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10.xml"/>
  <Override ContentType="application/vnd.openxmlformats-officedocument.drawingml.chart+xml" PartName="/xl/charts/chart100.xml"/>
  <Override ContentType="application/vnd.openxmlformats-officedocument.drawingml.chart+xml" PartName="/xl/charts/chart101.xml"/>
  <Override ContentType="application/vnd.openxmlformats-officedocument.drawingml.chart+xml" PartName="/xl/charts/chart102.xml"/>
  <Override ContentType="application/vnd.openxmlformats-officedocument.drawingml.chart+xml" PartName="/xl/charts/chart103.xml"/>
  <Override ContentType="application/vnd.openxmlformats-officedocument.drawingml.chart+xml" PartName="/xl/charts/chart104.xml"/>
  <Override ContentType="application/vnd.openxmlformats-officedocument.drawingml.chart+xml" PartName="/xl/charts/chart105.xml"/>
  <Override ContentType="application/vnd.openxmlformats-officedocument.drawingml.chart+xml" PartName="/xl/charts/chart106.xml"/>
  <Override ContentType="application/vnd.openxmlformats-officedocument.drawingml.chart+xml" PartName="/xl/charts/chart107.xml"/>
  <Override ContentType="application/vnd.openxmlformats-officedocument.drawingml.chart+xml" PartName="/xl/charts/chart108.xml"/>
  <Override ContentType="application/vnd.openxmlformats-officedocument.drawingml.chart+xml" PartName="/xl/charts/chart109.xml"/>
  <Override ContentType="application/vnd.openxmlformats-officedocument.drawingml.chart+xml" PartName="/xl/charts/chart11.xml"/>
  <Override ContentType="application/vnd.openxmlformats-officedocument.drawingml.chart+xml" PartName="/xl/charts/chart110.xml"/>
  <Override ContentType="application/vnd.openxmlformats-officedocument.drawingml.chart+xml" PartName="/xl/charts/chart111.xml"/>
  <Override ContentType="application/vnd.openxmlformats-officedocument.drawingml.chart+xml" PartName="/xl/charts/chart112.xml"/>
  <Override ContentType="application/vnd.openxmlformats-officedocument.drawingml.chart+xml" PartName="/xl/charts/chart113.xml"/>
  <Override ContentType="application/vnd.openxmlformats-officedocument.drawingml.chart+xml" PartName="/xl/charts/chart114.xml"/>
  <Override ContentType="application/vnd.openxmlformats-officedocument.drawingml.chart+xml" PartName="/xl/charts/chart115.xml"/>
  <Override ContentType="application/vnd.openxmlformats-officedocument.drawingml.chart+xml" PartName="/xl/charts/chart116.xml"/>
  <Override ContentType="application/vnd.openxmlformats-officedocument.drawingml.chart+xml" PartName="/xl/charts/chart117.xml"/>
  <Override ContentType="application/vnd.openxmlformats-officedocument.drawingml.chart+xml" PartName="/xl/charts/chart118.xml"/>
  <Override ContentType="application/vnd.openxmlformats-officedocument.drawingml.chart+xml" PartName="/xl/charts/chart119.xml"/>
  <Override ContentType="application/vnd.openxmlformats-officedocument.drawingml.chart+xml" PartName="/xl/charts/chart12.xml"/>
  <Override ContentType="application/vnd.openxmlformats-officedocument.drawingml.chart+xml" PartName="/xl/charts/chart120.xml"/>
  <Override ContentType="application/vnd.openxmlformats-officedocument.drawingml.chart+xml" PartName="/xl/charts/chart121.xml"/>
  <Override ContentType="application/vnd.openxmlformats-officedocument.drawingml.chart+xml" PartName="/xl/charts/chart122.xml"/>
  <Override ContentType="application/vnd.openxmlformats-officedocument.drawingml.chart+xml" PartName="/xl/charts/chart123.xml"/>
  <Override ContentType="application/vnd.openxmlformats-officedocument.drawingml.chart+xml" PartName="/xl/charts/chart124.xml"/>
  <Override ContentType="application/vnd.openxmlformats-officedocument.drawingml.chart+xml" PartName="/xl/charts/chart125.xml"/>
  <Override ContentType="application/vnd.openxmlformats-officedocument.drawingml.chart+xml" PartName="/xl/charts/chart126.xml"/>
  <Override ContentType="application/vnd.openxmlformats-officedocument.drawingml.chart+xml" PartName="/xl/charts/chart127.xml"/>
  <Override ContentType="application/vnd.openxmlformats-officedocument.drawingml.chart+xml" PartName="/xl/charts/chart128.xml"/>
  <Override ContentType="application/vnd.openxmlformats-officedocument.drawingml.chart+xml" PartName="/xl/charts/chart129.xml"/>
  <Override ContentType="application/vnd.openxmlformats-officedocument.drawingml.chart+xml" PartName="/xl/charts/chart13.xml"/>
  <Override ContentType="application/vnd.openxmlformats-officedocument.drawingml.chart+xml" PartName="/xl/charts/chart130.xml"/>
  <Override ContentType="application/vnd.openxmlformats-officedocument.drawingml.chart+xml" PartName="/xl/charts/chart131.xml"/>
  <Override ContentType="application/vnd.openxmlformats-officedocument.drawingml.chart+xml" PartName="/xl/charts/chart132.xml"/>
  <Override ContentType="application/vnd.openxmlformats-officedocument.drawingml.chart+xml" PartName="/xl/charts/chart133.xml"/>
  <Override ContentType="application/vnd.openxmlformats-officedocument.drawingml.chart+xml" PartName="/xl/charts/chart134.xml"/>
  <Override ContentType="application/vnd.openxmlformats-officedocument.drawingml.chart+xml" PartName="/xl/charts/chart135.xml"/>
  <Override ContentType="application/vnd.openxmlformats-officedocument.drawingml.chart+xml" PartName="/xl/charts/chart136.xml"/>
  <Override ContentType="application/vnd.openxmlformats-officedocument.drawingml.chart+xml" PartName="/xl/charts/chart137.xml"/>
  <Override ContentType="application/vnd.openxmlformats-officedocument.drawingml.chart+xml" PartName="/xl/charts/chart138.xml"/>
  <Override ContentType="application/vnd.openxmlformats-officedocument.drawingml.chart+xml" PartName="/xl/charts/chart139.xml"/>
  <Override ContentType="application/vnd.openxmlformats-officedocument.drawingml.chart+xml" PartName="/xl/charts/chart14.xml"/>
  <Override ContentType="application/vnd.openxmlformats-officedocument.drawingml.chart+xml" PartName="/xl/charts/chart140.xml"/>
  <Override ContentType="application/vnd.openxmlformats-officedocument.drawingml.chart+xml" PartName="/xl/charts/chart141.xml"/>
  <Override ContentType="application/vnd.openxmlformats-officedocument.drawingml.chart+xml" PartName="/xl/charts/chart142.xml"/>
  <Override ContentType="application/vnd.openxmlformats-officedocument.drawingml.chart+xml" PartName="/xl/charts/chart143.xml"/>
  <Override ContentType="application/vnd.openxmlformats-officedocument.drawingml.chart+xml" PartName="/xl/charts/chart144.xml"/>
  <Override ContentType="application/vnd.openxmlformats-officedocument.drawingml.chart+xml" PartName="/xl/charts/chart145.xml"/>
  <Override ContentType="application/vnd.openxmlformats-officedocument.drawingml.chart+xml" PartName="/xl/charts/chart146.xml"/>
  <Override ContentType="application/vnd.openxmlformats-officedocument.drawingml.chart+xml" PartName="/xl/charts/chart147.xml"/>
  <Override ContentType="application/vnd.openxmlformats-officedocument.drawingml.chart+xml" PartName="/xl/charts/chart148.xml"/>
  <Override ContentType="application/vnd.openxmlformats-officedocument.drawingml.chart+xml" PartName="/xl/charts/chart149.xml"/>
  <Override ContentType="application/vnd.openxmlformats-officedocument.drawingml.chart+xml" PartName="/xl/charts/chart15.xml"/>
  <Override ContentType="application/vnd.openxmlformats-officedocument.drawingml.chart+xml" PartName="/xl/charts/chart150.xml"/>
  <Override ContentType="application/vnd.openxmlformats-officedocument.drawingml.chart+xml" PartName="/xl/charts/chart151.xml"/>
  <Override ContentType="application/vnd.openxmlformats-officedocument.drawingml.chart+xml" PartName="/xl/charts/chart152.xml"/>
  <Override ContentType="application/vnd.openxmlformats-officedocument.drawingml.chart+xml" PartName="/xl/charts/chart153.xml"/>
  <Override ContentType="application/vnd.openxmlformats-officedocument.drawingml.chart+xml" PartName="/xl/charts/chart154.xml"/>
  <Override ContentType="application/vnd.openxmlformats-officedocument.drawingml.chart+xml" PartName="/xl/charts/chart155.xml"/>
  <Override ContentType="application/vnd.openxmlformats-officedocument.drawingml.chart+xml" PartName="/xl/charts/chart156.xml"/>
  <Override ContentType="application/vnd.openxmlformats-officedocument.drawingml.chart+xml" PartName="/xl/charts/chart157.xml"/>
  <Override ContentType="application/vnd.openxmlformats-officedocument.drawingml.chart+xml" PartName="/xl/charts/chart158.xml"/>
  <Override ContentType="application/vnd.openxmlformats-officedocument.drawingml.chart+xml" PartName="/xl/charts/chart159.xml"/>
  <Override ContentType="application/vnd.openxmlformats-officedocument.drawingml.chart+xml" PartName="/xl/charts/chart16.xml"/>
  <Override ContentType="application/vnd.openxmlformats-officedocument.drawingml.chart+xml" PartName="/xl/charts/chart160.xml"/>
  <Override ContentType="application/vnd.openxmlformats-officedocument.drawingml.chart+xml" PartName="/xl/charts/chart161.xml"/>
  <Override ContentType="application/vnd.openxmlformats-officedocument.drawingml.chart+xml" PartName="/xl/charts/chart162.xml"/>
  <Override ContentType="application/vnd.openxmlformats-officedocument.drawingml.chart+xml" PartName="/xl/charts/chart163.xml"/>
  <Override ContentType="application/vnd.openxmlformats-officedocument.drawingml.chart+xml" PartName="/xl/charts/chart164.xml"/>
  <Override ContentType="application/vnd.openxmlformats-officedocument.drawingml.chart+xml" PartName="/xl/charts/chart165.xml"/>
  <Override ContentType="application/vnd.openxmlformats-officedocument.drawingml.chart+xml" PartName="/xl/charts/chart166.xml"/>
  <Override ContentType="application/vnd.openxmlformats-officedocument.drawingml.chart+xml" PartName="/xl/charts/chart167.xml"/>
  <Override ContentType="application/vnd.openxmlformats-officedocument.drawingml.chart+xml" PartName="/xl/charts/chart168.xml"/>
  <Override ContentType="application/vnd.openxmlformats-officedocument.drawingml.chart+xml" PartName="/xl/charts/chart169.xml"/>
  <Override ContentType="application/vnd.openxmlformats-officedocument.drawingml.chart+xml" PartName="/xl/charts/chart17.xml"/>
  <Override ContentType="application/vnd.openxmlformats-officedocument.drawingml.chart+xml" PartName="/xl/charts/chart170.xml"/>
  <Override ContentType="application/vnd.openxmlformats-officedocument.drawingml.chart+xml" PartName="/xl/charts/chart171.xml"/>
  <Override ContentType="application/vnd.openxmlformats-officedocument.drawingml.chart+xml" PartName="/xl/charts/chart172.xml"/>
  <Override ContentType="application/vnd.openxmlformats-officedocument.drawingml.chart+xml" PartName="/xl/charts/chart173.xml"/>
  <Override ContentType="application/vnd.openxmlformats-officedocument.drawingml.chart+xml" PartName="/xl/charts/chart174.xml"/>
  <Override ContentType="application/vnd.openxmlformats-officedocument.drawingml.chart+xml" PartName="/xl/charts/chart175.xml"/>
  <Override ContentType="application/vnd.openxmlformats-officedocument.drawingml.chart+xml" PartName="/xl/charts/chart176.xml"/>
  <Override ContentType="application/vnd.openxmlformats-officedocument.drawingml.chart+xml" PartName="/xl/charts/chart177.xml"/>
  <Override ContentType="application/vnd.openxmlformats-officedocument.drawingml.chart+xml" PartName="/xl/charts/chart178.xml"/>
  <Override ContentType="application/vnd.openxmlformats-officedocument.drawingml.chart+xml" PartName="/xl/charts/chart179.xml"/>
  <Override ContentType="application/vnd.openxmlformats-officedocument.drawingml.chart+xml" PartName="/xl/charts/chart18.xml"/>
  <Override ContentType="application/vnd.openxmlformats-officedocument.drawingml.chart+xml" PartName="/xl/charts/chart180.xml"/>
  <Override ContentType="application/vnd.openxmlformats-officedocument.drawingml.chart+xml" PartName="/xl/charts/chart181.xml"/>
  <Override ContentType="application/vnd.openxmlformats-officedocument.drawingml.chart+xml" PartName="/xl/charts/chart182.xml"/>
  <Override ContentType="application/vnd.openxmlformats-officedocument.drawingml.chart+xml" PartName="/xl/charts/chart183.xml"/>
  <Override ContentType="application/vnd.openxmlformats-officedocument.drawingml.chart+xml" PartName="/xl/charts/chart184.xml"/>
  <Override ContentType="application/vnd.openxmlformats-officedocument.drawingml.chart+xml" PartName="/xl/charts/chart185.xml"/>
  <Override ContentType="application/vnd.openxmlformats-officedocument.drawingml.chart+xml" PartName="/xl/charts/chart186.xml"/>
  <Override ContentType="application/vnd.openxmlformats-officedocument.drawingml.chart+xml" PartName="/xl/charts/chart187.xml"/>
  <Override ContentType="application/vnd.openxmlformats-officedocument.drawingml.chart+xml" PartName="/xl/charts/chart188.xml"/>
  <Override ContentType="application/vnd.openxmlformats-officedocument.drawingml.chart+xml" PartName="/xl/charts/chart189.xml"/>
  <Override ContentType="application/vnd.openxmlformats-officedocument.drawingml.chart+xml" PartName="/xl/charts/chart19.xml"/>
  <Override ContentType="application/vnd.openxmlformats-officedocument.drawingml.chart+xml" PartName="/xl/charts/chart190.xml"/>
  <Override ContentType="application/vnd.openxmlformats-officedocument.drawingml.chart+xml" PartName="/xl/charts/chart191.xml"/>
  <Override ContentType="application/vnd.openxmlformats-officedocument.drawingml.chart+xml" PartName="/xl/charts/chart192.xml"/>
  <Override ContentType="application/vnd.openxmlformats-officedocument.drawingml.chart+xml" PartName="/xl/charts/chart193.xml"/>
  <Override ContentType="application/vnd.openxmlformats-officedocument.drawingml.chart+xml" PartName="/xl/charts/chart194.xml"/>
  <Override ContentType="application/vnd.openxmlformats-officedocument.drawingml.chart+xml" PartName="/xl/charts/chart195.xml"/>
  <Override ContentType="application/vnd.openxmlformats-officedocument.drawingml.chart+xml" PartName="/xl/charts/chart196.xml"/>
  <Override ContentType="application/vnd.openxmlformats-officedocument.drawingml.chart+xml" PartName="/xl/charts/chart197.xml"/>
  <Override ContentType="application/vnd.openxmlformats-officedocument.drawingml.chart+xml" PartName="/xl/charts/chart198.xml"/>
  <Override ContentType="application/vnd.openxmlformats-officedocument.drawingml.chart+xml" PartName="/xl/charts/chart199.xml"/>
  <Override ContentType="application/vnd.openxmlformats-officedocument.drawingml.chart+xml" PartName="/xl/charts/chart2.xml"/>
  <Override ContentType="application/vnd.openxmlformats-officedocument.drawingml.chart+xml" PartName="/xl/charts/chart20.xml"/>
  <Override ContentType="application/vnd.openxmlformats-officedocument.drawingml.chart+xml" PartName="/xl/charts/chart200.xml"/>
  <Override ContentType="application/vnd.openxmlformats-officedocument.drawingml.chart+xml" PartName="/xl/charts/chart201.xml"/>
  <Override ContentType="application/vnd.openxmlformats-officedocument.drawingml.chart+xml" PartName="/xl/charts/chart202.xml"/>
  <Override ContentType="application/vnd.openxmlformats-officedocument.drawingml.chart+xml" PartName="/xl/charts/chart203.xml"/>
  <Override ContentType="application/vnd.openxmlformats-officedocument.drawingml.chart+xml" PartName="/xl/charts/chart204.xml"/>
  <Override ContentType="application/vnd.openxmlformats-officedocument.drawingml.chart+xml" PartName="/xl/charts/chart205.xml"/>
  <Override ContentType="application/vnd.openxmlformats-officedocument.drawingml.chart+xml" PartName="/xl/charts/chart206.xml"/>
  <Override ContentType="application/vnd.openxmlformats-officedocument.drawingml.chart+xml" PartName="/xl/charts/chart207.xml"/>
  <Override ContentType="application/vnd.openxmlformats-officedocument.drawingml.chart+xml" PartName="/xl/charts/chart208.xml"/>
  <Override ContentType="application/vnd.openxmlformats-officedocument.drawingml.chart+xml" PartName="/xl/charts/chart209.xml"/>
  <Override ContentType="application/vnd.openxmlformats-officedocument.drawingml.chart+xml" PartName="/xl/charts/chart21.xml"/>
  <Override ContentType="application/vnd.openxmlformats-officedocument.drawingml.chart+xml" PartName="/xl/charts/chart210.xml"/>
  <Override ContentType="application/vnd.openxmlformats-officedocument.drawingml.chart+xml" PartName="/xl/charts/chart211.xml"/>
  <Override ContentType="application/vnd.openxmlformats-officedocument.drawingml.chart+xml" PartName="/xl/charts/chart212.xml"/>
  <Override ContentType="application/vnd.openxmlformats-officedocument.drawingml.chart+xml" PartName="/xl/charts/chart22.xml"/>
  <Override ContentType="application/vnd.openxmlformats-officedocument.drawingml.chart+xml" PartName="/xl/charts/chart23.xml"/>
  <Override ContentType="application/vnd.openxmlformats-officedocument.drawingml.chart+xml" PartName="/xl/charts/chart24.xml"/>
  <Override ContentType="application/vnd.openxmlformats-officedocument.drawingml.chart+xml" PartName="/xl/charts/chart25.xml"/>
  <Override ContentType="application/vnd.openxmlformats-officedocument.drawingml.chart+xml" PartName="/xl/charts/chart26.xml"/>
  <Override ContentType="application/vnd.openxmlformats-officedocument.drawingml.chart+xml" PartName="/xl/charts/chart27.xml"/>
  <Override ContentType="application/vnd.openxmlformats-officedocument.drawingml.chart+xml" PartName="/xl/charts/chart28.xml"/>
  <Override ContentType="application/vnd.openxmlformats-officedocument.drawingml.chart+xml" PartName="/xl/charts/chart29.xml"/>
  <Override ContentType="application/vnd.openxmlformats-officedocument.drawingml.chart+xml" PartName="/xl/charts/chart3.xml"/>
  <Override ContentType="application/vnd.openxmlformats-officedocument.drawingml.chart+xml" PartName="/xl/charts/chart30.xml"/>
  <Override ContentType="application/vnd.openxmlformats-officedocument.drawingml.chart+xml" PartName="/xl/charts/chart31.xml"/>
  <Override ContentType="application/vnd.openxmlformats-officedocument.drawingml.chart+xml" PartName="/xl/charts/chart32.xml"/>
  <Override ContentType="application/vnd.openxmlformats-officedocument.drawingml.chart+xml" PartName="/xl/charts/chart33.xml"/>
  <Override ContentType="application/vnd.openxmlformats-officedocument.drawingml.chart+xml" PartName="/xl/charts/chart34.xml"/>
  <Override ContentType="application/vnd.openxmlformats-officedocument.drawingml.chart+xml" PartName="/xl/charts/chart35.xml"/>
  <Override ContentType="application/vnd.openxmlformats-officedocument.drawingml.chart+xml" PartName="/xl/charts/chart36.xml"/>
  <Override ContentType="application/vnd.openxmlformats-officedocument.drawingml.chart+xml" PartName="/xl/charts/chart37.xml"/>
  <Override ContentType="application/vnd.openxmlformats-officedocument.drawingml.chart+xml" PartName="/xl/charts/chart38.xml"/>
  <Override ContentType="application/vnd.openxmlformats-officedocument.drawingml.chart+xml" PartName="/xl/charts/chart39.xml"/>
  <Override ContentType="application/vnd.openxmlformats-officedocument.drawingml.chart+xml" PartName="/xl/charts/chart4.xml"/>
  <Override ContentType="application/vnd.openxmlformats-officedocument.drawingml.chart+xml" PartName="/xl/charts/chart40.xml"/>
  <Override ContentType="application/vnd.openxmlformats-officedocument.drawingml.chart+xml" PartName="/xl/charts/chart41.xml"/>
  <Override ContentType="application/vnd.openxmlformats-officedocument.drawingml.chart+xml" PartName="/xl/charts/chart42.xml"/>
  <Override ContentType="application/vnd.openxmlformats-officedocument.drawingml.chart+xml" PartName="/xl/charts/chart43.xml"/>
  <Override ContentType="application/vnd.openxmlformats-officedocument.drawingml.chart+xml" PartName="/xl/charts/chart44.xml"/>
  <Override ContentType="application/vnd.openxmlformats-officedocument.drawingml.chart+xml" PartName="/xl/charts/chart45.xml"/>
  <Override ContentType="application/vnd.openxmlformats-officedocument.drawingml.chart+xml" PartName="/xl/charts/chart46.xml"/>
  <Override ContentType="application/vnd.openxmlformats-officedocument.drawingml.chart+xml" PartName="/xl/charts/chart47.xml"/>
  <Override ContentType="application/vnd.openxmlformats-officedocument.drawingml.chart+xml" PartName="/xl/charts/chart48.xml"/>
  <Override ContentType="application/vnd.openxmlformats-officedocument.drawingml.chart+xml" PartName="/xl/charts/chart49.xml"/>
  <Override ContentType="application/vnd.openxmlformats-officedocument.drawingml.chart+xml" PartName="/xl/charts/chart5.xml"/>
  <Override ContentType="application/vnd.openxmlformats-officedocument.drawingml.chart+xml" PartName="/xl/charts/chart50.xml"/>
  <Override ContentType="application/vnd.openxmlformats-officedocument.drawingml.chart+xml" PartName="/xl/charts/chart51.xml"/>
  <Override ContentType="application/vnd.openxmlformats-officedocument.drawingml.chart+xml" PartName="/xl/charts/chart52.xml"/>
  <Override ContentType="application/vnd.openxmlformats-officedocument.drawingml.chart+xml" PartName="/xl/charts/chart53.xml"/>
  <Override ContentType="application/vnd.openxmlformats-officedocument.drawingml.chart+xml" PartName="/xl/charts/chart54.xml"/>
  <Override ContentType="application/vnd.openxmlformats-officedocument.drawingml.chart+xml" PartName="/xl/charts/chart55.xml"/>
  <Override ContentType="application/vnd.openxmlformats-officedocument.drawingml.chart+xml" PartName="/xl/charts/chart56.xml"/>
  <Override ContentType="application/vnd.openxmlformats-officedocument.drawingml.chart+xml" PartName="/xl/charts/chart57.xml"/>
  <Override ContentType="application/vnd.openxmlformats-officedocument.drawingml.chart+xml" PartName="/xl/charts/chart58.xml"/>
  <Override ContentType="application/vnd.openxmlformats-officedocument.drawingml.chart+xml" PartName="/xl/charts/chart59.xml"/>
  <Override ContentType="application/vnd.openxmlformats-officedocument.drawingml.chart+xml" PartName="/xl/charts/chart6.xml"/>
  <Override ContentType="application/vnd.openxmlformats-officedocument.drawingml.chart+xml" PartName="/xl/charts/chart60.xml"/>
  <Override ContentType="application/vnd.openxmlformats-officedocument.drawingml.chart+xml" PartName="/xl/charts/chart61.xml"/>
  <Override ContentType="application/vnd.openxmlformats-officedocument.drawingml.chart+xml" PartName="/xl/charts/chart62.xml"/>
  <Override ContentType="application/vnd.openxmlformats-officedocument.drawingml.chart+xml" PartName="/xl/charts/chart63.xml"/>
  <Override ContentType="application/vnd.openxmlformats-officedocument.drawingml.chart+xml" PartName="/xl/charts/chart64.xml"/>
  <Override ContentType="application/vnd.openxmlformats-officedocument.drawingml.chart+xml" PartName="/xl/charts/chart65.xml"/>
  <Override ContentType="application/vnd.openxmlformats-officedocument.drawingml.chart+xml" PartName="/xl/charts/chart66.xml"/>
  <Override ContentType="application/vnd.openxmlformats-officedocument.drawingml.chart+xml" PartName="/xl/charts/chart67.xml"/>
  <Override ContentType="application/vnd.openxmlformats-officedocument.drawingml.chart+xml" PartName="/xl/charts/chart68.xml"/>
  <Override ContentType="application/vnd.openxmlformats-officedocument.drawingml.chart+xml" PartName="/xl/charts/chart69.xml"/>
  <Override ContentType="application/vnd.openxmlformats-officedocument.drawingml.chart+xml" PartName="/xl/charts/chart7.xml"/>
  <Override ContentType="application/vnd.openxmlformats-officedocument.drawingml.chart+xml" PartName="/xl/charts/chart70.xml"/>
  <Override ContentType="application/vnd.openxmlformats-officedocument.drawingml.chart+xml" PartName="/xl/charts/chart71.xml"/>
  <Override ContentType="application/vnd.openxmlformats-officedocument.drawingml.chart+xml" PartName="/xl/charts/chart72.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ml.chart+xml" PartName="/xl/charts/chart88.xml"/>
  <Override ContentType="application/vnd.openxmlformats-officedocument.drawingml.chart+xml" PartName="/xl/charts/chart89.xml"/>
  <Override ContentType="application/vnd.openxmlformats-officedocument.drawingml.chart+xml" PartName="/xl/charts/chart9.xml"/>
  <Override ContentType="application/vnd.openxmlformats-officedocument.drawingml.chart+xml" PartName="/xl/charts/chart90.xml"/>
  <Override ContentType="application/vnd.openxmlformats-officedocument.drawingml.chart+xml" PartName="/xl/charts/chart91.xml"/>
  <Override ContentType="application/vnd.openxmlformats-officedocument.drawingml.chart+xml" PartName="/xl/charts/chart92.xml"/>
  <Override ContentType="application/vnd.openxmlformats-officedocument.drawingml.chart+xml" PartName="/xl/charts/chart93.xml"/>
  <Override ContentType="application/vnd.openxmlformats-officedocument.drawingml.chart+xml" PartName="/xl/charts/chart94.xml"/>
  <Override ContentType="application/vnd.openxmlformats-officedocument.drawingml.chart+xml" PartName="/xl/charts/chart95.xml"/>
  <Override ContentType="application/vnd.openxmlformats-officedocument.drawingml.chart+xml" PartName="/xl/charts/chart96.xml"/>
  <Override ContentType="application/vnd.openxmlformats-officedocument.drawingml.chart+xml" PartName="/xl/charts/chart97.xml"/>
  <Override ContentType="application/vnd.openxmlformats-officedocument.drawingml.chart+xml" PartName="/xl/charts/chart98.xml"/>
  <Override ContentType="application/vnd.openxmlformats-officedocument.drawingml.chart+xml" PartName="/xl/charts/chart99.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spreadsheetml.comments+xml" PartName="/xl/comments14.xml"/>
  <Override ContentType="application/vnd.openxmlformats-officedocument.spreadsheetml.comments+xml" PartName="/xl/comments15.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ml.chartshapes+xml" PartName="/xl/drawings/drawing10.xml"/>
  <Override ContentType="application/vnd.openxmlformats-officedocument.drawingml.chartshapes+xml" PartName="/xl/drawings/drawing11.xml"/>
  <Override ContentType="application/vnd.openxmlformats-officedocument.drawingml.chartshapes+xml" PartName="/xl/drawings/drawing12.xml"/>
  <Override ContentType="application/vnd.openxmlformats-officedocument.drawingml.chartshapes+xml" PartName="/xl/drawings/drawing13.xml"/>
  <Override ContentType="application/vnd.openxmlformats-officedocument.drawingml.chartshapes+xml" PartName="/xl/drawings/drawing14.xml"/>
  <Override ContentType="application/vnd.openxmlformats-officedocument.drawingml.chartshapes+xml" PartName="/xl/drawings/drawing15.xml"/>
  <Override ContentType="application/vnd.openxmlformats-officedocument.drawingml.chartshapes+xml" PartName="/xl/drawings/drawing16.xml"/>
  <Override ContentType="application/vnd.openxmlformats-officedocument.drawingml.chartshapes+xml" PartName="/xl/drawings/drawing17.xml"/>
  <Override ContentType="application/vnd.openxmlformats-officedocument.drawingml.chartshapes+xml" PartName="/xl/drawings/drawing18.xml"/>
  <Override ContentType="application/vnd.openxmlformats-officedocument.drawing+xml" PartName="/xl/drawings/drawing19.xml"/>
  <Override ContentType="application/vnd.openxmlformats-officedocument.drawing+xml" PartName="/xl/drawings/drawing2.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drawing+xml" PartName="/xl/drawings/drawing23.xml"/>
  <Override ContentType="application/vnd.openxmlformats-officedocument.drawing+xml" PartName="/xl/drawings/drawing24.xml"/>
  <Override ContentType="application/vnd.openxmlformats-officedocument.drawing+xml" PartName="/xl/drawings/drawing25.xml"/>
  <Override ContentType="application/vnd.openxmlformats-officedocument.drawing+xml" PartName="/xl/drawings/drawing26.xml"/>
  <Override ContentType="application/vnd.openxmlformats-officedocument.drawing+xml" PartName="/xl/drawings/drawing27.xml"/>
  <Override ContentType="application/vnd.openxmlformats-officedocument.drawing+xml" PartName="/xl/drawings/drawing28.xml"/>
  <Override ContentType="application/vnd.openxmlformats-officedocument.drawing+xml" PartName="/xl/drawings/drawing29.xml"/>
  <Override ContentType="application/vnd.openxmlformats-officedocument.drawing+xml" PartName="/xl/drawings/drawing3.xml"/>
  <Override ContentType="application/vnd.openxmlformats-officedocument.drawing+xml" PartName="/xl/drawings/drawing30.xml"/>
  <Override ContentType="application/vnd.openxmlformats-officedocument.drawing+xml" PartName="/xl/drawings/drawing31.xml"/>
  <Override ContentType="application/vnd.openxmlformats-officedocument.drawing+xml" PartName="/xl/drawings/drawing32.xml"/>
  <Override ContentType="application/vnd.openxmlformats-officedocument.drawing+xml" PartName="/xl/drawings/drawing33.xml"/>
  <Override ContentType="application/vnd.openxmlformats-officedocument.drawing+xml" PartName="/xl/drawings/drawing34.xml"/>
  <Override ContentType="application/vnd.openxmlformats-officedocument.drawing+xml" PartName="/xl/drawings/drawing35.xml"/>
  <Override ContentType="application/vnd.openxmlformats-officedocument.drawing+xml" PartName="/xl/drawings/drawing36.xml"/>
  <Override ContentType="application/vnd.openxmlformats-officedocument.drawing+xml" PartName="/xl/drawings/drawing4.xml"/>
  <Override ContentType="application/vnd.openxmlformats-officedocument.drawing+xml" PartName="/xl/drawings/drawing5.xml"/>
  <Override ContentType="application/vnd.openxmlformats-officedocument.drawingml.chartshapes+xml" PartName="/xl/drawings/drawing6.xml"/>
  <Override ContentType="application/vnd.openxmlformats-officedocument.drawingml.chartshapes+xml" PartName="/xl/drawings/drawing7.xml"/>
  <Override ContentType="application/vnd.openxmlformats-officedocument.drawingml.chartshapes+xml" PartName="/xl/drawings/drawing8.xml"/>
  <Override ContentType="application/vnd.openxmlformats-officedocument.drawingml.chartshapes+xml" PartName="/xl/drawings/drawing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28770" yWindow="-30" windowWidth="27600" windowHeight="11550" tabRatio="926"/>
  </bookViews>
  <sheets>
    <sheet name="ImportantDisclosures" sheetId="94" r:id="rId1"/>
    <sheet name="SheetVisibilityStatus" sheetId="98" state="veryHidden" r:id="rId2"/>
    <sheet name="CircularReferenceAlert" sheetId="97" r:id="rId3"/>
    <sheet name="Circular Reference" sheetId="88" state="veryHidden" r:id="rId4"/>
    <sheet name="Index" sheetId="59" state="veryHidden" r:id="rId5"/>
    <sheet name="Overview--&gt;" sheetId="4" state="veryHidden" r:id="rId6"/>
    <sheet name="Summary" sheetId="61" state="veryHidden" r:id="rId7"/>
    <sheet name="Charts" sheetId="5" state="veryHidden" r:id="rId8"/>
    <sheet name="Financials" sheetId="6" state="veryHidden" r:id="rId9"/>
    <sheet name="MSvsConsensus" sheetId="60" state="veryHidden" r:id="rId10"/>
    <sheet name="Valuation--&gt;" sheetId="9" state="veryHidden" r:id="rId11"/>
    <sheet name="SOP" sheetId="12" state="veryHidden" r:id="rId12"/>
    <sheet name="DCF" sheetId="74" state="veryHidden" r:id="rId13"/>
    <sheet name="Model--&gt;" sheetId="14" state="veryHidden" r:id="rId14"/>
    <sheet name="Structure" sheetId="87" state="veryHidden" r:id="rId15"/>
    <sheet name="Inputs" sheetId="68" state="veryHidden" r:id="rId16"/>
    <sheet name="Q_Financials" sheetId="15" state="veryHidden" r:id="rId17"/>
    <sheet name="Q_IS" sheetId="18" state="veryHidden" r:id="rId18"/>
    <sheet name="Q_BS" sheetId="21" state="veryHidden" r:id="rId19"/>
    <sheet name="CompanyData--&gt;" sheetId="41" state="veryHidden" r:id="rId20"/>
    <sheet name="Annual historicals" sheetId="71" state="veryHidden" r:id="rId21"/>
    <sheet name="Quarterly historicals" sheetId="85" state="veryHidden" r:id="rId22"/>
    <sheet name="Scenarios--&gt;" sheetId="25" state="veryHidden" r:id="rId23"/>
    <sheet name="Base" sheetId="62" state="veryHidden" r:id="rId24"/>
    <sheet name="Bull" sheetId="64" state="veryHidden" r:id="rId25"/>
    <sheet name="Bear" sheetId="63" state="veryHidden" r:id="rId26"/>
    <sheet name="Other--&gt;" sheetId="35" state="veryHidden" r:id="rId27"/>
    <sheet name="Ownership" sheetId="66" state="veryHidden" r:id="rId28"/>
    <sheet name="Macroeconomic" sheetId="36" state="veryHidden" r:id="rId29"/>
    <sheet name="MW-Cache" sheetId="53" state="veryHidden" r:id="rId30"/>
    <sheet name="Cost analysis" sheetId="90" state="veryHidden" r:id="rId31"/>
    <sheet name="ChartSupport" sheetId="67" state="veryHidden" r:id="rId32"/>
    <sheet name="Legal--&gt;" sheetId="69" state="veryHidden" r:id="rId33"/>
    <sheet name="Disclosures" sheetId="91" state="veryHidden" r:id="rId34"/>
    <sheet name="Disclaimers" sheetId="92" state="veryHidden" r:id="rId35"/>
    <sheet name="IndexInformation" sheetId="95" state="veryHidden" r:id="rId36"/>
    <sheet name="ModPubIndex" sheetId="96" state="veryHidden" r:id="rId37"/>
  </sheets>
  <definedNames>
    <definedName name="AdditionalInstructions">IndexInformation!$B$42</definedName>
    <definedName name="Address" localSheetId="0">ImportantDisclosures!$A$2:$A$2</definedName>
    <definedName name="ANA" localSheetId="36">ModPubIndex!$A$7</definedName>
    <definedName name="Authors" localSheetId="0">ImportantDisclosures!$A$7</definedName>
    <definedName name="Authors" localSheetId="35">IndexInformation!$B$18</definedName>
    <definedName name="BRO" localSheetId="36">ModPubIndex!$A$1</definedName>
    <definedName name="Buttons" localSheetId="2">CircularReferenceAlert!$B$13:$B$15</definedName>
    <definedName name="CopyrightStamp">ImportantDisclosures!$A$27</definedName>
    <definedName name="COU" localSheetId="36">ModPubIndex!$A$5</definedName>
    <definedName name="CQEnd" localSheetId="35">IndexInformation!$B$31</definedName>
    <definedName name="Currency" localSheetId="35">IndexInformation!$B$24</definedName>
    <definedName name="CurrentStockPrice" localSheetId="35">IndexInformation!$B$23</definedName>
    <definedName name="CurrQtrEPS" localSheetId="35">IndexInformation!$B$29</definedName>
    <definedName name="CurrYearEPS" localSheetId="35">IndexInformation!$B$11</definedName>
    <definedName name="CurrYearTotalRevenue" localSheetId="35">IndexInformation!$B$10</definedName>
    <definedName name="CurrYearTotalRevenueActual" localSheetId="35">IndexInformation!$B$32</definedName>
    <definedName name="CUSIP" localSheetId="35">IndexInformation!$B$20</definedName>
    <definedName name="CYEnd" localSheetId="35">IndexInformation!$B$30</definedName>
    <definedName name="Date" localSheetId="0">ImportantDisclosures!$A$8</definedName>
    <definedName name="Deleted" localSheetId="35">IndexInformation!$B$27</definedName>
    <definedName name="Description" localSheetId="35">IndexInformation!$B$7</definedName>
    <definedName name="Discipline" localSheetId="35">IndexInformation!$B$3</definedName>
    <definedName name="DISCIPLINE" localSheetId="36">ModPubIndex!$A$12</definedName>
    <definedName name="DisclosuresText">ImportantDisclosures!$A$22</definedName>
    <definedName name="Distribution" localSheetId="35">IndexInformation!$B$26</definedName>
    <definedName name="DistTable" localSheetId="0">ImportantDisclosures!#REF!</definedName>
    <definedName name="DistTablePreamble" localSheetId="0">ImportantDisclosures!#REF!</definedName>
    <definedName name="DOCDAT" localSheetId="36">ModPubIndex!$A$2</definedName>
    <definedName name="DOCTIME" localSheetId="36">ModPubIndex!$A$3</definedName>
    <definedName name="DocType" localSheetId="35">IndexInformation!$B$5</definedName>
    <definedName name="EMAIL_ALERT" localSheetId="36">ModPubIndex!$A$10</definedName>
    <definedName name="EmailAlert" localSheetId="35">IndexInformation!$B$28</definedName>
    <definedName name="FiveYearGrowthRate" localSheetId="35">IndexInformation!$B$16</definedName>
    <definedName name="FollowingYearEPS" localSheetId="35">IndexInformation!$B$15</definedName>
    <definedName name="FollowingYearTotalRevenue" localSheetId="35">IndexInformation!$B$14</definedName>
    <definedName name="FollowingYearTotalRevenueActual" localSheetId="35">IndexInformation!$B$34</definedName>
    <definedName name="HL" localSheetId="36">ModPubIndex!$A$8</definedName>
    <definedName name="IND" localSheetId="36">ModPubIndex!$A$9</definedName>
    <definedName name="Industry" localSheetId="0">ImportantDisclosures!$A$12</definedName>
    <definedName name="IndustryId">IndexInformation!$B$40</definedName>
    <definedName name="IndustryRating" localSheetId="0">ImportantDisclosures!$A$13</definedName>
    <definedName name="KeepVersions" localSheetId="35">IndexInformation!$B$8</definedName>
    <definedName name="LanguageCode">IndexInformation!$B$38</definedName>
    <definedName name="LastCell" localSheetId="0">ImportantDisclosures!$A$22</definedName>
    <definedName name="Linking_24">Charts!$N$167:$Q$184</definedName>
    <definedName name="Linking_29">SOP!$A$8:$H$12</definedName>
    <definedName name="Linking_30">Charts!$N$167:$O$185</definedName>
    <definedName name="Linking_31">Structure!$B$4:$AT$32</definedName>
    <definedName name="Linking_33">Financials!$A$4:$R$30</definedName>
    <definedName name="Linking_34">Financials!$A$35:$R$90</definedName>
    <definedName name="Linking_35">Financials!$A$92:$R$135</definedName>
    <definedName name="Linking_36">Charts!$E$67:$G$84</definedName>
    <definedName name="Linking_37">Charts!$B$87:$D$105</definedName>
    <definedName name="Linking_38">Charts!$E$147:$G$165</definedName>
    <definedName name="Linking_39">Charts!$H$207:$J$225</definedName>
    <definedName name="Linking_4">Summary!$A$6:$K$49</definedName>
    <definedName name="Linking_40">Charts!$B$247:$D$265</definedName>
    <definedName name="Linking_41">Charts!$K$327:$M$345</definedName>
    <definedName name="Linking_42">Financials!$A$35:$R$87</definedName>
    <definedName name="Linking_43">Financials!$A$4:$R$90</definedName>
    <definedName name="Linking_44">Financials!$A$92:$R$136</definedName>
    <definedName name="Linking_45">Summary!$T$46:$X$59</definedName>
    <definedName name="Linking_Range_1">SOP!$A$7:$H$18</definedName>
    <definedName name="Linking_Range_10">Financials!$A$35:$O$87</definedName>
    <definedName name="Linking_Range_11">Financials!$A$92:$O$136</definedName>
    <definedName name="Linking_Range_12">Summary!$A$4:$J$34</definedName>
    <definedName name="Linking_Range_13">DCF!$A$11:$P$23</definedName>
    <definedName name="Linking_Range_14">SOP!$A$8:$H$21</definedName>
    <definedName name="Linking_Range_15">Financials!$A$4:$O$87</definedName>
    <definedName name="Linking_Range_16">Financials!$A$92:$O$135</definedName>
    <definedName name="Linking_Range_17">DCF!$A$11:$P$34</definedName>
    <definedName name="Linking_Range_18">Financials!$A$4:$Q$87</definedName>
    <definedName name="Linking_Range_19">Financials!$A$92:$Q$135</definedName>
    <definedName name="Linking_Range_2">SOP!$A$8:$H$18</definedName>
    <definedName name="Linking_Range_20">Summary!$A$4:$J$52</definedName>
    <definedName name="Linking_Range_3">SOP!$B$26:$D$35</definedName>
    <definedName name="Linking_Range_8">Inputs!$L$241:$S$241</definedName>
    <definedName name="Linking_Range_9">Summary!$A$4:$J$16</definedName>
    <definedName name="Linking_Text_1">"2Q18"</definedName>
    <definedName name="MacroVersion" localSheetId="35">IndexInformation!$B$1</definedName>
    <definedName name="MASTERSWITCH">Inputs!$A$6</definedName>
    <definedName name="MaxChange" localSheetId="2">CircularReferenceAlert!$B$9</definedName>
    <definedName name="MaxIterations" localSheetId="2">CircularReferenceAlert!$B$8</definedName>
    <definedName name="ModelPrice" localSheetId="0">ImportantDisclosures!$A$14</definedName>
    <definedName name="Multiplier" localSheetId="35">IndexInformation!$B$35</definedName>
    <definedName name="NextYearEPS" localSheetId="35">IndexInformation!$B$13</definedName>
    <definedName name="NextYearTotalRevenue" localSheetId="35">IndexInformation!$B$12</definedName>
    <definedName name="NextYearTotalRevenueActual" localSheetId="35">IndexInformation!$B$33</definedName>
    <definedName name="ObjectType">IndexInformation!$B$37</definedName>
    <definedName name="PANA" localSheetId="36">ModPubIndex!$A$11</definedName>
    <definedName name="PathName" localSheetId="35">IndexInformation!$B$25</definedName>
    <definedName name="_xlnm.Print_Area" localSheetId="20">'Annual historicals'!$A$1:$U$208</definedName>
    <definedName name="_xlnm.Print_Area" localSheetId="23">Base!$A$1:$X$161</definedName>
    <definedName name="_xlnm.Print_Area" localSheetId="25">Bear!$A$1:$W$161</definedName>
    <definedName name="_xlnm.Print_Area" localSheetId="24">Bull!$A$1:$W$161</definedName>
    <definedName name="_xlnm.Print_Area" localSheetId="7">Charts!$A$66:$S$345</definedName>
    <definedName name="_xlnm.Print_Area" localSheetId="31">ChartSupport!$A$1:$S$61</definedName>
    <definedName name="_xlnm.Print_Area" localSheetId="12">DCF!$B$20:$W$60</definedName>
    <definedName name="_xlnm.Print_Area" localSheetId="8">Financials!$A$1:$W$161</definedName>
    <definedName name="_xlnm.Print_Area" localSheetId="4">Index!$B$1:$K$56</definedName>
    <definedName name="_xlnm.Print_Area" localSheetId="15">Inputs!$A$1:$R$96</definedName>
    <definedName name="_xlnm.Print_Area" localSheetId="28">Macroeconomic!$A$1:$U$22</definedName>
    <definedName name="_xlnm.Print_Area" localSheetId="9">MSvsConsensus!$A$1:$AK$72</definedName>
    <definedName name="_xlnm.Print_Area" localSheetId="27">Ownership!$A$1:$H$47</definedName>
    <definedName name="_xlnm.Print_Area" localSheetId="18">Q_BS!$A$1:$AP$79</definedName>
    <definedName name="_xlnm.Print_Area" localSheetId="16">Q_Financials!$A$1:$BY$112</definedName>
    <definedName name="_xlnm.Print_Area" localSheetId="17">Q_IS!$A$1:$P$211</definedName>
    <definedName name="_xlnm.Print_Area" localSheetId="21">'Quarterly historicals'!$A$1:$AR$260</definedName>
    <definedName name="_xlnm.Print_Area" localSheetId="11">SOP!$A$1:$L$128</definedName>
    <definedName name="_xlnm.Print_Area" localSheetId="14">Structure!$A$1:$AY$34</definedName>
    <definedName name="_xlnm.Print_Area" localSheetId="6">Summary!$A$1:$AD$61</definedName>
    <definedName name="_xlnm.Print_Titles" localSheetId="28">Macroeconomic!$A:$A,Macroeconomic!$1:$2</definedName>
    <definedName name="PRODUCT" localSheetId="36">ModPubIndex!$A$6</definedName>
    <definedName name="PSYM" localSheetId="36">ModPubIndex!$A$4</definedName>
    <definedName name="PublishDate" localSheetId="35">IndexInformation!$B$2</definedName>
    <definedName name="Rating" localSheetId="35">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searchTopic" localSheetId="35">IndexInformation!$B$4</definedName>
    <definedName name="RIC" localSheetId="35">IndexInformation!$B$21</definedName>
    <definedName name="Scenario_Input">Index!$I$42</definedName>
    <definedName name="SECSettlement" localSheetId="0">ImportantDisclosures!#REF!</definedName>
    <definedName name="SEDOL" localSheetId="35">IndexInformation!$B$22</definedName>
    <definedName name="SourceDefined" localSheetId="0">ImportantDisclosures!$A$19</definedName>
    <definedName name="StockRating" localSheetId="0">ImportantDisclosures!$A$11</definedName>
    <definedName name="SubjectCode" localSheetId="35">IndexInformation!$B$6</definedName>
    <definedName name="SubmitterUserId">IndexInformation!$B$39</definedName>
    <definedName name="SUPPRESSED" localSheetId="36">ModPubIndex!$A$13</definedName>
    <definedName name="SWITCHINTERESTEXPENSE">Inputs!$BX$214</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35">IndexInformation!$B$19</definedName>
    <definedName name="UpdateReason" localSheetId="35">IndexInformation!$B$17</definedName>
    <definedName name="USRegDisclosures" localSheetId="0">ImportantDisclosures!#REF!</definedName>
  </definedNames>
  <calcPr calcId="145621" iterate="1"/>
  <fileRecoveryPr autoRecover="0"/>
</workbook>
</file>

<file path=xl/calcChain.xml><?xml version="1.0" encoding="utf-8"?>
<calcChain xmlns="http://schemas.openxmlformats.org/spreadsheetml/2006/main">
  <c r="P31" i="74" l="1"/>
  <c r="K14" i="60" l="1"/>
  <c r="L14" i="60"/>
  <c r="K12" i="60"/>
  <c r="L12" i="60"/>
  <c r="I41" i="59" l="1"/>
  <c r="I43" i="59"/>
  <c r="I40" i="59"/>
  <c r="B1" i="59"/>
  <c r="D4" i="90" l="1"/>
  <c r="C5" i="90" l="1"/>
  <c r="D5" i="90"/>
  <c r="O62" i="60" l="1"/>
  <c r="G99" i="71" l="1"/>
  <c r="G102" i="71"/>
  <c r="G97" i="71"/>
  <c r="G98" i="71"/>
  <c r="I97" i="71"/>
  <c r="I99" i="71"/>
  <c r="I98" i="71"/>
  <c r="H97" i="71"/>
  <c r="H102" i="71"/>
  <c r="H99" i="71"/>
  <c r="H98" i="71"/>
  <c r="J97" i="71"/>
  <c r="J99" i="71"/>
  <c r="J98" i="71"/>
  <c r="L100" i="71"/>
  <c r="L97" i="71" s="1"/>
  <c r="L99" i="71"/>
  <c r="L98" i="71"/>
  <c r="K97" i="71"/>
  <c r="K99" i="71"/>
  <c r="K98" i="71"/>
  <c r="M100" i="71"/>
  <c r="M99" i="71"/>
  <c r="M98" i="71"/>
  <c r="M97" i="71"/>
  <c r="P97" i="71" l="1"/>
  <c r="C43" i="90" l="1"/>
  <c r="C29" i="90"/>
  <c r="C28" i="90" s="1"/>
  <c r="C22" i="90"/>
  <c r="C21" i="90"/>
  <c r="C20" i="90"/>
  <c r="C17" i="90"/>
  <c r="C16" i="90"/>
  <c r="C15" i="90"/>
  <c r="C14" i="90"/>
  <c r="C13" i="90"/>
  <c r="D29" i="90"/>
  <c r="D22" i="90"/>
  <c r="D21" i="90"/>
  <c r="Q81" i="71"/>
  <c r="R81" i="71"/>
  <c r="D20" i="90"/>
  <c r="D17" i="90"/>
  <c r="D16" i="90"/>
  <c r="L103" i="71"/>
  <c r="K103" i="71"/>
  <c r="J103" i="71"/>
  <c r="I103" i="71"/>
  <c r="H103" i="71"/>
  <c r="G103" i="71"/>
  <c r="M103" i="71"/>
  <c r="P103" i="71"/>
  <c r="O103" i="71"/>
  <c r="N103" i="71"/>
  <c r="B103" i="71"/>
  <c r="C103" i="71"/>
  <c r="D103" i="71"/>
  <c r="E103" i="71"/>
  <c r="F103" i="71"/>
  <c r="R97" i="71"/>
  <c r="R103" i="71" s="1"/>
  <c r="Q97" i="71"/>
  <c r="Q103" i="71" s="1"/>
  <c r="D15" i="90"/>
  <c r="D14" i="90"/>
  <c r="D13" i="90"/>
  <c r="Q148" i="71"/>
  <c r="I148" i="71"/>
  <c r="Q149" i="71"/>
  <c r="P149" i="71"/>
  <c r="P148" i="71" s="1"/>
  <c r="O149" i="71"/>
  <c r="O148" i="71" s="1"/>
  <c r="N149" i="71"/>
  <c r="N148" i="71" s="1"/>
  <c r="M149" i="71"/>
  <c r="M148" i="71" s="1"/>
  <c r="L149" i="71"/>
  <c r="L148" i="71" s="1"/>
  <c r="K149" i="71"/>
  <c r="K148" i="71" s="1"/>
  <c r="J149" i="71"/>
  <c r="J148" i="71" s="1"/>
  <c r="I149" i="71"/>
  <c r="R149" i="71"/>
  <c r="R148" i="71" s="1"/>
  <c r="C19" i="90" l="1"/>
  <c r="D43" i="90" l="1"/>
  <c r="D28" i="90"/>
  <c r="D19" i="90"/>
  <c r="O169" i="68" l="1"/>
  <c r="D12" i="12" s="1"/>
  <c r="X57" i="61" l="1"/>
  <c r="W57" i="61"/>
  <c r="V57" i="61"/>
  <c r="X51" i="61"/>
  <c r="W51" i="61"/>
  <c r="V51" i="61"/>
  <c r="T57" i="61"/>
  <c r="T51" i="61"/>
  <c r="X56" i="61"/>
  <c r="W56" i="61"/>
  <c r="V56" i="61"/>
  <c r="X50" i="61"/>
  <c r="W50" i="61"/>
  <c r="V50" i="61"/>
  <c r="T56" i="61"/>
  <c r="T50" i="61"/>
  <c r="X43" i="61"/>
  <c r="W43" i="61"/>
  <c r="V43" i="61"/>
  <c r="X42" i="61"/>
  <c r="W42" i="61"/>
  <c r="V42" i="61"/>
  <c r="T43" i="61"/>
  <c r="X34" i="61"/>
  <c r="W34" i="61"/>
  <c r="V34" i="61"/>
  <c r="X55" i="61"/>
  <c r="W55" i="61"/>
  <c r="V55" i="61"/>
  <c r="X54" i="61"/>
  <c r="W54" i="61"/>
  <c r="V54" i="61"/>
  <c r="X53" i="61"/>
  <c r="W53" i="61"/>
  <c r="V53" i="61"/>
  <c r="X49" i="61"/>
  <c r="W49" i="61"/>
  <c r="V49" i="61"/>
  <c r="X48" i="61"/>
  <c r="W48" i="61"/>
  <c r="V48" i="61"/>
  <c r="X47" i="61"/>
  <c r="W47" i="61"/>
  <c r="V47" i="61"/>
  <c r="X45" i="61"/>
  <c r="W45" i="61"/>
  <c r="V45" i="61"/>
  <c r="X44" i="61"/>
  <c r="W44" i="61"/>
  <c r="V44" i="61"/>
  <c r="X41" i="61"/>
  <c r="W41" i="61"/>
  <c r="V41" i="61"/>
  <c r="X38" i="61"/>
  <c r="W38" i="61"/>
  <c r="V38" i="61"/>
  <c r="X37" i="61"/>
  <c r="W37" i="61"/>
  <c r="V37" i="61"/>
  <c r="X35" i="61"/>
  <c r="W35" i="61"/>
  <c r="V35" i="61"/>
  <c r="R108" i="71" l="1"/>
  <c r="O163" i="21"/>
  <c r="P160" i="21" l="1"/>
  <c r="O33" i="60" l="1"/>
  <c r="O52" i="60" s="1"/>
  <c r="O32" i="60"/>
  <c r="O51" i="60" s="1"/>
  <c r="O31" i="60"/>
  <c r="O50" i="60" s="1"/>
  <c r="O30" i="60"/>
  <c r="O49" i="60" s="1"/>
  <c r="O29" i="60"/>
  <c r="O48" i="60" s="1"/>
  <c r="O28" i="60"/>
  <c r="O47" i="60" s="1"/>
  <c r="O27" i="60"/>
  <c r="O46" i="60" s="1"/>
  <c r="AQ40" i="60"/>
  <c r="AQ39" i="60"/>
  <c r="AQ38" i="60"/>
  <c r="AQ34" i="60"/>
  <c r="AQ37" i="60" s="1"/>
  <c r="AQ33" i="60"/>
  <c r="AQ36" i="60" s="1"/>
  <c r="AQ32" i="60"/>
  <c r="AQ35" i="60" s="1"/>
  <c r="AR33" i="60" l="1"/>
  <c r="AS33" i="60"/>
  <c r="AT33" i="60"/>
  <c r="AU33" i="60"/>
  <c r="AV33" i="60"/>
  <c r="AW33" i="60"/>
  <c r="AR36" i="60"/>
  <c r="AS36" i="60"/>
  <c r="AT36" i="60"/>
  <c r="AU36" i="60"/>
  <c r="AV36" i="60"/>
  <c r="AW36" i="60"/>
  <c r="AR39" i="60"/>
  <c r="AW39" i="60"/>
  <c r="T29" i="60" l="1"/>
  <c r="AA27" i="60"/>
  <c r="Z27" i="60"/>
  <c r="Y27" i="60"/>
  <c r="X27" i="60"/>
  <c r="W27" i="60"/>
  <c r="V27" i="60"/>
  <c r="U27" i="60"/>
  <c r="M14" i="60" l="1"/>
  <c r="J14" i="60"/>
  <c r="I14" i="60"/>
  <c r="H14" i="60"/>
  <c r="G14" i="60"/>
  <c r="F14" i="60"/>
  <c r="E14" i="60"/>
  <c r="D14" i="60"/>
  <c r="C14" i="60"/>
  <c r="M12" i="60"/>
  <c r="J12" i="60"/>
  <c r="I12" i="60"/>
  <c r="H12" i="60"/>
  <c r="G12" i="60"/>
  <c r="F12" i="60"/>
  <c r="E12" i="60"/>
  <c r="D12" i="60"/>
  <c r="C12" i="60"/>
  <c r="AW8" i="60"/>
  <c r="A1" i="60"/>
  <c r="Q134" i="68" l="1"/>
  <c r="R134" i="68"/>
  <c r="S134" i="68" s="1"/>
  <c r="T134" i="68" s="1"/>
  <c r="U134" i="68" s="1"/>
  <c r="V134" i="68" s="1"/>
  <c r="W134" i="68" s="1"/>
  <c r="AB141" i="68" l="1"/>
  <c r="O175" i="68" l="1"/>
  <c r="O135" i="18"/>
  <c r="P135" i="18" s="1"/>
  <c r="Q135" i="18" s="1"/>
  <c r="R135" i="18" s="1"/>
  <c r="S135" i="18" s="1"/>
  <c r="T135" i="18" s="1"/>
  <c r="U135" i="18" s="1"/>
  <c r="G135" i="18" l="1"/>
  <c r="H135" i="18"/>
  <c r="I135" i="18" s="1"/>
  <c r="J135" i="18" s="1"/>
  <c r="K135" i="18" s="1"/>
  <c r="L135" i="18" s="1"/>
  <c r="M135" i="18" s="1"/>
  <c r="T139" i="68" l="1"/>
  <c r="U139" i="68" s="1"/>
  <c r="V139" i="68" s="1"/>
  <c r="AV34" i="15" l="1"/>
  <c r="AU34" i="15"/>
  <c r="AW34" i="15"/>
  <c r="O16" i="68" l="1"/>
  <c r="O17" i="68" l="1"/>
  <c r="AL209" i="85" l="1"/>
  <c r="AK209" i="85"/>
  <c r="AJ209" i="85"/>
  <c r="AI209" i="85"/>
  <c r="AH209" i="85"/>
  <c r="AG209" i="85"/>
  <c r="AF209" i="85"/>
  <c r="AE209" i="85"/>
  <c r="AD209" i="85"/>
  <c r="AC209" i="85"/>
  <c r="AB209" i="85"/>
  <c r="AA209" i="85"/>
  <c r="Z209" i="85"/>
  <c r="X209" i="85"/>
  <c r="W209" i="85"/>
  <c r="U210" i="85"/>
  <c r="V210" i="85"/>
  <c r="W210" i="85"/>
  <c r="X210" i="85"/>
  <c r="Y210" i="85"/>
  <c r="Z210" i="85"/>
  <c r="AA210" i="85"/>
  <c r="AB210" i="85"/>
  <c r="AC210" i="85"/>
  <c r="AD210" i="85"/>
  <c r="AE210" i="85"/>
  <c r="AF210" i="85"/>
  <c r="AG210" i="85"/>
  <c r="AH210" i="85"/>
  <c r="AI210" i="85"/>
  <c r="AJ210" i="85"/>
  <c r="AK210" i="85"/>
  <c r="AL210" i="85"/>
  <c r="U200" i="85"/>
  <c r="V200" i="85"/>
  <c r="W200" i="85"/>
  <c r="X200" i="85"/>
  <c r="Y200" i="85"/>
  <c r="Z200" i="85"/>
  <c r="AA200" i="85"/>
  <c r="AB200" i="85"/>
  <c r="AC200" i="85"/>
  <c r="AD200" i="85"/>
  <c r="AE200" i="85"/>
  <c r="AF200" i="85"/>
  <c r="AG200" i="85"/>
  <c r="AH200" i="85"/>
  <c r="AI200" i="85"/>
  <c r="AJ200" i="85"/>
  <c r="AK200" i="85"/>
  <c r="AL200" i="85"/>
  <c r="AM210" i="85"/>
  <c r="AM209" i="85"/>
  <c r="AM200" i="85"/>
  <c r="AN210" i="85"/>
  <c r="AN209" i="85"/>
  <c r="AN200" i="85"/>
  <c r="Y208" i="85" l="1"/>
  <c r="N190" i="67"/>
  <c r="M190" i="67"/>
  <c r="L190" i="67"/>
  <c r="K190" i="67"/>
  <c r="J190" i="67"/>
  <c r="I190" i="67"/>
  <c r="H190" i="67"/>
  <c r="G190" i="67"/>
  <c r="F190" i="67"/>
  <c r="E190" i="67"/>
  <c r="D190" i="67"/>
  <c r="C190" i="67"/>
  <c r="B190" i="67"/>
  <c r="O141" i="67" l="1"/>
  <c r="N141" i="67"/>
  <c r="AO237" i="85" l="1"/>
  <c r="AO228" i="85"/>
  <c r="AO200" i="85"/>
  <c r="N187" i="67" l="1"/>
  <c r="M187" i="67"/>
  <c r="L187" i="67"/>
  <c r="K187" i="67"/>
  <c r="J187" i="67"/>
  <c r="I187" i="67"/>
  <c r="H187" i="67"/>
  <c r="G187" i="67"/>
  <c r="F187" i="67"/>
  <c r="E187" i="67"/>
  <c r="D187" i="67"/>
  <c r="C187" i="67"/>
  <c r="B187" i="67"/>
  <c r="P131" i="68" l="1"/>
  <c r="P130" i="68"/>
  <c r="W105" i="68" l="1"/>
  <c r="T56" i="68"/>
  <c r="U56" i="68"/>
  <c r="V56" i="68"/>
  <c r="W56" i="68"/>
  <c r="P45" i="74"/>
  <c r="O45" i="74"/>
  <c r="N45" i="74"/>
  <c r="M45" i="74"/>
  <c r="L45" i="74"/>
  <c r="K45" i="74"/>
  <c r="J45" i="74"/>
  <c r="I45" i="74"/>
  <c r="H45" i="74"/>
  <c r="M5" i="5" l="1"/>
  <c r="W74" i="6" l="1"/>
  <c r="V74" i="6"/>
  <c r="U74" i="6"/>
  <c r="T74" i="6"/>
  <c r="S74" i="6"/>
  <c r="R74" i="6"/>
  <c r="Q74" i="6"/>
  <c r="N244" i="67"/>
  <c r="M244" i="67"/>
  <c r="L244" i="67"/>
  <c r="K244" i="67"/>
  <c r="J244" i="67"/>
  <c r="I244" i="67"/>
  <c r="H244" i="67"/>
  <c r="G244" i="67"/>
  <c r="F244" i="67"/>
  <c r="E244" i="67"/>
  <c r="D244" i="67"/>
  <c r="C244" i="67"/>
  <c r="B244" i="67"/>
  <c r="P41" i="74" l="1"/>
  <c r="O41" i="74"/>
  <c r="O44" i="74" s="1"/>
  <c r="N41" i="74"/>
  <c r="M41" i="74"/>
  <c r="L41" i="74"/>
  <c r="K41" i="74"/>
  <c r="K44" i="74" s="1"/>
  <c r="J41" i="74"/>
  <c r="I41" i="74"/>
  <c r="H41" i="74"/>
  <c r="H43" i="74"/>
  <c r="I43" i="74"/>
  <c r="J43" i="74"/>
  <c r="K43" i="74"/>
  <c r="L43" i="74"/>
  <c r="M43" i="74"/>
  <c r="N43" i="74"/>
  <c r="O43" i="74"/>
  <c r="P43" i="74"/>
  <c r="I44" i="74" l="1"/>
  <c r="M44" i="74"/>
  <c r="J44" i="74"/>
  <c r="N44" i="74"/>
  <c r="H44" i="74"/>
  <c r="L44" i="74"/>
  <c r="P44" i="74"/>
  <c r="N101" i="18"/>
  <c r="AR88" i="85" l="1"/>
  <c r="B169" i="21" l="1"/>
  <c r="C169" i="21"/>
  <c r="D169" i="21"/>
  <c r="E169" i="21"/>
  <c r="F169" i="21"/>
  <c r="G169" i="21"/>
  <c r="H169" i="21"/>
  <c r="I169" i="21"/>
  <c r="J169" i="21"/>
  <c r="K169" i="21"/>
  <c r="L169" i="21"/>
  <c r="M169" i="21"/>
  <c r="N169" i="21"/>
  <c r="O169" i="21"/>
  <c r="P169" i="21" s="1"/>
  <c r="Q169" i="21" s="1"/>
  <c r="R169" i="21" s="1"/>
  <c r="S169" i="21" s="1"/>
  <c r="T169" i="21" s="1"/>
  <c r="U169" i="21" s="1"/>
  <c r="V169" i="21" s="1"/>
  <c r="W169" i="21" s="1"/>
  <c r="B171" i="21"/>
  <c r="C171" i="21"/>
  <c r="D171" i="21"/>
  <c r="E171" i="21"/>
  <c r="F171" i="21"/>
  <c r="G171" i="21"/>
  <c r="H171" i="21"/>
  <c r="I171" i="21"/>
  <c r="J171" i="21"/>
  <c r="K171" i="21"/>
  <c r="L171" i="21"/>
  <c r="M171" i="21"/>
  <c r="N171" i="21"/>
  <c r="O171" i="21"/>
  <c r="AV213" i="68" l="1"/>
  <c r="AR213" i="68"/>
  <c r="AS213" i="68" l="1"/>
  <c r="AW213" i="68"/>
  <c r="P83" i="68"/>
  <c r="P82" i="68"/>
  <c r="AT213" i="68" l="1"/>
  <c r="AX213" i="68"/>
  <c r="D50" i="68"/>
  <c r="D51" i="68" s="1"/>
  <c r="D52" i="68" s="1"/>
  <c r="D53" i="68" s="1"/>
  <c r="AY213" i="68" l="1"/>
  <c r="P136" i="68"/>
  <c r="P135" i="68"/>
  <c r="P133" i="68"/>
  <c r="P85" i="21" s="1"/>
  <c r="AZ213" i="68" l="1"/>
  <c r="G101" i="18"/>
  <c r="H101" i="18"/>
  <c r="I101" i="18"/>
  <c r="J101" i="18"/>
  <c r="K101" i="18"/>
  <c r="L101" i="18"/>
  <c r="M101" i="18"/>
  <c r="L19" i="18"/>
  <c r="BA213" i="68" l="1"/>
  <c r="B19" i="18"/>
  <c r="C19" i="18"/>
  <c r="D19" i="18"/>
  <c r="E19" i="18"/>
  <c r="F19" i="18"/>
  <c r="G19" i="18"/>
  <c r="H19" i="18"/>
  <c r="I19" i="18"/>
  <c r="J19" i="18"/>
  <c r="K19" i="18"/>
  <c r="X19" i="18"/>
  <c r="Y19" i="18"/>
  <c r="Z19" i="18"/>
  <c r="AA19" i="18"/>
  <c r="AB19" i="18"/>
  <c r="AC19" i="18"/>
  <c r="AD19" i="18"/>
  <c r="AE19" i="18"/>
  <c r="AF19" i="18"/>
  <c r="AG19" i="18"/>
  <c r="AH19" i="18"/>
  <c r="AI19" i="18"/>
  <c r="AJ19" i="18"/>
  <c r="AK19" i="18"/>
  <c r="AL19" i="18"/>
  <c r="AM19" i="18"/>
  <c r="AN19" i="18"/>
  <c r="AO19" i="18"/>
  <c r="AP19" i="18"/>
  <c r="AQ19" i="18"/>
  <c r="AR19" i="18"/>
  <c r="AS19" i="18"/>
  <c r="AT19" i="18"/>
  <c r="AU19" i="18"/>
  <c r="AV19" i="18"/>
  <c r="BB213" i="68" l="1"/>
  <c r="B144" i="68"/>
  <c r="C146" i="68"/>
  <c r="D146" i="68"/>
  <c r="E146" i="68"/>
  <c r="F144" i="68"/>
  <c r="G146" i="68"/>
  <c r="H146" i="68"/>
  <c r="I146" i="68"/>
  <c r="J144" i="68"/>
  <c r="K146" i="68"/>
  <c r="L146" i="68"/>
  <c r="M146" i="68"/>
  <c r="N144" i="68"/>
  <c r="O146" i="68"/>
  <c r="P144" i="68"/>
  <c r="R144" i="68"/>
  <c r="S147" i="68"/>
  <c r="T147" i="68"/>
  <c r="U147" i="68"/>
  <c r="V144" i="68"/>
  <c r="Q147" i="68" l="1"/>
  <c r="Q129" i="68"/>
  <c r="W147" i="68"/>
  <c r="BC213" i="68"/>
  <c r="I144" i="68"/>
  <c r="Q144" i="68"/>
  <c r="S144" i="68"/>
  <c r="V146" i="68"/>
  <c r="E144" i="68"/>
  <c r="M144" i="68"/>
  <c r="U144" i="68"/>
  <c r="F146" i="68"/>
  <c r="Q146" i="68"/>
  <c r="G144" i="68"/>
  <c r="O144" i="68"/>
  <c r="W144" i="68"/>
  <c r="L70" i="12" s="1"/>
  <c r="F122" i="12" s="1"/>
  <c r="R146" i="68"/>
  <c r="R147" i="68"/>
  <c r="B146" i="68"/>
  <c r="J146" i="68"/>
  <c r="U146" i="68"/>
  <c r="C144" i="68"/>
  <c r="K144" i="68"/>
  <c r="V147" i="68"/>
  <c r="D144" i="68"/>
  <c r="H144" i="68"/>
  <c r="L144" i="68"/>
  <c r="T144" i="68"/>
  <c r="N146" i="68"/>
  <c r="S146" i="68"/>
  <c r="W146" i="68"/>
  <c r="P146" i="68"/>
  <c r="T146" i="68"/>
  <c r="P147" i="68"/>
  <c r="Q130" i="68" l="1"/>
  <c r="R129" i="68"/>
  <c r="Q131" i="68"/>
  <c r="S161" i="68"/>
  <c r="S160" i="68"/>
  <c r="BD213" i="68"/>
  <c r="P60" i="68"/>
  <c r="Z62" i="68"/>
  <c r="Z63" i="68"/>
  <c r="S129" i="68" l="1"/>
  <c r="R131" i="68"/>
  <c r="R130" i="68"/>
  <c r="BE213" i="68"/>
  <c r="P62" i="68"/>
  <c r="T129" i="68" l="1"/>
  <c r="S130" i="68"/>
  <c r="S131" i="68"/>
  <c r="BF213" i="68"/>
  <c r="N147" i="21"/>
  <c r="U129" i="68" l="1"/>
  <c r="T131" i="68"/>
  <c r="T130" i="68"/>
  <c r="BG213" i="68"/>
  <c r="G84" i="6"/>
  <c r="H84" i="6"/>
  <c r="I84" i="6"/>
  <c r="J84" i="6"/>
  <c r="K84" i="6"/>
  <c r="L84" i="6"/>
  <c r="M84" i="6"/>
  <c r="G85" i="6"/>
  <c r="H85" i="6"/>
  <c r="I85" i="6"/>
  <c r="K85" i="6"/>
  <c r="L85" i="6"/>
  <c r="M85" i="6"/>
  <c r="F84" i="6"/>
  <c r="I107" i="71"/>
  <c r="F85" i="6" s="1"/>
  <c r="M107" i="71"/>
  <c r="J85" i="6" s="1"/>
  <c r="P108" i="71"/>
  <c r="O108" i="71"/>
  <c r="N108" i="71"/>
  <c r="M108" i="71"/>
  <c r="L108" i="71"/>
  <c r="K108" i="71"/>
  <c r="J108" i="71"/>
  <c r="M130" i="21"/>
  <c r="V129" i="68" l="1"/>
  <c r="U131" i="68"/>
  <c r="U130" i="68"/>
  <c r="BH213" i="68"/>
  <c r="V130" i="68" l="1"/>
  <c r="V131" i="68"/>
  <c r="W129" i="68"/>
  <c r="BI213" i="68"/>
  <c r="BQ214" i="18"/>
  <c r="I240" i="68"/>
  <c r="H240" i="68"/>
  <c r="W130" i="68" l="1"/>
  <c r="W131" i="68"/>
  <c r="BJ213" i="68"/>
  <c r="O84" i="21"/>
  <c r="O86" i="21"/>
  <c r="O87" i="21"/>
  <c r="F128" i="68"/>
  <c r="F129" i="68" s="1"/>
  <c r="F130" i="68" s="1"/>
  <c r="F131" i="68" s="1"/>
  <c r="G128" i="68"/>
  <c r="G129" i="68" s="1"/>
  <c r="G130" i="68" s="1"/>
  <c r="G131" i="68" s="1"/>
  <c r="H128" i="68"/>
  <c r="H129" i="68" s="1"/>
  <c r="H130" i="68" s="1"/>
  <c r="H131" i="68" s="1"/>
  <c r="I128" i="68"/>
  <c r="I129" i="68" s="1"/>
  <c r="I130" i="68" s="1"/>
  <c r="I131" i="68" s="1"/>
  <c r="J128" i="68"/>
  <c r="K128" i="68"/>
  <c r="K129" i="68" s="1"/>
  <c r="K130" i="68" s="1"/>
  <c r="K131" i="68" s="1"/>
  <c r="L128" i="68"/>
  <c r="M128" i="68"/>
  <c r="M129" i="68" s="1"/>
  <c r="M130" i="68" s="1"/>
  <c r="M131" i="68" s="1"/>
  <c r="N128" i="68"/>
  <c r="N129" i="68" s="1"/>
  <c r="N130" i="68" s="1"/>
  <c r="N131" i="68" s="1"/>
  <c r="O128" i="68"/>
  <c r="O129" i="68" s="1"/>
  <c r="O130" i="68" s="1"/>
  <c r="O131" i="68" s="1"/>
  <c r="E128" i="68"/>
  <c r="E129" i="68" s="1"/>
  <c r="E130" i="68" s="1"/>
  <c r="E131" i="68" s="1"/>
  <c r="P128" i="68"/>
  <c r="P89" i="21" s="1"/>
  <c r="L129" i="68"/>
  <c r="L130" i="68" s="1"/>
  <c r="L131" i="68" s="1"/>
  <c r="J129" i="68"/>
  <c r="J130" i="68" s="1"/>
  <c r="J131" i="68" s="1"/>
  <c r="BK213" i="68" l="1"/>
  <c r="Q128" i="68"/>
  <c r="Q89" i="21" s="1"/>
  <c r="BL213" i="68" l="1"/>
  <c r="R128" i="68"/>
  <c r="R89" i="21" s="1"/>
  <c r="S128" i="68"/>
  <c r="S89" i="21" s="1"/>
  <c r="BM213" i="68" l="1"/>
  <c r="T128" i="68"/>
  <c r="T89" i="21" s="1"/>
  <c r="BN213" i="68" l="1"/>
  <c r="U128" i="68"/>
  <c r="U89" i="21" s="1"/>
  <c r="O174" i="68"/>
  <c r="BO213" i="68" l="1"/>
  <c r="V128" i="68"/>
  <c r="V89" i="21" s="1"/>
  <c r="O85" i="6"/>
  <c r="N85" i="6"/>
  <c r="BP213" i="68" l="1"/>
  <c r="W128" i="68"/>
  <c r="W89" i="21" s="1"/>
  <c r="BQ213" i="68" l="1"/>
  <c r="O164" i="68"/>
  <c r="D10" i="12" s="1"/>
  <c r="BR213" i="68" l="1"/>
  <c r="AT136" i="85"/>
  <c r="BS213" i="68" l="1"/>
  <c r="AT108" i="15"/>
  <c r="AT92" i="15"/>
  <c r="AT88" i="15"/>
  <c r="AT87" i="15"/>
  <c r="AT86" i="15"/>
  <c r="AT85" i="15"/>
  <c r="AT84" i="15"/>
  <c r="AT82" i="15"/>
  <c r="AT78" i="15"/>
  <c r="AT77" i="15"/>
  <c r="AT74" i="15"/>
  <c r="AT72" i="15"/>
  <c r="AT71" i="15"/>
  <c r="AT70" i="15"/>
  <c r="AT69" i="15"/>
  <c r="AT68" i="15"/>
  <c r="AT62" i="15"/>
  <c r="AT61" i="15"/>
  <c r="AT60" i="15"/>
  <c r="AT59" i="15"/>
  <c r="AT56" i="15"/>
  <c r="AT55" i="15"/>
  <c r="AT52" i="15"/>
  <c r="AT51" i="15"/>
  <c r="AT50" i="15"/>
  <c r="AT45" i="15"/>
  <c r="AT41" i="15"/>
  <c r="AT38" i="15"/>
  <c r="AT36" i="15"/>
  <c r="AT33" i="15"/>
  <c r="AT30" i="15"/>
  <c r="BP210" i="18" s="1"/>
  <c r="AT29" i="15"/>
  <c r="AT26" i="15"/>
  <c r="AT95" i="15" s="1"/>
  <c r="AT22" i="15"/>
  <c r="AT116" i="15" s="1"/>
  <c r="AT21" i="15"/>
  <c r="AT20" i="15"/>
  <c r="AT19" i="15"/>
  <c r="AT18" i="15"/>
  <c r="AT12" i="15"/>
  <c r="AT9" i="15"/>
  <c r="AT7" i="15"/>
  <c r="BP180" i="18"/>
  <c r="BP179" i="18"/>
  <c r="BP178" i="18"/>
  <c r="BP175" i="18"/>
  <c r="BP174" i="18"/>
  <c r="BP173" i="18"/>
  <c r="BP169" i="18"/>
  <c r="BP168" i="18"/>
  <c r="BP167" i="18"/>
  <c r="BP161" i="18"/>
  <c r="BP158" i="18"/>
  <c r="BP155" i="18"/>
  <c r="BP133" i="18"/>
  <c r="BP132" i="18"/>
  <c r="BP126" i="18"/>
  <c r="BP125" i="18"/>
  <c r="BP124" i="18"/>
  <c r="BP119" i="18"/>
  <c r="BP118" i="18"/>
  <c r="BP117" i="18"/>
  <c r="BP116" i="18"/>
  <c r="BP114" i="18"/>
  <c r="BP113" i="18"/>
  <c r="BP112" i="18"/>
  <c r="BP111" i="18"/>
  <c r="BP110" i="18"/>
  <c r="BP109" i="18"/>
  <c r="BP107" i="18"/>
  <c r="BP106" i="18"/>
  <c r="BP61" i="18"/>
  <c r="BP60" i="18"/>
  <c r="BP42" i="18" s="1"/>
  <c r="BP59" i="18"/>
  <c r="BP41" i="18" s="1"/>
  <c r="BP58" i="18"/>
  <c r="BP57" i="18"/>
  <c r="BP39" i="18" s="1"/>
  <c r="BP55" i="18"/>
  <c r="BP37" i="18" s="1"/>
  <c r="BP54" i="18"/>
  <c r="AN48" i="21"/>
  <c r="AN29" i="21"/>
  <c r="AN26" i="21"/>
  <c r="AN23" i="21"/>
  <c r="AN20" i="21"/>
  <c r="AN17" i="21"/>
  <c r="BP211" i="18" l="1"/>
  <c r="BT213" i="68"/>
  <c r="BU213" i="68" s="1"/>
  <c r="BV213" i="68" s="1"/>
  <c r="BP115" i="18"/>
  <c r="BP88" i="18"/>
  <c r="BP53" i="18"/>
  <c r="BP56" i="18"/>
  <c r="BP159" i="18" s="1"/>
  <c r="BP98" i="18"/>
  <c r="BP40" i="18"/>
  <c r="BP38" i="18" s="1"/>
  <c r="BP36" i="18"/>
  <c r="BP35" i="18" s="1"/>
  <c r="BP26" i="18" s="1"/>
  <c r="BP105" i="18"/>
  <c r="BP177" i="18"/>
  <c r="BP237" i="18" s="1"/>
  <c r="AT10" i="15"/>
  <c r="AT17" i="15"/>
  <c r="AT16" i="15" s="1"/>
  <c r="AT63" i="15"/>
  <c r="AT23" i="15"/>
  <c r="AT57" i="15"/>
  <c r="AT89" i="15"/>
  <c r="BP92" i="18"/>
  <c r="BP108" i="18"/>
  <c r="AT248" i="85"/>
  <c r="AN39" i="21" s="1"/>
  <c r="AT246" i="85"/>
  <c r="AN38" i="21" s="1"/>
  <c r="AT242" i="85"/>
  <c r="AN37" i="21" s="1"/>
  <c r="AT228" i="85"/>
  <c r="AT79" i="15" s="1"/>
  <c r="AT80" i="15" s="1"/>
  <c r="AT231" i="85"/>
  <c r="AT237" i="85"/>
  <c r="AT232" i="85"/>
  <c r="AS228" i="85"/>
  <c r="AT222" i="85"/>
  <c r="AT202" i="85"/>
  <c r="AT200" i="85"/>
  <c r="AT53" i="15" s="1"/>
  <c r="AT192" i="85"/>
  <c r="AT171" i="85"/>
  <c r="AT152" i="85"/>
  <c r="AT133" i="85"/>
  <c r="AT128" i="85"/>
  <c r="AT126" i="85"/>
  <c r="AT123" i="85"/>
  <c r="AT118" i="85"/>
  <c r="AT97" i="85"/>
  <c r="AT71" i="85"/>
  <c r="AT70" i="85"/>
  <c r="AT69" i="85"/>
  <c r="AT67" i="85"/>
  <c r="AT66" i="85"/>
  <c r="AT64" i="85"/>
  <c r="AT63" i="85"/>
  <c r="AT90" i="85"/>
  <c r="BP120" i="18" s="1"/>
  <c r="AT85" i="85"/>
  <c r="AT80" i="85"/>
  <c r="AT77" i="85"/>
  <c r="AT74" i="85"/>
  <c r="AT73" i="85" s="1"/>
  <c r="AT55" i="85"/>
  <c r="AT52" i="85"/>
  <c r="AT65" i="85" s="1"/>
  <c r="AT49" i="85"/>
  <c r="AT46" i="85"/>
  <c r="AT45" i="85"/>
  <c r="AT43" i="85"/>
  <c r="BP24" i="18" s="1"/>
  <c r="AT42" i="85"/>
  <c r="AT39" i="85"/>
  <c r="BP15" i="18" s="1"/>
  <c r="AT38" i="85"/>
  <c r="AT37" i="85"/>
  <c r="AT36" i="85"/>
  <c r="AT35" i="85"/>
  <c r="AT34" i="85"/>
  <c r="AT31" i="85"/>
  <c r="BP19" i="18" s="1"/>
  <c r="AT30" i="85"/>
  <c r="AT29" i="85"/>
  <c r="AT28" i="85"/>
  <c r="AT27" i="85"/>
  <c r="AT18" i="85"/>
  <c r="AT13" i="15" l="1"/>
  <c r="AT15" i="15" s="1"/>
  <c r="BP188" i="18"/>
  <c r="BP156" i="18"/>
  <c r="BP139" i="18"/>
  <c r="BP162" i="18"/>
  <c r="BP190" i="18"/>
  <c r="AT402" i="67"/>
  <c r="BP31" i="18"/>
  <c r="BP30" i="18"/>
  <c r="BP29" i="18"/>
  <c r="BP81" i="18"/>
  <c r="AN43" i="21"/>
  <c r="BP27" i="18"/>
  <c r="BP25" i="18" s="1"/>
  <c r="AT138" i="85"/>
  <c r="AT185" i="85"/>
  <c r="AT153" i="85"/>
  <c r="AT32" i="85"/>
  <c r="BP18" i="18" s="1"/>
  <c r="BP9" i="18"/>
  <c r="BP11" i="18"/>
  <c r="BP47" i="18"/>
  <c r="BP48" i="18" s="1"/>
  <c r="BP10" i="18"/>
  <c r="BP45" i="18"/>
  <c r="BP46" i="18" s="1"/>
  <c r="BP49" i="18"/>
  <c r="BP50" i="18" s="1"/>
  <c r="AT47" i="85"/>
  <c r="BP23" i="18"/>
  <c r="BP22" i="18" s="1"/>
  <c r="AT62" i="85"/>
  <c r="AT68" i="85"/>
  <c r="AT73" i="15"/>
  <c r="AT75" i="15" s="1"/>
  <c r="AT90" i="15" s="1"/>
  <c r="AN32" i="21"/>
  <c r="BP32" i="18"/>
  <c r="AT24" i="15"/>
  <c r="BP140" i="18"/>
  <c r="BP87" i="18"/>
  <c r="BP189" i="18"/>
  <c r="BP104" i="18"/>
  <c r="AT241" i="85"/>
  <c r="AT100" i="15" s="1"/>
  <c r="BP28" i="18" l="1"/>
  <c r="BP252" i="18" s="1"/>
  <c r="AT115" i="15"/>
  <c r="AT25" i="15"/>
  <c r="AT27" i="15"/>
  <c r="BP187" i="18"/>
  <c r="AT28" i="15" l="1"/>
  <c r="O7" i="67" l="1"/>
  <c r="O4" i="67"/>
  <c r="O84" i="6"/>
  <c r="O173" i="6" s="1"/>
  <c r="N84" i="6"/>
  <c r="N173" i="6" s="1"/>
  <c r="M185" i="18"/>
  <c r="M184" i="18"/>
  <c r="M183" i="18"/>
  <c r="M180" i="18"/>
  <c r="M179" i="18"/>
  <c r="M178" i="18"/>
  <c r="M169" i="18"/>
  <c r="M168" i="18"/>
  <c r="M167" i="18"/>
  <c r="M161" i="18"/>
  <c r="M158" i="18"/>
  <c r="M155" i="18"/>
  <c r="M126" i="18"/>
  <c r="M125" i="18"/>
  <c r="M124" i="18"/>
  <c r="M119" i="18"/>
  <c r="M118" i="18"/>
  <c r="M116" i="18"/>
  <c r="M114" i="18"/>
  <c r="M113" i="18"/>
  <c r="M112" i="18"/>
  <c r="M111" i="18"/>
  <c r="M110" i="18"/>
  <c r="M109" i="18"/>
  <c r="M107" i="18"/>
  <c r="M106" i="18"/>
  <c r="M61" i="18"/>
  <c r="M60" i="18"/>
  <c r="M42" i="18" s="1"/>
  <c r="M59" i="18"/>
  <c r="M41" i="18" s="1"/>
  <c r="M58" i="18"/>
  <c r="M40" i="18" s="1"/>
  <c r="M57" i="18"/>
  <c r="M39" i="18" s="1"/>
  <c r="M55" i="18"/>
  <c r="M37" i="18" s="1"/>
  <c r="M54" i="18"/>
  <c r="M36" i="18" s="1"/>
  <c r="M49" i="18"/>
  <c r="M47" i="18"/>
  <c r="M45" i="18"/>
  <c r="M24" i="18"/>
  <c r="M23" i="18"/>
  <c r="M18" i="18"/>
  <c r="M15" i="18"/>
  <c r="S14" i="60" s="1"/>
  <c r="M11" i="18"/>
  <c r="M10" i="18"/>
  <c r="M6" i="18"/>
  <c r="B381" i="67" s="1"/>
  <c r="M5" i="18"/>
  <c r="O88" i="6"/>
  <c r="O89" i="6"/>
  <c r="O172" i="6" s="1"/>
  <c r="O26" i="6"/>
  <c r="S13" i="60" s="1"/>
  <c r="O27" i="6"/>
  <c r="D41" i="90" l="1"/>
  <c r="D40" i="90" s="1"/>
  <c r="D47" i="90" s="1"/>
  <c r="D18" i="90" s="1"/>
  <c r="D12" i="90" s="1"/>
  <c r="D27" i="90"/>
  <c r="C27" i="90"/>
  <c r="O187" i="67"/>
  <c r="O190" i="67"/>
  <c r="O193" i="67"/>
  <c r="O196" i="67"/>
  <c r="O167" i="67"/>
  <c r="O244" i="67"/>
  <c r="N169" i="18"/>
  <c r="N167" i="18"/>
  <c r="O167" i="18" s="1"/>
  <c r="P167" i="18" s="1"/>
  <c r="Q167" i="18" s="1"/>
  <c r="R167" i="18" s="1"/>
  <c r="S167" i="18" s="1"/>
  <c r="T167" i="18" s="1"/>
  <c r="U167" i="18" s="1"/>
  <c r="N168" i="18"/>
  <c r="O168" i="18" s="1"/>
  <c r="P168" i="18" s="1"/>
  <c r="Q168" i="18" s="1"/>
  <c r="R168" i="18" s="1"/>
  <c r="S168" i="18" s="1"/>
  <c r="T168" i="18" s="1"/>
  <c r="U168" i="18" s="1"/>
  <c r="M19" i="18"/>
  <c r="M22" i="18"/>
  <c r="M177" i="18"/>
  <c r="M117" i="18"/>
  <c r="M182" i="18"/>
  <c r="M38" i="18"/>
  <c r="M29" i="18" s="1"/>
  <c r="M50" i="18"/>
  <c r="M56" i="18"/>
  <c r="M48" i="18" s="1"/>
  <c r="M108" i="18"/>
  <c r="M140" i="18" s="1"/>
  <c r="M249" i="18" s="1"/>
  <c r="M194" i="18"/>
  <c r="M129" i="18"/>
  <c r="M123" i="18" s="1"/>
  <c r="M9" i="18"/>
  <c r="M13" i="18" s="1"/>
  <c r="M53" i="18"/>
  <c r="M46" i="18" s="1"/>
  <c r="M105" i="18"/>
  <c r="M88" i="18"/>
  <c r="M92" i="18"/>
  <c r="M133" i="18"/>
  <c r="M35" i="18"/>
  <c r="M27" i="18" s="1"/>
  <c r="M132" i="18"/>
  <c r="R144" i="71"/>
  <c r="R142" i="71"/>
  <c r="R139" i="71"/>
  <c r="R138" i="71"/>
  <c r="R129" i="71"/>
  <c r="R124" i="71"/>
  <c r="R123" i="71"/>
  <c r="R121" i="71"/>
  <c r="M153" i="18" s="1"/>
  <c r="D24" i="90" s="1"/>
  <c r="R141" i="71"/>
  <c r="R136" i="71"/>
  <c r="R131" i="71"/>
  <c r="R126" i="71"/>
  <c r="R116" i="71"/>
  <c r="R118" i="71" s="1"/>
  <c r="Q108" i="71"/>
  <c r="N163" i="21" s="1"/>
  <c r="R111" i="71"/>
  <c r="O165" i="21" s="1"/>
  <c r="O164" i="21" s="1"/>
  <c r="O166" i="21" s="1"/>
  <c r="R93" i="71"/>
  <c r="R94" i="71"/>
  <c r="R82" i="71"/>
  <c r="R79" i="71"/>
  <c r="R68" i="71"/>
  <c r="M82" i="18" s="1"/>
  <c r="R69" i="71"/>
  <c r="M83" i="18" s="1"/>
  <c r="R71" i="71"/>
  <c r="M89" i="18" s="1"/>
  <c r="R72" i="71"/>
  <c r="M90" i="18" s="1"/>
  <c r="R73" i="71"/>
  <c r="M93" i="18" s="1"/>
  <c r="R74" i="71"/>
  <c r="M94" i="18" s="1"/>
  <c r="R75" i="71"/>
  <c r="M98" i="18" s="1"/>
  <c r="R61" i="71"/>
  <c r="R52" i="71"/>
  <c r="R49" i="71"/>
  <c r="R37" i="71"/>
  <c r="R34" i="71"/>
  <c r="R31" i="71"/>
  <c r="BO175" i="18"/>
  <c r="BO174" i="18"/>
  <c r="BO173" i="18"/>
  <c r="BO133" i="18"/>
  <c r="BO132" i="18"/>
  <c r="BO119" i="18"/>
  <c r="BO118" i="18"/>
  <c r="BO117" i="18"/>
  <c r="BO116" i="18"/>
  <c r="BO114" i="18"/>
  <c r="BO113" i="18"/>
  <c r="BO112" i="18"/>
  <c r="BO111" i="18"/>
  <c r="BO110" i="18"/>
  <c r="BO109" i="18"/>
  <c r="BO107" i="18"/>
  <c r="BO106" i="18"/>
  <c r="BO61" i="18"/>
  <c r="BO60" i="18"/>
  <c r="BO42" i="18" s="1"/>
  <c r="BO59" i="18"/>
  <c r="BO41" i="18" s="1"/>
  <c r="BO58" i="18"/>
  <c r="BO40" i="18" s="1"/>
  <c r="BO57" i="18"/>
  <c r="BO39" i="18" s="1"/>
  <c r="BO55" i="18"/>
  <c r="BO37" i="18" s="1"/>
  <c r="BO54" i="18"/>
  <c r="BO36" i="18" s="1"/>
  <c r="AM48" i="21"/>
  <c r="AM35" i="21"/>
  <c r="AM29" i="21"/>
  <c r="AM26" i="21"/>
  <c r="AM23" i="21"/>
  <c r="AM20" i="21"/>
  <c r="AM17" i="21"/>
  <c r="AM8" i="21"/>
  <c r="AS92" i="15"/>
  <c r="AS45" i="15"/>
  <c r="AS108" i="15"/>
  <c r="AS88" i="15"/>
  <c r="AS87" i="15"/>
  <c r="AS86" i="15"/>
  <c r="AS85" i="15"/>
  <c r="AS84" i="15"/>
  <c r="AS82" i="15"/>
  <c r="AT107" i="15" s="1"/>
  <c r="AS78" i="15"/>
  <c r="AS77" i="15"/>
  <c r="AM62" i="21" s="1"/>
  <c r="AN59" i="21" s="1"/>
  <c r="AS74" i="15"/>
  <c r="AS72" i="15"/>
  <c r="AS71" i="15"/>
  <c r="AS70" i="15"/>
  <c r="AS69" i="15"/>
  <c r="AS68" i="15"/>
  <c r="M12" i="5" s="1"/>
  <c r="AS62" i="15"/>
  <c r="AS61" i="15"/>
  <c r="AS60" i="15"/>
  <c r="AN45" i="21" s="1"/>
  <c r="AS59" i="15"/>
  <c r="AT99" i="15" s="1"/>
  <c r="AS56" i="15"/>
  <c r="AS55" i="15"/>
  <c r="AS52" i="15"/>
  <c r="AS51" i="15"/>
  <c r="AS50" i="15"/>
  <c r="AS41" i="15"/>
  <c r="AT42" i="15" s="1"/>
  <c r="AS38" i="15"/>
  <c r="AS36" i="15"/>
  <c r="AS33" i="15"/>
  <c r="AS30" i="15"/>
  <c r="AS29" i="15"/>
  <c r="BO207" i="18" s="1"/>
  <c r="AS26" i="15"/>
  <c r="AS95" i="15" s="1"/>
  <c r="AS22" i="15"/>
  <c r="AS116" i="15" s="1"/>
  <c r="AS21" i="15"/>
  <c r="AS20" i="15"/>
  <c r="AS19" i="15"/>
  <c r="BO165" i="18" s="1"/>
  <c r="AS18" i="15"/>
  <c r="BO153" i="18" s="1"/>
  <c r="AS12" i="15"/>
  <c r="BO123" i="18" s="1"/>
  <c r="AS9" i="15"/>
  <c r="AS7" i="15"/>
  <c r="AS248" i="85"/>
  <c r="AM39" i="21" s="1"/>
  <c r="AS246" i="85"/>
  <c r="AM38" i="21" s="1"/>
  <c r="AS242" i="85"/>
  <c r="AM37" i="21" s="1"/>
  <c r="AS232" i="85"/>
  <c r="AS231" i="85" s="1"/>
  <c r="AR231" i="85"/>
  <c r="AS225" i="85"/>
  <c r="AR225" i="85"/>
  <c r="AS222" i="85"/>
  <c r="AM32" i="21" s="1"/>
  <c r="AS207" i="85"/>
  <c r="AR207" i="85"/>
  <c r="AS202" i="85"/>
  <c r="AR202" i="85"/>
  <c r="AS200" i="85"/>
  <c r="AS53" i="15" s="1"/>
  <c r="D3" i="90" l="1"/>
  <c r="D6" i="90" s="1"/>
  <c r="M139" i="18"/>
  <c r="M248" i="18" s="1"/>
  <c r="M202" i="18"/>
  <c r="M243" i="18"/>
  <c r="P53" i="68"/>
  <c r="P52" i="68"/>
  <c r="P51" i="68"/>
  <c r="R145" i="71"/>
  <c r="AM67" i="21"/>
  <c r="BO210" i="18"/>
  <c r="BO211" i="18" s="1"/>
  <c r="AT106" i="15"/>
  <c r="R89" i="71"/>
  <c r="R59" i="71"/>
  <c r="M115" i="18" s="1"/>
  <c r="P50" i="68"/>
  <c r="O169" i="18"/>
  <c r="M30" i="18"/>
  <c r="M32" i="18"/>
  <c r="M31" i="18"/>
  <c r="M159" i="18"/>
  <c r="N159" i="18" s="1"/>
  <c r="O159" i="18" s="1"/>
  <c r="P159" i="18" s="1"/>
  <c r="Q159" i="18" s="1"/>
  <c r="R159" i="18" s="1"/>
  <c r="S159" i="18" s="1"/>
  <c r="T159" i="18" s="1"/>
  <c r="U159" i="18" s="1"/>
  <c r="M188" i="18"/>
  <c r="M145" i="18"/>
  <c r="M251" i="18"/>
  <c r="M16" i="18"/>
  <c r="D33" i="90" s="1"/>
  <c r="M84" i="18"/>
  <c r="M189" i="18"/>
  <c r="AT105" i="15"/>
  <c r="O96" i="21"/>
  <c r="M193" i="18"/>
  <c r="M26" i="18"/>
  <c r="M25" i="18" s="1"/>
  <c r="AT104" i="15"/>
  <c r="R67" i="71"/>
  <c r="M81" i="18" s="1"/>
  <c r="M86" i="18" s="1"/>
  <c r="R70" i="71"/>
  <c r="M87" i="18" s="1"/>
  <c r="M95" i="18"/>
  <c r="M91" i="18"/>
  <c r="M156" i="18"/>
  <c r="N156" i="18" s="1"/>
  <c r="O156" i="18" s="1"/>
  <c r="P156" i="18" s="1"/>
  <c r="Q156" i="18" s="1"/>
  <c r="R156" i="18" s="1"/>
  <c r="S156" i="18" s="1"/>
  <c r="T156" i="18" s="1"/>
  <c r="U156" i="18" s="1"/>
  <c r="BO35" i="18"/>
  <c r="BO27" i="18" s="1"/>
  <c r="BO38" i="18"/>
  <c r="BO32" i="18" s="1"/>
  <c r="BO53" i="18"/>
  <c r="AS10" i="15"/>
  <c r="BO150" i="18"/>
  <c r="AS57" i="15"/>
  <c r="BO56" i="18"/>
  <c r="BO92" i="18"/>
  <c r="BO98" i="18"/>
  <c r="AM43" i="21"/>
  <c r="AM56" i="21"/>
  <c r="AN53" i="21" s="1"/>
  <c r="AM72" i="21"/>
  <c r="BO197" i="18"/>
  <c r="R90" i="71"/>
  <c r="AS17" i="15"/>
  <c r="AS16" i="15" s="1"/>
  <c r="AS73" i="15"/>
  <c r="AS75" i="15" s="1"/>
  <c r="AT96" i="15" s="1"/>
  <c r="AS79" i="15"/>
  <c r="AS80" i="15" s="1"/>
  <c r="AM7" i="21"/>
  <c r="AM27" i="21" s="1"/>
  <c r="BO108" i="18"/>
  <c r="M144" i="18"/>
  <c r="BO88" i="18"/>
  <c r="BO105" i="18"/>
  <c r="BO115" i="18"/>
  <c r="AS23" i="15"/>
  <c r="AS63" i="15"/>
  <c r="AS89" i="15"/>
  <c r="AS241" i="85"/>
  <c r="AS100" i="15" s="1"/>
  <c r="AR192" i="85"/>
  <c r="AS192" i="85"/>
  <c r="AR185" i="85"/>
  <c r="AS171" i="85"/>
  <c r="AR168" i="85"/>
  <c r="AS168" i="85"/>
  <c r="AR156" i="85"/>
  <c r="AS156" i="85"/>
  <c r="M162" i="18" l="1"/>
  <c r="M195" i="18"/>
  <c r="M190" i="18"/>
  <c r="AM63" i="21"/>
  <c r="AS13" i="15"/>
  <c r="AS15" i="15" s="1"/>
  <c r="P169" i="18"/>
  <c r="M28" i="18"/>
  <c r="M252" i="18" s="1"/>
  <c r="BO29" i="18"/>
  <c r="BO26" i="18"/>
  <c r="BO25" i="18" s="1"/>
  <c r="BO30" i="18"/>
  <c r="M253" i="18"/>
  <c r="AM57" i="21"/>
  <c r="AM24" i="21"/>
  <c r="BO31" i="18"/>
  <c r="AM6" i="21"/>
  <c r="AT101" i="15"/>
  <c r="AT98" i="15" s="1"/>
  <c r="BO87" i="18"/>
  <c r="AM21" i="21"/>
  <c r="AS90" i="15"/>
  <c r="BO199" i="18"/>
  <c r="BO81" i="18"/>
  <c r="AS24" i="15"/>
  <c r="AR138" i="85"/>
  <c r="AS135" i="85"/>
  <c r="BO179" i="18" s="1"/>
  <c r="AS134" i="85"/>
  <c r="BO178" i="18" s="1"/>
  <c r="BO188" i="18" s="1"/>
  <c r="AS131" i="85"/>
  <c r="AS128" i="85" s="1"/>
  <c r="AS125" i="85"/>
  <c r="BO168" i="18" s="1"/>
  <c r="AS124" i="85"/>
  <c r="AS120" i="85"/>
  <c r="BO158" i="18" s="1"/>
  <c r="BO159" i="18" s="1"/>
  <c r="AS119" i="85"/>
  <c r="AS96" i="85"/>
  <c r="BO125" i="18" s="1"/>
  <c r="BO140" i="18" s="1"/>
  <c r="AS95" i="85"/>
  <c r="BO124" i="18" s="1"/>
  <c r="AR90" i="85"/>
  <c r="AS90" i="85"/>
  <c r="BO120" i="18" s="1"/>
  <c r="AS85" i="85"/>
  <c r="AQ85" i="85"/>
  <c r="AR85" i="85"/>
  <c r="AR80" i="85"/>
  <c r="AS80" i="85"/>
  <c r="AR77" i="85"/>
  <c r="AS77" i="85"/>
  <c r="AR74" i="85"/>
  <c r="AS74" i="85"/>
  <c r="AR63" i="85"/>
  <c r="AS63" i="85"/>
  <c r="AR64" i="85"/>
  <c r="AS64" i="85"/>
  <c r="AR66" i="85"/>
  <c r="AS66" i="85"/>
  <c r="AR67" i="85"/>
  <c r="AS67" i="85"/>
  <c r="AR69" i="85"/>
  <c r="AS69" i="85"/>
  <c r="AR70" i="85"/>
  <c r="AS70" i="85"/>
  <c r="AR71" i="85"/>
  <c r="AS71" i="85"/>
  <c r="AR55" i="85"/>
  <c r="AR68" i="85" s="1"/>
  <c r="AS55" i="85"/>
  <c r="AS68" i="85" s="1"/>
  <c r="AR52" i="85"/>
  <c r="AR65" i="85" s="1"/>
  <c r="AS52" i="85"/>
  <c r="AS65" i="85" s="1"/>
  <c r="AS49" i="85"/>
  <c r="AR49" i="85"/>
  <c r="AS42" i="85"/>
  <c r="BO23" i="18" s="1"/>
  <c r="AS43" i="85"/>
  <c r="BO24" i="18" s="1"/>
  <c r="AS45" i="85"/>
  <c r="AS46" i="85"/>
  <c r="AR42" i="85"/>
  <c r="AR43" i="85"/>
  <c r="AR45" i="85"/>
  <c r="AR46" i="85"/>
  <c r="AS39" i="85"/>
  <c r="BO15" i="18" s="1"/>
  <c r="AS38" i="85"/>
  <c r="AS37" i="85"/>
  <c r="AS36" i="85"/>
  <c r="AS35" i="85"/>
  <c r="AS34" i="85"/>
  <c r="AS30" i="85"/>
  <c r="AS29" i="85"/>
  <c r="AS28" i="85"/>
  <c r="AS27" i="85"/>
  <c r="AR39" i="85"/>
  <c r="AR38" i="85"/>
  <c r="AR37" i="85"/>
  <c r="AR36" i="85"/>
  <c r="AR35" i="85"/>
  <c r="AR34" i="85"/>
  <c r="AR30" i="85"/>
  <c r="AR29" i="85"/>
  <c r="AR28" i="85"/>
  <c r="AR27" i="85"/>
  <c r="AQ28" i="85"/>
  <c r="AS18" i="85"/>
  <c r="AR18" i="85"/>
  <c r="Q169" i="18" l="1"/>
  <c r="BO28" i="18"/>
  <c r="BO22" i="18"/>
  <c r="BO10" i="18"/>
  <c r="BO104" i="18"/>
  <c r="BO198" i="18" s="1"/>
  <c r="AS402" i="67"/>
  <c r="AM30" i="21"/>
  <c r="AM33" i="21"/>
  <c r="AM18" i="21"/>
  <c r="BO11" i="18"/>
  <c r="BO45" i="18"/>
  <c r="BO46" i="18" s="1"/>
  <c r="BO49" i="18"/>
  <c r="BO50" i="18" s="1"/>
  <c r="AS115" i="15"/>
  <c r="BO47" i="18"/>
  <c r="BO48" i="18" s="1"/>
  <c r="AR47" i="85"/>
  <c r="BO167" i="18"/>
  <c r="BO189" i="18"/>
  <c r="AR32" i="85"/>
  <c r="AS31" i="85"/>
  <c r="BO19" i="18" s="1"/>
  <c r="BO9" i="18"/>
  <c r="AS47" i="85"/>
  <c r="AS73" i="85"/>
  <c r="BO155" i="18"/>
  <c r="BO156" i="18" s="1"/>
  <c r="BO139" i="18"/>
  <c r="AS27" i="15"/>
  <c r="AS25" i="15"/>
  <c r="AS32" i="85"/>
  <c r="BO18" i="18" s="1"/>
  <c r="AS62" i="85"/>
  <c r="AR73" i="85"/>
  <c r="AR153" i="85" s="1"/>
  <c r="AR62" i="85"/>
  <c r="AR31" i="85"/>
  <c r="BN19" i="18" s="1"/>
  <c r="BO252" i="18" l="1"/>
  <c r="R169" i="18"/>
  <c r="BO239" i="18"/>
  <c r="AS28" i="15"/>
  <c r="S169" i="18" l="1"/>
  <c r="C14" i="71"/>
  <c r="D14" i="71"/>
  <c r="E14" i="71"/>
  <c r="F14" i="71"/>
  <c r="G14" i="71"/>
  <c r="H14" i="71"/>
  <c r="I14" i="71"/>
  <c r="J14" i="71"/>
  <c r="K14" i="71"/>
  <c r="L14" i="71"/>
  <c r="M14" i="71"/>
  <c r="C15" i="71"/>
  <c r="D15" i="71"/>
  <c r="E15" i="71"/>
  <c r="F15" i="71"/>
  <c r="G15" i="71"/>
  <c r="H15" i="71"/>
  <c r="I15" i="71"/>
  <c r="J15" i="71"/>
  <c r="K15" i="71"/>
  <c r="L15" i="71"/>
  <c r="M15" i="71"/>
  <c r="B15" i="71"/>
  <c r="B14" i="71"/>
  <c r="T169" i="18" l="1"/>
  <c r="U169" i="18" l="1"/>
  <c r="X59" i="61" l="1"/>
  <c r="W59" i="61"/>
  <c r="V59" i="61"/>
  <c r="X58" i="61"/>
  <c r="W58" i="61"/>
  <c r="V58" i="61"/>
  <c r="T55" i="61"/>
  <c r="T54" i="61"/>
  <c r="T52" i="61"/>
  <c r="A47" i="61"/>
  <c r="T47" i="61"/>
  <c r="T46" i="61"/>
  <c r="J38" i="61"/>
  <c r="X40" i="61"/>
  <c r="W40" i="61"/>
  <c r="V40" i="61"/>
  <c r="X39" i="61"/>
  <c r="W39" i="61"/>
  <c r="V39" i="61"/>
  <c r="U29" i="61"/>
  <c r="X36" i="61"/>
  <c r="W36" i="61"/>
  <c r="V36" i="61"/>
  <c r="X33" i="61"/>
  <c r="W33" i="61"/>
  <c r="V33" i="61"/>
  <c r="X32" i="61"/>
  <c r="W32" i="61"/>
  <c r="V32" i="61"/>
  <c r="X31" i="61"/>
  <c r="W31" i="61"/>
  <c r="V31" i="61"/>
  <c r="X30" i="61"/>
  <c r="W30" i="61"/>
  <c r="V30" i="61"/>
  <c r="X29" i="61"/>
  <c r="W29" i="61"/>
  <c r="V29" i="61"/>
  <c r="T22" i="61"/>
  <c r="T19" i="61"/>
  <c r="T15" i="61"/>
  <c r="T14" i="61"/>
  <c r="T13" i="61"/>
  <c r="T12" i="61"/>
  <c r="T11" i="61"/>
  <c r="T10" i="61"/>
  <c r="T9" i="61"/>
  <c r="T8" i="61"/>
  <c r="T7" i="61"/>
  <c r="U6" i="61"/>
  <c r="D63" i="60" s="1"/>
  <c r="R6" i="61"/>
  <c r="M4" i="60" s="1"/>
  <c r="Q6" i="61"/>
  <c r="L4" i="60" s="1"/>
  <c r="P6" i="61"/>
  <c r="K4" i="60" s="1"/>
  <c r="O6" i="61"/>
  <c r="J4" i="60" s="1"/>
  <c r="N6" i="61"/>
  <c r="I4" i="60" s="1"/>
  <c r="M6" i="61"/>
  <c r="H4" i="60" s="1"/>
  <c r="L6" i="61"/>
  <c r="K6" i="61"/>
  <c r="F4" i="60" s="1"/>
  <c r="J6" i="61"/>
  <c r="E4" i="60" s="1"/>
  <c r="I6" i="61"/>
  <c r="D4" i="60" s="1"/>
  <c r="H6" i="61"/>
  <c r="C4" i="60" s="1"/>
  <c r="G6" i="61"/>
  <c r="B4" i="60" s="1"/>
  <c r="F6" i="61"/>
  <c r="E6" i="61"/>
  <c r="E37" i="61" s="1"/>
  <c r="D6" i="61"/>
  <c r="C6" i="61"/>
  <c r="D66" i="60"/>
  <c r="D68" i="60"/>
  <c r="D65" i="60"/>
  <c r="T53" i="61" l="1"/>
  <c r="AK8" i="60"/>
  <c r="AK9" i="60"/>
  <c r="AK10" i="60"/>
  <c r="G4" i="60"/>
  <c r="G5" i="60" s="1"/>
  <c r="U35" i="61"/>
  <c r="D67" i="60"/>
  <c r="Q4" i="60"/>
  <c r="C5" i="60"/>
  <c r="E5" i="60"/>
  <c r="S4" i="60"/>
  <c r="W4" i="60"/>
  <c r="I5" i="60"/>
  <c r="Y4" i="60"/>
  <c r="K5" i="60"/>
  <c r="M5" i="60"/>
  <c r="AA4" i="60"/>
  <c r="P4" i="60"/>
  <c r="B5" i="60"/>
  <c r="D5" i="60"/>
  <c r="R4" i="60"/>
  <c r="F5" i="60"/>
  <c r="T4" i="60"/>
  <c r="V4" i="60"/>
  <c r="H5" i="60"/>
  <c r="X4" i="60"/>
  <c r="J5" i="60"/>
  <c r="L5" i="60"/>
  <c r="Z4" i="60"/>
  <c r="J46" i="61"/>
  <c r="M37" i="61"/>
  <c r="O37" i="61"/>
  <c r="I37" i="61"/>
  <c r="Q37" i="61"/>
  <c r="G37" i="61"/>
  <c r="K37" i="61"/>
  <c r="C37" i="61"/>
  <c r="C18" i="61"/>
  <c r="X6" i="61"/>
  <c r="E18" i="61"/>
  <c r="I18" i="61"/>
  <c r="M18" i="61"/>
  <c r="Q18" i="61"/>
  <c r="D37" i="61"/>
  <c r="D18" i="61"/>
  <c r="F18" i="61"/>
  <c r="F37" i="61"/>
  <c r="H37" i="61"/>
  <c r="H18" i="61"/>
  <c r="J18" i="61"/>
  <c r="J37" i="61"/>
  <c r="L37" i="61"/>
  <c r="L18" i="61"/>
  <c r="N37" i="61"/>
  <c r="N18" i="61"/>
  <c r="P37" i="61"/>
  <c r="P18" i="61"/>
  <c r="R37" i="61"/>
  <c r="R18" i="61"/>
  <c r="V6" i="61"/>
  <c r="G18" i="61"/>
  <c r="K18" i="61"/>
  <c r="O18" i="61"/>
  <c r="U40" i="61"/>
  <c r="U39" i="61"/>
  <c r="U32" i="61"/>
  <c r="U30" i="61"/>
  <c r="U33" i="61"/>
  <c r="U31" i="61"/>
  <c r="U57" i="61" l="1"/>
  <c r="U51" i="61"/>
  <c r="AL46" i="60"/>
  <c r="U4" i="60"/>
  <c r="U43" i="61"/>
  <c r="U50" i="61"/>
  <c r="U56" i="61"/>
  <c r="U42" i="61"/>
  <c r="U53" i="61"/>
  <c r="U37" i="61"/>
  <c r="U49" i="61"/>
  <c r="U48" i="61"/>
  <c r="U44" i="61"/>
  <c r="U55" i="61"/>
  <c r="U47" i="61"/>
  <c r="U45" i="61"/>
  <c r="U54" i="61"/>
  <c r="U38" i="61"/>
  <c r="U41" i="61"/>
  <c r="M37" i="60"/>
  <c r="M52" i="60"/>
  <c r="M30" i="60"/>
  <c r="M50" i="60"/>
  <c r="F52" i="60"/>
  <c r="F50" i="60"/>
  <c r="F30" i="60"/>
  <c r="F37" i="60"/>
  <c r="J52" i="60"/>
  <c r="J37" i="60"/>
  <c r="J30" i="60"/>
  <c r="J50" i="60"/>
  <c r="G37" i="60"/>
  <c r="G50" i="60"/>
  <c r="G52" i="60"/>
  <c r="G30" i="60"/>
  <c r="K52" i="60"/>
  <c r="K37" i="60"/>
  <c r="K50" i="60"/>
  <c r="K30" i="60"/>
  <c r="C50" i="60"/>
  <c r="C30" i="60"/>
  <c r="C52" i="60"/>
  <c r="L30" i="60"/>
  <c r="L52" i="60"/>
  <c r="L37" i="60"/>
  <c r="L50" i="60"/>
  <c r="D30" i="60"/>
  <c r="D52" i="60"/>
  <c r="D50" i="60"/>
  <c r="D37" i="60"/>
  <c r="H30" i="60"/>
  <c r="H50" i="60"/>
  <c r="H52" i="60"/>
  <c r="H37" i="60"/>
  <c r="E37" i="60"/>
  <c r="E30" i="60"/>
  <c r="E50" i="60"/>
  <c r="E52" i="60"/>
  <c r="I30" i="60"/>
  <c r="I37" i="60"/>
  <c r="I52" i="60"/>
  <c r="I50" i="60"/>
  <c r="B30" i="60"/>
  <c r="X16" i="61"/>
  <c r="X14" i="61"/>
  <c r="X11" i="61"/>
  <c r="X9" i="61"/>
  <c r="X15" i="61"/>
  <c r="X10" i="61"/>
  <c r="X7" i="61"/>
  <c r="X20" i="61"/>
  <c r="U34" i="61" l="1"/>
  <c r="BS74" i="21" l="1"/>
  <c r="BR74" i="21"/>
  <c r="BQ74" i="21"/>
  <c r="BP74" i="21"/>
  <c r="BO74" i="21"/>
  <c r="BN74" i="21"/>
  <c r="BM74" i="21"/>
  <c r="BL74" i="21"/>
  <c r="BK74" i="21"/>
  <c r="BJ74" i="21"/>
  <c r="BI74" i="21"/>
  <c r="BH74" i="21"/>
  <c r="BG74" i="21"/>
  <c r="BF74" i="21"/>
  <c r="BE74" i="21"/>
  <c r="BD74" i="21"/>
  <c r="BC74" i="21"/>
  <c r="BB74" i="21"/>
  <c r="BA74" i="21"/>
  <c r="AZ74" i="21"/>
  <c r="AY74" i="21"/>
  <c r="AX74" i="21"/>
  <c r="AW74" i="21"/>
  <c r="AV74" i="21"/>
  <c r="AU74" i="21"/>
  <c r="AT74" i="21"/>
  <c r="AS74" i="21"/>
  <c r="AR74" i="21"/>
  <c r="AQ74" i="21"/>
  <c r="AQ66" i="21" s="1"/>
  <c r="AP74" i="21"/>
  <c r="AP66" i="21" s="1"/>
  <c r="AO74" i="21"/>
  <c r="AO66" i="21" s="1"/>
  <c r="AN74" i="21"/>
  <c r="AM74" i="21"/>
  <c r="AL74" i="21"/>
  <c r="AK74" i="21"/>
  <c r="AJ74" i="21"/>
  <c r="AI74" i="21"/>
  <c r="AH74" i="21"/>
  <c r="AG74" i="21"/>
  <c r="AF74" i="21"/>
  <c r="AE74" i="21"/>
  <c r="AD74" i="21"/>
  <c r="AC74" i="21"/>
  <c r="AB74" i="21"/>
  <c r="AA74" i="21"/>
  <c r="Z74" i="21"/>
  <c r="Y74" i="21"/>
  <c r="X74" i="21"/>
  <c r="W74" i="21"/>
  <c r="V74" i="21"/>
  <c r="U74" i="21"/>
  <c r="T74" i="21"/>
  <c r="S74" i="21"/>
  <c r="R74" i="21"/>
  <c r="Q74" i="21"/>
  <c r="P74" i="21"/>
  <c r="O74" i="21"/>
  <c r="N74" i="21"/>
  <c r="M74" i="21"/>
  <c r="L74" i="21"/>
  <c r="K74" i="21"/>
  <c r="J74" i="21"/>
  <c r="I74" i="21"/>
  <c r="H74" i="21"/>
  <c r="G74" i="21"/>
  <c r="F74" i="21"/>
  <c r="E74" i="21"/>
  <c r="D74" i="21"/>
  <c r="C74" i="21"/>
  <c r="B74" i="21"/>
  <c r="W154" i="68"/>
  <c r="W15" i="6" s="1"/>
  <c r="V154" i="68"/>
  <c r="V15" i="6" s="1"/>
  <c r="U154" i="68"/>
  <c r="U15" i="6" s="1"/>
  <c r="T154" i="68"/>
  <c r="T15" i="6" s="1"/>
  <c r="S154" i="68"/>
  <c r="S15" i="6" s="1"/>
  <c r="R154" i="68"/>
  <c r="R15" i="6" s="1"/>
  <c r="Q154" i="68"/>
  <c r="Q15" i="6" s="1"/>
  <c r="P154" i="68"/>
  <c r="P15" i="6" s="1"/>
  <c r="O154" i="68"/>
  <c r="O15" i="6" s="1"/>
  <c r="N154" i="68"/>
  <c r="N15" i="6" s="1"/>
  <c r="M154" i="68"/>
  <c r="M15" i="6" s="1"/>
  <c r="L154" i="68"/>
  <c r="L15" i="6" s="1"/>
  <c r="K154" i="68"/>
  <c r="K15" i="6" s="1"/>
  <c r="J154" i="68"/>
  <c r="J15" i="6" s="1"/>
  <c r="I154" i="68"/>
  <c r="I15" i="6" s="1"/>
  <c r="H154" i="68"/>
  <c r="H15" i="6" s="1"/>
  <c r="G154" i="68"/>
  <c r="G15" i="6" s="1"/>
  <c r="F154" i="68"/>
  <c r="F15" i="6" s="1"/>
  <c r="E154" i="68"/>
  <c r="E15" i="6" s="1"/>
  <c r="D154" i="68"/>
  <c r="D15" i="6" s="1"/>
  <c r="C154" i="68"/>
  <c r="B154" i="68"/>
  <c r="B14" i="66"/>
  <c r="C12" i="66" s="1"/>
  <c r="AO257" i="85"/>
  <c r="AO41" i="15" s="1"/>
  <c r="AO256" i="85"/>
  <c r="AK257" i="85"/>
  <c r="AK256" i="85"/>
  <c r="AK41" i="15" s="1"/>
  <c r="U257" i="85"/>
  <c r="T257" i="85"/>
  <c r="S257" i="85"/>
  <c r="R257" i="85"/>
  <c r="Q257" i="85"/>
  <c r="P257" i="85"/>
  <c r="O257" i="85"/>
  <c r="N257" i="85"/>
  <c r="AA251" i="85"/>
  <c r="AA250" i="85"/>
  <c r="Y251" i="85"/>
  <c r="X251" i="85"/>
  <c r="AB250" i="85"/>
  <c r="AB249" i="85"/>
  <c r="AB248" i="85"/>
  <c r="V39" i="21" s="1"/>
  <c r="Z250" i="85"/>
  <c r="Y250" i="85"/>
  <c r="X250" i="85"/>
  <c r="W250" i="85"/>
  <c r="W248" i="85" s="1"/>
  <c r="V250" i="85"/>
  <c r="V248" i="85" s="1"/>
  <c r="U250" i="85"/>
  <c r="U248" i="85" s="1"/>
  <c r="T250" i="85"/>
  <c r="S250" i="85"/>
  <c r="R250" i="85"/>
  <c r="R248" i="85" s="1"/>
  <c r="Q250" i="85"/>
  <c r="Q248" i="85" s="1"/>
  <c r="P250" i="85"/>
  <c r="P248" i="85" s="1"/>
  <c r="O250" i="85"/>
  <c r="N250" i="85"/>
  <c r="M250" i="85"/>
  <c r="M248" i="85" s="1"/>
  <c r="L250" i="85"/>
  <c r="J250" i="85"/>
  <c r="I250" i="85"/>
  <c r="H250" i="85"/>
  <c r="G250" i="85"/>
  <c r="F250" i="85"/>
  <c r="E250" i="85"/>
  <c r="D250" i="85"/>
  <c r="C250" i="85"/>
  <c r="B250" i="85"/>
  <c r="Y249" i="85"/>
  <c r="X249" i="85"/>
  <c r="T249" i="85"/>
  <c r="T248" i="85" s="1"/>
  <c r="S249" i="85"/>
  <c r="S248" i="85" s="1"/>
  <c r="M39" i="21" s="1"/>
  <c r="O249" i="85"/>
  <c r="N249" i="85"/>
  <c r="M249" i="85"/>
  <c r="L249" i="85"/>
  <c r="L248" i="85" s="1"/>
  <c r="F39" i="21" s="1"/>
  <c r="K249" i="85"/>
  <c r="K248" i="85" s="1"/>
  <c r="E39" i="21" s="1"/>
  <c r="J249" i="85"/>
  <c r="I249" i="85"/>
  <c r="H249" i="85"/>
  <c r="H248" i="85" s="1"/>
  <c r="G249" i="85"/>
  <c r="G248" i="85" s="1"/>
  <c r="F249" i="85"/>
  <c r="E249" i="85"/>
  <c r="D249" i="85"/>
  <c r="D248" i="85" s="1"/>
  <c r="B249" i="85"/>
  <c r="AR248" i="85"/>
  <c r="AL39" i="21" s="1"/>
  <c r="AQ248" i="85"/>
  <c r="AK39" i="21" s="1"/>
  <c r="AP248" i="85"/>
  <c r="AO248" i="85"/>
  <c r="AN248" i="85"/>
  <c r="AH39" i="21" s="1"/>
  <c r="AM248" i="85"/>
  <c r="AG39" i="21" s="1"/>
  <c r="AL248" i="85"/>
  <c r="AF39" i="21" s="1"/>
  <c r="AK248" i="85"/>
  <c r="AJ248" i="85"/>
  <c r="AD39" i="21" s="1"/>
  <c r="AI248" i="85"/>
  <c r="AC39" i="21" s="1"/>
  <c r="AH248" i="85"/>
  <c r="AG248" i="85"/>
  <c r="AF248" i="85"/>
  <c r="Z39" i="21" s="1"/>
  <c r="AE248" i="85"/>
  <c r="Y39" i="21" s="1"/>
  <c r="AD248" i="85"/>
  <c r="X39" i="21" s="1"/>
  <c r="AC248" i="85"/>
  <c r="Z248" i="85"/>
  <c r="J248" i="85"/>
  <c r="C248" i="85"/>
  <c r="AR246" i="85"/>
  <c r="AL38" i="21" s="1"/>
  <c r="AQ246" i="85"/>
  <c r="AP246" i="85"/>
  <c r="AJ38" i="21" s="1"/>
  <c r="AO246" i="85"/>
  <c r="AN246" i="85"/>
  <c r="AH38" i="21" s="1"/>
  <c r="AM246" i="85"/>
  <c r="AL246" i="85"/>
  <c r="AF38" i="21" s="1"/>
  <c r="AK246" i="85"/>
  <c r="AJ246" i="85"/>
  <c r="AD38" i="21" s="1"/>
  <c r="AI246" i="85"/>
  <c r="AH246" i="85"/>
  <c r="AB38" i="21" s="1"/>
  <c r="AG246" i="85"/>
  <c r="AF246" i="85"/>
  <c r="Z38" i="21" s="1"/>
  <c r="AE246" i="85"/>
  <c r="AD246" i="85"/>
  <c r="X38" i="21" s="1"/>
  <c r="AC246" i="85"/>
  <c r="AB246" i="85"/>
  <c r="V38" i="21" s="1"/>
  <c r="AA246" i="85"/>
  <c r="Z246" i="85"/>
  <c r="T38" i="21" s="1"/>
  <c r="Y246" i="85"/>
  <c r="X246" i="85"/>
  <c r="R38" i="21" s="1"/>
  <c r="W246" i="85"/>
  <c r="V246" i="85"/>
  <c r="P38" i="21" s="1"/>
  <c r="U246" i="85"/>
  <c r="T246" i="85"/>
  <c r="N38" i="21" s="1"/>
  <c r="S246" i="85"/>
  <c r="R246" i="85"/>
  <c r="L38" i="21" s="1"/>
  <c r="Q246" i="85"/>
  <c r="P246" i="85"/>
  <c r="J38" i="21" s="1"/>
  <c r="O246" i="85"/>
  <c r="N246" i="85"/>
  <c r="H38" i="21" s="1"/>
  <c r="M246" i="85"/>
  <c r="L246" i="85"/>
  <c r="F38" i="21" s="1"/>
  <c r="K246" i="85"/>
  <c r="J246" i="85"/>
  <c r="D38" i="21" s="1"/>
  <c r="I246" i="85"/>
  <c r="H246" i="85"/>
  <c r="G246" i="85"/>
  <c r="F246" i="85"/>
  <c r="E246" i="85"/>
  <c r="D246" i="85"/>
  <c r="C246" i="85"/>
  <c r="B246" i="85"/>
  <c r="J244" i="85"/>
  <c r="J243" i="85"/>
  <c r="J242" i="85" s="1"/>
  <c r="AR242" i="85"/>
  <c r="AQ242" i="85"/>
  <c r="AK37" i="21" s="1"/>
  <c r="AP242" i="85"/>
  <c r="AO242" i="85"/>
  <c r="AO241" i="85" s="1"/>
  <c r="AN242" i="85"/>
  <c r="AM242" i="85"/>
  <c r="AM241" i="85" s="1"/>
  <c r="AM100" i="15" s="1"/>
  <c r="AL242" i="85"/>
  <c r="AK242" i="85"/>
  <c r="AK241" i="85" s="1"/>
  <c r="AK100" i="15" s="1"/>
  <c r="AJ242" i="85"/>
  <c r="AI242" i="85"/>
  <c r="AC37" i="21" s="1"/>
  <c r="AH242" i="85"/>
  <c r="AG242" i="85"/>
  <c r="AG241" i="85" s="1"/>
  <c r="AF242" i="85"/>
  <c r="AE242" i="85"/>
  <c r="Y37" i="21" s="1"/>
  <c r="AD242" i="85"/>
  <c r="AC242" i="85"/>
  <c r="AC241" i="85" s="1"/>
  <c r="AC100" i="15" s="1"/>
  <c r="AB242" i="85"/>
  <c r="AA242" i="85"/>
  <c r="U37" i="21" s="1"/>
  <c r="Z242" i="85"/>
  <c r="Y242" i="85"/>
  <c r="S37" i="21" s="1"/>
  <c r="X242" i="85"/>
  <c r="W242" i="85"/>
  <c r="Q37" i="21" s="1"/>
  <c r="V242" i="85"/>
  <c r="U242" i="85"/>
  <c r="O37" i="21" s="1"/>
  <c r="T242" i="85"/>
  <c r="S242" i="85"/>
  <c r="M37" i="21" s="1"/>
  <c r="R242" i="85"/>
  <c r="Q242" i="85"/>
  <c r="K37" i="21" s="1"/>
  <c r="P242" i="85"/>
  <c r="O242" i="85"/>
  <c r="I37" i="21" s="1"/>
  <c r="N242" i="85"/>
  <c r="M242" i="85"/>
  <c r="G37" i="21" s="1"/>
  <c r="L242" i="85"/>
  <c r="K242" i="85"/>
  <c r="E37" i="21" s="1"/>
  <c r="I242" i="85"/>
  <c r="H242" i="85"/>
  <c r="G242" i="85"/>
  <c r="F242" i="85"/>
  <c r="E242" i="85"/>
  <c r="D242" i="85"/>
  <c r="C242" i="85"/>
  <c r="B242" i="85"/>
  <c r="AQ237" i="85"/>
  <c r="AP237" i="85"/>
  <c r="AP231" i="85" s="1"/>
  <c r="AN237" i="85"/>
  <c r="AM237" i="85"/>
  <c r="AL237" i="85"/>
  <c r="AH237" i="85"/>
  <c r="AF237" i="85"/>
  <c r="AE237" i="85"/>
  <c r="AD237" i="85"/>
  <c r="T237" i="85"/>
  <c r="S237" i="85"/>
  <c r="R237" i="85"/>
  <c r="AL236" i="85"/>
  <c r="Y235" i="85"/>
  <c r="Y231" i="85" s="1"/>
  <c r="AK233" i="85"/>
  <c r="AJ233" i="85"/>
  <c r="AJ231" i="85" s="1"/>
  <c r="AI233" i="85"/>
  <c r="AH233" i="85"/>
  <c r="AH231" i="85" s="1"/>
  <c r="AG233" i="85"/>
  <c r="AF233" i="85"/>
  <c r="AF231" i="85" s="1"/>
  <c r="AE233" i="85"/>
  <c r="AD233" i="85"/>
  <c r="AC233" i="85"/>
  <c r="AC231" i="85" s="1"/>
  <c r="AB233" i="85"/>
  <c r="AB231" i="85" s="1"/>
  <c r="AA233" i="85"/>
  <c r="Z233" i="85"/>
  <c r="Z231" i="85" s="1"/>
  <c r="Y233" i="85"/>
  <c r="X233" i="85"/>
  <c r="X231" i="85" s="1"/>
  <c r="W233" i="85"/>
  <c r="W231" i="85" s="1"/>
  <c r="V233" i="85"/>
  <c r="V231" i="85" s="1"/>
  <c r="U233" i="85"/>
  <c r="U231" i="85" s="1"/>
  <c r="T232" i="85"/>
  <c r="S232" i="85"/>
  <c r="S231" i="85" s="1"/>
  <c r="R232" i="85"/>
  <c r="R231" i="85" s="1"/>
  <c r="Q232" i="85"/>
  <c r="P232" i="85"/>
  <c r="P231" i="85" s="1"/>
  <c r="O232" i="85"/>
  <c r="O231" i="85" s="1"/>
  <c r="N232" i="85"/>
  <c r="N231" i="85" s="1"/>
  <c r="M232" i="85"/>
  <c r="M231" i="85" s="1"/>
  <c r="BA231" i="85"/>
  <c r="AZ231" i="85"/>
  <c r="AY231" i="85"/>
  <c r="AX231" i="85"/>
  <c r="AW231" i="85"/>
  <c r="AV231" i="85"/>
  <c r="AU231" i="85"/>
  <c r="AQ232" i="85"/>
  <c r="AQ231" i="85" s="1"/>
  <c r="AP232" i="85"/>
  <c r="AO232" i="85"/>
  <c r="AO231" i="85" s="1"/>
  <c r="AN232" i="85"/>
  <c r="AN231" i="85" s="1"/>
  <c r="AM232" i="85"/>
  <c r="AM231" i="85" s="1"/>
  <c r="AL232" i="85"/>
  <c r="AK232" i="85"/>
  <c r="AK231" i="85" s="1"/>
  <c r="AI231" i="85"/>
  <c r="AG231" i="85"/>
  <c r="AA231" i="85"/>
  <c r="T231" i="85"/>
  <c r="Q231" i="85"/>
  <c r="L231" i="85"/>
  <c r="K231" i="85"/>
  <c r="J231" i="85"/>
  <c r="I231" i="85"/>
  <c r="H231" i="85"/>
  <c r="G231" i="85"/>
  <c r="F231" i="85"/>
  <c r="E231" i="85"/>
  <c r="D231" i="85"/>
  <c r="C231" i="85"/>
  <c r="B231" i="85"/>
  <c r="AQ228" i="85"/>
  <c r="AP228" i="85"/>
  <c r="AP79" i="15" s="1"/>
  <c r="AO225" i="85"/>
  <c r="AN228" i="85"/>
  <c r="AN225" i="85" s="1"/>
  <c r="AM228" i="85"/>
  <c r="AM225" i="85" s="1"/>
  <c r="AL228" i="85"/>
  <c r="AL225" i="85" s="1"/>
  <c r="AK228" i="85"/>
  <c r="AK225" i="85" s="1"/>
  <c r="AJ228" i="85"/>
  <c r="AJ79" i="15" s="1"/>
  <c r="AI228" i="85"/>
  <c r="AI225" i="85" s="1"/>
  <c r="AH228" i="85"/>
  <c r="AH225" i="85" s="1"/>
  <c r="AG228" i="85"/>
  <c r="AG225" i="85" s="1"/>
  <c r="AF228" i="85"/>
  <c r="AE228" i="85"/>
  <c r="AD228" i="85"/>
  <c r="AC228" i="85"/>
  <c r="AC225" i="85" s="1"/>
  <c r="AB228" i="85"/>
  <c r="AA228" i="85"/>
  <c r="Z228" i="85"/>
  <c r="Y228" i="85"/>
  <c r="X228" i="85"/>
  <c r="P228" i="85"/>
  <c r="O228" i="85"/>
  <c r="AJ227" i="85"/>
  <c r="AB227" i="85"/>
  <c r="AB225" i="85" s="1"/>
  <c r="AA227" i="85"/>
  <c r="Z227" i="85"/>
  <c r="Y227" i="85"/>
  <c r="Y225" i="85" s="1"/>
  <c r="X227" i="85"/>
  <c r="X225" i="85" s="1"/>
  <c r="W227" i="85"/>
  <c r="V227" i="85"/>
  <c r="U227" i="85"/>
  <c r="T227" i="85"/>
  <c r="T225" i="85" s="1"/>
  <c r="S227" i="85"/>
  <c r="R227" i="85"/>
  <c r="Q227" i="85"/>
  <c r="P227" i="85"/>
  <c r="P225" i="85" s="1"/>
  <c r="O227" i="85"/>
  <c r="N227" i="85"/>
  <c r="N225" i="85" s="1"/>
  <c r="M227" i="85"/>
  <c r="M225" i="85" s="1"/>
  <c r="V226" i="85"/>
  <c r="V225" i="85" s="1"/>
  <c r="BA225" i="85"/>
  <c r="AZ225" i="85"/>
  <c r="AY225" i="85"/>
  <c r="AX225" i="85"/>
  <c r="AW225" i="85"/>
  <c r="AV225" i="85"/>
  <c r="AU225" i="85"/>
  <c r="AT225" i="85"/>
  <c r="AQ225" i="85"/>
  <c r="AP225" i="85"/>
  <c r="AF225" i="85"/>
  <c r="AE225" i="85"/>
  <c r="AD225" i="85"/>
  <c r="AA225" i="85"/>
  <c r="Z225" i="85"/>
  <c r="W225" i="85"/>
  <c r="U225" i="85"/>
  <c r="S225" i="85"/>
  <c r="R225" i="85"/>
  <c r="Q225" i="85"/>
  <c r="O225" i="85"/>
  <c r="L225" i="85"/>
  <c r="K225" i="85"/>
  <c r="J225" i="85"/>
  <c r="I225" i="85"/>
  <c r="H225" i="85"/>
  <c r="G225" i="85"/>
  <c r="F225" i="85"/>
  <c r="E225" i="85"/>
  <c r="D225" i="85"/>
  <c r="C225" i="85"/>
  <c r="B225" i="85"/>
  <c r="AB223" i="85"/>
  <c r="AB222" i="85"/>
  <c r="Z223" i="85"/>
  <c r="Y223" i="85"/>
  <c r="X223" i="85"/>
  <c r="W223" i="85"/>
  <c r="W216" i="85" s="1"/>
  <c r="Q223" i="85"/>
  <c r="P223" i="85"/>
  <c r="AQ222" i="85"/>
  <c r="AQ216" i="85" s="1"/>
  <c r="AP222" i="85"/>
  <c r="AJ32" i="21" s="1"/>
  <c r="AO222" i="85"/>
  <c r="AO216" i="85" s="1"/>
  <c r="AN222" i="85"/>
  <c r="AN216" i="85" s="1"/>
  <c r="AM222" i="85"/>
  <c r="AM216" i="85" s="1"/>
  <c r="AL222" i="85"/>
  <c r="AL216" i="85" s="1"/>
  <c r="AK222" i="85"/>
  <c r="AK216" i="85" s="1"/>
  <c r="AI222" i="85"/>
  <c r="AI216" i="85" s="1"/>
  <c r="AH222" i="85"/>
  <c r="AG222" i="85"/>
  <c r="AG216" i="85" s="1"/>
  <c r="AF222" i="85"/>
  <c r="AF216" i="85" s="1"/>
  <c r="AE222" i="85"/>
  <c r="AE216" i="85" s="1"/>
  <c r="AD222" i="85"/>
  <c r="AC222" i="85"/>
  <c r="AC216" i="85" s="1"/>
  <c r="AA222" i="85"/>
  <c r="Z222" i="85"/>
  <c r="Y222" i="85"/>
  <c r="X222" i="85"/>
  <c r="U222" i="85"/>
  <c r="T222" i="85"/>
  <c r="S222" i="85"/>
  <c r="R222" i="85"/>
  <c r="Q222" i="85"/>
  <c r="P222" i="85"/>
  <c r="O222" i="85"/>
  <c r="N222" i="85"/>
  <c r="M222" i="85"/>
  <c r="AB219" i="85"/>
  <c r="AB218" i="85"/>
  <c r="AB217" i="85"/>
  <c r="W219" i="85"/>
  <c r="V219" i="85"/>
  <c r="U219" i="85"/>
  <c r="AJ218" i="85"/>
  <c r="AJ222" i="85" s="1"/>
  <c r="AD32" i="21" s="1"/>
  <c r="AA218" i="85"/>
  <c r="Z218" i="85"/>
  <c r="Y218" i="85"/>
  <c r="X218" i="85"/>
  <c r="W218" i="85"/>
  <c r="V218" i="85"/>
  <c r="U218" i="85"/>
  <c r="T218" i="85"/>
  <c r="S218" i="85"/>
  <c r="R218" i="85"/>
  <c r="Q218" i="85"/>
  <c r="V217" i="85"/>
  <c r="U217" i="85"/>
  <c r="T217" i="85"/>
  <c r="S217" i="85"/>
  <c r="R217" i="85"/>
  <c r="R216" i="85" s="1"/>
  <c r="Q217" i="85"/>
  <c r="Q216" i="85" s="1"/>
  <c r="P217" i="85"/>
  <c r="P216" i="85" s="1"/>
  <c r="N218" i="85"/>
  <c r="M218" i="85"/>
  <c r="N217" i="85"/>
  <c r="M217" i="85"/>
  <c r="M216" i="85" s="1"/>
  <c r="BA216" i="85"/>
  <c r="AZ216" i="85"/>
  <c r="AY216" i="85"/>
  <c r="AX216" i="85"/>
  <c r="AW216" i="85"/>
  <c r="AV216" i="85"/>
  <c r="AU216" i="85"/>
  <c r="AT216" i="85"/>
  <c r="AS216" i="85"/>
  <c r="AS239" i="85" s="1"/>
  <c r="AP216" i="85"/>
  <c r="AH216" i="85"/>
  <c r="AD216" i="85"/>
  <c r="AA217" i="85"/>
  <c r="Z217" i="85"/>
  <c r="Y217" i="85"/>
  <c r="X217" i="85"/>
  <c r="X216" i="85" s="1"/>
  <c r="V216" i="85"/>
  <c r="U216" i="85"/>
  <c r="O216" i="85"/>
  <c r="L216" i="85"/>
  <c r="K216" i="85"/>
  <c r="K239" i="85" s="1"/>
  <c r="J216" i="85"/>
  <c r="I216" i="85"/>
  <c r="H216" i="85"/>
  <c r="G216" i="85"/>
  <c r="F216" i="85"/>
  <c r="E216" i="85"/>
  <c r="D216" i="85"/>
  <c r="C216" i="85"/>
  <c r="B216" i="85"/>
  <c r="M210" i="85"/>
  <c r="M207" i="85" s="1"/>
  <c r="AO207" i="85"/>
  <c r="AM207" i="85"/>
  <c r="AK207" i="85"/>
  <c r="AI207" i="85"/>
  <c r="AG207" i="85"/>
  <c r="AE207" i="85"/>
  <c r="AC207" i="85"/>
  <c r="AA207" i="85"/>
  <c r="Y207" i="85"/>
  <c r="W207" i="85"/>
  <c r="S209" i="85"/>
  <c r="S207" i="85"/>
  <c r="BA207" i="85"/>
  <c r="AZ207" i="85"/>
  <c r="AY207" i="85"/>
  <c r="AX207" i="85"/>
  <c r="AW207" i="85"/>
  <c r="AV207" i="85"/>
  <c r="AU207" i="85"/>
  <c r="AT207" i="85"/>
  <c r="AQ207" i="85"/>
  <c r="AP207" i="85"/>
  <c r="AN207" i="85"/>
  <c r="AL207" i="85"/>
  <c r="AJ207" i="85"/>
  <c r="AH207" i="85"/>
  <c r="AF207" i="85"/>
  <c r="AD207" i="85"/>
  <c r="AB207" i="85"/>
  <c r="Z207" i="85"/>
  <c r="X207" i="85"/>
  <c r="V207" i="85"/>
  <c r="U207" i="85"/>
  <c r="T207" i="85"/>
  <c r="R207" i="85"/>
  <c r="Q207" i="85"/>
  <c r="P207" i="85"/>
  <c r="O207" i="85"/>
  <c r="N207" i="85"/>
  <c r="L207" i="85"/>
  <c r="K207" i="85"/>
  <c r="J207" i="85"/>
  <c r="I207" i="85"/>
  <c r="H207" i="85"/>
  <c r="G207" i="85"/>
  <c r="F207" i="85"/>
  <c r="E207" i="85"/>
  <c r="D207" i="85"/>
  <c r="C207" i="85"/>
  <c r="B207" i="85"/>
  <c r="AH205" i="85"/>
  <c r="AH202" i="85" s="1"/>
  <c r="AG205" i="85"/>
  <c r="AG202" i="85" s="1"/>
  <c r="AE205" i="85"/>
  <c r="AE202" i="85" s="1"/>
  <c r="AD205" i="85"/>
  <c r="AD202" i="85" s="1"/>
  <c r="AC205" i="85"/>
  <c r="AB205" i="85"/>
  <c r="AB202" i="85" s="1"/>
  <c r="AA205" i="85"/>
  <c r="AA202" i="85" s="1"/>
  <c r="Z205" i="85"/>
  <c r="Z202" i="85" s="1"/>
  <c r="Y205" i="85"/>
  <c r="Y202" i="85" s="1"/>
  <c r="X205" i="85"/>
  <c r="X202" i="85" s="1"/>
  <c r="W205" i="85"/>
  <c r="W202" i="85" s="1"/>
  <c r="V205" i="85"/>
  <c r="V202" i="85" s="1"/>
  <c r="U205" i="85"/>
  <c r="U202" i="85" s="1"/>
  <c r="T205" i="85"/>
  <c r="S205" i="85"/>
  <c r="S202" i="85" s="1"/>
  <c r="R205" i="85"/>
  <c r="R202" i="85" s="1"/>
  <c r="Q205" i="85"/>
  <c r="Q202" i="85" s="1"/>
  <c r="P205" i="85"/>
  <c r="P202" i="85" s="1"/>
  <c r="O205" i="85"/>
  <c r="O202" i="85" s="1"/>
  <c r="N205" i="85"/>
  <c r="N202" i="85" s="1"/>
  <c r="M205" i="85"/>
  <c r="M202" i="85" s="1"/>
  <c r="I204" i="85"/>
  <c r="I202" i="85" s="1"/>
  <c r="E204" i="85"/>
  <c r="E202" i="85" s="1"/>
  <c r="AJ203" i="85"/>
  <c r="AJ205" i="85" s="1"/>
  <c r="AJ202" i="85" s="1"/>
  <c r="BA202" i="85"/>
  <c r="AZ202" i="85"/>
  <c r="AY202" i="85"/>
  <c r="AX202" i="85"/>
  <c r="AW202" i="85"/>
  <c r="AV202" i="85"/>
  <c r="AU202" i="85"/>
  <c r="AQ202" i="85"/>
  <c r="AP202" i="85"/>
  <c r="AO202" i="85"/>
  <c r="AN202" i="85"/>
  <c r="AM202" i="85"/>
  <c r="AL202" i="85"/>
  <c r="AK202" i="85"/>
  <c r="AI202" i="85"/>
  <c r="AF202" i="85"/>
  <c r="AC202" i="85"/>
  <c r="T202" i="85"/>
  <c r="L202" i="85"/>
  <c r="K202" i="85"/>
  <c r="J202" i="85"/>
  <c r="H202" i="85"/>
  <c r="G202" i="85"/>
  <c r="F202" i="85"/>
  <c r="D202" i="85"/>
  <c r="C202" i="85"/>
  <c r="B202" i="85"/>
  <c r="AQ200" i="85"/>
  <c r="AQ194" i="85" s="1"/>
  <c r="AP200" i="85"/>
  <c r="AP194" i="85" s="1"/>
  <c r="AN194" i="85"/>
  <c r="AM194" i="85"/>
  <c r="AL194" i="85"/>
  <c r="AJ53" i="15"/>
  <c r="AH194" i="85"/>
  <c r="AF194" i="85"/>
  <c r="AE194" i="85"/>
  <c r="AD194" i="85"/>
  <c r="Z194" i="85"/>
  <c r="W194" i="85"/>
  <c r="U194" i="85"/>
  <c r="U214" i="85" s="1"/>
  <c r="U199" i="85"/>
  <c r="Q200" i="85"/>
  <c r="AB199" i="85"/>
  <c r="AA199" i="85"/>
  <c r="AA194" i="85" s="1"/>
  <c r="Z199" i="85"/>
  <c r="Y199" i="85"/>
  <c r="Y194" i="85" s="1"/>
  <c r="X199" i="85"/>
  <c r="V199" i="85"/>
  <c r="V194" i="85" s="1"/>
  <c r="N199" i="85"/>
  <c r="M199" i="85"/>
  <c r="I199" i="85"/>
  <c r="E199" i="85"/>
  <c r="V195" i="85"/>
  <c r="S195" i="85"/>
  <c r="S194" i="85" s="1"/>
  <c r="R195" i="85"/>
  <c r="R194" i="85" s="1"/>
  <c r="Q195" i="85"/>
  <c r="Q194" i="85" s="1"/>
  <c r="P195" i="85"/>
  <c r="O195" i="85"/>
  <c r="O194" i="85" s="1"/>
  <c r="N195" i="85"/>
  <c r="N194" i="85" s="1"/>
  <c r="M195" i="85"/>
  <c r="M194" i="85" s="1"/>
  <c r="E195" i="85"/>
  <c r="BA194" i="85"/>
  <c r="BA214" i="85" s="1"/>
  <c r="AZ194" i="85"/>
  <c r="AY194" i="85"/>
  <c r="AY214" i="85" s="1"/>
  <c r="AX194" i="85"/>
  <c r="AW194" i="85"/>
  <c r="AW214" i="85" s="1"/>
  <c r="AV194" i="85"/>
  <c r="AU214" i="85"/>
  <c r="AT194" i="85"/>
  <c r="AS194" i="85"/>
  <c r="AS214" i="85" s="1"/>
  <c r="AS240" i="85" s="1"/>
  <c r="AO194" i="85"/>
  <c r="AK194" i="85"/>
  <c r="AJ194" i="85"/>
  <c r="AI194" i="85"/>
  <c r="AG194" i="85"/>
  <c r="AC194" i="85"/>
  <c r="AB194" i="85"/>
  <c r="T194" i="85"/>
  <c r="P194" i="85"/>
  <c r="L194" i="85"/>
  <c r="K194" i="85"/>
  <c r="J194" i="85"/>
  <c r="I194" i="85"/>
  <c r="H194" i="85"/>
  <c r="G194" i="85"/>
  <c r="F194" i="85"/>
  <c r="D194" i="85"/>
  <c r="C194" i="85"/>
  <c r="B194" i="85"/>
  <c r="AQ192" i="85"/>
  <c r="AP192" i="85"/>
  <c r="AO192" i="85"/>
  <c r="AN192" i="85"/>
  <c r="AM192" i="85"/>
  <c r="AL192" i="85"/>
  <c r="AK192" i="85"/>
  <c r="AJ192" i="85"/>
  <c r="AI192" i="85"/>
  <c r="AH192" i="85"/>
  <c r="AG192" i="85"/>
  <c r="AF192" i="85"/>
  <c r="AD192" i="85"/>
  <c r="AC192" i="85"/>
  <c r="AB192" i="85"/>
  <c r="AA192" i="85"/>
  <c r="Z192" i="85"/>
  <c r="Y192" i="85"/>
  <c r="X192" i="85"/>
  <c r="W192" i="85"/>
  <c r="V192" i="85"/>
  <c r="U192" i="85"/>
  <c r="T192" i="85"/>
  <c r="S192" i="85"/>
  <c r="R192" i="85"/>
  <c r="P192" i="85"/>
  <c r="O192" i="85"/>
  <c r="N192" i="85"/>
  <c r="M192" i="85"/>
  <c r="L192" i="85"/>
  <c r="K192" i="85"/>
  <c r="J192" i="85"/>
  <c r="I192" i="85"/>
  <c r="H192" i="85"/>
  <c r="G192" i="85"/>
  <c r="E192" i="85"/>
  <c r="D192" i="85"/>
  <c r="B192" i="85"/>
  <c r="I190" i="85"/>
  <c r="F190" i="85"/>
  <c r="F192" i="85" s="1"/>
  <c r="D190" i="85"/>
  <c r="C190" i="85"/>
  <c r="C192" i="85" s="1"/>
  <c r="AE188" i="85"/>
  <c r="AE192" i="85" s="1"/>
  <c r="Q186" i="85"/>
  <c r="AM173" i="18" s="1"/>
  <c r="Q184" i="85"/>
  <c r="Q36" i="15"/>
  <c r="AA179" i="85"/>
  <c r="BA173" i="85"/>
  <c r="AZ173" i="85"/>
  <c r="AY173" i="85"/>
  <c r="AX173" i="85"/>
  <c r="AW173" i="85"/>
  <c r="AV173" i="85"/>
  <c r="AU173" i="85"/>
  <c r="AT173" i="85"/>
  <c r="AT31" i="15" s="1"/>
  <c r="AS173" i="85"/>
  <c r="AS31" i="15" s="1"/>
  <c r="AQ173" i="85"/>
  <c r="AP173" i="85"/>
  <c r="AP31" i="15" s="1"/>
  <c r="AO173" i="85"/>
  <c r="AN173" i="85"/>
  <c r="AN31" i="15" s="1"/>
  <c r="AM173" i="85"/>
  <c r="AL173" i="85"/>
  <c r="AL31" i="15" s="1"/>
  <c r="AK173" i="85"/>
  <c r="AJ173" i="85"/>
  <c r="AJ31" i="15" s="1"/>
  <c r="AI173" i="85"/>
  <c r="AH173" i="85"/>
  <c r="AH31" i="15" s="1"/>
  <c r="AG173" i="85"/>
  <c r="AF173" i="85"/>
  <c r="AF31" i="15" s="1"/>
  <c r="AE173" i="85"/>
  <c r="AD173" i="85"/>
  <c r="AD31" i="15" s="1"/>
  <c r="AC173" i="85"/>
  <c r="AB173" i="85"/>
  <c r="AB31" i="15" s="1"/>
  <c r="AA173" i="85"/>
  <c r="Z173" i="85"/>
  <c r="Z31" i="15" s="1"/>
  <c r="Y173" i="85"/>
  <c r="X173" i="85"/>
  <c r="X31" i="15" s="1"/>
  <c r="W173" i="85"/>
  <c r="V173" i="85"/>
  <c r="V31" i="15" s="1"/>
  <c r="U173" i="85"/>
  <c r="T173" i="85"/>
  <c r="T31" i="15" s="1"/>
  <c r="S173" i="85"/>
  <c r="R173" i="85"/>
  <c r="R31" i="15" s="1"/>
  <c r="Q173" i="85"/>
  <c r="P173" i="85"/>
  <c r="O173" i="85"/>
  <c r="N173" i="85"/>
  <c r="M173" i="85"/>
  <c r="G173" i="85"/>
  <c r="G31" i="15" s="1"/>
  <c r="F173" i="85"/>
  <c r="E173" i="85"/>
  <c r="E31" i="15" s="1"/>
  <c r="D173" i="85"/>
  <c r="C173" i="85"/>
  <c r="C31" i="15" s="1"/>
  <c r="B173" i="85"/>
  <c r="AQ171" i="85"/>
  <c r="AP171" i="85"/>
  <c r="AO171" i="85"/>
  <c r="AN171" i="85"/>
  <c r="AM171" i="85"/>
  <c r="AK171" i="85"/>
  <c r="AJ171" i="85"/>
  <c r="AJ168" i="85" s="1"/>
  <c r="AI171" i="85"/>
  <c r="AH171" i="85"/>
  <c r="AH168" i="85" s="1"/>
  <c r="AG171" i="85"/>
  <c r="AG168" i="85" s="1"/>
  <c r="AF171" i="85"/>
  <c r="AE171" i="85"/>
  <c r="AD171" i="85"/>
  <c r="AC171" i="85"/>
  <c r="AA171" i="85"/>
  <c r="Z171" i="85"/>
  <c r="Q29" i="15"/>
  <c r="L171" i="85"/>
  <c r="K171" i="85"/>
  <c r="J171" i="85"/>
  <c r="I171" i="85"/>
  <c r="I168" i="85" s="1"/>
  <c r="H171" i="85"/>
  <c r="G171" i="85"/>
  <c r="F171" i="85"/>
  <c r="E171" i="85"/>
  <c r="D171" i="85"/>
  <c r="C171" i="85"/>
  <c r="B171" i="85"/>
  <c r="AD170" i="85"/>
  <c r="AC170" i="85"/>
  <c r="AC168" i="85" s="1"/>
  <c r="AB170" i="85"/>
  <c r="AB168" i="85" s="1"/>
  <c r="AA170" i="85"/>
  <c r="Z170" i="85"/>
  <c r="Z168" i="85" s="1"/>
  <c r="Y170" i="85"/>
  <c r="X170" i="85"/>
  <c r="X168" i="85" s="1"/>
  <c r="W170" i="85"/>
  <c r="S170" i="85"/>
  <c r="S168" i="85" s="1"/>
  <c r="R170" i="85"/>
  <c r="R168" i="85" s="1"/>
  <c r="P170" i="85"/>
  <c r="O170" i="85"/>
  <c r="N170" i="85"/>
  <c r="M170" i="85"/>
  <c r="L170" i="85"/>
  <c r="K170" i="85"/>
  <c r="J170" i="85"/>
  <c r="J168" i="85" s="1"/>
  <c r="H170" i="85"/>
  <c r="H168" i="85" s="1"/>
  <c r="G170" i="85"/>
  <c r="G168" i="85" s="1"/>
  <c r="F170" i="85"/>
  <c r="E170" i="85"/>
  <c r="E168" i="85" s="1"/>
  <c r="D170" i="85"/>
  <c r="C170" i="85"/>
  <c r="C168" i="85" s="1"/>
  <c r="B170" i="85"/>
  <c r="AD169" i="85"/>
  <c r="Y169" i="85"/>
  <c r="V169" i="85"/>
  <c r="V168" i="85" s="1"/>
  <c r="U169" i="85"/>
  <c r="T169" i="85"/>
  <c r="T168" i="85" s="1"/>
  <c r="S169" i="85"/>
  <c r="BA168" i="85"/>
  <c r="AZ168" i="85"/>
  <c r="AY168" i="85"/>
  <c r="AX168" i="85"/>
  <c r="AW168" i="85"/>
  <c r="AV168" i="85"/>
  <c r="AU168" i="85"/>
  <c r="AT168" i="85"/>
  <c r="AQ168" i="85"/>
  <c r="AP168" i="85"/>
  <c r="AO168" i="85"/>
  <c r="AN168" i="85"/>
  <c r="AM168" i="85"/>
  <c r="AL168" i="85"/>
  <c r="AK168" i="85"/>
  <c r="AI168" i="85"/>
  <c r="AF168" i="85"/>
  <c r="AE168" i="85"/>
  <c r="AA168" i="85"/>
  <c r="W168" i="85"/>
  <c r="U168" i="85"/>
  <c r="P169" i="85"/>
  <c r="O169" i="85"/>
  <c r="O168" i="85" s="1"/>
  <c r="N169" i="85"/>
  <c r="M169" i="85"/>
  <c r="N168" i="85"/>
  <c r="M168" i="85"/>
  <c r="K168" i="85"/>
  <c r="F168" i="85"/>
  <c r="D168" i="85"/>
  <c r="B168" i="85"/>
  <c r="AN164" i="85"/>
  <c r="AM164" i="85"/>
  <c r="AG164" i="85"/>
  <c r="AA164" i="85"/>
  <c r="AB164" i="85" s="1"/>
  <c r="V164" i="85"/>
  <c r="O164" i="85"/>
  <c r="AI158" i="85"/>
  <c r="AI156" i="85" s="1"/>
  <c r="AH158" i="85"/>
  <c r="AH156" i="85" s="1"/>
  <c r="AG158" i="85"/>
  <c r="AG156" i="85" s="1"/>
  <c r="AF158" i="85"/>
  <c r="AE158" i="85"/>
  <c r="AD158" i="85"/>
  <c r="AC158" i="85"/>
  <c r="AC156" i="85" s="1"/>
  <c r="AB158" i="85"/>
  <c r="AB156" i="85" s="1"/>
  <c r="AA158" i="85"/>
  <c r="Z158" i="85"/>
  <c r="Z156" i="85" s="1"/>
  <c r="Y158" i="85"/>
  <c r="Y156" i="85" s="1"/>
  <c r="X158" i="85"/>
  <c r="X156" i="85" s="1"/>
  <c r="W158" i="85"/>
  <c r="V158" i="85"/>
  <c r="V156" i="85" s="1"/>
  <c r="U158" i="85"/>
  <c r="U156" i="85" s="1"/>
  <c r="T158" i="85"/>
  <c r="S158" i="85"/>
  <c r="R158" i="85"/>
  <c r="Q158" i="85"/>
  <c r="Q156" i="85" s="1"/>
  <c r="P158" i="85"/>
  <c r="P156" i="85" s="1"/>
  <c r="O158" i="85"/>
  <c r="N158" i="85"/>
  <c r="N156" i="85" s="1"/>
  <c r="M158" i="85"/>
  <c r="M156" i="85" s="1"/>
  <c r="L158" i="85"/>
  <c r="K158" i="85"/>
  <c r="J158" i="85"/>
  <c r="I158" i="85"/>
  <c r="I156" i="85" s="1"/>
  <c r="H158" i="85"/>
  <c r="H156" i="85" s="1"/>
  <c r="G158" i="85"/>
  <c r="F158" i="85"/>
  <c r="F156" i="85" s="1"/>
  <c r="E158" i="85"/>
  <c r="E156" i="85" s="1"/>
  <c r="D158" i="85"/>
  <c r="C158" i="85"/>
  <c r="B158" i="85"/>
  <c r="BA156" i="85"/>
  <c r="AZ156" i="85"/>
  <c r="AY156" i="85"/>
  <c r="AX156" i="85"/>
  <c r="AW156" i="85"/>
  <c r="AV156" i="85"/>
  <c r="AU156" i="85"/>
  <c r="AT156" i="85"/>
  <c r="AT162" i="85" s="1"/>
  <c r="AT166" i="85" s="1"/>
  <c r="AT176" i="85" s="1"/>
  <c r="AT182" i="85" s="1"/>
  <c r="AQ156" i="85"/>
  <c r="AP156" i="85"/>
  <c r="AO156" i="85"/>
  <c r="AN156" i="85"/>
  <c r="AM156" i="85"/>
  <c r="AL156" i="85"/>
  <c r="AK156" i="85"/>
  <c r="AJ156" i="85"/>
  <c r="AF156" i="85"/>
  <c r="AE156" i="85"/>
  <c r="AD156" i="85"/>
  <c r="AA156" i="85"/>
  <c r="W156" i="85"/>
  <c r="T156" i="85"/>
  <c r="S156" i="85"/>
  <c r="R156" i="85"/>
  <c r="O156" i="85"/>
  <c r="L156" i="85"/>
  <c r="K156" i="85"/>
  <c r="J156" i="85"/>
  <c r="G156" i="85"/>
  <c r="D156" i="85"/>
  <c r="C156" i="85"/>
  <c r="B156" i="85"/>
  <c r="BA152" i="85"/>
  <c r="AZ152" i="85"/>
  <c r="AZ162" i="85" s="1"/>
  <c r="AZ166" i="85" s="1"/>
  <c r="AZ176" i="85" s="1"/>
  <c r="AZ182" i="85" s="1"/>
  <c r="AY152" i="85"/>
  <c r="AY162" i="85" s="1"/>
  <c r="AY166" i="85" s="1"/>
  <c r="AX152" i="85"/>
  <c r="AX162" i="85" s="1"/>
  <c r="AX166" i="85" s="1"/>
  <c r="AX176" i="85" s="1"/>
  <c r="AX182" i="85" s="1"/>
  <c r="AW152" i="85"/>
  <c r="AV152" i="85"/>
  <c r="AV162" i="85" s="1"/>
  <c r="AV166" i="85" s="1"/>
  <c r="AV176" i="85" s="1"/>
  <c r="AV182" i="85" s="1"/>
  <c r="AU152" i="85"/>
  <c r="AU162" i="85" s="1"/>
  <c r="AU166" i="85" s="1"/>
  <c r="AS152" i="85"/>
  <c r="AS153" i="85" s="1"/>
  <c r="AQ152" i="85"/>
  <c r="AP152" i="85"/>
  <c r="AO152" i="85"/>
  <c r="AO162" i="85" s="1"/>
  <c r="AO166" i="85" s="1"/>
  <c r="AN152" i="85"/>
  <c r="AM152" i="85"/>
  <c r="AL152" i="85"/>
  <c r="AK152" i="85"/>
  <c r="AK162" i="85" s="1"/>
  <c r="AK166" i="85" s="1"/>
  <c r="AJ152" i="85"/>
  <c r="AI152" i="85"/>
  <c r="AH152" i="85"/>
  <c r="AG152" i="85"/>
  <c r="AF152" i="85"/>
  <c r="AE152" i="85"/>
  <c r="AD152" i="85"/>
  <c r="AC152" i="85"/>
  <c r="AB152" i="85"/>
  <c r="AA152" i="85"/>
  <c r="Z152" i="85"/>
  <c r="Y152" i="85"/>
  <c r="X152" i="85"/>
  <c r="X162" i="85" s="1"/>
  <c r="X166" i="85" s="1"/>
  <c r="W152" i="85"/>
  <c r="V152" i="85"/>
  <c r="U152" i="85"/>
  <c r="T152" i="85"/>
  <c r="S152" i="85"/>
  <c r="R152" i="85"/>
  <c r="P152" i="85"/>
  <c r="O152" i="85"/>
  <c r="N152" i="85"/>
  <c r="M152" i="85"/>
  <c r="L152" i="85"/>
  <c r="K152" i="85"/>
  <c r="J152" i="85"/>
  <c r="I152" i="85"/>
  <c r="H152" i="85"/>
  <c r="G152" i="85"/>
  <c r="F152" i="85"/>
  <c r="E152" i="85"/>
  <c r="D152" i="85"/>
  <c r="C152" i="85"/>
  <c r="B152" i="85"/>
  <c r="Q9" i="15"/>
  <c r="Q7" i="15"/>
  <c r="AP141" i="85"/>
  <c r="AP138" i="85" s="1"/>
  <c r="AN141" i="85"/>
  <c r="AN138" i="85" s="1"/>
  <c r="AM141" i="85"/>
  <c r="AO141" i="85" s="1"/>
  <c r="BK185" i="18" s="1"/>
  <c r="AL141" i="85"/>
  <c r="AL138" i="85" s="1"/>
  <c r="AI141" i="85"/>
  <c r="AK141" i="85" s="1"/>
  <c r="BG185" i="18" s="1"/>
  <c r="AI140" i="85"/>
  <c r="AK140" i="85" s="1"/>
  <c r="BG184" i="18" s="1"/>
  <c r="AG139" i="85"/>
  <c r="BC183" i="18" s="1"/>
  <c r="AE141" i="85"/>
  <c r="AG141" i="85" s="1"/>
  <c r="AE140" i="85"/>
  <c r="AG140" i="85" s="1"/>
  <c r="BC184" i="18" s="1"/>
  <c r="AC141" i="85"/>
  <c r="AC140" i="85"/>
  <c r="AY184" i="18" s="1"/>
  <c r="AC139" i="85"/>
  <c r="AO140" i="85"/>
  <c r="BK184" i="18" s="1"/>
  <c r="AO139" i="85"/>
  <c r="AH139" i="85"/>
  <c r="AJ138" i="85"/>
  <c r="AF138" i="85"/>
  <c r="AD138" i="85"/>
  <c r="AB138" i="85"/>
  <c r="AQ136" i="85"/>
  <c r="AQ133" i="85" s="1"/>
  <c r="AP136" i="85"/>
  <c r="AS136" i="85" s="1"/>
  <c r="AN136" i="85"/>
  <c r="AM136" i="85"/>
  <c r="AO136" i="85" s="1"/>
  <c r="AL136" i="85"/>
  <c r="AK136" i="85"/>
  <c r="AG136" i="85"/>
  <c r="BC180" i="18" s="1"/>
  <c r="AG135" i="85"/>
  <c r="AG134" i="85"/>
  <c r="BC178" i="18" s="1"/>
  <c r="AO135" i="85"/>
  <c r="BK179" i="18" s="1"/>
  <c r="AO134" i="85"/>
  <c r="BK178" i="18" s="1"/>
  <c r="AK135" i="85"/>
  <c r="BG179" i="18" s="1"/>
  <c r="AK134" i="85"/>
  <c r="AC136" i="85"/>
  <c r="AY180" i="18" s="1"/>
  <c r="AB136" i="85"/>
  <c r="AX180" i="18" s="1"/>
  <c r="AA136" i="85"/>
  <c r="AW180" i="18" s="1"/>
  <c r="Z136" i="85"/>
  <c r="Y136" i="85"/>
  <c r="AU180" i="18" s="1"/>
  <c r="X136" i="85"/>
  <c r="AT180" i="18" s="1"/>
  <c r="W136" i="85"/>
  <c r="AS180" i="18" s="1"/>
  <c r="V136" i="85"/>
  <c r="U136" i="85"/>
  <c r="AQ180" i="18" s="1"/>
  <c r="T136" i="85"/>
  <c r="AP180" i="18" s="1"/>
  <c r="S136" i="85"/>
  <c r="R136" i="85"/>
  <c r="Q136" i="85"/>
  <c r="P136" i="85"/>
  <c r="O136" i="85"/>
  <c r="N136" i="85"/>
  <c r="AC135" i="85"/>
  <c r="AB135" i="85"/>
  <c r="AX179" i="18" s="1"/>
  <c r="AA135" i="85"/>
  <c r="AW179" i="18" s="1"/>
  <c r="Z135" i="85"/>
  <c r="Y135" i="85"/>
  <c r="AU179" i="18" s="1"/>
  <c r="X135" i="85"/>
  <c r="AT179" i="18" s="1"/>
  <c r="W135" i="85"/>
  <c r="AS179" i="18" s="1"/>
  <c r="V135" i="85"/>
  <c r="U135" i="85"/>
  <c r="AQ179" i="18" s="1"/>
  <c r="T135" i="85"/>
  <c r="AP179" i="18" s="1"/>
  <c r="S135" i="85"/>
  <c r="AO179" i="18" s="1"/>
  <c r="R135" i="85"/>
  <c r="Q135" i="85"/>
  <c r="AM179" i="18" s="1"/>
  <c r="P135" i="85"/>
  <c r="O135" i="85"/>
  <c r="AK179" i="18" s="1"/>
  <c r="N135" i="85"/>
  <c r="AC134" i="85"/>
  <c r="AB134" i="85"/>
  <c r="AA134" i="85"/>
  <c r="AA133" i="85" s="1"/>
  <c r="AA185" i="85" s="1"/>
  <c r="Z134" i="85"/>
  <c r="Z133" i="85" s="1"/>
  <c r="Z185" i="85" s="1"/>
  <c r="Y134" i="85"/>
  <c r="Y133" i="85" s="1"/>
  <c r="Y185" i="85" s="1"/>
  <c r="X134" i="85"/>
  <c r="X133" i="85" s="1"/>
  <c r="X185" i="85" s="1"/>
  <c r="W134" i="85"/>
  <c r="W133" i="85" s="1"/>
  <c r="W185" i="85" s="1"/>
  <c r="V134" i="85"/>
  <c r="U134" i="85"/>
  <c r="U133" i="85" s="1"/>
  <c r="U185" i="85" s="1"/>
  <c r="T134" i="85"/>
  <c r="S134" i="85"/>
  <c r="R134" i="85"/>
  <c r="R133" i="85" s="1"/>
  <c r="R185" i="85" s="1"/>
  <c r="Q134" i="85"/>
  <c r="AM178" i="18" s="1"/>
  <c r="P134" i="85"/>
  <c r="P133" i="85" s="1"/>
  <c r="P185" i="85" s="1"/>
  <c r="O134" i="85"/>
  <c r="N134" i="85"/>
  <c r="N133" i="85" s="1"/>
  <c r="N185" i="85" s="1"/>
  <c r="AP133" i="85"/>
  <c r="AP185" i="85" s="1"/>
  <c r="AN133" i="85"/>
  <c r="AN185" i="85" s="1"/>
  <c r="AL133" i="85"/>
  <c r="AL185" i="85" s="1"/>
  <c r="AJ133" i="85"/>
  <c r="AJ185" i="85" s="1"/>
  <c r="AI133" i="85"/>
  <c r="AI185" i="85" s="1"/>
  <c r="AH133" i="85"/>
  <c r="AH185" i="85" s="1"/>
  <c r="AF133" i="85"/>
  <c r="AF185" i="85" s="1"/>
  <c r="AE133" i="85"/>
  <c r="AE185" i="85" s="1"/>
  <c r="AD133" i="85"/>
  <c r="AD185" i="85" s="1"/>
  <c r="V133" i="85"/>
  <c r="V185" i="85" s="1"/>
  <c r="M133" i="85"/>
  <c r="L133" i="85"/>
  <c r="K133" i="85"/>
  <c r="J133" i="85"/>
  <c r="I133" i="85"/>
  <c r="H133" i="85"/>
  <c r="G133" i="85"/>
  <c r="F133" i="85"/>
  <c r="E133" i="85"/>
  <c r="D133" i="85"/>
  <c r="C133" i="85"/>
  <c r="B133" i="85"/>
  <c r="AO131" i="85"/>
  <c r="AO128" i="85" s="1"/>
  <c r="AK131" i="85"/>
  <c r="AG131" i="85"/>
  <c r="AG130" i="85"/>
  <c r="AG129" i="85"/>
  <c r="AC131" i="85"/>
  <c r="AB131" i="85"/>
  <c r="AA131" i="85"/>
  <c r="Z131" i="85"/>
  <c r="Y131" i="85"/>
  <c r="X131" i="85"/>
  <c r="W131" i="85"/>
  <c r="V131" i="85"/>
  <c r="U131" i="85"/>
  <c r="T131" i="85"/>
  <c r="S131" i="85"/>
  <c r="R131" i="85"/>
  <c r="Q131" i="85"/>
  <c r="P131" i="85"/>
  <c r="O131" i="85"/>
  <c r="N131" i="85"/>
  <c r="AC130" i="85"/>
  <c r="AB130" i="85"/>
  <c r="AA130" i="85"/>
  <c r="Z130" i="85"/>
  <c r="Y130" i="85"/>
  <c r="X130" i="85"/>
  <c r="W130" i="85"/>
  <c r="V130" i="85"/>
  <c r="U130" i="85"/>
  <c r="T130" i="85"/>
  <c r="S130" i="85"/>
  <c r="R130" i="85"/>
  <c r="Q130" i="85"/>
  <c r="P130" i="85"/>
  <c r="O130" i="85"/>
  <c r="N130" i="85"/>
  <c r="AC129" i="85"/>
  <c r="AC128" i="85" s="1"/>
  <c r="AB129" i="85"/>
  <c r="AB128" i="85" s="1"/>
  <c r="AA129" i="85"/>
  <c r="AA128" i="85" s="1"/>
  <c r="Z129" i="85"/>
  <c r="Z128" i="85" s="1"/>
  <c r="Y129" i="85"/>
  <c r="Y128" i="85" s="1"/>
  <c r="X129" i="85"/>
  <c r="X128" i="85" s="1"/>
  <c r="W129" i="85"/>
  <c r="W128" i="85" s="1"/>
  <c r="V129" i="85"/>
  <c r="U129" i="85"/>
  <c r="U128" i="85" s="1"/>
  <c r="T129" i="85"/>
  <c r="T128" i="85" s="1"/>
  <c r="S129" i="85"/>
  <c r="S128" i="85" s="1"/>
  <c r="R129" i="85"/>
  <c r="R128" i="85" s="1"/>
  <c r="Q129" i="85"/>
  <c r="Q128" i="85" s="1"/>
  <c r="P129" i="85"/>
  <c r="P128" i="85" s="1"/>
  <c r="O129" i="85"/>
  <c r="O128" i="85" s="1"/>
  <c r="N129" i="85"/>
  <c r="N128" i="85" s="1"/>
  <c r="AQ128" i="85"/>
  <c r="AP128" i="85"/>
  <c r="AN128" i="85"/>
  <c r="AM128" i="85"/>
  <c r="AL128" i="85"/>
  <c r="AK128" i="85"/>
  <c r="AJ128" i="85"/>
  <c r="AI128" i="85"/>
  <c r="AH128" i="85"/>
  <c r="AF128" i="85"/>
  <c r="AE128" i="85"/>
  <c r="AD128" i="85"/>
  <c r="V128" i="85"/>
  <c r="M128" i="85"/>
  <c r="L128" i="85"/>
  <c r="K128" i="85"/>
  <c r="J128" i="85"/>
  <c r="I128" i="85"/>
  <c r="H128" i="85"/>
  <c r="G128" i="85"/>
  <c r="F128" i="85"/>
  <c r="E128" i="85"/>
  <c r="D128" i="85"/>
  <c r="C128" i="85"/>
  <c r="B128" i="85"/>
  <c r="AQ126" i="85"/>
  <c r="AP126" i="85"/>
  <c r="AN126" i="85"/>
  <c r="AM126" i="85"/>
  <c r="AM123" i="85" s="1"/>
  <c r="AL126" i="85"/>
  <c r="AK126" i="85"/>
  <c r="BG169" i="18" s="1"/>
  <c r="AG126" i="85"/>
  <c r="AG125" i="85"/>
  <c r="AG124" i="85"/>
  <c r="AO125" i="85"/>
  <c r="AO124" i="85"/>
  <c r="AK125" i="85"/>
  <c r="AK124" i="85"/>
  <c r="AK123" i="85" s="1"/>
  <c r="AC126" i="85"/>
  <c r="AY169" i="18" s="1"/>
  <c r="AB126" i="85"/>
  <c r="AX169" i="18" s="1"/>
  <c r="AA126" i="85"/>
  <c r="Z126" i="85"/>
  <c r="AV169" i="18" s="1"/>
  <c r="Y126" i="85"/>
  <c r="AU169" i="18" s="1"/>
  <c r="X126" i="85"/>
  <c r="AT169" i="18" s="1"/>
  <c r="W126" i="85"/>
  <c r="V126" i="85"/>
  <c r="AR169" i="18" s="1"/>
  <c r="U126" i="85"/>
  <c r="AQ169" i="18" s="1"/>
  <c r="T126" i="85"/>
  <c r="S126" i="85"/>
  <c r="R126" i="85"/>
  <c r="Q126" i="85"/>
  <c r="P126" i="85"/>
  <c r="O126" i="85"/>
  <c r="N126" i="85"/>
  <c r="AC125" i="85"/>
  <c r="AY168" i="18" s="1"/>
  <c r="AB125" i="85"/>
  <c r="AA125" i="85"/>
  <c r="Z125" i="85"/>
  <c r="Y125" i="85"/>
  <c r="X125" i="85"/>
  <c r="W125" i="85"/>
  <c r="V125" i="85"/>
  <c r="U125" i="85"/>
  <c r="AQ168" i="18" s="1"/>
  <c r="T125" i="85"/>
  <c r="AP168" i="18" s="1"/>
  <c r="S125" i="85"/>
  <c r="R125" i="85"/>
  <c r="AN168" i="18" s="1"/>
  <c r="Q125" i="85"/>
  <c r="AM168" i="18" s="1"/>
  <c r="P125" i="85"/>
  <c r="AL168" i="18" s="1"/>
  <c r="O125" i="85"/>
  <c r="N125" i="85"/>
  <c r="AJ168" i="18" s="1"/>
  <c r="AC124" i="85"/>
  <c r="AC123" i="85" s="1"/>
  <c r="AB124" i="85"/>
  <c r="AX167" i="18" s="1"/>
  <c r="AA124" i="85"/>
  <c r="AA123" i="85" s="1"/>
  <c r="Z124" i="85"/>
  <c r="Z123" i="85" s="1"/>
  <c r="Y124" i="85"/>
  <c r="Y123" i="85" s="1"/>
  <c r="X124" i="85"/>
  <c r="X123" i="85" s="1"/>
  <c r="W124" i="85"/>
  <c r="W123" i="85" s="1"/>
  <c r="V124" i="85"/>
  <c r="V123" i="85" s="1"/>
  <c r="U124" i="85"/>
  <c r="U123" i="85" s="1"/>
  <c r="T124" i="85"/>
  <c r="T123" i="85" s="1"/>
  <c r="S124" i="85"/>
  <c r="S123" i="85" s="1"/>
  <c r="R124" i="85"/>
  <c r="R123" i="85" s="1"/>
  <c r="Q124" i="85"/>
  <c r="Q123" i="85" s="1"/>
  <c r="P124" i="85"/>
  <c r="P123" i="85" s="1"/>
  <c r="O124" i="85"/>
  <c r="O123" i="85" s="1"/>
  <c r="N124" i="85"/>
  <c r="N123" i="85" s="1"/>
  <c r="AQ123" i="85"/>
  <c r="AN123" i="85"/>
  <c r="AL123" i="85"/>
  <c r="AJ123" i="85"/>
  <c r="AI123" i="85"/>
  <c r="AH123" i="85"/>
  <c r="AF123" i="85"/>
  <c r="AE123" i="85"/>
  <c r="AD123" i="85"/>
  <c r="AB123" i="85"/>
  <c r="M123" i="85"/>
  <c r="L123" i="85"/>
  <c r="K123" i="85"/>
  <c r="J123" i="85"/>
  <c r="I123" i="85"/>
  <c r="H123" i="85"/>
  <c r="G123" i="85"/>
  <c r="F123" i="85"/>
  <c r="E123" i="85"/>
  <c r="D123" i="85"/>
  <c r="C123" i="85"/>
  <c r="B123" i="85"/>
  <c r="AP121" i="85"/>
  <c r="AS121" i="85" s="1"/>
  <c r="AN121" i="85"/>
  <c r="AM121" i="85"/>
  <c r="AL121" i="85"/>
  <c r="AL118" i="85" s="1"/>
  <c r="AK121" i="85"/>
  <c r="BG161" i="18" s="1"/>
  <c r="AO120" i="85"/>
  <c r="AO119" i="85"/>
  <c r="BK155" i="18" s="1"/>
  <c r="AK120" i="85"/>
  <c r="AK119" i="85"/>
  <c r="AG121" i="85"/>
  <c r="BC161" i="18" s="1"/>
  <c r="AF121" i="85"/>
  <c r="AE121" i="85"/>
  <c r="BA161" i="18" s="1"/>
  <c r="AD121" i="85"/>
  <c r="AC121" i="85"/>
  <c r="AY161" i="18" s="1"/>
  <c r="AB121" i="85"/>
  <c r="AA121" i="85"/>
  <c r="AW161" i="18" s="1"/>
  <c r="Z121" i="85"/>
  <c r="Y121" i="85"/>
  <c r="AU161" i="18" s="1"/>
  <c r="X121" i="85"/>
  <c r="W121" i="85"/>
  <c r="AS161" i="18" s="1"/>
  <c r="V121" i="85"/>
  <c r="U121" i="85"/>
  <c r="AQ161" i="18" s="1"/>
  <c r="T121" i="85"/>
  <c r="S121" i="85"/>
  <c r="AO161" i="18" s="1"/>
  <c r="R121" i="85"/>
  <c r="Q121" i="85"/>
  <c r="AM161" i="18" s="1"/>
  <c r="P121" i="85"/>
  <c r="O121" i="85"/>
  <c r="AK161" i="18" s="1"/>
  <c r="N121" i="85"/>
  <c r="AG120" i="85"/>
  <c r="BC158" i="18" s="1"/>
  <c r="AF120" i="85"/>
  <c r="AE120" i="85"/>
  <c r="BA158" i="18" s="1"/>
  <c r="AD120" i="85"/>
  <c r="AZ158" i="18" s="1"/>
  <c r="AC120" i="85"/>
  <c r="AB120" i="85"/>
  <c r="AX158" i="18" s="1"/>
  <c r="AA120" i="85"/>
  <c r="AW158" i="18" s="1"/>
  <c r="Z120" i="85"/>
  <c r="AV158" i="18" s="1"/>
  <c r="Y120" i="85"/>
  <c r="X120" i="85"/>
  <c r="AT158" i="18" s="1"/>
  <c r="W120" i="85"/>
  <c r="AS158" i="18" s="1"/>
  <c r="V120" i="85"/>
  <c r="AR158" i="18" s="1"/>
  <c r="U120" i="85"/>
  <c r="T120" i="85"/>
  <c r="AP158" i="18" s="1"/>
  <c r="S120" i="85"/>
  <c r="AO158" i="18" s="1"/>
  <c r="R120" i="85"/>
  <c r="Q120" i="85"/>
  <c r="AM158" i="18" s="1"/>
  <c r="P120" i="85"/>
  <c r="AL158" i="18" s="1"/>
  <c r="O120" i="85"/>
  <c r="AK158" i="18" s="1"/>
  <c r="N120" i="85"/>
  <c r="AJ158" i="18" s="1"/>
  <c r="AG119" i="85"/>
  <c r="AG118" i="85" s="1"/>
  <c r="AF119" i="85"/>
  <c r="BB155" i="18" s="1"/>
  <c r="AE119" i="85"/>
  <c r="AE118" i="85" s="1"/>
  <c r="AD119" i="85"/>
  <c r="AZ155" i="18" s="1"/>
  <c r="AC119" i="85"/>
  <c r="AB119" i="85"/>
  <c r="AB118" i="85" s="1"/>
  <c r="AA119" i="85"/>
  <c r="AW155" i="18" s="1"/>
  <c r="Z119" i="85"/>
  <c r="Z118" i="85" s="1"/>
  <c r="Y119" i="85"/>
  <c r="Y118" i="85" s="1"/>
  <c r="X119" i="85"/>
  <c r="AT155" i="18" s="1"/>
  <c r="W119" i="85"/>
  <c r="W118" i="85" s="1"/>
  <c r="V119" i="85"/>
  <c r="AR155" i="18" s="1"/>
  <c r="U119" i="85"/>
  <c r="T119" i="85"/>
  <c r="T118" i="85" s="1"/>
  <c r="S119" i="85"/>
  <c r="S118" i="85" s="1"/>
  <c r="R119" i="85"/>
  <c r="R118" i="85" s="1"/>
  <c r="Q119" i="85"/>
  <c r="Q118" i="85" s="1"/>
  <c r="P119" i="85"/>
  <c r="P118" i="85" s="1"/>
  <c r="O119" i="85"/>
  <c r="O118" i="85" s="1"/>
  <c r="N119" i="85"/>
  <c r="AJ155" i="18" s="1"/>
  <c r="AQ118" i="85"/>
  <c r="AP118" i="85"/>
  <c r="AN118" i="85"/>
  <c r="AJ118" i="85"/>
  <c r="AI118" i="85"/>
  <c r="AH118" i="85"/>
  <c r="AA118" i="85"/>
  <c r="M118" i="85"/>
  <c r="L118" i="85"/>
  <c r="K118" i="85"/>
  <c r="J118" i="85"/>
  <c r="I118" i="85"/>
  <c r="H118" i="85"/>
  <c r="G118" i="85"/>
  <c r="F118" i="85"/>
  <c r="E118" i="85"/>
  <c r="D118" i="85"/>
  <c r="C118" i="85"/>
  <c r="B118" i="85"/>
  <c r="AG114" i="85"/>
  <c r="AF114" i="85"/>
  <c r="AE114" i="85"/>
  <c r="AD114" i="85"/>
  <c r="AC114" i="85"/>
  <c r="AB114" i="85"/>
  <c r="AA114" i="85"/>
  <c r="Z114" i="85"/>
  <c r="Y114" i="85"/>
  <c r="X114" i="85"/>
  <c r="W114" i="85"/>
  <c r="V114" i="85"/>
  <c r="U114" i="85"/>
  <c r="T114" i="85"/>
  <c r="S114" i="85"/>
  <c r="R114" i="85"/>
  <c r="Q114" i="85"/>
  <c r="P114" i="85"/>
  <c r="O114" i="85"/>
  <c r="N114" i="85"/>
  <c r="M114" i="85"/>
  <c r="L114" i="85"/>
  <c r="K114" i="85"/>
  <c r="J114" i="85"/>
  <c r="I114" i="85"/>
  <c r="H114" i="85"/>
  <c r="G114" i="85"/>
  <c r="F114" i="85"/>
  <c r="E114" i="85"/>
  <c r="D114" i="85"/>
  <c r="C114" i="85"/>
  <c r="B114" i="85"/>
  <c r="AG109" i="85"/>
  <c r="AF109" i="85"/>
  <c r="AE109" i="85"/>
  <c r="AD109" i="85"/>
  <c r="AC109" i="85"/>
  <c r="AB109" i="85"/>
  <c r="AA109" i="85"/>
  <c r="Z109" i="85"/>
  <c r="Y109" i="85"/>
  <c r="X109" i="85"/>
  <c r="W109" i="85"/>
  <c r="V109" i="85"/>
  <c r="U109" i="85"/>
  <c r="T109" i="85"/>
  <c r="S109" i="85"/>
  <c r="R109" i="85"/>
  <c r="Q109" i="85"/>
  <c r="P109" i="85"/>
  <c r="O109" i="85"/>
  <c r="N109" i="85"/>
  <c r="M109" i="85"/>
  <c r="L109" i="85"/>
  <c r="K109" i="85"/>
  <c r="J109" i="85"/>
  <c r="I109" i="85"/>
  <c r="H109" i="85"/>
  <c r="G109" i="85"/>
  <c r="F109" i="85"/>
  <c r="E109" i="85"/>
  <c r="D109" i="85"/>
  <c r="C109" i="85"/>
  <c r="B109" i="85"/>
  <c r="AG104" i="85"/>
  <c r="AF104" i="85"/>
  <c r="AE104" i="85"/>
  <c r="AD104" i="85"/>
  <c r="AC104" i="85"/>
  <c r="AB104" i="85"/>
  <c r="AA104" i="85"/>
  <c r="Z104" i="85"/>
  <c r="Y104" i="85"/>
  <c r="X104" i="85"/>
  <c r="W104" i="85"/>
  <c r="V104" i="85"/>
  <c r="U104" i="85"/>
  <c r="T104" i="85"/>
  <c r="S104" i="85"/>
  <c r="R104" i="85"/>
  <c r="Q104" i="85"/>
  <c r="P104" i="85"/>
  <c r="O104" i="85"/>
  <c r="N104" i="85"/>
  <c r="M104" i="85"/>
  <c r="L104" i="85"/>
  <c r="K104" i="85"/>
  <c r="J104" i="85"/>
  <c r="I104" i="85"/>
  <c r="H104" i="85"/>
  <c r="G104" i="85"/>
  <c r="F104" i="85"/>
  <c r="E104" i="85"/>
  <c r="D104" i="85"/>
  <c r="C104" i="85"/>
  <c r="B104" i="85"/>
  <c r="AG99" i="85"/>
  <c r="AF99" i="85"/>
  <c r="AE99" i="85"/>
  <c r="AD99" i="85"/>
  <c r="AC99" i="85"/>
  <c r="AB99" i="85"/>
  <c r="AA99" i="85"/>
  <c r="Z99" i="85"/>
  <c r="Y99" i="85"/>
  <c r="X99" i="85"/>
  <c r="W99" i="85"/>
  <c r="V99" i="85"/>
  <c r="U99" i="85"/>
  <c r="T99" i="85"/>
  <c r="S99" i="85"/>
  <c r="R99" i="85"/>
  <c r="Q99" i="85"/>
  <c r="P99" i="85"/>
  <c r="O99" i="85"/>
  <c r="N99" i="85"/>
  <c r="M99" i="85"/>
  <c r="L99" i="85"/>
  <c r="K99" i="85"/>
  <c r="J99" i="85"/>
  <c r="I99" i="85"/>
  <c r="H99" i="85"/>
  <c r="G99" i="85"/>
  <c r="F99" i="85"/>
  <c r="E99" i="85"/>
  <c r="D99" i="85"/>
  <c r="C99" i="85"/>
  <c r="B99" i="85"/>
  <c r="AQ97" i="85"/>
  <c r="AP97" i="85"/>
  <c r="AN97" i="85"/>
  <c r="AM97" i="85"/>
  <c r="AL97" i="85"/>
  <c r="AK97" i="85"/>
  <c r="BG126" i="18" s="1"/>
  <c r="U97" i="85"/>
  <c r="AQ126" i="18" s="1"/>
  <c r="U96" i="85"/>
  <c r="AQ125" i="18" s="1"/>
  <c r="U95" i="85"/>
  <c r="AQ124" i="18" s="1"/>
  <c r="AO96" i="85"/>
  <c r="BK125" i="18" s="1"/>
  <c r="AO95" i="85"/>
  <c r="BK124" i="18" s="1"/>
  <c r="AQ90" i="85"/>
  <c r="AP90" i="85"/>
  <c r="AO90" i="85"/>
  <c r="BK120" i="18" s="1"/>
  <c r="AN90" i="85"/>
  <c r="AM90" i="85"/>
  <c r="AL90" i="85"/>
  <c r="BH120" i="18" s="1"/>
  <c r="AK90" i="85"/>
  <c r="BG120" i="18" s="1"/>
  <c r="AJ90" i="85"/>
  <c r="BF120" i="18" s="1"/>
  <c r="AI90" i="85"/>
  <c r="BE120" i="18" s="1"/>
  <c r="AH90" i="85"/>
  <c r="BD120" i="18" s="1"/>
  <c r="AG90" i="85"/>
  <c r="BC120" i="18" s="1"/>
  <c r="AF90" i="85"/>
  <c r="BB120" i="18" s="1"/>
  <c r="AE90" i="85"/>
  <c r="AD90" i="85"/>
  <c r="AC90" i="85"/>
  <c r="AY120" i="18" s="1"/>
  <c r="AB90" i="85"/>
  <c r="AX120" i="18" s="1"/>
  <c r="AA90" i="85"/>
  <c r="AW120" i="18" s="1"/>
  <c r="Z90" i="85"/>
  <c r="Y90" i="85"/>
  <c r="AU120" i="18" s="1"/>
  <c r="X90" i="85"/>
  <c r="AT120" i="18" s="1"/>
  <c r="W90" i="85"/>
  <c r="V90" i="85"/>
  <c r="AR120" i="18" s="1"/>
  <c r="U90" i="85"/>
  <c r="AQ120" i="18" s="1"/>
  <c r="T90" i="85"/>
  <c r="S90" i="85"/>
  <c r="AO120" i="18" s="1"/>
  <c r="R90" i="85"/>
  <c r="Q90" i="85"/>
  <c r="AM120" i="18" s="1"/>
  <c r="P90" i="85"/>
  <c r="AL120" i="18" s="1"/>
  <c r="O90" i="85"/>
  <c r="N90" i="85"/>
  <c r="AJ120" i="18" s="1"/>
  <c r="M90" i="85"/>
  <c r="AI120" i="18" s="1"/>
  <c r="L90" i="85"/>
  <c r="AH120" i="18" s="1"/>
  <c r="K90" i="85"/>
  <c r="J90" i="85"/>
  <c r="I90" i="85"/>
  <c r="AE120" i="18" s="1"/>
  <c r="H90" i="85"/>
  <c r="G90" i="85"/>
  <c r="AC120" i="18" s="1"/>
  <c r="F90" i="85"/>
  <c r="AB120" i="18" s="1"/>
  <c r="E90" i="85"/>
  <c r="AA120" i="18" s="1"/>
  <c r="D90" i="85"/>
  <c r="Z120" i="18" s="1"/>
  <c r="C90" i="85"/>
  <c r="B90" i="85"/>
  <c r="AQ89" i="85"/>
  <c r="AP89" i="85"/>
  <c r="AO89" i="85"/>
  <c r="BK119" i="18" s="1"/>
  <c r="AN89" i="85"/>
  <c r="AM89" i="85"/>
  <c r="BI119" i="18" s="1"/>
  <c r="AL89" i="85"/>
  <c r="BH119" i="18" s="1"/>
  <c r="AK89" i="85"/>
  <c r="BG119" i="18" s="1"/>
  <c r="AJ89" i="85"/>
  <c r="BF119" i="18" s="1"/>
  <c r="AI89" i="85"/>
  <c r="BE119" i="18" s="1"/>
  <c r="AH89" i="85"/>
  <c r="BD119" i="18" s="1"/>
  <c r="AO88" i="85"/>
  <c r="BK118" i="18" s="1"/>
  <c r="AN88" i="85"/>
  <c r="BJ118" i="18" s="1"/>
  <c r="AM88" i="85"/>
  <c r="BI118" i="18" s="1"/>
  <c r="AL88" i="85"/>
  <c r="BH118" i="18" s="1"/>
  <c r="AK88" i="85"/>
  <c r="BG118" i="18" s="1"/>
  <c r="AJ88" i="85"/>
  <c r="BF118" i="18" s="1"/>
  <c r="AI88" i="85"/>
  <c r="AH88" i="85"/>
  <c r="BD118" i="18" s="1"/>
  <c r="Y87" i="85"/>
  <c r="X87" i="85"/>
  <c r="X85" i="85" s="1"/>
  <c r="W87" i="85"/>
  <c r="V87" i="85"/>
  <c r="U87" i="85"/>
  <c r="T87" i="85"/>
  <c r="T85" i="85" s="1"/>
  <c r="S87" i="85"/>
  <c r="AO117" i="18" s="1"/>
  <c r="R87" i="85"/>
  <c r="R85" i="85" s="1"/>
  <c r="Q87" i="85"/>
  <c r="P87" i="85"/>
  <c r="P85" i="85" s="1"/>
  <c r="O87" i="85"/>
  <c r="AK117" i="18" s="1"/>
  <c r="N87" i="85"/>
  <c r="N85" i="85" s="1"/>
  <c r="M87" i="85"/>
  <c r="L87" i="85"/>
  <c r="L85" i="85" s="1"/>
  <c r="K87" i="85"/>
  <c r="J87" i="85"/>
  <c r="J85" i="85" s="1"/>
  <c r="I87" i="85"/>
  <c r="H87" i="85"/>
  <c r="H85" i="85" s="1"/>
  <c r="G87" i="85"/>
  <c r="F87" i="85"/>
  <c r="F85" i="85" s="1"/>
  <c r="E87" i="85"/>
  <c r="D87" i="85"/>
  <c r="D85" i="85" s="1"/>
  <c r="C87" i="85"/>
  <c r="Y117" i="18" s="1"/>
  <c r="B87" i="85"/>
  <c r="B85" i="85" s="1"/>
  <c r="AO86" i="85"/>
  <c r="AO85" i="85" s="1"/>
  <c r="AN86" i="85"/>
  <c r="AN85" i="85" s="1"/>
  <c r="AM86" i="85"/>
  <c r="AL86" i="85"/>
  <c r="AK86" i="85"/>
  <c r="AK85" i="85" s="1"/>
  <c r="AP85" i="85"/>
  <c r="AM85" i="85"/>
  <c r="AL85" i="85"/>
  <c r="AJ85" i="85"/>
  <c r="AI85" i="85"/>
  <c r="AH85" i="85"/>
  <c r="AG85" i="85"/>
  <c r="AF85" i="85"/>
  <c r="AE85" i="85"/>
  <c r="AD85" i="85"/>
  <c r="AC85" i="85"/>
  <c r="AB85" i="85"/>
  <c r="AA85" i="85"/>
  <c r="Z85" i="85"/>
  <c r="V85" i="85"/>
  <c r="AQ80" i="85"/>
  <c r="AP80" i="85"/>
  <c r="AO80" i="85"/>
  <c r="AN80" i="85"/>
  <c r="AM80" i="85"/>
  <c r="AL80" i="85"/>
  <c r="AK80" i="85"/>
  <c r="AJ80" i="85"/>
  <c r="AI80" i="85"/>
  <c r="AH80" i="85"/>
  <c r="AG80" i="85"/>
  <c r="AF80" i="85"/>
  <c r="AE80" i="85"/>
  <c r="AD80" i="85"/>
  <c r="AC80" i="85"/>
  <c r="AB80" i="85"/>
  <c r="AA80" i="85"/>
  <c r="Z80" i="85"/>
  <c r="Y80" i="85"/>
  <c r="X80" i="85"/>
  <c r="W80" i="85"/>
  <c r="V80" i="85"/>
  <c r="U80" i="85"/>
  <c r="T80" i="85"/>
  <c r="S80" i="85"/>
  <c r="R80" i="85"/>
  <c r="Q80" i="85"/>
  <c r="P80" i="85"/>
  <c r="O80" i="85"/>
  <c r="N80" i="85"/>
  <c r="M80" i="85"/>
  <c r="L80" i="85"/>
  <c r="K80" i="85"/>
  <c r="J80" i="85"/>
  <c r="I80" i="85"/>
  <c r="H80" i="85"/>
  <c r="G80" i="85"/>
  <c r="F80" i="85"/>
  <c r="E80" i="85"/>
  <c r="D80" i="85"/>
  <c r="C80" i="85"/>
  <c r="B80" i="85"/>
  <c r="R79" i="85"/>
  <c r="R67" i="85" s="1"/>
  <c r="R78" i="85"/>
  <c r="Y79" i="85"/>
  <c r="X79" i="85"/>
  <c r="X67" i="85" s="1"/>
  <c r="W79" i="85"/>
  <c r="W67" i="85" s="1"/>
  <c r="V79" i="85"/>
  <c r="V67" i="85" s="1"/>
  <c r="U79" i="85"/>
  <c r="T79" i="85"/>
  <c r="T67" i="85" s="1"/>
  <c r="Y78" i="85"/>
  <c r="Y66" i="85" s="1"/>
  <c r="X78" i="85"/>
  <c r="W78" i="85"/>
  <c r="V78" i="85"/>
  <c r="V77" i="85" s="1"/>
  <c r="U78" i="85"/>
  <c r="U77" i="85" s="1"/>
  <c r="T78" i="85"/>
  <c r="AQ77" i="85"/>
  <c r="AP77" i="85"/>
  <c r="AO77" i="85"/>
  <c r="AN77" i="85"/>
  <c r="AM77" i="85"/>
  <c r="AL77" i="85"/>
  <c r="AK77" i="85"/>
  <c r="AJ77" i="85"/>
  <c r="AI77" i="85"/>
  <c r="AH77" i="85"/>
  <c r="AG77" i="85"/>
  <c r="AF77" i="85"/>
  <c r="AE77" i="85"/>
  <c r="AD77" i="85"/>
  <c r="AC77" i="85"/>
  <c r="AB77" i="85"/>
  <c r="AA77" i="85"/>
  <c r="Z77" i="85"/>
  <c r="Y77" i="85"/>
  <c r="W77" i="85"/>
  <c r="S77" i="85"/>
  <c r="Q77" i="85"/>
  <c r="P77" i="85"/>
  <c r="O77" i="85"/>
  <c r="N77" i="85"/>
  <c r="M77" i="85"/>
  <c r="L77" i="85"/>
  <c r="K77" i="85"/>
  <c r="J77" i="85"/>
  <c r="I77" i="85"/>
  <c r="H77" i="85"/>
  <c r="G77" i="85"/>
  <c r="F77" i="85"/>
  <c r="E77" i="85"/>
  <c r="D77" i="85"/>
  <c r="C77" i="85"/>
  <c r="B77" i="85"/>
  <c r="AH76" i="85"/>
  <c r="AH74" i="85" s="1"/>
  <c r="AQ74" i="85"/>
  <c r="AP74" i="85"/>
  <c r="AO74" i="85"/>
  <c r="AN74" i="85"/>
  <c r="AM74" i="85"/>
  <c r="AL74" i="85"/>
  <c r="AK74" i="85"/>
  <c r="AJ74" i="85"/>
  <c r="AI74" i="85"/>
  <c r="AG74" i="85"/>
  <c r="AF74" i="85"/>
  <c r="AE74" i="85"/>
  <c r="AD74" i="85"/>
  <c r="AC74" i="85"/>
  <c r="AB74" i="85"/>
  <c r="AA74" i="85"/>
  <c r="Z74" i="85"/>
  <c r="Y74" i="85"/>
  <c r="X74" i="85"/>
  <c r="W74" i="85"/>
  <c r="V74" i="85"/>
  <c r="U74" i="85"/>
  <c r="T74" i="85"/>
  <c r="S74" i="85"/>
  <c r="R74" i="85"/>
  <c r="Q74" i="85"/>
  <c r="P74" i="85"/>
  <c r="O74" i="85"/>
  <c r="N74" i="85"/>
  <c r="M74" i="85"/>
  <c r="L74" i="85"/>
  <c r="K74" i="85"/>
  <c r="J74" i="85"/>
  <c r="I74" i="85"/>
  <c r="H74" i="85"/>
  <c r="G74" i="85"/>
  <c r="F74" i="85"/>
  <c r="E74" i="85"/>
  <c r="D74" i="85"/>
  <c r="C74" i="85"/>
  <c r="B74" i="85"/>
  <c r="AQ71" i="85"/>
  <c r="AP71" i="85"/>
  <c r="AO71" i="85"/>
  <c r="AN71" i="85"/>
  <c r="AM71" i="85"/>
  <c r="AL71" i="85"/>
  <c r="AK71" i="85"/>
  <c r="AJ71" i="85"/>
  <c r="AI71" i="85"/>
  <c r="AH71" i="85"/>
  <c r="AG71" i="85"/>
  <c r="AF71" i="85"/>
  <c r="AE71" i="85"/>
  <c r="AC71" i="85"/>
  <c r="AB71" i="85"/>
  <c r="AA71" i="85"/>
  <c r="Z71" i="85"/>
  <c r="Y71" i="85"/>
  <c r="X71" i="85"/>
  <c r="W71" i="85"/>
  <c r="V71" i="85"/>
  <c r="U71" i="85"/>
  <c r="T71" i="85"/>
  <c r="Q71" i="85"/>
  <c r="P71" i="85"/>
  <c r="O71" i="85"/>
  <c r="M71" i="85"/>
  <c r="L71" i="85"/>
  <c r="K71" i="85"/>
  <c r="I71" i="85"/>
  <c r="H71" i="85"/>
  <c r="G71" i="85"/>
  <c r="F71" i="85"/>
  <c r="E71" i="85"/>
  <c r="D71" i="85"/>
  <c r="C71" i="85"/>
  <c r="B71" i="85"/>
  <c r="AQ70" i="85"/>
  <c r="AP70" i="85"/>
  <c r="AO70" i="85"/>
  <c r="AN70" i="85"/>
  <c r="AM70" i="85"/>
  <c r="AL70" i="85"/>
  <c r="AK70" i="85"/>
  <c r="AJ70" i="85"/>
  <c r="AI70" i="85"/>
  <c r="AH70" i="85"/>
  <c r="AG70" i="85"/>
  <c r="AF70" i="85"/>
  <c r="AE70" i="85"/>
  <c r="AC70" i="85"/>
  <c r="AB70" i="85"/>
  <c r="AA70" i="85"/>
  <c r="Z70" i="85"/>
  <c r="Y70" i="85"/>
  <c r="X70" i="85"/>
  <c r="W70" i="85"/>
  <c r="V70" i="85"/>
  <c r="U70" i="85"/>
  <c r="T70" i="85"/>
  <c r="S70" i="85"/>
  <c r="R70" i="85"/>
  <c r="Q70" i="85"/>
  <c r="P70" i="85"/>
  <c r="O70" i="85"/>
  <c r="N70" i="85"/>
  <c r="M70" i="85"/>
  <c r="L70" i="85"/>
  <c r="K70" i="85"/>
  <c r="J70" i="85"/>
  <c r="I70" i="85"/>
  <c r="H70" i="85"/>
  <c r="G70" i="85"/>
  <c r="F70" i="85"/>
  <c r="E70" i="85"/>
  <c r="D70" i="85"/>
  <c r="C70" i="85"/>
  <c r="B70" i="85"/>
  <c r="AQ69" i="85"/>
  <c r="AP69" i="85"/>
  <c r="AO69" i="85"/>
  <c r="AN69" i="85"/>
  <c r="AM69" i="85"/>
  <c r="AL69" i="85"/>
  <c r="AK69" i="85"/>
  <c r="AJ69" i="85"/>
  <c r="AI69" i="85"/>
  <c r="AH69" i="85"/>
  <c r="AG69" i="85"/>
  <c r="AF69" i="85"/>
  <c r="AE69" i="85"/>
  <c r="AC69" i="85"/>
  <c r="AB69" i="85"/>
  <c r="AA69" i="85"/>
  <c r="Z69" i="85"/>
  <c r="Y69" i="85"/>
  <c r="X69" i="85"/>
  <c r="W69" i="85"/>
  <c r="V69" i="85"/>
  <c r="U69" i="85"/>
  <c r="T69" i="85"/>
  <c r="S69" i="85"/>
  <c r="R69" i="85"/>
  <c r="Q69" i="85"/>
  <c r="P69" i="85"/>
  <c r="O69" i="85"/>
  <c r="N69" i="85"/>
  <c r="M69" i="85"/>
  <c r="L69" i="85"/>
  <c r="K69" i="85"/>
  <c r="J69" i="85"/>
  <c r="I69" i="85"/>
  <c r="H69" i="85"/>
  <c r="G69" i="85"/>
  <c r="F69" i="85"/>
  <c r="E69" i="85"/>
  <c r="D69" i="85"/>
  <c r="C69" i="85"/>
  <c r="B69" i="85"/>
  <c r="AQ67" i="85"/>
  <c r="AP67" i="85"/>
  <c r="AO67" i="85"/>
  <c r="AN67" i="85"/>
  <c r="AM67" i="85"/>
  <c r="AL67" i="85"/>
  <c r="AK67" i="85"/>
  <c r="AJ67" i="85"/>
  <c r="AI67" i="85"/>
  <c r="AH67" i="85"/>
  <c r="AG67" i="85"/>
  <c r="AF67" i="85"/>
  <c r="AE67" i="85"/>
  <c r="AC67" i="85"/>
  <c r="AB67" i="85"/>
  <c r="AA67" i="85"/>
  <c r="Z67" i="85"/>
  <c r="Y67" i="85"/>
  <c r="U67" i="85"/>
  <c r="S67" i="85"/>
  <c r="Q67" i="85"/>
  <c r="P67" i="85"/>
  <c r="O67" i="85"/>
  <c r="N67" i="85"/>
  <c r="M67" i="85"/>
  <c r="L67" i="85"/>
  <c r="K67" i="85"/>
  <c r="J67" i="85"/>
  <c r="I67" i="85"/>
  <c r="H67" i="85"/>
  <c r="G67" i="85"/>
  <c r="F67" i="85"/>
  <c r="E67" i="85"/>
  <c r="D67" i="85"/>
  <c r="C67" i="85"/>
  <c r="B67" i="85"/>
  <c r="AQ66" i="85"/>
  <c r="AP66" i="85"/>
  <c r="AO66" i="85"/>
  <c r="AN66" i="85"/>
  <c r="AM66" i="85"/>
  <c r="AL66" i="85"/>
  <c r="AK66" i="85"/>
  <c r="AJ66" i="85"/>
  <c r="AI66" i="85"/>
  <c r="AH66" i="85"/>
  <c r="AG66" i="85"/>
  <c r="AF66" i="85"/>
  <c r="AE66" i="85"/>
  <c r="AC66" i="85"/>
  <c r="AB66" i="85"/>
  <c r="AA66" i="85"/>
  <c r="Z66" i="85"/>
  <c r="X66" i="85"/>
  <c r="W66" i="85"/>
  <c r="V66" i="85"/>
  <c r="U66" i="85"/>
  <c r="T66" i="85"/>
  <c r="S66" i="85"/>
  <c r="Q66" i="85"/>
  <c r="P66" i="85"/>
  <c r="O66" i="85"/>
  <c r="N66" i="85"/>
  <c r="M66" i="85"/>
  <c r="L66" i="85"/>
  <c r="K66" i="85"/>
  <c r="J66" i="85"/>
  <c r="I66" i="85"/>
  <c r="H66" i="85"/>
  <c r="G66" i="85"/>
  <c r="F66" i="85"/>
  <c r="E66" i="85"/>
  <c r="D66" i="85"/>
  <c r="C66" i="85"/>
  <c r="B66" i="85"/>
  <c r="AQ64" i="85"/>
  <c r="AP64" i="85"/>
  <c r="AO64" i="85"/>
  <c r="AN64" i="85"/>
  <c r="AM64" i="85"/>
  <c r="AL64" i="85"/>
  <c r="AK64" i="85"/>
  <c r="AJ64" i="85"/>
  <c r="AI64" i="85"/>
  <c r="AH64" i="85"/>
  <c r="AG64" i="85"/>
  <c r="AF64" i="85"/>
  <c r="AE64" i="85"/>
  <c r="AC64" i="85"/>
  <c r="AB64" i="85"/>
  <c r="AA64" i="85"/>
  <c r="Z64" i="85"/>
  <c r="Y64" i="85"/>
  <c r="X64" i="85"/>
  <c r="W64" i="85"/>
  <c r="V64" i="85"/>
  <c r="U64" i="85"/>
  <c r="T64" i="85"/>
  <c r="S64" i="85"/>
  <c r="R64" i="85"/>
  <c r="Q64" i="85"/>
  <c r="P64" i="85"/>
  <c r="O64" i="85"/>
  <c r="N64" i="85"/>
  <c r="M64" i="85"/>
  <c r="L64" i="85"/>
  <c r="K64" i="85"/>
  <c r="J64" i="85"/>
  <c r="I64" i="85"/>
  <c r="H64" i="85"/>
  <c r="G64" i="85"/>
  <c r="F64" i="85"/>
  <c r="E64" i="85"/>
  <c r="D64" i="85"/>
  <c r="C64" i="85"/>
  <c r="B64" i="85"/>
  <c r="AQ63" i="85"/>
  <c r="AP63" i="85"/>
  <c r="AO63" i="85"/>
  <c r="AN63" i="85"/>
  <c r="AM63" i="85"/>
  <c r="AL63" i="85"/>
  <c r="AK63" i="85"/>
  <c r="AJ63" i="85"/>
  <c r="AI63" i="85"/>
  <c r="AH63" i="85"/>
  <c r="AG63" i="85"/>
  <c r="AF63" i="85"/>
  <c r="AE63" i="85"/>
  <c r="AC63" i="85"/>
  <c r="AB63" i="85"/>
  <c r="AA63" i="85"/>
  <c r="Z63" i="85"/>
  <c r="Y63" i="85"/>
  <c r="X63" i="85"/>
  <c r="W63" i="85"/>
  <c r="V63" i="85"/>
  <c r="U63" i="85"/>
  <c r="T63" i="85"/>
  <c r="S63" i="85"/>
  <c r="R63" i="85"/>
  <c r="Q63" i="85"/>
  <c r="P63" i="85"/>
  <c r="O63" i="85"/>
  <c r="N63" i="85"/>
  <c r="M63" i="85"/>
  <c r="L63" i="85"/>
  <c r="K63" i="85"/>
  <c r="J63" i="85"/>
  <c r="I63" i="85"/>
  <c r="H63" i="85"/>
  <c r="G63" i="85"/>
  <c r="F63" i="85"/>
  <c r="E63" i="85"/>
  <c r="D63" i="85"/>
  <c r="C63" i="85"/>
  <c r="B63" i="85"/>
  <c r="P61" i="85"/>
  <c r="N59" i="85"/>
  <c r="N58" i="85"/>
  <c r="AJ61" i="18" s="1"/>
  <c r="J59" i="85"/>
  <c r="L59" i="85" s="1"/>
  <c r="J58" i="85"/>
  <c r="J71" i="85" s="1"/>
  <c r="AD58" i="85"/>
  <c r="AD71" i="85" s="1"/>
  <c r="AD57" i="85"/>
  <c r="AD70" i="85" s="1"/>
  <c r="AD56" i="85"/>
  <c r="AD54" i="85"/>
  <c r="AD53" i="85"/>
  <c r="AD66" i="85" s="1"/>
  <c r="AD51" i="85"/>
  <c r="AD64" i="85" s="1"/>
  <c r="AD50" i="85"/>
  <c r="AZ54" i="18" s="1"/>
  <c r="AQ55" i="85"/>
  <c r="AP55" i="85"/>
  <c r="AP68" i="85" s="1"/>
  <c r="AO55" i="85"/>
  <c r="AN55" i="85"/>
  <c r="AN68" i="85" s="1"/>
  <c r="AM55" i="85"/>
  <c r="AL55" i="85"/>
  <c r="AL68" i="85" s="1"/>
  <c r="AK55" i="85"/>
  <c r="AJ55" i="85"/>
  <c r="AJ68" i="85" s="1"/>
  <c r="AI55" i="85"/>
  <c r="AH55" i="85"/>
  <c r="AH68" i="85" s="1"/>
  <c r="AG55" i="85"/>
  <c r="AF55" i="85"/>
  <c r="AE55" i="85"/>
  <c r="AC55" i="85"/>
  <c r="AB55" i="85"/>
  <c r="AA55" i="85"/>
  <c r="Z55" i="85"/>
  <c r="Y55" i="85"/>
  <c r="X55" i="85"/>
  <c r="W55" i="85"/>
  <c r="V55" i="85"/>
  <c r="U55" i="85"/>
  <c r="T55" i="85"/>
  <c r="S55" i="85"/>
  <c r="R55" i="85"/>
  <c r="Q55" i="85"/>
  <c r="P55" i="85"/>
  <c r="O55" i="85"/>
  <c r="N55" i="85"/>
  <c r="M55" i="85"/>
  <c r="L55" i="85"/>
  <c r="K55" i="85"/>
  <c r="J55" i="85"/>
  <c r="I55" i="85"/>
  <c r="H55" i="85"/>
  <c r="G55" i="85"/>
  <c r="F55" i="85"/>
  <c r="E55" i="85"/>
  <c r="D55" i="85"/>
  <c r="C55" i="85"/>
  <c r="B55" i="85"/>
  <c r="AQ52" i="85"/>
  <c r="AP52" i="85"/>
  <c r="AO52" i="85"/>
  <c r="AN52" i="85"/>
  <c r="AM52" i="85"/>
  <c r="AL52" i="85"/>
  <c r="AK52" i="85"/>
  <c r="AJ52" i="85"/>
  <c r="AI52" i="85"/>
  <c r="AH52" i="85"/>
  <c r="AG52" i="85"/>
  <c r="AF52" i="85"/>
  <c r="AE52" i="85"/>
  <c r="AC52" i="85"/>
  <c r="AB52" i="85"/>
  <c r="AB65" i="85" s="1"/>
  <c r="AA52" i="85"/>
  <c r="Z52" i="85"/>
  <c r="Z65" i="85" s="1"/>
  <c r="Y52" i="85"/>
  <c r="X52" i="85"/>
  <c r="W52" i="85"/>
  <c r="V52" i="85"/>
  <c r="V65" i="85" s="1"/>
  <c r="U52" i="85"/>
  <c r="T52" i="85"/>
  <c r="S52" i="85"/>
  <c r="R52" i="85"/>
  <c r="Q52" i="85"/>
  <c r="P52" i="85"/>
  <c r="O52" i="85"/>
  <c r="N52" i="85"/>
  <c r="M52" i="85"/>
  <c r="L52" i="85"/>
  <c r="K52" i="85"/>
  <c r="J52" i="85"/>
  <c r="I52" i="85"/>
  <c r="H52" i="85"/>
  <c r="G52" i="85"/>
  <c r="F52" i="85"/>
  <c r="E52" i="85"/>
  <c r="D52" i="85"/>
  <c r="C52" i="85"/>
  <c r="B52" i="85"/>
  <c r="AQ49" i="85"/>
  <c r="AP49" i="85"/>
  <c r="AO49" i="85"/>
  <c r="AN49" i="85"/>
  <c r="AN62" i="85" s="1"/>
  <c r="AM49" i="85"/>
  <c r="AL49" i="85"/>
  <c r="AL62" i="85" s="1"/>
  <c r="AK49" i="85"/>
  <c r="AJ49" i="85"/>
  <c r="AJ62" i="85" s="1"/>
  <c r="AI49" i="85"/>
  <c r="AH49" i="85"/>
  <c r="AH62" i="85" s="1"/>
  <c r="AG49" i="85"/>
  <c r="AF49" i="85"/>
  <c r="AE49" i="85"/>
  <c r="AC49" i="85"/>
  <c r="AC62" i="85" s="1"/>
  <c r="AB49" i="85"/>
  <c r="AA49" i="85"/>
  <c r="AA62" i="85" s="1"/>
  <c r="Z49" i="85"/>
  <c r="Y49" i="85"/>
  <c r="Y62" i="85" s="1"/>
  <c r="X49" i="85"/>
  <c r="W49" i="85"/>
  <c r="V49" i="85"/>
  <c r="U49" i="85"/>
  <c r="U62" i="85" s="1"/>
  <c r="T49" i="85"/>
  <c r="S49" i="85"/>
  <c r="S62" i="85" s="1"/>
  <c r="R49" i="85"/>
  <c r="Q49" i="85"/>
  <c r="Q62" i="85" s="1"/>
  <c r="P49" i="85"/>
  <c r="O49" i="85"/>
  <c r="N49" i="85"/>
  <c r="M49" i="85"/>
  <c r="L49" i="85"/>
  <c r="K49" i="85"/>
  <c r="K62" i="85" s="1"/>
  <c r="J49" i="85"/>
  <c r="I49" i="85"/>
  <c r="I62" i="85" s="1"/>
  <c r="H49" i="85"/>
  <c r="G49" i="85"/>
  <c r="G62" i="85" s="1"/>
  <c r="F49" i="85"/>
  <c r="E49" i="85"/>
  <c r="D49" i="85"/>
  <c r="C49" i="85"/>
  <c r="C62" i="85" s="1"/>
  <c r="B49" i="85"/>
  <c r="AQ46" i="85"/>
  <c r="AP46" i="85"/>
  <c r="AO46" i="85"/>
  <c r="AN46" i="85"/>
  <c r="AM46" i="85"/>
  <c r="AL46" i="85"/>
  <c r="AH46" i="85"/>
  <c r="AD46" i="85"/>
  <c r="Z46" i="85"/>
  <c r="AQ45" i="85"/>
  <c r="AP45" i="85"/>
  <c r="AO45" i="85"/>
  <c r="AN45" i="85"/>
  <c r="AM45" i="85"/>
  <c r="AL45" i="85"/>
  <c r="AH45" i="85"/>
  <c r="AD45" i="85"/>
  <c r="Z45" i="85"/>
  <c r="AQ43" i="85"/>
  <c r="BM24" i="18" s="1"/>
  <c r="AP43" i="85"/>
  <c r="BL24" i="18" s="1"/>
  <c r="AO43" i="85"/>
  <c r="BK24" i="18" s="1"/>
  <c r="AN43" i="85"/>
  <c r="BJ24" i="18" s="1"/>
  <c r="AM43" i="85"/>
  <c r="AL43" i="85"/>
  <c r="BH24" i="18" s="1"/>
  <c r="AH43" i="85"/>
  <c r="BD24" i="18" s="1"/>
  <c r="AD43" i="85"/>
  <c r="AZ24" i="18" s="1"/>
  <c r="Z43" i="85"/>
  <c r="AV24" i="18" s="1"/>
  <c r="AQ42" i="85"/>
  <c r="BM23" i="18" s="1"/>
  <c r="AP42" i="85"/>
  <c r="BL23" i="18" s="1"/>
  <c r="AO42" i="85"/>
  <c r="AN42" i="85"/>
  <c r="BJ23" i="18" s="1"/>
  <c r="AM42" i="85"/>
  <c r="BI23" i="18" s="1"/>
  <c r="AL42" i="85"/>
  <c r="BH23" i="18" s="1"/>
  <c r="AH42" i="85"/>
  <c r="AD42" i="85"/>
  <c r="AZ23" i="18" s="1"/>
  <c r="Z42" i="85"/>
  <c r="AV23" i="18" s="1"/>
  <c r="D40" i="85"/>
  <c r="C40" i="85"/>
  <c r="B40" i="85"/>
  <c r="X15" i="18" s="1"/>
  <c r="AQ39" i="85"/>
  <c r="BM15" i="18" s="1"/>
  <c r="AP39" i="85"/>
  <c r="BL15" i="18" s="1"/>
  <c r="AO39" i="85"/>
  <c r="BK15" i="18" s="1"/>
  <c r="AN39" i="85"/>
  <c r="AM39" i="85"/>
  <c r="BI15" i="18" s="1"/>
  <c r="AL39" i="85"/>
  <c r="BH15" i="18" s="1"/>
  <c r="AK39" i="85"/>
  <c r="AK42" i="85" s="1"/>
  <c r="AJ39" i="85"/>
  <c r="AJ43" i="85" s="1"/>
  <c r="BF24" i="18" s="1"/>
  <c r="AH39" i="85"/>
  <c r="BD15" i="18" s="1"/>
  <c r="AF39" i="85"/>
  <c r="BB15" i="18" s="1"/>
  <c r="AE39" i="85"/>
  <c r="AD39" i="85"/>
  <c r="AZ15" i="18" s="1"/>
  <c r="AC39" i="85"/>
  <c r="AC43" i="85" s="1"/>
  <c r="AY24" i="18" s="1"/>
  <c r="AB39" i="85"/>
  <c r="AA39" i="85"/>
  <c r="AA43" i="85" s="1"/>
  <c r="AW24" i="18" s="1"/>
  <c r="Z39" i="85"/>
  <c r="AV15" i="18" s="1"/>
  <c r="Y39" i="85"/>
  <c r="Y43" i="85" s="1"/>
  <c r="X39" i="85"/>
  <c r="AT15" i="18" s="1"/>
  <c r="W39" i="85"/>
  <c r="AS15" i="18" s="1"/>
  <c r="V39" i="85"/>
  <c r="AR15" i="18" s="1"/>
  <c r="U39" i="85"/>
  <c r="T39" i="85"/>
  <c r="S39" i="85"/>
  <c r="R39" i="85"/>
  <c r="AN15" i="18" s="1"/>
  <c r="Q39" i="85"/>
  <c r="AM15" i="18" s="1"/>
  <c r="P39" i="85"/>
  <c r="AL15" i="18" s="1"/>
  <c r="O39" i="85"/>
  <c r="N39" i="85"/>
  <c r="AJ15" i="18" s="1"/>
  <c r="M39" i="85"/>
  <c r="L39" i="85"/>
  <c r="K39" i="85"/>
  <c r="J39" i="85"/>
  <c r="AF15" i="18" s="1"/>
  <c r="I39" i="85"/>
  <c r="AE15" i="18" s="1"/>
  <c r="H39" i="85"/>
  <c r="AD15" i="18" s="1"/>
  <c r="G39" i="85"/>
  <c r="AC15" i="18" s="1"/>
  <c r="F39" i="85"/>
  <c r="AB15" i="18" s="1"/>
  <c r="E39" i="85"/>
  <c r="D39" i="85"/>
  <c r="C39" i="85"/>
  <c r="Y15" i="18" s="1"/>
  <c r="B39" i="85"/>
  <c r="AQ38" i="85"/>
  <c r="AP38" i="85"/>
  <c r="AO38" i="85"/>
  <c r="AN38" i="85"/>
  <c r="AM38" i="85"/>
  <c r="AL38" i="85"/>
  <c r="AK38" i="85"/>
  <c r="AJ38" i="85"/>
  <c r="AI38" i="85"/>
  <c r="AH38" i="85"/>
  <c r="AF38" i="85"/>
  <c r="AE38" i="85"/>
  <c r="AD38" i="85"/>
  <c r="AC38" i="85"/>
  <c r="AB38" i="85"/>
  <c r="AA38" i="85"/>
  <c r="Z38" i="85"/>
  <c r="Y38" i="85"/>
  <c r="X38" i="85"/>
  <c r="W38" i="85"/>
  <c r="V38" i="85"/>
  <c r="U38" i="85"/>
  <c r="T38" i="85"/>
  <c r="S38" i="85"/>
  <c r="R38" i="85"/>
  <c r="Q38" i="85"/>
  <c r="P38" i="85"/>
  <c r="O38" i="85"/>
  <c r="AK49" i="18" s="1"/>
  <c r="N38" i="85"/>
  <c r="AJ49" i="18" s="1"/>
  <c r="M38" i="85"/>
  <c r="AI49" i="18" s="1"/>
  <c r="L38" i="85"/>
  <c r="AH49" i="18" s="1"/>
  <c r="K38" i="85"/>
  <c r="AG49" i="18" s="1"/>
  <c r="J38" i="85"/>
  <c r="AF49" i="18" s="1"/>
  <c r="I38" i="85"/>
  <c r="AE49" i="18" s="1"/>
  <c r="H38" i="85"/>
  <c r="AD49" i="18" s="1"/>
  <c r="G38" i="85"/>
  <c r="AC49" i="18" s="1"/>
  <c r="F38" i="85"/>
  <c r="E38" i="85"/>
  <c r="AA49" i="18" s="1"/>
  <c r="D38" i="85"/>
  <c r="Z49" i="18" s="1"/>
  <c r="C38" i="85"/>
  <c r="Y49" i="18" s="1"/>
  <c r="B38" i="85"/>
  <c r="AQ37" i="85"/>
  <c r="AP37" i="85"/>
  <c r="AO37" i="85"/>
  <c r="AN37" i="85"/>
  <c r="AM37" i="85"/>
  <c r="AL37" i="85"/>
  <c r="AK37" i="85"/>
  <c r="AJ37" i="85"/>
  <c r="AI37" i="85"/>
  <c r="AH37" i="85"/>
  <c r="AG37" i="85"/>
  <c r="AF37" i="85"/>
  <c r="AE37" i="85"/>
  <c r="AD37" i="85"/>
  <c r="AC37" i="85"/>
  <c r="AB37" i="85"/>
  <c r="AA37" i="85"/>
  <c r="Z37" i="85"/>
  <c r="Y37" i="85"/>
  <c r="X37" i="85"/>
  <c r="W37" i="85"/>
  <c r="V37" i="85"/>
  <c r="U37" i="85"/>
  <c r="T37" i="85"/>
  <c r="S37" i="85"/>
  <c r="R37" i="85"/>
  <c r="Q37" i="85"/>
  <c r="P37" i="85"/>
  <c r="O37" i="85"/>
  <c r="N37" i="85"/>
  <c r="M37" i="85"/>
  <c r="L37" i="85"/>
  <c r="K37" i="85"/>
  <c r="J37" i="85"/>
  <c r="I37" i="85"/>
  <c r="H37" i="85"/>
  <c r="G37" i="85"/>
  <c r="F37" i="85"/>
  <c r="E37" i="85"/>
  <c r="D37" i="85"/>
  <c r="C37" i="85"/>
  <c r="B37" i="85"/>
  <c r="AQ36" i="85"/>
  <c r="AP36" i="85"/>
  <c r="AO36" i="85"/>
  <c r="AN36" i="85"/>
  <c r="AM36" i="85"/>
  <c r="AL36" i="85"/>
  <c r="AK36" i="85"/>
  <c r="AJ36" i="85"/>
  <c r="AI36" i="85"/>
  <c r="AH36" i="85"/>
  <c r="AG36" i="85"/>
  <c r="AF36" i="85"/>
  <c r="AE36" i="85"/>
  <c r="AD36" i="85"/>
  <c r="AC36" i="85"/>
  <c r="AB36" i="85"/>
  <c r="AA36" i="85"/>
  <c r="Z36" i="85"/>
  <c r="Y36" i="85"/>
  <c r="X36" i="85"/>
  <c r="W36" i="85"/>
  <c r="V36" i="85"/>
  <c r="U36" i="85"/>
  <c r="T36" i="85"/>
  <c r="S36" i="85"/>
  <c r="R36" i="85"/>
  <c r="Q36" i="85"/>
  <c r="P36" i="85"/>
  <c r="O36" i="85"/>
  <c r="N36" i="85"/>
  <c r="M36" i="85"/>
  <c r="L36" i="85"/>
  <c r="K36" i="85"/>
  <c r="J36" i="85"/>
  <c r="I36" i="85"/>
  <c r="H36" i="85"/>
  <c r="G36" i="85"/>
  <c r="F36" i="85"/>
  <c r="E36" i="85"/>
  <c r="D36" i="85"/>
  <c r="C36" i="85"/>
  <c r="B36" i="85"/>
  <c r="AQ35" i="85"/>
  <c r="AP35" i="85"/>
  <c r="AO35" i="85"/>
  <c r="BK47" i="18" s="1"/>
  <c r="AN35" i="85"/>
  <c r="AM35" i="85"/>
  <c r="BI47" i="18" s="1"/>
  <c r="AL35" i="85"/>
  <c r="AK35" i="85"/>
  <c r="BG47" i="18" s="1"/>
  <c r="AJ35" i="85"/>
  <c r="AI35" i="85"/>
  <c r="AH35" i="85"/>
  <c r="AG35" i="85"/>
  <c r="AF35" i="85"/>
  <c r="AE35" i="85"/>
  <c r="BA47" i="18" s="1"/>
  <c r="AD35" i="85"/>
  <c r="AC35" i="85"/>
  <c r="AB35" i="85"/>
  <c r="AA35" i="85"/>
  <c r="Z35" i="85"/>
  <c r="Y35" i="85"/>
  <c r="AU47" i="18" s="1"/>
  <c r="X35" i="85"/>
  <c r="W35" i="85"/>
  <c r="AS47" i="18" s="1"/>
  <c r="V35" i="85"/>
  <c r="U35" i="85"/>
  <c r="AQ47" i="18" s="1"/>
  <c r="T35" i="85"/>
  <c r="S35" i="85"/>
  <c r="R35" i="85"/>
  <c r="Q35" i="85"/>
  <c r="P35" i="85"/>
  <c r="AL47" i="18" s="1"/>
  <c r="O35" i="85"/>
  <c r="AK47" i="18" s="1"/>
  <c r="N35" i="85"/>
  <c r="AJ47" i="18" s="1"/>
  <c r="M35" i="85"/>
  <c r="AI47" i="18" s="1"/>
  <c r="L35" i="85"/>
  <c r="AH47" i="18" s="1"/>
  <c r="K35" i="85"/>
  <c r="J35" i="85"/>
  <c r="AF47" i="18" s="1"/>
  <c r="I35" i="85"/>
  <c r="AE47" i="18" s="1"/>
  <c r="H35" i="85"/>
  <c r="AD47" i="18" s="1"/>
  <c r="G35" i="85"/>
  <c r="F35" i="85"/>
  <c r="AB47" i="18" s="1"/>
  <c r="E35" i="85"/>
  <c r="AA47" i="18" s="1"/>
  <c r="D35" i="85"/>
  <c r="Z47" i="18" s="1"/>
  <c r="C35" i="85"/>
  <c r="Y47" i="18" s="1"/>
  <c r="B35" i="85"/>
  <c r="X47" i="18" s="1"/>
  <c r="AQ34" i="85"/>
  <c r="AP34" i="85"/>
  <c r="AO34" i="85"/>
  <c r="AN34" i="85"/>
  <c r="AM34" i="85"/>
  <c r="BI45" i="18" s="1"/>
  <c r="AL34" i="85"/>
  <c r="AK34" i="85"/>
  <c r="AJ34" i="85"/>
  <c r="AI34" i="85"/>
  <c r="AH34" i="85"/>
  <c r="AG34" i="85"/>
  <c r="AF34" i="85"/>
  <c r="AE34" i="85"/>
  <c r="BA45" i="18" s="1"/>
  <c r="AD34" i="85"/>
  <c r="AC34" i="85"/>
  <c r="AB34" i="85"/>
  <c r="Y34" i="85"/>
  <c r="X34" i="85"/>
  <c r="W34" i="85"/>
  <c r="V34" i="85"/>
  <c r="U34" i="85"/>
  <c r="T34" i="85"/>
  <c r="S34" i="85"/>
  <c r="R34" i="85"/>
  <c r="Q34" i="85"/>
  <c r="P34" i="85"/>
  <c r="O34" i="85"/>
  <c r="N34" i="85"/>
  <c r="M34" i="85"/>
  <c r="AI45" i="18" s="1"/>
  <c r="L34" i="85"/>
  <c r="AH45" i="18" s="1"/>
  <c r="K34" i="85"/>
  <c r="J34" i="85"/>
  <c r="AF45" i="18" s="1"/>
  <c r="I34" i="85"/>
  <c r="AE45" i="18" s="1"/>
  <c r="H34" i="85"/>
  <c r="G34" i="85"/>
  <c r="AC45" i="18" s="1"/>
  <c r="F34" i="85"/>
  <c r="AB45" i="18" s="1"/>
  <c r="E34" i="85"/>
  <c r="D34" i="85"/>
  <c r="Z45" i="18" s="1"/>
  <c r="C34" i="85"/>
  <c r="Y45" i="18" s="1"/>
  <c r="B34" i="85"/>
  <c r="X45" i="18" s="1"/>
  <c r="AP31" i="85"/>
  <c r="BL19" i="18" s="1"/>
  <c r="AL31" i="85"/>
  <c r="BH19" i="18" s="1"/>
  <c r="AH31" i="85"/>
  <c r="AD31" i="85"/>
  <c r="Z31" i="85"/>
  <c r="Y31" i="85"/>
  <c r="X31" i="85"/>
  <c r="W31" i="85"/>
  <c r="V31" i="85"/>
  <c r="U31" i="85"/>
  <c r="T31" i="85"/>
  <c r="S31" i="85"/>
  <c r="R31" i="85"/>
  <c r="Q31" i="85"/>
  <c r="P31" i="85"/>
  <c r="O31" i="85"/>
  <c r="N31" i="85"/>
  <c r="M31" i="85"/>
  <c r="L31" i="85"/>
  <c r="K31" i="85"/>
  <c r="J31" i="85"/>
  <c r="I31" i="85"/>
  <c r="H31" i="85"/>
  <c r="G31" i="85"/>
  <c r="F31" i="85"/>
  <c r="E31" i="85"/>
  <c r="D31" i="85"/>
  <c r="C31" i="85"/>
  <c r="B31" i="85"/>
  <c r="AQ30" i="85"/>
  <c r="AP30" i="85"/>
  <c r="AO30" i="85"/>
  <c r="AN30" i="85"/>
  <c r="AM30" i="85"/>
  <c r="AL30" i="85"/>
  <c r="AH30" i="85"/>
  <c r="AD30" i="85"/>
  <c r="Z30" i="85"/>
  <c r="V30" i="85"/>
  <c r="R30" i="85"/>
  <c r="N30" i="85"/>
  <c r="J30" i="85"/>
  <c r="F30" i="85"/>
  <c r="B30" i="85"/>
  <c r="AQ29" i="85"/>
  <c r="AP29" i="85"/>
  <c r="AO29" i="85"/>
  <c r="BK11" i="18" s="1"/>
  <c r="AN29" i="85"/>
  <c r="AM29" i="85"/>
  <c r="AL29" i="85"/>
  <c r="AK29" i="85"/>
  <c r="AJ29" i="85"/>
  <c r="AI29" i="85"/>
  <c r="AH29" i="85"/>
  <c r="AG29" i="85"/>
  <c r="BC11" i="18" s="1"/>
  <c r="AF29" i="85"/>
  <c r="AE29" i="85"/>
  <c r="AD29" i="85"/>
  <c r="AC29" i="85"/>
  <c r="AB29" i="85"/>
  <c r="AA29" i="85"/>
  <c r="Z29" i="85"/>
  <c r="Y29" i="85"/>
  <c r="AU11" i="18" s="1"/>
  <c r="X29" i="85"/>
  <c r="W29" i="85"/>
  <c r="V29" i="85"/>
  <c r="U29" i="85"/>
  <c r="T29" i="85"/>
  <c r="S29" i="85"/>
  <c r="R29" i="85"/>
  <c r="Q29" i="85"/>
  <c r="AM11" i="18" s="1"/>
  <c r="P29" i="85"/>
  <c r="O29" i="85"/>
  <c r="AK11" i="18" s="1"/>
  <c r="N29" i="85"/>
  <c r="AJ11" i="18" s="1"/>
  <c r="M29" i="85"/>
  <c r="AI11" i="18" s="1"/>
  <c r="L29" i="85"/>
  <c r="AH11" i="18" s="1"/>
  <c r="K29" i="85"/>
  <c r="AG11" i="18" s="1"/>
  <c r="J29" i="85"/>
  <c r="AF11" i="18" s="1"/>
  <c r="I29" i="85"/>
  <c r="AE11" i="18" s="1"/>
  <c r="H29" i="85"/>
  <c r="G29" i="85"/>
  <c r="F29" i="85"/>
  <c r="E29" i="85"/>
  <c r="D29" i="85"/>
  <c r="C29" i="85"/>
  <c r="B29" i="85"/>
  <c r="BM10" i="18"/>
  <c r="AP28" i="85"/>
  <c r="AO28" i="85"/>
  <c r="AN28" i="85"/>
  <c r="AM28" i="85"/>
  <c r="AL28" i="85"/>
  <c r="AK28" i="85"/>
  <c r="AJ28" i="85"/>
  <c r="AI28" i="85"/>
  <c r="BE10" i="18" s="1"/>
  <c r="AH28" i="85"/>
  <c r="AG28" i="85"/>
  <c r="AF28" i="85"/>
  <c r="AE28" i="85"/>
  <c r="AD28" i="85"/>
  <c r="AC28" i="85"/>
  <c r="AB28" i="85"/>
  <c r="AA28" i="85"/>
  <c r="AW10" i="18" s="1"/>
  <c r="Z28" i="85"/>
  <c r="Y28" i="85"/>
  <c r="X28" i="85"/>
  <c r="W28" i="85"/>
  <c r="V28" i="85"/>
  <c r="U28" i="85"/>
  <c r="T28" i="85"/>
  <c r="S28" i="85"/>
  <c r="AO10" i="18" s="1"/>
  <c r="R28" i="85"/>
  <c r="Q28" i="85"/>
  <c r="P28" i="85"/>
  <c r="AL10" i="18" s="1"/>
  <c r="O28" i="85"/>
  <c r="AK10" i="18" s="1"/>
  <c r="N28" i="85"/>
  <c r="AJ10" i="18" s="1"/>
  <c r="M28" i="85"/>
  <c r="AI10" i="18" s="1"/>
  <c r="L28" i="85"/>
  <c r="AH10" i="18" s="1"/>
  <c r="K28" i="85"/>
  <c r="AG10" i="18" s="1"/>
  <c r="J28" i="85"/>
  <c r="I28" i="85"/>
  <c r="H28" i="85"/>
  <c r="G28" i="85"/>
  <c r="F28" i="85"/>
  <c r="E28" i="85"/>
  <c r="D28" i="85"/>
  <c r="C28" i="85"/>
  <c r="Y10" i="18" s="1"/>
  <c r="B28" i="85"/>
  <c r="X10" i="18" s="1"/>
  <c r="AQ27" i="85"/>
  <c r="AP27" i="85"/>
  <c r="AO27" i="85"/>
  <c r="AN27" i="85"/>
  <c r="AM27" i="85"/>
  <c r="BI9" i="18" s="1"/>
  <c r="AL27" i="85"/>
  <c r="AK27" i="85"/>
  <c r="BG9" i="18" s="1"/>
  <c r="AJ27" i="85"/>
  <c r="AJ30" i="85" s="1"/>
  <c r="AI27" i="85"/>
  <c r="AH27" i="85"/>
  <c r="AG27" i="85"/>
  <c r="AF27" i="85"/>
  <c r="AD27" i="85"/>
  <c r="AC27" i="85"/>
  <c r="AC30" i="85" s="1"/>
  <c r="AB27" i="85"/>
  <c r="AA27" i="85"/>
  <c r="AA31" i="85" s="1"/>
  <c r="Z27" i="85"/>
  <c r="Y27" i="85"/>
  <c r="X27" i="85"/>
  <c r="W27" i="85"/>
  <c r="V27" i="85"/>
  <c r="U27" i="85"/>
  <c r="U30" i="85" s="1"/>
  <c r="T27" i="85"/>
  <c r="S27" i="85"/>
  <c r="R27" i="85"/>
  <c r="Q27" i="85"/>
  <c r="P27" i="85"/>
  <c r="AL9" i="18" s="1"/>
  <c r="O27" i="85"/>
  <c r="O30" i="85" s="1"/>
  <c r="N27" i="85"/>
  <c r="M27" i="85"/>
  <c r="M30" i="85" s="1"/>
  <c r="L27" i="85"/>
  <c r="L30" i="85" s="1"/>
  <c r="K27" i="85"/>
  <c r="K30" i="85" s="1"/>
  <c r="J27" i="85"/>
  <c r="I27" i="85"/>
  <c r="H27" i="85"/>
  <c r="AD9" i="18" s="1"/>
  <c r="G27" i="85"/>
  <c r="G30" i="85" s="1"/>
  <c r="F27" i="85"/>
  <c r="AB9" i="18" s="1"/>
  <c r="E27" i="85"/>
  <c r="E30" i="85" s="1"/>
  <c r="D27" i="85"/>
  <c r="D30" i="85" s="1"/>
  <c r="C27" i="85"/>
  <c r="C30" i="85" s="1"/>
  <c r="B27" i="85"/>
  <c r="AQ18" i="85"/>
  <c r="AP18" i="85"/>
  <c r="AO18" i="85"/>
  <c r="AN18" i="85"/>
  <c r="AM18" i="85"/>
  <c r="AL18" i="85"/>
  <c r="AK18" i="85"/>
  <c r="AJ18" i="85"/>
  <c r="AH18" i="85"/>
  <c r="AF18" i="85"/>
  <c r="AE18" i="85"/>
  <c r="AD18" i="85"/>
  <c r="AC18" i="85"/>
  <c r="AB18" i="85"/>
  <c r="AA18" i="85"/>
  <c r="AI17" i="85"/>
  <c r="AI18" i="85" s="1"/>
  <c r="AG17" i="85"/>
  <c r="AG39" i="85" s="1"/>
  <c r="AG16" i="85"/>
  <c r="AG38" i="85" s="1"/>
  <c r="Z12" i="85"/>
  <c r="Z11" i="85"/>
  <c r="Y11" i="85"/>
  <c r="X11" i="85"/>
  <c r="W11" i="85"/>
  <c r="V11" i="85"/>
  <c r="U11" i="85"/>
  <c r="T11" i="85"/>
  <c r="R11" i="85"/>
  <c r="Q11" i="85"/>
  <c r="P11" i="85"/>
  <c r="N11" i="85"/>
  <c r="M11" i="85"/>
  <c r="L11" i="85"/>
  <c r="K11" i="85"/>
  <c r="J11" i="85"/>
  <c r="I11" i="85"/>
  <c r="H11" i="85"/>
  <c r="G11" i="85"/>
  <c r="F11" i="85"/>
  <c r="E11" i="85"/>
  <c r="D11" i="85"/>
  <c r="C11" i="85"/>
  <c r="B11" i="85"/>
  <c r="F3" i="85"/>
  <c r="G3" i="85" s="1"/>
  <c r="H3" i="85" s="1"/>
  <c r="I3" i="85" s="1"/>
  <c r="C3" i="85"/>
  <c r="D3" i="85" s="1"/>
  <c r="E3" i="85" s="1"/>
  <c r="G204" i="71"/>
  <c r="F204" i="71"/>
  <c r="E204" i="71"/>
  <c r="G200" i="71"/>
  <c r="F200" i="71"/>
  <c r="E200" i="71"/>
  <c r="G188" i="71"/>
  <c r="G194" i="71" s="1"/>
  <c r="F188" i="71"/>
  <c r="F194" i="71" s="1"/>
  <c r="E188" i="71"/>
  <c r="E194" i="71" s="1"/>
  <c r="H182" i="71"/>
  <c r="G182" i="71"/>
  <c r="H181" i="71"/>
  <c r="G181" i="71"/>
  <c r="Q144" i="71"/>
  <c r="P144" i="71"/>
  <c r="Q141" i="71"/>
  <c r="P141" i="71"/>
  <c r="O141" i="71"/>
  <c r="N141" i="71"/>
  <c r="Q139" i="71"/>
  <c r="Q136" i="71" s="1"/>
  <c r="P136" i="71"/>
  <c r="O136" i="71"/>
  <c r="N136" i="71"/>
  <c r="M136" i="71"/>
  <c r="M141" i="71" s="1"/>
  <c r="M145" i="71" s="1"/>
  <c r="L136" i="71"/>
  <c r="L141" i="71" s="1"/>
  <c r="L145" i="71" s="1"/>
  <c r="Q131" i="71"/>
  <c r="P131" i="71"/>
  <c r="O131" i="71"/>
  <c r="N131" i="71"/>
  <c r="M131" i="71"/>
  <c r="L131" i="71"/>
  <c r="K131" i="71"/>
  <c r="J131" i="71"/>
  <c r="I131" i="71"/>
  <c r="H131" i="71"/>
  <c r="G131" i="71"/>
  <c r="F131" i="71"/>
  <c r="E131" i="71"/>
  <c r="D131" i="71"/>
  <c r="C131" i="71"/>
  <c r="B131" i="71"/>
  <c r="Q129" i="71"/>
  <c r="Q126" i="71"/>
  <c r="P126" i="71"/>
  <c r="O126" i="71"/>
  <c r="N126" i="71"/>
  <c r="M126" i="71"/>
  <c r="L126" i="71"/>
  <c r="K126" i="71"/>
  <c r="J126" i="71"/>
  <c r="I126" i="71"/>
  <c r="H126" i="71"/>
  <c r="G126" i="71"/>
  <c r="F126" i="71"/>
  <c r="E126" i="71"/>
  <c r="D126" i="71"/>
  <c r="C126" i="71"/>
  <c r="B126" i="71"/>
  <c r="Q124" i="71"/>
  <c r="Q121" i="71" s="1"/>
  <c r="L153" i="18" s="1"/>
  <c r="C24" i="90" s="1"/>
  <c r="P121" i="71"/>
  <c r="K153" i="18" s="1"/>
  <c r="O121" i="71"/>
  <c r="J153" i="18" s="1"/>
  <c r="N121" i="71"/>
  <c r="I153" i="18" s="1"/>
  <c r="M121" i="71"/>
  <c r="L121" i="71"/>
  <c r="K121" i="71"/>
  <c r="D121" i="71"/>
  <c r="C121" i="71"/>
  <c r="B121" i="71"/>
  <c r="L117" i="71"/>
  <c r="L116" i="71"/>
  <c r="L118" i="71" s="1"/>
  <c r="Q117" i="71"/>
  <c r="P117" i="71"/>
  <c r="Q116" i="71"/>
  <c r="Q118" i="71" s="1"/>
  <c r="P116" i="71"/>
  <c r="P118" i="71" s="1"/>
  <c r="O116" i="71"/>
  <c r="O118" i="71" s="1"/>
  <c r="N116" i="71"/>
  <c r="N118" i="71" s="1"/>
  <c r="M116" i="71"/>
  <c r="M118" i="71" s="1"/>
  <c r="K116" i="71"/>
  <c r="K118" i="71" s="1"/>
  <c r="J116" i="71"/>
  <c r="J118" i="71" s="1"/>
  <c r="I116" i="71"/>
  <c r="I118" i="71" s="1"/>
  <c r="H116" i="71"/>
  <c r="H118" i="71" s="1"/>
  <c r="G116" i="71"/>
  <c r="F116" i="71"/>
  <c r="E116" i="71"/>
  <c r="L111" i="71"/>
  <c r="I165" i="21" s="1"/>
  <c r="Q111" i="71"/>
  <c r="N165" i="21" s="1"/>
  <c r="P111" i="71"/>
  <c r="M165" i="21" s="1"/>
  <c r="L163" i="21"/>
  <c r="N111" i="71"/>
  <c r="K165" i="21" s="1"/>
  <c r="J163" i="21"/>
  <c r="K160" i="21" s="1"/>
  <c r="K111" i="71"/>
  <c r="H165" i="21" s="1"/>
  <c r="J111" i="71"/>
  <c r="G165" i="21" s="1"/>
  <c r="I111" i="71"/>
  <c r="F165" i="21" s="1"/>
  <c r="H107" i="71"/>
  <c r="H111" i="71" s="1"/>
  <c r="E165" i="21" s="1"/>
  <c r="G107" i="71"/>
  <c r="F107" i="71"/>
  <c r="E107" i="71"/>
  <c r="D106" i="71"/>
  <c r="D116" i="71" s="1"/>
  <c r="E87" i="21"/>
  <c r="D87" i="21"/>
  <c r="Q94" i="71"/>
  <c r="P94" i="71"/>
  <c r="O94" i="71"/>
  <c r="N94" i="71"/>
  <c r="M94" i="71"/>
  <c r="L94" i="71"/>
  <c r="K94" i="71"/>
  <c r="Q93" i="71"/>
  <c r="P93" i="71"/>
  <c r="O93" i="71"/>
  <c r="N93" i="71"/>
  <c r="M93" i="71"/>
  <c r="L93" i="71"/>
  <c r="K93" i="71"/>
  <c r="Q82" i="71"/>
  <c r="P82" i="71"/>
  <c r="O82" i="71"/>
  <c r="N82" i="71"/>
  <c r="M82" i="71"/>
  <c r="L82" i="71"/>
  <c r="K82" i="71"/>
  <c r="Q75" i="71"/>
  <c r="L98" i="18" s="1"/>
  <c r="P75" i="71"/>
  <c r="K98" i="18" s="1"/>
  <c r="O75" i="71"/>
  <c r="J98" i="18" s="1"/>
  <c r="N75" i="71"/>
  <c r="I98" i="18" s="1"/>
  <c r="M75" i="71"/>
  <c r="L75" i="71"/>
  <c r="G98" i="18" s="1"/>
  <c r="K75" i="71"/>
  <c r="F98" i="18" s="1"/>
  <c r="J75" i="71"/>
  <c r="E98" i="18" s="1"/>
  <c r="I75" i="71"/>
  <c r="D98" i="18" s="1"/>
  <c r="H75" i="71"/>
  <c r="C98" i="18" s="1"/>
  <c r="G75" i="71"/>
  <c r="B98" i="18" s="1"/>
  <c r="F75" i="71"/>
  <c r="E75" i="71"/>
  <c r="D75" i="71"/>
  <c r="C75" i="71"/>
  <c r="B75" i="71"/>
  <c r="Q74" i="71"/>
  <c r="L94" i="18" s="1"/>
  <c r="P74" i="71"/>
  <c r="K94" i="18" s="1"/>
  <c r="O74" i="71"/>
  <c r="J94" i="18" s="1"/>
  <c r="N74" i="71"/>
  <c r="I94" i="18" s="1"/>
  <c r="M74" i="71"/>
  <c r="H94" i="18" s="1"/>
  <c r="L74" i="71"/>
  <c r="G94" i="18" s="1"/>
  <c r="K74" i="71"/>
  <c r="F94" i="18" s="1"/>
  <c r="J74" i="71"/>
  <c r="E94" i="18" s="1"/>
  <c r="I74" i="71"/>
  <c r="D94" i="18" s="1"/>
  <c r="H74" i="71"/>
  <c r="C94" i="18" s="1"/>
  <c r="G74" i="71"/>
  <c r="B94" i="18" s="1"/>
  <c r="F74" i="71"/>
  <c r="E74" i="71"/>
  <c r="Q73" i="71"/>
  <c r="L93" i="18" s="1"/>
  <c r="P73" i="71"/>
  <c r="O73" i="71"/>
  <c r="J93" i="18" s="1"/>
  <c r="N73" i="71"/>
  <c r="I93" i="18" s="1"/>
  <c r="M73" i="71"/>
  <c r="H93" i="18" s="1"/>
  <c r="L73" i="71"/>
  <c r="G93" i="18" s="1"/>
  <c r="K73" i="71"/>
  <c r="F93" i="18" s="1"/>
  <c r="J73" i="71"/>
  <c r="E93" i="18" s="1"/>
  <c r="I73" i="71"/>
  <c r="D93" i="18" s="1"/>
  <c r="H73" i="71"/>
  <c r="C93" i="18" s="1"/>
  <c r="G73" i="71"/>
  <c r="B93" i="18" s="1"/>
  <c r="F73" i="71"/>
  <c r="E73" i="71"/>
  <c r="Q72" i="71"/>
  <c r="L90" i="18" s="1"/>
  <c r="P72" i="71"/>
  <c r="K90" i="18" s="1"/>
  <c r="O72" i="71"/>
  <c r="J90" i="18" s="1"/>
  <c r="N72" i="71"/>
  <c r="I90" i="18" s="1"/>
  <c r="M72" i="71"/>
  <c r="H90" i="18" s="1"/>
  <c r="L72" i="71"/>
  <c r="G90" i="18" s="1"/>
  <c r="K72" i="71"/>
  <c r="F90" i="18" s="1"/>
  <c r="J72" i="71"/>
  <c r="E90" i="18" s="1"/>
  <c r="I72" i="71"/>
  <c r="D90" i="18" s="1"/>
  <c r="H72" i="71"/>
  <c r="C90" i="18" s="1"/>
  <c r="G72" i="71"/>
  <c r="B90" i="18" s="1"/>
  <c r="F72" i="71"/>
  <c r="E72" i="71"/>
  <c r="Q71" i="71"/>
  <c r="L89" i="18" s="1"/>
  <c r="P71" i="71"/>
  <c r="K89" i="18" s="1"/>
  <c r="O71" i="71"/>
  <c r="J89" i="18" s="1"/>
  <c r="N71" i="71"/>
  <c r="I89" i="18" s="1"/>
  <c r="M71" i="71"/>
  <c r="H89" i="18" s="1"/>
  <c r="L71" i="71"/>
  <c r="G89" i="18" s="1"/>
  <c r="K71" i="71"/>
  <c r="F89" i="18" s="1"/>
  <c r="J71" i="71"/>
  <c r="I71" i="71"/>
  <c r="D89" i="18" s="1"/>
  <c r="H71" i="71"/>
  <c r="C89" i="18" s="1"/>
  <c r="G71" i="71"/>
  <c r="B89" i="18" s="1"/>
  <c r="F71" i="71"/>
  <c r="E71" i="71"/>
  <c r="Q69" i="71"/>
  <c r="L83" i="18" s="1"/>
  <c r="P69" i="71"/>
  <c r="K83" i="18" s="1"/>
  <c r="O69" i="71"/>
  <c r="J83" i="18" s="1"/>
  <c r="N69" i="71"/>
  <c r="I83" i="18" s="1"/>
  <c r="M69" i="71"/>
  <c r="H83" i="18" s="1"/>
  <c r="L69" i="71"/>
  <c r="K69" i="71"/>
  <c r="F83" i="18" s="1"/>
  <c r="J69" i="71"/>
  <c r="E83" i="18" s="1"/>
  <c r="I69" i="71"/>
  <c r="D83" i="18" s="1"/>
  <c r="H69" i="71"/>
  <c r="C83" i="18" s="1"/>
  <c r="G69" i="71"/>
  <c r="B83" i="18" s="1"/>
  <c r="F69" i="71"/>
  <c r="E69" i="71"/>
  <c r="Q68" i="71"/>
  <c r="L82" i="18" s="1"/>
  <c r="P68" i="71"/>
  <c r="K82" i="18" s="1"/>
  <c r="O68" i="71"/>
  <c r="N68" i="71"/>
  <c r="I82" i="18" s="1"/>
  <c r="M68" i="71"/>
  <c r="H82" i="18" s="1"/>
  <c r="L68" i="71"/>
  <c r="G82" i="18" s="1"/>
  <c r="K68" i="71"/>
  <c r="F82" i="18" s="1"/>
  <c r="J68" i="71"/>
  <c r="E82" i="18" s="1"/>
  <c r="I68" i="71"/>
  <c r="D82" i="18" s="1"/>
  <c r="H68" i="71"/>
  <c r="C82" i="18" s="1"/>
  <c r="G68" i="71"/>
  <c r="F68" i="71"/>
  <c r="E68" i="71"/>
  <c r="M63" i="71"/>
  <c r="M61" i="71" s="1"/>
  <c r="M59" i="71" s="1"/>
  <c r="Q61" i="71"/>
  <c r="P61" i="71"/>
  <c r="O61" i="71"/>
  <c r="N61" i="71"/>
  <c r="N59" i="71" s="1"/>
  <c r="L61" i="71"/>
  <c r="L59" i="71" s="1"/>
  <c r="K61" i="71"/>
  <c r="J61" i="71"/>
  <c r="J59" i="71" s="1"/>
  <c r="I61" i="71"/>
  <c r="I59" i="71" s="1"/>
  <c r="H61" i="71"/>
  <c r="H59" i="71" s="1"/>
  <c r="G61" i="71"/>
  <c r="G59" i="71" s="1"/>
  <c r="F61" i="71"/>
  <c r="F59" i="71" s="1"/>
  <c r="E61" i="71"/>
  <c r="E59" i="71" s="1"/>
  <c r="Q60" i="71"/>
  <c r="L116" i="18" s="1"/>
  <c r="P60" i="71"/>
  <c r="P59" i="71" s="1"/>
  <c r="K115" i="18" s="1"/>
  <c r="O59" i="71"/>
  <c r="K59" i="71"/>
  <c r="Q52" i="71"/>
  <c r="Q90" i="71" s="1"/>
  <c r="P52" i="71"/>
  <c r="O52" i="71"/>
  <c r="O90" i="71" s="1"/>
  <c r="N52" i="71"/>
  <c r="N90" i="71" s="1"/>
  <c r="M52" i="71"/>
  <c r="M90" i="71" s="1"/>
  <c r="L52" i="71"/>
  <c r="L90" i="71" s="1"/>
  <c r="K52" i="71"/>
  <c r="K90" i="71" s="1"/>
  <c r="J52" i="71"/>
  <c r="I52" i="71"/>
  <c r="H52" i="71"/>
  <c r="G52" i="71"/>
  <c r="F52" i="71"/>
  <c r="E52" i="71"/>
  <c r="Q49" i="71"/>
  <c r="P49" i="71"/>
  <c r="P89" i="71" s="1"/>
  <c r="O49" i="71"/>
  <c r="N49" i="71"/>
  <c r="M49" i="71"/>
  <c r="M89" i="71" s="1"/>
  <c r="L49" i="71"/>
  <c r="K49" i="71"/>
  <c r="J49" i="71"/>
  <c r="I49" i="71"/>
  <c r="H49" i="71"/>
  <c r="G49" i="71"/>
  <c r="F49" i="71"/>
  <c r="E49" i="71"/>
  <c r="Q37" i="71"/>
  <c r="P37" i="71"/>
  <c r="O37" i="71"/>
  <c r="N37" i="71"/>
  <c r="M37" i="71"/>
  <c r="L37" i="71"/>
  <c r="K37" i="71"/>
  <c r="J37" i="71"/>
  <c r="I37" i="71"/>
  <c r="H37" i="71"/>
  <c r="G37" i="71"/>
  <c r="F37" i="71"/>
  <c r="F45" i="71" s="1"/>
  <c r="E37" i="71"/>
  <c r="Q34" i="71"/>
  <c r="P34" i="71"/>
  <c r="O34" i="71"/>
  <c r="N34" i="71"/>
  <c r="M34" i="71"/>
  <c r="L34" i="71"/>
  <c r="K34" i="71"/>
  <c r="J34" i="71"/>
  <c r="I34" i="71"/>
  <c r="H34" i="71"/>
  <c r="G34" i="71"/>
  <c r="F34" i="71"/>
  <c r="F44" i="71" s="1"/>
  <c r="E34" i="71"/>
  <c r="E44" i="71" s="1"/>
  <c r="Q31" i="71"/>
  <c r="P31" i="71"/>
  <c r="O31" i="71"/>
  <c r="N31" i="71"/>
  <c r="M31" i="71"/>
  <c r="L31" i="71"/>
  <c r="K31" i="71"/>
  <c r="J31" i="71"/>
  <c r="I31" i="71"/>
  <c r="H31" i="71"/>
  <c r="G31" i="71"/>
  <c r="F31" i="71"/>
  <c r="E31" i="71"/>
  <c r="R9" i="71"/>
  <c r="Q9" i="71"/>
  <c r="P9" i="71"/>
  <c r="O9" i="71"/>
  <c r="N9" i="71"/>
  <c r="M9" i="71"/>
  <c r="L9" i="71"/>
  <c r="K9" i="71"/>
  <c r="J9" i="71"/>
  <c r="I9" i="71"/>
  <c r="H9" i="71"/>
  <c r="G9" i="71"/>
  <c r="U5" i="71"/>
  <c r="T5" i="71"/>
  <c r="S5" i="71"/>
  <c r="R5" i="71"/>
  <c r="Q5" i="71"/>
  <c r="P5" i="71"/>
  <c r="O5" i="71"/>
  <c r="N5" i="71"/>
  <c r="M5" i="71"/>
  <c r="L5" i="71"/>
  <c r="K5" i="71"/>
  <c r="J5" i="71"/>
  <c r="I5" i="71"/>
  <c r="H5" i="71"/>
  <c r="G5" i="71"/>
  <c r="F5" i="71"/>
  <c r="E5" i="71"/>
  <c r="BL185" i="18"/>
  <c r="BJ185" i="18"/>
  <c r="BI185" i="18"/>
  <c r="BH185" i="18"/>
  <c r="BF185" i="18"/>
  <c r="BD185" i="18"/>
  <c r="BC185" i="18"/>
  <c r="BB185" i="18"/>
  <c r="BA185" i="18"/>
  <c r="AZ185" i="18"/>
  <c r="AY185" i="18"/>
  <c r="AX185" i="18"/>
  <c r="AW185" i="18"/>
  <c r="AV185" i="18"/>
  <c r="AU185" i="18"/>
  <c r="AT185" i="18"/>
  <c r="AS185" i="18"/>
  <c r="AR185" i="18"/>
  <c r="AQ185" i="18"/>
  <c r="AP185" i="18"/>
  <c r="AO185" i="18"/>
  <c r="AN185" i="18"/>
  <c r="AM185" i="18"/>
  <c r="AL185" i="18"/>
  <c r="AK185" i="18"/>
  <c r="AJ185" i="18"/>
  <c r="AI185" i="18"/>
  <c r="AH185" i="18"/>
  <c r="AG185" i="18"/>
  <c r="AF185" i="18"/>
  <c r="AE185" i="18"/>
  <c r="AD185" i="18"/>
  <c r="AC185" i="18"/>
  <c r="AB185" i="18"/>
  <c r="AA185" i="18"/>
  <c r="Z185" i="18"/>
  <c r="Y185" i="18"/>
  <c r="X185" i="18"/>
  <c r="BL184" i="18"/>
  <c r="BJ184" i="18"/>
  <c r="BI184" i="18"/>
  <c r="BH184" i="18"/>
  <c r="BF184" i="18"/>
  <c r="BD184" i="18"/>
  <c r="BB184" i="18"/>
  <c r="AZ184" i="18"/>
  <c r="AX184" i="18"/>
  <c r="AW184" i="18"/>
  <c r="AV184" i="18"/>
  <c r="AU184" i="18"/>
  <c r="AT184" i="18"/>
  <c r="AS184" i="18"/>
  <c r="AR184" i="18"/>
  <c r="AQ184" i="18"/>
  <c r="AP184" i="18"/>
  <c r="AO184" i="18"/>
  <c r="AN184" i="18"/>
  <c r="AM184" i="18"/>
  <c r="AL184" i="18"/>
  <c r="AK184" i="18"/>
  <c r="AJ184" i="18"/>
  <c r="AI184" i="18"/>
  <c r="AH184" i="18"/>
  <c r="AG184" i="18"/>
  <c r="AF184" i="18"/>
  <c r="AE184" i="18"/>
  <c r="AD184" i="18"/>
  <c r="AC184" i="18"/>
  <c r="AB184" i="18"/>
  <c r="AA184" i="18"/>
  <c r="Z184" i="18"/>
  <c r="Y184" i="18"/>
  <c r="X184" i="18"/>
  <c r="BL183" i="18"/>
  <c r="BK183" i="18"/>
  <c r="BJ183" i="18"/>
  <c r="BI183" i="18"/>
  <c r="BH183" i="18"/>
  <c r="BF183" i="18"/>
  <c r="BE183" i="18"/>
  <c r="BB183" i="18"/>
  <c r="BA183" i="18"/>
  <c r="AZ183" i="18"/>
  <c r="AY183" i="18"/>
  <c r="AX183" i="18"/>
  <c r="AW183" i="18"/>
  <c r="AV183" i="18"/>
  <c r="AU183" i="18"/>
  <c r="AT183" i="18"/>
  <c r="AS183" i="18"/>
  <c r="AR183" i="18"/>
  <c r="AQ183" i="18"/>
  <c r="AP183" i="18"/>
  <c r="AO183" i="18"/>
  <c r="AN183" i="18"/>
  <c r="AM183" i="18"/>
  <c r="AL183" i="18"/>
  <c r="AK183" i="18"/>
  <c r="AJ183" i="18"/>
  <c r="AI183" i="18"/>
  <c r="AH183" i="18"/>
  <c r="AG183" i="18"/>
  <c r="AF183" i="18"/>
  <c r="AE183" i="18"/>
  <c r="AD183" i="18"/>
  <c r="AC183" i="18"/>
  <c r="AB183" i="18"/>
  <c r="AA183" i="18"/>
  <c r="Z183" i="18"/>
  <c r="Y183" i="18"/>
  <c r="X183" i="18"/>
  <c r="L185" i="18"/>
  <c r="K185" i="18"/>
  <c r="J185" i="18"/>
  <c r="I185" i="18"/>
  <c r="H185" i="18"/>
  <c r="G185" i="18"/>
  <c r="F185" i="18"/>
  <c r="E185" i="18"/>
  <c r="D185" i="18"/>
  <c r="C185" i="18"/>
  <c r="B185" i="18"/>
  <c r="L184" i="18"/>
  <c r="K184" i="18"/>
  <c r="J184" i="18"/>
  <c r="I184" i="18"/>
  <c r="H184" i="18"/>
  <c r="G184" i="18"/>
  <c r="F184" i="18"/>
  <c r="E184" i="18"/>
  <c r="D184" i="18"/>
  <c r="C184" i="18"/>
  <c r="B184" i="18"/>
  <c r="L183" i="18"/>
  <c r="K183" i="18"/>
  <c r="J183" i="18"/>
  <c r="I183" i="18"/>
  <c r="H183" i="18"/>
  <c r="G183" i="18"/>
  <c r="F183" i="18"/>
  <c r="E183" i="18"/>
  <c r="D183" i="18"/>
  <c r="C183" i="18"/>
  <c r="B183" i="18"/>
  <c r="BN180" i="18"/>
  <c r="BM180" i="18"/>
  <c r="BL180" i="18"/>
  <c r="BK180" i="18"/>
  <c r="BJ180" i="18"/>
  <c r="BI180" i="18"/>
  <c r="BH180" i="18"/>
  <c r="BG180" i="18"/>
  <c r="BF180" i="18"/>
  <c r="BE180" i="18"/>
  <c r="BD180" i="18"/>
  <c r="BB180" i="18"/>
  <c r="BA180" i="18"/>
  <c r="AZ180" i="18"/>
  <c r="AV180" i="18"/>
  <c r="AR180" i="18"/>
  <c r="AO180" i="18"/>
  <c r="AN180" i="18"/>
  <c r="AM180" i="18"/>
  <c r="AL180" i="18"/>
  <c r="AK180" i="18"/>
  <c r="AJ180" i="18"/>
  <c r="AI180" i="18"/>
  <c r="AI190" i="18" s="1"/>
  <c r="AH180" i="18"/>
  <c r="AH190" i="18" s="1"/>
  <c r="AG180" i="18"/>
  <c r="AG190" i="18" s="1"/>
  <c r="AF180" i="18"/>
  <c r="AF190" i="18" s="1"/>
  <c r="AE180" i="18"/>
  <c r="AE190" i="18" s="1"/>
  <c r="AD180" i="18"/>
  <c r="AD190" i="18" s="1"/>
  <c r="AC180" i="18"/>
  <c r="AC190" i="18" s="1"/>
  <c r="AB180" i="18"/>
  <c r="AB190" i="18" s="1"/>
  <c r="AA180" i="18"/>
  <c r="AA190" i="18" s="1"/>
  <c r="Z180" i="18"/>
  <c r="Z190" i="18" s="1"/>
  <c r="Y180" i="18"/>
  <c r="Y190" i="18" s="1"/>
  <c r="X180" i="18"/>
  <c r="X190" i="18" s="1"/>
  <c r="BN179" i="18"/>
  <c r="BM179" i="18"/>
  <c r="BL179" i="18"/>
  <c r="BJ179" i="18"/>
  <c r="BI179" i="18"/>
  <c r="BH179" i="18"/>
  <c r="BF179" i="18"/>
  <c r="BE179" i="18"/>
  <c r="BD179" i="18"/>
  <c r="BB179" i="18"/>
  <c r="BA179" i="18"/>
  <c r="AZ179" i="18"/>
  <c r="AY179" i="18"/>
  <c r="AV179" i="18"/>
  <c r="AR179" i="18"/>
  <c r="AN179" i="18"/>
  <c r="AL179" i="18"/>
  <c r="AJ179" i="18"/>
  <c r="AI179" i="18"/>
  <c r="AI189" i="18" s="1"/>
  <c r="AH179" i="18"/>
  <c r="AH189" i="18" s="1"/>
  <c r="AG179" i="18"/>
  <c r="AG189" i="18" s="1"/>
  <c r="AF179" i="18"/>
  <c r="AF189" i="18" s="1"/>
  <c r="AE179" i="18"/>
  <c r="AE189" i="18" s="1"/>
  <c r="AD179" i="18"/>
  <c r="AD189" i="18" s="1"/>
  <c r="AC179" i="18"/>
  <c r="AC189" i="18" s="1"/>
  <c r="AB179" i="18"/>
  <c r="AB189" i="18" s="1"/>
  <c r="AA179" i="18"/>
  <c r="AA189" i="18" s="1"/>
  <c r="Z179" i="18"/>
  <c r="Z189" i="18" s="1"/>
  <c r="Y179" i="18"/>
  <c r="Y189" i="18" s="1"/>
  <c r="X179" i="18"/>
  <c r="X189" i="18" s="1"/>
  <c r="BN178" i="18"/>
  <c r="BM178" i="18"/>
  <c r="BL178" i="18"/>
  <c r="BJ178" i="18"/>
  <c r="BI178" i="18"/>
  <c r="BH178" i="18"/>
  <c r="BF178" i="18"/>
  <c r="BE178" i="18"/>
  <c r="BD178" i="18"/>
  <c r="BB178" i="18"/>
  <c r="BA178" i="18"/>
  <c r="AZ178" i="18"/>
  <c r="AV178" i="18"/>
  <c r="AT178" i="18"/>
  <c r="AR178" i="18"/>
  <c r="AN178" i="18"/>
  <c r="AJ178" i="18"/>
  <c r="AI178" i="18"/>
  <c r="AI188" i="18" s="1"/>
  <c r="AH178" i="18"/>
  <c r="AH188" i="18" s="1"/>
  <c r="AG178" i="18"/>
  <c r="AG188" i="18" s="1"/>
  <c r="AF178" i="18"/>
  <c r="AF188" i="18" s="1"/>
  <c r="AE178" i="18"/>
  <c r="AE188" i="18" s="1"/>
  <c r="AD178" i="18"/>
  <c r="AD188" i="18" s="1"/>
  <c r="AC178" i="18"/>
  <c r="AC188" i="18" s="1"/>
  <c r="AB178" i="18"/>
  <c r="AB188" i="18" s="1"/>
  <c r="AA178" i="18"/>
  <c r="AA188" i="18" s="1"/>
  <c r="Z178" i="18"/>
  <c r="Z188" i="18" s="1"/>
  <c r="Y178" i="18"/>
  <c r="Y188" i="18" s="1"/>
  <c r="X178" i="18"/>
  <c r="X188" i="18" s="1"/>
  <c r="L180" i="18"/>
  <c r="K180" i="18"/>
  <c r="J180" i="18"/>
  <c r="I180" i="18"/>
  <c r="H180" i="18"/>
  <c r="G180" i="18"/>
  <c r="F180" i="18"/>
  <c r="E180" i="18"/>
  <c r="D180" i="18"/>
  <c r="C180" i="18"/>
  <c r="B180" i="18"/>
  <c r="L179" i="18"/>
  <c r="K179" i="18"/>
  <c r="J179" i="18"/>
  <c r="I179" i="18"/>
  <c r="H179" i="18"/>
  <c r="G179" i="18"/>
  <c r="F179" i="18"/>
  <c r="E179" i="18"/>
  <c r="D179" i="18"/>
  <c r="C179" i="18"/>
  <c r="B179" i="18"/>
  <c r="L178" i="18"/>
  <c r="K178" i="18"/>
  <c r="J178" i="18"/>
  <c r="I178" i="18"/>
  <c r="H178" i="18"/>
  <c r="G178" i="18"/>
  <c r="F178" i="18"/>
  <c r="E178" i="18"/>
  <c r="D178" i="18"/>
  <c r="C178" i="18"/>
  <c r="B178" i="18"/>
  <c r="BN175" i="18"/>
  <c r="BM175" i="18"/>
  <c r="BL175" i="18"/>
  <c r="BK175" i="18"/>
  <c r="BJ175" i="18"/>
  <c r="BI175" i="18"/>
  <c r="BH175" i="18"/>
  <c r="BG175" i="18"/>
  <c r="BF175" i="18"/>
  <c r="BE175" i="18"/>
  <c r="BD175" i="18"/>
  <c r="BC175" i="18"/>
  <c r="BB175" i="18"/>
  <c r="BA175" i="18"/>
  <c r="AZ175" i="18"/>
  <c r="AY175" i="18"/>
  <c r="AX175" i="18"/>
  <c r="AW175" i="18"/>
  <c r="AV175" i="18"/>
  <c r="AU175" i="18"/>
  <c r="AT175" i="18"/>
  <c r="AS175" i="18"/>
  <c r="AR175" i="18"/>
  <c r="AQ175" i="18"/>
  <c r="AP175" i="18"/>
  <c r="AO175" i="18"/>
  <c r="AN175" i="18"/>
  <c r="AM175" i="18"/>
  <c r="AL175" i="18"/>
  <c r="AK175" i="18"/>
  <c r="AJ175" i="18"/>
  <c r="AI175" i="18"/>
  <c r="AH175" i="18"/>
  <c r="AG175" i="18"/>
  <c r="AF175" i="18"/>
  <c r="AE175" i="18"/>
  <c r="AD175" i="18"/>
  <c r="AC175" i="18"/>
  <c r="AB175" i="18"/>
  <c r="AA175" i="18"/>
  <c r="Z175" i="18"/>
  <c r="Y175" i="18"/>
  <c r="X175" i="18"/>
  <c r="BN174" i="18"/>
  <c r="BM174" i="18"/>
  <c r="BL174" i="18"/>
  <c r="BK174" i="18"/>
  <c r="BJ174" i="18"/>
  <c r="BI174" i="18"/>
  <c r="BH174" i="18"/>
  <c r="BG174" i="18"/>
  <c r="BF174" i="18"/>
  <c r="BE174" i="18"/>
  <c r="BD174" i="18"/>
  <c r="BC174" i="18"/>
  <c r="BB174" i="18"/>
  <c r="BA174" i="18"/>
  <c r="AZ174" i="18"/>
  <c r="AY174" i="18"/>
  <c r="AX174" i="18"/>
  <c r="AW174" i="18"/>
  <c r="AV174" i="18"/>
  <c r="AU174" i="18"/>
  <c r="AT174" i="18"/>
  <c r="AS174" i="18"/>
  <c r="AR174" i="18"/>
  <c r="AQ174" i="18"/>
  <c r="AP174" i="18"/>
  <c r="AO174" i="18"/>
  <c r="AN174" i="18"/>
  <c r="AM174" i="18"/>
  <c r="AL174" i="18"/>
  <c r="AK174" i="18"/>
  <c r="AJ174" i="18"/>
  <c r="AI174" i="18"/>
  <c r="AH174" i="18"/>
  <c r="AG174" i="18"/>
  <c r="AF174" i="18"/>
  <c r="AE174" i="18"/>
  <c r="AD174" i="18"/>
  <c r="AC174" i="18"/>
  <c r="AB174" i="18"/>
  <c r="AA174" i="18"/>
  <c r="Z174" i="18"/>
  <c r="Y174" i="18"/>
  <c r="X174" i="18"/>
  <c r="BN173" i="18"/>
  <c r="BM173" i="18"/>
  <c r="BL173" i="18"/>
  <c r="BK173" i="18"/>
  <c r="BJ173" i="18"/>
  <c r="BI173" i="18"/>
  <c r="BH173" i="18"/>
  <c r="BG173" i="18"/>
  <c r="BF173" i="18"/>
  <c r="BE173" i="18"/>
  <c r="BD173" i="18"/>
  <c r="BC173" i="18"/>
  <c r="BB173" i="18"/>
  <c r="BA173" i="18"/>
  <c r="AZ173" i="18"/>
  <c r="AY173" i="18"/>
  <c r="AX173" i="18"/>
  <c r="AW173" i="18"/>
  <c r="AV173" i="18"/>
  <c r="AU173" i="18"/>
  <c r="AT173" i="18"/>
  <c r="AS173" i="18"/>
  <c r="AR173" i="18"/>
  <c r="AQ173" i="18"/>
  <c r="AP173" i="18"/>
  <c r="AO173" i="18"/>
  <c r="AN173" i="18"/>
  <c r="AL173" i="18"/>
  <c r="AK173" i="18"/>
  <c r="AJ173" i="18"/>
  <c r="AI173" i="18"/>
  <c r="AH173" i="18"/>
  <c r="AG173" i="18"/>
  <c r="AF173" i="18"/>
  <c r="AE173" i="18"/>
  <c r="AD173" i="18"/>
  <c r="AC173" i="18"/>
  <c r="AB173" i="18"/>
  <c r="AA173" i="18"/>
  <c r="Z173" i="18"/>
  <c r="Y173" i="18"/>
  <c r="X173" i="18"/>
  <c r="L169" i="18"/>
  <c r="K169" i="18"/>
  <c r="J169" i="18"/>
  <c r="I169" i="18"/>
  <c r="H169" i="18"/>
  <c r="G169" i="18"/>
  <c r="F169" i="18"/>
  <c r="L168" i="18"/>
  <c r="K168" i="18"/>
  <c r="J168" i="18"/>
  <c r="I168" i="18"/>
  <c r="H168" i="18"/>
  <c r="G168" i="18"/>
  <c r="F168" i="18"/>
  <c r="BN169" i="18"/>
  <c r="BM169" i="18"/>
  <c r="BL169" i="18"/>
  <c r="BJ169" i="18"/>
  <c r="BI169" i="18"/>
  <c r="BH169" i="18"/>
  <c r="BF169" i="18"/>
  <c r="BE169" i="18"/>
  <c r="BD169" i="18"/>
  <c r="BC169" i="18"/>
  <c r="BB169" i="18"/>
  <c r="BA169" i="18"/>
  <c r="AZ169" i="18"/>
  <c r="AW169" i="18"/>
  <c r="AS169" i="18"/>
  <c r="AP169" i="18"/>
  <c r="AO169" i="18"/>
  <c r="AN169" i="18"/>
  <c r="AM169" i="18"/>
  <c r="AL169" i="18"/>
  <c r="AK169" i="18"/>
  <c r="AJ169" i="18"/>
  <c r="AI169" i="18"/>
  <c r="AH169" i="18"/>
  <c r="AG169" i="18"/>
  <c r="AF169" i="18"/>
  <c r="AE169" i="18"/>
  <c r="AD169" i="18"/>
  <c r="AC169" i="18"/>
  <c r="AB169" i="18"/>
  <c r="AA169" i="18"/>
  <c r="Z169" i="18"/>
  <c r="Y169" i="18"/>
  <c r="X169" i="18"/>
  <c r="BN168" i="18"/>
  <c r="BM168" i="18"/>
  <c r="BL168" i="18"/>
  <c r="BK168" i="18"/>
  <c r="BJ168" i="18"/>
  <c r="BI168" i="18"/>
  <c r="BH168" i="18"/>
  <c r="BG168" i="18"/>
  <c r="BF168" i="18"/>
  <c r="BE168" i="18"/>
  <c r="BD168" i="18"/>
  <c r="BC168" i="18"/>
  <c r="BB168" i="18"/>
  <c r="BA168" i="18"/>
  <c r="AZ168" i="18"/>
  <c r="AX168" i="18"/>
  <c r="AW168" i="18"/>
  <c r="AV168" i="18"/>
  <c r="AU168" i="18"/>
  <c r="AT168" i="18"/>
  <c r="AS168" i="18"/>
  <c r="AR168" i="18"/>
  <c r="AO168" i="18"/>
  <c r="AK168" i="18"/>
  <c r="AI168" i="18"/>
  <c r="AH168" i="18"/>
  <c r="AG168" i="18"/>
  <c r="AF168" i="18"/>
  <c r="AE168" i="18"/>
  <c r="AD168" i="18"/>
  <c r="AC168" i="18"/>
  <c r="AB168" i="18"/>
  <c r="AA168" i="18"/>
  <c r="Z168" i="18"/>
  <c r="Y168" i="18"/>
  <c r="X168" i="18"/>
  <c r="BN167" i="18"/>
  <c r="BM167" i="18"/>
  <c r="BL167" i="18"/>
  <c r="BK167" i="18"/>
  <c r="BJ167" i="18"/>
  <c r="BI167" i="18"/>
  <c r="BH167" i="18"/>
  <c r="BG167" i="18"/>
  <c r="BF167" i="18"/>
  <c r="BE167" i="18"/>
  <c r="BD167" i="18"/>
  <c r="BC167" i="18"/>
  <c r="BB167" i="18"/>
  <c r="BA167" i="18"/>
  <c r="AZ167" i="18"/>
  <c r="AY167" i="18"/>
  <c r="AW167" i="18"/>
  <c r="AU167" i="18"/>
  <c r="AS167" i="18"/>
  <c r="AQ167" i="18"/>
  <c r="AO167" i="18"/>
  <c r="AM167" i="18"/>
  <c r="AK167" i="18"/>
  <c r="AI167" i="18"/>
  <c r="AH167" i="18"/>
  <c r="AG167" i="18"/>
  <c r="AF167" i="18"/>
  <c r="AE167" i="18"/>
  <c r="AD167" i="18"/>
  <c r="AC167" i="18"/>
  <c r="AB167" i="18"/>
  <c r="AA167" i="18"/>
  <c r="Z167" i="18"/>
  <c r="Y167" i="18"/>
  <c r="X167" i="18"/>
  <c r="L167" i="18"/>
  <c r="K167" i="18"/>
  <c r="J167" i="18"/>
  <c r="I167" i="18"/>
  <c r="H167" i="18"/>
  <c r="G167" i="18"/>
  <c r="F167" i="18"/>
  <c r="L161" i="18"/>
  <c r="K161" i="18"/>
  <c r="J161" i="18"/>
  <c r="I161" i="18"/>
  <c r="H161" i="18"/>
  <c r="G161" i="18"/>
  <c r="F161" i="18"/>
  <c r="L158" i="18"/>
  <c r="K158" i="18"/>
  <c r="J158" i="18"/>
  <c r="I158" i="18"/>
  <c r="H158" i="18"/>
  <c r="G158" i="18"/>
  <c r="F158" i="18"/>
  <c r="BN161" i="18"/>
  <c r="BM161" i="18"/>
  <c r="BL161" i="18"/>
  <c r="BJ161" i="18"/>
  <c r="BH161" i="18"/>
  <c r="BF161" i="18"/>
  <c r="BE161" i="18"/>
  <c r="BD161" i="18"/>
  <c r="BB161" i="18"/>
  <c r="AZ161" i="18"/>
  <c r="AX161" i="18"/>
  <c r="AV161" i="18"/>
  <c r="AT161" i="18"/>
  <c r="AR161" i="18"/>
  <c r="AP161" i="18"/>
  <c r="AN161" i="18"/>
  <c r="AL161" i="18"/>
  <c r="AJ161" i="18"/>
  <c r="AI161" i="18"/>
  <c r="AH161" i="18"/>
  <c r="AG161" i="18"/>
  <c r="AF161" i="18"/>
  <c r="AE161" i="18"/>
  <c r="AD161" i="18"/>
  <c r="AC161" i="18"/>
  <c r="AB161" i="18"/>
  <c r="AA161" i="18"/>
  <c r="Z161" i="18"/>
  <c r="Y161" i="18"/>
  <c r="X161" i="18"/>
  <c r="BN158" i="18"/>
  <c r="BM158" i="18"/>
  <c r="BL158" i="18"/>
  <c r="BK158" i="18"/>
  <c r="BJ158" i="18"/>
  <c r="BI158" i="18"/>
  <c r="BH158" i="18"/>
  <c r="BG158" i="18"/>
  <c r="BF158" i="18"/>
  <c r="BE158" i="18"/>
  <c r="BD158" i="18"/>
  <c r="BB158" i="18"/>
  <c r="AU158" i="18"/>
  <c r="AN158" i="18"/>
  <c r="AI158" i="18"/>
  <c r="AH158" i="18"/>
  <c r="AG158" i="18"/>
  <c r="AF158" i="18"/>
  <c r="AE158" i="18"/>
  <c r="AD158" i="18"/>
  <c r="AC158" i="18"/>
  <c r="AB158" i="18"/>
  <c r="AA158" i="18"/>
  <c r="Z158" i="18"/>
  <c r="Y158" i="18"/>
  <c r="X158" i="18"/>
  <c r="BN155" i="18"/>
  <c r="BM155" i="18"/>
  <c r="BL155" i="18"/>
  <c r="BJ155" i="18"/>
  <c r="BI155" i="18"/>
  <c r="BH155" i="18"/>
  <c r="BF155" i="18"/>
  <c r="BE155" i="18"/>
  <c r="BD155" i="18"/>
  <c r="BC155" i="18"/>
  <c r="AY155" i="18"/>
  <c r="AU155" i="18"/>
  <c r="AQ155" i="18"/>
  <c r="AM155" i="18"/>
  <c r="AI155" i="18"/>
  <c r="AH155" i="18"/>
  <c r="AG155" i="18"/>
  <c r="AF155" i="18"/>
  <c r="AE155" i="18"/>
  <c r="AD155" i="18"/>
  <c r="AC155" i="18"/>
  <c r="AB155" i="18"/>
  <c r="AA155" i="18"/>
  <c r="Z155" i="18"/>
  <c r="Y155" i="18"/>
  <c r="X155" i="18"/>
  <c r="L155" i="18"/>
  <c r="K155" i="18"/>
  <c r="J155" i="18"/>
  <c r="I155" i="18"/>
  <c r="H155" i="18"/>
  <c r="G155" i="18"/>
  <c r="F155" i="18"/>
  <c r="H153" i="18"/>
  <c r="G153" i="18"/>
  <c r="F153" i="18"/>
  <c r="A147" i="18"/>
  <c r="A145" i="18"/>
  <c r="A144" i="18"/>
  <c r="F146" i="18"/>
  <c r="AK135" i="18"/>
  <c r="AL135" i="18" s="1"/>
  <c r="BN133" i="18"/>
  <c r="BM133" i="18"/>
  <c r="BL133" i="18"/>
  <c r="BK133" i="18"/>
  <c r="BJ133" i="18"/>
  <c r="BI133" i="18"/>
  <c r="BH133" i="18"/>
  <c r="BG133" i="18"/>
  <c r="BF133" i="18"/>
  <c r="BE133" i="18"/>
  <c r="BD133" i="18"/>
  <c r="BC133" i="18"/>
  <c r="BB133" i="18"/>
  <c r="BA133" i="18"/>
  <c r="AZ133" i="18"/>
  <c r="AY133" i="18"/>
  <c r="AX133" i="18"/>
  <c r="AW133" i="18"/>
  <c r="AV133" i="18"/>
  <c r="AU133" i="18"/>
  <c r="AT133" i="18"/>
  <c r="AS133" i="18"/>
  <c r="AR133" i="18"/>
  <c r="AQ133" i="18"/>
  <c r="AP133" i="18"/>
  <c r="AO133" i="18"/>
  <c r="AN133" i="18"/>
  <c r="AM133" i="18"/>
  <c r="AL133" i="18"/>
  <c r="AK133" i="18"/>
  <c r="AJ133" i="18"/>
  <c r="AI133" i="18"/>
  <c r="AH133" i="18"/>
  <c r="AG133" i="18"/>
  <c r="AF133" i="18"/>
  <c r="AE133" i="18"/>
  <c r="AD133" i="18"/>
  <c r="AC133" i="18"/>
  <c r="AB133" i="18"/>
  <c r="BN132" i="18"/>
  <c r="BM132" i="18"/>
  <c r="BL132" i="18"/>
  <c r="BK132" i="18"/>
  <c r="BJ132" i="18"/>
  <c r="BI132" i="18"/>
  <c r="BH132" i="18"/>
  <c r="BG132" i="18"/>
  <c r="BF132" i="18"/>
  <c r="BE132" i="18"/>
  <c r="BD132" i="18"/>
  <c r="BC132" i="18"/>
  <c r="BB132" i="18"/>
  <c r="BA132" i="18"/>
  <c r="AZ132" i="18"/>
  <c r="AY132" i="18"/>
  <c r="AX132" i="18"/>
  <c r="AW132" i="18"/>
  <c r="AV132" i="18"/>
  <c r="AU132" i="18"/>
  <c r="AT132" i="18"/>
  <c r="AS132" i="18"/>
  <c r="AR132" i="18"/>
  <c r="AQ132" i="18"/>
  <c r="AP132" i="18"/>
  <c r="AO132" i="18"/>
  <c r="AN132" i="18"/>
  <c r="AM132" i="18"/>
  <c r="AL132" i="18"/>
  <c r="AK132" i="18"/>
  <c r="AJ132" i="18"/>
  <c r="AI132" i="18"/>
  <c r="AH132" i="18"/>
  <c r="AG132" i="18"/>
  <c r="AF132" i="18"/>
  <c r="AE132" i="18"/>
  <c r="AD132" i="18"/>
  <c r="AC132" i="18"/>
  <c r="AB132" i="18"/>
  <c r="E128" i="18"/>
  <c r="D128" i="18"/>
  <c r="C128" i="18"/>
  <c r="B128" i="18"/>
  <c r="BN126" i="18"/>
  <c r="BM126" i="18"/>
  <c r="BL126" i="18"/>
  <c r="BJ126" i="18"/>
  <c r="BI126" i="18"/>
  <c r="BF126" i="18"/>
  <c r="BE126" i="18"/>
  <c r="BD126" i="18"/>
  <c r="BC126" i="18"/>
  <c r="BB126" i="18"/>
  <c r="BA126" i="18"/>
  <c r="AZ126" i="18"/>
  <c r="AY126" i="18"/>
  <c r="AX126" i="18"/>
  <c r="AW126" i="18"/>
  <c r="AV126" i="18"/>
  <c r="AU126" i="18"/>
  <c r="AT126" i="18"/>
  <c r="AS126" i="18"/>
  <c r="AR126" i="18"/>
  <c r="AP126" i="18"/>
  <c r="AO126" i="18"/>
  <c r="AN126" i="18"/>
  <c r="AM126" i="18"/>
  <c r="BN125" i="18"/>
  <c r="BM125" i="18"/>
  <c r="BL125" i="18"/>
  <c r="BJ125" i="18"/>
  <c r="BI125" i="18"/>
  <c r="BH125" i="18"/>
  <c r="BG125" i="18"/>
  <c r="BF125" i="18"/>
  <c r="BE125" i="18"/>
  <c r="BD125" i="18"/>
  <c r="BC125" i="18"/>
  <c r="BB125" i="18"/>
  <c r="BA125" i="18"/>
  <c r="AZ125" i="18"/>
  <c r="AY125" i="18"/>
  <c r="AX125" i="18"/>
  <c r="AW125" i="18"/>
  <c r="AV125" i="18"/>
  <c r="AU125" i="18"/>
  <c r="AT125" i="18"/>
  <c r="AS125" i="18"/>
  <c r="AR125" i="18"/>
  <c r="AP125" i="18"/>
  <c r="AO125" i="18"/>
  <c r="AN125" i="18"/>
  <c r="AM125" i="18"/>
  <c r="BN124" i="18"/>
  <c r="BM124" i="18"/>
  <c r="BL124" i="18"/>
  <c r="BJ124" i="18"/>
  <c r="BI124" i="18"/>
  <c r="BH124" i="18"/>
  <c r="BG124" i="18"/>
  <c r="BF124" i="18"/>
  <c r="BE124" i="18"/>
  <c r="BD124" i="18"/>
  <c r="BC124" i="18"/>
  <c r="BB124" i="18"/>
  <c r="BA124" i="18"/>
  <c r="AZ124" i="18"/>
  <c r="AY124" i="18"/>
  <c r="AX124" i="18"/>
  <c r="AW124" i="18"/>
  <c r="AV124" i="18"/>
  <c r="AU124" i="18"/>
  <c r="AT124" i="18"/>
  <c r="AS124" i="18"/>
  <c r="AR124" i="18"/>
  <c r="AP124" i="18"/>
  <c r="AO124" i="18"/>
  <c r="AN124" i="18"/>
  <c r="AM124" i="18"/>
  <c r="AL126" i="18"/>
  <c r="AK126" i="18"/>
  <c r="AJ126" i="18"/>
  <c r="AL125" i="18"/>
  <c r="AK125" i="18"/>
  <c r="AJ125" i="18"/>
  <c r="AL124" i="18"/>
  <c r="AK124" i="18"/>
  <c r="AJ124" i="18"/>
  <c r="L126" i="18"/>
  <c r="K126" i="18"/>
  <c r="J126" i="18"/>
  <c r="I126" i="18"/>
  <c r="H126" i="18"/>
  <c r="G126" i="18"/>
  <c r="F126" i="18"/>
  <c r="L125" i="18"/>
  <c r="K125" i="18"/>
  <c r="J125" i="18"/>
  <c r="I125" i="18"/>
  <c r="H125" i="18"/>
  <c r="G125" i="18"/>
  <c r="F125" i="18"/>
  <c r="L124" i="18"/>
  <c r="K124" i="18"/>
  <c r="J124" i="18"/>
  <c r="I124" i="18"/>
  <c r="H124" i="18"/>
  <c r="G124" i="18"/>
  <c r="F124" i="18"/>
  <c r="E126" i="18"/>
  <c r="D126" i="18"/>
  <c r="C126" i="18"/>
  <c r="B126" i="18"/>
  <c r="E125" i="18"/>
  <c r="D125" i="18"/>
  <c r="C125" i="18"/>
  <c r="B125" i="18"/>
  <c r="E124" i="18"/>
  <c r="D124" i="18"/>
  <c r="C124" i="18"/>
  <c r="B124" i="18"/>
  <c r="BN120" i="18"/>
  <c r="AR402" i="67" s="1"/>
  <c r="BJ120" i="18"/>
  <c r="AZ120" i="18"/>
  <c r="AP120" i="18"/>
  <c r="AD120" i="18"/>
  <c r="B120" i="18"/>
  <c r="BN119" i="18"/>
  <c r="BJ119" i="18"/>
  <c r="BC119" i="18"/>
  <c r="BB119" i="18"/>
  <c r="BA119" i="18"/>
  <c r="AZ119" i="18"/>
  <c r="AY119" i="18"/>
  <c r="AX119" i="18"/>
  <c r="AW119" i="18"/>
  <c r="AV119" i="18"/>
  <c r="AU119" i="18"/>
  <c r="AT119" i="18"/>
  <c r="AS119" i="18"/>
  <c r="AR119" i="18"/>
  <c r="AQ119" i="18"/>
  <c r="AP119" i="18"/>
  <c r="AO119" i="18"/>
  <c r="AN119" i="18"/>
  <c r="AM119" i="18"/>
  <c r="AL119" i="18"/>
  <c r="AK119" i="18"/>
  <c r="AJ119" i="18"/>
  <c r="AI119" i="18"/>
  <c r="AH119" i="18"/>
  <c r="AG119" i="18"/>
  <c r="AF119" i="18"/>
  <c r="AE119" i="18"/>
  <c r="AD119" i="18"/>
  <c r="AC119" i="18"/>
  <c r="AB119" i="18"/>
  <c r="AA119" i="18"/>
  <c r="Z119" i="18"/>
  <c r="Y119" i="18"/>
  <c r="X119" i="18"/>
  <c r="BN118" i="18"/>
  <c r="BE118" i="18"/>
  <c r="BC118" i="18"/>
  <c r="BB118" i="18"/>
  <c r="BA118" i="18"/>
  <c r="AZ118" i="18"/>
  <c r="AY118" i="18"/>
  <c r="AX118" i="18"/>
  <c r="AW118" i="18"/>
  <c r="AV118" i="18"/>
  <c r="AU118" i="18"/>
  <c r="AT118" i="18"/>
  <c r="AS118" i="18"/>
  <c r="AR118" i="18"/>
  <c r="AQ118" i="18"/>
  <c r="AP118" i="18"/>
  <c r="AO118" i="18"/>
  <c r="AN118" i="18"/>
  <c r="AM118" i="18"/>
  <c r="AL118" i="18"/>
  <c r="AK118" i="18"/>
  <c r="AJ118" i="18"/>
  <c r="AI118" i="18"/>
  <c r="AH118" i="18"/>
  <c r="AG118" i="18"/>
  <c r="AF118" i="18"/>
  <c r="AE118" i="18"/>
  <c r="AD118" i="18"/>
  <c r="AC118" i="18"/>
  <c r="AB118" i="18"/>
  <c r="AA118" i="18"/>
  <c r="Z118" i="18"/>
  <c r="Y118" i="18"/>
  <c r="X118" i="18"/>
  <c r="L119" i="18"/>
  <c r="K119" i="18"/>
  <c r="J119" i="18"/>
  <c r="I119" i="18"/>
  <c r="G119" i="18"/>
  <c r="F119" i="18"/>
  <c r="E119" i="18"/>
  <c r="D119" i="18"/>
  <c r="C119" i="18"/>
  <c r="B119" i="18"/>
  <c r="L118" i="18"/>
  <c r="K118" i="18"/>
  <c r="J118" i="18"/>
  <c r="I118" i="18"/>
  <c r="H118" i="18"/>
  <c r="G118" i="18"/>
  <c r="F118" i="18"/>
  <c r="E118" i="18"/>
  <c r="D118" i="18"/>
  <c r="C118" i="18"/>
  <c r="B118" i="18"/>
  <c r="J116" i="18"/>
  <c r="I116" i="18"/>
  <c r="H116" i="18"/>
  <c r="G116" i="18"/>
  <c r="F116" i="18"/>
  <c r="E116" i="18"/>
  <c r="D116" i="18"/>
  <c r="C116" i="18"/>
  <c r="B116" i="18"/>
  <c r="BN117" i="18"/>
  <c r="BM117" i="18"/>
  <c r="BL117" i="18"/>
  <c r="BK117" i="18"/>
  <c r="BJ117" i="18"/>
  <c r="BI117" i="18"/>
  <c r="BH117" i="18"/>
  <c r="BG117" i="18"/>
  <c r="BF117" i="18"/>
  <c r="BE117" i="18"/>
  <c r="BD117" i="18"/>
  <c r="BC117" i="18"/>
  <c r="BB117" i="18"/>
  <c r="BA117" i="18"/>
  <c r="AZ117" i="18"/>
  <c r="AY117" i="18"/>
  <c r="AX117" i="18"/>
  <c r="AW117" i="18"/>
  <c r="AV117" i="18"/>
  <c r="AR117" i="18"/>
  <c r="AJ117" i="18"/>
  <c r="AB117" i="18"/>
  <c r="BN116" i="18"/>
  <c r="BM116" i="18"/>
  <c r="BL116" i="18"/>
  <c r="BK116" i="18"/>
  <c r="BJ116" i="18"/>
  <c r="BI116" i="18"/>
  <c r="BH116" i="18"/>
  <c r="BG116" i="18"/>
  <c r="BF116" i="18"/>
  <c r="BE116" i="18"/>
  <c r="BD116" i="18"/>
  <c r="BC116" i="18"/>
  <c r="BB116" i="18"/>
  <c r="BA116" i="18"/>
  <c r="AZ116" i="18"/>
  <c r="AY116" i="18"/>
  <c r="AX116" i="18"/>
  <c r="AW116" i="18"/>
  <c r="AV116" i="18"/>
  <c r="AU116" i="18"/>
  <c r="AT116" i="18"/>
  <c r="AS116" i="18"/>
  <c r="AR116" i="18"/>
  <c r="AQ116" i="18"/>
  <c r="AP116" i="18"/>
  <c r="AO116" i="18"/>
  <c r="AN116" i="18"/>
  <c r="AM116" i="18"/>
  <c r="AL116" i="18"/>
  <c r="AK116" i="18"/>
  <c r="AJ116" i="18"/>
  <c r="AI116" i="18"/>
  <c r="AH116" i="18"/>
  <c r="AG116" i="18"/>
  <c r="AF116" i="18"/>
  <c r="AE116" i="18"/>
  <c r="AD116" i="18"/>
  <c r="AC116" i="18"/>
  <c r="AB116" i="18"/>
  <c r="AA116" i="18"/>
  <c r="Z116" i="18"/>
  <c r="Y116" i="18"/>
  <c r="X116" i="18"/>
  <c r="BN114" i="18"/>
  <c r="BM114" i="18"/>
  <c r="BL114" i="18"/>
  <c r="BK114" i="18"/>
  <c r="BJ114" i="18"/>
  <c r="BI114" i="18"/>
  <c r="BH114" i="18"/>
  <c r="BG114" i="18"/>
  <c r="BF114" i="18"/>
  <c r="BE114" i="18"/>
  <c r="BD114" i="18"/>
  <c r="BC114" i="18"/>
  <c r="BB114" i="18"/>
  <c r="BA114" i="18"/>
  <c r="AZ114" i="18"/>
  <c r="AY114" i="18"/>
  <c r="AX114" i="18"/>
  <c r="AW114" i="18"/>
  <c r="AV114" i="18"/>
  <c r="AU114" i="18"/>
  <c r="AT114" i="18"/>
  <c r="AS114" i="18"/>
  <c r="AR114" i="18"/>
  <c r="AQ114" i="18"/>
  <c r="AP114" i="18"/>
  <c r="AO114" i="18"/>
  <c r="AN114" i="18"/>
  <c r="AM114" i="18"/>
  <c r="AL114" i="18"/>
  <c r="AK114" i="18"/>
  <c r="AJ114" i="18"/>
  <c r="AI114" i="18"/>
  <c r="AH114" i="18"/>
  <c r="AG114" i="18"/>
  <c r="AF114" i="18"/>
  <c r="AE114" i="18"/>
  <c r="AD114" i="18"/>
  <c r="AC114" i="18"/>
  <c r="AB114" i="18"/>
  <c r="AA114" i="18"/>
  <c r="Z114" i="18"/>
  <c r="Y114" i="18"/>
  <c r="X114" i="18"/>
  <c r="BN113" i="18"/>
  <c r="BM113" i="18"/>
  <c r="BL113" i="18"/>
  <c r="BK113" i="18"/>
  <c r="BJ113" i="18"/>
  <c r="BI113" i="18"/>
  <c r="BH113" i="18"/>
  <c r="BG113" i="18"/>
  <c r="BF113" i="18"/>
  <c r="BE113" i="18"/>
  <c r="BD113" i="18"/>
  <c r="BC113" i="18"/>
  <c r="BB113" i="18"/>
  <c r="BA113" i="18"/>
  <c r="AZ113" i="18"/>
  <c r="AY113" i="18"/>
  <c r="AX113" i="18"/>
  <c r="AW113" i="18"/>
  <c r="AV113" i="18"/>
  <c r="AU113" i="18"/>
  <c r="AT113" i="18"/>
  <c r="AS113" i="18"/>
  <c r="AR113" i="18"/>
  <c r="AQ113" i="18"/>
  <c r="AP113" i="18"/>
  <c r="AO113" i="18"/>
  <c r="AN113" i="18"/>
  <c r="AM113" i="18"/>
  <c r="AL113" i="18"/>
  <c r="AK113" i="18"/>
  <c r="AJ113" i="18"/>
  <c r="AI113" i="18"/>
  <c r="AH113" i="18"/>
  <c r="AG113" i="18"/>
  <c r="AF113" i="18"/>
  <c r="AE113" i="18"/>
  <c r="AD113" i="18"/>
  <c r="AC113" i="18"/>
  <c r="AB113" i="18"/>
  <c r="AA113" i="18"/>
  <c r="Z113" i="18"/>
  <c r="Y113" i="18"/>
  <c r="X113" i="18"/>
  <c r="BN112" i="18"/>
  <c r="BM112" i="18"/>
  <c r="BL112" i="18"/>
  <c r="BK112" i="18"/>
  <c r="BJ112" i="18"/>
  <c r="BI112" i="18"/>
  <c r="BH112" i="18"/>
  <c r="BG112" i="18"/>
  <c r="BF112" i="18"/>
  <c r="BE112" i="18"/>
  <c r="BD112" i="18"/>
  <c r="BC112" i="18"/>
  <c r="BB112" i="18"/>
  <c r="BA112" i="18"/>
  <c r="AZ112" i="18"/>
  <c r="AY112" i="18"/>
  <c r="AX112" i="18"/>
  <c r="AW112" i="18"/>
  <c r="AV112" i="18"/>
  <c r="AU112" i="18"/>
  <c r="AT112" i="18"/>
  <c r="AS112" i="18"/>
  <c r="AR112" i="18"/>
  <c r="AQ112" i="18"/>
  <c r="AP112" i="18"/>
  <c r="AO112" i="18"/>
  <c r="AN112" i="18"/>
  <c r="AM112" i="18"/>
  <c r="AL112" i="18"/>
  <c r="AK112" i="18"/>
  <c r="AJ112" i="18"/>
  <c r="AI112" i="18"/>
  <c r="AH112" i="18"/>
  <c r="AG112" i="18"/>
  <c r="AF112" i="18"/>
  <c r="AE112" i="18"/>
  <c r="AD112" i="18"/>
  <c r="AC112" i="18"/>
  <c r="AB112" i="18"/>
  <c r="AA112" i="18"/>
  <c r="Z112" i="18"/>
  <c r="Y112" i="18"/>
  <c r="X112" i="18"/>
  <c r="BN111" i="18"/>
  <c r="BM111" i="18"/>
  <c r="BL111" i="18"/>
  <c r="BK111" i="18"/>
  <c r="BJ111" i="18"/>
  <c r="BI111" i="18"/>
  <c r="BH111" i="18"/>
  <c r="BG111" i="18"/>
  <c r="BF111" i="18"/>
  <c r="BE111" i="18"/>
  <c r="BD111" i="18"/>
  <c r="BC111" i="18"/>
  <c r="BB111" i="18"/>
  <c r="BA111" i="18"/>
  <c r="AZ111" i="18"/>
  <c r="AY111" i="18"/>
  <c r="AX111" i="18"/>
  <c r="AW111" i="18"/>
  <c r="AV111" i="18"/>
  <c r="AU111" i="18"/>
  <c r="AT111" i="18"/>
  <c r="AS111" i="18"/>
  <c r="AR111" i="18"/>
  <c r="AQ111" i="18"/>
  <c r="AP111" i="18"/>
  <c r="AO111" i="18"/>
  <c r="AN111" i="18"/>
  <c r="AM111" i="18"/>
  <c r="AL111" i="18"/>
  <c r="AK111" i="18"/>
  <c r="AJ111" i="18"/>
  <c r="AI111" i="18"/>
  <c r="AH111" i="18"/>
  <c r="AG111" i="18"/>
  <c r="AF111" i="18"/>
  <c r="AE111" i="18"/>
  <c r="AD111" i="18"/>
  <c r="AC111" i="18"/>
  <c r="AB111" i="18"/>
  <c r="AA111" i="18"/>
  <c r="Z111" i="18"/>
  <c r="Y111" i="18"/>
  <c r="X111" i="18"/>
  <c r="BN110" i="18"/>
  <c r="BM110" i="18"/>
  <c r="BL110" i="18"/>
  <c r="BK110" i="18"/>
  <c r="BJ110" i="18"/>
  <c r="BI110" i="18"/>
  <c r="BH110" i="18"/>
  <c r="BG110" i="18"/>
  <c r="BF110" i="18"/>
  <c r="BE110" i="18"/>
  <c r="BD110" i="18"/>
  <c r="BC110" i="18"/>
  <c r="BB110" i="18"/>
  <c r="BA110" i="18"/>
  <c r="AZ110" i="18"/>
  <c r="AY110" i="18"/>
  <c r="AX110" i="18"/>
  <c r="AW110" i="18"/>
  <c r="AV110" i="18"/>
  <c r="AU110" i="18"/>
  <c r="AT110" i="18"/>
  <c r="AS110" i="18"/>
  <c r="AR110" i="18"/>
  <c r="AQ110" i="18"/>
  <c r="AP110" i="18"/>
  <c r="AO110" i="18"/>
  <c r="AN110" i="18"/>
  <c r="AM110" i="18"/>
  <c r="AL110" i="18"/>
  <c r="AK110" i="18"/>
  <c r="AJ110" i="18"/>
  <c r="AI110" i="18"/>
  <c r="AH110" i="18"/>
  <c r="AG110" i="18"/>
  <c r="AF110" i="18"/>
  <c r="AE110" i="18"/>
  <c r="AD110" i="18"/>
  <c r="AC110" i="18"/>
  <c r="AB110" i="18"/>
  <c r="AA110" i="18"/>
  <c r="Z110" i="18"/>
  <c r="Y110" i="18"/>
  <c r="X110" i="18"/>
  <c r="BN109" i="18"/>
  <c r="BM109" i="18"/>
  <c r="BL109" i="18"/>
  <c r="BK109" i="18"/>
  <c r="BJ109" i="18"/>
  <c r="BI109" i="18"/>
  <c r="BH109" i="18"/>
  <c r="BG109" i="18"/>
  <c r="BF109" i="18"/>
  <c r="BE109" i="18"/>
  <c r="BD109" i="18"/>
  <c r="BC109" i="18"/>
  <c r="BB109" i="18"/>
  <c r="BA109" i="18"/>
  <c r="AZ109" i="18"/>
  <c r="AY109" i="18"/>
  <c r="AX109" i="18"/>
  <c r="AW109" i="18"/>
  <c r="AV109" i="18"/>
  <c r="AU109" i="18"/>
  <c r="AT109" i="18"/>
  <c r="AS109" i="18"/>
  <c r="AR109" i="18"/>
  <c r="AQ109" i="18"/>
  <c r="AP109" i="18"/>
  <c r="AO109" i="18"/>
  <c r="AN109" i="18"/>
  <c r="AM109" i="18"/>
  <c r="AL109" i="18"/>
  <c r="AK109" i="18"/>
  <c r="AJ109" i="18"/>
  <c r="AI109" i="18"/>
  <c r="AH109" i="18"/>
  <c r="AG109" i="18"/>
  <c r="AF109" i="18"/>
  <c r="AE109" i="18"/>
  <c r="AD109" i="18"/>
  <c r="AC109" i="18"/>
  <c r="AB109" i="18"/>
  <c r="AA109" i="18"/>
  <c r="Z109" i="18"/>
  <c r="Y109" i="18"/>
  <c r="X109" i="18"/>
  <c r="BN107" i="18"/>
  <c r="BM107" i="18"/>
  <c r="BL107" i="18"/>
  <c r="BK107" i="18"/>
  <c r="BJ107" i="18"/>
  <c r="BI107" i="18"/>
  <c r="BH107" i="18"/>
  <c r="BG107" i="18"/>
  <c r="BF107" i="18"/>
  <c r="BE107" i="18"/>
  <c r="BD107" i="18"/>
  <c r="BC107" i="18"/>
  <c r="BB107" i="18"/>
  <c r="BA107" i="18"/>
  <c r="AZ107" i="18"/>
  <c r="AY107" i="18"/>
  <c r="AX107" i="18"/>
  <c r="AW107" i="18"/>
  <c r="AV107" i="18"/>
  <c r="AU107" i="18"/>
  <c r="AT107" i="18"/>
  <c r="AS107" i="18"/>
  <c r="AR107" i="18"/>
  <c r="AQ107" i="18"/>
  <c r="AP107" i="18"/>
  <c r="AO107" i="18"/>
  <c r="AN107" i="18"/>
  <c r="AM107" i="18"/>
  <c r="AL107" i="18"/>
  <c r="AK107" i="18"/>
  <c r="AJ107" i="18"/>
  <c r="AI107" i="18"/>
  <c r="AH107" i="18"/>
  <c r="AG107" i="18"/>
  <c r="AF107" i="18"/>
  <c r="AE107" i="18"/>
  <c r="AD107" i="18"/>
  <c r="AC107" i="18"/>
  <c r="AB107" i="18"/>
  <c r="AA107" i="18"/>
  <c r="Z107" i="18"/>
  <c r="Y107" i="18"/>
  <c r="X107" i="18"/>
  <c r="BN106" i="18"/>
  <c r="BM106" i="18"/>
  <c r="BL106" i="18"/>
  <c r="BK106" i="18"/>
  <c r="BJ106" i="18"/>
  <c r="BI106" i="18"/>
  <c r="BH106" i="18"/>
  <c r="BG106" i="18"/>
  <c r="BF106" i="18"/>
  <c r="BE106" i="18"/>
  <c r="BD106" i="18"/>
  <c r="BC106" i="18"/>
  <c r="BB106" i="18"/>
  <c r="BA106" i="18"/>
  <c r="AZ106" i="18"/>
  <c r="AY106" i="18"/>
  <c r="AX106" i="18"/>
  <c r="AW106" i="18"/>
  <c r="AV106" i="18"/>
  <c r="AU106" i="18"/>
  <c r="AT106" i="18"/>
  <c r="AS106" i="18"/>
  <c r="AR106" i="18"/>
  <c r="AQ106" i="18"/>
  <c r="AP106" i="18"/>
  <c r="AO106" i="18"/>
  <c r="AN106" i="18"/>
  <c r="AM106" i="18"/>
  <c r="AL106" i="18"/>
  <c r="AK106" i="18"/>
  <c r="AJ106" i="18"/>
  <c r="AI106" i="18"/>
  <c r="AH106" i="18"/>
  <c r="AG106" i="18"/>
  <c r="AF106" i="18"/>
  <c r="AE106" i="18"/>
  <c r="AD106" i="18"/>
  <c r="AC106" i="18"/>
  <c r="AB106" i="18"/>
  <c r="AA106" i="18"/>
  <c r="Z106" i="18"/>
  <c r="Y106" i="18"/>
  <c r="X106" i="18"/>
  <c r="L114" i="18"/>
  <c r="K114" i="18"/>
  <c r="L113" i="18"/>
  <c r="K113" i="18"/>
  <c r="L112" i="18"/>
  <c r="K112" i="18"/>
  <c r="L111" i="18"/>
  <c r="K111" i="18"/>
  <c r="L110" i="18"/>
  <c r="K110" i="18"/>
  <c r="L109" i="18"/>
  <c r="K109" i="18"/>
  <c r="L107" i="18"/>
  <c r="K107" i="18"/>
  <c r="L106" i="18"/>
  <c r="K106" i="18"/>
  <c r="J113" i="18"/>
  <c r="I113" i="18"/>
  <c r="H113" i="18"/>
  <c r="G113" i="18"/>
  <c r="F113" i="18"/>
  <c r="E113" i="18"/>
  <c r="D113" i="18"/>
  <c r="C113" i="18"/>
  <c r="B113" i="18"/>
  <c r="J112" i="18"/>
  <c r="I112" i="18"/>
  <c r="H112" i="18"/>
  <c r="G112" i="18"/>
  <c r="F112" i="18"/>
  <c r="E112" i="18"/>
  <c r="D112" i="18"/>
  <c r="C112" i="18"/>
  <c r="B112" i="18"/>
  <c r="J111" i="18"/>
  <c r="I111" i="18"/>
  <c r="H111" i="18"/>
  <c r="G111" i="18"/>
  <c r="F111" i="18"/>
  <c r="E111" i="18"/>
  <c r="D111" i="18"/>
  <c r="C111" i="18"/>
  <c r="B111" i="18"/>
  <c r="J110" i="18"/>
  <c r="I110" i="18"/>
  <c r="H110" i="18"/>
  <c r="G110" i="18"/>
  <c r="F110" i="18"/>
  <c r="E110" i="18"/>
  <c r="D110" i="18"/>
  <c r="C110" i="18"/>
  <c r="B110" i="18"/>
  <c r="J109" i="18"/>
  <c r="I109" i="18"/>
  <c r="H109" i="18"/>
  <c r="G109" i="18"/>
  <c r="F109" i="18"/>
  <c r="E109" i="18"/>
  <c r="D109" i="18"/>
  <c r="C109" i="18"/>
  <c r="B109" i="18"/>
  <c r="J107" i="18"/>
  <c r="I107" i="18"/>
  <c r="H107" i="18"/>
  <c r="G107" i="18"/>
  <c r="F107" i="18"/>
  <c r="E107" i="18"/>
  <c r="D107" i="18"/>
  <c r="C107" i="18"/>
  <c r="B107" i="18"/>
  <c r="J106" i="18"/>
  <c r="I106" i="18"/>
  <c r="H106" i="18"/>
  <c r="G106" i="18"/>
  <c r="F106" i="18"/>
  <c r="E106" i="18"/>
  <c r="D106" i="18"/>
  <c r="C106" i="18"/>
  <c r="B106" i="18"/>
  <c r="H98" i="18"/>
  <c r="K93" i="18"/>
  <c r="E89" i="18"/>
  <c r="B82" i="18"/>
  <c r="G83" i="18"/>
  <c r="J82" i="18"/>
  <c r="P68" i="18"/>
  <c r="BN61" i="18"/>
  <c r="BM61" i="18"/>
  <c r="V11" i="61" s="1"/>
  <c r="BL61" i="18"/>
  <c r="BK61" i="18"/>
  <c r="BJ61" i="18"/>
  <c r="BI61" i="18"/>
  <c r="BH61" i="18"/>
  <c r="BG61" i="18"/>
  <c r="BF61" i="18"/>
  <c r="BE61" i="18"/>
  <c r="BD61" i="18"/>
  <c r="BC61" i="18"/>
  <c r="BB61" i="18"/>
  <c r="BA61" i="18"/>
  <c r="AY61" i="18"/>
  <c r="AX61" i="18"/>
  <c r="AW61" i="18"/>
  <c r="AV61" i="18"/>
  <c r="AU61" i="18"/>
  <c r="AT61" i="18"/>
  <c r="AS61" i="18"/>
  <c r="AR61" i="18"/>
  <c r="AQ61" i="18"/>
  <c r="AP61" i="18"/>
  <c r="AM61" i="18"/>
  <c r="AL61" i="18"/>
  <c r="AK61" i="18"/>
  <c r="AI61" i="18"/>
  <c r="AH61" i="18"/>
  <c r="AG61" i="18"/>
  <c r="AE61" i="18"/>
  <c r="AD61" i="18"/>
  <c r="AC61" i="18"/>
  <c r="AB61" i="18"/>
  <c r="AA61" i="18"/>
  <c r="Z61" i="18"/>
  <c r="Y61" i="18"/>
  <c r="X61" i="18"/>
  <c r="BN60" i="18"/>
  <c r="BN42" i="18" s="1"/>
  <c r="BM60" i="18"/>
  <c r="BM42" i="18" s="1"/>
  <c r="BL60" i="18"/>
  <c r="BL42" i="18" s="1"/>
  <c r="BK60" i="18"/>
  <c r="BK42" i="18" s="1"/>
  <c r="BJ60" i="18"/>
  <c r="BJ42" i="18" s="1"/>
  <c r="BI60" i="18"/>
  <c r="BI42" i="18" s="1"/>
  <c r="BH60" i="18"/>
  <c r="BH42" i="18" s="1"/>
  <c r="BG60" i="18"/>
  <c r="BG42" i="18" s="1"/>
  <c r="BF60" i="18"/>
  <c r="BF42" i="18" s="1"/>
  <c r="BE60" i="18"/>
  <c r="BE42" i="18" s="1"/>
  <c r="BD60" i="18"/>
  <c r="BD42" i="18" s="1"/>
  <c r="BC60" i="18"/>
  <c r="BC42" i="18" s="1"/>
  <c r="BB60" i="18"/>
  <c r="BB42" i="18" s="1"/>
  <c r="BA60" i="18"/>
  <c r="BA42" i="18" s="1"/>
  <c r="AY60" i="18"/>
  <c r="AY42" i="18" s="1"/>
  <c r="AX60" i="18"/>
  <c r="AW60" i="18"/>
  <c r="AW42" i="18" s="1"/>
  <c r="AV60" i="18"/>
  <c r="AV42" i="18" s="1"/>
  <c r="AU60" i="18"/>
  <c r="AU42" i="18" s="1"/>
  <c r="AT60" i="18"/>
  <c r="AT42" i="18" s="1"/>
  <c r="AS60" i="18"/>
  <c r="AS42" i="18" s="1"/>
  <c r="AR60" i="18"/>
  <c r="AR42" i="18" s="1"/>
  <c r="AQ60" i="18"/>
  <c r="AQ42" i="18" s="1"/>
  <c r="AP60" i="18"/>
  <c r="AO60" i="18"/>
  <c r="AO42" i="18" s="1"/>
  <c r="AN60" i="18"/>
  <c r="AN42" i="18" s="1"/>
  <c r="AM60" i="18"/>
  <c r="AM42" i="18" s="1"/>
  <c r="AL60" i="18"/>
  <c r="AL42" i="18" s="1"/>
  <c r="AK60" i="18"/>
  <c r="AK42" i="18" s="1"/>
  <c r="AJ60" i="18"/>
  <c r="AJ42" i="18" s="1"/>
  <c r="AI60" i="18"/>
  <c r="AI42" i="18" s="1"/>
  <c r="AH60" i="18"/>
  <c r="AH42" i="18" s="1"/>
  <c r="AG60" i="18"/>
  <c r="AG42" i="18" s="1"/>
  <c r="AF60" i="18"/>
  <c r="AE60" i="18"/>
  <c r="AE42" i="18" s="1"/>
  <c r="AD60" i="18"/>
  <c r="AD42" i="18" s="1"/>
  <c r="AC60" i="18"/>
  <c r="AC42" i="18" s="1"/>
  <c r="AB60" i="18"/>
  <c r="AB42" i="18" s="1"/>
  <c r="AA60" i="18"/>
  <c r="AA42" i="18" s="1"/>
  <c r="Z60" i="18"/>
  <c r="Y60" i="18"/>
  <c r="Y42" i="18" s="1"/>
  <c r="X60" i="18"/>
  <c r="X42" i="18" s="1"/>
  <c r="BN59" i="18"/>
  <c r="BN41" i="18" s="1"/>
  <c r="BM59" i="18"/>
  <c r="BM41" i="18" s="1"/>
  <c r="BL59" i="18"/>
  <c r="BL41" i="18" s="1"/>
  <c r="BK59" i="18"/>
  <c r="BK41" i="18" s="1"/>
  <c r="BJ59" i="18"/>
  <c r="BJ41" i="18" s="1"/>
  <c r="BI59" i="18"/>
  <c r="BH59" i="18"/>
  <c r="BG59" i="18"/>
  <c r="BG41" i="18" s="1"/>
  <c r="BF59" i="18"/>
  <c r="BF41" i="18" s="1"/>
  <c r="BE59" i="18"/>
  <c r="BE41" i="18" s="1"/>
  <c r="BD59" i="18"/>
  <c r="BD41" i="18" s="1"/>
  <c r="BC59" i="18"/>
  <c r="BC41" i="18" s="1"/>
  <c r="BB59" i="18"/>
  <c r="BB41" i="18" s="1"/>
  <c r="BA59" i="18"/>
  <c r="AY59" i="18"/>
  <c r="AY41" i="18" s="1"/>
  <c r="AX59" i="18"/>
  <c r="AX41" i="18" s="1"/>
  <c r="AW59" i="18"/>
  <c r="AW41" i="18" s="1"/>
  <c r="AV59" i="18"/>
  <c r="AV41" i="18" s="1"/>
  <c r="AU59" i="18"/>
  <c r="AU41" i="18" s="1"/>
  <c r="AT59" i="18"/>
  <c r="AT41" i="18" s="1"/>
  <c r="AS59" i="18"/>
  <c r="AR59" i="18"/>
  <c r="AQ59" i="18"/>
  <c r="AQ41" i="18" s="1"/>
  <c r="AP59" i="18"/>
  <c r="AP41" i="18" s="1"/>
  <c r="AO59" i="18"/>
  <c r="AO41" i="18" s="1"/>
  <c r="AN59" i="18"/>
  <c r="AN41" i="18" s="1"/>
  <c r="AM59" i="18"/>
  <c r="AM41" i="18" s="1"/>
  <c r="AL59" i="18"/>
  <c r="AL41" i="18" s="1"/>
  <c r="AK59" i="18"/>
  <c r="AJ59" i="18"/>
  <c r="AI59" i="18"/>
  <c r="AI41" i="18" s="1"/>
  <c r="AH59" i="18"/>
  <c r="AH41" i="18" s="1"/>
  <c r="AG59" i="18"/>
  <c r="AG41" i="18" s="1"/>
  <c r="AF59" i="18"/>
  <c r="AF41" i="18" s="1"/>
  <c r="AE59" i="18"/>
  <c r="AE41" i="18" s="1"/>
  <c r="AD59" i="18"/>
  <c r="AD41" i="18" s="1"/>
  <c r="AC59" i="18"/>
  <c r="AB59" i="18"/>
  <c r="AA59" i="18"/>
  <c r="AA41" i="18" s="1"/>
  <c r="Z59" i="18"/>
  <c r="Z41" i="18" s="1"/>
  <c r="Y59" i="18"/>
  <c r="Y41" i="18" s="1"/>
  <c r="X59" i="18"/>
  <c r="X41" i="18" s="1"/>
  <c r="BN58" i="18"/>
  <c r="BN40" i="18" s="1"/>
  <c r="BM58" i="18"/>
  <c r="BM40" i="18" s="1"/>
  <c r="BL58" i="18"/>
  <c r="BK58" i="18"/>
  <c r="BK40" i="18" s="1"/>
  <c r="BJ58" i="18"/>
  <c r="BJ40" i="18" s="1"/>
  <c r="BI58" i="18"/>
  <c r="BI40" i="18" s="1"/>
  <c r="BH58" i="18"/>
  <c r="BH40" i="18" s="1"/>
  <c r="BG58" i="18"/>
  <c r="BG40" i="18" s="1"/>
  <c r="BF58" i="18"/>
  <c r="BF40" i="18" s="1"/>
  <c r="BE58" i="18"/>
  <c r="BE40" i="18" s="1"/>
  <c r="BD58" i="18"/>
  <c r="BC58" i="18"/>
  <c r="BC40" i="18" s="1"/>
  <c r="BB58" i="18"/>
  <c r="BB40" i="18" s="1"/>
  <c r="BA58" i="18"/>
  <c r="BA40" i="18" s="1"/>
  <c r="AY58" i="18"/>
  <c r="AY40" i="18" s="1"/>
  <c r="AX58" i="18"/>
  <c r="AX40" i="18" s="1"/>
  <c r="AW58" i="18"/>
  <c r="AW40" i="18" s="1"/>
  <c r="AV58" i="18"/>
  <c r="AV40" i="18" s="1"/>
  <c r="AU58" i="18"/>
  <c r="AU40" i="18" s="1"/>
  <c r="AT58" i="18"/>
  <c r="AT40" i="18" s="1"/>
  <c r="AS58" i="18"/>
  <c r="AS40" i="18" s="1"/>
  <c r="AR58" i="18"/>
  <c r="AR40" i="18" s="1"/>
  <c r="AQ58" i="18"/>
  <c r="AQ40" i="18" s="1"/>
  <c r="AP58" i="18"/>
  <c r="AP40" i="18" s="1"/>
  <c r="AO58" i="18"/>
  <c r="AO40" i="18" s="1"/>
  <c r="AN58" i="18"/>
  <c r="AM58" i="18"/>
  <c r="AM40" i="18" s="1"/>
  <c r="AL58" i="18"/>
  <c r="AL40" i="18" s="1"/>
  <c r="AK58" i="18"/>
  <c r="AK40" i="18" s="1"/>
  <c r="AJ58" i="18"/>
  <c r="AJ40" i="18" s="1"/>
  <c r="AI58" i="18"/>
  <c r="AI40" i="18" s="1"/>
  <c r="AH58" i="18"/>
  <c r="AH40" i="18" s="1"/>
  <c r="AG58" i="18"/>
  <c r="AG40" i="18" s="1"/>
  <c r="AF58" i="18"/>
  <c r="AF40" i="18" s="1"/>
  <c r="AE58" i="18"/>
  <c r="AE40" i="18" s="1"/>
  <c r="AD58" i="18"/>
  <c r="AD40" i="18" s="1"/>
  <c r="AC58" i="18"/>
  <c r="AC40" i="18" s="1"/>
  <c r="AB58" i="18"/>
  <c r="AB40" i="18" s="1"/>
  <c r="AA58" i="18"/>
  <c r="AA40" i="18" s="1"/>
  <c r="Z58" i="18"/>
  <c r="Z40" i="18" s="1"/>
  <c r="Y58" i="18"/>
  <c r="Y40" i="18" s="1"/>
  <c r="X58" i="18"/>
  <c r="X40" i="18" s="1"/>
  <c r="BN57" i="18"/>
  <c r="BN39" i="18" s="1"/>
  <c r="BM57" i="18"/>
  <c r="BL57" i="18"/>
  <c r="BL39" i="18" s="1"/>
  <c r="BK57" i="18"/>
  <c r="BK39" i="18" s="1"/>
  <c r="BJ57" i="18"/>
  <c r="BJ39" i="18" s="1"/>
  <c r="BI57" i="18"/>
  <c r="BI39" i="18" s="1"/>
  <c r="BH57" i="18"/>
  <c r="BG57" i="18"/>
  <c r="BG39" i="18" s="1"/>
  <c r="BF57" i="18"/>
  <c r="BF39" i="18" s="1"/>
  <c r="BE57" i="18"/>
  <c r="BD57" i="18"/>
  <c r="BD39" i="18" s="1"/>
  <c r="BC57" i="18"/>
  <c r="BB57" i="18"/>
  <c r="BB39" i="18" s="1"/>
  <c r="BA57" i="18"/>
  <c r="BA39" i="18" s="1"/>
  <c r="AY57" i="18"/>
  <c r="AY39" i="18" s="1"/>
  <c r="AX57" i="18"/>
  <c r="AX39" i="18" s="1"/>
  <c r="AW57" i="18"/>
  <c r="AV57" i="18"/>
  <c r="AV39" i="18" s="1"/>
  <c r="AU57" i="18"/>
  <c r="AT57" i="18"/>
  <c r="AT39" i="18" s="1"/>
  <c r="AS57" i="18"/>
  <c r="AS39" i="18" s="1"/>
  <c r="AR57" i="18"/>
  <c r="AQ57" i="18"/>
  <c r="AQ39" i="18" s="1"/>
  <c r="AP57" i="18"/>
  <c r="AP39" i="18" s="1"/>
  <c r="AO57" i="18"/>
  <c r="AN57" i="18"/>
  <c r="AN39" i="18" s="1"/>
  <c r="AM57" i="18"/>
  <c r="AM39" i="18" s="1"/>
  <c r="AL57" i="18"/>
  <c r="AL39" i="18" s="1"/>
  <c r="AK57" i="18"/>
  <c r="AK39" i="18" s="1"/>
  <c r="AJ57" i="18"/>
  <c r="AI57" i="18"/>
  <c r="AI39" i="18" s="1"/>
  <c r="AH57" i="18"/>
  <c r="AH39" i="18" s="1"/>
  <c r="AG57" i="18"/>
  <c r="AF57" i="18"/>
  <c r="AF39" i="18" s="1"/>
  <c r="AE57" i="18"/>
  <c r="AD57" i="18"/>
  <c r="AD39" i="18" s="1"/>
  <c r="AC57" i="18"/>
  <c r="AC39" i="18" s="1"/>
  <c r="AB57" i="18"/>
  <c r="AA57" i="18"/>
  <c r="AA39" i="18" s="1"/>
  <c r="Z57" i="18"/>
  <c r="Z39" i="18" s="1"/>
  <c r="Y57" i="18"/>
  <c r="X57" i="18"/>
  <c r="X39" i="18" s="1"/>
  <c r="BN55" i="18"/>
  <c r="BN37" i="18" s="1"/>
  <c r="BM55" i="18"/>
  <c r="BL55" i="18"/>
  <c r="BL37" i="18" s="1"/>
  <c r="BK55" i="18"/>
  <c r="BK37" i="18" s="1"/>
  <c r="BJ55" i="18"/>
  <c r="BJ37" i="18" s="1"/>
  <c r="BI55" i="18"/>
  <c r="BI37" i="18" s="1"/>
  <c r="BH55" i="18"/>
  <c r="BH37" i="18" s="1"/>
  <c r="BG55" i="18"/>
  <c r="BF55" i="18"/>
  <c r="BF37" i="18" s="1"/>
  <c r="BE55" i="18"/>
  <c r="BD55" i="18"/>
  <c r="BD37" i="18" s="1"/>
  <c r="BC55" i="18"/>
  <c r="BC37" i="18" s="1"/>
  <c r="BB55" i="18"/>
  <c r="BB37" i="18" s="1"/>
  <c r="BA55" i="18"/>
  <c r="BA37" i="18" s="1"/>
  <c r="AY55" i="18"/>
  <c r="AY37" i="18" s="1"/>
  <c r="AX55" i="18"/>
  <c r="AX37" i="18" s="1"/>
  <c r="AW55" i="18"/>
  <c r="AW37" i="18" s="1"/>
  <c r="AV55" i="18"/>
  <c r="AV37" i="18" s="1"/>
  <c r="AU55" i="18"/>
  <c r="AU37" i="18" s="1"/>
  <c r="AT55" i="18"/>
  <c r="AT37" i="18" s="1"/>
  <c r="AS55" i="18"/>
  <c r="AS37" i="18" s="1"/>
  <c r="AR55" i="18"/>
  <c r="AR37" i="18" s="1"/>
  <c r="AQ55" i="18"/>
  <c r="AQ37" i="18" s="1"/>
  <c r="AP55" i="18"/>
  <c r="AP37" i="18" s="1"/>
  <c r="AO55" i="18"/>
  <c r="AN55" i="18"/>
  <c r="AN37" i="18" s="1"/>
  <c r="AM55" i="18"/>
  <c r="AM37" i="18" s="1"/>
  <c r="AL55" i="18"/>
  <c r="AL37" i="18" s="1"/>
  <c r="AK55" i="18"/>
  <c r="AK37" i="18" s="1"/>
  <c r="AJ55" i="18"/>
  <c r="AJ37" i="18" s="1"/>
  <c r="AI55" i="18"/>
  <c r="AI37" i="18" s="1"/>
  <c r="AH55" i="18"/>
  <c r="AH37" i="18" s="1"/>
  <c r="AG55" i="18"/>
  <c r="AG37" i="18" s="1"/>
  <c r="AF55" i="18"/>
  <c r="AF37" i="18" s="1"/>
  <c r="AE55" i="18"/>
  <c r="AE37" i="18" s="1"/>
  <c r="AD55" i="18"/>
  <c r="AD37" i="18" s="1"/>
  <c r="AC55" i="18"/>
  <c r="AC37" i="18" s="1"/>
  <c r="AB55" i="18"/>
  <c r="AB37" i="18" s="1"/>
  <c r="AA55" i="18"/>
  <c r="AA37" i="18" s="1"/>
  <c r="Z55" i="18"/>
  <c r="Z37" i="18" s="1"/>
  <c r="Y55" i="18"/>
  <c r="Y37" i="18" s="1"/>
  <c r="X55" i="18"/>
  <c r="X37" i="18" s="1"/>
  <c r="BN54" i="18"/>
  <c r="BM54" i="18"/>
  <c r="BM36" i="18" s="1"/>
  <c r="BL54" i="18"/>
  <c r="BK54" i="18"/>
  <c r="BK36" i="18" s="1"/>
  <c r="BJ54" i="18"/>
  <c r="BJ36" i="18" s="1"/>
  <c r="BI54" i="18"/>
  <c r="BI36" i="18" s="1"/>
  <c r="BH54" i="18"/>
  <c r="BG54" i="18"/>
  <c r="BG36" i="18" s="1"/>
  <c r="BF54" i="18"/>
  <c r="BE54" i="18"/>
  <c r="BE36" i="18" s="1"/>
  <c r="BD54" i="18"/>
  <c r="BC54" i="18"/>
  <c r="BC36" i="18" s="1"/>
  <c r="BB54" i="18"/>
  <c r="BA54" i="18"/>
  <c r="BA36" i="18" s="1"/>
  <c r="AY54" i="18"/>
  <c r="AX54" i="18"/>
  <c r="AW54" i="18"/>
  <c r="AV54" i="18"/>
  <c r="AU54" i="18"/>
  <c r="AT54" i="18"/>
  <c r="AS54" i="18"/>
  <c r="AS36" i="18" s="1"/>
  <c r="AR54" i="18"/>
  <c r="AQ54" i="18"/>
  <c r="AP54" i="18"/>
  <c r="AO54" i="18"/>
  <c r="AO36" i="18" s="1"/>
  <c r="AN54" i="18"/>
  <c r="AM54" i="18"/>
  <c r="AL54" i="18"/>
  <c r="AK54" i="18"/>
  <c r="AK36" i="18" s="1"/>
  <c r="AJ54" i="18"/>
  <c r="AJ36" i="18" s="1"/>
  <c r="AI54" i="18"/>
  <c r="AH54" i="18"/>
  <c r="AG54" i="18"/>
  <c r="AG36" i="18" s="1"/>
  <c r="AF54" i="18"/>
  <c r="AE54" i="18"/>
  <c r="AD54" i="18"/>
  <c r="AC54" i="18"/>
  <c r="AB54" i="18"/>
  <c r="AA54" i="18"/>
  <c r="Z54" i="18"/>
  <c r="Y54" i="18"/>
  <c r="Y36" i="18" s="1"/>
  <c r="X54" i="18"/>
  <c r="L61" i="18"/>
  <c r="K61" i="18"/>
  <c r="J61" i="18"/>
  <c r="I61" i="18"/>
  <c r="H61" i="18"/>
  <c r="G61" i="18"/>
  <c r="F61" i="18"/>
  <c r="E61" i="18"/>
  <c r="D61" i="18"/>
  <c r="C61" i="18"/>
  <c r="B61" i="18"/>
  <c r="L60" i="18"/>
  <c r="L42" i="18" s="1"/>
  <c r="K60" i="18"/>
  <c r="K42" i="18" s="1"/>
  <c r="J60" i="18"/>
  <c r="J42" i="18" s="1"/>
  <c r="I60" i="18"/>
  <c r="I42" i="18" s="1"/>
  <c r="H60" i="18"/>
  <c r="H42" i="18" s="1"/>
  <c r="G60" i="18"/>
  <c r="G42" i="18" s="1"/>
  <c r="F60" i="18"/>
  <c r="F42" i="18" s="1"/>
  <c r="E60" i="18"/>
  <c r="E42" i="18" s="1"/>
  <c r="D60" i="18"/>
  <c r="D42" i="18" s="1"/>
  <c r="C60" i="18"/>
  <c r="C42" i="18" s="1"/>
  <c r="B60" i="18"/>
  <c r="B42" i="18" s="1"/>
  <c r="L59" i="18"/>
  <c r="L41" i="18" s="1"/>
  <c r="K59" i="18"/>
  <c r="K41" i="18" s="1"/>
  <c r="J59" i="18"/>
  <c r="I59" i="18"/>
  <c r="I41" i="18" s="1"/>
  <c r="H59" i="18"/>
  <c r="H41" i="18" s="1"/>
  <c r="G59" i="18"/>
  <c r="G41" i="18" s="1"/>
  <c r="F59" i="18"/>
  <c r="F41" i="18" s="1"/>
  <c r="E59" i="18"/>
  <c r="E41" i="18" s="1"/>
  <c r="D59" i="18"/>
  <c r="D41" i="18" s="1"/>
  <c r="C59" i="18"/>
  <c r="C41" i="18" s="1"/>
  <c r="B59" i="18"/>
  <c r="B41" i="18" s="1"/>
  <c r="L58" i="18"/>
  <c r="L40" i="18" s="1"/>
  <c r="K58" i="18"/>
  <c r="K40" i="18" s="1"/>
  <c r="J58" i="18"/>
  <c r="J40" i="18" s="1"/>
  <c r="I58" i="18"/>
  <c r="I40" i="18" s="1"/>
  <c r="H58" i="18"/>
  <c r="H40" i="18" s="1"/>
  <c r="G58" i="18"/>
  <c r="F58" i="18"/>
  <c r="E58" i="18"/>
  <c r="E40" i="18" s="1"/>
  <c r="D58" i="18"/>
  <c r="D40" i="18" s="1"/>
  <c r="C58" i="18"/>
  <c r="C40" i="18" s="1"/>
  <c r="B58" i="18"/>
  <c r="B40" i="18" s="1"/>
  <c r="L57" i="18"/>
  <c r="K57" i="18"/>
  <c r="K39" i="18" s="1"/>
  <c r="J57" i="18"/>
  <c r="I57" i="18"/>
  <c r="I39" i="18" s="1"/>
  <c r="H57" i="18"/>
  <c r="H39" i="18" s="1"/>
  <c r="G57" i="18"/>
  <c r="F57" i="18"/>
  <c r="F39" i="18" s="1"/>
  <c r="E57" i="18"/>
  <c r="E39" i="18" s="1"/>
  <c r="D57" i="18"/>
  <c r="C57" i="18"/>
  <c r="B57" i="18"/>
  <c r="L55" i="18"/>
  <c r="K55" i="18"/>
  <c r="K37" i="18" s="1"/>
  <c r="J55" i="18"/>
  <c r="J37" i="18" s="1"/>
  <c r="I55" i="18"/>
  <c r="H55" i="18"/>
  <c r="H37" i="18" s="1"/>
  <c r="G55" i="18"/>
  <c r="G37" i="18" s="1"/>
  <c r="F55" i="18"/>
  <c r="F37" i="18" s="1"/>
  <c r="E55" i="18"/>
  <c r="E37" i="18" s="1"/>
  <c r="D55" i="18"/>
  <c r="C55" i="18"/>
  <c r="C37" i="18" s="1"/>
  <c r="B55" i="18"/>
  <c r="L54" i="18"/>
  <c r="L36" i="18" s="1"/>
  <c r="K54" i="18"/>
  <c r="K36" i="18" s="1"/>
  <c r="J54" i="18"/>
  <c r="I54" i="18"/>
  <c r="I36" i="18" s="1"/>
  <c r="H54" i="18"/>
  <c r="H36" i="18" s="1"/>
  <c r="G54" i="18"/>
  <c r="F54" i="18"/>
  <c r="F36" i="18" s="1"/>
  <c r="E54" i="18"/>
  <c r="E36" i="18" s="1"/>
  <c r="D54" i="18"/>
  <c r="D36" i="18" s="1"/>
  <c r="C54" i="18"/>
  <c r="B54" i="18"/>
  <c r="B36" i="18" s="1"/>
  <c r="BN49" i="18"/>
  <c r="BF49" i="18"/>
  <c r="AY49" i="18"/>
  <c r="AR49" i="18"/>
  <c r="AP49" i="18"/>
  <c r="AN49" i="18"/>
  <c r="AL49" i="18"/>
  <c r="BN47" i="18"/>
  <c r="BH47" i="18"/>
  <c r="BC47" i="18"/>
  <c r="AM47" i="18"/>
  <c r="BN45" i="18"/>
  <c r="BK45" i="18"/>
  <c r="BH45" i="18"/>
  <c r="BG45" i="18"/>
  <c r="BF45" i="18"/>
  <c r="BE45" i="18"/>
  <c r="BD45" i="18"/>
  <c r="BC45" i="18"/>
  <c r="BB45" i="18"/>
  <c r="AY45" i="18"/>
  <c r="AT45" i="18"/>
  <c r="AS45" i="18"/>
  <c r="AR45" i="18"/>
  <c r="AO45" i="18"/>
  <c r="AL45" i="18"/>
  <c r="AK45" i="18"/>
  <c r="AJ45" i="18"/>
  <c r="AG45" i="18"/>
  <c r="AB49" i="18"/>
  <c r="X49" i="18"/>
  <c r="AC47" i="18"/>
  <c r="AD45" i="18"/>
  <c r="L49" i="18"/>
  <c r="K49" i="18"/>
  <c r="J49" i="18"/>
  <c r="I49" i="18"/>
  <c r="H49" i="18"/>
  <c r="G49" i="18"/>
  <c r="F49" i="18"/>
  <c r="E49" i="18"/>
  <c r="D49" i="18"/>
  <c r="C49" i="18"/>
  <c r="B49" i="18"/>
  <c r="L47" i="18"/>
  <c r="K47" i="18"/>
  <c r="J47" i="18"/>
  <c r="I47" i="18"/>
  <c r="H47" i="18"/>
  <c r="G47" i="18"/>
  <c r="F47" i="18"/>
  <c r="E47" i="18"/>
  <c r="D47" i="18"/>
  <c r="C47" i="18"/>
  <c r="B47" i="18"/>
  <c r="L45" i="18"/>
  <c r="K45" i="18"/>
  <c r="J45" i="18"/>
  <c r="I45" i="18"/>
  <c r="H45" i="18"/>
  <c r="G45" i="18"/>
  <c r="F45" i="18"/>
  <c r="E45" i="18"/>
  <c r="D45" i="18"/>
  <c r="C45" i="18"/>
  <c r="B45" i="18"/>
  <c r="BN24" i="18"/>
  <c r="BI24" i="18"/>
  <c r="AU24" i="18"/>
  <c r="AT24" i="18"/>
  <c r="AS24" i="18"/>
  <c r="AR24" i="18"/>
  <c r="AQ24" i="18"/>
  <c r="AP24" i="18"/>
  <c r="AO24" i="18"/>
  <c r="AN24" i="18"/>
  <c r="AM24" i="18"/>
  <c r="AL24" i="18"/>
  <c r="AK24" i="18"/>
  <c r="AJ24" i="18"/>
  <c r="AI24" i="18"/>
  <c r="AH24" i="18"/>
  <c r="AG24" i="18"/>
  <c r="AF24" i="18"/>
  <c r="AE24" i="18"/>
  <c r="AD24" i="18"/>
  <c r="AC24" i="18"/>
  <c r="AB24" i="18"/>
  <c r="AA24" i="18"/>
  <c r="Z24" i="18"/>
  <c r="Y24" i="18"/>
  <c r="X24" i="18"/>
  <c r="BN23" i="18"/>
  <c r="BD23" i="18"/>
  <c r="AT23" i="18"/>
  <c r="AS23" i="18"/>
  <c r="AR23" i="18"/>
  <c r="AQ23" i="18"/>
  <c r="AP23" i="18"/>
  <c r="AO23" i="18"/>
  <c r="AN23" i="18"/>
  <c r="AM23" i="18"/>
  <c r="AL23" i="18"/>
  <c r="AK23" i="18"/>
  <c r="AJ23" i="18"/>
  <c r="AI23" i="18"/>
  <c r="AH23" i="18"/>
  <c r="AG23" i="18"/>
  <c r="AF23" i="18"/>
  <c r="AE23" i="18"/>
  <c r="AD23" i="18"/>
  <c r="AC23" i="18"/>
  <c r="AB23" i="18"/>
  <c r="AA23" i="18"/>
  <c r="Z23" i="18"/>
  <c r="Y23" i="18"/>
  <c r="X23" i="18"/>
  <c r="L24" i="18"/>
  <c r="N88" i="68" s="1"/>
  <c r="K24" i="18"/>
  <c r="M88" i="68" s="1"/>
  <c r="J24" i="18"/>
  <c r="I24" i="18"/>
  <c r="H24" i="18"/>
  <c r="J88" i="68" s="1"/>
  <c r="N23" i="18"/>
  <c r="L23" i="18"/>
  <c r="N87" i="68" s="1"/>
  <c r="K23" i="18"/>
  <c r="J23" i="18"/>
  <c r="L87" i="68" s="1"/>
  <c r="I23" i="18"/>
  <c r="H23" i="18"/>
  <c r="J87" i="68" s="1"/>
  <c r="BN18" i="18"/>
  <c r="BN15" i="18"/>
  <c r="BJ15" i="18"/>
  <c r="BF15" i="18"/>
  <c r="AX15" i="18"/>
  <c r="AP15" i="18"/>
  <c r="AH15" i="18"/>
  <c r="Z15" i="18"/>
  <c r="L18" i="18"/>
  <c r="K18" i="18"/>
  <c r="J18" i="18"/>
  <c r="I18" i="18"/>
  <c r="H18" i="18"/>
  <c r="G18" i="18"/>
  <c r="F18" i="18"/>
  <c r="E18" i="18"/>
  <c r="D18" i="18"/>
  <c r="F60" i="68" s="1"/>
  <c r="F61" i="68" s="1"/>
  <c r="F62" i="68" s="1"/>
  <c r="F63" i="68" s="1"/>
  <c r="C18" i="18"/>
  <c r="B18" i="18"/>
  <c r="L15" i="18"/>
  <c r="R14" i="60" s="1"/>
  <c r="K15" i="18"/>
  <c r="J15" i="18"/>
  <c r="I15" i="18"/>
  <c r="H15" i="18"/>
  <c r="G15" i="18"/>
  <c r="F15" i="18"/>
  <c r="E15" i="18"/>
  <c r="D15" i="18"/>
  <c r="C15" i="18"/>
  <c r="B15" i="18"/>
  <c r="B11" i="18"/>
  <c r="B10" i="18"/>
  <c r="BN11" i="18"/>
  <c r="BJ11" i="18"/>
  <c r="BI11" i="18"/>
  <c r="BH11" i="18"/>
  <c r="BG11" i="18"/>
  <c r="BF11" i="18"/>
  <c r="BE11" i="18"/>
  <c r="BD11" i="18"/>
  <c r="AV11" i="18"/>
  <c r="AQ11" i="18"/>
  <c r="AL11" i="18"/>
  <c r="AD11" i="18"/>
  <c r="AC11" i="18"/>
  <c r="AB11" i="18"/>
  <c r="AA11" i="18"/>
  <c r="Z11" i="18"/>
  <c r="Y11" i="18"/>
  <c r="X11" i="18"/>
  <c r="BN10" i="18"/>
  <c r="BL10" i="18"/>
  <c r="BK10" i="18"/>
  <c r="BJ10" i="18"/>
  <c r="BI10" i="18"/>
  <c r="BH10" i="18"/>
  <c r="BG10" i="18"/>
  <c r="BF10" i="18"/>
  <c r="AX10" i="18"/>
  <c r="AS10" i="18"/>
  <c r="AN10" i="18"/>
  <c r="AF10" i="18"/>
  <c r="AE10" i="18"/>
  <c r="AD10" i="18"/>
  <c r="AC10" i="18"/>
  <c r="AB10" i="18"/>
  <c r="AA10" i="18"/>
  <c r="Z10" i="18"/>
  <c r="BN9" i="18"/>
  <c r="BK9" i="18"/>
  <c r="BD9" i="18"/>
  <c r="AU9" i="18"/>
  <c r="AM9" i="18"/>
  <c r="AE9" i="18"/>
  <c r="L11" i="18"/>
  <c r="K11" i="18"/>
  <c r="J11" i="18"/>
  <c r="I11" i="18"/>
  <c r="H11" i="18"/>
  <c r="G11" i="18"/>
  <c r="F11" i="18"/>
  <c r="E11" i="18"/>
  <c r="D11" i="18"/>
  <c r="C11" i="18"/>
  <c r="L10" i="18"/>
  <c r="K10" i="18"/>
  <c r="J10" i="18"/>
  <c r="I10" i="18"/>
  <c r="H10" i="18"/>
  <c r="G10" i="18"/>
  <c r="F10" i="18"/>
  <c r="E10" i="18"/>
  <c r="D10" i="18"/>
  <c r="C10" i="18"/>
  <c r="L6" i="18"/>
  <c r="K6" i="18"/>
  <c r="J6" i="18"/>
  <c r="I6" i="18"/>
  <c r="H6" i="18"/>
  <c r="G6" i="18"/>
  <c r="F6" i="18"/>
  <c r="E6" i="18"/>
  <c r="D6" i="18"/>
  <c r="C6" i="18"/>
  <c r="B6" i="18"/>
  <c r="CU4" i="18"/>
  <c r="CT4" i="18"/>
  <c r="CS4" i="18"/>
  <c r="CR4" i="18"/>
  <c r="CQ4" i="18"/>
  <c r="CP4" i="18"/>
  <c r="CO4" i="18"/>
  <c r="CN4" i="18"/>
  <c r="CM4" i="18"/>
  <c r="CL4" i="18"/>
  <c r="CK4" i="18"/>
  <c r="CJ4" i="18"/>
  <c r="CI4" i="18"/>
  <c r="CH4" i="18"/>
  <c r="CG4" i="18"/>
  <c r="CF4" i="18"/>
  <c r="CE4" i="18"/>
  <c r="CD4" i="18"/>
  <c r="CC4" i="18"/>
  <c r="CB4" i="18"/>
  <c r="CA4" i="18"/>
  <c r="BZ4" i="18"/>
  <c r="BY4" i="18"/>
  <c r="BX4" i="18"/>
  <c r="BW4" i="18"/>
  <c r="BV4" i="18"/>
  <c r="BU4" i="18"/>
  <c r="BT4" i="18"/>
  <c r="BS4" i="18"/>
  <c r="BR4" i="18"/>
  <c r="BQ4" i="18"/>
  <c r="BP4" i="18"/>
  <c r="BO4" i="18"/>
  <c r="BN4" i="18"/>
  <c r="BM4" i="18"/>
  <c r="BL4" i="18"/>
  <c r="BK4" i="18"/>
  <c r="BJ4" i="18"/>
  <c r="BI4" i="18"/>
  <c r="BH4" i="18"/>
  <c r="BG4" i="18"/>
  <c r="BF4" i="18"/>
  <c r="BE4" i="18"/>
  <c r="BD4" i="18"/>
  <c r="BC4" i="18"/>
  <c r="BB4" i="18"/>
  <c r="BA4" i="18"/>
  <c r="AZ4" i="18"/>
  <c r="AY4" i="18"/>
  <c r="AX4" i="18"/>
  <c r="AW4" i="18"/>
  <c r="AV4" i="18"/>
  <c r="AU4" i="18"/>
  <c r="AT4" i="18"/>
  <c r="AS4" i="18"/>
  <c r="AR4" i="18"/>
  <c r="AQ4" i="18"/>
  <c r="AP4" i="18"/>
  <c r="AO4" i="18"/>
  <c r="AN4" i="18"/>
  <c r="AM4" i="18"/>
  <c r="AL4" i="18"/>
  <c r="AK4" i="18"/>
  <c r="AJ4" i="18"/>
  <c r="AI4" i="18"/>
  <c r="AH4" i="18"/>
  <c r="AG4" i="18"/>
  <c r="AF4" i="18"/>
  <c r="AE4" i="18"/>
  <c r="AD4" i="18"/>
  <c r="AC4" i="18"/>
  <c r="AB4" i="18"/>
  <c r="AA4" i="18"/>
  <c r="Z4" i="18"/>
  <c r="Y4" i="18"/>
  <c r="X4" i="18"/>
  <c r="U4" i="18"/>
  <c r="T4" i="18"/>
  <c r="S4" i="18"/>
  <c r="R4" i="18"/>
  <c r="Q4" i="18"/>
  <c r="P4" i="18"/>
  <c r="O4" i="18"/>
  <c r="L5" i="18"/>
  <c r="K5" i="18"/>
  <c r="J5" i="18"/>
  <c r="I5" i="18"/>
  <c r="H5" i="18"/>
  <c r="G5" i="18"/>
  <c r="F5" i="18"/>
  <c r="E5" i="18"/>
  <c r="D5" i="18"/>
  <c r="C5" i="18"/>
  <c r="B5" i="18"/>
  <c r="N4" i="18"/>
  <c r="M4" i="18"/>
  <c r="L4" i="18"/>
  <c r="K4" i="18"/>
  <c r="K205" i="18" s="1"/>
  <c r="J4" i="18"/>
  <c r="J205" i="18" s="1"/>
  <c r="I4" i="18"/>
  <c r="I205" i="18" s="1"/>
  <c r="H4" i="18"/>
  <c r="H205" i="18" s="1"/>
  <c r="G4" i="18"/>
  <c r="F4" i="18"/>
  <c r="E4" i="18"/>
  <c r="D4" i="18"/>
  <c r="D205" i="18" s="1"/>
  <c r="C4" i="18"/>
  <c r="C205" i="18" s="1"/>
  <c r="B4" i="18"/>
  <c r="B205" i="18" s="1"/>
  <c r="M163" i="21"/>
  <c r="K163" i="21"/>
  <c r="I163" i="21"/>
  <c r="J160" i="21" s="1"/>
  <c r="G163" i="21"/>
  <c r="H160" i="21" s="1"/>
  <c r="F163" i="21"/>
  <c r="G160" i="21" s="1"/>
  <c r="E163" i="21"/>
  <c r="W161" i="21"/>
  <c r="V161" i="21"/>
  <c r="U161" i="21"/>
  <c r="T161" i="21"/>
  <c r="S161" i="21"/>
  <c r="R161" i="21"/>
  <c r="Q161" i="21"/>
  <c r="W154" i="21"/>
  <c r="V154" i="21"/>
  <c r="U154" i="21"/>
  <c r="T154" i="21"/>
  <c r="S154" i="21"/>
  <c r="R154" i="21"/>
  <c r="Q154" i="21"/>
  <c r="P154" i="21"/>
  <c r="O153" i="21"/>
  <c r="O145" i="21"/>
  <c r="O143" i="21"/>
  <c r="P143" i="21" s="1"/>
  <c r="Q143" i="21" s="1"/>
  <c r="R143" i="21" s="1"/>
  <c r="S143" i="21" s="1"/>
  <c r="T143" i="21" s="1"/>
  <c r="U143" i="21" s="1"/>
  <c r="V143" i="21" s="1"/>
  <c r="W143" i="21" s="1"/>
  <c r="O142" i="21"/>
  <c r="P142" i="21" s="1"/>
  <c r="Q142" i="21" s="1"/>
  <c r="R142" i="21" s="1"/>
  <c r="O141" i="21"/>
  <c r="P141" i="21" s="1"/>
  <c r="Q141" i="21" s="1"/>
  <c r="R141" i="21" s="1"/>
  <c r="S141" i="21" s="1"/>
  <c r="T141" i="21" s="1"/>
  <c r="U141" i="21" s="1"/>
  <c r="V141" i="21" s="1"/>
  <c r="O140" i="21"/>
  <c r="P140" i="21" s="1"/>
  <c r="Q140" i="21" s="1"/>
  <c r="R140" i="21" s="1"/>
  <c r="S140" i="21" s="1"/>
  <c r="T140" i="21" s="1"/>
  <c r="U140" i="21" s="1"/>
  <c r="V140" i="21" s="1"/>
  <c r="W140" i="21" s="1"/>
  <c r="O139" i="21"/>
  <c r="P139" i="21" s="1"/>
  <c r="Q139" i="21" s="1"/>
  <c r="R139" i="21" s="1"/>
  <c r="S139" i="21" s="1"/>
  <c r="T139" i="21" s="1"/>
  <c r="U139" i="21" s="1"/>
  <c r="V139" i="21" s="1"/>
  <c r="W139" i="21" s="1"/>
  <c r="O138" i="21"/>
  <c r="P138" i="21" s="1"/>
  <c r="Q138" i="21" s="1"/>
  <c r="R138" i="21" s="1"/>
  <c r="S138" i="21" s="1"/>
  <c r="T138" i="21" s="1"/>
  <c r="U138" i="21" s="1"/>
  <c r="V138" i="21" s="1"/>
  <c r="O137" i="21"/>
  <c r="N131" i="21"/>
  <c r="O131" i="21" s="1"/>
  <c r="N130" i="21"/>
  <c r="O130" i="21" s="1"/>
  <c r="M129" i="21"/>
  <c r="N129" i="21" s="1"/>
  <c r="L128" i="21"/>
  <c r="L127" i="21" s="1"/>
  <c r="K127" i="21"/>
  <c r="N124" i="21"/>
  <c r="N123" i="21"/>
  <c r="M122" i="21"/>
  <c r="L122" i="21"/>
  <c r="K122" i="21"/>
  <c r="L121" i="21"/>
  <c r="K121" i="21"/>
  <c r="K120" i="21"/>
  <c r="J118" i="21"/>
  <c r="O116" i="21"/>
  <c r="O125" i="21" s="1"/>
  <c r="O115" i="21"/>
  <c r="P115" i="21" s="1"/>
  <c r="Q115" i="21" s="1"/>
  <c r="O114" i="21"/>
  <c r="P114" i="21" s="1"/>
  <c r="Q114" i="21" s="1"/>
  <c r="N113" i="21"/>
  <c r="N122" i="21" s="1"/>
  <c r="M112" i="21"/>
  <c r="L111" i="21"/>
  <c r="L120" i="21" s="1"/>
  <c r="K110" i="21"/>
  <c r="K109" i="21" s="1"/>
  <c r="O106" i="21"/>
  <c r="N105" i="21"/>
  <c r="O105" i="21" s="1"/>
  <c r="M104" i="21"/>
  <c r="N104" i="21" s="1"/>
  <c r="O104" i="21" s="1"/>
  <c r="L103" i="21"/>
  <c r="M103" i="21" s="1"/>
  <c r="N103" i="21" s="1"/>
  <c r="O103" i="21" s="1"/>
  <c r="K102" i="21"/>
  <c r="L102" i="21" s="1"/>
  <c r="M102" i="21" s="1"/>
  <c r="N102" i="21" s="1"/>
  <c r="O102" i="21" s="1"/>
  <c r="K101" i="21"/>
  <c r="L101" i="21" s="1"/>
  <c r="J100" i="21"/>
  <c r="D96" i="21"/>
  <c r="C96" i="21"/>
  <c r="B96" i="21"/>
  <c r="N87" i="21"/>
  <c r="M87" i="21"/>
  <c r="L87" i="21"/>
  <c r="K87" i="21"/>
  <c r="J87" i="21"/>
  <c r="I87" i="21"/>
  <c r="H87" i="21"/>
  <c r="G87" i="21"/>
  <c r="F87" i="21"/>
  <c r="N86" i="21"/>
  <c r="M86" i="21"/>
  <c r="L86" i="21"/>
  <c r="K86" i="21"/>
  <c r="J86" i="21"/>
  <c r="I86" i="21"/>
  <c r="H86" i="21"/>
  <c r="G86" i="21"/>
  <c r="F86" i="21"/>
  <c r="E86" i="21"/>
  <c r="D86" i="21"/>
  <c r="P86" i="21"/>
  <c r="Q86" i="21" s="1"/>
  <c r="R86" i="21" s="1"/>
  <c r="S86" i="21" s="1"/>
  <c r="T86" i="21" s="1"/>
  <c r="U86" i="21" s="1"/>
  <c r="V86" i="21" s="1"/>
  <c r="W86" i="21" s="1"/>
  <c r="N84" i="21"/>
  <c r="M84" i="21"/>
  <c r="L84" i="21"/>
  <c r="K84" i="21"/>
  <c r="J84" i="21"/>
  <c r="I84" i="21"/>
  <c r="H84" i="21"/>
  <c r="G84" i="21"/>
  <c r="F84" i="21"/>
  <c r="E84" i="21"/>
  <c r="D84" i="21"/>
  <c r="BS60" i="21"/>
  <c r="BR60" i="21"/>
  <c r="BQ60" i="21"/>
  <c r="BP60" i="21"/>
  <c r="BO60" i="21"/>
  <c r="BN60" i="21"/>
  <c r="BM60" i="21"/>
  <c r="BL60" i="21"/>
  <c r="BK60" i="21"/>
  <c r="BJ60" i="21"/>
  <c r="BI60" i="21"/>
  <c r="BH60" i="21"/>
  <c r="BG60" i="21"/>
  <c r="BF60" i="21"/>
  <c r="BE60" i="21"/>
  <c r="BD60" i="21"/>
  <c r="BC60" i="21"/>
  <c r="BB60" i="21"/>
  <c r="BA60" i="21"/>
  <c r="AZ60" i="21"/>
  <c r="AY60" i="21"/>
  <c r="AX60" i="21"/>
  <c r="AW60" i="21"/>
  <c r="AV60" i="21"/>
  <c r="AU60" i="21"/>
  <c r="AT60" i="21"/>
  <c r="AS60" i="21"/>
  <c r="AR60" i="21"/>
  <c r="AQ60" i="21"/>
  <c r="AP60" i="21"/>
  <c r="AO60" i="21"/>
  <c r="BS51" i="21"/>
  <c r="BR51" i="21"/>
  <c r="BQ51" i="21"/>
  <c r="BP51" i="21"/>
  <c r="BO51" i="21"/>
  <c r="BN51" i="21"/>
  <c r="BM51" i="21"/>
  <c r="BL51" i="21"/>
  <c r="BK51" i="21"/>
  <c r="BJ51" i="21"/>
  <c r="BI51" i="21"/>
  <c r="BH51" i="21"/>
  <c r="BG51" i="21"/>
  <c r="BF51" i="21"/>
  <c r="BE51" i="21"/>
  <c r="BD51" i="21"/>
  <c r="BC51" i="21"/>
  <c r="BB51" i="21"/>
  <c r="BA51" i="21"/>
  <c r="AZ51" i="21"/>
  <c r="AY51" i="21"/>
  <c r="AX51" i="21"/>
  <c r="AW51" i="21"/>
  <c r="AV51" i="21"/>
  <c r="AU51" i="21"/>
  <c r="AT51" i="21"/>
  <c r="AS51" i="21"/>
  <c r="AR51" i="21"/>
  <c r="AQ51" i="21"/>
  <c r="AP51" i="21"/>
  <c r="AO51" i="21"/>
  <c r="AI39" i="21"/>
  <c r="AE39" i="21"/>
  <c r="AA39" i="21"/>
  <c r="W39" i="21"/>
  <c r="Q39" i="21"/>
  <c r="P39" i="21"/>
  <c r="O39" i="21"/>
  <c r="N39" i="21"/>
  <c r="K39" i="21"/>
  <c r="J39" i="21"/>
  <c r="G39" i="21"/>
  <c r="D39" i="21"/>
  <c r="AK38" i="21"/>
  <c r="AI38" i="21"/>
  <c r="AG38" i="21"/>
  <c r="AE38" i="21"/>
  <c r="AC38" i="21"/>
  <c r="AA38" i="21"/>
  <c r="Y38" i="21"/>
  <c r="W38" i="21"/>
  <c r="U38" i="21"/>
  <c r="S38" i="21"/>
  <c r="Q38" i="21"/>
  <c r="O38" i="21"/>
  <c r="M38" i="21"/>
  <c r="K38" i="21"/>
  <c r="I38" i="21"/>
  <c r="G38" i="21"/>
  <c r="E38" i="21"/>
  <c r="AL37" i="21"/>
  <c r="AJ37" i="21"/>
  <c r="AH37" i="21"/>
  <c r="AF37" i="21"/>
  <c r="AD37" i="21"/>
  <c r="AB37" i="21"/>
  <c r="Z37" i="21"/>
  <c r="X37" i="21"/>
  <c r="V37" i="21"/>
  <c r="T37" i="21"/>
  <c r="R37" i="21"/>
  <c r="P37" i="21"/>
  <c r="N37" i="21"/>
  <c r="L37" i="21"/>
  <c r="J37" i="21"/>
  <c r="H37" i="21"/>
  <c r="F37" i="21"/>
  <c r="D37" i="21"/>
  <c r="BS35" i="21"/>
  <c r="BR35" i="21"/>
  <c r="BQ35" i="21"/>
  <c r="BP35" i="21"/>
  <c r="BO35" i="21"/>
  <c r="BN35" i="21"/>
  <c r="BM35" i="21"/>
  <c r="BL35" i="21"/>
  <c r="BK35" i="21"/>
  <c r="BJ35" i="21"/>
  <c r="BI35" i="21"/>
  <c r="BH35" i="21"/>
  <c r="BG35" i="21"/>
  <c r="BF35" i="21"/>
  <c r="BE35" i="21"/>
  <c r="BD35" i="21"/>
  <c r="BC35" i="21"/>
  <c r="BB35" i="21"/>
  <c r="BA35" i="21"/>
  <c r="AZ35" i="21"/>
  <c r="AY35" i="21"/>
  <c r="AX35" i="21"/>
  <c r="AW35" i="21"/>
  <c r="AV35" i="21"/>
  <c r="AU35" i="21"/>
  <c r="AT35" i="21"/>
  <c r="AS35" i="21"/>
  <c r="AR35" i="21"/>
  <c r="AQ35" i="21"/>
  <c r="AP35" i="21"/>
  <c r="AO35" i="21"/>
  <c r="AN35" i="21"/>
  <c r="AL35" i="21"/>
  <c r="AK35" i="21"/>
  <c r="AJ35" i="21"/>
  <c r="AI35" i="21"/>
  <c r="AH35" i="21"/>
  <c r="AG35" i="21"/>
  <c r="AF35" i="21"/>
  <c r="AE35" i="21"/>
  <c r="AD35" i="21"/>
  <c r="AC35" i="21"/>
  <c r="AL32" i="21"/>
  <c r="AK32" i="21"/>
  <c r="AI32" i="21"/>
  <c r="AG32" i="21"/>
  <c r="AE32" i="21"/>
  <c r="AC32" i="21"/>
  <c r="AB32" i="21"/>
  <c r="AA32" i="21"/>
  <c r="Z32" i="21"/>
  <c r="Y32" i="21"/>
  <c r="X32" i="21"/>
  <c r="W32" i="21"/>
  <c r="V32" i="21"/>
  <c r="U32" i="21"/>
  <c r="T32" i="21"/>
  <c r="S32" i="21"/>
  <c r="R32" i="21"/>
  <c r="Q32" i="21"/>
  <c r="P32" i="21"/>
  <c r="O32" i="21"/>
  <c r="N32" i="21"/>
  <c r="M32" i="21"/>
  <c r="L32" i="21"/>
  <c r="K32" i="21"/>
  <c r="J32" i="21"/>
  <c r="I32" i="21"/>
  <c r="H32" i="21"/>
  <c r="G32" i="21"/>
  <c r="F32" i="21"/>
  <c r="E32" i="21"/>
  <c r="D32" i="21"/>
  <c r="C32" i="21"/>
  <c r="B32" i="21"/>
  <c r="AL29" i="21"/>
  <c r="AK29" i="21"/>
  <c r="AJ29" i="21"/>
  <c r="AI29" i="21"/>
  <c r="AH29" i="21"/>
  <c r="AG29" i="21"/>
  <c r="AF29" i="21"/>
  <c r="AE29" i="21"/>
  <c r="AD29" i="21"/>
  <c r="AC29" i="21"/>
  <c r="AB29" i="21"/>
  <c r="AA29" i="21"/>
  <c r="Z29" i="21"/>
  <c r="Y29" i="21"/>
  <c r="X29" i="21"/>
  <c r="W29" i="21"/>
  <c r="V29" i="21"/>
  <c r="U29" i="21"/>
  <c r="T29" i="21"/>
  <c r="S29" i="21"/>
  <c r="R29" i="21"/>
  <c r="Q29" i="21"/>
  <c r="P29" i="21"/>
  <c r="O29" i="21"/>
  <c r="N29" i="21"/>
  <c r="M29" i="21"/>
  <c r="L29" i="21"/>
  <c r="K29" i="21"/>
  <c r="J29" i="21"/>
  <c r="I29" i="21"/>
  <c r="H29" i="21"/>
  <c r="G29" i="21"/>
  <c r="F29" i="21"/>
  <c r="E29" i="21"/>
  <c r="D29" i="21"/>
  <c r="C29" i="21"/>
  <c r="B29" i="21"/>
  <c r="AL26" i="21"/>
  <c r="AK26" i="21"/>
  <c r="AJ26" i="21"/>
  <c r="AI26" i="21"/>
  <c r="AH26" i="21"/>
  <c r="AG26" i="21"/>
  <c r="AF26" i="21"/>
  <c r="AE26" i="21"/>
  <c r="AD26" i="21"/>
  <c r="AC26" i="21"/>
  <c r="AB26" i="21"/>
  <c r="AA26" i="21"/>
  <c r="Z26" i="21"/>
  <c r="Y26" i="21"/>
  <c r="X26" i="21"/>
  <c r="W26" i="21"/>
  <c r="V26" i="21"/>
  <c r="U26" i="21"/>
  <c r="T26" i="21"/>
  <c r="S26" i="21"/>
  <c r="R26" i="21"/>
  <c r="Q26" i="21"/>
  <c r="P26" i="21"/>
  <c r="O26" i="21"/>
  <c r="N26" i="21"/>
  <c r="M26" i="21"/>
  <c r="L26" i="21"/>
  <c r="K26" i="21"/>
  <c r="J26" i="21"/>
  <c r="I26" i="21"/>
  <c r="H26" i="21"/>
  <c r="G26" i="21"/>
  <c r="F26" i="21"/>
  <c r="E26" i="21"/>
  <c r="D26" i="21"/>
  <c r="C26" i="21"/>
  <c r="B26" i="21"/>
  <c r="AL23" i="21"/>
  <c r="AK23" i="21"/>
  <c r="AJ23" i="21"/>
  <c r="AI23" i="21"/>
  <c r="AH23" i="21"/>
  <c r="AG23" i="21"/>
  <c r="AF23" i="21"/>
  <c r="AE23" i="21"/>
  <c r="AD23" i="21"/>
  <c r="AC23" i="21"/>
  <c r="AB23" i="21"/>
  <c r="AA23" i="21"/>
  <c r="Z23" i="21"/>
  <c r="Y23" i="21"/>
  <c r="X23" i="21"/>
  <c r="W23" i="21"/>
  <c r="V23" i="21"/>
  <c r="U23" i="21"/>
  <c r="T23" i="21"/>
  <c r="S23" i="21"/>
  <c r="R23" i="21"/>
  <c r="Q23" i="21"/>
  <c r="P23" i="21"/>
  <c r="O23" i="21"/>
  <c r="N23" i="21"/>
  <c r="M23" i="21"/>
  <c r="L23" i="21"/>
  <c r="K23" i="21"/>
  <c r="J23" i="21"/>
  <c r="I23" i="21"/>
  <c r="H23" i="21"/>
  <c r="G23" i="21"/>
  <c r="F23" i="21"/>
  <c r="E23" i="21"/>
  <c r="D23" i="21"/>
  <c r="C23" i="21"/>
  <c r="B23" i="21"/>
  <c r="AL20" i="21"/>
  <c r="AK20" i="21"/>
  <c r="AJ20" i="21"/>
  <c r="AI20" i="21"/>
  <c r="AH20" i="21"/>
  <c r="AG20" i="21"/>
  <c r="AF20" i="21"/>
  <c r="AE20" i="21"/>
  <c r="AD20" i="21"/>
  <c r="AC20" i="21"/>
  <c r="AB20" i="21"/>
  <c r="AA20" i="21"/>
  <c r="Z20" i="21"/>
  <c r="Y20" i="21"/>
  <c r="X20" i="21"/>
  <c r="W20" i="21"/>
  <c r="V20" i="21"/>
  <c r="U20" i="21"/>
  <c r="T20" i="21"/>
  <c r="S20" i="21"/>
  <c r="R20" i="21"/>
  <c r="Q20" i="21"/>
  <c r="P20" i="21"/>
  <c r="O20" i="21"/>
  <c r="N20" i="21"/>
  <c r="M20" i="21"/>
  <c r="L20" i="21"/>
  <c r="K20" i="21"/>
  <c r="J20" i="21"/>
  <c r="I20" i="21"/>
  <c r="H20" i="21"/>
  <c r="G20" i="21"/>
  <c r="F20" i="21"/>
  <c r="E20" i="21"/>
  <c r="D20" i="21"/>
  <c r="C20" i="21"/>
  <c r="B20" i="21"/>
  <c r="AL17" i="21"/>
  <c r="AK17" i="21"/>
  <c r="AJ17" i="21"/>
  <c r="AI17" i="21"/>
  <c r="AH17" i="21"/>
  <c r="AG17" i="21"/>
  <c r="AF17" i="21"/>
  <c r="AE17" i="21"/>
  <c r="AD17" i="21"/>
  <c r="AC17" i="21"/>
  <c r="AB17" i="21"/>
  <c r="AA17" i="21"/>
  <c r="Z17" i="21"/>
  <c r="Y17" i="21"/>
  <c r="X17" i="21"/>
  <c r="W17" i="21"/>
  <c r="V17" i="21"/>
  <c r="U17" i="21"/>
  <c r="T17" i="21"/>
  <c r="S17" i="21"/>
  <c r="R17" i="21"/>
  <c r="Q17" i="21"/>
  <c r="P17" i="21"/>
  <c r="O17" i="21"/>
  <c r="N17" i="21"/>
  <c r="M17" i="21"/>
  <c r="L17" i="21"/>
  <c r="K17" i="21"/>
  <c r="J17" i="21"/>
  <c r="I17" i="21"/>
  <c r="H17" i="21"/>
  <c r="G17" i="21"/>
  <c r="F17" i="21"/>
  <c r="E17" i="21"/>
  <c r="D17" i="21"/>
  <c r="C17" i="21"/>
  <c r="B17" i="21"/>
  <c r="Q15" i="21"/>
  <c r="P15" i="21" s="1"/>
  <c r="O15" i="21" s="1"/>
  <c r="N15" i="21" s="1"/>
  <c r="M15" i="21" s="1"/>
  <c r="L15" i="21" s="1"/>
  <c r="K15" i="21" s="1"/>
  <c r="J15" i="21" s="1"/>
  <c r="S15" i="21"/>
  <c r="T15" i="21" s="1"/>
  <c r="U15" i="21" s="1"/>
  <c r="V15" i="21" s="1"/>
  <c r="W15" i="21" s="1"/>
  <c r="X15" i="21" s="1"/>
  <c r="Y15" i="21" s="1"/>
  <c r="Z15" i="21" s="1"/>
  <c r="AA15" i="21" s="1"/>
  <c r="AB15" i="21" s="1"/>
  <c r="AC15" i="21" s="1"/>
  <c r="AD15" i="21" s="1"/>
  <c r="AE15" i="21" s="1"/>
  <c r="AF15" i="21" s="1"/>
  <c r="AG15" i="21" s="1"/>
  <c r="AH15" i="21" s="1"/>
  <c r="BS8" i="21"/>
  <c r="BR8" i="21"/>
  <c r="BQ8" i="21"/>
  <c r="BP8" i="21"/>
  <c r="BO8" i="21"/>
  <c r="BN8" i="21"/>
  <c r="BM8" i="21"/>
  <c r="BL8" i="21"/>
  <c r="BK8" i="21"/>
  <c r="BJ8" i="21"/>
  <c r="BI8" i="21"/>
  <c r="BH8" i="21"/>
  <c r="BG8" i="21"/>
  <c r="BF8" i="21"/>
  <c r="BE8" i="21"/>
  <c r="BD8" i="21"/>
  <c r="BC8" i="21"/>
  <c r="BB8" i="21"/>
  <c r="BA8" i="21"/>
  <c r="AZ8" i="21"/>
  <c r="AY8" i="21"/>
  <c r="AX8" i="21"/>
  <c r="AW8" i="21"/>
  <c r="AV8" i="21"/>
  <c r="AU8" i="21"/>
  <c r="AT8" i="21"/>
  <c r="AS8" i="21"/>
  <c r="AR8" i="21"/>
  <c r="AQ8" i="21"/>
  <c r="AP8" i="21"/>
  <c r="AO8" i="21"/>
  <c r="AN8" i="21"/>
  <c r="AL8" i="21"/>
  <c r="AK8" i="21"/>
  <c r="AJ8" i="21"/>
  <c r="AI8" i="21"/>
  <c r="AH8" i="21"/>
  <c r="AG8" i="21"/>
  <c r="AF8" i="21"/>
  <c r="AE8" i="21"/>
  <c r="AD8" i="21"/>
  <c r="AC8" i="21"/>
  <c r="AB8" i="21"/>
  <c r="AA8" i="21"/>
  <c r="Z8" i="21"/>
  <c r="Y8" i="21"/>
  <c r="X8" i="21"/>
  <c r="W8" i="21"/>
  <c r="V8" i="21"/>
  <c r="U8" i="21"/>
  <c r="T8" i="21"/>
  <c r="S8" i="21"/>
  <c r="R8" i="21"/>
  <c r="Q8" i="21"/>
  <c r="P8" i="21"/>
  <c r="O8" i="21"/>
  <c r="N8" i="21"/>
  <c r="M8" i="21"/>
  <c r="L8" i="21"/>
  <c r="K8" i="21"/>
  <c r="J8" i="21"/>
  <c r="I8" i="21"/>
  <c r="H8" i="21"/>
  <c r="G8" i="21"/>
  <c r="F8" i="21"/>
  <c r="E8" i="21"/>
  <c r="D8" i="21"/>
  <c r="C8" i="21"/>
  <c r="AR108" i="15"/>
  <c r="AQ108" i="15"/>
  <c r="AP108" i="15"/>
  <c r="AO108" i="15"/>
  <c r="AN108" i="15"/>
  <c r="AM108" i="15"/>
  <c r="AL108" i="15"/>
  <c r="AK108" i="15"/>
  <c r="AJ108" i="15"/>
  <c r="AI108" i="15"/>
  <c r="AH108" i="15"/>
  <c r="AG108" i="15"/>
  <c r="AF108" i="15"/>
  <c r="AE108" i="15"/>
  <c r="AD108" i="15"/>
  <c r="AC108" i="15"/>
  <c r="AB108" i="15"/>
  <c r="AA108" i="15"/>
  <c r="Z108" i="15"/>
  <c r="Y108" i="15"/>
  <c r="X108" i="15"/>
  <c r="W108" i="15"/>
  <c r="V108" i="15"/>
  <c r="U108" i="15"/>
  <c r="T108" i="15"/>
  <c r="S108" i="15"/>
  <c r="R108" i="15"/>
  <c r="Q108" i="15"/>
  <c r="P108" i="15"/>
  <c r="O108" i="15"/>
  <c r="N108" i="15"/>
  <c r="M108" i="15"/>
  <c r="L108" i="15"/>
  <c r="K108" i="15"/>
  <c r="J108" i="15"/>
  <c r="I108" i="15"/>
  <c r="H108" i="15"/>
  <c r="G108" i="15"/>
  <c r="F108" i="15"/>
  <c r="E108" i="15"/>
  <c r="D108" i="15"/>
  <c r="C108" i="15"/>
  <c r="AO100" i="15"/>
  <c r="AG100" i="15"/>
  <c r="BY92" i="15"/>
  <c r="BX92" i="15"/>
  <c r="BW92" i="15"/>
  <c r="BV92" i="15"/>
  <c r="BU92" i="15"/>
  <c r="BT92" i="15"/>
  <c r="BS92" i="15"/>
  <c r="BR92" i="15"/>
  <c r="BQ92" i="15"/>
  <c r="BP92" i="15"/>
  <c r="BO92" i="15"/>
  <c r="BN92" i="15"/>
  <c r="BM92" i="15"/>
  <c r="BL92" i="15"/>
  <c r="BK92" i="15"/>
  <c r="BJ92" i="15"/>
  <c r="AR88" i="15"/>
  <c r="AQ88" i="15"/>
  <c r="AP88" i="15"/>
  <c r="AO88" i="15"/>
  <c r="AN88" i="15"/>
  <c r="AM88" i="15"/>
  <c r="AL88" i="15"/>
  <c r="AK88" i="15"/>
  <c r="AU87" i="15"/>
  <c r="AV87" i="15" s="1"/>
  <c r="AW87" i="15" s="1"/>
  <c r="AX87" i="15" s="1"/>
  <c r="AY87" i="15" s="1"/>
  <c r="AZ87" i="15" s="1"/>
  <c r="BA87" i="15" s="1"/>
  <c r="BB87" i="15" s="1"/>
  <c r="BC87" i="15" s="1"/>
  <c r="BD87" i="15" s="1"/>
  <c r="BE87" i="15" s="1"/>
  <c r="BF87" i="15" s="1"/>
  <c r="BG87" i="15" s="1"/>
  <c r="BH87" i="15" s="1"/>
  <c r="BI87" i="15" s="1"/>
  <c r="BJ87" i="15" s="1"/>
  <c r="BK87" i="15" s="1"/>
  <c r="BL87" i="15" s="1"/>
  <c r="BM87" i="15" s="1"/>
  <c r="BN87" i="15" s="1"/>
  <c r="BO87" i="15" s="1"/>
  <c r="BP87" i="15" s="1"/>
  <c r="BQ87" i="15" s="1"/>
  <c r="BR87" i="15" s="1"/>
  <c r="BS87" i="15" s="1"/>
  <c r="BT87" i="15" s="1"/>
  <c r="BU87" i="15" s="1"/>
  <c r="BV87" i="15" s="1"/>
  <c r="BW87" i="15" s="1"/>
  <c r="BX87" i="15" s="1"/>
  <c r="BY87" i="15" s="1"/>
  <c r="AR87" i="15"/>
  <c r="AQ87" i="15"/>
  <c r="AP87" i="15"/>
  <c r="AO87" i="15"/>
  <c r="AN87" i="15"/>
  <c r="AM87" i="15"/>
  <c r="AL87" i="15"/>
  <c r="AK87" i="15"/>
  <c r="AR86" i="15"/>
  <c r="AQ86" i="15"/>
  <c r="AP86" i="15"/>
  <c r="AO86" i="15"/>
  <c r="AN86" i="15"/>
  <c r="AM86" i="15"/>
  <c r="AL86" i="15"/>
  <c r="AK86" i="15"/>
  <c r="AR85" i="15"/>
  <c r="AS106" i="15" s="1"/>
  <c r="AQ85" i="15"/>
  <c r="AP85" i="15"/>
  <c r="AO85" i="15"/>
  <c r="AN85" i="15"/>
  <c r="AM85" i="15"/>
  <c r="AL85" i="15"/>
  <c r="AK85" i="15"/>
  <c r="AR84" i="15"/>
  <c r="AS105" i="15" s="1"/>
  <c r="AQ84" i="15"/>
  <c r="AP84" i="15"/>
  <c r="AO84" i="15"/>
  <c r="N96" i="21" s="1"/>
  <c r="AN84" i="15"/>
  <c r="AM84" i="15"/>
  <c r="AL84" i="15"/>
  <c r="AK84" i="15"/>
  <c r="M96" i="21" s="1"/>
  <c r="AJ88" i="15"/>
  <c r="AI88" i="15"/>
  <c r="AH88" i="15"/>
  <c r="AG88" i="15"/>
  <c r="AF88" i="15"/>
  <c r="AE88" i="15"/>
  <c r="AD88" i="15"/>
  <c r="AC88" i="15"/>
  <c r="AB88" i="15"/>
  <c r="AA88" i="15"/>
  <c r="Z88" i="15"/>
  <c r="Y88" i="15"/>
  <c r="X88" i="15"/>
  <c r="W88" i="15"/>
  <c r="V88" i="15"/>
  <c r="U88" i="15"/>
  <c r="T88" i="15"/>
  <c r="S88" i="15"/>
  <c r="R88" i="15"/>
  <c r="Q88" i="15"/>
  <c r="P88" i="15"/>
  <c r="O88" i="15"/>
  <c r="N88" i="15"/>
  <c r="M88" i="15"/>
  <c r="L88" i="15"/>
  <c r="K88" i="15"/>
  <c r="J88" i="15"/>
  <c r="I88" i="15"/>
  <c r="H88" i="15"/>
  <c r="G88" i="15"/>
  <c r="F88" i="15"/>
  <c r="E88" i="15"/>
  <c r="D88" i="15"/>
  <c r="C88" i="15"/>
  <c r="B88" i="15"/>
  <c r="AJ87" i="15"/>
  <c r="AI87" i="15"/>
  <c r="AH87" i="15"/>
  <c r="AG87" i="15"/>
  <c r="AF87" i="15"/>
  <c r="AE87" i="15"/>
  <c r="AD87" i="15"/>
  <c r="AC87" i="15"/>
  <c r="AB87" i="15"/>
  <c r="AA87" i="15"/>
  <c r="Z87" i="15"/>
  <c r="Y87" i="15"/>
  <c r="X87" i="15"/>
  <c r="W87" i="15"/>
  <c r="V87" i="15"/>
  <c r="U87" i="15"/>
  <c r="T87" i="15"/>
  <c r="S87" i="15"/>
  <c r="R87" i="15"/>
  <c r="Q87" i="15"/>
  <c r="P87" i="15"/>
  <c r="O87" i="15"/>
  <c r="N87" i="15"/>
  <c r="M87" i="15"/>
  <c r="L87" i="15"/>
  <c r="K87" i="15"/>
  <c r="J87" i="15"/>
  <c r="I87" i="15"/>
  <c r="H87" i="15"/>
  <c r="G87" i="15"/>
  <c r="F87" i="15"/>
  <c r="E87" i="15"/>
  <c r="D87" i="15"/>
  <c r="C87" i="15"/>
  <c r="B87" i="15"/>
  <c r="AJ86" i="15"/>
  <c r="AI86" i="15"/>
  <c r="AH86" i="15"/>
  <c r="AG86" i="15"/>
  <c r="AF86" i="15"/>
  <c r="AE86" i="15"/>
  <c r="AD86" i="15"/>
  <c r="AC86" i="15"/>
  <c r="AB86" i="15"/>
  <c r="AA86" i="15"/>
  <c r="Z86" i="15"/>
  <c r="Y86" i="15"/>
  <c r="X86" i="15"/>
  <c r="W86" i="15"/>
  <c r="V86" i="15"/>
  <c r="U86" i="15"/>
  <c r="T86" i="15"/>
  <c r="S86" i="15"/>
  <c r="R86" i="15"/>
  <c r="Q86" i="15"/>
  <c r="P86" i="15"/>
  <c r="O86" i="15"/>
  <c r="N86" i="15"/>
  <c r="M86" i="15"/>
  <c r="L86" i="15"/>
  <c r="K86" i="15"/>
  <c r="J86" i="15"/>
  <c r="I86" i="15"/>
  <c r="H86" i="15"/>
  <c r="G86" i="15"/>
  <c r="F86" i="15"/>
  <c r="E86" i="15"/>
  <c r="D86" i="15"/>
  <c r="C86" i="15"/>
  <c r="B86" i="15"/>
  <c r="AJ85" i="15"/>
  <c r="AI85" i="15"/>
  <c r="AH85" i="15"/>
  <c r="AG85" i="15"/>
  <c r="AF85" i="15"/>
  <c r="AE85" i="15"/>
  <c r="AD85" i="15"/>
  <c r="AC85" i="15"/>
  <c r="AB85" i="15"/>
  <c r="AA85" i="15"/>
  <c r="Z85" i="15"/>
  <c r="Y85" i="15"/>
  <c r="X85" i="15"/>
  <c r="W85" i="15"/>
  <c r="V85" i="15"/>
  <c r="U85" i="15"/>
  <c r="T85" i="15"/>
  <c r="S85" i="15"/>
  <c r="R85" i="15"/>
  <c r="Q85" i="15"/>
  <c r="P85" i="15"/>
  <c r="O85" i="15"/>
  <c r="N85" i="15"/>
  <c r="M85" i="15"/>
  <c r="L85" i="15"/>
  <c r="K85" i="15"/>
  <c r="J85" i="15"/>
  <c r="I85" i="15"/>
  <c r="H85" i="15"/>
  <c r="G85" i="15"/>
  <c r="F85" i="15"/>
  <c r="E85" i="15"/>
  <c r="D85" i="15"/>
  <c r="C85" i="15"/>
  <c r="B85" i="15"/>
  <c r="AJ84" i="15"/>
  <c r="AI84" i="15"/>
  <c r="AH84" i="15"/>
  <c r="AG84" i="15"/>
  <c r="L96" i="21" s="1"/>
  <c r="AF84" i="15"/>
  <c r="AE84" i="15"/>
  <c r="AD84" i="15"/>
  <c r="AC84" i="15"/>
  <c r="K96" i="21" s="1"/>
  <c r="AB84" i="15"/>
  <c r="AA84" i="15"/>
  <c r="Z84" i="15"/>
  <c r="Y84" i="15"/>
  <c r="X84" i="15"/>
  <c r="W84" i="15"/>
  <c r="V84" i="15"/>
  <c r="U84" i="15"/>
  <c r="I96" i="21" s="1"/>
  <c r="T84" i="15"/>
  <c r="S84" i="15"/>
  <c r="R84" i="15"/>
  <c r="Q84" i="15"/>
  <c r="H96" i="21" s="1"/>
  <c r="P84" i="15"/>
  <c r="O84" i="15"/>
  <c r="N84" i="15"/>
  <c r="M84" i="15"/>
  <c r="G96" i="21" s="1"/>
  <c r="L84" i="15"/>
  <c r="K84" i="15"/>
  <c r="J84" i="15"/>
  <c r="I84" i="15"/>
  <c r="F96" i="21" s="1"/>
  <c r="H84" i="15"/>
  <c r="G84" i="15"/>
  <c r="F84" i="15"/>
  <c r="E84" i="15"/>
  <c r="E96" i="21" s="1"/>
  <c r="D84" i="15"/>
  <c r="C84" i="15"/>
  <c r="B84" i="15"/>
  <c r="AR82" i="15"/>
  <c r="AS107" i="15" s="1"/>
  <c r="AQ82" i="15"/>
  <c r="AP82" i="15"/>
  <c r="AO82" i="15"/>
  <c r="AN82" i="15"/>
  <c r="AM82" i="15"/>
  <c r="AL82" i="15"/>
  <c r="AK82" i="15"/>
  <c r="AJ82" i="15"/>
  <c r="AI82" i="15"/>
  <c r="AH82" i="15"/>
  <c r="AG82" i="15"/>
  <c r="AF82" i="15"/>
  <c r="AE82" i="15"/>
  <c r="AD82" i="15"/>
  <c r="AC82" i="15"/>
  <c r="AB82" i="15"/>
  <c r="AA82" i="15"/>
  <c r="Z82" i="15"/>
  <c r="Y82" i="15"/>
  <c r="X82" i="15"/>
  <c r="W82" i="15"/>
  <c r="V82" i="15"/>
  <c r="U82" i="15"/>
  <c r="T82" i="15"/>
  <c r="S82" i="15"/>
  <c r="R82" i="15"/>
  <c r="Q82" i="15"/>
  <c r="P82" i="15"/>
  <c r="O82" i="15"/>
  <c r="N82" i="15"/>
  <c r="M82" i="15"/>
  <c r="L82" i="15"/>
  <c r="K82" i="15"/>
  <c r="J82" i="15"/>
  <c r="I82" i="15"/>
  <c r="H82" i="15"/>
  <c r="G82" i="15"/>
  <c r="F82" i="15"/>
  <c r="E82" i="15"/>
  <c r="D82" i="15"/>
  <c r="C82" i="15"/>
  <c r="B82" i="15"/>
  <c r="AU81" i="15"/>
  <c r="AU79" i="15"/>
  <c r="AV79" i="15" s="1"/>
  <c r="AW79" i="15" s="1"/>
  <c r="AX79" i="15" s="1"/>
  <c r="AY79" i="15" s="1"/>
  <c r="AZ79" i="15" s="1"/>
  <c r="BA79" i="15" s="1"/>
  <c r="BB79" i="15" s="1"/>
  <c r="BC79" i="15" s="1"/>
  <c r="BD79" i="15" s="1"/>
  <c r="BE79" i="15" s="1"/>
  <c r="BF79" i="15" s="1"/>
  <c r="BG79" i="15" s="1"/>
  <c r="BH79" i="15" s="1"/>
  <c r="BI79" i="15" s="1"/>
  <c r="BJ79" i="15" s="1"/>
  <c r="BK79" i="15" s="1"/>
  <c r="BL79" i="15" s="1"/>
  <c r="BM79" i="15" s="1"/>
  <c r="BN79" i="15" s="1"/>
  <c r="BO79" i="15" s="1"/>
  <c r="BP79" i="15" s="1"/>
  <c r="BQ79" i="15" s="1"/>
  <c r="BR79" i="15" s="1"/>
  <c r="BS79" i="15" s="1"/>
  <c r="BT79" i="15" s="1"/>
  <c r="BU79" i="15" s="1"/>
  <c r="BV79" i="15" s="1"/>
  <c r="BW79" i="15" s="1"/>
  <c r="BX79" i="15" s="1"/>
  <c r="BY79" i="15" s="1"/>
  <c r="AR79" i="15"/>
  <c r="AQ79" i="15"/>
  <c r="AO79" i="15"/>
  <c r="AM79" i="15"/>
  <c r="AK79" i="15"/>
  <c r="AI79" i="15"/>
  <c r="AH79" i="15"/>
  <c r="AG79" i="15"/>
  <c r="AF79" i="15"/>
  <c r="AE79" i="15"/>
  <c r="AD79" i="15"/>
  <c r="AC79" i="15"/>
  <c r="AB79" i="15"/>
  <c r="AA79" i="15"/>
  <c r="Z79" i="15"/>
  <c r="Y79" i="15"/>
  <c r="X79" i="15"/>
  <c r="W79" i="15"/>
  <c r="V79" i="15"/>
  <c r="U79" i="15"/>
  <c r="T79" i="15"/>
  <c r="S79" i="15"/>
  <c r="R79" i="15"/>
  <c r="Q79" i="15"/>
  <c r="P79" i="15"/>
  <c r="O79" i="15"/>
  <c r="N79" i="15"/>
  <c r="M79" i="15"/>
  <c r="L79" i="15"/>
  <c r="K79" i="15"/>
  <c r="J79" i="15"/>
  <c r="I79" i="15"/>
  <c r="H79" i="15"/>
  <c r="G79" i="15"/>
  <c r="F79" i="15"/>
  <c r="E79" i="15"/>
  <c r="D79" i="15"/>
  <c r="C79" i="15"/>
  <c r="B79" i="15"/>
  <c r="AR78" i="15"/>
  <c r="AU78" i="15" s="1"/>
  <c r="AV78" i="15" s="1"/>
  <c r="AW78" i="15" s="1"/>
  <c r="AX78" i="15" s="1"/>
  <c r="AY78" i="15" s="1"/>
  <c r="AZ78" i="15" s="1"/>
  <c r="BA78" i="15" s="1"/>
  <c r="BB78" i="15" s="1"/>
  <c r="BC78" i="15" s="1"/>
  <c r="BD78" i="15" s="1"/>
  <c r="BE78" i="15" s="1"/>
  <c r="BF78" i="15" s="1"/>
  <c r="BG78" i="15" s="1"/>
  <c r="BH78" i="15" s="1"/>
  <c r="BI78" i="15" s="1"/>
  <c r="BJ78" i="15" s="1"/>
  <c r="BK78" i="15" s="1"/>
  <c r="BL78" i="15" s="1"/>
  <c r="BM78" i="15" s="1"/>
  <c r="BN78" i="15" s="1"/>
  <c r="BO78" i="15" s="1"/>
  <c r="BP78" i="15" s="1"/>
  <c r="BQ78" i="15" s="1"/>
  <c r="BR78" i="15" s="1"/>
  <c r="BS78" i="15" s="1"/>
  <c r="BT78" i="15" s="1"/>
  <c r="BU78" i="15" s="1"/>
  <c r="BV78" i="15" s="1"/>
  <c r="BW78" i="15" s="1"/>
  <c r="BX78" i="15" s="1"/>
  <c r="BY78" i="15" s="1"/>
  <c r="AQ78" i="15"/>
  <c r="AP78" i="15"/>
  <c r="AO78" i="15"/>
  <c r="AN78" i="15"/>
  <c r="AM78" i="15"/>
  <c r="AL78" i="15"/>
  <c r="AK78" i="15"/>
  <c r="AJ78" i="15"/>
  <c r="AI78" i="15"/>
  <c r="AH78" i="15"/>
  <c r="AG78" i="15"/>
  <c r="AF78" i="15"/>
  <c r="AE78" i="15"/>
  <c r="AD78" i="15"/>
  <c r="AC78" i="15"/>
  <c r="AB78" i="15"/>
  <c r="AA78" i="15"/>
  <c r="Z78" i="15"/>
  <c r="Y78" i="15"/>
  <c r="X78" i="15"/>
  <c r="W78" i="15"/>
  <c r="V78" i="15"/>
  <c r="U78" i="15"/>
  <c r="T78" i="15"/>
  <c r="S78" i="15"/>
  <c r="R78" i="15"/>
  <c r="Q78" i="15"/>
  <c r="P78" i="15"/>
  <c r="O78" i="15"/>
  <c r="N78" i="15"/>
  <c r="M78" i="15"/>
  <c r="L78" i="15"/>
  <c r="K78" i="15"/>
  <c r="J78" i="15"/>
  <c r="I78" i="15"/>
  <c r="H78" i="15"/>
  <c r="G78" i="15"/>
  <c r="F78" i="15"/>
  <c r="E78" i="15"/>
  <c r="D78" i="15"/>
  <c r="C78" i="15"/>
  <c r="B78" i="15"/>
  <c r="AR77" i="15"/>
  <c r="AL62" i="21" s="1"/>
  <c r="AM59" i="21" s="1"/>
  <c r="AQ77" i="15"/>
  <c r="AK62" i="21" s="1"/>
  <c r="AP77" i="15"/>
  <c r="AJ62" i="21" s="1"/>
  <c r="AO77" i="15"/>
  <c r="AI62" i="21" s="1"/>
  <c r="AJ59" i="21" s="1"/>
  <c r="AN77" i="15"/>
  <c r="AH62" i="21" s="1"/>
  <c r="AM77" i="15"/>
  <c r="AG62" i="21" s="1"/>
  <c r="AL77" i="15"/>
  <c r="AF62" i="21" s="1"/>
  <c r="AK77" i="15"/>
  <c r="AE62" i="21" s="1"/>
  <c r="AJ77" i="15"/>
  <c r="AD62" i="21" s="1"/>
  <c r="AE59" i="21" s="1"/>
  <c r="AI77" i="15"/>
  <c r="AC62" i="21" s="1"/>
  <c r="AH77" i="15"/>
  <c r="AB62" i="21" s="1"/>
  <c r="AG77" i="15"/>
  <c r="AA62" i="21" s="1"/>
  <c r="AB59" i="21" s="1"/>
  <c r="AF77" i="15"/>
  <c r="Z62" i="21" s="1"/>
  <c r="AE77" i="15"/>
  <c r="AD77" i="15"/>
  <c r="X62" i="21" s="1"/>
  <c r="AC77" i="15"/>
  <c r="W62" i="21" s="1"/>
  <c r="AB77" i="15"/>
  <c r="V62" i="21" s="1"/>
  <c r="W59" i="21" s="1"/>
  <c r="AA77" i="15"/>
  <c r="U62" i="21" s="1"/>
  <c r="V59" i="21" s="1"/>
  <c r="Z77" i="15"/>
  <c r="T62" i="21" s="1"/>
  <c r="Y77" i="15"/>
  <c r="S62" i="21" s="1"/>
  <c r="T59" i="21" s="1"/>
  <c r="X77" i="15"/>
  <c r="R62" i="21" s="1"/>
  <c r="W77" i="15"/>
  <c r="V77" i="15"/>
  <c r="P62" i="21" s="1"/>
  <c r="U77" i="15"/>
  <c r="O62" i="21" s="1"/>
  <c r="P59" i="21" s="1"/>
  <c r="T77" i="15"/>
  <c r="N62" i="21" s="1"/>
  <c r="S77" i="15"/>
  <c r="M62" i="21" s="1"/>
  <c r="R77" i="15"/>
  <c r="L62" i="21" s="1"/>
  <c r="Q77" i="15"/>
  <c r="K62" i="21" s="1"/>
  <c r="L59" i="21" s="1"/>
  <c r="P77" i="15"/>
  <c r="J62" i="21" s="1"/>
  <c r="O77" i="15"/>
  <c r="N77" i="15"/>
  <c r="H62" i="21" s="1"/>
  <c r="I59" i="21" s="1"/>
  <c r="M77" i="15"/>
  <c r="L77" i="15"/>
  <c r="K77" i="15"/>
  <c r="J77" i="15"/>
  <c r="D62" i="21" s="1"/>
  <c r="I77" i="15"/>
  <c r="H77" i="15"/>
  <c r="B62" i="21" s="1"/>
  <c r="G77" i="15"/>
  <c r="F77" i="15"/>
  <c r="E77" i="15"/>
  <c r="D77" i="15"/>
  <c r="C77" i="15"/>
  <c r="B77" i="15"/>
  <c r="AU74" i="15"/>
  <c r="AV74" i="15" s="1"/>
  <c r="AW74" i="15" s="1"/>
  <c r="AX74" i="15" s="1"/>
  <c r="AY74" i="15" s="1"/>
  <c r="AZ74" i="15" s="1"/>
  <c r="BA74" i="15" s="1"/>
  <c r="BB74" i="15" s="1"/>
  <c r="BC74" i="15" s="1"/>
  <c r="BD74" i="15" s="1"/>
  <c r="BE74" i="15" s="1"/>
  <c r="BF74" i="15" s="1"/>
  <c r="BG74" i="15" s="1"/>
  <c r="BH74" i="15" s="1"/>
  <c r="BI74" i="15" s="1"/>
  <c r="BJ74" i="15" s="1"/>
  <c r="BK74" i="15" s="1"/>
  <c r="BL74" i="15" s="1"/>
  <c r="BM74" i="15" s="1"/>
  <c r="BN74" i="15" s="1"/>
  <c r="BO74" i="15" s="1"/>
  <c r="BP74" i="15" s="1"/>
  <c r="BQ74" i="15" s="1"/>
  <c r="BR74" i="15" s="1"/>
  <c r="BS74" i="15" s="1"/>
  <c r="BT74" i="15" s="1"/>
  <c r="BU74" i="15" s="1"/>
  <c r="BV74" i="15" s="1"/>
  <c r="BW74" i="15" s="1"/>
  <c r="BX74" i="15" s="1"/>
  <c r="BY74" i="15" s="1"/>
  <c r="AR74" i="15"/>
  <c r="AQ74" i="15"/>
  <c r="AP74" i="15"/>
  <c r="AO74" i="15"/>
  <c r="AN74" i="15"/>
  <c r="AM74" i="15"/>
  <c r="AL74" i="15"/>
  <c r="AK74" i="15"/>
  <c r="AJ74" i="15"/>
  <c r="AI74" i="15"/>
  <c r="AH74" i="15"/>
  <c r="AG74" i="15"/>
  <c r="AF74" i="15"/>
  <c r="AE74" i="15"/>
  <c r="AD74" i="15"/>
  <c r="AC74" i="15"/>
  <c r="AB74" i="15"/>
  <c r="AA74" i="15"/>
  <c r="Z74" i="15"/>
  <c r="Y74" i="15"/>
  <c r="X74" i="15"/>
  <c r="W74" i="15"/>
  <c r="V74" i="15"/>
  <c r="U74" i="15"/>
  <c r="T74" i="15"/>
  <c r="S74" i="15"/>
  <c r="R74" i="15"/>
  <c r="Q74" i="15"/>
  <c r="P74" i="15"/>
  <c r="O74" i="15"/>
  <c r="N74" i="15"/>
  <c r="M74" i="15"/>
  <c r="L74" i="15"/>
  <c r="K74" i="15"/>
  <c r="J74" i="15"/>
  <c r="I74" i="15"/>
  <c r="H74" i="15"/>
  <c r="G74" i="15"/>
  <c r="F74" i="15"/>
  <c r="E74" i="15"/>
  <c r="D74" i="15"/>
  <c r="C74" i="15"/>
  <c r="B74" i="15"/>
  <c r="AR73" i="15"/>
  <c r="AQ73" i="15"/>
  <c r="AP73" i="15"/>
  <c r="AO73" i="15"/>
  <c r="AN73" i="15"/>
  <c r="AM73" i="15"/>
  <c r="AL73" i="15"/>
  <c r="AK73" i="15"/>
  <c r="AJ73" i="15"/>
  <c r="AH73" i="15"/>
  <c r="AG73" i="15"/>
  <c r="AF73" i="15"/>
  <c r="AE73" i="15"/>
  <c r="AD73" i="15"/>
  <c r="AC73" i="15"/>
  <c r="AB73" i="15"/>
  <c r="AA73" i="15"/>
  <c r="Z73" i="15"/>
  <c r="Y73" i="15"/>
  <c r="X73" i="15"/>
  <c r="W73" i="15"/>
  <c r="V73" i="15"/>
  <c r="U73" i="15"/>
  <c r="T73" i="15"/>
  <c r="S73" i="15"/>
  <c r="R73" i="15"/>
  <c r="Q73" i="15"/>
  <c r="P73" i="15"/>
  <c r="O73" i="15"/>
  <c r="N73" i="15"/>
  <c r="M73" i="15"/>
  <c r="L73" i="15"/>
  <c r="K73" i="15"/>
  <c r="J73" i="15"/>
  <c r="I73" i="15"/>
  <c r="H73" i="15"/>
  <c r="G73" i="15"/>
  <c r="F73" i="15"/>
  <c r="E73" i="15"/>
  <c r="D73" i="15"/>
  <c r="C73" i="15"/>
  <c r="B73" i="15"/>
  <c r="AR72" i="15"/>
  <c r="AQ72" i="15"/>
  <c r="AP72" i="15"/>
  <c r="AO72" i="15"/>
  <c r="AN72" i="15"/>
  <c r="AM72" i="15"/>
  <c r="AL72" i="15"/>
  <c r="AK72" i="15"/>
  <c r="AJ72" i="15"/>
  <c r="AI72" i="15"/>
  <c r="AH72" i="15"/>
  <c r="AG72" i="15"/>
  <c r="AF72" i="15"/>
  <c r="AE72" i="15"/>
  <c r="AD72" i="15"/>
  <c r="AC72" i="15"/>
  <c r="AB72" i="15"/>
  <c r="AA72" i="15"/>
  <c r="Z72" i="15"/>
  <c r="Y72" i="15"/>
  <c r="X72" i="15"/>
  <c r="W72" i="15"/>
  <c r="V72" i="15"/>
  <c r="U72" i="15"/>
  <c r="T72" i="15"/>
  <c r="S72" i="15"/>
  <c r="R72" i="15"/>
  <c r="Q72" i="15"/>
  <c r="P72" i="15"/>
  <c r="O72" i="15"/>
  <c r="N72" i="15"/>
  <c r="M72" i="15"/>
  <c r="L72" i="15"/>
  <c r="K72" i="15"/>
  <c r="J72" i="15"/>
  <c r="I72" i="15"/>
  <c r="H72" i="15"/>
  <c r="G72" i="15"/>
  <c r="F72" i="15"/>
  <c r="E72" i="15"/>
  <c r="D72" i="15"/>
  <c r="C72" i="15"/>
  <c r="B72" i="15"/>
  <c r="AR71" i="15"/>
  <c r="AQ71" i="15"/>
  <c r="AP71" i="15"/>
  <c r="AO71" i="15"/>
  <c r="AN71" i="15"/>
  <c r="AM71" i="15"/>
  <c r="AL71" i="15"/>
  <c r="AK71" i="15"/>
  <c r="AJ71" i="15"/>
  <c r="AI71" i="15"/>
  <c r="AH71" i="15"/>
  <c r="AG71" i="15"/>
  <c r="AF71" i="15"/>
  <c r="AE71" i="15"/>
  <c r="AD71" i="15"/>
  <c r="AC71" i="15"/>
  <c r="AB71" i="15"/>
  <c r="AA71" i="15"/>
  <c r="Z71" i="15"/>
  <c r="Y71" i="15"/>
  <c r="X71" i="15"/>
  <c r="W71" i="15"/>
  <c r="V71" i="15"/>
  <c r="U71" i="15"/>
  <c r="T71" i="15"/>
  <c r="S71" i="15"/>
  <c r="R71" i="15"/>
  <c r="Q71" i="15"/>
  <c r="P71" i="15"/>
  <c r="O71" i="15"/>
  <c r="N71" i="15"/>
  <c r="M71" i="15"/>
  <c r="L71" i="15"/>
  <c r="K71" i="15"/>
  <c r="J71" i="15"/>
  <c r="I71" i="15"/>
  <c r="H71" i="15"/>
  <c r="G71" i="15"/>
  <c r="F71" i="15"/>
  <c r="E71" i="15"/>
  <c r="D71" i="15"/>
  <c r="C71" i="15"/>
  <c r="B71" i="15"/>
  <c r="AR70" i="15"/>
  <c r="AQ70" i="15"/>
  <c r="AP70" i="15"/>
  <c r="AO70" i="15"/>
  <c r="AN70" i="15"/>
  <c r="AM70" i="15"/>
  <c r="AL70" i="15"/>
  <c r="AK70" i="15"/>
  <c r="AJ70" i="15"/>
  <c r="AI70" i="15"/>
  <c r="AH70" i="15"/>
  <c r="AG70" i="15"/>
  <c r="AF70" i="15"/>
  <c r="AE70" i="15"/>
  <c r="AD70" i="15"/>
  <c r="AC70" i="15"/>
  <c r="AB70" i="15"/>
  <c r="AA70" i="15"/>
  <c r="Z70" i="15"/>
  <c r="Y70" i="15"/>
  <c r="X70" i="15"/>
  <c r="W70" i="15"/>
  <c r="V70" i="15"/>
  <c r="U70" i="15"/>
  <c r="T70" i="15"/>
  <c r="S70" i="15"/>
  <c r="R70" i="15"/>
  <c r="Q70" i="15"/>
  <c r="P70" i="15"/>
  <c r="O70" i="15"/>
  <c r="N70" i="15"/>
  <c r="M70" i="15"/>
  <c r="L70" i="15"/>
  <c r="K70" i="15"/>
  <c r="J70" i="15"/>
  <c r="I70" i="15"/>
  <c r="H70" i="15"/>
  <c r="G70" i="15"/>
  <c r="F70" i="15"/>
  <c r="E70" i="15"/>
  <c r="D70" i="15"/>
  <c r="C70" i="15"/>
  <c r="B70" i="15"/>
  <c r="AR69" i="15"/>
  <c r="AQ69" i="15"/>
  <c r="AP69" i="15"/>
  <c r="AO69" i="15"/>
  <c r="AN69" i="15"/>
  <c r="AM69" i="15"/>
  <c r="AL69" i="15"/>
  <c r="AK69" i="15"/>
  <c r="AJ69" i="15"/>
  <c r="AI69" i="15"/>
  <c r="AH69" i="15"/>
  <c r="AG69" i="15"/>
  <c r="AF69" i="15"/>
  <c r="AE69" i="15"/>
  <c r="AD69" i="15"/>
  <c r="AC69" i="15"/>
  <c r="AB69" i="15"/>
  <c r="AA69" i="15"/>
  <c r="Z69" i="15"/>
  <c r="Y69" i="15"/>
  <c r="X69" i="15"/>
  <c r="W69" i="15"/>
  <c r="V69" i="15"/>
  <c r="U69" i="15"/>
  <c r="T69" i="15"/>
  <c r="S69" i="15"/>
  <c r="R69" i="15"/>
  <c r="Q69" i="15"/>
  <c r="P69" i="15"/>
  <c r="O69" i="15"/>
  <c r="N69" i="15"/>
  <c r="M69" i="15"/>
  <c r="L69" i="15"/>
  <c r="K69" i="15"/>
  <c r="J69" i="15"/>
  <c r="I69" i="15"/>
  <c r="H69" i="15"/>
  <c r="G69" i="15"/>
  <c r="F69" i="15"/>
  <c r="E69" i="15"/>
  <c r="D69" i="15"/>
  <c r="C69" i="15"/>
  <c r="B69" i="15"/>
  <c r="AR68" i="15"/>
  <c r="AQ68" i="15"/>
  <c r="AP68" i="15"/>
  <c r="AO68" i="15"/>
  <c r="AN68" i="15"/>
  <c r="AM68" i="15"/>
  <c r="AL68" i="15"/>
  <c r="AK68" i="15"/>
  <c r="AJ68" i="15"/>
  <c r="AI68" i="15"/>
  <c r="AH68" i="15"/>
  <c r="AG68" i="15"/>
  <c r="AF68" i="15"/>
  <c r="AE68" i="15"/>
  <c r="AD68" i="15"/>
  <c r="AC68" i="15"/>
  <c r="AB68" i="15"/>
  <c r="AA68" i="15"/>
  <c r="Z68" i="15"/>
  <c r="Y68" i="15"/>
  <c r="X68" i="15"/>
  <c r="W68" i="15"/>
  <c r="V68" i="15"/>
  <c r="U68" i="15"/>
  <c r="T68" i="15"/>
  <c r="S68" i="15"/>
  <c r="R68" i="15"/>
  <c r="Q68" i="15"/>
  <c r="K56" i="21" s="1"/>
  <c r="P68" i="15"/>
  <c r="O68" i="15"/>
  <c r="N68" i="15"/>
  <c r="M68" i="15"/>
  <c r="G56" i="21" s="1"/>
  <c r="L68" i="15"/>
  <c r="K68" i="15"/>
  <c r="J68" i="15"/>
  <c r="I68" i="15"/>
  <c r="C56" i="21" s="1"/>
  <c r="H68" i="15"/>
  <c r="G68" i="15"/>
  <c r="F68" i="15"/>
  <c r="E68" i="15"/>
  <c r="D68" i="15"/>
  <c r="C68" i="15"/>
  <c r="B68" i="15"/>
  <c r="AR62" i="15"/>
  <c r="AU62" i="15" s="1"/>
  <c r="AV62" i="15" s="1"/>
  <c r="AW62" i="15" s="1"/>
  <c r="AX62" i="15" s="1"/>
  <c r="AY62" i="15" s="1"/>
  <c r="AZ62" i="15" s="1"/>
  <c r="BA62" i="15" s="1"/>
  <c r="BB62" i="15" s="1"/>
  <c r="BC62" i="15" s="1"/>
  <c r="BD62" i="15" s="1"/>
  <c r="BE62" i="15" s="1"/>
  <c r="BF62" i="15" s="1"/>
  <c r="BG62" i="15" s="1"/>
  <c r="BH62" i="15" s="1"/>
  <c r="BI62" i="15" s="1"/>
  <c r="BJ62" i="15" s="1"/>
  <c r="BK62" i="15" s="1"/>
  <c r="BL62" i="15" s="1"/>
  <c r="BM62" i="15" s="1"/>
  <c r="BN62" i="15" s="1"/>
  <c r="BO62" i="15" s="1"/>
  <c r="BP62" i="15" s="1"/>
  <c r="BQ62" i="15" s="1"/>
  <c r="BR62" i="15" s="1"/>
  <c r="BS62" i="15" s="1"/>
  <c r="BT62" i="15" s="1"/>
  <c r="BU62" i="15" s="1"/>
  <c r="BV62" i="15" s="1"/>
  <c r="BW62" i="15" s="1"/>
  <c r="BX62" i="15" s="1"/>
  <c r="BY62" i="15" s="1"/>
  <c r="AQ62" i="15"/>
  <c r="AP62" i="15"/>
  <c r="AO62" i="15"/>
  <c r="AN62" i="15"/>
  <c r="AM62" i="15"/>
  <c r="AL62" i="15"/>
  <c r="AK62" i="15"/>
  <c r="AJ62" i="15"/>
  <c r="AI62" i="15"/>
  <c r="AH62" i="15"/>
  <c r="AG62" i="15"/>
  <c r="AF62" i="15"/>
  <c r="AE62" i="15"/>
  <c r="AD62" i="15"/>
  <c r="AC62" i="15"/>
  <c r="AB62" i="15"/>
  <c r="AA62" i="15"/>
  <c r="Z62" i="15"/>
  <c r="Y62" i="15"/>
  <c r="X62" i="15"/>
  <c r="W62" i="15"/>
  <c r="V62" i="15"/>
  <c r="U62" i="15"/>
  <c r="T62" i="15"/>
  <c r="S62" i="15"/>
  <c r="R62" i="15"/>
  <c r="Q62" i="15"/>
  <c r="P62" i="15"/>
  <c r="O62" i="15"/>
  <c r="N62" i="15"/>
  <c r="M62" i="15"/>
  <c r="L62" i="15"/>
  <c r="K62" i="15"/>
  <c r="J62" i="15"/>
  <c r="I62" i="15"/>
  <c r="H62" i="15"/>
  <c r="G62" i="15"/>
  <c r="F62" i="15"/>
  <c r="E62" i="15"/>
  <c r="D62" i="15"/>
  <c r="C62" i="15"/>
  <c r="B62" i="15"/>
  <c r="AR61" i="15"/>
  <c r="AU61" i="15" s="1"/>
  <c r="AV61" i="15" s="1"/>
  <c r="AW61" i="15" s="1"/>
  <c r="AX61" i="15" s="1"/>
  <c r="AY61" i="15" s="1"/>
  <c r="AZ61" i="15" s="1"/>
  <c r="BA61" i="15" s="1"/>
  <c r="BB61" i="15" s="1"/>
  <c r="BC61" i="15" s="1"/>
  <c r="BD61" i="15" s="1"/>
  <c r="BE61" i="15" s="1"/>
  <c r="BF61" i="15" s="1"/>
  <c r="BG61" i="15" s="1"/>
  <c r="BH61" i="15" s="1"/>
  <c r="BI61" i="15" s="1"/>
  <c r="BJ61" i="15" s="1"/>
  <c r="BK61" i="15" s="1"/>
  <c r="BL61" i="15" s="1"/>
  <c r="BM61" i="15" s="1"/>
  <c r="BN61" i="15" s="1"/>
  <c r="BO61" i="15" s="1"/>
  <c r="BP61" i="15" s="1"/>
  <c r="BQ61" i="15" s="1"/>
  <c r="BR61" i="15" s="1"/>
  <c r="BS61" i="15" s="1"/>
  <c r="BT61" i="15" s="1"/>
  <c r="BU61" i="15" s="1"/>
  <c r="BV61" i="15" s="1"/>
  <c r="BW61" i="15" s="1"/>
  <c r="BX61" i="15" s="1"/>
  <c r="BY61" i="15" s="1"/>
  <c r="AQ61" i="15"/>
  <c r="AP61" i="15"/>
  <c r="AO61" i="15"/>
  <c r="AN61" i="15"/>
  <c r="AM61" i="15"/>
  <c r="AL61" i="15"/>
  <c r="AK61" i="15"/>
  <c r="AJ61" i="15"/>
  <c r="AI61" i="15"/>
  <c r="AH61" i="15"/>
  <c r="AG61" i="15"/>
  <c r="AF61" i="15"/>
  <c r="AE61" i="15"/>
  <c r="AD61" i="15"/>
  <c r="AC61" i="15"/>
  <c r="AB61" i="15"/>
  <c r="AA61" i="15"/>
  <c r="Z61" i="15"/>
  <c r="Y61" i="15"/>
  <c r="X61" i="15"/>
  <c r="W61" i="15"/>
  <c r="V61" i="15"/>
  <c r="U61" i="15"/>
  <c r="T61" i="15"/>
  <c r="S61" i="15"/>
  <c r="R61" i="15"/>
  <c r="Q61" i="15"/>
  <c r="P61" i="15"/>
  <c r="O61" i="15"/>
  <c r="N61" i="15"/>
  <c r="M61" i="15"/>
  <c r="L61" i="15"/>
  <c r="K61" i="15"/>
  <c r="J61" i="15"/>
  <c r="I61" i="15"/>
  <c r="H61" i="15"/>
  <c r="G61" i="15"/>
  <c r="F61" i="15"/>
  <c r="E61" i="15"/>
  <c r="D61" i="15"/>
  <c r="C61" i="15"/>
  <c r="B61" i="15"/>
  <c r="AR60" i="15"/>
  <c r="AM45" i="21" s="1"/>
  <c r="AQ60" i="15"/>
  <c r="AP60" i="15"/>
  <c r="AO60" i="15"/>
  <c r="AN60" i="15"/>
  <c r="AM60" i="15"/>
  <c r="AL60" i="15"/>
  <c r="AK60" i="15"/>
  <c r="AJ60" i="15"/>
  <c r="AI60" i="15"/>
  <c r="AH60" i="15"/>
  <c r="AG60" i="15"/>
  <c r="AF60" i="15"/>
  <c r="AE60" i="15"/>
  <c r="AD60" i="15"/>
  <c r="AC60" i="15"/>
  <c r="AB60" i="15"/>
  <c r="AA60" i="15"/>
  <c r="Z60" i="15"/>
  <c r="Y60" i="15"/>
  <c r="X60" i="15"/>
  <c r="W60" i="15"/>
  <c r="V60" i="15"/>
  <c r="U60" i="15"/>
  <c r="T60" i="15"/>
  <c r="S60" i="15"/>
  <c r="R60" i="15"/>
  <c r="Q60" i="15"/>
  <c r="P60" i="15"/>
  <c r="O60" i="15"/>
  <c r="N60" i="15"/>
  <c r="M60" i="15"/>
  <c r="L60" i="15"/>
  <c r="K60" i="15"/>
  <c r="J60" i="15"/>
  <c r="I60" i="15"/>
  <c r="H60" i="15"/>
  <c r="G60" i="15"/>
  <c r="F60" i="15"/>
  <c r="E60" i="15"/>
  <c r="D60" i="15"/>
  <c r="C60" i="15"/>
  <c r="B60" i="15"/>
  <c r="AR59" i="15"/>
  <c r="AS99" i="15" s="1"/>
  <c r="AQ59" i="15"/>
  <c r="AP59" i="15"/>
  <c r="AO59" i="15"/>
  <c r="AN59" i="15"/>
  <c r="AM59" i="15"/>
  <c r="AL59" i="15"/>
  <c r="AK59" i="15"/>
  <c r="AJ59" i="15"/>
  <c r="AI59" i="15"/>
  <c r="AH59" i="15"/>
  <c r="AG59" i="15"/>
  <c r="AF59" i="15"/>
  <c r="AE59" i="15"/>
  <c r="AD59" i="15"/>
  <c r="AC59" i="15"/>
  <c r="AB59" i="15"/>
  <c r="AA59" i="15"/>
  <c r="Z59" i="15"/>
  <c r="Y59" i="15"/>
  <c r="X59" i="15"/>
  <c r="W59" i="15"/>
  <c r="V59" i="15"/>
  <c r="U59" i="15"/>
  <c r="T59" i="15"/>
  <c r="S59" i="15"/>
  <c r="R59" i="15"/>
  <c r="Q59" i="15"/>
  <c r="P59" i="15"/>
  <c r="O59" i="15"/>
  <c r="N59" i="15"/>
  <c r="M59" i="15"/>
  <c r="L59" i="15"/>
  <c r="K59" i="15"/>
  <c r="J59" i="15"/>
  <c r="I59" i="15"/>
  <c r="H59" i="15"/>
  <c r="G59" i="15"/>
  <c r="F59" i="15"/>
  <c r="E59" i="15"/>
  <c r="D59" i="15"/>
  <c r="C59" i="15"/>
  <c r="B59" i="15"/>
  <c r="AU56" i="15"/>
  <c r="AV56" i="15" s="1"/>
  <c r="AW56" i="15" s="1"/>
  <c r="AX56" i="15" s="1"/>
  <c r="AY56" i="15" s="1"/>
  <c r="AZ56" i="15" s="1"/>
  <c r="BA56" i="15" s="1"/>
  <c r="BB56" i="15" s="1"/>
  <c r="BC56" i="15" s="1"/>
  <c r="BD56" i="15" s="1"/>
  <c r="BE56" i="15" s="1"/>
  <c r="BF56" i="15" s="1"/>
  <c r="BG56" i="15" s="1"/>
  <c r="BH56" i="15" s="1"/>
  <c r="BI56" i="15" s="1"/>
  <c r="BJ56" i="15" s="1"/>
  <c r="BK56" i="15" s="1"/>
  <c r="BL56" i="15" s="1"/>
  <c r="BM56" i="15" s="1"/>
  <c r="BN56" i="15" s="1"/>
  <c r="BO56" i="15" s="1"/>
  <c r="BP56" i="15" s="1"/>
  <c r="BQ56" i="15" s="1"/>
  <c r="BR56" i="15" s="1"/>
  <c r="BS56" i="15" s="1"/>
  <c r="BT56" i="15" s="1"/>
  <c r="BU56" i="15" s="1"/>
  <c r="BV56" i="15" s="1"/>
  <c r="BW56" i="15" s="1"/>
  <c r="BX56" i="15" s="1"/>
  <c r="BY56" i="15" s="1"/>
  <c r="AR56" i="15"/>
  <c r="AQ56" i="15"/>
  <c r="AP56" i="15"/>
  <c r="AO56" i="15"/>
  <c r="AN56" i="15"/>
  <c r="AM56" i="15"/>
  <c r="AL56" i="15"/>
  <c r="AK56" i="15"/>
  <c r="AI56" i="15"/>
  <c r="AH56" i="15"/>
  <c r="AG56" i="15"/>
  <c r="AF56" i="15"/>
  <c r="AE56" i="15"/>
  <c r="AD56" i="15"/>
  <c r="AC56" i="15"/>
  <c r="AB56" i="15"/>
  <c r="AA56" i="15"/>
  <c r="Z56" i="15"/>
  <c r="Y56" i="15"/>
  <c r="X56" i="15"/>
  <c r="W56" i="15"/>
  <c r="V56" i="15"/>
  <c r="U56" i="15"/>
  <c r="T56" i="15"/>
  <c r="S56" i="15"/>
  <c r="R56" i="15"/>
  <c r="Q56" i="15"/>
  <c r="P56" i="15"/>
  <c r="O56" i="15"/>
  <c r="N56" i="15"/>
  <c r="M56" i="15"/>
  <c r="L56" i="15"/>
  <c r="K56" i="15"/>
  <c r="J56" i="15"/>
  <c r="I56" i="15"/>
  <c r="H56" i="15"/>
  <c r="G56" i="15"/>
  <c r="F56" i="15"/>
  <c r="E56" i="15"/>
  <c r="D56" i="15"/>
  <c r="C56" i="15"/>
  <c r="B56" i="15"/>
  <c r="AR55" i="15"/>
  <c r="AQ55" i="15"/>
  <c r="AP55" i="15"/>
  <c r="AO55" i="15"/>
  <c r="AN55" i="15"/>
  <c r="AN57" i="15" s="1"/>
  <c r="AM55" i="15"/>
  <c r="AL55" i="15"/>
  <c r="AL57" i="15" s="1"/>
  <c r="AK55" i="15"/>
  <c r="AJ55" i="15"/>
  <c r="AI55" i="15"/>
  <c r="AH55" i="15"/>
  <c r="AG55" i="15"/>
  <c r="AF55" i="15"/>
  <c r="AE55" i="15"/>
  <c r="AD55" i="15"/>
  <c r="AC55" i="15"/>
  <c r="AB55" i="15"/>
  <c r="AA55" i="15"/>
  <c r="Z55" i="15"/>
  <c r="Y55" i="15"/>
  <c r="X55" i="15"/>
  <c r="W55" i="15"/>
  <c r="V55" i="15"/>
  <c r="U55" i="15"/>
  <c r="T55" i="15"/>
  <c r="S55" i="15"/>
  <c r="R55" i="15"/>
  <c r="Q55" i="15"/>
  <c r="P55" i="15"/>
  <c r="O55" i="15"/>
  <c r="N55" i="15"/>
  <c r="M55" i="15"/>
  <c r="L55" i="15"/>
  <c r="K55" i="15"/>
  <c r="J55" i="15"/>
  <c r="I55" i="15"/>
  <c r="H55" i="15"/>
  <c r="G55" i="15"/>
  <c r="F55" i="15"/>
  <c r="E55" i="15"/>
  <c r="D55" i="15"/>
  <c r="C55" i="15"/>
  <c r="B55" i="15"/>
  <c r="AR53" i="15"/>
  <c r="AQ53" i="15"/>
  <c r="AO53" i="15"/>
  <c r="AM53" i="15"/>
  <c r="AK53" i="15"/>
  <c r="AI53" i="15"/>
  <c r="AH53" i="15"/>
  <c r="AG53" i="15"/>
  <c r="AF53" i="15"/>
  <c r="AE53" i="15"/>
  <c r="AD53" i="15"/>
  <c r="AC53" i="15"/>
  <c r="AB53" i="15"/>
  <c r="AA53" i="15"/>
  <c r="Z53" i="15"/>
  <c r="Y53" i="15"/>
  <c r="X53" i="15"/>
  <c r="W53" i="15"/>
  <c r="V53" i="15"/>
  <c r="U53" i="15"/>
  <c r="T53" i="15"/>
  <c r="S53" i="15"/>
  <c r="R53" i="15"/>
  <c r="Q53" i="15"/>
  <c r="P53" i="15"/>
  <c r="O53" i="15"/>
  <c r="N53" i="15"/>
  <c r="M53" i="15"/>
  <c r="L53" i="15"/>
  <c r="K53" i="15"/>
  <c r="J53" i="15"/>
  <c r="I53" i="15"/>
  <c r="H53" i="15"/>
  <c r="G53" i="15"/>
  <c r="F53" i="15"/>
  <c r="E53" i="15"/>
  <c r="D53" i="15"/>
  <c r="C53" i="15"/>
  <c r="B53" i="15"/>
  <c r="AR52" i="15"/>
  <c r="AQ52" i="15"/>
  <c r="AP52" i="15"/>
  <c r="AO52" i="15"/>
  <c r="AN52" i="15"/>
  <c r="AM52" i="15"/>
  <c r="AL52" i="15"/>
  <c r="AK52" i="15"/>
  <c r="AJ52" i="15"/>
  <c r="AI52" i="15"/>
  <c r="AH52" i="15"/>
  <c r="AG52" i="15"/>
  <c r="AF52" i="15"/>
  <c r="AE52" i="15"/>
  <c r="AD52" i="15"/>
  <c r="AC52" i="15"/>
  <c r="AB52" i="15"/>
  <c r="AA52" i="15"/>
  <c r="Z52" i="15"/>
  <c r="Y52" i="15"/>
  <c r="X52" i="15"/>
  <c r="W52" i="15"/>
  <c r="U52" i="15"/>
  <c r="T52" i="15"/>
  <c r="S52" i="15"/>
  <c r="R52" i="15"/>
  <c r="Q52" i="15"/>
  <c r="P52" i="15"/>
  <c r="O52" i="15"/>
  <c r="N52" i="15"/>
  <c r="M52" i="15"/>
  <c r="L52" i="15"/>
  <c r="K52" i="15"/>
  <c r="J52" i="15"/>
  <c r="I52" i="15"/>
  <c r="H52" i="15"/>
  <c r="G52" i="15"/>
  <c r="F52" i="15"/>
  <c r="E52" i="15"/>
  <c r="D52" i="15"/>
  <c r="C52" i="15"/>
  <c r="B52" i="15"/>
  <c r="AR51" i="15"/>
  <c r="AQ51" i="15"/>
  <c r="AP51" i="15"/>
  <c r="AO51" i="15"/>
  <c r="AN51" i="15"/>
  <c r="AM51" i="15"/>
  <c r="AL51" i="15"/>
  <c r="AK51" i="15"/>
  <c r="AJ51" i="15"/>
  <c r="AI51" i="15"/>
  <c r="AH51" i="15"/>
  <c r="AG51" i="15"/>
  <c r="AF51" i="15"/>
  <c r="AE51" i="15"/>
  <c r="AD51" i="15"/>
  <c r="AC51" i="15"/>
  <c r="AB51" i="15"/>
  <c r="AA51" i="15"/>
  <c r="Z51" i="15"/>
  <c r="Y51" i="15"/>
  <c r="X51" i="15"/>
  <c r="W51" i="15"/>
  <c r="V51" i="15"/>
  <c r="U51" i="15"/>
  <c r="T51" i="15"/>
  <c r="S51" i="15"/>
  <c r="R51" i="15"/>
  <c r="Q51" i="15"/>
  <c r="P51" i="15"/>
  <c r="O51" i="15"/>
  <c r="N51" i="15"/>
  <c r="M51" i="15"/>
  <c r="L51" i="15"/>
  <c r="K51" i="15"/>
  <c r="J51" i="15"/>
  <c r="I51" i="15"/>
  <c r="H51" i="15"/>
  <c r="G51" i="15"/>
  <c r="F51" i="15"/>
  <c r="E51" i="15"/>
  <c r="D51" i="15"/>
  <c r="C51" i="15"/>
  <c r="B51" i="15"/>
  <c r="AR50" i="15"/>
  <c r="AQ50" i="15"/>
  <c r="AP50" i="15"/>
  <c r="AO50" i="15"/>
  <c r="AN50" i="15"/>
  <c r="AM50" i="15"/>
  <c r="AL50" i="15"/>
  <c r="AK50" i="15"/>
  <c r="AJ50" i="15"/>
  <c r="AI50" i="15"/>
  <c r="AH50" i="15"/>
  <c r="AG50" i="15"/>
  <c r="AF50" i="15"/>
  <c r="AE50" i="15"/>
  <c r="AD50" i="15"/>
  <c r="AC50" i="15"/>
  <c r="AB50" i="15"/>
  <c r="AA50" i="15"/>
  <c r="Z50" i="15"/>
  <c r="Y50" i="15"/>
  <c r="X50" i="15"/>
  <c r="W50" i="15"/>
  <c r="V50" i="15"/>
  <c r="U50" i="15"/>
  <c r="T50" i="15"/>
  <c r="S50" i="15"/>
  <c r="R50" i="15"/>
  <c r="Q50" i="15"/>
  <c r="P50" i="15"/>
  <c r="O50" i="15"/>
  <c r="N50" i="15"/>
  <c r="M50" i="15"/>
  <c r="L50" i="15"/>
  <c r="K50" i="15"/>
  <c r="J50" i="15"/>
  <c r="I50" i="15"/>
  <c r="H50" i="15"/>
  <c r="G50" i="15"/>
  <c r="F50" i="15"/>
  <c r="E50" i="15"/>
  <c r="D50" i="15"/>
  <c r="C50" i="15"/>
  <c r="B50" i="15"/>
  <c r="BY45" i="15"/>
  <c r="BX45" i="15"/>
  <c r="BW45" i="15"/>
  <c r="BV45" i="15"/>
  <c r="BU45" i="15"/>
  <c r="BT45" i="15"/>
  <c r="BS45" i="15"/>
  <c r="BR45" i="15"/>
  <c r="BQ45" i="15"/>
  <c r="BP45" i="15"/>
  <c r="BO45" i="15"/>
  <c r="BN45" i="15"/>
  <c r="BM45" i="15"/>
  <c r="BL45" i="15"/>
  <c r="BK45" i="15"/>
  <c r="BJ45" i="15"/>
  <c r="BI45" i="15"/>
  <c r="AR41" i="15"/>
  <c r="AS42" i="15" s="1"/>
  <c r="AQ41" i="15"/>
  <c r="AP41" i="15"/>
  <c r="AN41" i="15"/>
  <c r="AM41" i="15"/>
  <c r="AL41" i="15"/>
  <c r="AJ41" i="15"/>
  <c r="AI41" i="15"/>
  <c r="AH41" i="15"/>
  <c r="AG41" i="15"/>
  <c r="AF41" i="15"/>
  <c r="AE41" i="15"/>
  <c r="AD41" i="15"/>
  <c r="AC41" i="15"/>
  <c r="AB41" i="15"/>
  <c r="AA41" i="15"/>
  <c r="Z41" i="15"/>
  <c r="Y41" i="15"/>
  <c r="X41" i="15"/>
  <c r="W41" i="15"/>
  <c r="V41" i="15"/>
  <c r="U41" i="15"/>
  <c r="T41" i="15"/>
  <c r="S41" i="15"/>
  <c r="R41" i="15"/>
  <c r="Q41" i="15"/>
  <c r="P41" i="15"/>
  <c r="O41" i="15"/>
  <c r="N41" i="15"/>
  <c r="M41" i="15"/>
  <c r="L41" i="15"/>
  <c r="K41" i="15"/>
  <c r="J41" i="15"/>
  <c r="I41" i="15"/>
  <c r="H41" i="15"/>
  <c r="G41" i="15"/>
  <c r="F41" i="15"/>
  <c r="E41" i="15"/>
  <c r="D41" i="15"/>
  <c r="C41" i="15"/>
  <c r="B41" i="15"/>
  <c r="B42" i="15" s="1"/>
  <c r="AR38" i="15"/>
  <c r="AQ38" i="15"/>
  <c r="AP38" i="15"/>
  <c r="AO38" i="15"/>
  <c r="AN38" i="15"/>
  <c r="AM38" i="15"/>
  <c r="AL38" i="15"/>
  <c r="AK38" i="15"/>
  <c r="AJ38" i="15"/>
  <c r="AI38" i="15"/>
  <c r="AH38" i="15"/>
  <c r="AG38" i="15"/>
  <c r="AF38" i="15"/>
  <c r="AE38" i="15"/>
  <c r="AD38" i="15"/>
  <c r="AC38" i="15"/>
  <c r="AB38" i="15"/>
  <c r="AA38" i="15"/>
  <c r="Z38" i="15"/>
  <c r="Y38" i="15"/>
  <c r="X38" i="15"/>
  <c r="W38" i="15"/>
  <c r="V38" i="15"/>
  <c r="U38" i="15"/>
  <c r="T38" i="15"/>
  <c r="S38" i="15"/>
  <c r="R38" i="15"/>
  <c r="AR36" i="15"/>
  <c r="AQ36" i="15"/>
  <c r="AP36" i="15"/>
  <c r="AO36" i="15"/>
  <c r="AN36" i="15"/>
  <c r="AM36" i="15"/>
  <c r="AL36" i="15"/>
  <c r="AK36" i="15"/>
  <c r="AJ36" i="15"/>
  <c r="AI36" i="15"/>
  <c r="AH36" i="15"/>
  <c r="AG36" i="15"/>
  <c r="AF36" i="15"/>
  <c r="AE36" i="15"/>
  <c r="AD36" i="15"/>
  <c r="AC36" i="15"/>
  <c r="AB36" i="15"/>
  <c r="AA36" i="15"/>
  <c r="Z36" i="15"/>
  <c r="Y36" i="15"/>
  <c r="X36" i="15"/>
  <c r="W36" i="15"/>
  <c r="V36" i="15"/>
  <c r="U36" i="15"/>
  <c r="T36" i="15"/>
  <c r="S36" i="15"/>
  <c r="R36" i="15"/>
  <c r="P36" i="15"/>
  <c r="O36" i="15"/>
  <c r="N36" i="15"/>
  <c r="M36" i="15"/>
  <c r="L36" i="15"/>
  <c r="K36" i="15"/>
  <c r="J36" i="15"/>
  <c r="I36" i="15"/>
  <c r="H36" i="15"/>
  <c r="G36" i="15"/>
  <c r="F36" i="15"/>
  <c r="E36" i="15"/>
  <c r="D36" i="15"/>
  <c r="C36" i="15"/>
  <c r="B36" i="15"/>
  <c r="AR33" i="15"/>
  <c r="AQ33" i="15"/>
  <c r="AP33" i="15"/>
  <c r="AO33" i="15"/>
  <c r="AN33" i="15"/>
  <c r="AM33" i="15"/>
  <c r="AL33" i="15"/>
  <c r="AK33" i="15"/>
  <c r="AJ33" i="15"/>
  <c r="AI33" i="15"/>
  <c r="AH33" i="15"/>
  <c r="AG33" i="15"/>
  <c r="AF33" i="15"/>
  <c r="AE33" i="15"/>
  <c r="AD33" i="15"/>
  <c r="AC33" i="15"/>
  <c r="AB33" i="15"/>
  <c r="AA33" i="15"/>
  <c r="Z33" i="15"/>
  <c r="Y33" i="15"/>
  <c r="X33" i="15"/>
  <c r="W33" i="15"/>
  <c r="V33" i="15"/>
  <c r="U33" i="15"/>
  <c r="T33" i="15"/>
  <c r="S33" i="15"/>
  <c r="R33" i="15"/>
  <c r="P33" i="15"/>
  <c r="O33" i="15"/>
  <c r="N33" i="15"/>
  <c r="M33" i="15"/>
  <c r="L33" i="15"/>
  <c r="K33" i="15"/>
  <c r="J33" i="15"/>
  <c r="I33" i="15"/>
  <c r="H33" i="15"/>
  <c r="G33" i="15"/>
  <c r="F33" i="15"/>
  <c r="E33" i="15"/>
  <c r="D33" i="15"/>
  <c r="C33" i="15"/>
  <c r="B33" i="15"/>
  <c r="AR31" i="15"/>
  <c r="AQ31" i="15"/>
  <c r="AO31" i="15"/>
  <c r="AM31" i="15"/>
  <c r="AK31" i="15"/>
  <c r="AI31" i="15"/>
  <c r="AG31" i="15"/>
  <c r="AE31" i="15"/>
  <c r="AC31" i="15"/>
  <c r="AA31" i="15"/>
  <c r="Y31" i="15"/>
  <c r="W31" i="15"/>
  <c r="U31" i="15"/>
  <c r="S31" i="15"/>
  <c r="P31" i="15"/>
  <c r="O31" i="15"/>
  <c r="N31" i="15"/>
  <c r="M31" i="15"/>
  <c r="L31" i="15"/>
  <c r="K31" i="15"/>
  <c r="J31" i="15"/>
  <c r="I31" i="15"/>
  <c r="H31" i="15"/>
  <c r="F31" i="15"/>
  <c r="D31" i="15"/>
  <c r="B31" i="15"/>
  <c r="AR30" i="15"/>
  <c r="BN210" i="18" s="1"/>
  <c r="AQ30" i="15"/>
  <c r="AP30" i="15"/>
  <c r="BL210" i="18" s="1"/>
  <c r="AO30" i="15"/>
  <c r="BK210" i="18" s="1"/>
  <c r="AN30" i="15"/>
  <c r="BJ210" i="18" s="1"/>
  <c r="AM30" i="15"/>
  <c r="BI210" i="18" s="1"/>
  <c r="AL30" i="15"/>
  <c r="BH210" i="18" s="1"/>
  <c r="AK30" i="15"/>
  <c r="BG210" i="18" s="1"/>
  <c r="AJ30" i="15"/>
  <c r="BF210" i="18" s="1"/>
  <c r="AI30" i="15"/>
  <c r="AH30" i="15"/>
  <c r="BD210" i="18" s="1"/>
  <c r="AG30" i="15"/>
  <c r="BC210" i="18" s="1"/>
  <c r="AF30" i="15"/>
  <c r="BB210" i="18" s="1"/>
  <c r="AE30" i="15"/>
  <c r="BA210" i="18" s="1"/>
  <c r="AD30" i="15"/>
  <c r="AC30" i="15"/>
  <c r="AY210" i="18" s="1"/>
  <c r="AB30" i="15"/>
  <c r="AX210" i="18" s="1"/>
  <c r="AA30" i="15"/>
  <c r="AW210" i="18" s="1"/>
  <c r="Z30" i="15"/>
  <c r="AV210" i="18" s="1"/>
  <c r="Y30" i="15"/>
  <c r="AU210" i="18" s="1"/>
  <c r="X30" i="15"/>
  <c r="W30" i="15"/>
  <c r="AS210" i="18" s="1"/>
  <c r="V30" i="15"/>
  <c r="AR210" i="18" s="1"/>
  <c r="U30" i="15"/>
  <c r="T30" i="15"/>
  <c r="AP210" i="18" s="1"/>
  <c r="S30" i="15"/>
  <c r="AO210" i="18" s="1"/>
  <c r="R30" i="15"/>
  <c r="AN210" i="18" s="1"/>
  <c r="P30" i="15"/>
  <c r="O30" i="15"/>
  <c r="AK210" i="18" s="1"/>
  <c r="N30" i="15"/>
  <c r="AJ210" i="18" s="1"/>
  <c r="M30" i="15"/>
  <c r="L30" i="15"/>
  <c r="AH210" i="18" s="1"/>
  <c r="K30" i="15"/>
  <c r="AG210" i="18" s="1"/>
  <c r="J30" i="15"/>
  <c r="AF210" i="18" s="1"/>
  <c r="I30" i="15"/>
  <c r="AE210" i="18" s="1"/>
  <c r="H30" i="15"/>
  <c r="AD210" i="18" s="1"/>
  <c r="G30" i="15"/>
  <c r="AC210" i="18" s="1"/>
  <c r="F30" i="15"/>
  <c r="AB210" i="18" s="1"/>
  <c r="E30" i="15"/>
  <c r="AA210" i="18" s="1"/>
  <c r="D30" i="15"/>
  <c r="Z210" i="18" s="1"/>
  <c r="C30" i="15"/>
  <c r="Y210" i="18" s="1"/>
  <c r="B30" i="15"/>
  <c r="X210" i="18" s="1"/>
  <c r="AR29" i="15"/>
  <c r="BN207" i="18" s="1"/>
  <c r="AQ29" i="15"/>
  <c r="BM207" i="18" s="1"/>
  <c r="AP29" i="15"/>
  <c r="BL207" i="18" s="1"/>
  <c r="AO29" i="15"/>
  <c r="BK207" i="18" s="1"/>
  <c r="AN29" i="15"/>
  <c r="BJ207" i="18" s="1"/>
  <c r="AM29" i="15"/>
  <c r="BI207" i="18" s="1"/>
  <c r="AL29" i="15"/>
  <c r="BH207" i="18" s="1"/>
  <c r="AK29" i="15"/>
  <c r="AE72" i="21" s="1"/>
  <c r="AJ29" i="15"/>
  <c r="BF207" i="18" s="1"/>
  <c r="AI29" i="15"/>
  <c r="BE207" i="18" s="1"/>
  <c r="AH29" i="15"/>
  <c r="BD207" i="18" s="1"/>
  <c r="AG29" i="15"/>
  <c r="BC207" i="18" s="1"/>
  <c r="AF29" i="15"/>
  <c r="BB207" i="18" s="1"/>
  <c r="AE29" i="15"/>
  <c r="BA207" i="18" s="1"/>
  <c r="AD29" i="15"/>
  <c r="AC29" i="15"/>
  <c r="AY207" i="18" s="1"/>
  <c r="AB29" i="15"/>
  <c r="AX207" i="18" s="1"/>
  <c r="AA29" i="15"/>
  <c r="AW207" i="18" s="1"/>
  <c r="Z29" i="15"/>
  <c r="AV207" i="18" s="1"/>
  <c r="Y29" i="15"/>
  <c r="X29" i="15"/>
  <c r="AT207" i="18" s="1"/>
  <c r="W29" i="15"/>
  <c r="AS207" i="18" s="1"/>
  <c r="V29" i="15"/>
  <c r="U29" i="15"/>
  <c r="T29" i="15"/>
  <c r="S29" i="15"/>
  <c r="AO207" i="18" s="1"/>
  <c r="R29" i="15"/>
  <c r="AN207" i="18" s="1"/>
  <c r="P29" i="15"/>
  <c r="AL207" i="18" s="1"/>
  <c r="O29" i="15"/>
  <c r="I72" i="21" s="1"/>
  <c r="N29" i="15"/>
  <c r="M29" i="15"/>
  <c r="L29" i="15"/>
  <c r="AH207" i="18" s="1"/>
  <c r="K29" i="15"/>
  <c r="AG207" i="18" s="1"/>
  <c r="J29" i="15"/>
  <c r="I29" i="15"/>
  <c r="AE207" i="18" s="1"/>
  <c r="H29" i="15"/>
  <c r="AD207" i="18" s="1"/>
  <c r="G29" i="15"/>
  <c r="AC207" i="18" s="1"/>
  <c r="F29" i="15"/>
  <c r="AB207" i="18" s="1"/>
  <c r="E29" i="15"/>
  <c r="AA207" i="18" s="1"/>
  <c r="D29" i="15"/>
  <c r="Z207" i="18" s="1"/>
  <c r="C29" i="15"/>
  <c r="Y207" i="18" s="1"/>
  <c r="B29" i="15"/>
  <c r="X207" i="18" s="1"/>
  <c r="AR26" i="15"/>
  <c r="BN197" i="18" s="1"/>
  <c r="AQ26" i="15"/>
  <c r="AQ12" i="15" s="1"/>
  <c r="AP26" i="15"/>
  <c r="AP12" i="15" s="1"/>
  <c r="AO26" i="15"/>
  <c r="BK197" i="18" s="1"/>
  <c r="AM26" i="15"/>
  <c r="AM95" i="15" s="1"/>
  <c r="AL26" i="15"/>
  <c r="AL12" i="15" s="1"/>
  <c r="AK26" i="15"/>
  <c r="AK95" i="15" s="1"/>
  <c r="AJ26" i="15"/>
  <c r="AJ12" i="15" s="1"/>
  <c r="AI26" i="15"/>
  <c r="BE197" i="18" s="1"/>
  <c r="AH26" i="15"/>
  <c r="AH12" i="15" s="1"/>
  <c r="AB7" i="21" s="1"/>
  <c r="AG26" i="15"/>
  <c r="BC197" i="18" s="1"/>
  <c r="AF26" i="15"/>
  <c r="AF95" i="15" s="1"/>
  <c r="AE26" i="15"/>
  <c r="AD26" i="15"/>
  <c r="AD95" i="15" s="1"/>
  <c r="AC26" i="15"/>
  <c r="AB26" i="15"/>
  <c r="AB12" i="15" s="1"/>
  <c r="AA26" i="15"/>
  <c r="Z26" i="15"/>
  <c r="Z95" i="15" s="1"/>
  <c r="Y26" i="15"/>
  <c r="AU197" i="18" s="1"/>
  <c r="X26" i="15"/>
  <c r="X12" i="15" s="1"/>
  <c r="W26" i="15"/>
  <c r="V26" i="15"/>
  <c r="V12" i="15" s="1"/>
  <c r="U26" i="15"/>
  <c r="U95" i="15" s="1"/>
  <c r="T26" i="15"/>
  <c r="AP197" i="18" s="1"/>
  <c r="S26" i="15"/>
  <c r="S95" i="15" s="1"/>
  <c r="R26" i="15"/>
  <c r="R12" i="15" s="1"/>
  <c r="L7" i="21" s="1"/>
  <c r="Q26" i="15"/>
  <c r="AM197" i="18" s="1"/>
  <c r="P26" i="15"/>
  <c r="O26" i="15"/>
  <c r="O12" i="15" s="1"/>
  <c r="N26" i="15"/>
  <c r="N95" i="15" s="1"/>
  <c r="M26" i="15"/>
  <c r="M12" i="15" s="1"/>
  <c r="AI123" i="18" s="1"/>
  <c r="L26" i="15"/>
  <c r="L95" i="15" s="1"/>
  <c r="K26" i="15"/>
  <c r="AG197" i="18" s="1"/>
  <c r="J26" i="15"/>
  <c r="J12" i="15" s="1"/>
  <c r="I26" i="15"/>
  <c r="AE197" i="18" s="1"/>
  <c r="H26" i="15"/>
  <c r="H95" i="15" s="1"/>
  <c r="G26" i="15"/>
  <c r="G12" i="15" s="1"/>
  <c r="F26" i="15"/>
  <c r="F95" i="15" s="1"/>
  <c r="E26" i="15"/>
  <c r="E12" i="15" s="1"/>
  <c r="D26" i="15"/>
  <c r="Z197" i="18" s="1"/>
  <c r="C26" i="15"/>
  <c r="Y197" i="18" s="1"/>
  <c r="B26" i="15"/>
  <c r="X197" i="18" s="1"/>
  <c r="AR22" i="15"/>
  <c r="AQ22" i="15"/>
  <c r="AP22" i="15"/>
  <c r="AO22" i="15"/>
  <c r="AN22" i="15"/>
  <c r="AM22" i="15"/>
  <c r="AL22" i="15"/>
  <c r="AK22" i="15"/>
  <c r="AJ22" i="15"/>
  <c r="AI22" i="15"/>
  <c r="AH22" i="15"/>
  <c r="AG22" i="15"/>
  <c r="AF22" i="15"/>
  <c r="AE22" i="15"/>
  <c r="AD22" i="15"/>
  <c r="AC22" i="15"/>
  <c r="AB22" i="15"/>
  <c r="AA22" i="15"/>
  <c r="Z22" i="15"/>
  <c r="Y22" i="15"/>
  <c r="X22" i="15"/>
  <c r="W22" i="15"/>
  <c r="V22" i="15"/>
  <c r="U22" i="15"/>
  <c r="T22" i="15"/>
  <c r="S22" i="15"/>
  <c r="R22" i="15"/>
  <c r="Q22" i="15"/>
  <c r="P22" i="15"/>
  <c r="O22" i="15"/>
  <c r="N22" i="15"/>
  <c r="M22" i="15"/>
  <c r="L22" i="15"/>
  <c r="AH177" i="18" s="1"/>
  <c r="K22" i="15"/>
  <c r="J22" i="15"/>
  <c r="J116" i="15" s="1"/>
  <c r="I22" i="15"/>
  <c r="H22" i="15"/>
  <c r="AD177" i="18" s="1"/>
  <c r="G22" i="15"/>
  <c r="F22" i="15"/>
  <c r="E22" i="15"/>
  <c r="AA177" i="18" s="1"/>
  <c r="D22" i="15"/>
  <c r="Z177" i="18" s="1"/>
  <c r="C22" i="15"/>
  <c r="AR21" i="15"/>
  <c r="AQ21" i="15"/>
  <c r="AP21" i="15"/>
  <c r="AO21" i="15"/>
  <c r="AN21" i="15"/>
  <c r="AM21" i="15"/>
  <c r="AL21" i="15"/>
  <c r="AK21" i="15"/>
  <c r="AJ21" i="15"/>
  <c r="AI21" i="15"/>
  <c r="AH21" i="15"/>
  <c r="AG21" i="15"/>
  <c r="AF21" i="15"/>
  <c r="AE21" i="15"/>
  <c r="AD21" i="15"/>
  <c r="AC21" i="15"/>
  <c r="AB21" i="15"/>
  <c r="AA21" i="15"/>
  <c r="Z21" i="15"/>
  <c r="Y21" i="15"/>
  <c r="X21" i="15"/>
  <c r="W21" i="15"/>
  <c r="V21" i="15"/>
  <c r="U21" i="15"/>
  <c r="T21" i="15"/>
  <c r="S21" i="15"/>
  <c r="R21" i="15"/>
  <c r="Q21" i="15"/>
  <c r="P21" i="15"/>
  <c r="O21" i="15"/>
  <c r="N21" i="15"/>
  <c r="M21" i="15"/>
  <c r="L21" i="15"/>
  <c r="K21" i="15"/>
  <c r="J21" i="15"/>
  <c r="I21" i="15"/>
  <c r="H21" i="15"/>
  <c r="G21" i="15"/>
  <c r="F21" i="15"/>
  <c r="E21" i="15"/>
  <c r="D21" i="15"/>
  <c r="C21" i="15"/>
  <c r="B21" i="15"/>
  <c r="AR20" i="15"/>
  <c r="AQ20" i="15"/>
  <c r="AP20" i="15"/>
  <c r="AO20" i="15"/>
  <c r="AN20" i="15"/>
  <c r="AM20" i="15"/>
  <c r="AL20" i="15"/>
  <c r="AK20" i="15"/>
  <c r="AJ20" i="15"/>
  <c r="AI20" i="15"/>
  <c r="AH20" i="15"/>
  <c r="AG20" i="15"/>
  <c r="AF20" i="15"/>
  <c r="AE20" i="15"/>
  <c r="AD20" i="15"/>
  <c r="AC20" i="15"/>
  <c r="AB20" i="15"/>
  <c r="AA20" i="15"/>
  <c r="Z20" i="15"/>
  <c r="Y20" i="15"/>
  <c r="X20" i="15"/>
  <c r="W20" i="15"/>
  <c r="V20" i="15"/>
  <c r="U20" i="15"/>
  <c r="T20" i="15"/>
  <c r="S20" i="15"/>
  <c r="R20" i="15"/>
  <c r="Q20" i="15"/>
  <c r="P20" i="15"/>
  <c r="O20" i="15"/>
  <c r="N20" i="15"/>
  <c r="M20" i="15"/>
  <c r="L20" i="15"/>
  <c r="K20" i="15"/>
  <c r="J20" i="15"/>
  <c r="I20" i="15"/>
  <c r="H20" i="15"/>
  <c r="G20" i="15"/>
  <c r="F20" i="15"/>
  <c r="E20" i="15"/>
  <c r="D20" i="15"/>
  <c r="C20" i="15"/>
  <c r="B20" i="15"/>
  <c r="AR19" i="15"/>
  <c r="BN165" i="18" s="1"/>
  <c r="AQ19" i="15"/>
  <c r="AP19" i="15"/>
  <c r="AO19" i="15"/>
  <c r="AN19" i="15"/>
  <c r="AM19" i="15"/>
  <c r="AL19" i="15"/>
  <c r="BH165" i="18" s="1"/>
  <c r="AK19" i="15"/>
  <c r="BG165" i="18" s="1"/>
  <c r="AJ19" i="15"/>
  <c r="BF165" i="18" s="1"/>
  <c r="AI19" i="15"/>
  <c r="BE165" i="18" s="1"/>
  <c r="AH19" i="15"/>
  <c r="BD165" i="18" s="1"/>
  <c r="AG19" i="15"/>
  <c r="BC165" i="18" s="1"/>
  <c r="AF19" i="15"/>
  <c r="BB165" i="18" s="1"/>
  <c r="AE19" i="15"/>
  <c r="AD19" i="15"/>
  <c r="AZ165" i="18" s="1"/>
  <c r="AC19" i="15"/>
  <c r="AB19" i="15"/>
  <c r="AX165" i="18" s="1"/>
  <c r="AA19" i="15"/>
  <c r="Z19" i="15"/>
  <c r="AV165" i="18" s="1"/>
  <c r="Y19" i="15"/>
  <c r="X19" i="15"/>
  <c r="AT165" i="18" s="1"/>
  <c r="W19" i="15"/>
  <c r="AS165" i="18" s="1"/>
  <c r="V19" i="15"/>
  <c r="AR165" i="18" s="1"/>
  <c r="U19" i="15"/>
  <c r="AQ165" i="18" s="1"/>
  <c r="T19" i="15"/>
  <c r="AP165" i="18" s="1"/>
  <c r="S19" i="15"/>
  <c r="R19" i="15"/>
  <c r="AN165" i="18" s="1"/>
  <c r="Q19" i="15"/>
  <c r="P19" i="15"/>
  <c r="AL165" i="18" s="1"/>
  <c r="O19" i="15"/>
  <c r="N19" i="15"/>
  <c r="AJ165" i="18" s="1"/>
  <c r="M19" i="15"/>
  <c r="AI165" i="18" s="1"/>
  <c r="L19" i="15"/>
  <c r="AH165" i="18" s="1"/>
  <c r="K19" i="15"/>
  <c r="J19" i="15"/>
  <c r="AF165" i="18" s="1"/>
  <c r="I19" i="15"/>
  <c r="AE165" i="18" s="1"/>
  <c r="H19" i="15"/>
  <c r="G19" i="15"/>
  <c r="AC165" i="18" s="1"/>
  <c r="F19" i="15"/>
  <c r="AB165" i="18" s="1"/>
  <c r="E19" i="15"/>
  <c r="AA165" i="18" s="1"/>
  <c r="D19" i="15"/>
  <c r="Z165" i="18" s="1"/>
  <c r="C19" i="15"/>
  <c r="B19" i="15"/>
  <c r="X165" i="18" s="1"/>
  <c r="AR18" i="15"/>
  <c r="AQ18" i="15"/>
  <c r="BM153" i="18" s="1"/>
  <c r="AP18" i="15"/>
  <c r="AO18" i="15"/>
  <c r="BK153" i="18" s="1"/>
  <c r="AN18" i="15"/>
  <c r="BJ153" i="18" s="1"/>
  <c r="AM18" i="15"/>
  <c r="AL18" i="15"/>
  <c r="AK18" i="15"/>
  <c r="AJ18" i="15"/>
  <c r="AI18" i="15"/>
  <c r="BE153" i="18" s="1"/>
  <c r="AH18" i="15"/>
  <c r="AG18" i="15"/>
  <c r="BC153" i="18" s="1"/>
  <c r="AF18" i="15"/>
  <c r="BB153" i="18" s="1"/>
  <c r="AE18" i="15"/>
  <c r="BA153" i="18" s="1"/>
  <c r="AD18" i="15"/>
  <c r="AZ153" i="18" s="1"/>
  <c r="AC18" i="15"/>
  <c r="AY153" i="18" s="1"/>
  <c r="AB18" i="15"/>
  <c r="AA18" i="15"/>
  <c r="AW153" i="18" s="1"/>
  <c r="Z18" i="15"/>
  <c r="AV153" i="18" s="1"/>
  <c r="Y18" i="15"/>
  <c r="AU153" i="18" s="1"/>
  <c r="X18" i="15"/>
  <c r="AT153" i="18" s="1"/>
  <c r="W18" i="15"/>
  <c r="AS153" i="18" s="1"/>
  <c r="V18" i="15"/>
  <c r="AR153" i="18" s="1"/>
  <c r="U18" i="15"/>
  <c r="T18" i="15"/>
  <c r="S18" i="15"/>
  <c r="AO153" i="18" s="1"/>
  <c r="R18" i="15"/>
  <c r="AN153" i="18" s="1"/>
  <c r="Q18" i="15"/>
  <c r="AM153" i="18" s="1"/>
  <c r="P18" i="15"/>
  <c r="AL153" i="18" s="1"/>
  <c r="O18" i="15"/>
  <c r="AK153" i="18" s="1"/>
  <c r="N18" i="15"/>
  <c r="M18" i="15"/>
  <c r="L18" i="15"/>
  <c r="K18" i="15"/>
  <c r="AG153" i="18" s="1"/>
  <c r="J18" i="15"/>
  <c r="AF153" i="18" s="1"/>
  <c r="I18" i="15"/>
  <c r="AE153" i="18" s="1"/>
  <c r="H18" i="15"/>
  <c r="AD153" i="18" s="1"/>
  <c r="G18" i="15"/>
  <c r="AC153" i="18" s="1"/>
  <c r="F18" i="15"/>
  <c r="AB153" i="18" s="1"/>
  <c r="E18" i="15"/>
  <c r="AA153" i="18" s="1"/>
  <c r="D18" i="15"/>
  <c r="C18" i="15"/>
  <c r="Y153" i="18" s="1"/>
  <c r="B18" i="15"/>
  <c r="E9" i="15"/>
  <c r="D9" i="15"/>
  <c r="C9" i="15"/>
  <c r="B9" i="15"/>
  <c r="N12" i="15"/>
  <c r="AR9" i="15"/>
  <c r="AQ9" i="15"/>
  <c r="AP9" i="15"/>
  <c r="AO9" i="15"/>
  <c r="AN9" i="15"/>
  <c r="AM9" i="15"/>
  <c r="AL9" i="15"/>
  <c r="AK9" i="15"/>
  <c r="AJ9" i="15"/>
  <c r="AI9" i="15"/>
  <c r="AH9" i="15"/>
  <c r="AG9" i="15"/>
  <c r="AF9" i="15"/>
  <c r="AE9" i="15"/>
  <c r="AD9" i="15"/>
  <c r="AC9" i="15"/>
  <c r="AB9" i="15"/>
  <c r="AA9" i="15"/>
  <c r="Z9" i="15"/>
  <c r="Y9" i="15"/>
  <c r="X9" i="15"/>
  <c r="W9" i="15"/>
  <c r="V9" i="15"/>
  <c r="U9" i="15"/>
  <c r="T9" i="15"/>
  <c r="S9" i="15"/>
  <c r="R9" i="15"/>
  <c r="P9" i="15"/>
  <c r="O9" i="15"/>
  <c r="N9" i="15"/>
  <c r="M9" i="15"/>
  <c r="L9" i="15"/>
  <c r="K9" i="15"/>
  <c r="J9" i="15"/>
  <c r="I9" i="15"/>
  <c r="H9" i="15"/>
  <c r="G9" i="15"/>
  <c r="F9" i="15"/>
  <c r="AR7" i="15"/>
  <c r="AQ7" i="15"/>
  <c r="AP7" i="15"/>
  <c r="AO7" i="15"/>
  <c r="AN7" i="15"/>
  <c r="AM7" i="15"/>
  <c r="AL7" i="15"/>
  <c r="AK7" i="15"/>
  <c r="AJ7" i="15"/>
  <c r="AI7" i="15"/>
  <c r="AH7" i="15"/>
  <c r="AG7" i="15"/>
  <c r="AF7" i="15"/>
  <c r="AE7" i="15"/>
  <c r="AD7" i="15"/>
  <c r="AC7" i="15"/>
  <c r="AB7" i="15"/>
  <c r="AA7" i="15"/>
  <c r="Z7" i="15"/>
  <c r="Y7" i="15"/>
  <c r="X7" i="15"/>
  <c r="W7" i="15"/>
  <c r="V7" i="15"/>
  <c r="U7" i="15"/>
  <c r="T7" i="15"/>
  <c r="S7" i="15"/>
  <c r="R7" i="15"/>
  <c r="P7" i="15"/>
  <c r="O7" i="15"/>
  <c r="N7" i="15"/>
  <c r="M7" i="15"/>
  <c r="L7" i="15"/>
  <c r="K7" i="15"/>
  <c r="J7" i="15"/>
  <c r="I7" i="15"/>
  <c r="H7" i="15"/>
  <c r="G7" i="15"/>
  <c r="F7" i="15"/>
  <c r="E7" i="15"/>
  <c r="D7" i="15"/>
  <c r="C7" i="15"/>
  <c r="B7" i="15"/>
  <c r="C232" i="68"/>
  <c r="B232" i="68"/>
  <c r="C228" i="68"/>
  <c r="B228" i="68"/>
  <c r="AA227" i="68"/>
  <c r="AL212" i="68"/>
  <c r="AK212" i="68"/>
  <c r="AJ212" i="68"/>
  <c r="E182" i="68"/>
  <c r="E183" i="68" s="1"/>
  <c r="E184" i="68" s="1"/>
  <c r="E185" i="68" s="1"/>
  <c r="W181" i="68"/>
  <c r="P179" i="68"/>
  <c r="W163" i="68"/>
  <c r="S158" i="68"/>
  <c r="W157" i="68"/>
  <c r="W142" i="68"/>
  <c r="E140" i="68"/>
  <c r="D140" i="68"/>
  <c r="C140" i="68"/>
  <c r="B140" i="68"/>
  <c r="J118" i="68"/>
  <c r="J119" i="68" s="1"/>
  <c r="J120" i="68" s="1"/>
  <c r="J121" i="68" s="1"/>
  <c r="I118" i="68"/>
  <c r="I119" i="68" s="1"/>
  <c r="I120" i="68" s="1"/>
  <c r="I121" i="68" s="1"/>
  <c r="H118" i="68"/>
  <c r="H119" i="68" s="1"/>
  <c r="H120" i="68" s="1"/>
  <c r="H121" i="68" s="1"/>
  <c r="G118" i="68"/>
  <c r="G119" i="68" s="1"/>
  <c r="G120" i="68" s="1"/>
  <c r="G121" i="68" s="1"/>
  <c r="F118" i="68"/>
  <c r="F119" i="68" s="1"/>
  <c r="F120" i="68" s="1"/>
  <c r="F121" i="68" s="1"/>
  <c r="E118" i="68"/>
  <c r="E119" i="68" s="1"/>
  <c r="E120" i="68" s="1"/>
  <c r="E121" i="68" s="1"/>
  <c r="D118" i="68"/>
  <c r="D119" i="68" s="1"/>
  <c r="D120" i="68" s="1"/>
  <c r="D121" i="68" s="1"/>
  <c r="Q116" i="68"/>
  <c r="P116" i="68"/>
  <c r="P113" i="68" s="1"/>
  <c r="Q115" i="68"/>
  <c r="P115" i="68"/>
  <c r="Q113" i="68"/>
  <c r="R114" i="68"/>
  <c r="S114" i="68" s="1"/>
  <c r="W112" i="68"/>
  <c r="G104" i="68"/>
  <c r="G105" i="68" s="1"/>
  <c r="G106" i="68" s="1"/>
  <c r="G107" i="68" s="1"/>
  <c r="F104" i="68"/>
  <c r="F105" i="68" s="1"/>
  <c r="F106" i="68" s="1"/>
  <c r="F107" i="68" s="1"/>
  <c r="E104" i="68"/>
  <c r="E105" i="68" s="1"/>
  <c r="E106" i="68" s="1"/>
  <c r="E107" i="68" s="1"/>
  <c r="G99" i="68"/>
  <c r="G100" i="68" s="1"/>
  <c r="G101" i="68" s="1"/>
  <c r="G102" i="68" s="1"/>
  <c r="F99" i="68"/>
  <c r="F100" i="68" s="1"/>
  <c r="F101" i="68" s="1"/>
  <c r="F102" i="68" s="1"/>
  <c r="E99" i="68"/>
  <c r="E100" i="68" s="1"/>
  <c r="E101" i="68" s="1"/>
  <c r="E102" i="68" s="1"/>
  <c r="W98" i="68"/>
  <c r="P88" i="68"/>
  <c r="N24" i="18" s="1"/>
  <c r="Q87" i="68"/>
  <c r="R87" i="68" s="1"/>
  <c r="S87" i="68" s="1"/>
  <c r="T87" i="68" s="1"/>
  <c r="U87" i="68" s="1"/>
  <c r="V87" i="68" s="1"/>
  <c r="W87" i="68" s="1"/>
  <c r="U23" i="18" s="1"/>
  <c r="W85" i="68"/>
  <c r="W78" i="68"/>
  <c r="V78" i="68"/>
  <c r="U78" i="68"/>
  <c r="T78" i="68"/>
  <c r="S78" i="68"/>
  <c r="R78" i="68"/>
  <c r="Q78" i="68"/>
  <c r="P78" i="68"/>
  <c r="W77" i="68"/>
  <c r="V77" i="68"/>
  <c r="U77" i="68"/>
  <c r="T77" i="68"/>
  <c r="S77" i="68"/>
  <c r="R77" i="68"/>
  <c r="Q77" i="68"/>
  <c r="P77" i="68"/>
  <c r="W75" i="68"/>
  <c r="U50" i="18" s="1"/>
  <c r="V75" i="68"/>
  <c r="T50" i="18" s="1"/>
  <c r="U75" i="68"/>
  <c r="S50" i="18" s="1"/>
  <c r="T75" i="68"/>
  <c r="R50" i="18" s="1"/>
  <c r="S75" i="68"/>
  <c r="Q50" i="18" s="1"/>
  <c r="R75" i="68"/>
  <c r="P50" i="18" s="1"/>
  <c r="Q75" i="68"/>
  <c r="O50" i="18" s="1"/>
  <c r="P75" i="68"/>
  <c r="N50" i="18" s="1"/>
  <c r="P68" i="68"/>
  <c r="P67" i="68"/>
  <c r="P65" i="68"/>
  <c r="N46" i="18" s="1"/>
  <c r="P63" i="68"/>
  <c r="N18" i="18"/>
  <c r="W58" i="68"/>
  <c r="V58" i="68"/>
  <c r="U58" i="68"/>
  <c r="T58" i="68"/>
  <c r="S58" i="68"/>
  <c r="R58" i="68"/>
  <c r="Q58" i="68"/>
  <c r="P58" i="68"/>
  <c r="W57" i="68"/>
  <c r="V57" i="68"/>
  <c r="U57" i="68"/>
  <c r="T57" i="68"/>
  <c r="S57" i="68"/>
  <c r="R57" i="68"/>
  <c r="Q57" i="68"/>
  <c r="P57" i="68"/>
  <c r="W55" i="68"/>
  <c r="U12" i="18" s="1"/>
  <c r="V55" i="68"/>
  <c r="T12" i="18" s="1"/>
  <c r="U55" i="68"/>
  <c r="S12" i="18" s="1"/>
  <c r="T55" i="68"/>
  <c r="R12" i="18" s="1"/>
  <c r="S55" i="68"/>
  <c r="Q12" i="18" s="1"/>
  <c r="R55" i="68"/>
  <c r="P12" i="18" s="1"/>
  <c r="Q55" i="68"/>
  <c r="O12" i="18" s="1"/>
  <c r="P55" i="68"/>
  <c r="N12" i="18" s="1"/>
  <c r="N9" i="18" s="1"/>
  <c r="N15" i="18" s="1"/>
  <c r="T14" i="60" s="1"/>
  <c r="T52" i="60" s="1"/>
  <c r="D55" i="68"/>
  <c r="D56" i="68" s="1"/>
  <c r="D57" i="68" s="1"/>
  <c r="D58" i="68" s="1"/>
  <c r="W49" i="68"/>
  <c r="P42" i="68"/>
  <c r="P39" i="68" s="1"/>
  <c r="N91" i="18" s="1"/>
  <c r="P41" i="68"/>
  <c r="Q40" i="68"/>
  <c r="Q42" i="68" s="1"/>
  <c r="V13" i="68"/>
  <c r="V49" i="68" s="1"/>
  <c r="A7" i="68"/>
  <c r="C41" i="90" l="1"/>
  <c r="C40" i="90" s="1"/>
  <c r="C47" i="90" s="1"/>
  <c r="C18" i="90" s="1"/>
  <c r="C12" i="90" s="1"/>
  <c r="F12" i="15"/>
  <c r="AD12" i="15"/>
  <c r="BM9" i="18"/>
  <c r="AQ10" i="18"/>
  <c r="AU10" i="18"/>
  <c r="AO11" i="18"/>
  <c r="AS11" i="18"/>
  <c r="AM49" i="18"/>
  <c r="AO49" i="18"/>
  <c r="AQ49" i="18"/>
  <c r="AU49" i="18"/>
  <c r="BC49" i="18"/>
  <c r="BJ49" i="18"/>
  <c r="AK155" i="18"/>
  <c r="AO155" i="18"/>
  <c r="AS155" i="18"/>
  <c r="BA155" i="18"/>
  <c r="AJ167" i="18"/>
  <c r="AL167" i="18"/>
  <c r="AN167" i="18"/>
  <c r="AP167" i="18"/>
  <c r="AR167" i="18"/>
  <c r="AT167" i="18"/>
  <c r="AV167" i="18"/>
  <c r="AQ178" i="18"/>
  <c r="AS178" i="18"/>
  <c r="AU178" i="18"/>
  <c r="AW178" i="18"/>
  <c r="BE185" i="18"/>
  <c r="F43" i="71"/>
  <c r="H67" i="71"/>
  <c r="C81" i="18" s="1"/>
  <c r="P67" i="71"/>
  <c r="K81" i="18" s="1"/>
  <c r="K70" i="71"/>
  <c r="F87" i="18" s="1"/>
  <c r="E43" i="71"/>
  <c r="G67" i="71"/>
  <c r="B81" i="18" s="1"/>
  <c r="K67" i="71"/>
  <c r="F81" i="18" s="1"/>
  <c r="O67" i="71"/>
  <c r="J81" i="18" s="1"/>
  <c r="I64" i="71"/>
  <c r="D120" i="18" s="1"/>
  <c r="J3" i="85"/>
  <c r="AG32" i="85"/>
  <c r="BC18" i="18" s="1"/>
  <c r="B62" i="85"/>
  <c r="D62" i="85"/>
  <c r="F62" i="85"/>
  <c r="H62" i="85"/>
  <c r="J62" i="85"/>
  <c r="L62" i="85"/>
  <c r="N62" i="85"/>
  <c r="P62" i="85"/>
  <c r="R62" i="85"/>
  <c r="T62" i="85"/>
  <c r="V62" i="85"/>
  <c r="X62" i="85"/>
  <c r="Z62" i="85"/>
  <c r="AB62" i="85"/>
  <c r="AI62" i="85"/>
  <c r="AK62" i="85"/>
  <c r="AM62" i="85"/>
  <c r="AO62" i="85"/>
  <c r="AQ62" i="85"/>
  <c r="S65" i="85"/>
  <c r="Y65" i="85"/>
  <c r="AA65" i="85"/>
  <c r="AC65" i="85"/>
  <c r="AE68" i="85"/>
  <c r="AG68" i="85"/>
  <c r="AI68" i="85"/>
  <c r="AM68" i="85"/>
  <c r="AO68" i="85"/>
  <c r="AQ68" i="85"/>
  <c r="AL73" i="85"/>
  <c r="R64" i="71"/>
  <c r="R48" i="71" s="1"/>
  <c r="F162" i="85"/>
  <c r="F166" i="85" s="1"/>
  <c r="F176" i="85" s="1"/>
  <c r="F182" i="85" s="1"/>
  <c r="N162" i="85"/>
  <c r="N166" i="85" s="1"/>
  <c r="AO176" i="85"/>
  <c r="AO182" i="85" s="1"/>
  <c r="H214" i="85"/>
  <c r="T214" i="85"/>
  <c r="AF214" i="85"/>
  <c r="D2" i="90"/>
  <c r="D51" i="90"/>
  <c r="D74" i="90"/>
  <c r="D10" i="90"/>
  <c r="C2" i="90"/>
  <c r="C74" i="90"/>
  <c r="C10" i="90"/>
  <c r="C51" i="90"/>
  <c r="C11" i="66"/>
  <c r="AX70" i="21"/>
  <c r="AX66" i="21"/>
  <c r="BJ70" i="21"/>
  <c r="BJ66" i="21"/>
  <c r="AS70" i="21"/>
  <c r="AS66" i="21"/>
  <c r="AW70" i="21"/>
  <c r="AW66" i="21"/>
  <c r="BA70" i="21"/>
  <c r="BA66" i="21"/>
  <c r="BE70" i="21"/>
  <c r="BE66" i="21"/>
  <c r="BI70" i="21"/>
  <c r="BI66" i="21"/>
  <c r="BM70" i="21"/>
  <c r="BM66" i="21"/>
  <c r="BQ70" i="21"/>
  <c r="BQ66" i="21"/>
  <c r="AT70" i="21"/>
  <c r="AT66" i="21"/>
  <c r="BF70" i="21"/>
  <c r="BF66" i="21"/>
  <c r="BR70" i="21"/>
  <c r="BR66" i="21"/>
  <c r="AU70" i="21"/>
  <c r="AU66" i="21"/>
  <c r="AY70" i="21"/>
  <c r="AY66" i="21"/>
  <c r="BC70" i="21"/>
  <c r="BC66" i="21"/>
  <c r="BG70" i="21"/>
  <c r="BG66" i="21"/>
  <c r="BK70" i="21"/>
  <c r="BK66" i="21"/>
  <c r="BO70" i="21"/>
  <c r="BO66" i="21"/>
  <c r="BS70" i="21"/>
  <c r="BS66" i="21"/>
  <c r="BB70" i="21"/>
  <c r="BB66" i="21"/>
  <c r="BN70" i="21"/>
  <c r="BN66" i="21"/>
  <c r="AR70" i="21"/>
  <c r="AR66" i="21"/>
  <c r="AV70" i="21"/>
  <c r="AV66" i="21"/>
  <c r="AZ70" i="21"/>
  <c r="AZ66" i="21"/>
  <c r="BD70" i="21"/>
  <c r="BD66" i="21"/>
  <c r="BH70" i="21"/>
  <c r="BH66" i="21"/>
  <c r="BL70" i="21"/>
  <c r="BL66" i="21"/>
  <c r="BP70" i="21"/>
  <c r="BP66" i="21"/>
  <c r="P175" i="18" a="1"/>
  <c r="T175" i="18" a="1"/>
  <c r="Q175" i="18" a="1"/>
  <c r="U175" i="18" a="1"/>
  <c r="R175" i="18" a="1"/>
  <c r="N175" i="18" a="1"/>
  <c r="O175" i="18" a="1"/>
  <c r="O175" i="18" s="1"/>
  <c r="S175" i="18" a="1"/>
  <c r="BA34" i="15"/>
  <c r="AZ34" i="15"/>
  <c r="AY34" i="15"/>
  <c r="AX34" i="15"/>
  <c r="B10" i="15"/>
  <c r="D10" i="15"/>
  <c r="H12" i="15"/>
  <c r="Y211" i="18"/>
  <c r="AA211" i="18"/>
  <c r="AC211" i="18"/>
  <c r="AE211" i="18"/>
  <c r="AG211" i="18"/>
  <c r="AK211" i="18"/>
  <c r="AN211" i="18"/>
  <c r="AP211" i="18"/>
  <c r="AR211" i="18"/>
  <c r="AV211" i="18"/>
  <c r="AX211" i="18"/>
  <c r="BB211" i="18"/>
  <c r="BD211" i="18"/>
  <c r="BF211" i="18"/>
  <c r="BH211" i="18"/>
  <c r="BJ211" i="18"/>
  <c r="BL211" i="18"/>
  <c r="BN211" i="18"/>
  <c r="AO75" i="15"/>
  <c r="AS8" i="15"/>
  <c r="G67" i="21"/>
  <c r="AI210" i="18"/>
  <c r="AI211" i="18" s="1"/>
  <c r="R67" i="21"/>
  <c r="AT210" i="18"/>
  <c r="AT211" i="18" s="1"/>
  <c r="X67" i="21"/>
  <c r="AZ210" i="18"/>
  <c r="AZ211" i="18" s="1"/>
  <c r="P175" i="18"/>
  <c r="T175" i="18"/>
  <c r="Q89" i="71"/>
  <c r="AW19" i="18"/>
  <c r="AZ19" i="18"/>
  <c r="BL119" i="18"/>
  <c r="AP88" i="85"/>
  <c r="BL118" i="18" s="1"/>
  <c r="O74" i="6"/>
  <c r="O138" i="68" s="1"/>
  <c r="P138" i="68" s="1"/>
  <c r="Q138" i="68" s="1"/>
  <c r="AS32" i="15"/>
  <c r="BL165" i="18"/>
  <c r="O52" i="6"/>
  <c r="R175" i="18"/>
  <c r="V7" i="61"/>
  <c r="C10" i="15"/>
  <c r="E10" i="15"/>
  <c r="AP8" i="15"/>
  <c r="AT8" i="15"/>
  <c r="X211" i="18"/>
  <c r="Z211" i="18"/>
  <c r="AB211" i="18"/>
  <c r="AD211" i="18"/>
  <c r="AF211" i="18"/>
  <c r="AH211" i="18"/>
  <c r="AJ211" i="18"/>
  <c r="J67" i="21"/>
  <c r="AL210" i="18"/>
  <c r="AL211" i="18" s="1"/>
  <c r="AO211" i="18"/>
  <c r="O67" i="21"/>
  <c r="AQ210" i="18"/>
  <c r="AQ211" i="18" s="1"/>
  <c r="AS211" i="18"/>
  <c r="AU211" i="18"/>
  <c r="AW211" i="18"/>
  <c r="AY211" i="18"/>
  <c r="BA211" i="18"/>
  <c r="BC211" i="18"/>
  <c r="AC67" i="21"/>
  <c r="BE210" i="18"/>
  <c r="BE211" i="18" s="1"/>
  <c r="BG211" i="18"/>
  <c r="BI211" i="18"/>
  <c r="BK211" i="18"/>
  <c r="AK67" i="21"/>
  <c r="BM210" i="18"/>
  <c r="BM211" i="18" s="1"/>
  <c r="AS104" i="15"/>
  <c r="D39" i="15"/>
  <c r="G39" i="15"/>
  <c r="I39" i="15"/>
  <c r="O39" i="15"/>
  <c r="T39" i="15"/>
  <c r="AM89" i="15"/>
  <c r="N175" i="18"/>
  <c r="P54" i="6" s="1"/>
  <c r="Q175" i="18"/>
  <c r="S175" i="18"/>
  <c r="U175" i="18"/>
  <c r="AA9" i="18"/>
  <c r="AI9" i="18"/>
  <c r="AQ9" i="18"/>
  <c r="AY9" i="18"/>
  <c r="BH9" i="18"/>
  <c r="BP214" i="18" s="1"/>
  <c r="AN218" i="68" s="1"/>
  <c r="BJ9" i="18"/>
  <c r="BL9" i="18"/>
  <c r="BB10" i="18"/>
  <c r="AZ11" i="18"/>
  <c r="BG15" i="18"/>
  <c r="BJ47" i="18"/>
  <c r="BB49" i="18"/>
  <c r="AF61" i="18"/>
  <c r="X117" i="18"/>
  <c r="AF117" i="18"/>
  <c r="AN117" i="18"/>
  <c r="AL178" i="18"/>
  <c r="AO32" i="85"/>
  <c r="BK18" i="18" s="1"/>
  <c r="BD19" i="18"/>
  <c r="D65" i="85"/>
  <c r="L65" i="85"/>
  <c r="AG65" i="85"/>
  <c r="AQ65" i="85"/>
  <c r="C68" i="85"/>
  <c r="G68" i="85"/>
  <c r="K68" i="85"/>
  <c r="Q68" i="85"/>
  <c r="S68" i="85"/>
  <c r="W68" i="85"/>
  <c r="Y68" i="85"/>
  <c r="AA68" i="85"/>
  <c r="BM119" i="18"/>
  <c r="AQ88" i="85"/>
  <c r="BM118" i="18" s="1"/>
  <c r="AT32" i="15"/>
  <c r="AT34" i="15" s="1"/>
  <c r="P74" i="6"/>
  <c r="AI239" i="85"/>
  <c r="C8" i="66"/>
  <c r="C14" i="66"/>
  <c r="BN171" i="18"/>
  <c r="C7" i="18"/>
  <c r="E50" i="68" s="1"/>
  <c r="E51" i="68" s="1"/>
  <c r="E52" i="68" s="1"/>
  <c r="E53" i="68" s="1"/>
  <c r="G7" i="18"/>
  <c r="I50" i="68" s="1"/>
  <c r="I51" i="68" s="1"/>
  <c r="I52" i="68" s="1"/>
  <c r="I53" i="68" s="1"/>
  <c r="K7" i="18"/>
  <c r="M50" i="68" s="1"/>
  <c r="M51" i="68" s="1"/>
  <c r="M52" i="68" s="1"/>
  <c r="M53" i="68" s="1"/>
  <c r="E7" i="18"/>
  <c r="G50" i="68" s="1"/>
  <c r="G51" i="68" s="1"/>
  <c r="G52" i="68" s="1"/>
  <c r="G53" i="68" s="1"/>
  <c r="I7" i="18"/>
  <c r="K50" i="68" s="1"/>
  <c r="K51" i="68" s="1"/>
  <c r="K52" i="68" s="1"/>
  <c r="K53" i="68" s="1"/>
  <c r="BF171" i="18"/>
  <c r="F7" i="18"/>
  <c r="H50" i="68" s="1"/>
  <c r="H51" i="68" s="1"/>
  <c r="H52" i="68" s="1"/>
  <c r="H53" i="68" s="1"/>
  <c r="J7" i="18"/>
  <c r="L50" i="68" s="1"/>
  <c r="L51" i="68" s="1"/>
  <c r="L52" i="68" s="1"/>
  <c r="L53" i="68" s="1"/>
  <c r="BE171" i="18"/>
  <c r="D7" i="18"/>
  <c r="F50" i="68" s="1"/>
  <c r="F51" i="68" s="1"/>
  <c r="F52" i="68" s="1"/>
  <c r="F53" i="68" s="1"/>
  <c r="H7" i="18"/>
  <c r="J50" i="68" s="1"/>
  <c r="J51" i="68" s="1"/>
  <c r="J52" i="68" s="1"/>
  <c r="J53" i="68" s="1"/>
  <c r="L7" i="18"/>
  <c r="N50" i="68" s="1"/>
  <c r="N51" i="68" s="1"/>
  <c r="N52" i="68" s="1"/>
  <c r="N53" i="68" s="1"/>
  <c r="M7" i="18"/>
  <c r="O50" i="68" s="1"/>
  <c r="O51" i="68" s="1"/>
  <c r="O52" i="68" s="1"/>
  <c r="O53" i="68" s="1"/>
  <c r="BH171" i="18"/>
  <c r="BL171" i="18"/>
  <c r="BD171" i="18"/>
  <c r="BG171" i="18"/>
  <c r="U205" i="18"/>
  <c r="R205" i="18"/>
  <c r="T205" i="18"/>
  <c r="G163" i="18"/>
  <c r="K163" i="18"/>
  <c r="I163" i="18"/>
  <c r="E149" i="18"/>
  <c r="E205" i="18"/>
  <c r="F149" i="18"/>
  <c r="F205" i="18"/>
  <c r="G149" i="18"/>
  <c r="G205" i="18"/>
  <c r="L149" i="18"/>
  <c r="L205" i="18"/>
  <c r="M149" i="18"/>
  <c r="M205" i="18"/>
  <c r="N149" i="18"/>
  <c r="N205" i="18"/>
  <c r="O149" i="18"/>
  <c r="O205" i="18"/>
  <c r="P149" i="18"/>
  <c r="P205" i="18"/>
  <c r="Q149" i="18"/>
  <c r="Q205" i="18"/>
  <c r="S149" i="18"/>
  <c r="S205" i="18"/>
  <c r="B122" i="18"/>
  <c r="B149" i="18"/>
  <c r="C122" i="18"/>
  <c r="C149" i="18"/>
  <c r="D63" i="18"/>
  <c r="D149" i="18"/>
  <c r="H122" i="18"/>
  <c r="H149" i="18"/>
  <c r="I122" i="18"/>
  <c r="I149" i="18"/>
  <c r="J122" i="18"/>
  <c r="J149" i="18"/>
  <c r="K63" i="18"/>
  <c r="K149" i="18"/>
  <c r="R63" i="18"/>
  <c r="R149" i="18"/>
  <c r="T103" i="18"/>
  <c r="T149" i="18"/>
  <c r="U122" i="18"/>
  <c r="U149" i="18"/>
  <c r="J163" i="18"/>
  <c r="H163" i="18"/>
  <c r="L163" i="18"/>
  <c r="M163" i="18"/>
  <c r="AJ35" i="18"/>
  <c r="AJ27" i="18" s="1"/>
  <c r="AQ50" i="18"/>
  <c r="B155" i="68"/>
  <c r="C155" i="68"/>
  <c r="D155" i="68"/>
  <c r="E155" i="68"/>
  <c r="F155" i="68"/>
  <c r="G155" i="68"/>
  <c r="H155" i="68"/>
  <c r="I155" i="68"/>
  <c r="J155" i="68"/>
  <c r="K155" i="68"/>
  <c r="L155" i="68"/>
  <c r="M155" i="68"/>
  <c r="N155" i="68"/>
  <c r="C49" i="90" s="1"/>
  <c r="O155" i="68"/>
  <c r="P155" i="68"/>
  <c r="Q155" i="68"/>
  <c r="R155" i="68"/>
  <c r="S155" i="68"/>
  <c r="W155" i="68"/>
  <c r="V149" i="68"/>
  <c r="T155" i="68"/>
  <c r="B149" i="68"/>
  <c r="C149" i="68"/>
  <c r="D149" i="68"/>
  <c r="E149" i="68"/>
  <c r="F149" i="68"/>
  <c r="G149" i="68"/>
  <c r="H149" i="68"/>
  <c r="I149" i="68"/>
  <c r="J149" i="68"/>
  <c r="K149" i="68"/>
  <c r="L149" i="68"/>
  <c r="M149" i="68"/>
  <c r="N149" i="68"/>
  <c r="O149" i="68"/>
  <c r="P149" i="68"/>
  <c r="Q149" i="68"/>
  <c r="R149" i="68"/>
  <c r="S149" i="68"/>
  <c r="W149" i="68"/>
  <c r="U155" i="68"/>
  <c r="T149" i="68"/>
  <c r="V155" i="68"/>
  <c r="U149" i="68"/>
  <c r="AA105" i="18"/>
  <c r="AA139" i="18" s="1"/>
  <c r="AI105" i="18"/>
  <c r="AI139" i="18" s="1"/>
  <c r="AQ105" i="18"/>
  <c r="AY105" i="18"/>
  <c r="BG105" i="18"/>
  <c r="AJ177" i="18"/>
  <c r="I117" i="18"/>
  <c r="I115" i="18" s="1"/>
  <c r="Z53" i="18"/>
  <c r="AD53" i="18"/>
  <c r="AD156" i="18" s="1"/>
  <c r="AH53" i="18"/>
  <c r="AL53" i="18"/>
  <c r="AL46" i="18" s="1"/>
  <c r="AP53" i="18"/>
  <c r="AT53" i="18"/>
  <c r="AT156" i="18" s="1"/>
  <c r="AX53" i="18"/>
  <c r="BC56" i="18"/>
  <c r="BC159" i="18" s="1"/>
  <c r="BI105" i="18"/>
  <c r="AI50" i="18"/>
  <c r="AB53" i="18"/>
  <c r="AB156" i="18" s="1"/>
  <c r="AJ53" i="18"/>
  <c r="AR53" i="18"/>
  <c r="AR156" i="18" s="1"/>
  <c r="AK35" i="18"/>
  <c r="AK26" i="18" s="1"/>
  <c r="AS35" i="18"/>
  <c r="AS27" i="18" s="1"/>
  <c r="BB53" i="18"/>
  <c r="BB156" i="18" s="1"/>
  <c r="BF53" i="18"/>
  <c r="BN53" i="18"/>
  <c r="BN156" i="18" s="1"/>
  <c r="J117" i="18"/>
  <c r="J115" i="18" s="1"/>
  <c r="AO22" i="18"/>
  <c r="AM50" i="18"/>
  <c r="BN50" i="18"/>
  <c r="AC105" i="18"/>
  <c r="AC139" i="18" s="1"/>
  <c r="AD105" i="18"/>
  <c r="AD139" i="18" s="1"/>
  <c r="AL105" i="18"/>
  <c r="AT105" i="18"/>
  <c r="BB105" i="18"/>
  <c r="BP220" i="18"/>
  <c r="AN224" i="68" s="1"/>
  <c r="BP223" i="18"/>
  <c r="AN227" i="68" s="1"/>
  <c r="BP227" i="18"/>
  <c r="AN231" i="68" s="1"/>
  <c r="AU50" i="18"/>
  <c r="BJ53" i="18"/>
  <c r="AE53" i="18"/>
  <c r="AE46" i="18" s="1"/>
  <c r="AI53" i="18"/>
  <c r="AI156" i="18" s="1"/>
  <c r="AM53" i="18"/>
  <c r="AM156" i="18" s="1"/>
  <c r="AU53" i="18"/>
  <c r="AU156" i="18" s="1"/>
  <c r="AY53" i="18"/>
  <c r="AY46" i="18" s="1"/>
  <c r="BH53" i="18"/>
  <c r="BH46" i="18" s="1"/>
  <c r="AE56" i="18"/>
  <c r="AU56" i="18"/>
  <c r="AU48" i="18" s="1"/>
  <c r="K117" i="18"/>
  <c r="BA177" i="18"/>
  <c r="AV56" i="18"/>
  <c r="AB105" i="18"/>
  <c r="AB139" i="18" s="1"/>
  <c r="AJ105" i="18"/>
  <c r="AJ139" i="18" s="1"/>
  <c r="AR105" i="18"/>
  <c r="AZ105" i="18"/>
  <c r="BP217" i="18"/>
  <c r="AN221" i="68" s="1"/>
  <c r="BP222" i="18"/>
  <c r="AN226" i="68" s="1"/>
  <c r="L117" i="18"/>
  <c r="K60" i="68"/>
  <c r="K61" i="68" s="1"/>
  <c r="Y22" i="18"/>
  <c r="AC22" i="18"/>
  <c r="AE22" i="18"/>
  <c r="AG22" i="18"/>
  <c r="AK22" i="18"/>
  <c r="AM22" i="18"/>
  <c r="AS22" i="18"/>
  <c r="J53" i="18"/>
  <c r="J46" i="18" s="1"/>
  <c r="L65" i="68" s="1"/>
  <c r="L66" i="68" s="1"/>
  <c r="L67" i="68" s="1"/>
  <c r="L68" i="68" s="1"/>
  <c r="AT36" i="18"/>
  <c r="AT35" i="18" s="1"/>
  <c r="I182" i="18"/>
  <c r="J103" i="18"/>
  <c r="V8" i="15"/>
  <c r="K162" i="21"/>
  <c r="BJ105" i="18"/>
  <c r="X22" i="18"/>
  <c r="Z22" i="18"/>
  <c r="AB22" i="18"/>
  <c r="AD22" i="18"/>
  <c r="AF22" i="18"/>
  <c r="AH22" i="18"/>
  <c r="AL22" i="18"/>
  <c r="AN22" i="18"/>
  <c r="AP22" i="18"/>
  <c r="AR22" i="18"/>
  <c r="AT22" i="18"/>
  <c r="AD36" i="18"/>
  <c r="AD35" i="18" s="1"/>
  <c r="AP36" i="18"/>
  <c r="AP35" i="18" s="1"/>
  <c r="AP27" i="18" s="1"/>
  <c r="BP228" i="18"/>
  <c r="AN232" i="68" s="1"/>
  <c r="C147" i="68"/>
  <c r="E147" i="68"/>
  <c r="G147" i="68"/>
  <c r="I147" i="68"/>
  <c r="K147" i="68"/>
  <c r="M147" i="68"/>
  <c r="O147" i="68"/>
  <c r="B147" i="68"/>
  <c r="D147" i="68"/>
  <c r="F147" i="68"/>
  <c r="H147" i="68"/>
  <c r="J147" i="68"/>
  <c r="L147" i="68"/>
  <c r="N147" i="68"/>
  <c r="Q88" i="68"/>
  <c r="R88" i="68" s="1"/>
  <c r="P24" i="18" s="1"/>
  <c r="P23" i="18"/>
  <c r="T23" i="18"/>
  <c r="BP231" i="18"/>
  <c r="AN235" i="68" s="1"/>
  <c r="F70" i="71"/>
  <c r="H70" i="71"/>
  <c r="C87" i="18" s="1"/>
  <c r="P70" i="71"/>
  <c r="K87" i="18" s="1"/>
  <c r="S30" i="85"/>
  <c r="AP32" i="85"/>
  <c r="BL18" i="18" s="1"/>
  <c r="AF32" i="85"/>
  <c r="BB18" i="18" s="1"/>
  <c r="Q39" i="68"/>
  <c r="O91" i="18" s="1"/>
  <c r="R40" i="68"/>
  <c r="R41" i="68" s="1"/>
  <c r="D60" i="68"/>
  <c r="D61" i="68" s="1"/>
  <c r="D62" i="68" s="1"/>
  <c r="D63" i="68" s="1"/>
  <c r="L60" i="68"/>
  <c r="L61" i="68" s="1"/>
  <c r="L62" i="68" s="1"/>
  <c r="L63" i="68" s="1"/>
  <c r="J10" i="15"/>
  <c r="L10" i="15"/>
  <c r="F6" i="21" s="1"/>
  <c r="F30" i="21" s="1"/>
  <c r="P10" i="15"/>
  <c r="U10" i="15"/>
  <c r="W10" i="15"/>
  <c r="AC10" i="15"/>
  <c r="AM10" i="15"/>
  <c r="AQ10" i="15"/>
  <c r="L12" i="15"/>
  <c r="Z12" i="15"/>
  <c r="B12" i="15"/>
  <c r="X123" i="18" s="1"/>
  <c r="Y199" i="18"/>
  <c r="AG199" i="18"/>
  <c r="BE199" i="18"/>
  <c r="AI73" i="15"/>
  <c r="AI75" i="15" s="1"/>
  <c r="AL79" i="15"/>
  <c r="AN79" i="15"/>
  <c r="AN80" i="15" s="1"/>
  <c r="AF32" i="21"/>
  <c r="AH32" i="21"/>
  <c r="W37" i="21"/>
  <c r="AA37" i="21"/>
  <c r="AA43" i="21" s="1"/>
  <c r="AA45" i="21" s="1"/>
  <c r="AE37" i="21"/>
  <c r="AE43" i="21" s="1"/>
  <c r="AG37" i="21"/>
  <c r="AG43" i="21" s="1"/>
  <c r="AI37" i="21"/>
  <c r="AI43" i="21" s="1"/>
  <c r="AI45" i="21" s="1"/>
  <c r="M111" i="21"/>
  <c r="N111" i="21" s="1"/>
  <c r="N120" i="21" s="1"/>
  <c r="P116" i="21"/>
  <c r="P125" i="21" s="1"/>
  <c r="E164" i="21"/>
  <c r="E166" i="21" s="1"/>
  <c r="Y9" i="18"/>
  <c r="AC9" i="18"/>
  <c r="AB214" i="18" s="1"/>
  <c r="AG9" i="18"/>
  <c r="AK9" i="18"/>
  <c r="AO9" i="18"/>
  <c r="AS9" i="18"/>
  <c r="AW9" i="18"/>
  <c r="BB9" i="18"/>
  <c r="BF9" i="18"/>
  <c r="AP10" i="18"/>
  <c r="AR10" i="18"/>
  <c r="AT10" i="18"/>
  <c r="AV10" i="18"/>
  <c r="AZ10" i="18"/>
  <c r="BD10" i="18"/>
  <c r="AN11" i="18"/>
  <c r="AP11" i="18"/>
  <c r="AR11" i="18"/>
  <c r="AT11" i="18"/>
  <c r="AX11" i="18"/>
  <c r="BB11" i="18"/>
  <c r="BL11" i="18"/>
  <c r="R23" i="18"/>
  <c r="J36" i="18"/>
  <c r="J35" i="18" s="1"/>
  <c r="J27" i="18" s="1"/>
  <c r="L91" i="68" s="1"/>
  <c r="AE39" i="18"/>
  <c r="AE38" i="18" s="1"/>
  <c r="AE30" i="18" s="1"/>
  <c r="AU39" i="18"/>
  <c r="AU38" i="18" s="1"/>
  <c r="BM45" i="18"/>
  <c r="AW49" i="18"/>
  <c r="BD49" i="18"/>
  <c r="BH49" i="18"/>
  <c r="BH50" i="18" s="1"/>
  <c r="BL49" i="18"/>
  <c r="G53" i="18"/>
  <c r="G156" i="18" s="1"/>
  <c r="H80" i="68"/>
  <c r="H81" i="68" s="1"/>
  <c r="H82" i="68" s="1"/>
  <c r="H83" i="68" s="1"/>
  <c r="L80" i="68"/>
  <c r="L81" i="68" s="1"/>
  <c r="L82" i="68" s="1"/>
  <c r="L83" i="68" s="1"/>
  <c r="AS53" i="18"/>
  <c r="AS156" i="18" s="1"/>
  <c r="J63" i="18"/>
  <c r="BP216" i="18"/>
  <c r="AN220" i="68" s="1"/>
  <c r="BP219" i="18"/>
  <c r="AN223" i="68" s="1"/>
  <c r="BP221" i="18"/>
  <c r="AN225" i="68" s="1"/>
  <c r="BP224" i="18"/>
  <c r="AN228" i="68" s="1"/>
  <c r="AZ115" i="18"/>
  <c r="BP226" i="18"/>
  <c r="AN230" i="68" s="1"/>
  <c r="Z117" i="18"/>
  <c r="Z115" i="18" s="1"/>
  <c r="Z141" i="18" s="1"/>
  <c r="AD117" i="18"/>
  <c r="AD115" i="18" s="1"/>
  <c r="AH117" i="18"/>
  <c r="AL117" i="18"/>
  <c r="AL115" i="18" s="1"/>
  <c r="AP117" i="18"/>
  <c r="AP115" i="18" s="1"/>
  <c r="AT117" i="18"/>
  <c r="AT115" i="18" s="1"/>
  <c r="AL155" i="18"/>
  <c r="AN155" i="18"/>
  <c r="AP155" i="18"/>
  <c r="AV155" i="18"/>
  <c r="AX155" i="18"/>
  <c r="BP230" i="18"/>
  <c r="AN234" i="68" s="1"/>
  <c r="BP232" i="18"/>
  <c r="AN236" i="68" s="1"/>
  <c r="BA184" i="18"/>
  <c r="BA182" i="18" s="1"/>
  <c r="BE184" i="18"/>
  <c r="BE182" i="18" s="1"/>
  <c r="P64" i="71"/>
  <c r="K120" i="18" s="1"/>
  <c r="C106" i="71"/>
  <c r="C116" i="71" s="1"/>
  <c r="O145" i="71"/>
  <c r="E205" i="71"/>
  <c r="G205" i="71"/>
  <c r="J32" i="85"/>
  <c r="AF18" i="18" s="1"/>
  <c r="N32" i="85"/>
  <c r="AJ18" i="18" s="1"/>
  <c r="AC31" i="85"/>
  <c r="AF31" i="85"/>
  <c r="W32" i="85"/>
  <c r="AS18" i="18" s="1"/>
  <c r="AO138" i="85"/>
  <c r="C162" i="85"/>
  <c r="C166" i="85" s="1"/>
  <c r="K162" i="85"/>
  <c r="K166" i="85" s="1"/>
  <c r="X176" i="85"/>
  <c r="X182" i="85" s="1"/>
  <c r="AT35" i="15"/>
  <c r="AT37" i="15" s="1"/>
  <c r="AT119" i="15" s="1"/>
  <c r="C214" i="85"/>
  <c r="J214" i="85"/>
  <c r="AQ214" i="85"/>
  <c r="AV214" i="85"/>
  <c r="D239" i="85"/>
  <c r="W241" i="85"/>
  <c r="W100" i="15" s="1"/>
  <c r="C6" i="66"/>
  <c r="C10" i="66"/>
  <c r="C13" i="66"/>
  <c r="O10" i="15"/>
  <c r="S12" i="15"/>
  <c r="B17" i="15"/>
  <c r="B16" i="15" s="1"/>
  <c r="D17" i="15"/>
  <c r="D16" i="15" s="1"/>
  <c r="AB150" i="18"/>
  <c r="L17" i="15"/>
  <c r="L16" i="15" s="1"/>
  <c r="N17" i="15"/>
  <c r="T17" i="15"/>
  <c r="T16" i="15" s="1"/>
  <c r="AB17" i="15"/>
  <c r="AB16" i="15" s="1"/>
  <c r="AH17" i="15"/>
  <c r="AH16" i="15" s="1"/>
  <c r="AJ17" i="15"/>
  <c r="AL17" i="15"/>
  <c r="AP17" i="15"/>
  <c r="AR17" i="15"/>
  <c r="AR16" i="15" s="1"/>
  <c r="AA150" i="18"/>
  <c r="AC150" i="18"/>
  <c r="AS150" i="18"/>
  <c r="AO17" i="15"/>
  <c r="AO16" i="15" s="1"/>
  <c r="AQ17" i="15"/>
  <c r="O53" i="6"/>
  <c r="M174" i="18" s="1"/>
  <c r="N174" i="18" s="1"/>
  <c r="AB36" i="18"/>
  <c r="AB35" i="18" s="1"/>
  <c r="AB27" i="18" s="1"/>
  <c r="AH36" i="18"/>
  <c r="AH35" i="18" s="1"/>
  <c r="AH26" i="18" s="1"/>
  <c r="AL36" i="18"/>
  <c r="AR36" i="18"/>
  <c r="AR35" i="18" s="1"/>
  <c r="AR26" i="18" s="1"/>
  <c r="BC39" i="18"/>
  <c r="BC38" i="18" s="1"/>
  <c r="BC31" i="18" s="1"/>
  <c r="BB38" i="18"/>
  <c r="BB32" i="18" s="1"/>
  <c r="AP50" i="18"/>
  <c r="BL108" i="18"/>
  <c r="BL140" i="18" s="1"/>
  <c r="BO231" i="18"/>
  <c r="BM177" i="18"/>
  <c r="BM237" i="18" s="1"/>
  <c r="AL153" i="85"/>
  <c r="G10" i="15"/>
  <c r="K10" i="15"/>
  <c r="M10" i="15"/>
  <c r="R10" i="15"/>
  <c r="R13" i="15" s="1"/>
  <c r="R15" i="15" s="1"/>
  <c r="T10" i="15"/>
  <c r="AJ10" i="15"/>
  <c r="AD6" i="21" s="1"/>
  <c r="AN10" i="15"/>
  <c r="AP10" i="15"/>
  <c r="AT11" i="15" s="1"/>
  <c r="AF12" i="15"/>
  <c r="W17" i="15"/>
  <c r="K39" i="15"/>
  <c r="Q39" i="15"/>
  <c r="AA36" i="18"/>
  <c r="AA35" i="18" s="1"/>
  <c r="AA27" i="18" s="1"/>
  <c r="AA53" i="18"/>
  <c r="AQ36" i="18"/>
  <c r="AQ35" i="18" s="1"/>
  <c r="AQ53" i="18"/>
  <c r="AW36" i="18"/>
  <c r="AW35" i="18" s="1"/>
  <c r="AW26" i="18" s="1"/>
  <c r="AW53" i="18"/>
  <c r="AY47" i="18"/>
  <c r="O76" i="6"/>
  <c r="O79" i="6"/>
  <c r="O140" i="68" s="1"/>
  <c r="AC42" i="15"/>
  <c r="AG42" i="15"/>
  <c r="AN42" i="15"/>
  <c r="D99" i="15"/>
  <c r="I63" i="15"/>
  <c r="O99" i="15"/>
  <c r="Q63" i="15"/>
  <c r="W99" i="15"/>
  <c r="Y63" i="15"/>
  <c r="AE63" i="15"/>
  <c r="AG63" i="15"/>
  <c r="AO63" i="15"/>
  <c r="F63" i="15"/>
  <c r="V63" i="15"/>
  <c r="C80" i="15"/>
  <c r="G80" i="15"/>
  <c r="K80" i="15"/>
  <c r="O80" i="15"/>
  <c r="W80" i="15"/>
  <c r="AE80" i="15"/>
  <c r="B80" i="15"/>
  <c r="J80" i="15"/>
  <c r="X80" i="15"/>
  <c r="Z80" i="15"/>
  <c r="AB80" i="15"/>
  <c r="I107" i="15"/>
  <c r="J107" i="15"/>
  <c r="R107" i="15"/>
  <c r="Z107" i="15"/>
  <c r="AH107" i="15"/>
  <c r="AP107" i="15"/>
  <c r="B89" i="15"/>
  <c r="L105" i="15"/>
  <c r="AD105" i="15"/>
  <c r="K106" i="15"/>
  <c r="AE36" i="18"/>
  <c r="AI36" i="18"/>
  <c r="AI35" i="18" s="1"/>
  <c r="AI27" i="18" s="1"/>
  <c r="AY36" i="18"/>
  <c r="AY35" i="18" s="1"/>
  <c r="AY26" i="18" s="1"/>
  <c r="BB36" i="18"/>
  <c r="BB35" i="18" s="1"/>
  <c r="BB26" i="18" s="1"/>
  <c r="BF36" i="18"/>
  <c r="BF35" i="18" s="1"/>
  <c r="BF26" i="18" s="1"/>
  <c r="BH36" i="18"/>
  <c r="AL38" i="18"/>
  <c r="AL32" i="18" s="1"/>
  <c r="AK53" i="18"/>
  <c r="AK156" i="18" s="1"/>
  <c r="AF98" i="18"/>
  <c r="AH98" i="18"/>
  <c r="AL98" i="18"/>
  <c r="AP98" i="18"/>
  <c r="AT98" i="18"/>
  <c r="AV98" i="18"/>
  <c r="AX98" i="18"/>
  <c r="AY92" i="18"/>
  <c r="BB98" i="18"/>
  <c r="BD98" i="18"/>
  <c r="BF98" i="18"/>
  <c r="BJ98" i="18"/>
  <c r="BN98" i="18"/>
  <c r="Y108" i="18"/>
  <c r="Y140" i="18" s="1"/>
  <c r="X108" i="18"/>
  <c r="X140" i="18" s="1"/>
  <c r="AD88" i="18"/>
  <c r="AF108" i="18"/>
  <c r="AF140" i="18" s="1"/>
  <c r="AH88" i="18"/>
  <c r="AT88" i="18"/>
  <c r="AV108" i="18"/>
  <c r="AV189" i="18" s="1"/>
  <c r="AX88" i="18"/>
  <c r="BD108" i="18"/>
  <c r="BD189" i="18" s="1"/>
  <c r="BO220" i="18"/>
  <c r="BO222" i="18"/>
  <c r="BM98" i="18"/>
  <c r="V16" i="61" s="1"/>
  <c r="BO223" i="18"/>
  <c r="BB115" i="18"/>
  <c r="BN115" i="18"/>
  <c r="BN162" i="18" s="1"/>
  <c r="BI115" i="18"/>
  <c r="BI195" i="18" s="1"/>
  <c r="BO228" i="18"/>
  <c r="BL182" i="18"/>
  <c r="Q30" i="85"/>
  <c r="AA30" i="85"/>
  <c r="AN31" i="85"/>
  <c r="G32" i="85"/>
  <c r="AC18" i="18" s="1"/>
  <c r="AH50" i="18"/>
  <c r="E32" i="85"/>
  <c r="AA18" i="18" s="1"/>
  <c r="K32" i="85"/>
  <c r="AG18" i="18" s="1"/>
  <c r="M32" i="85"/>
  <c r="AI18" i="18" s="1"/>
  <c r="O32" i="85"/>
  <c r="AK18" i="18" s="1"/>
  <c r="S32" i="85"/>
  <c r="AO18" i="18" s="1"/>
  <c r="U32" i="85"/>
  <c r="AQ18" i="18" s="1"/>
  <c r="AO47" i="85"/>
  <c r="AE62" i="85"/>
  <c r="AG62" i="85"/>
  <c r="C65" i="85"/>
  <c r="E65" i="85"/>
  <c r="G65" i="85"/>
  <c r="I65" i="85"/>
  <c r="K65" i="85"/>
  <c r="M65" i="85"/>
  <c r="O65" i="85"/>
  <c r="Q65" i="85"/>
  <c r="W65" i="85"/>
  <c r="AF65" i="85"/>
  <c r="AH65" i="85"/>
  <c r="AJ65" i="85"/>
  <c r="AL65" i="85"/>
  <c r="AN65" i="85"/>
  <c r="AP65" i="85"/>
  <c r="B68" i="85"/>
  <c r="F68" i="85"/>
  <c r="H68" i="85"/>
  <c r="J68" i="85"/>
  <c r="N68" i="85"/>
  <c r="R68" i="85"/>
  <c r="V68" i="85"/>
  <c r="X68" i="85"/>
  <c r="Z68" i="85"/>
  <c r="AK65" i="85"/>
  <c r="AO65" i="85"/>
  <c r="AD73" i="85"/>
  <c r="AD153" i="85" s="1"/>
  <c r="H64" i="71"/>
  <c r="C120" i="18" s="1"/>
  <c r="M64" i="71"/>
  <c r="H120" i="18" s="1"/>
  <c r="Q64" i="71"/>
  <c r="L120" i="18" s="1"/>
  <c r="AS97" i="85"/>
  <c r="BO126" i="18" s="1"/>
  <c r="BO129" i="18" s="1"/>
  <c r="BO141" i="18" s="1"/>
  <c r="BO138" i="18" s="1"/>
  <c r="AK118" i="85"/>
  <c r="BO161" i="18"/>
  <c r="BO162" i="18" s="1"/>
  <c r="AS118" i="85"/>
  <c r="Q133" i="85"/>
  <c r="Q185" i="85" s="1"/>
  <c r="AI138" i="85"/>
  <c r="N176" i="85"/>
  <c r="N182" i="85" s="1"/>
  <c r="AK176" i="85"/>
  <c r="AK182" i="85" s="1"/>
  <c r="P214" i="85"/>
  <c r="AG214" i="85"/>
  <c r="AJ214" i="85"/>
  <c r="AO214" i="85"/>
  <c r="V214" i="85"/>
  <c r="Y214" i="85"/>
  <c r="AA214" i="85"/>
  <c r="AD214" i="85"/>
  <c r="AH214" i="85"/>
  <c r="AL214" i="85"/>
  <c r="AN214" i="85"/>
  <c r="AP214" i="85"/>
  <c r="D214" i="85"/>
  <c r="D240" i="85" s="1"/>
  <c r="V239" i="85"/>
  <c r="AP239" i="85"/>
  <c r="AT239" i="85"/>
  <c r="AX239" i="85"/>
  <c r="P239" i="85"/>
  <c r="AB216" i="85"/>
  <c r="P241" i="85"/>
  <c r="P100" i="15" s="1"/>
  <c r="AB241" i="85"/>
  <c r="AB100" i="15" s="1"/>
  <c r="AD241" i="85"/>
  <c r="AD100" i="15" s="1"/>
  <c r="AF241" i="85"/>
  <c r="AF100" i="15" s="1"/>
  <c r="AJ241" i="85"/>
  <c r="AJ100" i="15" s="1"/>
  <c r="AL241" i="85"/>
  <c r="AL100" i="15" s="1"/>
  <c r="AN241" i="85"/>
  <c r="AN100" i="15" s="1"/>
  <c r="AR241" i="85"/>
  <c r="AR100" i="15" s="1"/>
  <c r="T77" i="85"/>
  <c r="T65" i="85" s="1"/>
  <c r="X77" i="85"/>
  <c r="X65" i="85" s="1"/>
  <c r="AP123" i="85"/>
  <c r="AS126" i="85"/>
  <c r="BO180" i="18"/>
  <c r="BO232" i="18" s="1"/>
  <c r="AS133" i="85"/>
  <c r="AS185" i="85" s="1"/>
  <c r="C176" i="85"/>
  <c r="C182" i="85" s="1"/>
  <c r="P168" i="85"/>
  <c r="AD168" i="85"/>
  <c r="F248" i="85"/>
  <c r="F241" i="85" s="1"/>
  <c r="F100" i="15" s="1"/>
  <c r="F101" i="15" s="1"/>
  <c r="K176" i="85"/>
  <c r="K182" i="85" s="1"/>
  <c r="AF162" i="85"/>
  <c r="AF166" i="85" s="1"/>
  <c r="AF176" i="85" s="1"/>
  <c r="AF182" i="85" s="1"/>
  <c r="AP162" i="85"/>
  <c r="AP166" i="85" s="1"/>
  <c r="AP176" i="85" s="1"/>
  <c r="AP182" i="85" s="1"/>
  <c r="AU176" i="85"/>
  <c r="AU182" i="85" s="1"/>
  <c r="AY176" i="85"/>
  <c r="AY182" i="85" s="1"/>
  <c r="L168" i="85"/>
  <c r="Q192" i="85"/>
  <c r="AK214" i="85"/>
  <c r="E194" i="85"/>
  <c r="E214" i="85" s="1"/>
  <c r="AY239" i="85"/>
  <c r="AY240" i="85" s="1"/>
  <c r="BA239" i="85"/>
  <c r="BA240" i="85" s="1"/>
  <c r="N216" i="85"/>
  <c r="N239" i="85" s="1"/>
  <c r="Q239" i="85"/>
  <c r="AO239" i="85"/>
  <c r="AE231" i="85"/>
  <c r="AE239" i="85" s="1"/>
  <c r="AL231" i="85"/>
  <c r="AD231" i="85"/>
  <c r="AD239" i="85" s="1"/>
  <c r="B248" i="85"/>
  <c r="O248" i="85"/>
  <c r="I39" i="21" s="1"/>
  <c r="Y248" i="85"/>
  <c r="S39" i="21" s="1"/>
  <c r="S43" i="21" s="1"/>
  <c r="E248" i="85"/>
  <c r="E241" i="85" s="1"/>
  <c r="E100" i="15" s="1"/>
  <c r="I248" i="85"/>
  <c r="N248" i="85"/>
  <c r="H39" i="21" s="1"/>
  <c r="H43" i="21" s="1"/>
  <c r="H45" i="21" s="1"/>
  <c r="AA248" i="85"/>
  <c r="U39" i="21" s="1"/>
  <c r="U43" i="21" s="1"/>
  <c r="U45" i="21" s="1"/>
  <c r="AK165" i="18"/>
  <c r="AK150" i="18" s="1"/>
  <c r="O17" i="15"/>
  <c r="Z8" i="15"/>
  <c r="AH8" i="15"/>
  <c r="AJ23" i="15"/>
  <c r="AL8" i="15"/>
  <c r="J17" i="15"/>
  <c r="J16" i="15" s="1"/>
  <c r="AI17" i="15"/>
  <c r="AI16" i="15" s="1"/>
  <c r="AB123" i="18"/>
  <c r="AJ123" i="18"/>
  <c r="AJ129" i="18" s="1"/>
  <c r="Y165" i="18"/>
  <c r="Y150" i="18" s="1"/>
  <c r="C17" i="15"/>
  <c r="C16" i="15" s="1"/>
  <c r="BA165" i="18"/>
  <c r="BA150" i="18" s="1"/>
  <c r="AE17" i="15"/>
  <c r="M165" i="18"/>
  <c r="D25" i="90" s="1"/>
  <c r="D23" i="90" s="1"/>
  <c r="D31" i="90" s="1"/>
  <c r="D36" i="90" s="1"/>
  <c r="AM17" i="15"/>
  <c r="AM57" i="15"/>
  <c r="E39" i="15"/>
  <c r="H39" i="15"/>
  <c r="P39" i="15"/>
  <c r="R39" i="15"/>
  <c r="J72" i="21"/>
  <c r="Y72" i="21"/>
  <c r="AC72" i="21"/>
  <c r="AG72" i="21"/>
  <c r="AK72" i="21"/>
  <c r="AM56" i="18"/>
  <c r="AM159" i="18" s="1"/>
  <c r="AE88" i="18"/>
  <c r="AM88" i="18"/>
  <c r="BK88" i="18"/>
  <c r="BJ88" i="18"/>
  <c r="BN88" i="18"/>
  <c r="BB92" i="18"/>
  <c r="AM98" i="18"/>
  <c r="AU98" i="18"/>
  <c r="BI177" i="18"/>
  <c r="AJ197" i="18"/>
  <c r="AJ199" i="18" s="1"/>
  <c r="BG207" i="18"/>
  <c r="AR8" i="15"/>
  <c r="AR10" i="15"/>
  <c r="X19" i="61" s="1"/>
  <c r="J95" i="15"/>
  <c r="AF197" i="18"/>
  <c r="AF199" i="18" s="1"/>
  <c r="X95" i="15"/>
  <c r="AT197" i="18"/>
  <c r="AT199" i="18" s="1"/>
  <c r="D72" i="21"/>
  <c r="AF207" i="18"/>
  <c r="Y67" i="21"/>
  <c r="AG67" i="21"/>
  <c r="D42" i="15"/>
  <c r="H42" i="15"/>
  <c r="J42" i="15"/>
  <c r="L42" i="15"/>
  <c r="N42" i="15"/>
  <c r="P42" i="15"/>
  <c r="S42" i="15"/>
  <c r="X42" i="15"/>
  <c r="Z42" i="15"/>
  <c r="AA42" i="15"/>
  <c r="AD42" i="15"/>
  <c r="AF42" i="15"/>
  <c r="AH42" i="15"/>
  <c r="AM42" i="15"/>
  <c r="B57" i="15"/>
  <c r="D57" i="15"/>
  <c r="F57" i="15"/>
  <c r="L57" i="15"/>
  <c r="T57" i="15"/>
  <c r="AB57" i="15"/>
  <c r="AS101" i="15"/>
  <c r="AS98" i="15" s="1"/>
  <c r="AE57" i="15"/>
  <c r="Q99" i="15"/>
  <c r="E75" i="15"/>
  <c r="K75" i="15"/>
  <c r="AA75" i="15"/>
  <c r="AH80" i="15"/>
  <c r="L21" i="21"/>
  <c r="Q72" i="21"/>
  <c r="AA72" i="21"/>
  <c r="AI72" i="21"/>
  <c r="BN22" i="18"/>
  <c r="BG53" i="18"/>
  <c r="BM53" i="18"/>
  <c r="V9" i="61" s="1"/>
  <c r="AU88" i="18"/>
  <c r="AB197" i="18"/>
  <c r="AB199" i="18" s="1"/>
  <c r="AZ197" i="18"/>
  <c r="AZ199" i="18" s="1"/>
  <c r="AH38" i="18"/>
  <c r="AH32" i="18" s="1"/>
  <c r="AG50" i="18"/>
  <c r="BA98" i="18"/>
  <c r="BC98" i="18"/>
  <c r="BE98" i="18"/>
  <c r="BG98" i="18"/>
  <c r="BK98" i="18"/>
  <c r="AY115" i="18"/>
  <c r="BA115" i="18"/>
  <c r="BA195" i="18" s="1"/>
  <c r="AN115" i="18"/>
  <c r="AN162" i="18" s="1"/>
  <c r="AR115" i="18"/>
  <c r="AV227" i="18"/>
  <c r="T231" i="68" s="1"/>
  <c r="AZ227" i="18"/>
  <c r="X231" i="68" s="1"/>
  <c r="BD115" i="18"/>
  <c r="BL115" i="18"/>
  <c r="BL190" i="18" s="1"/>
  <c r="AR177" i="18"/>
  <c r="AZ182" i="18"/>
  <c r="BI22" i="18"/>
  <c r="BK230" i="18"/>
  <c r="AI234" i="68" s="1"/>
  <c r="BC230" i="18"/>
  <c r="AA234" i="68" s="1"/>
  <c r="Z43" i="21"/>
  <c r="Z45" i="21" s="1"/>
  <c r="AH43" i="21"/>
  <c r="AH45" i="21" s="1"/>
  <c r="AP42" i="15"/>
  <c r="L23" i="15"/>
  <c r="X59" i="21"/>
  <c r="X61" i="21" s="1"/>
  <c r="AD59" i="21"/>
  <c r="AD60" i="21" s="1"/>
  <c r="AF59" i="21"/>
  <c r="AF60" i="21" s="1"/>
  <c r="BJ35" i="18"/>
  <c r="BJ26" i="18" s="1"/>
  <c r="L6" i="21"/>
  <c r="L33" i="21" s="1"/>
  <c r="V19" i="61"/>
  <c r="O59" i="21"/>
  <c r="O60" i="21" s="1"/>
  <c r="I15" i="21"/>
  <c r="V112" i="68"/>
  <c r="Q179" i="68"/>
  <c r="R179" i="68" s="1"/>
  <c r="S179" i="68" s="1"/>
  <c r="F8" i="15"/>
  <c r="AA8" i="15"/>
  <c r="AG8" i="15"/>
  <c r="L8" i="15"/>
  <c r="AE10" i="15"/>
  <c r="AE23" i="15" s="1"/>
  <c r="AK10" i="15"/>
  <c r="O13" i="15"/>
  <c r="O15" i="15" s="1"/>
  <c r="AC123" i="18"/>
  <c r="AK123" i="18"/>
  <c r="P7" i="21"/>
  <c r="P21" i="21" s="1"/>
  <c r="AX123" i="18"/>
  <c r="AX129" i="18" s="1"/>
  <c r="BF123" i="18"/>
  <c r="BF129" i="18" s="1"/>
  <c r="BH123" i="18"/>
  <c r="BL123" i="18"/>
  <c r="BL129" i="18" s="1"/>
  <c r="AA123" i="18"/>
  <c r="AC17" i="15"/>
  <c r="AY165" i="18"/>
  <c r="AY150" i="18" s="1"/>
  <c r="AQ16" i="15"/>
  <c r="C116" i="15"/>
  <c r="Y177" i="18"/>
  <c r="G116" i="15"/>
  <c r="AC177" i="18"/>
  <c r="I116" i="15"/>
  <c r="AE177" i="18"/>
  <c r="K116" i="15"/>
  <c r="AG177" i="18"/>
  <c r="M116" i="15"/>
  <c r="AI177" i="18"/>
  <c r="O116" i="15"/>
  <c r="S116" i="15"/>
  <c r="W116" i="15"/>
  <c r="AA116" i="15"/>
  <c r="AE116" i="15"/>
  <c r="AG116" i="15"/>
  <c r="AI116" i="15"/>
  <c r="AM116" i="15"/>
  <c r="AO116" i="15"/>
  <c r="AQ116" i="15"/>
  <c r="E95" i="15"/>
  <c r="AA197" i="18"/>
  <c r="Z200" i="18" s="1"/>
  <c r="G95" i="15"/>
  <c r="AC197" i="18"/>
  <c r="AC199" i="18" s="1"/>
  <c r="M95" i="15"/>
  <c r="AI197" i="18"/>
  <c r="AI199" i="18" s="1"/>
  <c r="W95" i="15"/>
  <c r="AS197" i="18"/>
  <c r="AS199" i="18" s="1"/>
  <c r="AC95" i="15"/>
  <c r="AC101" i="15" s="1"/>
  <c r="AY197" i="18"/>
  <c r="AY199" i="18" s="1"/>
  <c r="AE95" i="15"/>
  <c r="BA197" i="18"/>
  <c r="BA199" i="18" s="1"/>
  <c r="AP95" i="15"/>
  <c r="O67" i="6"/>
  <c r="M197" i="18" s="1"/>
  <c r="C42" i="15"/>
  <c r="K42" i="15"/>
  <c r="O42" i="15"/>
  <c r="AE42" i="15"/>
  <c r="AR57" i="15"/>
  <c r="F104" i="15"/>
  <c r="H56" i="21"/>
  <c r="I53" i="21" s="1"/>
  <c r="L56" i="21"/>
  <c r="L63" i="21" s="1"/>
  <c r="N56" i="21"/>
  <c r="O53" i="21" s="1"/>
  <c r="P56" i="21"/>
  <c r="P57" i="21" s="1"/>
  <c r="X104" i="15"/>
  <c r="T56" i="21"/>
  <c r="T57" i="21" s="1"/>
  <c r="V56" i="21"/>
  <c r="M80" i="15"/>
  <c r="K89" i="15"/>
  <c r="I6" i="21"/>
  <c r="I30" i="21" s="1"/>
  <c r="G7" i="21"/>
  <c r="G21" i="21" s="1"/>
  <c r="AD7" i="21"/>
  <c r="AD21" i="21" s="1"/>
  <c r="AF7" i="21"/>
  <c r="AF27" i="21" s="1"/>
  <c r="AJ7" i="21"/>
  <c r="AJ24" i="21" s="1"/>
  <c r="L27" i="21"/>
  <c r="AB27" i="21"/>
  <c r="D43" i="21"/>
  <c r="D45" i="21" s="1"/>
  <c r="B56" i="21"/>
  <c r="C53" i="21" s="1"/>
  <c r="C55" i="21" s="1"/>
  <c r="D56" i="21"/>
  <c r="E53" i="21" s="1"/>
  <c r="F56" i="21"/>
  <c r="J56" i="21"/>
  <c r="R56" i="21"/>
  <c r="S53" i="21" s="1"/>
  <c r="X56" i="21"/>
  <c r="Y53" i="21" s="1"/>
  <c r="Z56" i="21"/>
  <c r="AA53" i="21" s="1"/>
  <c r="AB56" i="21"/>
  <c r="AC53" i="21" s="1"/>
  <c r="AD56" i="21"/>
  <c r="AE53" i="21" s="1"/>
  <c r="AF56" i="21"/>
  <c r="AG53" i="21" s="1"/>
  <c r="AH56" i="21"/>
  <c r="AI53" i="21" s="1"/>
  <c r="AJ56" i="21"/>
  <c r="AJ63" i="21" s="1"/>
  <c r="AL56" i="21"/>
  <c r="AL63" i="21" s="1"/>
  <c r="C62" i="21"/>
  <c r="D59" i="21" s="1"/>
  <c r="D60" i="21" s="1"/>
  <c r="E62" i="21"/>
  <c r="G62" i="21"/>
  <c r="H59" i="21" s="1"/>
  <c r="H60" i="21" s="1"/>
  <c r="I62" i="21"/>
  <c r="I60" i="21" s="1"/>
  <c r="X63" i="21"/>
  <c r="AM60" i="21"/>
  <c r="AM61" i="21"/>
  <c r="E67" i="21"/>
  <c r="N67" i="21"/>
  <c r="P67" i="21"/>
  <c r="Z67" i="21"/>
  <c r="AB67" i="21"/>
  <c r="AD67" i="21"/>
  <c r="AF67" i="21"/>
  <c r="AH67" i="21"/>
  <c r="AJ67" i="21"/>
  <c r="AL67" i="21"/>
  <c r="C72" i="21"/>
  <c r="E72" i="21"/>
  <c r="T72" i="21"/>
  <c r="V72" i="21"/>
  <c r="G122" i="18"/>
  <c r="G103" i="18"/>
  <c r="M122" i="18"/>
  <c r="M103" i="18"/>
  <c r="M63" i="18"/>
  <c r="H9" i="18"/>
  <c r="N22" i="18"/>
  <c r="BL22" i="18"/>
  <c r="AA22" i="18"/>
  <c r="AI22" i="18"/>
  <c r="AQ22" i="18"/>
  <c r="BK35" i="18"/>
  <c r="BK27" i="18" s="1"/>
  <c r="AR50" i="18"/>
  <c r="BF50" i="18"/>
  <c r="AY50" i="18"/>
  <c r="E35" i="18"/>
  <c r="E27" i="18" s="1"/>
  <c r="G91" i="68" s="1"/>
  <c r="AO53" i="18"/>
  <c r="AJ50" i="18"/>
  <c r="BE108" i="18"/>
  <c r="BE189" i="18" s="1"/>
  <c r="AA221" i="18"/>
  <c r="AI221" i="18"/>
  <c r="G225" i="68" s="1"/>
  <c r="AY221" i="18"/>
  <c r="W225" i="68" s="1"/>
  <c r="BG221" i="18"/>
  <c r="AE225" i="68" s="1"/>
  <c r="AH222" i="18"/>
  <c r="F226" i="68" s="1"/>
  <c r="AX222" i="18"/>
  <c r="V226" i="68" s="1"/>
  <c r="AX92" i="18"/>
  <c r="AF123" i="18"/>
  <c r="AT123" i="18"/>
  <c r="AT129" i="18" s="1"/>
  <c r="AZ123" i="18"/>
  <c r="AZ129" i="18" s="1"/>
  <c r="G146" i="18"/>
  <c r="H146" i="18"/>
  <c r="X153" i="18"/>
  <c r="X150" i="18" s="1"/>
  <c r="AJ153" i="18"/>
  <c r="AJ150" i="18" s="1"/>
  <c r="BD153" i="18"/>
  <c r="BH153" i="18"/>
  <c r="BH150" i="18" s="1"/>
  <c r="BL153" i="18"/>
  <c r="BL150" i="18" s="1"/>
  <c r="BB150" i="18"/>
  <c r="BI165" i="18"/>
  <c r="BM165" i="18"/>
  <c r="BC232" i="18"/>
  <c r="AA236" i="68" s="1"/>
  <c r="BK232" i="18"/>
  <c r="AI236" i="68" s="1"/>
  <c r="BC182" i="18"/>
  <c r="X199" i="18"/>
  <c r="AO197" i="18"/>
  <c r="AO199" i="18" s="1"/>
  <c r="BI197" i="18"/>
  <c r="BI199" i="18" s="1"/>
  <c r="G111" i="71"/>
  <c r="D165" i="21" s="1"/>
  <c r="G108" i="71"/>
  <c r="D163" i="21" s="1"/>
  <c r="H12" i="71"/>
  <c r="B32" i="85"/>
  <c r="X18" i="18" s="1"/>
  <c r="R32" i="85"/>
  <c r="AN18" i="18" s="1"/>
  <c r="T30" i="85"/>
  <c r="V32" i="85"/>
  <c r="AR18" i="18" s="1"/>
  <c r="Z32" i="85"/>
  <c r="AV18" i="18" s="1"/>
  <c r="AB31" i="85"/>
  <c r="AB32" i="85"/>
  <c r="AX18" i="18" s="1"/>
  <c r="AB30" i="85"/>
  <c r="AI30" i="85"/>
  <c r="AM31" i="85"/>
  <c r="H30" i="85"/>
  <c r="P30" i="85"/>
  <c r="X30" i="85"/>
  <c r="AM32" i="85"/>
  <c r="BI18" i="18" s="1"/>
  <c r="R21" i="71"/>
  <c r="AP47" i="18"/>
  <c r="AX47" i="18"/>
  <c r="BF47" i="18"/>
  <c r="AN47" i="18"/>
  <c r="AV47" i="18"/>
  <c r="BD47" i="18"/>
  <c r="BL47" i="18"/>
  <c r="AE45" i="85"/>
  <c r="AE46" i="85"/>
  <c r="AE43" i="85"/>
  <c r="BA24" i="18" s="1"/>
  <c r="AQ32" i="85"/>
  <c r="BM18" i="18" s="1"/>
  <c r="Y42" i="85"/>
  <c r="AC42" i="85"/>
  <c r="AY23" i="18" s="1"/>
  <c r="AY22" i="18" s="1"/>
  <c r="AE42" i="85"/>
  <c r="BA23" i="18" s="1"/>
  <c r="BA22" i="18" s="1"/>
  <c r="BH22" i="18"/>
  <c r="Y45" i="85"/>
  <c r="AA45" i="85"/>
  <c r="AG45" i="85"/>
  <c r="AP47" i="85"/>
  <c r="Y46" i="85"/>
  <c r="AD67" i="85"/>
  <c r="AZ60" i="18"/>
  <c r="AZ42" i="18" s="1"/>
  <c r="E85" i="85"/>
  <c r="E73" i="85" s="1"/>
  <c r="E153" i="85" s="1"/>
  <c r="AA117" i="18"/>
  <c r="G85" i="85"/>
  <c r="G73" i="85" s="1"/>
  <c r="G153" i="85" s="1"/>
  <c r="AC117" i="18"/>
  <c r="I85" i="85"/>
  <c r="I73" i="85" s="1"/>
  <c r="I153" i="85" s="1"/>
  <c r="AE117" i="18"/>
  <c r="AE115" i="18" s="1"/>
  <c r="AE162" i="18" s="1"/>
  <c r="K85" i="85"/>
  <c r="AG117" i="18"/>
  <c r="M85" i="85"/>
  <c r="M73" i="85" s="1"/>
  <c r="M153" i="85" s="1"/>
  <c r="AI117" i="18"/>
  <c r="AI115" i="18" s="1"/>
  <c r="Q85" i="85"/>
  <c r="Q73" i="85" s="1"/>
  <c r="AM117" i="18"/>
  <c r="U85" i="85"/>
  <c r="AQ117" i="18"/>
  <c r="AQ115" i="18" s="1"/>
  <c r="W85" i="85"/>
  <c r="AS117" i="18"/>
  <c r="AS115" i="18" s="1"/>
  <c r="AS162" i="18" s="1"/>
  <c r="Y85" i="85"/>
  <c r="Y73" i="85" s="1"/>
  <c r="Y153" i="85" s="1"/>
  <c r="AU117" i="18"/>
  <c r="AU115" i="18" s="1"/>
  <c r="K73" i="85"/>
  <c r="K153" i="85" s="1"/>
  <c r="AG120" i="18"/>
  <c r="K64" i="71"/>
  <c r="F120" i="18" s="1"/>
  <c r="AK120" i="18"/>
  <c r="O64" i="71"/>
  <c r="J120" i="18" s="1"/>
  <c r="BA120" i="18"/>
  <c r="AQ73" i="85"/>
  <c r="AQ153" i="85" s="1"/>
  <c r="BM120" i="18"/>
  <c r="AQ402" i="67" s="1"/>
  <c r="AK133" i="85"/>
  <c r="AK185" i="85" s="1"/>
  <c r="BG178" i="18"/>
  <c r="Z241" i="85"/>
  <c r="Z100" i="15" s="1"/>
  <c r="AH241" i="85"/>
  <c r="AH100" i="15" s="1"/>
  <c r="AP241" i="85"/>
  <c r="AP100" i="15" s="1"/>
  <c r="H241" i="85"/>
  <c r="H100" i="15" s="1"/>
  <c r="H101" i="15" s="1"/>
  <c r="U13" i="68"/>
  <c r="U157" i="68" s="1"/>
  <c r="S40" i="68"/>
  <c r="T40" i="68" s="1"/>
  <c r="Q41" i="68"/>
  <c r="I8" i="15"/>
  <c r="AD8" i="15"/>
  <c r="AF8" i="15"/>
  <c r="AN8" i="15"/>
  <c r="P8" i="15"/>
  <c r="AJ8" i="15"/>
  <c r="V10" i="15"/>
  <c r="AD10" i="15"/>
  <c r="AH10" i="15"/>
  <c r="AH23" i="15" s="1"/>
  <c r="I10" i="15"/>
  <c r="I11" i="15" s="1"/>
  <c r="AN123" i="18"/>
  <c r="U12" i="15"/>
  <c r="U13" i="15" s="1"/>
  <c r="W12" i="15"/>
  <c r="AC12" i="15"/>
  <c r="AC13" i="15" s="1"/>
  <c r="AE12" i="15"/>
  <c r="BD123" i="18"/>
  <c r="AK12" i="15"/>
  <c r="AM12" i="15"/>
  <c r="E13" i="15"/>
  <c r="E15" i="15" s="1"/>
  <c r="G17" i="15"/>
  <c r="G16" i="15" s="1"/>
  <c r="P17" i="15"/>
  <c r="X17" i="15"/>
  <c r="M17" i="15"/>
  <c r="AI153" i="18"/>
  <c r="AI150" i="18" s="1"/>
  <c r="U17" i="15"/>
  <c r="AQ153" i="18"/>
  <c r="AQ150" i="18" s="1"/>
  <c r="AK17" i="15"/>
  <c r="BG153" i="18"/>
  <c r="BG150" i="18" s="1"/>
  <c r="O51" i="6"/>
  <c r="BI153" i="18"/>
  <c r="H17" i="15"/>
  <c r="H16" i="15" s="1"/>
  <c r="AL150" i="18"/>
  <c r="AR150" i="18"/>
  <c r="AT150" i="18"/>
  <c r="AZ150" i="18"/>
  <c r="AF17" i="15"/>
  <c r="AN17" i="15"/>
  <c r="BJ165" i="18"/>
  <c r="O54" i="6"/>
  <c r="M175" i="18" s="1"/>
  <c r="H116" i="15"/>
  <c r="L116" i="15"/>
  <c r="R116" i="15"/>
  <c r="X116" i="15"/>
  <c r="Z116" i="15"/>
  <c r="AF116" i="15"/>
  <c r="AJ116" i="15"/>
  <c r="AN116" i="15"/>
  <c r="AP116" i="15"/>
  <c r="O55" i="6"/>
  <c r="V20" i="61"/>
  <c r="P95" i="15"/>
  <c r="AL197" i="18"/>
  <c r="AL199" i="18" s="1"/>
  <c r="R95" i="15"/>
  <c r="AN197" i="18"/>
  <c r="AN199" i="18" s="1"/>
  <c r="AH95" i="15"/>
  <c r="BD197" i="18"/>
  <c r="BD199" i="18" s="1"/>
  <c r="AJ95" i="15"/>
  <c r="BF197" i="18"/>
  <c r="AL95" i="15"/>
  <c r="BH197" i="18"/>
  <c r="BH199" i="18" s="1"/>
  <c r="AQ95" i="15"/>
  <c r="BM197" i="18"/>
  <c r="BM199" i="18" s="1"/>
  <c r="S67" i="21"/>
  <c r="J39" i="15"/>
  <c r="M39" i="15"/>
  <c r="G42" i="15"/>
  <c r="I42" i="15"/>
  <c r="W42" i="15"/>
  <c r="Y42" i="15"/>
  <c r="T42" i="15"/>
  <c r="AL53" i="15"/>
  <c r="AN53" i="15"/>
  <c r="AP53" i="15"/>
  <c r="X57" i="15"/>
  <c r="AJ56" i="15"/>
  <c r="AJ57" i="15" s="1"/>
  <c r="E99" i="15"/>
  <c r="G99" i="15"/>
  <c r="I99" i="15"/>
  <c r="M99" i="15"/>
  <c r="Y99" i="15"/>
  <c r="AG99" i="15"/>
  <c r="AO99" i="15"/>
  <c r="AQ99" i="15"/>
  <c r="D63" i="15"/>
  <c r="M56" i="21"/>
  <c r="M57" i="21" s="1"/>
  <c r="O56" i="21"/>
  <c r="S56" i="21"/>
  <c r="S57" i="21" s="1"/>
  <c r="U56" i="21"/>
  <c r="U57" i="21" s="1"/>
  <c r="AI104" i="15"/>
  <c r="T75" i="15"/>
  <c r="AJ75" i="15"/>
  <c r="AR75" i="15"/>
  <c r="AS96" i="15" s="1"/>
  <c r="F75" i="15"/>
  <c r="L80" i="15"/>
  <c r="AL80" i="15"/>
  <c r="R80" i="15"/>
  <c r="C107" i="15"/>
  <c r="E107" i="15"/>
  <c r="G107" i="15"/>
  <c r="K107" i="15"/>
  <c r="M107" i="15"/>
  <c r="O107" i="15"/>
  <c r="S107" i="15"/>
  <c r="U107" i="15"/>
  <c r="W107" i="15"/>
  <c r="Y107" i="15"/>
  <c r="AA107" i="15"/>
  <c r="AC107" i="15"/>
  <c r="AE107" i="15"/>
  <c r="AI107" i="15"/>
  <c r="AK107" i="15"/>
  <c r="AM107" i="15"/>
  <c r="AQ107" i="15"/>
  <c r="K105" i="15"/>
  <c r="Y105" i="15"/>
  <c r="AA105" i="15"/>
  <c r="AI105" i="15"/>
  <c r="D106" i="15"/>
  <c r="L106" i="15"/>
  <c r="T106" i="15"/>
  <c r="AJ106" i="15"/>
  <c r="E89" i="15"/>
  <c r="E90" i="15" s="1"/>
  <c r="E121" i="15" s="1"/>
  <c r="S106" i="15"/>
  <c r="Y89" i="15"/>
  <c r="P89" i="15"/>
  <c r="X89" i="15"/>
  <c r="AH89" i="15"/>
  <c r="AA89" i="15"/>
  <c r="AK89" i="15"/>
  <c r="AG104" i="15"/>
  <c r="O6" i="21"/>
  <c r="O14" i="21" s="1"/>
  <c r="O10" i="21" s="1"/>
  <c r="O11" i="21" s="1"/>
  <c r="AK6" i="21"/>
  <c r="AK33" i="21" s="1"/>
  <c r="AO33" i="21" s="1"/>
  <c r="AS33" i="21" s="1"/>
  <c r="AW33" i="21" s="1"/>
  <c r="BA33" i="21" s="1"/>
  <c r="BE33" i="21" s="1"/>
  <c r="BI33" i="21" s="1"/>
  <c r="BM33" i="21" s="1"/>
  <c r="BQ33" i="21" s="1"/>
  <c r="D7" i="21"/>
  <c r="D27" i="21" s="1"/>
  <c r="H7" i="21"/>
  <c r="H27" i="21" s="1"/>
  <c r="R7" i="21"/>
  <c r="R24" i="21" s="1"/>
  <c r="T7" i="21"/>
  <c r="T24" i="21" s="1"/>
  <c r="X7" i="21"/>
  <c r="AK7" i="21"/>
  <c r="AK21" i="21" s="1"/>
  <c r="B7" i="21"/>
  <c r="B24" i="21" s="1"/>
  <c r="E43" i="21"/>
  <c r="E45" i="21" s="1"/>
  <c r="M43" i="21"/>
  <c r="AC43" i="21"/>
  <c r="AC45" i="21" s="1"/>
  <c r="AK43" i="21"/>
  <c r="AK45" i="21" s="1"/>
  <c r="P43" i="21"/>
  <c r="P45" i="21" s="1"/>
  <c r="T39" i="21"/>
  <c r="T43" i="21" s="1"/>
  <c r="T45" i="21" s="1"/>
  <c r="AB39" i="21"/>
  <c r="AB43" i="21" s="1"/>
  <c r="AB45" i="21" s="1"/>
  <c r="AJ39" i="21"/>
  <c r="AJ43" i="21" s="1"/>
  <c r="AJ45" i="21" s="1"/>
  <c r="E56" i="21"/>
  <c r="I56" i="21"/>
  <c r="J53" i="21" s="1"/>
  <c r="Q56" i="21"/>
  <c r="W56" i="21"/>
  <c r="W57" i="21" s="1"/>
  <c r="Y56" i="21"/>
  <c r="AA56" i="21"/>
  <c r="AA63" i="21" s="1"/>
  <c r="AC56" i="21"/>
  <c r="AC57" i="21" s="1"/>
  <c r="AE56" i="21"/>
  <c r="AE63" i="21" s="1"/>
  <c r="AG56" i="21"/>
  <c r="AG57" i="21" s="1"/>
  <c r="AI56" i="21"/>
  <c r="AJ53" i="21" s="1"/>
  <c r="AK56" i="21"/>
  <c r="AL53" i="21" s="1"/>
  <c r="F62" i="21"/>
  <c r="Q62" i="21"/>
  <c r="R59" i="21" s="1"/>
  <c r="R60" i="21" s="1"/>
  <c r="Y62" i="21"/>
  <c r="Z59" i="21" s="1"/>
  <c r="Z60" i="21" s="1"/>
  <c r="C67" i="21"/>
  <c r="M67" i="21"/>
  <c r="AA67" i="21"/>
  <c r="AE67" i="21"/>
  <c r="AI67" i="21"/>
  <c r="B72" i="21"/>
  <c r="F72" i="21"/>
  <c r="L72" i="21"/>
  <c r="R72" i="21"/>
  <c r="U72" i="21"/>
  <c r="W72" i="21"/>
  <c r="Z72" i="21"/>
  <c r="AB72" i="21"/>
  <c r="AD72" i="21"/>
  <c r="AF72" i="21"/>
  <c r="AH72" i="21"/>
  <c r="AJ72" i="21"/>
  <c r="AL72" i="21"/>
  <c r="J96" i="21"/>
  <c r="O113" i="21"/>
  <c r="O122" i="21" s="1"/>
  <c r="K100" i="21"/>
  <c r="H163" i="21"/>
  <c r="H161" i="21" s="1"/>
  <c r="X9" i="18"/>
  <c r="Z9" i="18"/>
  <c r="AF9" i="18"/>
  <c r="AH9" i="18"/>
  <c r="AJ9" i="18"/>
  <c r="AN9" i="18"/>
  <c r="AP9" i="18"/>
  <c r="AR9" i="18"/>
  <c r="AT9" i="18"/>
  <c r="AV9" i="18"/>
  <c r="AX9" i="18"/>
  <c r="AZ9" i="18"/>
  <c r="BC9" i="18"/>
  <c r="BE9" i="18"/>
  <c r="BO214" i="18"/>
  <c r="AM10" i="18"/>
  <c r="AY10" i="18"/>
  <c r="BA10" i="18"/>
  <c r="BC10" i="18"/>
  <c r="AW11" i="18"/>
  <c r="AY11" i="18"/>
  <c r="BA11" i="18"/>
  <c r="BM11" i="18"/>
  <c r="AA15" i="18"/>
  <c r="AG15" i="18"/>
  <c r="AI15" i="18"/>
  <c r="AK15" i="18"/>
  <c r="AO15" i="18"/>
  <c r="AQ15" i="18"/>
  <c r="AU15" i="18"/>
  <c r="AW15" i="18"/>
  <c r="AY15" i="18"/>
  <c r="BA15" i="18"/>
  <c r="BC15" i="18"/>
  <c r="O23" i="18"/>
  <c r="Q23" i="18"/>
  <c r="S23" i="18"/>
  <c r="BD22" i="18"/>
  <c r="BK23" i="18"/>
  <c r="BK22" i="18" s="1"/>
  <c r="AJ22" i="18"/>
  <c r="F35" i="18"/>
  <c r="F27" i="18" s="1"/>
  <c r="H91" i="68" s="1"/>
  <c r="AM36" i="18"/>
  <c r="AU36" i="18"/>
  <c r="BA35" i="18"/>
  <c r="BC35" i="18"/>
  <c r="BN36" i="18"/>
  <c r="BG37" i="18"/>
  <c r="AA38" i="18"/>
  <c r="BG38" i="18"/>
  <c r="BG32" i="18" s="1"/>
  <c r="C50" i="18"/>
  <c r="E75" i="68" s="1"/>
  <c r="E76" i="68" s="1"/>
  <c r="E77" i="68" s="1"/>
  <c r="E78" i="68" s="1"/>
  <c r="E50" i="18"/>
  <c r="G75" i="68" s="1"/>
  <c r="G76" i="68" s="1"/>
  <c r="G77" i="68" s="1"/>
  <c r="G78" i="68" s="1"/>
  <c r="G50" i="18"/>
  <c r="I75" i="68" s="1"/>
  <c r="I76" i="68" s="1"/>
  <c r="I77" i="68" s="1"/>
  <c r="I78" i="68" s="1"/>
  <c r="I50" i="18"/>
  <c r="K75" i="68" s="1"/>
  <c r="K76" i="68" s="1"/>
  <c r="K77" i="68" s="1"/>
  <c r="K78" i="68" s="1"/>
  <c r="K50" i="18"/>
  <c r="M75" i="68" s="1"/>
  <c r="M76" i="68" s="1"/>
  <c r="M77" i="68" s="1"/>
  <c r="M78" i="68" s="1"/>
  <c r="AN45" i="18"/>
  <c r="AP45" i="18"/>
  <c r="AX45" i="18"/>
  <c r="AZ45" i="18"/>
  <c r="BJ45" i="18"/>
  <c r="BL45" i="18"/>
  <c r="AR47" i="18"/>
  <c r="AT47" i="18"/>
  <c r="AZ47" i="18"/>
  <c r="BB47" i="18"/>
  <c r="AT49" i="18"/>
  <c r="AV49" i="18"/>
  <c r="AX49" i="18"/>
  <c r="AZ49" i="18"/>
  <c r="BC50" i="18"/>
  <c r="BE49" i="18"/>
  <c r="BG49" i="18"/>
  <c r="BI49" i="18"/>
  <c r="BK49" i="18"/>
  <c r="BM49" i="18"/>
  <c r="AG53" i="18"/>
  <c r="AG156" i="18" s="1"/>
  <c r="BI53" i="18"/>
  <c r="BI156" i="18" s="1"/>
  <c r="BA53" i="18"/>
  <c r="BA156" i="18" s="1"/>
  <c r="BC53" i="18"/>
  <c r="BC46" i="18" s="1"/>
  <c r="BI35" i="18"/>
  <c r="BI26" i="18" s="1"/>
  <c r="BK53" i="18"/>
  <c r="BK46" i="18" s="1"/>
  <c r="AZ55" i="18"/>
  <c r="AZ37" i="18" s="1"/>
  <c r="BG88" i="18"/>
  <c r="BK56" i="18"/>
  <c r="BK159" i="18" s="1"/>
  <c r="BM56" i="18"/>
  <c r="V10" i="61" s="1"/>
  <c r="AZ58" i="18"/>
  <c r="AZ40" i="18" s="1"/>
  <c r="BC88" i="18"/>
  <c r="AI92" i="18"/>
  <c r="BO217" i="18"/>
  <c r="BH105" i="18"/>
  <c r="BH139" i="18" s="1"/>
  <c r="AW108" i="18"/>
  <c r="AW140" i="18" s="1"/>
  <c r="BH227" i="18"/>
  <c r="AF231" i="68" s="1"/>
  <c r="BO227" i="18"/>
  <c r="AA228" i="18"/>
  <c r="AI228" i="18"/>
  <c r="G232" i="68" s="1"/>
  <c r="AM228" i="18"/>
  <c r="K232" i="68" s="1"/>
  <c r="AQ228" i="18"/>
  <c r="O232" i="68" s="1"/>
  <c r="AU228" i="18"/>
  <c r="S232" i="68" s="1"/>
  <c r="AY228" i="18"/>
  <c r="W232" i="68" s="1"/>
  <c r="BC228" i="18"/>
  <c r="AA232" i="68" s="1"/>
  <c r="Y120" i="18"/>
  <c r="AS120" i="18"/>
  <c r="BI120" i="18"/>
  <c r="AD123" i="18"/>
  <c r="AV123" i="18"/>
  <c r="AV129" i="18" s="1"/>
  <c r="BB123" i="18"/>
  <c r="BB129" i="18" s="1"/>
  <c r="BM123" i="18"/>
  <c r="BM129" i="18" s="1"/>
  <c r="Z153" i="18"/>
  <c r="Z150" i="18" s="1"/>
  <c r="AH153" i="18"/>
  <c r="AH150" i="18" s="1"/>
  <c r="AP153" i="18"/>
  <c r="AP150" i="18" s="1"/>
  <c r="AX153" i="18"/>
  <c r="AX150" i="18" s="1"/>
  <c r="BF153" i="18"/>
  <c r="BF150" i="18" s="1"/>
  <c r="BN153" i="18"/>
  <c r="BN150" i="18" s="1"/>
  <c r="BG155" i="18"/>
  <c r="BK165" i="18"/>
  <c r="AB177" i="18"/>
  <c r="AF177" i="18"/>
  <c r="AZ177" i="18"/>
  <c r="BO230" i="18"/>
  <c r="AD197" i="18"/>
  <c r="AD199" i="18" s="1"/>
  <c r="AH197" i="18"/>
  <c r="AH199" i="18" s="1"/>
  <c r="AQ197" i="18"/>
  <c r="AV197" i="18"/>
  <c r="AV199" i="18" s="1"/>
  <c r="BB197" i="18"/>
  <c r="BB199" i="18" s="1"/>
  <c r="BG197" i="18"/>
  <c r="BG199" i="18" s="1"/>
  <c r="BL197" i="18"/>
  <c r="BL199" i="18" s="1"/>
  <c r="L12" i="71"/>
  <c r="P41" i="71"/>
  <c r="J67" i="71"/>
  <c r="E81" i="18" s="1"/>
  <c r="I70" i="71"/>
  <c r="D87" i="18" s="1"/>
  <c r="O89" i="71"/>
  <c r="M111" i="71"/>
  <c r="J165" i="21" s="1"/>
  <c r="J164" i="21" s="1"/>
  <c r="J166" i="21" s="1"/>
  <c r="N3" i="85"/>
  <c r="K3" i="85"/>
  <c r="L3" i="85" s="1"/>
  <c r="M3" i="85" s="1"/>
  <c r="AI31" i="85"/>
  <c r="AQ31" i="85"/>
  <c r="L32" i="85"/>
  <c r="AH18" i="18" s="1"/>
  <c r="AI73" i="85"/>
  <c r="AI153" i="85" s="1"/>
  <c r="AK73" i="85"/>
  <c r="AM73" i="85"/>
  <c r="AM153" i="85" s="1"/>
  <c r="AA73" i="85"/>
  <c r="AC73" i="85"/>
  <c r="AC153" i="85" s="1"/>
  <c r="AG73" i="85"/>
  <c r="AG153" i="85" s="1"/>
  <c r="AK68" i="85"/>
  <c r="C85" i="85"/>
  <c r="C73" i="85" s="1"/>
  <c r="O85" i="85"/>
  <c r="O73" i="85" s="1"/>
  <c r="S85" i="85"/>
  <c r="S73" i="85" s="1"/>
  <c r="O133" i="85"/>
  <c r="O185" i="85" s="1"/>
  <c r="AK178" i="18"/>
  <c r="AK177" i="18" s="1"/>
  <c r="S133" i="85"/>
  <c r="S185" i="85" s="1"/>
  <c r="AO178" i="18"/>
  <c r="AC133" i="85"/>
  <c r="AY178" i="18"/>
  <c r="AU232" i="18"/>
  <c r="S236" i="68" s="1"/>
  <c r="BK182" i="18"/>
  <c r="R162" i="85"/>
  <c r="R166" i="85" s="1"/>
  <c r="R176" i="85" s="1"/>
  <c r="R182" i="85" s="1"/>
  <c r="AD162" i="85"/>
  <c r="AD166" i="85" s="1"/>
  <c r="AL162" i="85"/>
  <c r="AL166" i="85" s="1"/>
  <c r="AL176" i="85" s="1"/>
  <c r="AL182" i="85" s="1"/>
  <c r="Z162" i="85"/>
  <c r="Z166" i="85" s="1"/>
  <c r="Z176" i="85" s="1"/>
  <c r="Z182" i="85" s="1"/>
  <c r="C239" i="85"/>
  <c r="C240" i="85" s="1"/>
  <c r="AA88" i="18"/>
  <c r="AI88" i="18"/>
  <c r="AQ88" i="18"/>
  <c r="AY88" i="18"/>
  <c r="AP56" i="18"/>
  <c r="AG98" i="18"/>
  <c r="AI98" i="18"/>
  <c r="AK98" i="18"/>
  <c r="AQ98" i="18"/>
  <c r="AW98" i="18"/>
  <c r="AY98" i="18"/>
  <c r="BL98" i="18"/>
  <c r="D105" i="18"/>
  <c r="H105" i="18"/>
  <c r="H188" i="18" s="1"/>
  <c r="B108" i="18"/>
  <c r="J108" i="18"/>
  <c r="J140" i="18" s="1"/>
  <c r="J249" i="18" s="1"/>
  <c r="E108" i="18"/>
  <c r="BO216" i="18"/>
  <c r="AA217" i="18"/>
  <c r="AC217" i="18"/>
  <c r="AI217" i="18"/>
  <c r="G221" i="68" s="1"/>
  <c r="AQ217" i="18"/>
  <c r="O221" i="68" s="1"/>
  <c r="AS217" i="18"/>
  <c r="Q221" i="68" s="1"/>
  <c r="AY217" i="18"/>
  <c r="W221" i="68" s="1"/>
  <c r="BI217" i="18"/>
  <c r="AG221" i="68" s="1"/>
  <c r="BO219" i="18"/>
  <c r="AE220" i="18"/>
  <c r="C224" i="68" s="1"/>
  <c r="AM220" i="18"/>
  <c r="K224" i="68" s="1"/>
  <c r="AU220" i="18"/>
  <c r="S224" i="68" s="1"/>
  <c r="BC220" i="18"/>
  <c r="AA224" i="68" s="1"/>
  <c r="BK220" i="18"/>
  <c r="AI224" i="68" s="1"/>
  <c r="AL221" i="18"/>
  <c r="J225" i="68" s="1"/>
  <c r="BB221" i="18"/>
  <c r="Z225" i="68" s="1"/>
  <c r="BO221" i="18"/>
  <c r="BO224" i="18"/>
  <c r="BK223" i="18"/>
  <c r="AI227" i="68" s="1"/>
  <c r="X226" i="18"/>
  <c r="AD226" i="18"/>
  <c r="B230" i="68" s="1"/>
  <c r="AF226" i="18"/>
  <c r="D230" i="68" s="1"/>
  <c r="AN226" i="18"/>
  <c r="L230" i="68" s="1"/>
  <c r="AV226" i="18"/>
  <c r="T230" i="68" s="1"/>
  <c r="BB226" i="18"/>
  <c r="Z230" i="68" s="1"/>
  <c r="BD226" i="18"/>
  <c r="AB230" i="68" s="1"/>
  <c r="BO226" i="18"/>
  <c r="BA227" i="18"/>
  <c r="Y231" i="68" s="1"/>
  <c r="BI227" i="18"/>
  <c r="AG231" i="68" s="1"/>
  <c r="E117" i="18"/>
  <c r="E115" i="18" s="1"/>
  <c r="G117" i="18"/>
  <c r="G115" i="18" s="1"/>
  <c r="B117" i="18"/>
  <c r="B115" i="18" s="1"/>
  <c r="D117" i="18"/>
  <c r="D115" i="18" s="1"/>
  <c r="G129" i="18"/>
  <c r="G123" i="18" s="1"/>
  <c r="BA230" i="18"/>
  <c r="Y234" i="68" s="1"/>
  <c r="BG231" i="18"/>
  <c r="AE235" i="68" s="1"/>
  <c r="BH177" i="18"/>
  <c r="BL177" i="18"/>
  <c r="BL237" i="18" s="1"/>
  <c r="BF182" i="18"/>
  <c r="BI182" i="18"/>
  <c r="M12" i="71"/>
  <c r="I41" i="71"/>
  <c r="Q41" i="71"/>
  <c r="J70" i="71"/>
  <c r="E87" i="18" s="1"/>
  <c r="L70" i="71"/>
  <c r="G87" i="18" s="1"/>
  <c r="E70" i="71"/>
  <c r="M70" i="71"/>
  <c r="H87" i="18" s="1"/>
  <c r="F67" i="71"/>
  <c r="L67" i="71"/>
  <c r="G81" i="18" s="1"/>
  <c r="N67" i="71"/>
  <c r="I81" i="18" s="1"/>
  <c r="G70" i="71"/>
  <c r="B87" i="18" s="1"/>
  <c r="O70" i="71"/>
  <c r="J87" i="18" s="1"/>
  <c r="Q70" i="71"/>
  <c r="L87" i="18" s="1"/>
  <c r="N89" i="71"/>
  <c r="N145" i="71"/>
  <c r="P145" i="71"/>
  <c r="F205" i="71"/>
  <c r="C32" i="85"/>
  <c r="Y18" i="18" s="1"/>
  <c r="AH32" i="85"/>
  <c r="BD18" i="18" s="1"/>
  <c r="AJ31" i="85"/>
  <c r="W30" i="85"/>
  <c r="AF30" i="85"/>
  <c r="AN32" i="85"/>
  <c r="BJ18" i="18" s="1"/>
  <c r="H21" i="71"/>
  <c r="AM45" i="18"/>
  <c r="AQ45" i="18"/>
  <c r="AU45" i="18"/>
  <c r="AG47" i="18"/>
  <c r="AO47" i="18"/>
  <c r="AW47" i="18"/>
  <c r="BE47" i="18"/>
  <c r="BM47" i="18"/>
  <c r="K21" i="71"/>
  <c r="AS49" i="18"/>
  <c r="BA49" i="18"/>
  <c r="D32" i="85"/>
  <c r="Z18" i="18" s="1"/>
  <c r="H32" i="85"/>
  <c r="AD18" i="18" s="1"/>
  <c r="P32" i="85"/>
  <c r="AL18" i="18" s="1"/>
  <c r="T32" i="85"/>
  <c r="AP18" i="18" s="1"/>
  <c r="X32" i="85"/>
  <c r="AT18" i="18" s="1"/>
  <c r="AH47" i="85"/>
  <c r="AN47" i="85"/>
  <c r="M41" i="71"/>
  <c r="AF62" i="85"/>
  <c r="R41" i="71"/>
  <c r="B65" i="85"/>
  <c r="F65" i="85"/>
  <c r="H65" i="85"/>
  <c r="J65" i="85"/>
  <c r="N65" i="85"/>
  <c r="P65" i="85"/>
  <c r="AE65" i="85"/>
  <c r="AI65" i="85"/>
  <c r="AM65" i="85"/>
  <c r="E68" i="85"/>
  <c r="I68" i="85"/>
  <c r="M68" i="85"/>
  <c r="O68" i="85"/>
  <c r="U68" i="85"/>
  <c r="AC68" i="85"/>
  <c r="AP62" i="85"/>
  <c r="AE73" i="85"/>
  <c r="AE153" i="85" s="1"/>
  <c r="V73" i="85"/>
  <c r="V153" i="85" s="1"/>
  <c r="P68" i="85"/>
  <c r="AF68" i="85"/>
  <c r="AP73" i="85"/>
  <c r="AP153" i="85" s="1"/>
  <c r="F73" i="85"/>
  <c r="F153" i="85" s="1"/>
  <c r="BL120" i="18"/>
  <c r="N118" i="85"/>
  <c r="V118" i="85"/>
  <c r="X118" i="85"/>
  <c r="AD118" i="85"/>
  <c r="AF118" i="85"/>
  <c r="AG123" i="85"/>
  <c r="AY182" i="18"/>
  <c r="AE138" i="85"/>
  <c r="AG138" i="85"/>
  <c r="J162" i="85"/>
  <c r="J166" i="85" s="1"/>
  <c r="J176" i="85" s="1"/>
  <c r="J182" i="85" s="1"/>
  <c r="H162" i="85"/>
  <c r="H166" i="85" s="1"/>
  <c r="H176" i="85" s="1"/>
  <c r="H182" i="85" s="1"/>
  <c r="V162" i="85"/>
  <c r="V166" i="85" s="1"/>
  <c r="V176" i="85" s="1"/>
  <c r="V182" i="85" s="1"/>
  <c r="E162" i="85"/>
  <c r="E166" i="85" s="1"/>
  <c r="E176" i="85" s="1"/>
  <c r="E182" i="85" s="1"/>
  <c r="M162" i="85"/>
  <c r="M166" i="85" s="1"/>
  <c r="M176" i="85" s="1"/>
  <c r="M182" i="85" s="1"/>
  <c r="AG162" i="85"/>
  <c r="AG166" i="85" s="1"/>
  <c r="AG176" i="85" s="1"/>
  <c r="AG182" i="85" s="1"/>
  <c r="Q31" i="15"/>
  <c r="AS35" i="15"/>
  <c r="AS37" i="15" s="1"/>
  <c r="AS34" i="15"/>
  <c r="B214" i="85"/>
  <c r="G214" i="85"/>
  <c r="I214" i="85"/>
  <c r="K214" i="85"/>
  <c r="Q214" i="85"/>
  <c r="Z214" i="85"/>
  <c r="AI214" i="85"/>
  <c r="AI240" i="85" s="1"/>
  <c r="AX214" i="85"/>
  <c r="AX240" i="85" s="1"/>
  <c r="AZ214" i="85"/>
  <c r="R214" i="85"/>
  <c r="F214" i="85"/>
  <c r="AB214" i="85"/>
  <c r="E239" i="85"/>
  <c r="I239" i="85"/>
  <c r="M239" i="85"/>
  <c r="AZ239" i="85"/>
  <c r="R239" i="85"/>
  <c r="AB239" i="85"/>
  <c r="AG239" i="85"/>
  <c r="AN239" i="85"/>
  <c r="B239" i="85"/>
  <c r="H239" i="85"/>
  <c r="H240" i="85" s="1"/>
  <c r="J239" i="85"/>
  <c r="L239" i="85"/>
  <c r="AQ239" i="85"/>
  <c r="AQ240" i="85" s="1"/>
  <c r="J241" i="85"/>
  <c r="J100" i="15" s="1"/>
  <c r="C241" i="85"/>
  <c r="C100" i="15" s="1"/>
  <c r="AE241" i="85"/>
  <c r="AE100" i="15" s="1"/>
  <c r="I241" i="85"/>
  <c r="I100" i="15" s="1"/>
  <c r="R241" i="85"/>
  <c r="R100" i="15" s="1"/>
  <c r="V241" i="85"/>
  <c r="V100" i="15" s="1"/>
  <c r="AZ36" i="18"/>
  <c r="L56" i="18"/>
  <c r="L48" i="18" s="1"/>
  <c r="N70" i="68" s="1"/>
  <c r="N71" i="68" s="1"/>
  <c r="N72" i="68" s="1"/>
  <c r="N73" i="68" s="1"/>
  <c r="E88" i="18"/>
  <c r="G56" i="18"/>
  <c r="G159" i="18" s="1"/>
  <c r="B92" i="18"/>
  <c r="J92" i="18"/>
  <c r="E80" i="68"/>
  <c r="E81" i="68" s="1"/>
  <c r="E82" i="68" s="1"/>
  <c r="E83" i="68" s="1"/>
  <c r="G80" i="68"/>
  <c r="G81" i="68" s="1"/>
  <c r="G82" i="68" s="1"/>
  <c r="G83" i="68" s="1"/>
  <c r="I80" i="68"/>
  <c r="I81" i="68" s="1"/>
  <c r="I82" i="68" s="1"/>
  <c r="I83" i="68" s="1"/>
  <c r="K80" i="68"/>
  <c r="K81" i="68" s="1"/>
  <c r="K82" i="68" s="1"/>
  <c r="K83" i="68" s="1"/>
  <c r="M80" i="68"/>
  <c r="M81" i="68" s="1"/>
  <c r="M82" i="68" s="1"/>
  <c r="M83" i="68" s="1"/>
  <c r="N80" i="68"/>
  <c r="N81" i="68" s="1"/>
  <c r="N82" i="68" s="1"/>
  <c r="N83" i="68" s="1"/>
  <c r="I84" i="18"/>
  <c r="K34" i="68" s="1"/>
  <c r="K35" i="68" s="1"/>
  <c r="K36" i="68" s="1"/>
  <c r="K37" i="68" s="1"/>
  <c r="J84" i="18"/>
  <c r="L34" i="68" s="1"/>
  <c r="L35" i="68" s="1"/>
  <c r="L36" i="68" s="1"/>
  <c r="L37" i="68" s="1"/>
  <c r="F133" i="18"/>
  <c r="H133" i="18"/>
  <c r="L133" i="18"/>
  <c r="F80" i="68"/>
  <c r="F81" i="68" s="1"/>
  <c r="F82" i="68" s="1"/>
  <c r="F83" i="68" s="1"/>
  <c r="J80" i="68"/>
  <c r="J81" i="68" s="1"/>
  <c r="J82" i="68" s="1"/>
  <c r="J83" i="68" s="1"/>
  <c r="F9" i="18"/>
  <c r="I9" i="18"/>
  <c r="G36" i="18"/>
  <c r="G35" i="18" s="1"/>
  <c r="G26" i="18" s="1"/>
  <c r="I90" i="68" s="1"/>
  <c r="I38" i="18"/>
  <c r="I31" i="18" s="1"/>
  <c r="K95" i="68" s="1"/>
  <c r="B50" i="18"/>
  <c r="D75" i="68" s="1"/>
  <c r="D76" i="68" s="1"/>
  <c r="D77" i="68" s="1"/>
  <c r="D78" i="68" s="1"/>
  <c r="D50" i="18"/>
  <c r="F75" i="68" s="1"/>
  <c r="F76" i="68" s="1"/>
  <c r="F77" i="68" s="1"/>
  <c r="F78" i="68" s="1"/>
  <c r="F50" i="18"/>
  <c r="H75" i="68" s="1"/>
  <c r="H76" i="68" s="1"/>
  <c r="H77" i="68" s="1"/>
  <c r="H78" i="68" s="1"/>
  <c r="H50" i="18"/>
  <c r="J75" i="68" s="1"/>
  <c r="J76" i="68" s="1"/>
  <c r="J77" i="68" s="1"/>
  <c r="J78" i="68" s="1"/>
  <c r="J50" i="18"/>
  <c r="L75" i="68" s="1"/>
  <c r="L76" i="68" s="1"/>
  <c r="L77" i="68" s="1"/>
  <c r="L78" i="68" s="1"/>
  <c r="L50" i="18"/>
  <c r="N75" i="68" s="1"/>
  <c r="N76" i="68" s="1"/>
  <c r="N77" i="68" s="1"/>
  <c r="N78" i="68" s="1"/>
  <c r="F53" i="18"/>
  <c r="F46" i="18" s="1"/>
  <c r="H65" i="68" s="1"/>
  <c r="H66" i="68" s="1"/>
  <c r="H67" i="68" s="1"/>
  <c r="H68" i="68" s="1"/>
  <c r="H53" i="18"/>
  <c r="H46" i="18" s="1"/>
  <c r="J65" i="68" s="1"/>
  <c r="J66" i="68" s="1"/>
  <c r="J67" i="68" s="1"/>
  <c r="J68" i="68" s="1"/>
  <c r="I53" i="18"/>
  <c r="I46" i="18" s="1"/>
  <c r="K65" i="68" s="1"/>
  <c r="K66" i="68" s="1"/>
  <c r="K67" i="68" s="1"/>
  <c r="K68" i="68" s="1"/>
  <c r="E56" i="18"/>
  <c r="E48" i="18" s="1"/>
  <c r="G70" i="68" s="1"/>
  <c r="G71" i="68" s="1"/>
  <c r="G72" i="68" s="1"/>
  <c r="G73" i="68" s="1"/>
  <c r="AZ59" i="18"/>
  <c r="AZ41" i="18" s="1"/>
  <c r="AZ61" i="18"/>
  <c r="AZ98" i="18" s="1"/>
  <c r="G105" i="18"/>
  <c r="G188" i="18" s="1"/>
  <c r="F105" i="18"/>
  <c r="F129" i="18"/>
  <c r="F123" i="18" s="1"/>
  <c r="L84" i="18"/>
  <c r="N34" i="68" s="1"/>
  <c r="N35" i="68" s="1"/>
  <c r="N36" i="68" s="1"/>
  <c r="N37" i="68" s="1"/>
  <c r="E92" i="18"/>
  <c r="L88" i="18"/>
  <c r="J133" i="18"/>
  <c r="C92" i="18"/>
  <c r="I132" i="18"/>
  <c r="K132" i="18"/>
  <c r="I129" i="18"/>
  <c r="I123" i="18" s="1"/>
  <c r="D84" i="18"/>
  <c r="F34" i="68" s="1"/>
  <c r="F35" i="68" s="1"/>
  <c r="F36" i="68" s="1"/>
  <c r="F37" i="68" s="1"/>
  <c r="C91" i="18"/>
  <c r="E39" i="68" s="1"/>
  <c r="E40" i="68" s="1"/>
  <c r="E41" i="68" s="1"/>
  <c r="E42" i="68" s="1"/>
  <c r="E91" i="18"/>
  <c r="G39" i="68" s="1"/>
  <c r="G40" i="68" s="1"/>
  <c r="G41" i="68" s="1"/>
  <c r="G42" i="68" s="1"/>
  <c r="K91" i="18"/>
  <c r="M39" i="68" s="1"/>
  <c r="M40" i="68" s="1"/>
  <c r="M41" i="68" s="1"/>
  <c r="M42" i="68" s="1"/>
  <c r="F95" i="18"/>
  <c r="H44" i="68" s="1"/>
  <c r="H45" i="68" s="1"/>
  <c r="H46" i="68" s="1"/>
  <c r="H47" i="68" s="1"/>
  <c r="G60" i="68"/>
  <c r="G61" i="68" s="1"/>
  <c r="G62" i="68" s="1"/>
  <c r="G63" i="68" s="1"/>
  <c r="M60" i="68"/>
  <c r="M61" i="68" s="1"/>
  <c r="M62" i="68" s="1"/>
  <c r="M63" i="68" s="1"/>
  <c r="K22" i="18"/>
  <c r="I60" i="68"/>
  <c r="I61" i="68" s="1"/>
  <c r="I62" i="68" s="1"/>
  <c r="I63" i="68" s="1"/>
  <c r="K87" i="68"/>
  <c r="AO42" i="15"/>
  <c r="E9" i="18"/>
  <c r="G9" i="18"/>
  <c r="J9" i="18"/>
  <c r="B9" i="18"/>
  <c r="N60" i="68"/>
  <c r="N61" i="68" s="1"/>
  <c r="N62" i="68" s="1"/>
  <c r="N63" i="68" s="1"/>
  <c r="L22" i="18"/>
  <c r="H22" i="18"/>
  <c r="L88" i="68"/>
  <c r="I37" i="18"/>
  <c r="L39" i="18"/>
  <c r="G40" i="18"/>
  <c r="J41" i="18"/>
  <c r="K53" i="18"/>
  <c r="K156" i="18" s="1"/>
  <c r="E53" i="18"/>
  <c r="E46" i="18" s="1"/>
  <c r="G65" i="68" s="1"/>
  <c r="G66" i="68" s="1"/>
  <c r="G67" i="68" s="1"/>
  <c r="G68" i="68" s="1"/>
  <c r="B53" i="18"/>
  <c r="C56" i="18"/>
  <c r="C48" i="18" s="1"/>
  <c r="E70" i="68" s="1"/>
  <c r="E71" i="68" s="1"/>
  <c r="E72" i="68" s="1"/>
  <c r="E73" i="68" s="1"/>
  <c r="I56" i="18"/>
  <c r="I48" i="18" s="1"/>
  <c r="K70" i="68" s="1"/>
  <c r="K71" i="68" s="1"/>
  <c r="K72" i="68" s="1"/>
  <c r="K73" i="68" s="1"/>
  <c r="K38" i="18"/>
  <c r="K30" i="18" s="1"/>
  <c r="M94" i="68" s="1"/>
  <c r="H88" i="18"/>
  <c r="H56" i="18"/>
  <c r="H48" i="18" s="1"/>
  <c r="J70" i="68" s="1"/>
  <c r="J71" i="68" s="1"/>
  <c r="J72" i="68" s="1"/>
  <c r="J73" i="68" s="1"/>
  <c r="G84" i="18"/>
  <c r="I34" i="68" s="1"/>
  <c r="I35" i="68" s="1"/>
  <c r="I36" i="68" s="1"/>
  <c r="I37" i="68" s="1"/>
  <c r="B105" i="18"/>
  <c r="J105" i="18"/>
  <c r="J139" i="18" s="1"/>
  <c r="C105" i="18"/>
  <c r="E105" i="18"/>
  <c r="I105" i="18"/>
  <c r="I139" i="18" s="1"/>
  <c r="I92" i="18"/>
  <c r="D108" i="18"/>
  <c r="K105" i="18"/>
  <c r="K92" i="18"/>
  <c r="F117" i="18"/>
  <c r="F115" i="18" s="1"/>
  <c r="C117" i="18"/>
  <c r="C115" i="18" s="1"/>
  <c r="H132" i="18"/>
  <c r="J132" i="18"/>
  <c r="J131" i="18" s="1"/>
  <c r="L132" i="18"/>
  <c r="I133" i="18"/>
  <c r="K133" i="18"/>
  <c r="F243" i="18"/>
  <c r="H177" i="18"/>
  <c r="H84" i="18"/>
  <c r="J34" i="68" s="1"/>
  <c r="J35" i="68" s="1"/>
  <c r="J36" i="68" s="1"/>
  <c r="J37" i="68" s="1"/>
  <c r="C84" i="18"/>
  <c r="E34" i="68" s="1"/>
  <c r="E35" i="68" s="1"/>
  <c r="E36" i="68" s="1"/>
  <c r="E37" i="68" s="1"/>
  <c r="E84" i="18"/>
  <c r="G34" i="68" s="1"/>
  <c r="G35" i="68" s="1"/>
  <c r="G36" i="68" s="1"/>
  <c r="G37" i="68" s="1"/>
  <c r="K84" i="18"/>
  <c r="M34" i="68" s="1"/>
  <c r="M35" i="68" s="1"/>
  <c r="M36" i="68" s="1"/>
  <c r="M37" i="68" s="1"/>
  <c r="G91" i="18"/>
  <c r="I39" i="68" s="1"/>
  <c r="I40" i="68" s="1"/>
  <c r="I41" i="68" s="1"/>
  <c r="I42" i="68" s="1"/>
  <c r="L91" i="18"/>
  <c r="N39" i="68" s="1"/>
  <c r="N40" i="68" s="1"/>
  <c r="N41" i="68" s="1"/>
  <c r="N42" i="68" s="1"/>
  <c r="G95" i="18"/>
  <c r="I44" i="68" s="1"/>
  <c r="I45" i="68" s="1"/>
  <c r="I46" i="68" s="1"/>
  <c r="I47" i="68" s="1"/>
  <c r="I95" i="18"/>
  <c r="K44" i="68" s="1"/>
  <c r="K45" i="68" s="1"/>
  <c r="K46" i="68" s="1"/>
  <c r="K47" i="68" s="1"/>
  <c r="B95" i="18"/>
  <c r="D44" i="68" s="1"/>
  <c r="D45" i="68" s="1"/>
  <c r="D46" i="68" s="1"/>
  <c r="D47" i="68" s="1"/>
  <c r="C95" i="18"/>
  <c r="E44" i="68" s="1"/>
  <c r="E45" i="68" s="1"/>
  <c r="E46" i="68" s="1"/>
  <c r="E47" i="68" s="1"/>
  <c r="K95" i="18"/>
  <c r="M44" i="68" s="1"/>
  <c r="M45" i="68" s="1"/>
  <c r="M46" i="68" s="1"/>
  <c r="M47" i="68" s="1"/>
  <c r="M164" i="21"/>
  <c r="M166" i="21" s="1"/>
  <c r="H164" i="21"/>
  <c r="H166" i="21" s="1"/>
  <c r="L129" i="18"/>
  <c r="L123" i="18" s="1"/>
  <c r="D95" i="18"/>
  <c r="F44" i="68" s="1"/>
  <c r="F45" i="68" s="1"/>
  <c r="F46" i="68" s="1"/>
  <c r="F47" i="68" s="1"/>
  <c r="J95" i="18"/>
  <c r="L44" i="68" s="1"/>
  <c r="L45" i="68" s="1"/>
  <c r="L46" i="68" s="1"/>
  <c r="L47" i="68" s="1"/>
  <c r="L95" i="18"/>
  <c r="N44" i="68" s="1"/>
  <c r="N45" i="68" s="1"/>
  <c r="N46" i="68" s="1"/>
  <c r="N47" i="68" s="1"/>
  <c r="F164" i="21"/>
  <c r="F166" i="21" s="1"/>
  <c r="G164" i="21"/>
  <c r="G166" i="21" s="1"/>
  <c r="I164" i="21"/>
  <c r="I166" i="21" s="1"/>
  <c r="AD52" i="85"/>
  <c r="AD65" i="85" s="1"/>
  <c r="T60" i="21"/>
  <c r="W61" i="21"/>
  <c r="W60" i="21"/>
  <c r="AU108" i="15"/>
  <c r="AV81" i="15"/>
  <c r="AV108" i="15" s="1"/>
  <c r="Y59" i="21"/>
  <c r="AG59" i="21"/>
  <c r="AG60" i="21" s="1"/>
  <c r="Q168" i="85"/>
  <c r="Q176" i="85" s="1"/>
  <c r="Q182" i="85" s="1"/>
  <c r="Q33" i="15"/>
  <c r="Q30" i="15"/>
  <c r="H60" i="68"/>
  <c r="H61" i="68" s="1"/>
  <c r="H62" i="68" s="1"/>
  <c r="H63" i="68" s="1"/>
  <c r="J60" i="68"/>
  <c r="J61" i="68" s="1"/>
  <c r="J62" i="68" s="1"/>
  <c r="J63" i="68" s="1"/>
  <c r="Q152" i="85"/>
  <c r="C7" i="66"/>
  <c r="C9" i="66"/>
  <c r="P61" i="21"/>
  <c r="Q59" i="21"/>
  <c r="K63" i="21"/>
  <c r="K57" i="21"/>
  <c r="Y17" i="15"/>
  <c r="AU165" i="18"/>
  <c r="AU150" i="18" s="1"/>
  <c r="AA95" i="15"/>
  <c r="AW197" i="18"/>
  <c r="AW199" i="18" s="1"/>
  <c r="W67" i="21"/>
  <c r="V80" i="15"/>
  <c r="BM22" i="18"/>
  <c r="AA45" i="18"/>
  <c r="M21" i="71"/>
  <c r="O62" i="85"/>
  <c r="K41" i="71"/>
  <c r="Q10" i="15"/>
  <c r="U11" i="15" s="1"/>
  <c r="V17" i="15"/>
  <c r="V16" i="15" s="1"/>
  <c r="AD17" i="15"/>
  <c r="K17" i="15"/>
  <c r="AG165" i="18"/>
  <c r="AG150" i="18" s="1"/>
  <c r="S17" i="15"/>
  <c r="AO165" i="18"/>
  <c r="AO150" i="18" s="1"/>
  <c r="AA17" i="15"/>
  <c r="AW165" i="18"/>
  <c r="AW150" i="18" s="1"/>
  <c r="AB95" i="15"/>
  <c r="AX197" i="18"/>
  <c r="AM207" i="18"/>
  <c r="K72" i="21"/>
  <c r="AU207" i="18"/>
  <c r="S72" i="21"/>
  <c r="H67" i="21"/>
  <c r="Y75" i="15"/>
  <c r="AG75" i="15"/>
  <c r="AN89" i="15"/>
  <c r="V7" i="21"/>
  <c r="V24" i="21" s="1"/>
  <c r="V43" i="21"/>
  <c r="B67" i="21"/>
  <c r="M72" i="21"/>
  <c r="AQ221" i="18"/>
  <c r="O225" i="68" s="1"/>
  <c r="AR123" i="18"/>
  <c r="AR129" i="18" s="1"/>
  <c r="I21" i="71"/>
  <c r="AL47" i="85"/>
  <c r="R77" i="85"/>
  <c r="R73" i="85" s="1"/>
  <c r="R153" i="85" s="1"/>
  <c r="R66" i="85"/>
  <c r="T133" i="85"/>
  <c r="T185" i="85" s="1"/>
  <c r="AP178" i="18"/>
  <c r="AB133" i="85"/>
  <c r="AB185" i="85" s="1"/>
  <c r="AX178" i="18"/>
  <c r="AX177" i="18" s="1"/>
  <c r="AG133" i="85"/>
  <c r="AG185" i="85" s="1"/>
  <c r="BC179" i="18"/>
  <c r="BB231" i="18" s="1"/>
  <c r="Z235" i="68" s="1"/>
  <c r="BG217" i="18"/>
  <c r="AE221" i="68" s="1"/>
  <c r="AA12" i="15"/>
  <c r="V95" i="15"/>
  <c r="AR197" i="18"/>
  <c r="AP105" i="15"/>
  <c r="E17" i="15"/>
  <c r="E16" i="15" s="1"/>
  <c r="O95" i="15"/>
  <c r="AK197" i="18"/>
  <c r="AK199" i="18" s="1"/>
  <c r="AP207" i="18"/>
  <c r="N72" i="21"/>
  <c r="O104" i="15"/>
  <c r="S80" i="15"/>
  <c r="AA80" i="15"/>
  <c r="AI80" i="15"/>
  <c r="AA90" i="15"/>
  <c r="I7" i="21"/>
  <c r="I24" i="21" s="1"/>
  <c r="AG7" i="21"/>
  <c r="AG24" i="21" s="1"/>
  <c r="L39" i="21"/>
  <c r="L43" i="21" s="1"/>
  <c r="F67" i="21"/>
  <c r="AD165" i="18"/>
  <c r="AD150" i="18" s="1"/>
  <c r="AA34" i="85"/>
  <c r="Z34" i="85"/>
  <c r="F32" i="85"/>
  <c r="AB18" i="18" s="1"/>
  <c r="I12" i="71"/>
  <c r="AE27" i="85"/>
  <c r="AD32" i="85"/>
  <c r="AZ18" i="18" s="1"/>
  <c r="L21" i="71"/>
  <c r="BG23" i="18"/>
  <c r="U118" i="85"/>
  <c r="AQ158" i="18"/>
  <c r="AC118" i="85"/>
  <c r="AY158" i="18"/>
  <c r="AO121" i="85"/>
  <c r="BI161" i="18"/>
  <c r="AM118" i="85"/>
  <c r="Q67" i="21"/>
  <c r="AK207" i="18"/>
  <c r="N41" i="71"/>
  <c r="AD55" i="85"/>
  <c r="AD68" i="85" s="1"/>
  <c r="AD69" i="85"/>
  <c r="F17" i="15"/>
  <c r="F16" i="15" s="1"/>
  <c r="Z17" i="15"/>
  <c r="R17" i="15"/>
  <c r="AN26" i="15"/>
  <c r="AI207" i="18"/>
  <c r="G72" i="21"/>
  <c r="AQ207" i="18"/>
  <c r="O72" i="21"/>
  <c r="D67" i="21"/>
  <c r="L67" i="21"/>
  <c r="T67" i="21"/>
  <c r="V52" i="15"/>
  <c r="AN63" i="15"/>
  <c r="M75" i="15"/>
  <c r="U75" i="15"/>
  <c r="AK75" i="15"/>
  <c r="T80" i="15"/>
  <c r="AJ80" i="15"/>
  <c r="U67" i="21"/>
  <c r="BG228" i="18"/>
  <c r="AE232" i="68" s="1"/>
  <c r="AY231" i="18"/>
  <c r="W235" i="68" s="1"/>
  <c r="R3" i="85"/>
  <c r="O3" i="85"/>
  <c r="P3" i="85" s="1"/>
  <c r="Q3" i="85" s="1"/>
  <c r="AB46" i="85"/>
  <c r="AB43" i="85"/>
  <c r="AX24" i="18" s="1"/>
  <c r="AB45" i="85"/>
  <c r="AB42" i="85"/>
  <c r="B73" i="85"/>
  <c r="B153" i="85" s="1"/>
  <c r="X120" i="18"/>
  <c r="J64" i="71"/>
  <c r="E120" i="18" s="1"/>
  <c r="AF120" i="18"/>
  <c r="L64" i="71"/>
  <c r="G120" i="18" s="1"/>
  <c r="AN120" i="18"/>
  <c r="Z73" i="85"/>
  <c r="Z153" i="85" s="1"/>
  <c r="N64" i="71"/>
  <c r="I120" i="18" s="1"/>
  <c r="AV120" i="18"/>
  <c r="AO97" i="85"/>
  <c r="BK126" i="18" s="1"/>
  <c r="BH126" i="18"/>
  <c r="Q17" i="15"/>
  <c r="AM165" i="18"/>
  <c r="AM150" i="18" s="1"/>
  <c r="I67" i="21"/>
  <c r="AK31" i="85"/>
  <c r="AK30" i="85"/>
  <c r="P12" i="71"/>
  <c r="AT232" i="18"/>
  <c r="R236" i="68" s="1"/>
  <c r="W62" i="85"/>
  <c r="AJ207" i="18"/>
  <c r="H72" i="21"/>
  <c r="AR207" i="18"/>
  <c r="P72" i="21"/>
  <c r="AZ207" i="18"/>
  <c r="X72" i="21"/>
  <c r="X63" i="15"/>
  <c r="AF63" i="15"/>
  <c r="AQ75" i="15"/>
  <c r="X43" i="21"/>
  <c r="X45" i="21" s="1"/>
  <c r="V67" i="21"/>
  <c r="AZ57" i="18"/>
  <c r="AE150" i="18"/>
  <c r="BC150" i="18"/>
  <c r="AQ231" i="18"/>
  <c r="O235" i="68" s="1"/>
  <c r="O21" i="71"/>
  <c r="Q21" i="71"/>
  <c r="U73" i="85"/>
  <c r="U65" i="85"/>
  <c r="AS177" i="18"/>
  <c r="AM232" i="18"/>
  <c r="K236" i="68" s="1"/>
  <c r="AL32" i="85"/>
  <c r="BH18" i="18" s="1"/>
  <c r="Q12" i="71"/>
  <c r="B162" i="85"/>
  <c r="B166" i="85" s="1"/>
  <c r="B176" i="85" s="1"/>
  <c r="B182" i="85" s="1"/>
  <c r="S162" i="85"/>
  <c r="S166" i="85" s="1"/>
  <c r="S176" i="85" s="1"/>
  <c r="S182" i="85" s="1"/>
  <c r="S153" i="85"/>
  <c r="AA162" i="85"/>
  <c r="AA166" i="85" s="1"/>
  <c r="AA176" i="85" s="1"/>
  <c r="AA182" i="85" s="1"/>
  <c r="AA153" i="85"/>
  <c r="AI162" i="85"/>
  <c r="AI166" i="85" s="1"/>
  <c r="AI176" i="85" s="1"/>
  <c r="AI182" i="85" s="1"/>
  <c r="AQ162" i="85"/>
  <c r="AQ166" i="85" s="1"/>
  <c r="AQ176" i="85" s="1"/>
  <c r="AQ182" i="85" s="1"/>
  <c r="L214" i="85"/>
  <c r="L240" i="85" s="1"/>
  <c r="W239" i="85"/>
  <c r="AL239" i="85"/>
  <c r="AL240" i="85" s="1"/>
  <c r="BI214" i="18"/>
  <c r="AG218" i="68" s="1"/>
  <c r="BJ22" i="18"/>
  <c r="AN108" i="18"/>
  <c r="AN189" i="18" s="1"/>
  <c r="AG31" i="85"/>
  <c r="AG30" i="85"/>
  <c r="AO31" i="85"/>
  <c r="Q32" i="85"/>
  <c r="AM18" i="18" s="1"/>
  <c r="AN162" i="85"/>
  <c r="AN166" i="85" s="1"/>
  <c r="AN176" i="85" s="1"/>
  <c r="AN182" i="85" s="1"/>
  <c r="AZ22" i="18"/>
  <c r="I32" i="85"/>
  <c r="AE18" i="18" s="1"/>
  <c r="I30" i="85"/>
  <c r="Y32" i="85"/>
  <c r="AU18" i="18" s="1"/>
  <c r="Y30" i="85"/>
  <c r="AH138" i="85"/>
  <c r="BD183" i="18"/>
  <c r="BD182" i="18" s="1"/>
  <c r="AK139" i="85"/>
  <c r="AE162" i="85"/>
  <c r="AE166" i="85" s="1"/>
  <c r="AE176" i="85" s="1"/>
  <c r="AE182" i="85" s="1"/>
  <c r="AM162" i="85"/>
  <c r="AM166" i="85" s="1"/>
  <c r="AM176" i="85" s="1"/>
  <c r="AM182" i="85" s="1"/>
  <c r="O43" i="21"/>
  <c r="O45" i="21" s="1"/>
  <c r="P60" i="21"/>
  <c r="AV22" i="18"/>
  <c r="BK228" i="18"/>
  <c r="AI232" i="68" s="1"/>
  <c r="H41" i="71"/>
  <c r="I48" i="71"/>
  <c r="I65" i="71" s="1"/>
  <c r="P21" i="71"/>
  <c r="AF43" i="85"/>
  <c r="BB24" i="18" s="1"/>
  <c r="AF45" i="85"/>
  <c r="AF42" i="85"/>
  <c r="AF46" i="85"/>
  <c r="E62" i="85"/>
  <c r="M62" i="85"/>
  <c r="J73" i="85"/>
  <c r="J153" i="85" s="1"/>
  <c r="W162" i="85"/>
  <c r="W166" i="85" s="1"/>
  <c r="W176" i="85" s="1"/>
  <c r="W182" i="85" s="1"/>
  <c r="BH182" i="18"/>
  <c r="K12" i="71"/>
  <c r="AG43" i="85"/>
  <c r="BC24" i="18" s="1"/>
  <c r="AG42" i="85"/>
  <c r="AG46" i="85"/>
  <c r="AG18" i="85"/>
  <c r="Z47" i="85"/>
  <c r="D73" i="85"/>
  <c r="D153" i="85" s="1"/>
  <c r="L73" i="85"/>
  <c r="L153" i="85" s="1"/>
  <c r="T73" i="85"/>
  <c r="T153" i="85" s="1"/>
  <c r="AB73" i="85"/>
  <c r="AB153" i="85" s="1"/>
  <c r="AQ138" i="85"/>
  <c r="AQ139" i="85" s="1"/>
  <c r="AR139" i="85" s="1"/>
  <c r="AQ185" i="85"/>
  <c r="I240" i="85"/>
  <c r="B241" i="85"/>
  <c r="N12" i="71"/>
  <c r="J41" i="71"/>
  <c r="J21" i="71"/>
  <c r="AD47" i="85"/>
  <c r="W73" i="85"/>
  <c r="W153" i="85" s="1"/>
  <c r="AN73" i="85"/>
  <c r="AN153" i="85" s="1"/>
  <c r="G162" i="85"/>
  <c r="G166" i="85" s="1"/>
  <c r="G176" i="85" s="1"/>
  <c r="G182" i="85" s="1"/>
  <c r="O153" i="85"/>
  <c r="O162" i="85"/>
  <c r="O166" i="85" s="1"/>
  <c r="O176" i="85" s="1"/>
  <c r="O182" i="85" s="1"/>
  <c r="AJ42" i="85"/>
  <c r="AJ46" i="85"/>
  <c r="AJ32" i="85"/>
  <c r="BF18" i="18" s="1"/>
  <c r="AQ47" i="85"/>
  <c r="AJ45" i="85"/>
  <c r="AO73" i="85"/>
  <c r="AO153" i="85" s="1"/>
  <c r="H73" i="85"/>
  <c r="H153" i="85" s="1"/>
  <c r="P73" i="85"/>
  <c r="P153" i="85" s="1"/>
  <c r="X73" i="85"/>
  <c r="X153" i="85" s="1"/>
  <c r="AF73" i="85"/>
  <c r="AF153" i="85" s="1"/>
  <c r="N73" i="85"/>
  <c r="N153" i="85" s="1"/>
  <c r="AH73" i="85"/>
  <c r="AH153" i="85" s="1"/>
  <c r="Y216" i="85"/>
  <c r="Y239" i="85" s="1"/>
  <c r="Y240" i="85" s="1"/>
  <c r="AA42" i="85"/>
  <c r="AA32" i="85"/>
  <c r="AW18" i="18" s="1"/>
  <c r="AK45" i="85"/>
  <c r="AK32" i="85"/>
  <c r="BG18" i="18" s="1"/>
  <c r="AK46" i="85"/>
  <c r="AK43" i="85"/>
  <c r="BG24" i="18" s="1"/>
  <c r="AA46" i="85"/>
  <c r="AD63" i="85"/>
  <c r="AD49" i="85"/>
  <c r="AD62" i="85" s="1"/>
  <c r="I162" i="85"/>
  <c r="I166" i="85" s="1"/>
  <c r="I176" i="85" s="1"/>
  <c r="I182" i="85" s="1"/>
  <c r="AH162" i="85"/>
  <c r="AH166" i="85" s="1"/>
  <c r="AH176" i="85" s="1"/>
  <c r="AH182" i="85" s="1"/>
  <c r="P240" i="85"/>
  <c r="J12" i="71"/>
  <c r="R12" i="71"/>
  <c r="AI39" i="85"/>
  <c r="AI42" i="85" s="1"/>
  <c r="AM47" i="85"/>
  <c r="AI45" i="85"/>
  <c r="D68" i="85"/>
  <c r="L68" i="85"/>
  <c r="T68" i="85"/>
  <c r="AB68" i="85"/>
  <c r="Y162" i="85"/>
  <c r="Y166" i="85" s="1"/>
  <c r="Y168" i="85"/>
  <c r="AT214" i="85"/>
  <c r="S214" i="85"/>
  <c r="X194" i="85"/>
  <c r="X214" i="85" s="1"/>
  <c r="W214" i="85"/>
  <c r="W240" i="85" s="1"/>
  <c r="AE214" i="85"/>
  <c r="AM214" i="85"/>
  <c r="X239" i="85"/>
  <c r="X248" i="85"/>
  <c r="R39" i="21" s="1"/>
  <c r="R43" i="21" s="1"/>
  <c r="AC45" i="85"/>
  <c r="AC32" i="85"/>
  <c r="AY18" i="18" s="1"/>
  <c r="AO133" i="85"/>
  <c r="AO185" i="85" s="1"/>
  <c r="T162" i="85"/>
  <c r="T166" i="85" s="1"/>
  <c r="T176" i="85" s="1"/>
  <c r="T182" i="85" s="1"/>
  <c r="AB162" i="85"/>
  <c r="AB166" i="85" s="1"/>
  <c r="AB176" i="85" s="1"/>
  <c r="AB182" i="85" s="1"/>
  <c r="AJ162" i="85"/>
  <c r="AJ166" i="85" s="1"/>
  <c r="AJ176" i="85" s="1"/>
  <c r="AJ182" i="85" s="1"/>
  <c r="N214" i="85"/>
  <c r="N240" i="85" s="1"/>
  <c r="AJ225" i="85"/>
  <c r="G241" i="85"/>
  <c r="G100" i="15" s="1"/>
  <c r="AC46" i="85"/>
  <c r="N71" i="85"/>
  <c r="R58" i="85"/>
  <c r="D162" i="85"/>
  <c r="D166" i="85" s="1"/>
  <c r="D176" i="85" s="1"/>
  <c r="D182" i="85" s="1"/>
  <c r="L162" i="85"/>
  <c r="L166" i="85" s="1"/>
  <c r="L176" i="85" s="1"/>
  <c r="L182" i="85" s="1"/>
  <c r="U162" i="85"/>
  <c r="U166" i="85" s="1"/>
  <c r="U176" i="85" s="1"/>
  <c r="U182" i="85" s="1"/>
  <c r="AC162" i="85"/>
  <c r="AC166" i="85" s="1"/>
  <c r="AC176" i="85" s="1"/>
  <c r="AC182" i="85" s="1"/>
  <c r="C153" i="85"/>
  <c r="K240" i="85"/>
  <c r="O214" i="85"/>
  <c r="AU239" i="85"/>
  <c r="AU240" i="85" s="1"/>
  <c r="AK239" i="85"/>
  <c r="R65" i="85"/>
  <c r="AJ73" i="85"/>
  <c r="AJ153" i="85" s="1"/>
  <c r="AO126" i="85"/>
  <c r="AG128" i="85"/>
  <c r="AM133" i="85"/>
  <c r="AM185" i="85" s="1"/>
  <c r="AM138" i="85"/>
  <c r="U153" i="85"/>
  <c r="AK153" i="85"/>
  <c r="AW162" i="85"/>
  <c r="AW166" i="85" s="1"/>
  <c r="AW176" i="85" s="1"/>
  <c r="AW182" i="85" s="1"/>
  <c r="U239" i="85"/>
  <c r="U240" i="85" s="1"/>
  <c r="AH239" i="85"/>
  <c r="AV239" i="85"/>
  <c r="AV240" i="85" s="1"/>
  <c r="AC239" i="85"/>
  <c r="AS162" i="85"/>
  <c r="AS166" i="85" s="1"/>
  <c r="AS176" i="85" s="1"/>
  <c r="AS182" i="85" s="1"/>
  <c r="BA162" i="85"/>
  <c r="BA166" i="85" s="1"/>
  <c r="BA176" i="85" s="1"/>
  <c r="BA182" i="85" s="1"/>
  <c r="P162" i="85"/>
  <c r="P166" i="85" s="1"/>
  <c r="P176" i="85" s="1"/>
  <c r="P182" i="85" s="1"/>
  <c r="AC214" i="85"/>
  <c r="AJ216" i="85"/>
  <c r="AW239" i="85"/>
  <c r="AW240" i="85" s="1"/>
  <c r="AM239" i="85"/>
  <c r="Q241" i="85"/>
  <c r="Q100" i="15" s="1"/>
  <c r="Y241" i="85"/>
  <c r="Y100" i="15" s="1"/>
  <c r="F239" i="85"/>
  <c r="F240" i="85" s="1"/>
  <c r="AF239" i="85"/>
  <c r="AF240" i="85" s="1"/>
  <c r="K241" i="85"/>
  <c r="K100" i="15" s="1"/>
  <c r="S241" i="85"/>
  <c r="S100" i="15" s="1"/>
  <c r="S101" i="15" s="1"/>
  <c r="AA241" i="85"/>
  <c r="AA100" i="15" s="1"/>
  <c r="AI241" i="85"/>
  <c r="AI100" i="15" s="1"/>
  <c r="AQ241" i="85"/>
  <c r="AQ100" i="15" s="1"/>
  <c r="M214" i="85"/>
  <c r="M240" i="85" s="1"/>
  <c r="G239" i="85"/>
  <c r="O239" i="85"/>
  <c r="Z216" i="85"/>
  <c r="Z239" i="85" s="1"/>
  <c r="T216" i="85"/>
  <c r="T239" i="85" s="1"/>
  <c r="T240" i="85" s="1"/>
  <c r="L241" i="85"/>
  <c r="L100" i="15" s="1"/>
  <c r="L101" i="15" s="1"/>
  <c r="T241" i="85"/>
  <c r="T100" i="15" s="1"/>
  <c r="D241" i="85"/>
  <c r="D100" i="15" s="1"/>
  <c r="AZ240" i="85"/>
  <c r="AA216" i="85"/>
  <c r="AA239" i="85" s="1"/>
  <c r="S216" i="85"/>
  <c r="S239" i="85" s="1"/>
  <c r="M241" i="85"/>
  <c r="M100" i="15" s="1"/>
  <c r="U241" i="85"/>
  <c r="U100" i="15" s="1"/>
  <c r="U101" i="15" s="1"/>
  <c r="Q145" i="71"/>
  <c r="B91" i="18"/>
  <c r="D39" i="68" s="1"/>
  <c r="D40" i="68" s="1"/>
  <c r="D41" i="68" s="1"/>
  <c r="D42" i="68" s="1"/>
  <c r="J91" i="18"/>
  <c r="L39" i="68" s="1"/>
  <c r="L40" i="68" s="1"/>
  <c r="L41" i="68" s="1"/>
  <c r="L42" i="68" s="1"/>
  <c r="I91" i="18"/>
  <c r="K39" i="68" s="1"/>
  <c r="K40" i="68" s="1"/>
  <c r="K41" i="68" s="1"/>
  <c r="K42" i="68" s="1"/>
  <c r="D164" i="21"/>
  <c r="D166" i="21" s="1"/>
  <c r="K85" i="18"/>
  <c r="H48" i="71"/>
  <c r="H65" i="71" s="1"/>
  <c r="P48" i="71"/>
  <c r="P65" i="71" s="1"/>
  <c r="Q59" i="71"/>
  <c r="L115" i="18" s="1"/>
  <c r="L162" i="18" s="1"/>
  <c r="E108" i="71"/>
  <c r="B163" i="21" s="1"/>
  <c r="G161" i="21"/>
  <c r="B84" i="18"/>
  <c r="D34" i="68" s="1"/>
  <c r="D35" i="68" s="1"/>
  <c r="D36" i="68" s="1"/>
  <c r="D37" i="68" s="1"/>
  <c r="D91" i="18"/>
  <c r="F39" i="68" s="1"/>
  <c r="F40" i="68" s="1"/>
  <c r="F41" i="68" s="1"/>
  <c r="F42" i="68" s="1"/>
  <c r="H91" i="18"/>
  <c r="J39" i="68" s="1"/>
  <c r="J40" i="68" s="1"/>
  <c r="J41" i="68" s="1"/>
  <c r="J42" i="68" s="1"/>
  <c r="I67" i="71"/>
  <c r="D81" i="18" s="1"/>
  <c r="Q67" i="71"/>
  <c r="L81" i="18" s="1"/>
  <c r="P90" i="71"/>
  <c r="F108" i="71"/>
  <c r="C163" i="21" s="1"/>
  <c r="D160" i="21" s="1"/>
  <c r="D161" i="21" s="1"/>
  <c r="G162" i="21"/>
  <c r="E45" i="71"/>
  <c r="H119" i="18"/>
  <c r="H117" i="18" s="1"/>
  <c r="H115" i="18" s="1"/>
  <c r="E48" i="71"/>
  <c r="M48" i="71"/>
  <c r="M65" i="71" s="1"/>
  <c r="E67" i="71"/>
  <c r="M67" i="71"/>
  <c r="H81" i="18" s="1"/>
  <c r="N70" i="71"/>
  <c r="I87" i="18" s="1"/>
  <c r="K89" i="71"/>
  <c r="O111" i="71"/>
  <c r="L165" i="21" s="1"/>
  <c r="L164" i="21" s="1"/>
  <c r="L166" i="21" s="1"/>
  <c r="K164" i="21"/>
  <c r="K166" i="21" s="1"/>
  <c r="K116" i="18"/>
  <c r="F48" i="71"/>
  <c r="L89" i="71"/>
  <c r="F91" i="18"/>
  <c r="H39" i="68" s="1"/>
  <c r="H40" i="68" s="1"/>
  <c r="H41" i="68" s="1"/>
  <c r="H42" i="68" s="1"/>
  <c r="F84" i="18"/>
  <c r="H34" i="68" s="1"/>
  <c r="H35" i="68" s="1"/>
  <c r="H36" i="68" s="1"/>
  <c r="H37" i="68" s="1"/>
  <c r="E95" i="18"/>
  <c r="G44" i="68" s="1"/>
  <c r="G45" i="68" s="1"/>
  <c r="G46" i="68" s="1"/>
  <c r="G47" i="68" s="1"/>
  <c r="G48" i="71"/>
  <c r="L37" i="18"/>
  <c r="L53" i="18"/>
  <c r="L156" i="18" s="1"/>
  <c r="AG56" i="18"/>
  <c r="AG39" i="18"/>
  <c r="AW39" i="18"/>
  <c r="AW56" i="18"/>
  <c r="F40" i="18"/>
  <c r="F56" i="18"/>
  <c r="F48" i="18" s="1"/>
  <c r="H70" i="68" s="1"/>
  <c r="H71" i="68" s="1"/>
  <c r="H72" i="68" s="1"/>
  <c r="H73" i="68" s="1"/>
  <c r="AS98" i="18"/>
  <c r="I22" i="18"/>
  <c r="K88" i="68"/>
  <c r="E122" i="18"/>
  <c r="E103" i="18"/>
  <c r="E63" i="18"/>
  <c r="R122" i="18"/>
  <c r="R103" i="18"/>
  <c r="D53" i="18"/>
  <c r="D37" i="18"/>
  <c r="Y56" i="18"/>
  <c r="Y48" i="18" s="1"/>
  <c r="Y39" i="18"/>
  <c r="AO39" i="18"/>
  <c r="AO56" i="18"/>
  <c r="BE56" i="18"/>
  <c r="BE39" i="18"/>
  <c r="BM39" i="18"/>
  <c r="B56" i="18"/>
  <c r="B48" i="18" s="1"/>
  <c r="D70" i="68" s="1"/>
  <c r="D71" i="68" s="1"/>
  <c r="D72" i="68" s="1"/>
  <c r="D73" i="68" s="1"/>
  <c r="B39" i="18"/>
  <c r="J56" i="18"/>
  <c r="J48" i="18" s="1"/>
  <c r="L70" i="68" s="1"/>
  <c r="L71" i="68" s="1"/>
  <c r="L72" i="68" s="1"/>
  <c r="L73" i="68" s="1"/>
  <c r="J39" i="18"/>
  <c r="AF42" i="18"/>
  <c r="AF38" i="18" s="1"/>
  <c r="AF56" i="18"/>
  <c r="AF48" i="18" s="1"/>
  <c r="BK38" i="18"/>
  <c r="BK30" i="18" s="1"/>
  <c r="BI98" i="18"/>
  <c r="E60" i="68"/>
  <c r="E61" i="68" s="1"/>
  <c r="E62" i="68" s="1"/>
  <c r="E63" i="68" s="1"/>
  <c r="AC219" i="18"/>
  <c r="AC108" i="18"/>
  <c r="AC88" i="18"/>
  <c r="AK219" i="18"/>
  <c r="I223" i="68" s="1"/>
  <c r="AK108" i="18"/>
  <c r="AK88" i="18"/>
  <c r="AS219" i="18"/>
  <c r="Q223" i="68" s="1"/>
  <c r="AS108" i="18"/>
  <c r="AS88" i="18"/>
  <c r="BA219" i="18"/>
  <c r="Y223" i="68" s="1"/>
  <c r="BA108" i="18"/>
  <c r="BA88" i="18"/>
  <c r="BI219" i="18"/>
  <c r="AG223" i="68" s="1"/>
  <c r="BI108" i="18"/>
  <c r="BI88" i="18"/>
  <c r="AJ92" i="18"/>
  <c r="AJ41" i="18"/>
  <c r="BH92" i="18"/>
  <c r="BH41" i="18"/>
  <c r="BJ214" i="18"/>
  <c r="AH218" i="68" s="1"/>
  <c r="BN38" i="18"/>
  <c r="BN29" i="18" s="1"/>
  <c r="BL40" i="18"/>
  <c r="BL38" i="18" s="1"/>
  <c r="BL32" i="18" s="1"/>
  <c r="BL56" i="18"/>
  <c r="AC92" i="18"/>
  <c r="AC41" i="18"/>
  <c r="AC38" i="18" s="1"/>
  <c r="BA92" i="18"/>
  <c r="BA41" i="18"/>
  <c r="Z222" i="18"/>
  <c r="Z92" i="18"/>
  <c r="C9" i="18"/>
  <c r="K9" i="18"/>
  <c r="BK214" i="18"/>
  <c r="AI218" i="68" s="1"/>
  <c r="X38" i="18"/>
  <c r="X30" i="18" s="1"/>
  <c r="BF38" i="18"/>
  <c r="BF31" i="18" s="1"/>
  <c r="AP42" i="18"/>
  <c r="AT46" i="18"/>
  <c r="AK50" i="18"/>
  <c r="C36" i="18"/>
  <c r="C53" i="18"/>
  <c r="K35" i="18"/>
  <c r="K26" i="18" s="1"/>
  <c r="AH56" i="18"/>
  <c r="AH48" i="18" s="1"/>
  <c r="AB88" i="18"/>
  <c r="AB56" i="18"/>
  <c r="AB39" i="18"/>
  <c r="AJ88" i="18"/>
  <c r="AJ56" i="18"/>
  <c r="AJ48" i="18" s="1"/>
  <c r="AJ39" i="18"/>
  <c r="AR88" i="18"/>
  <c r="AR56" i="18"/>
  <c r="AR159" i="18" s="1"/>
  <c r="AR39" i="18"/>
  <c r="BH88" i="18"/>
  <c r="BH56" i="18"/>
  <c r="BH159" i="18" s="1"/>
  <c r="BH39" i="18"/>
  <c r="AG92" i="18"/>
  <c r="BM92" i="18"/>
  <c r="H92" i="18"/>
  <c r="Y220" i="18"/>
  <c r="Y88" i="18"/>
  <c r="AG220" i="18"/>
  <c r="E224" i="68" s="1"/>
  <c r="AG88" i="18"/>
  <c r="AG108" i="18"/>
  <c r="AO220" i="18"/>
  <c r="M224" i="68" s="1"/>
  <c r="AO88" i="18"/>
  <c r="AO108" i="18"/>
  <c r="AO189" i="18" s="1"/>
  <c r="AW220" i="18"/>
  <c r="U224" i="68" s="1"/>
  <c r="AW88" i="18"/>
  <c r="BE220" i="18"/>
  <c r="AC224" i="68" s="1"/>
  <c r="BE88" i="18"/>
  <c r="BM88" i="18"/>
  <c r="BM108" i="18"/>
  <c r="BM189" i="18" s="1"/>
  <c r="N122" i="18"/>
  <c r="N63" i="18"/>
  <c r="AQ38" i="18"/>
  <c r="AQ29" i="18" s="1"/>
  <c r="AB92" i="18"/>
  <c r="AB41" i="18"/>
  <c r="C85" i="18"/>
  <c r="AT38" i="18"/>
  <c r="AT32" i="18" s="1"/>
  <c r="D56" i="18"/>
  <c r="D48" i="18" s="1"/>
  <c r="F70" i="68" s="1"/>
  <c r="F71" i="68" s="1"/>
  <c r="F72" i="68" s="1"/>
  <c r="F73" i="68" s="1"/>
  <c r="D88" i="18"/>
  <c r="AN40" i="18"/>
  <c r="AN56" i="18"/>
  <c r="BD40" i="18"/>
  <c r="BD38" i="18" s="1"/>
  <c r="BD56" i="18"/>
  <c r="AK92" i="18"/>
  <c r="AK41" i="18"/>
  <c r="AS92" i="18"/>
  <c r="AS41" i="18"/>
  <c r="AS38" i="18" s="1"/>
  <c r="AS30" i="18" s="1"/>
  <c r="BI92" i="18"/>
  <c r="BI41" i="18"/>
  <c r="BI38" i="18" s="1"/>
  <c r="BI29" i="18" s="1"/>
  <c r="Z56" i="18"/>
  <c r="Z48" i="18" s="1"/>
  <c r="Z42" i="18"/>
  <c r="Z38" i="18" s="1"/>
  <c r="AX42" i="18"/>
  <c r="AX56" i="18"/>
  <c r="N103" i="18"/>
  <c r="AP222" i="18"/>
  <c r="N226" i="68" s="1"/>
  <c r="AP92" i="18"/>
  <c r="BF222" i="18"/>
  <c r="AD226" i="68" s="1"/>
  <c r="BF92" i="18"/>
  <c r="M87" i="68"/>
  <c r="D9" i="18"/>
  <c r="L9" i="18"/>
  <c r="C3" i="90" s="1"/>
  <c r="C6" i="90" s="1"/>
  <c r="BL214" i="18"/>
  <c r="C39" i="18"/>
  <c r="AG35" i="18"/>
  <c r="AG26" i="18" s="1"/>
  <c r="AI38" i="18"/>
  <c r="AI31" i="18" s="1"/>
  <c r="Y53" i="18"/>
  <c r="AK56" i="18"/>
  <c r="AK159" i="18" s="1"/>
  <c r="BF56" i="18"/>
  <c r="BN56" i="18"/>
  <c r="D92" i="18"/>
  <c r="H95" i="18"/>
  <c r="J44" i="68" s="1"/>
  <c r="J45" i="68" s="1"/>
  <c r="J46" i="68" s="1"/>
  <c r="J47" i="68" s="1"/>
  <c r="AH92" i="18"/>
  <c r="BN92" i="18"/>
  <c r="C108" i="18"/>
  <c r="C88" i="18"/>
  <c r="G127" i="18"/>
  <c r="G128" i="18" s="1"/>
  <c r="L92" i="18"/>
  <c r="AX108" i="18"/>
  <c r="AX189" i="18" s="1"/>
  <c r="Z220" i="18"/>
  <c r="Z108" i="18"/>
  <c r="Z88" i="18"/>
  <c r="AH220" i="18"/>
  <c r="F224" i="68" s="1"/>
  <c r="AH108" i="18"/>
  <c r="AP220" i="18"/>
  <c r="N224" i="68" s="1"/>
  <c r="AP108" i="18"/>
  <c r="AP189" i="18" s="1"/>
  <c r="AP88" i="18"/>
  <c r="AX220" i="18"/>
  <c r="V224" i="68" s="1"/>
  <c r="BF220" i="18"/>
  <c r="AD224" i="68" s="1"/>
  <c r="BF108" i="18"/>
  <c r="BF189" i="18" s="1"/>
  <c r="BF88" i="18"/>
  <c r="BN108" i="18"/>
  <c r="BN189" i="18" s="1"/>
  <c r="O122" i="18"/>
  <c r="O103" i="18"/>
  <c r="Y35" i="18"/>
  <c r="Y26" i="18" s="1"/>
  <c r="BE53" i="18"/>
  <c r="BE37" i="18"/>
  <c r="BI56" i="18"/>
  <c r="P122" i="18"/>
  <c r="P103" i="18"/>
  <c r="P63" i="18"/>
  <c r="J22" i="18"/>
  <c r="E38" i="18"/>
  <c r="H38" i="18"/>
  <c r="H31" i="18" s="1"/>
  <c r="J95" i="68" s="1"/>
  <c r="AM38" i="18"/>
  <c r="AC36" i="18"/>
  <c r="AC53" i="18"/>
  <c r="AS56" i="18"/>
  <c r="AS48" i="18" s="1"/>
  <c r="Y92" i="18"/>
  <c r="AO92" i="18"/>
  <c r="BE92" i="18"/>
  <c r="AL92" i="18"/>
  <c r="F122" i="18"/>
  <c r="F103" i="18"/>
  <c r="F63" i="18"/>
  <c r="AR92" i="18"/>
  <c r="AR41" i="18"/>
  <c r="D39" i="18"/>
  <c r="D122" i="18"/>
  <c r="D103" i="18"/>
  <c r="L122" i="18"/>
  <c r="L103" i="18"/>
  <c r="L63" i="18"/>
  <c r="Q122" i="18"/>
  <c r="Q103" i="18"/>
  <c r="Q63" i="18"/>
  <c r="H35" i="18"/>
  <c r="AO37" i="18"/>
  <c r="BM37" i="18"/>
  <c r="AD38" i="18"/>
  <c r="BJ38" i="18"/>
  <c r="BJ32" i="18" s="1"/>
  <c r="K56" i="18"/>
  <c r="K159" i="18" s="1"/>
  <c r="X56" i="18"/>
  <c r="X48" i="18" s="1"/>
  <c r="BA56" i="18"/>
  <c r="BA159" i="18" s="1"/>
  <c r="G63" i="18"/>
  <c r="O63" i="18"/>
  <c r="K88" i="18"/>
  <c r="AW92" i="18"/>
  <c r="AD221" i="18"/>
  <c r="B225" i="68" s="1"/>
  <c r="AD92" i="18"/>
  <c r="AT221" i="18"/>
  <c r="R225" i="68" s="1"/>
  <c r="AT92" i="18"/>
  <c r="BJ221" i="18"/>
  <c r="AH225" i="68" s="1"/>
  <c r="BJ92" i="18"/>
  <c r="H103" i="18"/>
  <c r="H63" i="18"/>
  <c r="S122" i="18"/>
  <c r="S103" i="18"/>
  <c r="S63" i="18"/>
  <c r="BM214" i="18"/>
  <c r="AK218" i="68" s="1"/>
  <c r="B37" i="18"/>
  <c r="Z36" i="18"/>
  <c r="AV38" i="18"/>
  <c r="AV32" i="18" s="1"/>
  <c r="F88" i="18"/>
  <c r="U63" i="18"/>
  <c r="X216" i="18"/>
  <c r="X105" i="18"/>
  <c r="AF216" i="18"/>
  <c r="D220" i="68" s="1"/>
  <c r="AF105" i="18"/>
  <c r="AN216" i="18"/>
  <c r="L220" i="68" s="1"/>
  <c r="AN105" i="18"/>
  <c r="AV216" i="18"/>
  <c r="T220" i="68" s="1"/>
  <c r="AV105" i="18"/>
  <c r="BD216" i="18"/>
  <c r="AB220" i="68" s="1"/>
  <c r="BD105" i="18"/>
  <c r="BL105" i="18"/>
  <c r="AK217" i="18"/>
  <c r="I221" i="68" s="1"/>
  <c r="AK105" i="18"/>
  <c r="BA217" i="18"/>
  <c r="Y221" i="68" s="1"/>
  <c r="BA105" i="18"/>
  <c r="AD219" i="18"/>
  <c r="B223" i="68" s="1"/>
  <c r="AD108" i="18"/>
  <c r="AL219" i="18"/>
  <c r="J223" i="68" s="1"/>
  <c r="AL108" i="18"/>
  <c r="AT219" i="18"/>
  <c r="R223" i="68" s="1"/>
  <c r="AT108" i="18"/>
  <c r="AT189" i="18" s="1"/>
  <c r="BB219" i="18"/>
  <c r="Z223" i="68" s="1"/>
  <c r="BB108" i="18"/>
  <c r="BJ219" i="18"/>
  <c r="AH223" i="68" s="1"/>
  <c r="BJ108" i="18"/>
  <c r="AL226" i="18"/>
  <c r="J230" i="68" s="1"/>
  <c r="AT226" i="18"/>
  <c r="R230" i="68" s="1"/>
  <c r="BJ226" i="18"/>
  <c r="AH230" i="68" s="1"/>
  <c r="BJ115" i="18"/>
  <c r="I103" i="18"/>
  <c r="I63" i="18"/>
  <c r="T122" i="18"/>
  <c r="T63" i="18"/>
  <c r="BN214" i="18"/>
  <c r="AL218" i="68" s="1"/>
  <c r="AP218" i="68" s="1"/>
  <c r="BR214" i="18" s="1"/>
  <c r="G88" i="18"/>
  <c r="G39" i="18"/>
  <c r="X53" i="18"/>
  <c r="X36" i="18"/>
  <c r="AF53" i="18"/>
  <c r="AF36" i="18"/>
  <c r="AN53" i="18"/>
  <c r="AN36" i="18"/>
  <c r="AV53" i="18"/>
  <c r="AV36" i="18"/>
  <c r="BD53" i="18"/>
  <c r="BD36" i="18"/>
  <c r="BL53" i="18"/>
  <c r="BL36" i="18"/>
  <c r="AD56" i="18"/>
  <c r="AD48" i="18" s="1"/>
  <c r="AL56" i="18"/>
  <c r="AL159" i="18" s="1"/>
  <c r="AT56" i="18"/>
  <c r="BB56" i="18"/>
  <c r="BJ56" i="18"/>
  <c r="X92" i="18"/>
  <c r="AF92" i="18"/>
  <c r="AN92" i="18"/>
  <c r="AV92" i="18"/>
  <c r="BD92" i="18"/>
  <c r="BL92" i="18"/>
  <c r="AL88" i="18"/>
  <c r="BB88" i="18"/>
  <c r="L108" i="18"/>
  <c r="L140" i="18" s="1"/>
  <c r="U103" i="18"/>
  <c r="AS105" i="18"/>
  <c r="AS188" i="18" s="1"/>
  <c r="AL127" i="18"/>
  <c r="AL128" i="18" s="1"/>
  <c r="AM135" i="18"/>
  <c r="AX36" i="18"/>
  <c r="AC56" i="18"/>
  <c r="AC48" i="18" s="1"/>
  <c r="B63" i="18"/>
  <c r="Q68" i="18"/>
  <c r="AA92" i="18"/>
  <c r="AQ92" i="18"/>
  <c r="BG92" i="18"/>
  <c r="B103" i="18"/>
  <c r="I108" i="18"/>
  <c r="I140" i="18" s="1"/>
  <c r="I88" i="18"/>
  <c r="H108" i="18"/>
  <c r="G92" i="18"/>
  <c r="F108" i="18"/>
  <c r="F140" i="18" s="1"/>
  <c r="F145" i="18" s="1"/>
  <c r="F92" i="18"/>
  <c r="K122" i="18"/>
  <c r="K103" i="18"/>
  <c r="BH214" i="18"/>
  <c r="AF218" i="68" s="1"/>
  <c r="AY38" i="18"/>
  <c r="AY29" i="18" s="1"/>
  <c r="AL50" i="18"/>
  <c r="BB50" i="18"/>
  <c r="BJ50" i="18"/>
  <c r="X88" i="18"/>
  <c r="AF88" i="18"/>
  <c r="AN88" i="18"/>
  <c r="AV88" i="18"/>
  <c r="BD88" i="18"/>
  <c r="BL88" i="18"/>
  <c r="C63" i="18"/>
  <c r="C103" i="18"/>
  <c r="B88" i="18"/>
  <c r="J88" i="18"/>
  <c r="F127" i="18"/>
  <c r="F128" i="18" s="1"/>
  <c r="AE222" i="18"/>
  <c r="C226" i="68" s="1"/>
  <c r="AE108" i="18"/>
  <c r="AE92" i="18"/>
  <c r="AM222" i="18"/>
  <c r="K226" i="68" s="1"/>
  <c r="AM92" i="18"/>
  <c r="AU222" i="18"/>
  <c r="S226" i="68" s="1"/>
  <c r="AU108" i="18"/>
  <c r="AU189" i="18" s="1"/>
  <c r="AU92" i="18"/>
  <c r="BC222" i="18"/>
  <c r="AA226" i="68" s="1"/>
  <c r="BC92" i="18"/>
  <c r="BK222" i="18"/>
  <c r="AI226" i="68" s="1"/>
  <c r="BK108" i="18"/>
  <c r="BK189" i="18" s="1"/>
  <c r="BK92" i="18"/>
  <c r="AJ224" i="18"/>
  <c r="H228" i="68" s="1"/>
  <c r="AJ98" i="18"/>
  <c r="AJ127" i="18"/>
  <c r="AJ128" i="18" s="1"/>
  <c r="AR224" i="18"/>
  <c r="P228" i="68" s="1"/>
  <c r="AR98" i="18"/>
  <c r="AZ224" i="18"/>
  <c r="X228" i="68" s="1"/>
  <c r="BH224" i="18"/>
  <c r="AF228" i="68" s="1"/>
  <c r="BH98" i="18"/>
  <c r="X115" i="18"/>
  <c r="X141" i="18" s="1"/>
  <c r="AF115" i="18"/>
  <c r="AA56" i="18"/>
  <c r="AI56" i="18"/>
  <c r="AQ56" i="18"/>
  <c r="AY56" i="18"/>
  <c r="BG56" i="18"/>
  <c r="AM108" i="18"/>
  <c r="BC108" i="18"/>
  <c r="AX227" i="18"/>
  <c r="V231" i="68" s="1"/>
  <c r="AX115" i="18"/>
  <c r="AX162" i="18" s="1"/>
  <c r="BF227" i="18"/>
  <c r="AD231" i="68" s="1"/>
  <c r="BF115" i="18"/>
  <c r="K129" i="18"/>
  <c r="K123" i="18" s="1"/>
  <c r="K162" i="18"/>
  <c r="K108" i="18"/>
  <c r="K140" i="18" s="1"/>
  <c r="AE216" i="18"/>
  <c r="C220" i="68" s="1"/>
  <c r="AE105" i="18"/>
  <c r="AM216" i="18"/>
  <c r="K220" i="68" s="1"/>
  <c r="AM105" i="18"/>
  <c r="AU216" i="18"/>
  <c r="S220" i="68" s="1"/>
  <c r="AU105" i="18"/>
  <c r="BC216" i="18"/>
  <c r="AA220" i="68" s="1"/>
  <c r="BC105" i="18"/>
  <c r="BK216" i="18"/>
  <c r="AI220" i="68" s="1"/>
  <c r="BK105" i="18"/>
  <c r="AB217" i="18"/>
  <c r="AJ217" i="18"/>
  <c r="H221" i="68" s="1"/>
  <c r="AR217" i="18"/>
  <c r="P221" i="68" s="1"/>
  <c r="AZ217" i="18"/>
  <c r="X221" i="68" s="1"/>
  <c r="BH217" i="18"/>
  <c r="AF221" i="68" s="1"/>
  <c r="AI224" i="18"/>
  <c r="G228" i="68" s="1"/>
  <c r="AQ224" i="18"/>
  <c r="O228" i="68" s="1"/>
  <c r="AY224" i="18"/>
  <c r="W228" i="68" s="1"/>
  <c r="BG224" i="18"/>
  <c r="AE228" i="68" s="1"/>
  <c r="AY227" i="18"/>
  <c r="W231" i="68" s="1"/>
  <c r="BG227" i="18"/>
  <c r="AE231" i="68" s="1"/>
  <c r="BG115" i="18"/>
  <c r="I177" i="18"/>
  <c r="G108" i="18"/>
  <c r="G140" i="18" s="1"/>
  <c r="L105" i="18"/>
  <c r="L188" i="18" s="1"/>
  <c r="Y216" i="18"/>
  <c r="Y105" i="18"/>
  <c r="AG216" i="18"/>
  <c r="E220" i="68" s="1"/>
  <c r="AG105" i="18"/>
  <c r="AO216" i="18"/>
  <c r="M220" i="68" s="1"/>
  <c r="AO105" i="18"/>
  <c r="AW216" i="18"/>
  <c r="U220" i="68" s="1"/>
  <c r="AW105" i="18"/>
  <c r="BE216" i="18"/>
  <c r="AC220" i="68" s="1"/>
  <c r="BE105" i="18"/>
  <c r="BM105" i="18"/>
  <c r="AD217" i="18"/>
  <c r="B221" i="68" s="1"/>
  <c r="AL217" i="18"/>
  <c r="J221" i="68" s="1"/>
  <c r="AT217" i="18"/>
  <c r="R221" i="68" s="1"/>
  <c r="BB217" i="18"/>
  <c r="Z221" i="68" s="1"/>
  <c r="BJ217" i="18"/>
  <c r="AH221" i="68" s="1"/>
  <c r="AA219" i="18"/>
  <c r="AA108" i="18"/>
  <c r="AI219" i="18"/>
  <c r="G223" i="68" s="1"/>
  <c r="AI108" i="18"/>
  <c r="AQ219" i="18"/>
  <c r="O223" i="68" s="1"/>
  <c r="AQ108" i="18"/>
  <c r="AQ189" i="18" s="1"/>
  <c r="AY219" i="18"/>
  <c r="W223" i="68" s="1"/>
  <c r="AY108" i="18"/>
  <c r="BG219" i="18"/>
  <c r="AE223" i="68" s="1"/>
  <c r="BG108" i="18"/>
  <c r="BG189" i="18" s="1"/>
  <c r="AB221" i="18"/>
  <c r="AJ221" i="18"/>
  <c r="H225" i="68" s="1"/>
  <c r="AR221" i="18"/>
  <c r="P225" i="68" s="1"/>
  <c r="AZ221" i="18"/>
  <c r="X225" i="68" s="1"/>
  <c r="BH221" i="18"/>
  <c r="AF225" i="68" s="1"/>
  <c r="X222" i="18"/>
  <c r="AF222" i="18"/>
  <c r="D226" i="68" s="1"/>
  <c r="AN222" i="18"/>
  <c r="L226" i="68" s="1"/>
  <c r="AV222" i="18"/>
  <c r="T226" i="68" s="1"/>
  <c r="BD222" i="18"/>
  <c r="AB226" i="68" s="1"/>
  <c r="AK224" i="18"/>
  <c r="I228" i="68" s="1"/>
  <c r="AS224" i="18"/>
  <c r="Q228" i="68" s="1"/>
  <c r="BA224" i="18"/>
  <c r="Y228" i="68" s="1"/>
  <c r="BI224" i="18"/>
  <c r="AG228" i="68" s="1"/>
  <c r="BI194" i="18"/>
  <c r="BE223" i="18"/>
  <c r="AB226" i="18"/>
  <c r="AB115" i="18"/>
  <c r="AB141" i="18" s="1"/>
  <c r="AJ226" i="18"/>
  <c r="H230" i="68" s="1"/>
  <c r="AJ115" i="18"/>
  <c r="AJ190" i="18" s="1"/>
  <c r="AR226" i="18"/>
  <c r="P230" i="68" s="1"/>
  <c r="AZ226" i="18"/>
  <c r="X230" i="68" s="1"/>
  <c r="BH226" i="18"/>
  <c r="AF230" i="68" s="1"/>
  <c r="BH115" i="18"/>
  <c r="BH190" i="18" s="1"/>
  <c r="Z228" i="18"/>
  <c r="AH228" i="18"/>
  <c r="F232" i="68" s="1"/>
  <c r="AP228" i="18"/>
  <c r="N232" i="68" s="1"/>
  <c r="AX228" i="18"/>
  <c r="V232" i="68" s="1"/>
  <c r="BF228" i="18"/>
  <c r="AD232" i="68" s="1"/>
  <c r="G133" i="18"/>
  <c r="AB216" i="18"/>
  <c r="Z216" i="18"/>
  <c r="Z105" i="18"/>
  <c r="AH216" i="18"/>
  <c r="F220" i="68" s="1"/>
  <c r="AH105" i="18"/>
  <c r="AP216" i="18"/>
  <c r="N220" i="68" s="1"/>
  <c r="AP105" i="18"/>
  <c r="AX216" i="18"/>
  <c r="V220" i="68" s="1"/>
  <c r="AX105" i="18"/>
  <c r="BF216" i="18"/>
  <c r="AD220" i="68" s="1"/>
  <c r="BF105" i="18"/>
  <c r="BN105" i="18"/>
  <c r="AB219" i="18"/>
  <c r="AB108" i="18"/>
  <c r="AJ219" i="18"/>
  <c r="H223" i="68" s="1"/>
  <c r="AJ108" i="18"/>
  <c r="AR219" i="18"/>
  <c r="P223" i="68" s="1"/>
  <c r="AR108" i="18"/>
  <c r="AZ219" i="18"/>
  <c r="X223" i="68" s="1"/>
  <c r="AZ108" i="18"/>
  <c r="BH219" i="18"/>
  <c r="AF223" i="68" s="1"/>
  <c r="BH108" i="18"/>
  <c r="X220" i="18"/>
  <c r="AF220" i="18"/>
  <c r="D224" i="68" s="1"/>
  <c r="AN220" i="18"/>
  <c r="L224" i="68" s="1"/>
  <c r="AV220" i="18"/>
  <c r="T224" i="68" s="1"/>
  <c r="BD220" i="18"/>
  <c r="AB224" i="68" s="1"/>
  <c r="AC221" i="18"/>
  <c r="AK221" i="18"/>
  <c r="I225" i="68" s="1"/>
  <c r="AS221" i="18"/>
  <c r="Q225" i="68" s="1"/>
  <c r="BA221" i="18"/>
  <c r="Y225" i="68" s="1"/>
  <c r="BI221" i="18"/>
  <c r="AG225" i="68" s="1"/>
  <c r="Y222" i="18"/>
  <c r="AG222" i="18"/>
  <c r="E226" i="68" s="1"/>
  <c r="AO222" i="18"/>
  <c r="M226" i="68" s="1"/>
  <c r="AW222" i="18"/>
  <c r="U226" i="68" s="1"/>
  <c r="BE222" i="18"/>
  <c r="AC226" i="68" s="1"/>
  <c r="AL224" i="18"/>
  <c r="J228" i="68" s="1"/>
  <c r="AT224" i="18"/>
  <c r="R228" i="68" s="1"/>
  <c r="BB224" i="18"/>
  <c r="Z228" i="68" s="1"/>
  <c r="BJ224" i="18"/>
  <c r="AH228" i="68" s="1"/>
  <c r="BJ194" i="18"/>
  <c r="BF223" i="18"/>
  <c r="AD227" i="68" s="1"/>
  <c r="AF150" i="18"/>
  <c r="AN150" i="18"/>
  <c r="AV150" i="18"/>
  <c r="AG217" i="18"/>
  <c r="E221" i="68" s="1"/>
  <c r="J194" i="18"/>
  <c r="L118" i="68" s="1"/>
  <c r="L119" i="68" s="1"/>
  <c r="L120" i="68" s="1"/>
  <c r="L121" i="68" s="1"/>
  <c r="L194" i="18"/>
  <c r="N118" i="68" s="1"/>
  <c r="N119" i="68" s="1"/>
  <c r="N120" i="68" s="1"/>
  <c r="N121" i="68" s="1"/>
  <c r="AA216" i="18"/>
  <c r="AI216" i="18"/>
  <c r="G220" i="68" s="1"/>
  <c r="AQ216" i="18"/>
  <c r="O220" i="68" s="1"/>
  <c r="AY216" i="18"/>
  <c r="W220" i="68" s="1"/>
  <c r="BG216" i="18"/>
  <c r="AE220" i="68" s="1"/>
  <c r="AE217" i="18"/>
  <c r="C221" i="68" s="1"/>
  <c r="AM217" i="18"/>
  <c r="K221" i="68" s="1"/>
  <c r="AU217" i="18"/>
  <c r="S221" i="68" s="1"/>
  <c r="BC217" i="18"/>
  <c r="AA221" i="68" s="1"/>
  <c r="BK217" i="18"/>
  <c r="AI221" i="68" s="1"/>
  <c r="AE219" i="18"/>
  <c r="C223" i="68" s="1"/>
  <c r="AM219" i="18"/>
  <c r="K223" i="68" s="1"/>
  <c r="AU219" i="18"/>
  <c r="S223" i="68" s="1"/>
  <c r="BC219" i="18"/>
  <c r="AA223" i="68" s="1"/>
  <c r="BK219" i="18"/>
  <c r="AI223" i="68" s="1"/>
  <c r="AA220" i="18"/>
  <c r="AI220" i="18"/>
  <c r="G224" i="68" s="1"/>
  <c r="AQ220" i="18"/>
  <c r="O224" i="68" s="1"/>
  <c r="AY220" i="18"/>
  <c r="W224" i="68" s="1"/>
  <c r="BG220" i="18"/>
  <c r="AE224" i="68" s="1"/>
  <c r="AE221" i="18"/>
  <c r="C225" i="68" s="1"/>
  <c r="AM221" i="18"/>
  <c r="K225" i="68" s="1"/>
  <c r="AU221" i="18"/>
  <c r="S225" i="68" s="1"/>
  <c r="BC221" i="18"/>
  <c r="AA225" i="68" s="1"/>
  <c r="BK221" i="18"/>
  <c r="AI225" i="68" s="1"/>
  <c r="AA222" i="18"/>
  <c r="AI222" i="18"/>
  <c r="G226" i="68" s="1"/>
  <c r="AQ222" i="18"/>
  <c r="O226" i="68" s="1"/>
  <c r="AY222" i="18"/>
  <c r="W226" i="68" s="1"/>
  <c r="BG222" i="18"/>
  <c r="AE226" i="68" s="1"/>
  <c r="AM224" i="18"/>
  <c r="K228" i="68" s="1"/>
  <c r="AU224" i="18"/>
  <c r="S228" i="68" s="1"/>
  <c r="BC224" i="18"/>
  <c r="AA228" i="68" s="1"/>
  <c r="BK224" i="18"/>
  <c r="AI228" i="68" s="1"/>
  <c r="BK194" i="18"/>
  <c r="AE226" i="18"/>
  <c r="C230" i="68" s="1"/>
  <c r="AM226" i="18"/>
  <c r="K230" i="68" s="1"/>
  <c r="AU226" i="18"/>
  <c r="S230" i="68" s="1"/>
  <c r="BC226" i="18"/>
  <c r="AA230" i="68" s="1"/>
  <c r="BC115" i="18"/>
  <c r="BK226" i="18"/>
  <c r="AI230" i="68" s="1"/>
  <c r="BK115" i="18"/>
  <c r="J129" i="18"/>
  <c r="J123" i="18" s="1"/>
  <c r="AJ216" i="18"/>
  <c r="H220" i="68" s="1"/>
  <c r="AR216" i="18"/>
  <c r="P220" i="68" s="1"/>
  <c r="AZ216" i="18"/>
  <c r="X220" i="68" s="1"/>
  <c r="BH216" i="18"/>
  <c r="AF220" i="68" s="1"/>
  <c r="X217" i="18"/>
  <c r="AF217" i="18"/>
  <c r="D221" i="68" s="1"/>
  <c r="AN217" i="18"/>
  <c r="L221" i="68" s="1"/>
  <c r="AV217" i="18"/>
  <c r="T221" i="68" s="1"/>
  <c r="BD217" i="18"/>
  <c r="AB221" i="68" s="1"/>
  <c r="X219" i="18"/>
  <c r="AF219" i="18"/>
  <c r="D223" i="68" s="1"/>
  <c r="AN219" i="18"/>
  <c r="L223" i="68" s="1"/>
  <c r="AV219" i="18"/>
  <c r="T223" i="68" s="1"/>
  <c r="BD219" i="18"/>
  <c r="AB223" i="68" s="1"/>
  <c r="AB220" i="18"/>
  <c r="AJ220" i="18"/>
  <c r="H224" i="68" s="1"/>
  <c r="AR220" i="18"/>
  <c r="P224" i="68" s="1"/>
  <c r="AZ220" i="18"/>
  <c r="X224" i="68" s="1"/>
  <c r="BH220" i="18"/>
  <c r="AF224" i="68" s="1"/>
  <c r="X221" i="18"/>
  <c r="AF221" i="18"/>
  <c r="D225" i="68" s="1"/>
  <c r="AN221" i="18"/>
  <c r="L225" i="68" s="1"/>
  <c r="AV221" i="18"/>
  <c r="T225" i="68" s="1"/>
  <c r="BD221" i="18"/>
  <c r="AB225" i="68" s="1"/>
  <c r="AB222" i="18"/>
  <c r="AJ222" i="18"/>
  <c r="H226" i="68" s="1"/>
  <c r="AR222" i="18"/>
  <c r="P226" i="68" s="1"/>
  <c r="AZ222" i="18"/>
  <c r="X226" i="68" s="1"/>
  <c r="BH222" i="18"/>
  <c r="AF226" i="68" s="1"/>
  <c r="AF224" i="18"/>
  <c r="D228" i="68" s="1"/>
  <c r="AN224" i="18"/>
  <c r="L228" i="68" s="1"/>
  <c r="AV224" i="18"/>
  <c r="T228" i="68" s="1"/>
  <c r="BD224" i="18"/>
  <c r="AB228" i="68" s="1"/>
  <c r="BH223" i="18"/>
  <c r="AF227" i="68" s="1"/>
  <c r="H129" i="18"/>
  <c r="AC216" i="18"/>
  <c r="AK216" i="18"/>
  <c r="I220" i="68" s="1"/>
  <c r="AS216" i="18"/>
  <c r="Q220" i="68" s="1"/>
  <c r="BA216" i="18"/>
  <c r="Y220" i="68" s="1"/>
  <c r="BI216" i="18"/>
  <c r="AG220" i="68" s="1"/>
  <c r="Y217" i="18"/>
  <c r="AO217" i="18"/>
  <c r="M221" i="68" s="1"/>
  <c r="AW217" i="18"/>
  <c r="U221" i="68" s="1"/>
  <c r="BE217" i="18"/>
  <c r="AC221" i="68" s="1"/>
  <c r="Y219" i="18"/>
  <c r="AG219" i="18"/>
  <c r="E223" i="68" s="1"/>
  <c r="AO219" i="18"/>
  <c r="M223" i="68" s="1"/>
  <c r="AW219" i="18"/>
  <c r="U223" i="68" s="1"/>
  <c r="BE219" i="18"/>
  <c r="AC223" i="68" s="1"/>
  <c r="AC220" i="18"/>
  <c r="AK220" i="18"/>
  <c r="I224" i="68" s="1"/>
  <c r="AS220" i="18"/>
  <c r="Q224" i="68" s="1"/>
  <c r="BA220" i="18"/>
  <c r="Y224" i="68" s="1"/>
  <c r="BI220" i="18"/>
  <c r="AG224" i="68" s="1"/>
  <c r="Y221" i="18"/>
  <c r="AG221" i="18"/>
  <c r="E225" i="68" s="1"/>
  <c r="AO221" i="18"/>
  <c r="M225" i="68" s="1"/>
  <c r="AW221" i="18"/>
  <c r="U225" i="68" s="1"/>
  <c r="BE221" i="18"/>
  <c r="AC225" i="68" s="1"/>
  <c r="AC222" i="18"/>
  <c r="AK222" i="18"/>
  <c r="I226" i="68" s="1"/>
  <c r="AS222" i="18"/>
  <c r="Q226" i="68" s="1"/>
  <c r="BA222" i="18"/>
  <c r="Y226" i="68" s="1"/>
  <c r="BI222" i="18"/>
  <c r="AG226" i="68" s="1"/>
  <c r="AG224" i="18"/>
  <c r="E228" i="68" s="1"/>
  <c r="AO224" i="18"/>
  <c r="M228" i="68" s="1"/>
  <c r="AW224" i="18"/>
  <c r="U228" i="68" s="1"/>
  <c r="BE224" i="18"/>
  <c r="AC228" i="68" s="1"/>
  <c r="BI223" i="18"/>
  <c r="AG227" i="68" s="1"/>
  <c r="AK115" i="18"/>
  <c r="AK162" i="18" s="1"/>
  <c r="AV115" i="18"/>
  <c r="Y226" i="18"/>
  <c r="Y115" i="18"/>
  <c r="AG226" i="18"/>
  <c r="E230" i="68" s="1"/>
  <c r="AO226" i="18"/>
  <c r="M230" i="68" s="1"/>
  <c r="AO115" i="18"/>
  <c r="AW226" i="18"/>
  <c r="U230" i="68" s="1"/>
  <c r="AW115" i="18"/>
  <c r="AW190" i="18" s="1"/>
  <c r="BE226" i="18"/>
  <c r="AC230" i="68" s="1"/>
  <c r="BE115" i="18"/>
  <c r="BM115" i="18"/>
  <c r="BB227" i="18"/>
  <c r="Z231" i="68" s="1"/>
  <c r="BJ227" i="18"/>
  <c r="AH231" i="68" s="1"/>
  <c r="X228" i="18"/>
  <c r="AF228" i="18"/>
  <c r="D232" i="68" s="1"/>
  <c r="AN228" i="18"/>
  <c r="L232" i="68" s="1"/>
  <c r="AV228" i="18"/>
  <c r="T232" i="68" s="1"/>
  <c r="BD228" i="18"/>
  <c r="AB232" i="68" s="1"/>
  <c r="BC194" i="18"/>
  <c r="AD216" i="18"/>
  <c r="B220" i="68" s="1"/>
  <c r="AL216" i="18"/>
  <c r="J220" i="68" s="1"/>
  <c r="AT216" i="18"/>
  <c r="R220" i="68" s="1"/>
  <c r="BB216" i="18"/>
  <c r="Z220" i="68" s="1"/>
  <c r="BJ216" i="18"/>
  <c r="AH220" i="68" s="1"/>
  <c r="Z217" i="18"/>
  <c r="AH217" i="18"/>
  <c r="F221" i="68" s="1"/>
  <c r="AP217" i="18"/>
  <c r="N221" i="68" s="1"/>
  <c r="AX217" i="18"/>
  <c r="V221" i="68" s="1"/>
  <c r="BF217" i="18"/>
  <c r="AD221" i="68" s="1"/>
  <c r="Z219" i="18"/>
  <c r="AH219" i="18"/>
  <c r="F223" i="68" s="1"/>
  <c r="AP219" i="18"/>
  <c r="N223" i="68" s="1"/>
  <c r="AX219" i="18"/>
  <c r="V223" i="68" s="1"/>
  <c r="BF219" i="18"/>
  <c r="AD223" i="68" s="1"/>
  <c r="AD220" i="18"/>
  <c r="B224" i="68" s="1"/>
  <c r="AL220" i="18"/>
  <c r="J224" i="68" s="1"/>
  <c r="AT220" i="18"/>
  <c r="R224" i="68" s="1"/>
  <c r="BB220" i="18"/>
  <c r="Z224" i="68" s="1"/>
  <c r="BJ220" i="18"/>
  <c r="AH224" i="68" s="1"/>
  <c r="Z221" i="18"/>
  <c r="AH221" i="18"/>
  <c r="F225" i="68" s="1"/>
  <c r="AP221" i="18"/>
  <c r="N225" i="68" s="1"/>
  <c r="AX221" i="18"/>
  <c r="V225" i="68" s="1"/>
  <c r="BF221" i="18"/>
  <c r="AD225" i="68" s="1"/>
  <c r="AD222" i="18"/>
  <c r="B226" i="68" s="1"/>
  <c r="AL222" i="18"/>
  <c r="J226" i="68" s="1"/>
  <c r="AT222" i="18"/>
  <c r="R226" i="68" s="1"/>
  <c r="BB222" i="18"/>
  <c r="Z226" i="68" s="1"/>
  <c r="BJ222" i="18"/>
  <c r="AH226" i="68" s="1"/>
  <c r="AH224" i="18"/>
  <c r="F228" i="68" s="1"/>
  <c r="AP224" i="18"/>
  <c r="N228" i="68" s="1"/>
  <c r="AX224" i="18"/>
  <c r="V228" i="68" s="1"/>
  <c r="BF224" i="18"/>
  <c r="AD228" i="68" s="1"/>
  <c r="BF194" i="18"/>
  <c r="BJ223" i="18"/>
  <c r="AH227" i="68" s="1"/>
  <c r="Z226" i="18"/>
  <c r="AH226" i="18"/>
  <c r="F230" i="68" s="1"/>
  <c r="AP226" i="18"/>
  <c r="N230" i="68" s="1"/>
  <c r="AX226" i="18"/>
  <c r="V230" i="68" s="1"/>
  <c r="BF226" i="18"/>
  <c r="AD230" i="68" s="1"/>
  <c r="Y228" i="18"/>
  <c r="AG228" i="18"/>
  <c r="E232" i="68" s="1"/>
  <c r="AO228" i="18"/>
  <c r="M232" i="68" s="1"/>
  <c r="AW228" i="18"/>
  <c r="U232" i="68" s="1"/>
  <c r="BE228" i="18"/>
  <c r="AC232" i="68" s="1"/>
  <c r="AK127" i="18"/>
  <c r="AK128" i="18" s="1"/>
  <c r="BG223" i="18"/>
  <c r="AE227" i="68" s="1"/>
  <c r="AA226" i="18"/>
  <c r="AI226" i="18"/>
  <c r="G230" i="68" s="1"/>
  <c r="AQ226" i="18"/>
  <c r="O230" i="68" s="1"/>
  <c r="AY226" i="18"/>
  <c r="W230" i="68" s="1"/>
  <c r="BG226" i="18"/>
  <c r="AE230" i="68" s="1"/>
  <c r="BC227" i="18"/>
  <c r="AA231" i="68" s="1"/>
  <c r="BK227" i="18"/>
  <c r="AI231" i="68" s="1"/>
  <c r="AJ228" i="18"/>
  <c r="H232" i="68" s="1"/>
  <c r="AR228" i="18"/>
  <c r="P232" i="68" s="1"/>
  <c r="AZ228" i="18"/>
  <c r="X232" i="68" s="1"/>
  <c r="BH228" i="18"/>
  <c r="AF232" i="68" s="1"/>
  <c r="BD227" i="18"/>
  <c r="AB231" i="68" s="1"/>
  <c r="AK228" i="18"/>
  <c r="I232" i="68" s="1"/>
  <c r="AS228" i="18"/>
  <c r="Q232" i="68" s="1"/>
  <c r="BA228" i="18"/>
  <c r="Y232" i="68" s="1"/>
  <c r="BI228" i="18"/>
  <c r="AG232" i="68" s="1"/>
  <c r="G243" i="18"/>
  <c r="J177" i="18"/>
  <c r="AQ177" i="18"/>
  <c r="AC226" i="18"/>
  <c r="AK226" i="18"/>
  <c r="I230" i="68" s="1"/>
  <c r="AS226" i="18"/>
  <c r="Q230" i="68" s="1"/>
  <c r="BA226" i="18"/>
  <c r="Y230" i="68" s="1"/>
  <c r="BI226" i="18"/>
  <c r="AG230" i="68" s="1"/>
  <c r="AW227" i="18"/>
  <c r="U231" i="68" s="1"/>
  <c r="BE227" i="18"/>
  <c r="AC231" i="68" s="1"/>
  <c r="AL228" i="18"/>
  <c r="J232" i="68" s="1"/>
  <c r="AT228" i="18"/>
  <c r="R232" i="68" s="1"/>
  <c r="BB228" i="18"/>
  <c r="Z232" i="68" s="1"/>
  <c r="BJ228" i="18"/>
  <c r="AH232" i="68" s="1"/>
  <c r="F132" i="18"/>
  <c r="F131" i="18" s="1"/>
  <c r="H243" i="18"/>
  <c r="AL231" i="18"/>
  <c r="J235" i="68" s="1"/>
  <c r="AL177" i="18"/>
  <c r="AT231" i="18"/>
  <c r="R235" i="68" s="1"/>
  <c r="AT177" i="18"/>
  <c r="BB177" i="18"/>
  <c r="BJ231" i="18"/>
  <c r="AH235" i="68" s="1"/>
  <c r="BJ177" i="18"/>
  <c r="BD194" i="18"/>
  <c r="BL194" i="18"/>
  <c r="G132" i="18"/>
  <c r="K243" i="18"/>
  <c r="BE150" i="18"/>
  <c r="BF177" i="18"/>
  <c r="BN177" i="18"/>
  <c r="BN237" i="18" s="1"/>
  <c r="AQ232" i="18"/>
  <c r="O236" i="68" s="1"/>
  <c r="AY232" i="18"/>
  <c r="W236" i="68" s="1"/>
  <c r="AY190" i="18"/>
  <c r="BG232" i="18"/>
  <c r="AE236" i="68" s="1"/>
  <c r="I194" i="18"/>
  <c r="K118" i="68" s="1"/>
  <c r="K119" i="68" s="1"/>
  <c r="K120" i="68" s="1"/>
  <c r="K121" i="68" s="1"/>
  <c r="K190" i="18"/>
  <c r="AM231" i="18"/>
  <c r="K235" i="68" s="1"/>
  <c r="AM177" i="18"/>
  <c r="AU231" i="18"/>
  <c r="S235" i="68" s="1"/>
  <c r="AU177" i="18"/>
  <c r="BK231" i="18"/>
  <c r="AI235" i="68" s="1"/>
  <c r="BK177" i="18"/>
  <c r="BK237" i="18" s="1"/>
  <c r="J182" i="18"/>
  <c r="K195" i="18"/>
  <c r="Z199" i="18"/>
  <c r="AP199" i="18"/>
  <c r="BN199" i="18"/>
  <c r="I243" i="18"/>
  <c r="G177" i="18"/>
  <c r="K177" i="18"/>
  <c r="K182" i="18"/>
  <c r="L182" i="18"/>
  <c r="J243" i="18"/>
  <c r="L177" i="18"/>
  <c r="L243" i="18"/>
  <c r="AN177" i="18"/>
  <c r="AV177" i="18"/>
  <c r="BD177" i="18"/>
  <c r="BB194" i="18"/>
  <c r="AW177" i="18"/>
  <c r="BE177" i="18"/>
  <c r="AP232" i="18"/>
  <c r="N236" i="68" s="1"/>
  <c r="AX232" i="18"/>
  <c r="V236" i="68" s="1"/>
  <c r="BF232" i="18"/>
  <c r="AD236" i="68" s="1"/>
  <c r="K194" i="18"/>
  <c r="M118" i="68" s="1"/>
  <c r="M119" i="68" s="1"/>
  <c r="AR230" i="18"/>
  <c r="P234" i="68" s="1"/>
  <c r="AZ230" i="18"/>
  <c r="X234" i="68" s="1"/>
  <c r="BH230" i="18"/>
  <c r="AF234" i="68" s="1"/>
  <c r="AN231" i="18"/>
  <c r="L235" i="68" s="1"/>
  <c r="AV231" i="18"/>
  <c r="T235" i="68" s="1"/>
  <c r="BD231" i="18"/>
  <c r="AB235" i="68" s="1"/>
  <c r="AJ232" i="18"/>
  <c r="H236" i="68" s="1"/>
  <c r="AR232" i="18"/>
  <c r="P236" i="68" s="1"/>
  <c r="AZ232" i="18"/>
  <c r="X236" i="68" s="1"/>
  <c r="BH232" i="18"/>
  <c r="AF236" i="68" s="1"/>
  <c r="AX194" i="18"/>
  <c r="AX182" i="18"/>
  <c r="AS230" i="18"/>
  <c r="Q234" i="68" s="1"/>
  <c r="BB182" i="18"/>
  <c r="BJ182" i="18"/>
  <c r="BG194" i="18"/>
  <c r="AT230" i="18"/>
  <c r="R234" i="68" s="1"/>
  <c r="BB230" i="18"/>
  <c r="Z234" i="68" s="1"/>
  <c r="AZ194" i="18"/>
  <c r="BH194" i="18"/>
  <c r="AE199" i="18"/>
  <c r="AM199" i="18"/>
  <c r="AU199" i="18"/>
  <c r="BC199" i="18"/>
  <c r="BK199" i="18"/>
  <c r="I188" i="18"/>
  <c r="AU230" i="18"/>
  <c r="S234" i="68" s="1"/>
  <c r="BI230" i="18"/>
  <c r="AG234" i="68" s="1"/>
  <c r="AO231" i="18"/>
  <c r="M235" i="68" s="1"/>
  <c r="AW231" i="18"/>
  <c r="U235" i="68" s="1"/>
  <c r="BE231" i="18"/>
  <c r="AC235" i="68" s="1"/>
  <c r="AK232" i="18"/>
  <c r="I236" i="68" s="1"/>
  <c r="AS232" i="18"/>
  <c r="Q236" i="68" s="1"/>
  <c r="BA232" i="18"/>
  <c r="Y236" i="68" s="1"/>
  <c r="BI232" i="18"/>
  <c r="AG236" i="68" s="1"/>
  <c r="BJ230" i="18"/>
  <c r="AH234" i="68" s="1"/>
  <c r="AP231" i="18"/>
  <c r="N235" i="68" s="1"/>
  <c r="AX231" i="18"/>
  <c r="V235" i="68" s="1"/>
  <c r="BF231" i="18"/>
  <c r="AD235" i="68" s="1"/>
  <c r="AL232" i="18"/>
  <c r="J236" i="68" s="1"/>
  <c r="BB232" i="18"/>
  <c r="Z236" i="68" s="1"/>
  <c r="BJ232" i="18"/>
  <c r="AH236" i="68" s="1"/>
  <c r="AJ231" i="18"/>
  <c r="H235" i="68" s="1"/>
  <c r="AR231" i="18"/>
  <c r="P235" i="68" s="1"/>
  <c r="BH231" i="18"/>
  <c r="AF235" i="68" s="1"/>
  <c r="AN232" i="18"/>
  <c r="L236" i="68" s="1"/>
  <c r="AV232" i="18"/>
  <c r="T236" i="68" s="1"/>
  <c r="BD232" i="18"/>
  <c r="AB236" i="68" s="1"/>
  <c r="AK231" i="18"/>
  <c r="I235" i="68" s="1"/>
  <c r="AS231" i="18"/>
  <c r="Q235" i="68" s="1"/>
  <c r="BI231" i="18"/>
  <c r="AG235" i="68" s="1"/>
  <c r="AO232" i="18"/>
  <c r="M236" i="68" s="1"/>
  <c r="AW232" i="18"/>
  <c r="U236" i="68" s="1"/>
  <c r="BE232" i="18"/>
  <c r="AC236" i="68" s="1"/>
  <c r="BB190" i="18"/>
  <c r="V45" i="21"/>
  <c r="AI15" i="21"/>
  <c r="AD43" i="21"/>
  <c r="E59" i="21"/>
  <c r="U59" i="21"/>
  <c r="T61" i="21"/>
  <c r="AK59" i="21"/>
  <c r="AK61" i="21" s="1"/>
  <c r="AJ60" i="21"/>
  <c r="AJ61" i="21"/>
  <c r="W43" i="21"/>
  <c r="J162" i="21"/>
  <c r="H24" i="21"/>
  <c r="F43" i="21"/>
  <c r="M59" i="21"/>
  <c r="M60" i="21" s="1"/>
  <c r="L61" i="21"/>
  <c r="L60" i="21"/>
  <c r="AC59" i="21"/>
  <c r="AB61" i="21"/>
  <c r="AB60" i="21"/>
  <c r="L24" i="21"/>
  <c r="AB24" i="21"/>
  <c r="M45" i="21"/>
  <c r="N43" i="21"/>
  <c r="AL43" i="21"/>
  <c r="AB21" i="21"/>
  <c r="G43" i="21"/>
  <c r="K43" i="21"/>
  <c r="AF43" i="21"/>
  <c r="I43" i="21"/>
  <c r="Q43" i="21"/>
  <c r="Y43" i="21"/>
  <c r="AB57" i="21"/>
  <c r="J43" i="21"/>
  <c r="AE60" i="21"/>
  <c r="AE61" i="21"/>
  <c r="R114" i="21"/>
  <c r="S142" i="21"/>
  <c r="T142" i="21" s="1"/>
  <c r="U142" i="21" s="1"/>
  <c r="V142" i="21" s="1"/>
  <c r="W142" i="21" s="1"/>
  <c r="W141" i="21"/>
  <c r="D53" i="21"/>
  <c r="L53" i="21"/>
  <c r="Z61" i="21"/>
  <c r="AG61" i="21"/>
  <c r="AH59" i="21"/>
  <c r="AD53" i="21"/>
  <c r="V60" i="21"/>
  <c r="V61" i="21"/>
  <c r="AK63" i="21"/>
  <c r="N59" i="21"/>
  <c r="AL59" i="21"/>
  <c r="P137" i="21"/>
  <c r="Q137" i="21" s="1"/>
  <c r="R137" i="21" s="1"/>
  <c r="S137" i="21" s="1"/>
  <c r="T137" i="21" s="1"/>
  <c r="U137" i="21" s="1"/>
  <c r="V137" i="21" s="1"/>
  <c r="H53" i="21"/>
  <c r="C59" i="21"/>
  <c r="J63" i="21"/>
  <c r="K59" i="21"/>
  <c r="K60" i="21" s="1"/>
  <c r="S59" i="21"/>
  <c r="S60" i="21" s="1"/>
  <c r="AA59" i="21"/>
  <c r="AA61" i="21" s="1"/>
  <c r="AI59" i="21"/>
  <c r="AI60" i="21" s="1"/>
  <c r="R115" i="21"/>
  <c r="W138" i="21"/>
  <c r="J57" i="21"/>
  <c r="R57" i="21"/>
  <c r="L100" i="21"/>
  <c r="M101" i="21"/>
  <c r="K119" i="21"/>
  <c r="K118" i="21" s="1"/>
  <c r="L110" i="21"/>
  <c r="E160" i="21"/>
  <c r="E162" i="21" s="1"/>
  <c r="M160" i="21"/>
  <c r="M161" i="21" s="1"/>
  <c r="F160" i="21"/>
  <c r="N160" i="21"/>
  <c r="M121" i="21"/>
  <c r="N112" i="21"/>
  <c r="L160" i="21"/>
  <c r="L162" i="21" s="1"/>
  <c r="M128" i="21"/>
  <c r="J161" i="21"/>
  <c r="P113" i="21"/>
  <c r="Q116" i="21"/>
  <c r="K161" i="21"/>
  <c r="V11" i="15"/>
  <c r="AD13" i="15"/>
  <c r="T8" i="15"/>
  <c r="AB10" i="15"/>
  <c r="AB23" i="15" s="1"/>
  <c r="AB8" i="15"/>
  <c r="Q8" i="15"/>
  <c r="AP13" i="15"/>
  <c r="AT14" i="15" s="1"/>
  <c r="AP23" i="15"/>
  <c r="N16" i="15"/>
  <c r="S10" i="15"/>
  <c r="S8" i="15"/>
  <c r="AQ13" i="15"/>
  <c r="N10" i="15"/>
  <c r="R11" i="15" s="1"/>
  <c r="D116" i="15"/>
  <c r="D23" i="15"/>
  <c r="T116" i="15"/>
  <c r="AB116" i="15"/>
  <c r="AR116" i="15"/>
  <c r="AR23" i="15"/>
  <c r="AH13" i="15"/>
  <c r="K23" i="15"/>
  <c r="AQ8" i="15"/>
  <c r="H10" i="15"/>
  <c r="H8" i="15"/>
  <c r="X8" i="15"/>
  <c r="X10" i="15"/>
  <c r="G8" i="15"/>
  <c r="AF10" i="15"/>
  <c r="R23" i="15"/>
  <c r="C23" i="15"/>
  <c r="AA10" i="15"/>
  <c r="AE8" i="15"/>
  <c r="AI10" i="15"/>
  <c r="AM8" i="15"/>
  <c r="AI8" i="15"/>
  <c r="W8" i="15"/>
  <c r="Y10" i="15"/>
  <c r="Y23" i="15" s="1"/>
  <c r="Y8" i="15"/>
  <c r="AO8" i="15"/>
  <c r="AO10" i="15"/>
  <c r="K8" i="15"/>
  <c r="AK13" i="15"/>
  <c r="AG10" i="15"/>
  <c r="G13" i="15"/>
  <c r="B13" i="15"/>
  <c r="Z10" i="15"/>
  <c r="N8" i="15"/>
  <c r="O11" i="15"/>
  <c r="AG17" i="15"/>
  <c r="O23" i="15"/>
  <c r="C95" i="15"/>
  <c r="C101" i="15" s="1"/>
  <c r="C12" i="15"/>
  <c r="K95" i="15"/>
  <c r="K12" i="15"/>
  <c r="AI95" i="15"/>
  <c r="AI12" i="15"/>
  <c r="M8" i="15"/>
  <c r="U8" i="15"/>
  <c r="AC8" i="15"/>
  <c r="AK8" i="15"/>
  <c r="R8" i="15"/>
  <c r="E116" i="15"/>
  <c r="E23" i="15"/>
  <c r="U116" i="15"/>
  <c r="U23" i="15"/>
  <c r="AC116" i="15"/>
  <c r="AC23" i="15"/>
  <c r="AK116" i="15"/>
  <c r="AK23" i="15"/>
  <c r="N57" i="15"/>
  <c r="V57" i="15"/>
  <c r="AD57" i="15"/>
  <c r="AM101" i="15"/>
  <c r="F116" i="15"/>
  <c r="N116" i="15"/>
  <c r="V116" i="15"/>
  <c r="AD116" i="15"/>
  <c r="AD23" i="15"/>
  <c r="AL116" i="15"/>
  <c r="O8" i="15"/>
  <c r="J8" i="15"/>
  <c r="F10" i="15"/>
  <c r="AL10" i="15"/>
  <c r="W16" i="15"/>
  <c r="AM16" i="15"/>
  <c r="I12" i="15"/>
  <c r="I95" i="15"/>
  <c r="Q95" i="15"/>
  <c r="Q12" i="15"/>
  <c r="Y95" i="15"/>
  <c r="Y12" i="15"/>
  <c r="AG95" i="15"/>
  <c r="AG101" i="15" s="1"/>
  <c r="AG12" i="15"/>
  <c r="AO95" i="15"/>
  <c r="AO12" i="15"/>
  <c r="C63" i="15"/>
  <c r="D95" i="15"/>
  <c r="D101" i="15" s="1"/>
  <c r="D98" i="15" s="1"/>
  <c r="D12" i="15"/>
  <c r="T95" i="15"/>
  <c r="T12" i="15"/>
  <c r="AR95" i="15"/>
  <c r="AR12" i="15"/>
  <c r="O42" i="6" s="1"/>
  <c r="M242" i="18" s="1"/>
  <c r="P12" i="15"/>
  <c r="M42" i="15"/>
  <c r="G57" i="15"/>
  <c r="P101" i="15"/>
  <c r="O57" i="15"/>
  <c r="W57" i="15"/>
  <c r="N63" i="15"/>
  <c r="X75" i="15"/>
  <c r="AP89" i="15"/>
  <c r="P116" i="15"/>
  <c r="P23" i="15"/>
  <c r="F42" i="15"/>
  <c r="E42" i="15"/>
  <c r="V42" i="15"/>
  <c r="U42" i="15"/>
  <c r="AL42" i="15"/>
  <c r="AK42" i="15"/>
  <c r="H104" i="15"/>
  <c r="H75" i="15"/>
  <c r="P104" i="15"/>
  <c r="P75" i="15"/>
  <c r="AF104" i="15"/>
  <c r="AF75" i="15"/>
  <c r="AN104" i="15"/>
  <c r="AO104" i="15"/>
  <c r="AN75" i="15"/>
  <c r="I17" i="15"/>
  <c r="I16" i="15" s="1"/>
  <c r="AH116" i="15"/>
  <c r="L63" i="15"/>
  <c r="AQ23" i="15"/>
  <c r="R42" i="15"/>
  <c r="Q42" i="15"/>
  <c r="H57" i="15"/>
  <c r="P57" i="15"/>
  <c r="AF57" i="15"/>
  <c r="O63" i="15"/>
  <c r="W63" i="15"/>
  <c r="AP63" i="15"/>
  <c r="AC75" i="15"/>
  <c r="AR80" i="15"/>
  <c r="AQ105" i="15"/>
  <c r="AQ89" i="15"/>
  <c r="C99" i="15"/>
  <c r="B63" i="15"/>
  <c r="K99" i="15"/>
  <c r="J63" i="15"/>
  <c r="S99" i="15"/>
  <c r="R63" i="15"/>
  <c r="AA99" i="15"/>
  <c r="Z63" i="15"/>
  <c r="AH63" i="15"/>
  <c r="AI99" i="15"/>
  <c r="Q75" i="15"/>
  <c r="D104" i="15"/>
  <c r="D80" i="15"/>
  <c r="G105" i="15"/>
  <c r="G89" i="15"/>
  <c r="O105" i="15"/>
  <c r="O89" i="15"/>
  <c r="W105" i="15"/>
  <c r="W89" i="15"/>
  <c r="AE89" i="15"/>
  <c r="AE105" i="15"/>
  <c r="AB106" i="15"/>
  <c r="AC106" i="15"/>
  <c r="C39" i="15"/>
  <c r="L39" i="15"/>
  <c r="S39" i="15"/>
  <c r="AJ42" i="15"/>
  <c r="AI42" i="15"/>
  <c r="AR42" i="15"/>
  <c r="AQ42" i="15"/>
  <c r="AB42" i="15"/>
  <c r="J57" i="15"/>
  <c r="R57" i="15"/>
  <c r="AH57" i="15"/>
  <c r="AP57" i="15"/>
  <c r="Z57" i="15"/>
  <c r="L99" i="15"/>
  <c r="K63" i="15"/>
  <c r="T99" i="15"/>
  <c r="S63" i="15"/>
  <c r="AB99" i="15"/>
  <c r="AA63" i="15"/>
  <c r="AJ99" i="15"/>
  <c r="AI63" i="15"/>
  <c r="AR99" i="15"/>
  <c r="AQ63" i="15"/>
  <c r="G104" i="15"/>
  <c r="G75" i="15"/>
  <c r="W104" i="15"/>
  <c r="W75" i="15"/>
  <c r="AE104" i="15"/>
  <c r="AE75" i="15"/>
  <c r="AM104" i="15"/>
  <c r="AM75" i="15"/>
  <c r="O75" i="15"/>
  <c r="S75" i="15"/>
  <c r="AQ80" i="15"/>
  <c r="I105" i="15"/>
  <c r="I89" i="15"/>
  <c r="Q105" i="15"/>
  <c r="Q89" i="15"/>
  <c r="AG105" i="15"/>
  <c r="AG89" i="15"/>
  <c r="F106" i="15"/>
  <c r="N106" i="15"/>
  <c r="V106" i="15"/>
  <c r="AD106" i="15"/>
  <c r="F39" i="15"/>
  <c r="N39" i="15"/>
  <c r="M89" i="15"/>
  <c r="R101" i="15"/>
  <c r="U99" i="15"/>
  <c r="T63" i="15"/>
  <c r="AC99" i="15"/>
  <c r="AB63" i="15"/>
  <c r="AK99" i="15"/>
  <c r="AJ63" i="15"/>
  <c r="H63" i="15"/>
  <c r="AR63" i="15"/>
  <c r="B75" i="15"/>
  <c r="B90" i="15" s="1"/>
  <c r="J104" i="15"/>
  <c r="J75" i="15"/>
  <c r="R104" i="15"/>
  <c r="R75" i="15"/>
  <c r="Z104" i="15"/>
  <c r="Z75" i="15"/>
  <c r="AH104" i="15"/>
  <c r="AH75" i="15"/>
  <c r="AP104" i="15"/>
  <c r="AP75" i="15"/>
  <c r="E80" i="15"/>
  <c r="U80" i="15"/>
  <c r="AC80" i="15"/>
  <c r="AK80" i="15"/>
  <c r="AE106" i="15"/>
  <c r="AK106" i="15"/>
  <c r="C57" i="15"/>
  <c r="K57" i="15"/>
  <c r="AE99" i="15"/>
  <c r="AD63" i="15"/>
  <c r="AL63" i="15"/>
  <c r="AM99" i="15"/>
  <c r="D75" i="15"/>
  <c r="L75" i="15"/>
  <c r="L96" i="15" s="1"/>
  <c r="AB75" i="15"/>
  <c r="AM80" i="15"/>
  <c r="D89" i="15"/>
  <c r="D90" i="15" s="1"/>
  <c r="D121" i="15" s="1"/>
  <c r="T89" i="15"/>
  <c r="T90" i="15" s="1"/>
  <c r="AK101" i="15"/>
  <c r="G63" i="15"/>
  <c r="H80" i="15"/>
  <c r="P80" i="15"/>
  <c r="AU82" i="15"/>
  <c r="E57" i="15"/>
  <c r="M57" i="15"/>
  <c r="P63" i="15"/>
  <c r="N75" i="15"/>
  <c r="N104" i="15"/>
  <c r="V104" i="15"/>
  <c r="V75" i="15"/>
  <c r="AD104" i="15"/>
  <c r="AD75" i="15"/>
  <c r="AL104" i="15"/>
  <c r="AL75" i="15"/>
  <c r="F80" i="15"/>
  <c r="AD80" i="15"/>
  <c r="AR89" i="15"/>
  <c r="AR90" i="15" s="1"/>
  <c r="AU86" i="15"/>
  <c r="AV86" i="15" s="1"/>
  <c r="AW86" i="15" s="1"/>
  <c r="AX86" i="15" s="1"/>
  <c r="AY86" i="15" s="1"/>
  <c r="AZ86" i="15" s="1"/>
  <c r="BA86" i="15" s="1"/>
  <c r="BB86" i="15" s="1"/>
  <c r="BC86" i="15" s="1"/>
  <c r="BD86" i="15" s="1"/>
  <c r="BE86" i="15" s="1"/>
  <c r="BF86" i="15" s="1"/>
  <c r="BG86" i="15" s="1"/>
  <c r="BH86" i="15" s="1"/>
  <c r="BI86" i="15" s="1"/>
  <c r="BJ86" i="15" s="1"/>
  <c r="BK86" i="15" s="1"/>
  <c r="BL86" i="15" s="1"/>
  <c r="BM86" i="15" s="1"/>
  <c r="BN86" i="15" s="1"/>
  <c r="BO86" i="15" s="1"/>
  <c r="BP86" i="15" s="1"/>
  <c r="BQ86" i="15" s="1"/>
  <c r="BR86" i="15" s="1"/>
  <c r="BS86" i="15" s="1"/>
  <c r="BT86" i="15" s="1"/>
  <c r="BU86" i="15" s="1"/>
  <c r="BV86" i="15" s="1"/>
  <c r="BW86" i="15" s="1"/>
  <c r="BX86" i="15" s="1"/>
  <c r="BY86" i="15" s="1"/>
  <c r="Z101" i="15"/>
  <c r="I57" i="15"/>
  <c r="Q57" i="15"/>
  <c r="Y57" i="15"/>
  <c r="AG57" i="15"/>
  <c r="AO57" i="15"/>
  <c r="F99" i="15"/>
  <c r="E63" i="15"/>
  <c r="N99" i="15"/>
  <c r="M63" i="15"/>
  <c r="V99" i="15"/>
  <c r="U63" i="15"/>
  <c r="AD99" i="15"/>
  <c r="AC63" i="15"/>
  <c r="AL99" i="15"/>
  <c r="AK63" i="15"/>
  <c r="I104" i="15"/>
  <c r="Q104" i="15"/>
  <c r="Y104" i="15"/>
  <c r="I75" i="15"/>
  <c r="N80" i="15"/>
  <c r="D107" i="15"/>
  <c r="L107" i="15"/>
  <c r="T107" i="15"/>
  <c r="AB107" i="15"/>
  <c r="AJ107" i="15"/>
  <c r="AR107" i="15"/>
  <c r="H105" i="15"/>
  <c r="H89" i="15"/>
  <c r="P105" i="15"/>
  <c r="X105" i="15"/>
  <c r="AF105" i="15"/>
  <c r="AF89" i="15"/>
  <c r="E106" i="15"/>
  <c r="M106" i="15"/>
  <c r="U106" i="15"/>
  <c r="U89" i="15"/>
  <c r="AC89" i="15"/>
  <c r="AO106" i="15"/>
  <c r="AO89" i="15"/>
  <c r="AJ101" i="15"/>
  <c r="S57" i="15"/>
  <c r="AA57" i="15"/>
  <c r="AI57" i="15"/>
  <c r="AQ57" i="15"/>
  <c r="H99" i="15"/>
  <c r="P99" i="15"/>
  <c r="X99" i="15"/>
  <c r="AF99" i="15"/>
  <c r="AN99" i="15"/>
  <c r="C104" i="15"/>
  <c r="K104" i="15"/>
  <c r="S104" i="15"/>
  <c r="AA104" i="15"/>
  <c r="AQ104" i="15"/>
  <c r="C75" i="15"/>
  <c r="AF80" i="15"/>
  <c r="J105" i="15"/>
  <c r="J89" i="15"/>
  <c r="J90" i="15" s="1"/>
  <c r="R105" i="15"/>
  <c r="Z105" i="15"/>
  <c r="Z89" i="15"/>
  <c r="AH105" i="15"/>
  <c r="G106" i="15"/>
  <c r="O106" i="15"/>
  <c r="W106" i="15"/>
  <c r="R89" i="15"/>
  <c r="AI89" i="15"/>
  <c r="AQ106" i="15"/>
  <c r="L104" i="15"/>
  <c r="T104" i="15"/>
  <c r="AB104" i="15"/>
  <c r="AJ104" i="15"/>
  <c r="AR104" i="15"/>
  <c r="I80" i="15"/>
  <c r="Q80" i="15"/>
  <c r="Y80" i="15"/>
  <c r="AG80" i="15"/>
  <c r="AO80" i="15"/>
  <c r="C105" i="15"/>
  <c r="C89" i="15"/>
  <c r="S105" i="15"/>
  <c r="S89" i="15"/>
  <c r="H106" i="15"/>
  <c r="P106" i="15"/>
  <c r="X106" i="15"/>
  <c r="AF106" i="15"/>
  <c r="AN105" i="15"/>
  <c r="AD101" i="15"/>
  <c r="U57" i="15"/>
  <c r="AC57" i="15"/>
  <c r="AK57" i="15"/>
  <c r="J99" i="15"/>
  <c r="R99" i="15"/>
  <c r="Z99" i="15"/>
  <c r="AH99" i="15"/>
  <c r="AP99" i="15"/>
  <c r="AM63" i="15"/>
  <c r="M104" i="15"/>
  <c r="AP80" i="15"/>
  <c r="H107" i="15"/>
  <c r="P107" i="15"/>
  <c r="Q107" i="15"/>
  <c r="X107" i="15"/>
  <c r="AF107" i="15"/>
  <c r="AN107" i="15"/>
  <c r="D105" i="15"/>
  <c r="L89" i="15"/>
  <c r="T105" i="15"/>
  <c r="AB105" i="15"/>
  <c r="AB89" i="15"/>
  <c r="AB90" i="15" s="1"/>
  <c r="AJ105" i="15"/>
  <c r="AJ89" i="15"/>
  <c r="AJ90" i="15" s="1"/>
  <c r="I106" i="15"/>
  <c r="Q106" i="15"/>
  <c r="Y106" i="15"/>
  <c r="AG106" i="15"/>
  <c r="AM105" i="15"/>
  <c r="E104" i="15"/>
  <c r="U104" i="15"/>
  <c r="AC104" i="15"/>
  <c r="AK104" i="15"/>
  <c r="F107" i="15"/>
  <c r="N107" i="15"/>
  <c r="V107" i="15"/>
  <c r="AD107" i="15"/>
  <c r="AL107" i="15"/>
  <c r="F105" i="15"/>
  <c r="F89" i="15"/>
  <c r="N105" i="15"/>
  <c r="N89" i="15"/>
  <c r="V105" i="15"/>
  <c r="V89" i="15"/>
  <c r="AD89" i="15"/>
  <c r="C106" i="15"/>
  <c r="AA106" i="15"/>
  <c r="AI106" i="15"/>
  <c r="AR106" i="15"/>
  <c r="AR105" i="15"/>
  <c r="AL106" i="15"/>
  <c r="AK105" i="15"/>
  <c r="AM106" i="15"/>
  <c r="AL105" i="15"/>
  <c r="AL89" i="15"/>
  <c r="AN106" i="15"/>
  <c r="AG107" i="15"/>
  <c r="AO107" i="15"/>
  <c r="E105" i="15"/>
  <c r="M105" i="15"/>
  <c r="U105" i="15"/>
  <c r="AC105" i="15"/>
  <c r="J106" i="15"/>
  <c r="R106" i="15"/>
  <c r="Z106" i="15"/>
  <c r="AH106" i="15"/>
  <c r="AO105" i="15"/>
  <c r="AP106" i="15"/>
  <c r="S115" i="68"/>
  <c r="T114" i="68"/>
  <c r="S116" i="68"/>
  <c r="S113" i="68" s="1"/>
  <c r="V163" i="68"/>
  <c r="V85" i="68"/>
  <c r="V157" i="68"/>
  <c r="V142" i="68"/>
  <c r="V181" i="68"/>
  <c r="V98" i="68"/>
  <c r="U163" i="68"/>
  <c r="R115" i="68"/>
  <c r="R113" i="68"/>
  <c r="R116" i="68"/>
  <c r="Y54" i="21" l="1"/>
  <c r="E54" i="21"/>
  <c r="W101" i="15"/>
  <c r="E101" i="15"/>
  <c r="E98" i="15" s="1"/>
  <c r="R42" i="68"/>
  <c r="O50" i="6"/>
  <c r="W6" i="21"/>
  <c r="W33" i="21" s="1"/>
  <c r="AP240" i="85"/>
  <c r="P11" i="15"/>
  <c r="AL188" i="18"/>
  <c r="J188" i="18"/>
  <c r="D49" i="90"/>
  <c r="C71" i="90" s="1"/>
  <c r="I251" i="18"/>
  <c r="I160" i="21"/>
  <c r="K202" i="18"/>
  <c r="K203" i="18" s="1"/>
  <c r="H162" i="21"/>
  <c r="H202" i="18"/>
  <c r="G202" i="18"/>
  <c r="G131" i="18"/>
  <c r="I202" i="18"/>
  <c r="J202" i="18"/>
  <c r="L202" i="18"/>
  <c r="S17" i="60"/>
  <c r="E10" i="60" s="1"/>
  <c r="E48" i="60" s="1"/>
  <c r="AH12" i="60"/>
  <c r="AF53" i="21"/>
  <c r="H61" i="21"/>
  <c r="F33" i="21"/>
  <c r="AJ27" i="21"/>
  <c r="V27" i="21"/>
  <c r="AK18" i="21"/>
  <c r="AK30" i="21"/>
  <c r="AO30" i="21" s="1"/>
  <c r="AS30" i="21" s="1"/>
  <c r="AW30" i="21" s="1"/>
  <c r="BA30" i="21" s="1"/>
  <c r="BE30" i="21" s="1"/>
  <c r="BI30" i="21" s="1"/>
  <c r="BM30" i="21" s="1"/>
  <c r="BQ30" i="21" s="1"/>
  <c r="V53" i="21"/>
  <c r="AD61" i="21"/>
  <c r="F18" i="21"/>
  <c r="T27" i="21"/>
  <c r="M203" i="18"/>
  <c r="I203" i="18"/>
  <c r="L203" i="18"/>
  <c r="H203" i="18"/>
  <c r="J203" i="18"/>
  <c r="G203" i="18"/>
  <c r="P120" i="18" a="1"/>
  <c r="S120" i="18" a="1"/>
  <c r="S120" i="18" s="1"/>
  <c r="N120" i="18" a="1"/>
  <c r="N120" i="18" s="1"/>
  <c r="U120" i="18" a="1"/>
  <c r="T120" i="18" a="1"/>
  <c r="O120" i="18" a="1"/>
  <c r="R120" i="18" a="1"/>
  <c r="Q120" i="18" a="1"/>
  <c r="Q120" i="18" s="1"/>
  <c r="E191" i="67"/>
  <c r="F191" i="67" s="1"/>
  <c r="G191" i="67" s="1"/>
  <c r="H191" i="67" s="1"/>
  <c r="BE34" i="15"/>
  <c r="BD34" i="15"/>
  <c r="BC34" i="15"/>
  <c r="BB34" i="15"/>
  <c r="AK240" i="85"/>
  <c r="AN240" i="85"/>
  <c r="AM98" i="15"/>
  <c r="K101" i="15"/>
  <c r="Q53" i="21"/>
  <c r="T120" i="18"/>
  <c r="E6" i="21"/>
  <c r="E18" i="21" s="1"/>
  <c r="AM96" i="15"/>
  <c r="AH101" i="15"/>
  <c r="AJ96" i="15"/>
  <c r="T90" i="21"/>
  <c r="Q79" i="18"/>
  <c r="Q73" i="18" s="1"/>
  <c r="AD18" i="21"/>
  <c r="AD33" i="21"/>
  <c r="AP96" i="15"/>
  <c r="Z57" i="21"/>
  <c r="R63" i="21"/>
  <c r="B63" i="21"/>
  <c r="X53" i="21"/>
  <c r="AA57" i="21"/>
  <c r="U65" i="21"/>
  <c r="V101" i="15"/>
  <c r="AH123" i="18"/>
  <c r="Y90" i="15"/>
  <c r="AO96" i="15"/>
  <c r="AJ13" i="15"/>
  <c r="AJ15" i="15" s="1"/>
  <c r="AJ6" i="21"/>
  <c r="AJ18" i="21" s="1"/>
  <c r="AP16" i="15"/>
  <c r="AL101" i="15"/>
  <c r="AL96" i="15"/>
  <c r="AD96" i="15"/>
  <c r="AB96" i="15"/>
  <c r="E96" i="15"/>
  <c r="AR96" i="15"/>
  <c r="AA96" i="15"/>
  <c r="M90" i="15"/>
  <c r="J23" i="15"/>
  <c r="I23" i="15"/>
  <c r="X90" i="15"/>
  <c r="W98" i="15"/>
  <c r="AR101" i="15"/>
  <c r="T101" i="15"/>
  <c r="I101" i="15"/>
  <c r="I98" i="15" s="1"/>
  <c r="P16" i="15"/>
  <c r="O16" i="15"/>
  <c r="G23" i="15"/>
  <c r="J13" i="15"/>
  <c r="M13" i="15"/>
  <c r="AR11" i="15"/>
  <c r="T11" i="15"/>
  <c r="AM23" i="15"/>
  <c r="T23" i="15"/>
  <c r="AL16" i="15"/>
  <c r="AF65" i="21"/>
  <c r="AK57" i="21"/>
  <c r="V65" i="21"/>
  <c r="Y55" i="21"/>
  <c r="T65" i="21"/>
  <c r="U53" i="21"/>
  <c r="U54" i="21" s="1"/>
  <c r="L57" i="21"/>
  <c r="B21" i="21"/>
  <c r="O33" i="21"/>
  <c r="I18" i="21"/>
  <c r="T63" i="21"/>
  <c r="U96" i="15"/>
  <c r="E24" i="15"/>
  <c r="U63" i="21"/>
  <c r="AB101" i="15"/>
  <c r="AB98" i="15" s="1"/>
  <c r="AF57" i="21"/>
  <c r="AJ54" i="21"/>
  <c r="I33" i="21"/>
  <c r="D6" i="21"/>
  <c r="F96" i="15"/>
  <c r="K11" i="15"/>
  <c r="AO123" i="18"/>
  <c r="AO129" i="18" s="1"/>
  <c r="AO141" i="18" s="1"/>
  <c r="N6" i="21"/>
  <c r="N18" i="21" s="1"/>
  <c r="G6" i="21"/>
  <c r="G18" i="21" s="1"/>
  <c r="Q23" i="15"/>
  <c r="BK19" i="18"/>
  <c r="BC19" i="18"/>
  <c r="BG19" i="18"/>
  <c r="BM19" i="18"/>
  <c r="BL141" i="18"/>
  <c r="E240" i="85"/>
  <c r="BB19" i="18"/>
  <c r="O120" i="18"/>
  <c r="AS119" i="15"/>
  <c r="P120" i="18"/>
  <c r="E111" i="71"/>
  <c r="B165" i="21" s="1"/>
  <c r="B164" i="21" s="1"/>
  <c r="B166" i="21" s="1"/>
  <c r="H131" i="18"/>
  <c r="BF19" i="18"/>
  <c r="BE19" i="18"/>
  <c r="BI19" i="18"/>
  <c r="AX19" i="18"/>
  <c r="S54" i="21"/>
  <c r="BJ19" i="18"/>
  <c r="O174" i="18"/>
  <c r="AY19" i="18"/>
  <c r="U120" i="18"/>
  <c r="R120" i="18"/>
  <c r="Q48" i="71"/>
  <c r="T79" i="18"/>
  <c r="T73" i="18" s="1"/>
  <c r="BC48" i="18"/>
  <c r="L131" i="18"/>
  <c r="M131" i="18"/>
  <c r="K131" i="18"/>
  <c r="I131" i="18"/>
  <c r="M171" i="18"/>
  <c r="N171" i="18" s="1"/>
  <c r="O171" i="18" s="1"/>
  <c r="P171" i="18" s="1"/>
  <c r="Q171" i="18" s="1"/>
  <c r="R171" i="18" s="1"/>
  <c r="S171" i="18" s="1"/>
  <c r="T171" i="18" s="1"/>
  <c r="U171" i="18" s="1"/>
  <c r="BI171" i="18"/>
  <c r="BI244" i="18" s="1"/>
  <c r="K62" i="68"/>
  <c r="K63" i="68" s="1"/>
  <c r="K67" i="21"/>
  <c r="AM210" i="18"/>
  <c r="AM211" i="18" s="1"/>
  <c r="S65" i="21"/>
  <c r="S66" i="21" s="1"/>
  <c r="AH53" i="21"/>
  <c r="X60" i="21"/>
  <c r="V66" i="21"/>
  <c r="J59" i="21"/>
  <c r="J60" i="21" s="1"/>
  <c r="S55" i="21"/>
  <c r="C54" i="21"/>
  <c r="H57" i="21"/>
  <c r="B57" i="21"/>
  <c r="I61" i="21"/>
  <c r="Q61" i="21"/>
  <c r="AD57" i="21"/>
  <c r="AE65" i="21"/>
  <c r="AE66" i="21" s="1"/>
  <c r="AG21" i="21"/>
  <c r="H63" i="21"/>
  <c r="Q55" i="21"/>
  <c r="AJ21" i="21"/>
  <c r="AD63" i="21"/>
  <c r="O111" i="21"/>
  <c r="O120" i="21" s="1"/>
  <c r="Y60" i="21"/>
  <c r="O55" i="21"/>
  <c r="E57" i="21"/>
  <c r="M120" i="68"/>
  <c r="M121" i="68" s="1"/>
  <c r="U112" i="68"/>
  <c r="AY162" i="18"/>
  <c r="AV140" i="18"/>
  <c r="R39" i="68"/>
  <c r="P91" i="18" s="1"/>
  <c r="BB162" i="18"/>
  <c r="AA199" i="18"/>
  <c r="S88" i="68"/>
  <c r="Q24" i="18" s="1"/>
  <c r="K179" i="21"/>
  <c r="AI65" i="21"/>
  <c r="AI66" i="21" s="1"/>
  <c r="AH63" i="21"/>
  <c r="AI57" i="21"/>
  <c r="D24" i="21"/>
  <c r="P24" i="21"/>
  <c r="AH57" i="21"/>
  <c r="AF66" i="21"/>
  <c r="P53" i="21"/>
  <c r="P55" i="21" s="1"/>
  <c r="N65" i="21"/>
  <c r="N66" i="21" s="1"/>
  <c r="AI55" i="21"/>
  <c r="AI63" i="21"/>
  <c r="T66" i="21"/>
  <c r="E30" i="21"/>
  <c r="E61" i="21"/>
  <c r="E33" i="21"/>
  <c r="I54" i="21"/>
  <c r="Y65" i="21"/>
  <c r="Y66" i="21" s="1"/>
  <c r="O57" i="21"/>
  <c r="AA54" i="21"/>
  <c r="W30" i="21"/>
  <c r="AD27" i="21"/>
  <c r="AA65" i="21"/>
  <c r="AA66" i="21" s="1"/>
  <c r="Z63" i="21"/>
  <c r="I57" i="21"/>
  <c r="AI54" i="21"/>
  <c r="P27" i="21"/>
  <c r="N57" i="21"/>
  <c r="I65" i="21"/>
  <c r="I66" i="21" s="1"/>
  <c r="D21" i="21"/>
  <c r="BD129" i="18"/>
  <c r="BD141" i="18" s="1"/>
  <c r="BD150" i="18"/>
  <c r="BD140" i="18"/>
  <c r="BL195" i="18"/>
  <c r="BK150" i="18"/>
  <c r="BJ150" i="18"/>
  <c r="BJ171" i="18"/>
  <c r="BM150" i="18"/>
  <c r="BM171" i="18"/>
  <c r="BB48" i="18"/>
  <c r="AY171" i="18"/>
  <c r="AY244" i="18" s="1"/>
  <c r="X171" i="18"/>
  <c r="AK171" i="18"/>
  <c r="AK244" i="18" s="1"/>
  <c r="AL171" i="18"/>
  <c r="AL244" i="18" s="1"/>
  <c r="AX171" i="18"/>
  <c r="AX244" i="18" s="1"/>
  <c r="BA171" i="18"/>
  <c r="BA244" i="18" s="1"/>
  <c r="AE171" i="18"/>
  <c r="BD244" i="18"/>
  <c r="BH244" i="18"/>
  <c r="BB171" i="18"/>
  <c r="BB244" i="18" s="1"/>
  <c r="Y171" i="18"/>
  <c r="AS171" i="18"/>
  <c r="AS244" i="18" s="1"/>
  <c r="AV171" i="18"/>
  <c r="AV244" i="18" s="1"/>
  <c r="AZ171" i="18"/>
  <c r="AZ244" i="18" s="1"/>
  <c r="AB171" i="18"/>
  <c r="Z171" i="18"/>
  <c r="AL30" i="18"/>
  <c r="AW27" i="18"/>
  <c r="AW25" i="18" s="1"/>
  <c r="AB46" i="18"/>
  <c r="BB188" i="18"/>
  <c r="AJ188" i="18"/>
  <c r="G46" i="18"/>
  <c r="I65" i="68" s="1"/>
  <c r="I66" i="68" s="1"/>
  <c r="I67" i="68" s="1"/>
  <c r="I68" i="68" s="1"/>
  <c r="AE156" i="18"/>
  <c r="C86" i="18"/>
  <c r="BJ156" i="18"/>
  <c r="AD46" i="18"/>
  <c r="AA200" i="18"/>
  <c r="AL227" i="18"/>
  <c r="J231" i="68" s="1"/>
  <c r="BB141" i="18"/>
  <c r="BB195" i="18"/>
  <c r="BE48" i="18"/>
  <c r="BN46" i="18"/>
  <c r="AK27" i="18"/>
  <c r="AK25" i="18" s="1"/>
  <c r="AG46" i="18"/>
  <c r="BA194" i="18"/>
  <c r="H159" i="18"/>
  <c r="J162" i="18"/>
  <c r="AY156" i="18"/>
  <c r="AT48" i="18"/>
  <c r="AW87" i="18"/>
  <c r="BE200" i="18"/>
  <c r="BG31" i="18"/>
  <c r="I159" i="18"/>
  <c r="AR214" i="18"/>
  <c r="P218" i="68" s="1"/>
  <c r="K46" i="18"/>
  <c r="M65" i="68" s="1"/>
  <c r="M66" i="68" s="1"/>
  <c r="M67" i="68" s="1"/>
  <c r="M68" i="68" s="1"/>
  <c r="AH156" i="18"/>
  <c r="BE230" i="18"/>
  <c r="AC234" i="68" s="1"/>
  <c r="BF199" i="18"/>
  <c r="BG177" i="18"/>
  <c r="AP159" i="18"/>
  <c r="AP48" i="18"/>
  <c r="BG230" i="18"/>
  <c r="AE234" i="68" s="1"/>
  <c r="X214" i="18"/>
  <c r="I156" i="18"/>
  <c r="F85" i="18"/>
  <c r="E13" i="18"/>
  <c r="G86" i="18"/>
  <c r="BI162" i="18"/>
  <c r="AW50" i="18"/>
  <c r="Y214" i="18"/>
  <c r="AJ81" i="18"/>
  <c r="AQ81" i="18"/>
  <c r="BG214" i="18"/>
  <c r="AE218" i="68" s="1"/>
  <c r="BB29" i="18"/>
  <c r="AR141" i="18"/>
  <c r="AE48" i="18"/>
  <c r="AX46" i="18"/>
  <c r="AI81" i="18"/>
  <c r="BI188" i="18"/>
  <c r="AY104" i="18"/>
  <c r="BF46" i="18"/>
  <c r="BJ139" i="18"/>
  <c r="AR46" i="18"/>
  <c r="AR171" i="18"/>
  <c r="AR244" i="18" s="1"/>
  <c r="AZ139" i="18"/>
  <c r="AM46" i="18"/>
  <c r="AO156" i="18"/>
  <c r="BA162" i="18"/>
  <c r="BB139" i="18"/>
  <c r="AA227" i="18"/>
  <c r="AH46" i="18"/>
  <c r="BB193" i="18"/>
  <c r="AR188" i="18"/>
  <c r="F156" i="18"/>
  <c r="G157" i="18" s="1"/>
  <c r="BL189" i="18"/>
  <c r="AS26" i="18"/>
  <c r="AS25" i="18" s="1"/>
  <c r="BD48" i="18"/>
  <c r="AD214" i="18"/>
  <c r="B218" i="68" s="1"/>
  <c r="AC214" i="18"/>
  <c r="AB26" i="18"/>
  <c r="AB25" i="18" s="1"/>
  <c r="BI190" i="18"/>
  <c r="BA200" i="18"/>
  <c r="J156" i="18"/>
  <c r="BH156" i="18"/>
  <c r="AA214" i="18"/>
  <c r="BN190" i="18"/>
  <c r="BM156" i="18"/>
  <c r="AO188" i="18"/>
  <c r="Z227" i="18"/>
  <c r="AO46" i="18"/>
  <c r="AR139" i="18"/>
  <c r="BE214" i="18"/>
  <c r="AC218" i="68" s="1"/>
  <c r="AC81" i="18"/>
  <c r="E16" i="18"/>
  <c r="E23" i="18" s="1"/>
  <c r="AE214" i="18"/>
  <c r="C218" i="68" s="1"/>
  <c r="AP230" i="18"/>
  <c r="N234" i="68" s="1"/>
  <c r="AK46" i="18"/>
  <c r="BK26" i="18"/>
  <c r="BK25" i="18" s="1"/>
  <c r="AD162" i="18"/>
  <c r="AD171" i="18"/>
  <c r="AD141" i="18"/>
  <c r="I190" i="18"/>
  <c r="I162" i="18"/>
  <c r="K113" i="68"/>
  <c r="K114" i="68" s="1"/>
  <c r="K115" i="68" s="1"/>
  <c r="K116" i="68" s="1"/>
  <c r="I141" i="18"/>
  <c r="I138" i="18" s="1"/>
  <c r="AI46" i="18"/>
  <c r="AJ46" i="18"/>
  <c r="BB46" i="18"/>
  <c r="AL156" i="18"/>
  <c r="AV87" i="18"/>
  <c r="AL81" i="18"/>
  <c r="AH200" i="18"/>
  <c r="AQ188" i="18"/>
  <c r="AJ156" i="18"/>
  <c r="AR81" i="18"/>
  <c r="AQ139" i="18"/>
  <c r="G13" i="18"/>
  <c r="AQ156" i="18"/>
  <c r="AR227" i="18"/>
  <c r="P231" i="68" s="1"/>
  <c r="H160" i="18"/>
  <c r="AL31" i="18"/>
  <c r="M150" i="18"/>
  <c r="AJ26" i="18"/>
  <c r="AJ25" i="18" s="1"/>
  <c r="AP46" i="18"/>
  <c r="AG200" i="18"/>
  <c r="AV159" i="18"/>
  <c r="AY139" i="18"/>
  <c r="BI193" i="18"/>
  <c r="I30" i="18"/>
  <c r="K94" i="68" s="1"/>
  <c r="I32" i="18"/>
  <c r="K96" i="68" s="1"/>
  <c r="BD214" i="18"/>
  <c r="AB218" i="68" s="1"/>
  <c r="AQ200" i="18"/>
  <c r="AF200" i="18"/>
  <c r="AZ195" i="18"/>
  <c r="AN171" i="18"/>
  <c r="AN244" i="18" s="1"/>
  <c r="Y200" i="18"/>
  <c r="BD162" i="18"/>
  <c r="AO227" i="18"/>
  <c r="M231" i="68" s="1"/>
  <c r="BJ188" i="18"/>
  <c r="X200" i="18"/>
  <c r="AZ188" i="18"/>
  <c r="AO200" i="18"/>
  <c r="AL139" i="18"/>
  <c r="AQ227" i="18"/>
  <c r="O231" i="68" s="1"/>
  <c r="BF214" i="18"/>
  <c r="AD218" i="68" s="1"/>
  <c r="BI139" i="18"/>
  <c r="I29" i="18"/>
  <c r="K93" i="68" s="1"/>
  <c r="BM48" i="18"/>
  <c r="AQ46" i="18"/>
  <c r="BF156" i="18"/>
  <c r="AZ141" i="18"/>
  <c r="AP156" i="18"/>
  <c r="AC227" i="18"/>
  <c r="B86" i="18"/>
  <c r="AH227" i="18"/>
  <c r="F231" i="68" s="1"/>
  <c r="AT26" i="18"/>
  <c r="AT27" i="18"/>
  <c r="AQ26" i="18"/>
  <c r="AQ27" i="18"/>
  <c r="BC225" i="18"/>
  <c r="AM115" i="18"/>
  <c r="BD195" i="18"/>
  <c r="B46" i="18"/>
  <c r="D65" i="68" s="1"/>
  <c r="D66" i="68" s="1"/>
  <c r="D67" i="68" s="1"/>
  <c r="D68" i="68" s="1"/>
  <c r="BJ81" i="18"/>
  <c r="AT81" i="18"/>
  <c r="BM159" i="18"/>
  <c r="J86" i="18"/>
  <c r="AZ53" i="18"/>
  <c r="AU159" i="18"/>
  <c r="AD81" i="18"/>
  <c r="AI26" i="18"/>
  <c r="AI25" i="18" s="1"/>
  <c r="AH115" i="18"/>
  <c r="BG81" i="18"/>
  <c r="AM227" i="18"/>
  <c r="K231" i="68" s="1"/>
  <c r="BG200" i="18"/>
  <c r="AN190" i="18"/>
  <c r="L159" i="18"/>
  <c r="AT139" i="18"/>
  <c r="AX214" i="18"/>
  <c r="V218" i="68" s="1"/>
  <c r="AD104" i="18"/>
  <c r="G139" i="18"/>
  <c r="G248" i="18" s="1"/>
  <c r="AZ92" i="18"/>
  <c r="BG139" i="18"/>
  <c r="BA50" i="18"/>
  <c r="G12" i="18"/>
  <c r="I55" i="68" s="1"/>
  <c r="I56" i="68" s="1"/>
  <c r="I57" i="68" s="1"/>
  <c r="I58" i="68" s="1"/>
  <c r="AZ56" i="18"/>
  <c r="AS227" i="18"/>
  <c r="Q231" i="68" s="1"/>
  <c r="BA46" i="18"/>
  <c r="AC115" i="18"/>
  <c r="AA81" i="18"/>
  <c r="AL230" i="18"/>
  <c r="J234" i="68" s="1"/>
  <c r="AT188" i="18"/>
  <c r="AK230" i="18"/>
  <c r="I234" i="68" s="1"/>
  <c r="BE194" i="18"/>
  <c r="BD190" i="18"/>
  <c r="AZ104" i="18"/>
  <c r="AZ198" i="18" s="1"/>
  <c r="AC215" i="18"/>
  <c r="AB81" i="18"/>
  <c r="BB31" i="18"/>
  <c r="AH30" i="18"/>
  <c r="AZ35" i="18"/>
  <c r="AZ26" i="18" s="1"/>
  <c r="AK214" i="18"/>
  <c r="I218" i="68" s="1"/>
  <c r="BD50" i="18"/>
  <c r="L157" i="18"/>
  <c r="M157" i="18"/>
  <c r="AU32" i="18"/>
  <c r="AU30" i="18"/>
  <c r="AU31" i="18"/>
  <c r="AU29" i="18"/>
  <c r="AD27" i="18"/>
  <c r="AD26" i="18"/>
  <c r="M104" i="68"/>
  <c r="M105" i="68" s="1"/>
  <c r="M106" i="68" s="1"/>
  <c r="M107" i="68" s="1"/>
  <c r="AK227" i="18"/>
  <c r="I231" i="68" s="1"/>
  <c r="AL35" i="18"/>
  <c r="AL27" i="18" s="1"/>
  <c r="AX156" i="18"/>
  <c r="Y156" i="18"/>
  <c r="BB81" i="18"/>
  <c r="BC195" i="18"/>
  <c r="BF244" i="18"/>
  <c r="AQ159" i="18"/>
  <c r="H13" i="18"/>
  <c r="Z156" i="18"/>
  <c r="BG46" i="18"/>
  <c r="Z46" i="18"/>
  <c r="AY81" i="18"/>
  <c r="AE159" i="18"/>
  <c r="AT214" i="18"/>
  <c r="R218" i="68" s="1"/>
  <c r="BI50" i="18"/>
  <c r="J12" i="18"/>
  <c r="L55" i="68" s="1"/>
  <c r="L56" i="68" s="1"/>
  <c r="L57" i="68" s="1"/>
  <c r="L58" i="68" s="1"/>
  <c r="BL50" i="18"/>
  <c r="BC30" i="18"/>
  <c r="I12" i="18"/>
  <c r="K55" i="68" s="1"/>
  <c r="K56" i="68" s="1"/>
  <c r="K57" i="68" s="1"/>
  <c r="K58" i="68" s="1"/>
  <c r="H12" i="18"/>
  <c r="J55" i="68" s="1"/>
  <c r="J56" i="68" s="1"/>
  <c r="J57" i="68" s="1"/>
  <c r="J58" i="68" s="1"/>
  <c r="AZ50" i="18"/>
  <c r="AV48" i="18"/>
  <c r="S42" i="68"/>
  <c r="E86" i="18"/>
  <c r="K31" i="18"/>
  <c r="M95" i="68" s="1"/>
  <c r="G48" i="18"/>
  <c r="I70" i="68" s="1"/>
  <c r="I71" i="68" s="1"/>
  <c r="I72" i="68" s="1"/>
  <c r="I73" i="68" s="1"/>
  <c r="AU227" i="18"/>
  <c r="S231" i="68" s="1"/>
  <c r="AE227" i="18"/>
  <c r="C231" i="68" s="1"/>
  <c r="BI159" i="18"/>
  <c r="N164" i="21"/>
  <c r="N166" i="21" s="1"/>
  <c r="O160" i="21"/>
  <c r="O162" i="21" s="1"/>
  <c r="I27" i="21"/>
  <c r="I21" i="21"/>
  <c r="AK190" i="18"/>
  <c r="AJ159" i="18"/>
  <c r="F159" i="18"/>
  <c r="G160" i="18" s="1"/>
  <c r="AP188" i="18"/>
  <c r="AF159" i="18"/>
  <c r="F13" i="18"/>
  <c r="AB227" i="18"/>
  <c r="G85" i="18"/>
  <c r="K86" i="18"/>
  <c r="F26" i="18"/>
  <c r="AQ218" i="68"/>
  <c r="BS214" i="18" s="1"/>
  <c r="J65" i="21"/>
  <c r="J66" i="21" s="1"/>
  <c r="AK24" i="21"/>
  <c r="AO24" i="21" s="1"/>
  <c r="AS24" i="21" s="1"/>
  <c r="AW24" i="21" s="1"/>
  <c r="BA24" i="21" s="1"/>
  <c r="BE24" i="21" s="1"/>
  <c r="BI24" i="21" s="1"/>
  <c r="BM24" i="21" s="1"/>
  <c r="BQ24" i="21" s="1"/>
  <c r="T21" i="21"/>
  <c r="AD24" i="21"/>
  <c r="AP101" i="15"/>
  <c r="AP98" i="15" s="1"/>
  <c r="AE101" i="15"/>
  <c r="BL193" i="18"/>
  <c r="BE188" i="18"/>
  <c r="BB189" i="18"/>
  <c r="BP218" i="18"/>
  <c r="C46" i="18"/>
  <c r="E65" i="68" s="1"/>
  <c r="E66" i="68" s="1"/>
  <c r="E67" i="68" s="1"/>
  <c r="E68" i="68" s="1"/>
  <c r="F86" i="18"/>
  <c r="AI227" i="18"/>
  <c r="G231" i="68" s="1"/>
  <c r="AS159" i="18"/>
  <c r="AV162" i="18"/>
  <c r="AV141" i="18"/>
  <c r="AY159" i="18"/>
  <c r="AN214" i="18"/>
  <c r="L218" i="68" s="1"/>
  <c r="AH214" i="18"/>
  <c r="F218" i="68" s="1"/>
  <c r="S39" i="68"/>
  <c r="Q91" i="18" s="1"/>
  <c r="O24" i="18"/>
  <c r="P101" i="18"/>
  <c r="Q101" i="18" s="1"/>
  <c r="R101" i="18" s="1"/>
  <c r="S101" i="18" s="1"/>
  <c r="T101" i="18" s="1"/>
  <c r="U101" i="18" s="1"/>
  <c r="U55" i="21"/>
  <c r="BE244" i="18"/>
  <c r="AP190" i="18"/>
  <c r="AP162" i="18"/>
  <c r="Q96" i="15"/>
  <c r="BE195" i="18"/>
  <c r="AP171" i="18"/>
  <c r="AP244" i="18" s="1"/>
  <c r="Q153" i="85"/>
  <c r="G113" i="68"/>
  <c r="G114" i="68" s="1"/>
  <c r="G115" i="68" s="1"/>
  <c r="G116" i="68" s="1"/>
  <c r="AP402" i="67"/>
  <c r="BP215" i="18"/>
  <c r="AT117" i="15"/>
  <c r="AT94" i="15"/>
  <c r="AT43" i="15"/>
  <c r="AT364" i="67" s="1"/>
  <c r="AT39" i="15"/>
  <c r="U142" i="68"/>
  <c r="U49" i="68"/>
  <c r="U181" i="68"/>
  <c r="S41" i="68"/>
  <c r="AI90" i="15"/>
  <c r="U90" i="15"/>
  <c r="AF90" i="15"/>
  <c r="H90" i="15"/>
  <c r="H121" i="15" s="1"/>
  <c r="AQ96" i="15"/>
  <c r="AI96" i="15"/>
  <c r="AN23" i="15"/>
  <c r="AN90" i="15"/>
  <c r="AF101" i="15"/>
  <c r="AF98" i="15" s="1"/>
  <c r="T13" i="15"/>
  <c r="AO101" i="15"/>
  <c r="AO98" i="15" s="1"/>
  <c r="AG98" i="15"/>
  <c r="O24" i="15"/>
  <c r="O25" i="15" s="1"/>
  <c r="G11" i="15"/>
  <c r="M23" i="15"/>
  <c r="AM13" i="15"/>
  <c r="AA121" i="15"/>
  <c r="L13" i="15"/>
  <c r="AN11" i="15"/>
  <c r="AQ11" i="15"/>
  <c r="AF61" i="21"/>
  <c r="AL65" i="21"/>
  <c r="AL66" i="21" s="1"/>
  <c r="M63" i="21"/>
  <c r="AD65" i="21"/>
  <c r="AD66" i="21" s="1"/>
  <c r="N53" i="21"/>
  <c r="N55" i="21" s="1"/>
  <c r="AG63" i="21"/>
  <c r="Y61" i="21"/>
  <c r="AG54" i="21"/>
  <c r="T53" i="21"/>
  <c r="T55" i="21" s="1"/>
  <c r="AJ65" i="21"/>
  <c r="AJ66" i="21" s="1"/>
  <c r="AB65" i="21"/>
  <c r="AB66" i="21" s="1"/>
  <c r="S63" i="21"/>
  <c r="R61" i="21"/>
  <c r="AJ55" i="21"/>
  <c r="AC65" i="21"/>
  <c r="AC66" i="21" s="1"/>
  <c r="M53" i="21"/>
  <c r="M55" i="21" s="1"/>
  <c r="D57" i="21"/>
  <c r="R21" i="21"/>
  <c r="AN46" i="21"/>
  <c r="AD30" i="21"/>
  <c r="O12" i="21"/>
  <c r="O30" i="21"/>
  <c r="L18" i="21"/>
  <c r="R27" i="21"/>
  <c r="AF24" i="21"/>
  <c r="L30" i="21"/>
  <c r="L14" i="21"/>
  <c r="L10" i="21" s="1"/>
  <c r="L11" i="21" s="1"/>
  <c r="G27" i="21"/>
  <c r="BA190" i="18"/>
  <c r="BF195" i="18"/>
  <c r="I195" i="18"/>
  <c r="BC200" i="18"/>
  <c r="BK193" i="18"/>
  <c r="K189" i="18"/>
  <c r="AC200" i="18"/>
  <c r="AR190" i="18"/>
  <c r="AJ230" i="18"/>
  <c r="H234" i="68" s="1"/>
  <c r="J189" i="18"/>
  <c r="BF190" i="18"/>
  <c r="AX190" i="18"/>
  <c r="AW230" i="18"/>
  <c r="U234" i="68" s="1"/>
  <c r="AZ200" i="18"/>
  <c r="AR200" i="18"/>
  <c r="K193" i="18"/>
  <c r="BL244" i="18"/>
  <c r="AZ193" i="18"/>
  <c r="BN244" i="18"/>
  <c r="AW156" i="18"/>
  <c r="AD159" i="18"/>
  <c r="G189" i="18"/>
  <c r="BL162" i="18"/>
  <c r="Y227" i="18"/>
  <c r="AY188" i="18"/>
  <c r="BG159" i="18"/>
  <c r="AW200" i="18"/>
  <c r="AQ199" i="18"/>
  <c r="AI200" i="18"/>
  <c r="BP225" i="18"/>
  <c r="H139" i="18"/>
  <c r="H248" i="18" s="1"/>
  <c r="AZ162" i="18"/>
  <c r="AZ190" i="18"/>
  <c r="AR162" i="18"/>
  <c r="F139" i="18"/>
  <c r="F144" i="18" s="1"/>
  <c r="AQ214" i="18"/>
  <c r="O218" i="68" s="1"/>
  <c r="M99" i="68"/>
  <c r="M100" i="68" s="1"/>
  <c r="M101" i="68" s="1"/>
  <c r="M102" i="68" s="1"/>
  <c r="BM46" i="18"/>
  <c r="AL104" i="18"/>
  <c r="AL198" i="18" s="1"/>
  <c r="AL215" i="18"/>
  <c r="AO214" i="18"/>
  <c r="M218" i="68" s="1"/>
  <c r="BB30" i="18"/>
  <c r="BL87" i="18"/>
  <c r="AR27" i="18"/>
  <c r="AR25" i="18" s="1"/>
  <c r="BI81" i="18"/>
  <c r="BH81" i="18"/>
  <c r="BH188" i="18"/>
  <c r="AL214" i="18"/>
  <c r="J218" i="68" s="1"/>
  <c r="AH31" i="18"/>
  <c r="J145" i="18"/>
  <c r="BJ46" i="18"/>
  <c r="AH29" i="18"/>
  <c r="AM214" i="18"/>
  <c r="K218" i="68" s="1"/>
  <c r="K139" i="18"/>
  <c r="K248" i="18" s="1"/>
  <c r="I86" i="18"/>
  <c r="AO48" i="18"/>
  <c r="O48" i="71"/>
  <c r="O65" i="71" s="1"/>
  <c r="K48" i="71"/>
  <c r="K65" i="71" s="1"/>
  <c r="J85" i="18"/>
  <c r="H179" i="21"/>
  <c r="AA240" i="85"/>
  <c r="Z240" i="85"/>
  <c r="G240" i="85"/>
  <c r="AH240" i="85"/>
  <c r="O241" i="85"/>
  <c r="O100" i="15" s="1"/>
  <c r="O101" i="15" s="1"/>
  <c r="O98" i="15" s="1"/>
  <c r="N241" i="85"/>
  <c r="N100" i="15" s="1"/>
  <c r="AE240" i="85"/>
  <c r="AS214" i="18"/>
  <c r="Q218" i="68" s="1"/>
  <c r="BH129" i="18"/>
  <c r="BH141" i="18" s="1"/>
  <c r="E104" i="18"/>
  <c r="AK96" i="15"/>
  <c r="O12" i="71"/>
  <c r="AT200" i="18"/>
  <c r="AE16" i="15"/>
  <c r="AA46" i="18"/>
  <c r="G63" i="21"/>
  <c r="X65" i="21"/>
  <c r="X66" i="21" s="1"/>
  <c r="AL6" i="21"/>
  <c r="J240" i="85"/>
  <c r="AG240" i="85"/>
  <c r="Q240" i="85"/>
  <c r="B104" i="18"/>
  <c r="AD176" i="85"/>
  <c r="AD182" i="85" s="1"/>
  <c r="BG156" i="18"/>
  <c r="AA156" i="18"/>
  <c r="AS46" i="18"/>
  <c r="AL29" i="18"/>
  <c r="Z7" i="21"/>
  <c r="M7" i="21"/>
  <c r="F7" i="21"/>
  <c r="J6" i="21"/>
  <c r="P65" i="21"/>
  <c r="P66" i="21" s="1"/>
  <c r="W23" i="15"/>
  <c r="X227" i="18"/>
  <c r="M120" i="21"/>
  <c r="AH6" i="21"/>
  <c r="K90" i="15"/>
  <c r="AY27" i="18"/>
  <c r="AY25" i="18" s="1"/>
  <c r="AG6" i="21"/>
  <c r="AG33" i="21" s="1"/>
  <c r="Q6" i="21"/>
  <c r="Q33" i="21" s="1"/>
  <c r="AW81" i="15"/>
  <c r="AX81" i="15" s="1"/>
  <c r="E60" i="21"/>
  <c r="Q65" i="21"/>
  <c r="Q66" i="21" s="1"/>
  <c r="C63" i="21"/>
  <c r="D61" i="21"/>
  <c r="H65" i="21"/>
  <c r="H66" i="21" s="1"/>
  <c r="AT240" i="85"/>
  <c r="AA60" i="21"/>
  <c r="C90" i="15"/>
  <c r="C121" i="15" s="1"/>
  <c r="AC96" i="15"/>
  <c r="AO23" i="15"/>
  <c r="AL190" i="18"/>
  <c r="BA231" i="18"/>
  <c r="Y235" i="68" s="1"/>
  <c r="BA188" i="18"/>
  <c r="AV200" i="18"/>
  <c r="BD193" i="18"/>
  <c r="BC188" i="18"/>
  <c r="AN230" i="18"/>
  <c r="L234" i="68" s="1"/>
  <c r="AL200" i="18"/>
  <c r="BN188" i="18"/>
  <c r="AC159" i="18"/>
  <c r="AL189" i="18"/>
  <c r="AQ230" i="18"/>
  <c r="O234" i="68" s="1"/>
  <c r="BL159" i="18"/>
  <c r="BB104" i="18"/>
  <c r="Z44" i="21" s="1"/>
  <c r="AK48" i="18"/>
  <c r="AX200" i="18"/>
  <c r="AP214" i="18"/>
  <c r="N218" i="68" s="1"/>
  <c r="AA26" i="18"/>
  <c r="AA25" i="18" s="1"/>
  <c r="AJ16" i="15"/>
  <c r="AJ24" i="15" s="1"/>
  <c r="N90" i="15"/>
  <c r="Z90" i="15"/>
  <c r="Z121" i="15" s="1"/>
  <c r="C96" i="15"/>
  <c r="AO90" i="15"/>
  <c r="AW171" i="18"/>
  <c r="AW244" i="18" s="1"/>
  <c r="BC193" i="18"/>
  <c r="R240" i="85"/>
  <c r="AS138" i="85"/>
  <c r="AS139" i="85" s="1"/>
  <c r="AT139" i="85" s="1"/>
  <c r="BP183" i="18" s="1"/>
  <c r="BO169" i="18"/>
  <c r="AS123" i="85"/>
  <c r="V240" i="85"/>
  <c r="AQ140" i="85"/>
  <c r="AR140" i="85" s="1"/>
  <c r="BH35" i="18"/>
  <c r="BH27" i="18" s="1"/>
  <c r="S96" i="15"/>
  <c r="AJ215" i="18"/>
  <c r="Y27" i="18"/>
  <c r="Y25" i="18" s="1"/>
  <c r="AA101" i="15"/>
  <c r="B240" i="85"/>
  <c r="AQ141" i="85"/>
  <c r="AR141" i="85" s="1"/>
  <c r="AS141" i="85" s="1"/>
  <c r="AT141" i="85" s="1"/>
  <c r="BP185" i="18" s="1"/>
  <c r="BP195" i="18" s="1"/>
  <c r="BO190" i="18"/>
  <c r="BO177" i="18"/>
  <c r="AD240" i="85"/>
  <c r="AO240" i="85"/>
  <c r="AE35" i="18"/>
  <c r="AE27" i="18" s="1"/>
  <c r="BF27" i="18"/>
  <c r="BF25" i="18" s="1"/>
  <c r="Z96" i="15"/>
  <c r="AP90" i="15"/>
  <c r="AK11" i="15"/>
  <c r="BM141" i="18"/>
  <c r="AW225" i="18"/>
  <c r="BA193" i="18"/>
  <c r="BF162" i="18"/>
  <c r="AL141" i="18"/>
  <c r="BO218" i="18"/>
  <c r="AB215" i="18"/>
  <c r="BJ215" i="18"/>
  <c r="AQ215" i="18"/>
  <c r="BI48" i="18"/>
  <c r="BH104" i="18"/>
  <c r="BH198" i="18" s="1"/>
  <c r="X32" i="18"/>
  <c r="N48" i="71"/>
  <c r="N65" i="71" s="1"/>
  <c r="R46" i="21"/>
  <c r="AO230" i="18"/>
  <c r="M234" i="68" s="1"/>
  <c r="AK188" i="18"/>
  <c r="AF214" i="18"/>
  <c r="D218" i="68" s="1"/>
  <c r="Z214" i="18"/>
  <c r="Y57" i="21"/>
  <c r="AK90" i="15"/>
  <c r="AH90" i="15"/>
  <c r="AF227" i="18"/>
  <c r="D231" i="68" s="1"/>
  <c r="AD227" i="18"/>
  <c r="B231" i="68" s="1"/>
  <c r="BD218" i="18"/>
  <c r="M101" i="15"/>
  <c r="M98" i="15" s="1"/>
  <c r="AM48" i="18"/>
  <c r="W90" i="15"/>
  <c r="G90" i="15"/>
  <c r="G121" i="15" s="1"/>
  <c r="AJ136" i="18"/>
  <c r="BF200" i="18"/>
  <c r="W63" i="21"/>
  <c r="S79" i="18"/>
  <c r="S73" i="18" s="1"/>
  <c r="V90" i="21"/>
  <c r="U79" i="18"/>
  <c r="U73" i="18" s="1"/>
  <c r="S90" i="21"/>
  <c r="G162" i="18"/>
  <c r="AQ171" i="18"/>
  <c r="AQ244" i="18" s="1"/>
  <c r="AQ162" i="18"/>
  <c r="AQ190" i="18"/>
  <c r="AI104" i="18"/>
  <c r="AI162" i="18"/>
  <c r="AI171" i="18"/>
  <c r="AQ104" i="18"/>
  <c r="O44" i="21" s="1"/>
  <c r="AI7" i="21"/>
  <c r="BK123" i="18"/>
  <c r="BK129" i="18" s="1"/>
  <c r="BK141" i="18" s="1"/>
  <c r="AU123" i="18"/>
  <c r="S7" i="21"/>
  <c r="Q13" i="15"/>
  <c r="U14" i="15" s="1"/>
  <c r="AM123" i="18"/>
  <c r="K7" i="21"/>
  <c r="AF6" i="21"/>
  <c r="AC7" i="21"/>
  <c r="BE123" i="18"/>
  <c r="K13" i="15"/>
  <c r="AG123" i="18"/>
  <c r="AI229" i="18" s="1"/>
  <c r="E7" i="21"/>
  <c r="C13" i="15"/>
  <c r="C24" i="15" s="1"/>
  <c r="Y123" i="18"/>
  <c r="AD11" i="15"/>
  <c r="T6" i="21"/>
  <c r="AC11" i="15"/>
  <c r="S6" i="21"/>
  <c r="AC6" i="21"/>
  <c r="U6" i="21"/>
  <c r="L11" i="15"/>
  <c r="B6" i="21"/>
  <c r="H6" i="21"/>
  <c r="V21" i="61"/>
  <c r="V6" i="21"/>
  <c r="BC190" i="18"/>
  <c r="BA225" i="18"/>
  <c r="BF193" i="18"/>
  <c r="AY215" i="18"/>
  <c r="AL48" i="18"/>
  <c r="AY31" i="18"/>
  <c r="BG48" i="18"/>
  <c r="AQ48" i="18"/>
  <c r="AT31" i="18"/>
  <c r="M85" i="18"/>
  <c r="Y101" i="15"/>
  <c r="O240" i="85"/>
  <c r="N101" i="15"/>
  <c r="AM240" i="85"/>
  <c r="Y176" i="85"/>
  <c r="Y182" i="85" s="1"/>
  <c r="AK47" i="85"/>
  <c r="Q16" i="15"/>
  <c r="R16" i="15"/>
  <c r="R24" i="15" s="1"/>
  <c r="BC231" i="18"/>
  <c r="AA235" i="68" s="1"/>
  <c r="AX230" i="18"/>
  <c r="V234" i="68" s="1"/>
  <c r="AG96" i="15"/>
  <c r="AD16" i="15"/>
  <c r="AD24" i="15" s="1"/>
  <c r="Y16" i="15"/>
  <c r="AB240" i="85"/>
  <c r="AS117" i="15"/>
  <c r="AS43" i="15"/>
  <c r="AS39" i="15"/>
  <c r="AS94" i="15"/>
  <c r="AS109" i="15" s="1"/>
  <c r="AS103" i="15" s="1"/>
  <c r="M120" i="18"/>
  <c r="R65" i="71"/>
  <c r="AU46" i="18"/>
  <c r="BK50" i="18"/>
  <c r="BG50" i="18"/>
  <c r="AX50" i="18"/>
  <c r="AA30" i="18"/>
  <c r="AA32" i="18"/>
  <c r="AA29" i="18"/>
  <c r="BA27" i="18"/>
  <c r="BA26" i="18"/>
  <c r="AM35" i="18"/>
  <c r="AM27" i="18" s="1"/>
  <c r="Q57" i="21"/>
  <c r="R53" i="21"/>
  <c r="X27" i="21"/>
  <c r="X21" i="21"/>
  <c r="X16" i="15"/>
  <c r="BI123" i="18"/>
  <c r="BI129" i="18" s="1"/>
  <c r="BI141" i="18" s="1"/>
  <c r="BA123" i="18"/>
  <c r="BA129" i="18" s="1"/>
  <c r="BA141" i="18" s="1"/>
  <c r="Y7" i="21"/>
  <c r="AS123" i="18"/>
  <c r="Q7" i="21"/>
  <c r="AB6" i="21"/>
  <c r="P6" i="21"/>
  <c r="Y47" i="85"/>
  <c r="AU23" i="18"/>
  <c r="AU22" i="18" s="1"/>
  <c r="BI150" i="18"/>
  <c r="AH65" i="21"/>
  <c r="AH66" i="21" s="1"/>
  <c r="AC54" i="21"/>
  <c r="J55" i="21"/>
  <c r="J54" i="21"/>
  <c r="K53" i="21"/>
  <c r="E55" i="21"/>
  <c r="V63" i="21"/>
  <c r="W53" i="21"/>
  <c r="AC16" i="15"/>
  <c r="AC24" i="15" s="1"/>
  <c r="Y6" i="21"/>
  <c r="T179" i="68"/>
  <c r="BK48" i="18"/>
  <c r="X24" i="21"/>
  <c r="AC63" i="21"/>
  <c r="P22" i="18"/>
  <c r="V90" i="15"/>
  <c r="F90" i="15"/>
  <c r="F121" i="15" s="1"/>
  <c r="R98" i="15"/>
  <c r="AC90" i="15"/>
  <c r="I96" i="15"/>
  <c r="J101" i="15"/>
  <c r="N96" i="15"/>
  <c r="D96" i="15"/>
  <c r="J96" i="15"/>
  <c r="AH96" i="15"/>
  <c r="K96" i="15"/>
  <c r="AE96" i="15"/>
  <c r="H96" i="15"/>
  <c r="G96" i="15"/>
  <c r="L98" i="15"/>
  <c r="H23" i="15"/>
  <c r="P13" i="15"/>
  <c r="P15" i="15" s="1"/>
  <c r="AL123" i="18"/>
  <c r="J7" i="21"/>
  <c r="AP123" i="18"/>
  <c r="N7" i="21"/>
  <c r="D13" i="15"/>
  <c r="D24" i="15" s="1"/>
  <c r="Z123" i="18"/>
  <c r="I13" i="15"/>
  <c r="I24" i="15" s="1"/>
  <c r="AE123" i="18"/>
  <c r="C7" i="21"/>
  <c r="J11" i="15"/>
  <c r="V23" i="15"/>
  <c r="N23" i="15"/>
  <c r="F23" i="15"/>
  <c r="AF16" i="15"/>
  <c r="AG16" i="15"/>
  <c r="AA6" i="21"/>
  <c r="AS11" i="15"/>
  <c r="AI6" i="21"/>
  <c r="Z6" i="21"/>
  <c r="R6" i="21"/>
  <c r="AE13" i="15"/>
  <c r="AH11" i="15"/>
  <c r="W13" i="15"/>
  <c r="W15" i="15" s="1"/>
  <c r="W11" i="15"/>
  <c r="M6" i="21"/>
  <c r="V13" i="15"/>
  <c r="V15" i="15" s="1"/>
  <c r="P111" i="21"/>
  <c r="K65" i="21"/>
  <c r="C65" i="21"/>
  <c r="C66" i="21" s="1"/>
  <c r="C60" i="21"/>
  <c r="O63" i="21"/>
  <c r="G65" i="21"/>
  <c r="G66" i="21" s="1"/>
  <c r="M61" i="21"/>
  <c r="E63" i="21"/>
  <c r="AC55" i="21"/>
  <c r="F53" i="21"/>
  <c r="F55" i="21" s="1"/>
  <c r="Y63" i="21"/>
  <c r="Q63" i="21"/>
  <c r="O61" i="21"/>
  <c r="AG55" i="21"/>
  <c r="Z53" i="21"/>
  <c r="Z54" i="21" s="1"/>
  <c r="Z65" i="21"/>
  <c r="Z66" i="21" s="1"/>
  <c r="R65" i="21"/>
  <c r="R66" i="21" s="1"/>
  <c r="Q54" i="21"/>
  <c r="I55" i="21"/>
  <c r="L54" i="21"/>
  <c r="D54" i="21"/>
  <c r="D65" i="21"/>
  <c r="D66" i="21" s="1"/>
  <c r="AK53" i="21"/>
  <c r="AK55" i="21" s="1"/>
  <c r="AJ57" i="21"/>
  <c r="AK65" i="21"/>
  <c r="AK66" i="21" s="1"/>
  <c r="U66" i="21"/>
  <c r="L65" i="21"/>
  <c r="L66" i="21" s="1"/>
  <c r="M65" i="21"/>
  <c r="M66" i="21" s="1"/>
  <c r="E65" i="21"/>
  <c r="E66" i="21" s="1"/>
  <c r="G24" i="21"/>
  <c r="AM46" i="21"/>
  <c r="H21" i="21"/>
  <c r="AF21" i="21"/>
  <c r="AK27" i="21"/>
  <c r="AB63" i="21"/>
  <c r="V46" i="21"/>
  <c r="D63" i="21"/>
  <c r="AS190" i="18"/>
  <c r="AW189" i="18"/>
  <c r="AZ231" i="18"/>
  <c r="X235" i="68" s="1"/>
  <c r="BD200" i="18"/>
  <c r="AN200" i="18"/>
  <c r="AM230" i="18"/>
  <c r="K234" i="68" s="1"/>
  <c r="AM200" i="18"/>
  <c r="AE200" i="18"/>
  <c r="AK200" i="18"/>
  <c r="AO177" i="18"/>
  <c r="BD230" i="18"/>
  <c r="AB234" i="68" s="1"/>
  <c r="AV230" i="18"/>
  <c r="T234" i="68" s="1"/>
  <c r="AN188" i="18"/>
  <c r="AD200" i="18"/>
  <c r="BB200" i="18"/>
  <c r="AR199" i="18"/>
  <c r="AJ200" i="18"/>
  <c r="AB200" i="18"/>
  <c r="K188" i="18"/>
  <c r="AX199" i="18"/>
  <c r="AP200" i="18"/>
  <c r="J193" i="18"/>
  <c r="BC177" i="18"/>
  <c r="BE156" i="18"/>
  <c r="BF230" i="18"/>
  <c r="AD234" i="68" s="1"/>
  <c r="AP177" i="18"/>
  <c r="BC171" i="18"/>
  <c r="BC244" i="18" s="1"/>
  <c r="X162" i="18"/>
  <c r="H156" i="18"/>
  <c r="H157" i="18" s="1"/>
  <c r="AN129" i="18"/>
  <c r="AN141" i="18" s="1"/>
  <c r="AG227" i="18"/>
  <c r="E231" i="68" s="1"/>
  <c r="BG188" i="18"/>
  <c r="AY177" i="18"/>
  <c r="AY230" i="18"/>
  <c r="W234" i="68" s="1"/>
  <c r="AY200" i="18"/>
  <c r="AU162" i="18"/>
  <c r="AT227" i="18"/>
  <c r="R231" i="68" s="1"/>
  <c r="AO225" i="18"/>
  <c r="AG115" i="18"/>
  <c r="AW162" i="18"/>
  <c r="Y141" i="18"/>
  <c r="H113" i="68"/>
  <c r="H114" i="68" s="1"/>
  <c r="H115" i="68" s="1"/>
  <c r="H116" i="68" s="1"/>
  <c r="AJ227" i="18"/>
  <c r="H231" i="68" s="1"/>
  <c r="BC162" i="18"/>
  <c r="J190" i="18"/>
  <c r="J195" i="18"/>
  <c r="BD159" i="18"/>
  <c r="BO225" i="18"/>
  <c r="AI215" i="18"/>
  <c r="AK129" i="18"/>
  <c r="AK141" i="18" s="1"/>
  <c r="BG104" i="18"/>
  <c r="AA115" i="18"/>
  <c r="H127" i="18"/>
  <c r="H128" i="18" s="1"/>
  <c r="H147" i="18" s="1"/>
  <c r="AP227" i="18"/>
  <c r="N231" i="68" s="1"/>
  <c r="AZ215" i="18"/>
  <c r="AT50" i="18"/>
  <c r="BI30" i="18"/>
  <c r="AJ214" i="18"/>
  <c r="H218" i="68" s="1"/>
  <c r="AA31" i="18"/>
  <c r="AY214" i="18"/>
  <c r="W218" i="68" s="1"/>
  <c r="AI214" i="18"/>
  <c r="G218" i="68" s="1"/>
  <c r="AR215" i="18"/>
  <c r="BE46" i="18"/>
  <c r="AT225" i="18"/>
  <c r="BK156" i="18"/>
  <c r="BC156" i="18"/>
  <c r="BC32" i="18"/>
  <c r="AW214" i="18"/>
  <c r="U218" i="68" s="1"/>
  <c r="AG214" i="18"/>
  <c r="E218" i="68" s="1"/>
  <c r="BB225" i="18"/>
  <c r="AQ31" i="18"/>
  <c r="BJ30" i="18"/>
  <c r="BB27" i="18"/>
  <c r="BB25" i="18" s="1"/>
  <c r="BN35" i="18"/>
  <c r="BN27" i="18" s="1"/>
  <c r="E26" i="18"/>
  <c r="E25" i="18" s="1"/>
  <c r="G27" i="18"/>
  <c r="I91" i="68" s="1"/>
  <c r="BE140" i="18"/>
  <c r="BI215" i="18"/>
  <c r="BH193" i="18"/>
  <c r="C104" i="18"/>
  <c r="BF48" i="18"/>
  <c r="AY48" i="18"/>
  <c r="AE32" i="18"/>
  <c r="BJ27" i="18"/>
  <c r="BJ25" i="18" s="1"/>
  <c r="J26" i="18"/>
  <c r="J25" i="18" s="1"/>
  <c r="AU214" i="18"/>
  <c r="S218" i="68" s="1"/>
  <c r="BL48" i="18"/>
  <c r="AF87" i="18"/>
  <c r="AH27" i="18"/>
  <c r="AH25" i="18" s="1"/>
  <c r="J13" i="18"/>
  <c r="I13" i="18"/>
  <c r="J104" i="18"/>
  <c r="H86" i="18"/>
  <c r="F111" i="71"/>
  <c r="C165" i="21" s="1"/>
  <c r="C164" i="21" s="1"/>
  <c r="C166" i="21" s="1"/>
  <c r="AQ101" i="15"/>
  <c r="AQ98" i="15" s="1"/>
  <c r="Q101" i="15"/>
  <c r="Q98" i="15" s="1"/>
  <c r="X241" i="85"/>
  <c r="X100" i="15" s="1"/>
  <c r="G101" i="15"/>
  <c r="G98" i="15" s="1"/>
  <c r="AC47" i="85"/>
  <c r="X240" i="85"/>
  <c r="AE47" i="85"/>
  <c r="AN227" i="18"/>
  <c r="L231" i="68" s="1"/>
  <c r="AS50" i="18"/>
  <c r="AV214" i="18"/>
  <c r="T218" i="68" s="1"/>
  <c r="Z46" i="21"/>
  <c r="V21" i="21"/>
  <c r="Z16" i="15"/>
  <c r="AW45" i="18"/>
  <c r="J48" i="71"/>
  <c r="J65" i="71" s="1"/>
  <c r="W65" i="21"/>
  <c r="W66" i="21" s="1"/>
  <c r="O65" i="21"/>
  <c r="O66" i="21" s="1"/>
  <c r="AA16" i="15"/>
  <c r="S16" i="15"/>
  <c r="K16" i="15"/>
  <c r="Q60" i="21"/>
  <c r="P63" i="21"/>
  <c r="O54" i="21"/>
  <c r="G57" i="21"/>
  <c r="AG65" i="21"/>
  <c r="AG66" i="21" s="1"/>
  <c r="V57" i="21"/>
  <c r="X57" i="21"/>
  <c r="C57" i="21"/>
  <c r="D104" i="18"/>
  <c r="F12" i="18"/>
  <c r="H55" i="68" s="1"/>
  <c r="H56" i="68" s="1"/>
  <c r="H57" i="68" s="1"/>
  <c r="H58" i="68" s="1"/>
  <c r="BI46" i="18"/>
  <c r="AC185" i="85"/>
  <c r="AC138" i="85"/>
  <c r="BO215" i="18"/>
  <c r="BM50" i="18"/>
  <c r="BE50" i="18"/>
  <c r="AV50" i="18"/>
  <c r="BG30" i="18"/>
  <c r="BG29" i="18"/>
  <c r="BG35" i="18"/>
  <c r="BG26" i="18" s="1"/>
  <c r="BC27" i="18"/>
  <c r="BC26" i="18"/>
  <c r="AU35" i="18"/>
  <c r="AU27" i="18" s="1"/>
  <c r="F63" i="21"/>
  <c r="G59" i="21"/>
  <c r="G60" i="21" s="1"/>
  <c r="AE55" i="21"/>
  <c r="AE57" i="21"/>
  <c r="AE54" i="21"/>
  <c r="AA55" i="21"/>
  <c r="AB53" i="21"/>
  <c r="AB54" i="21" s="1"/>
  <c r="O168" i="6"/>
  <c r="M246" i="18"/>
  <c r="AN16" i="15"/>
  <c r="AK16" i="15"/>
  <c r="U16" i="15"/>
  <c r="U24" i="15" s="1"/>
  <c r="M16" i="15"/>
  <c r="M24" i="15" s="1"/>
  <c r="BG123" i="18"/>
  <c r="AE7" i="21"/>
  <c r="AY123" i="18"/>
  <c r="AY129" i="18" s="1"/>
  <c r="AY141" i="18" s="1"/>
  <c r="W7" i="21"/>
  <c r="AQ123" i="18"/>
  <c r="O7" i="21"/>
  <c r="C6" i="21"/>
  <c r="X6" i="21"/>
  <c r="U98" i="68"/>
  <c r="U85" i="68"/>
  <c r="T13" i="68"/>
  <c r="AF63" i="21"/>
  <c r="I63" i="21"/>
  <c r="F65" i="21"/>
  <c r="F66" i="21" s="1"/>
  <c r="F59" i="21"/>
  <c r="AL57" i="21"/>
  <c r="AM53" i="21"/>
  <c r="AM65" i="21"/>
  <c r="AM66" i="21" s="1"/>
  <c r="F57" i="21"/>
  <c r="G53" i="21"/>
  <c r="B27" i="21"/>
  <c r="O18" i="21"/>
  <c r="O197" i="68" s="1"/>
  <c r="O198" i="68" s="1"/>
  <c r="O199" i="68" s="1"/>
  <c r="O200" i="68" s="1"/>
  <c r="AE6" i="21"/>
  <c r="BI27" i="18"/>
  <c r="BI25" i="18" s="1"/>
  <c r="W18" i="21"/>
  <c r="H15" i="21"/>
  <c r="I14" i="21"/>
  <c r="I10" i="21" s="1"/>
  <c r="I12" i="21" s="1"/>
  <c r="N63" i="21"/>
  <c r="M11" i="15"/>
  <c r="BC29" i="18"/>
  <c r="M12" i="18"/>
  <c r="O55" i="68" s="1"/>
  <c r="O56" i="68" s="1"/>
  <c r="O57" i="68" s="1"/>
  <c r="O58" i="68" s="1"/>
  <c r="R138" i="68"/>
  <c r="D162" i="21"/>
  <c r="D179" i="21" s="1"/>
  <c r="G190" i="18"/>
  <c r="H162" i="18"/>
  <c r="I85" i="18"/>
  <c r="J159" i="18"/>
  <c r="H141" i="18"/>
  <c r="H190" i="18"/>
  <c r="E85" i="18"/>
  <c r="D85" i="18"/>
  <c r="AZ88" i="18"/>
  <c r="G179" i="21"/>
  <c r="H104" i="68"/>
  <c r="H105" i="68" s="1"/>
  <c r="H106" i="68" s="1"/>
  <c r="H107" i="68" s="1"/>
  <c r="G104" i="18"/>
  <c r="J179" i="21"/>
  <c r="L189" i="18"/>
  <c r="I99" i="68"/>
  <c r="I100" i="68" s="1"/>
  <c r="I101" i="68" s="1"/>
  <c r="I102" i="68" s="1"/>
  <c r="H99" i="68"/>
  <c r="H100" i="68" s="1"/>
  <c r="H101" i="68" s="1"/>
  <c r="H102" i="68" s="1"/>
  <c r="I104" i="68"/>
  <c r="I105" i="68" s="1"/>
  <c r="I106" i="68" s="1"/>
  <c r="I107" i="68" s="1"/>
  <c r="F141" i="18"/>
  <c r="E12" i="18"/>
  <c r="G55" i="68" s="1"/>
  <c r="G56" i="68" s="1"/>
  <c r="G57" i="68" s="1"/>
  <c r="G58" i="68" s="1"/>
  <c r="L85" i="18"/>
  <c r="H85" i="18"/>
  <c r="L104" i="68"/>
  <c r="L105" i="68" s="1"/>
  <c r="L106" i="68" s="1"/>
  <c r="L107" i="68" s="1"/>
  <c r="L99" i="68"/>
  <c r="L100" i="68" s="1"/>
  <c r="F113" i="68"/>
  <c r="F114" i="68" s="1"/>
  <c r="F115" i="68" s="1"/>
  <c r="F116" i="68" s="1"/>
  <c r="E113" i="68"/>
  <c r="E114" i="68" s="1"/>
  <c r="E115" i="68" s="1"/>
  <c r="E116" i="68" s="1"/>
  <c r="K32" i="18"/>
  <c r="M96" i="68" s="1"/>
  <c r="K29" i="18"/>
  <c r="M93" i="68" s="1"/>
  <c r="L38" i="18"/>
  <c r="L29" i="18" s="1"/>
  <c r="N93" i="68" s="1"/>
  <c r="I35" i="18"/>
  <c r="I27" i="18" s="1"/>
  <c r="K91" i="68" s="1"/>
  <c r="L113" i="68"/>
  <c r="L114" i="68" s="1"/>
  <c r="L115" i="68" s="1"/>
  <c r="L116" i="68" s="1"/>
  <c r="M113" i="68"/>
  <c r="M114" i="68" s="1"/>
  <c r="M115" i="68" s="1"/>
  <c r="M116" i="68" s="1"/>
  <c r="BN30" i="18"/>
  <c r="BN48" i="18"/>
  <c r="BQ18" i="18"/>
  <c r="AR98" i="15"/>
  <c r="AR13" i="15"/>
  <c r="AR24" i="15" s="1"/>
  <c r="BN123" i="18"/>
  <c r="BN129" i="18" s="1"/>
  <c r="BN141" i="18" s="1"/>
  <c r="AL7" i="21"/>
  <c r="X21" i="61"/>
  <c r="AI61" i="21"/>
  <c r="U90" i="21"/>
  <c r="P79" i="18"/>
  <c r="P73" i="18" s="1"/>
  <c r="Q162" i="85"/>
  <c r="O79" i="18"/>
  <c r="O73" i="18" s="1"/>
  <c r="W90" i="21"/>
  <c r="Q90" i="21"/>
  <c r="R90" i="21"/>
  <c r="R79" i="18"/>
  <c r="R73" i="18" s="1"/>
  <c r="AA7" i="21"/>
  <c r="BC123" i="18"/>
  <c r="T54" i="21"/>
  <c r="AM90" i="15"/>
  <c r="BE23" i="18"/>
  <c r="L45" i="21"/>
  <c r="O46" i="21"/>
  <c r="AW123" i="18"/>
  <c r="U7" i="21"/>
  <c r="AV45" i="18"/>
  <c r="N21" i="71"/>
  <c r="Y98" i="15"/>
  <c r="AU190" i="18"/>
  <c r="BH195" i="18"/>
  <c r="AN140" i="18"/>
  <c r="V3" i="85"/>
  <c r="S3" i="85"/>
  <c r="T3" i="85" s="1"/>
  <c r="U3" i="85" s="1"/>
  <c r="T96" i="15"/>
  <c r="AG90" i="15"/>
  <c r="AQ90" i="15"/>
  <c r="AI101" i="15"/>
  <c r="AA46" i="21"/>
  <c r="R45" i="21"/>
  <c r="X46" i="21"/>
  <c r="AU171" i="18"/>
  <c r="AU244" i="18" s="1"/>
  <c r="AI141" i="18"/>
  <c r="BC189" i="18"/>
  <c r="AT104" i="18"/>
  <c r="AK136" i="18"/>
  <c r="R71" i="85"/>
  <c r="S58" i="85"/>
  <c r="AN61" i="18"/>
  <c r="S240" i="85"/>
  <c r="AA47" i="85"/>
  <c r="AW23" i="18"/>
  <c r="AW22" i="18" s="1"/>
  <c r="O41" i="71"/>
  <c r="AK138" i="85"/>
  <c r="BG183" i="18"/>
  <c r="BG182" i="18" s="1"/>
  <c r="AN95" i="15"/>
  <c r="AN101" i="15" s="1"/>
  <c r="AN98" i="15" s="1"/>
  <c r="BJ197" i="18"/>
  <c r="BO200" i="18" s="1"/>
  <c r="AN12" i="15"/>
  <c r="P98" i="15"/>
  <c r="H98" i="15"/>
  <c r="AT190" i="18"/>
  <c r="AH98" i="15"/>
  <c r="AF96" i="15"/>
  <c r="Y96" i="15"/>
  <c r="P46" i="21"/>
  <c r="AL162" i="18"/>
  <c r="V96" i="15"/>
  <c r="H46" i="21"/>
  <c r="T46" i="21"/>
  <c r="AU200" i="18"/>
  <c r="AS200" i="18"/>
  <c r="H123" i="18"/>
  <c r="AZ39" i="18"/>
  <c r="AZ38" i="18" s="1"/>
  <c r="AC240" i="85"/>
  <c r="BK169" i="18"/>
  <c r="BK171" i="18" s="1"/>
  <c r="AO123" i="85"/>
  <c r="AJ47" i="85"/>
  <c r="BF23" i="18"/>
  <c r="BF22" i="18" s="1"/>
  <c r="AB47" i="85"/>
  <c r="AX23" i="18"/>
  <c r="AX22" i="18" s="1"/>
  <c r="AF47" i="85"/>
  <c r="BB23" i="18"/>
  <c r="BB22" i="18" s="1"/>
  <c r="AI43" i="85"/>
  <c r="BE24" i="18" s="1"/>
  <c r="AI32" i="85"/>
  <c r="BE18" i="18" s="1"/>
  <c r="BE15" i="18"/>
  <c r="AI46" i="85"/>
  <c r="AG47" i="85"/>
  <c r="BC23" i="18"/>
  <c r="BC22" i="18" s="1"/>
  <c r="F98" i="15"/>
  <c r="AK46" i="21"/>
  <c r="AC46" i="21"/>
  <c r="AJ239" i="85"/>
  <c r="AJ240" i="85" s="1"/>
  <c r="AO118" i="85"/>
  <c r="BK161" i="18"/>
  <c r="BK162" i="18" s="1"/>
  <c r="O96" i="15"/>
  <c r="S98" i="15"/>
  <c r="AG27" i="21"/>
  <c r="D46" i="21"/>
  <c r="AX188" i="18"/>
  <c r="AL136" i="18"/>
  <c r="AT141" i="18"/>
  <c r="L48" i="71"/>
  <c r="L65" i="71" s="1"/>
  <c r="BG22" i="18"/>
  <c r="AE31" i="85"/>
  <c r="AE32" i="85"/>
  <c r="BA18" i="18" s="1"/>
  <c r="BA9" i="18"/>
  <c r="AE30" i="85"/>
  <c r="Q11" i="15"/>
  <c r="K6" i="21"/>
  <c r="I161" i="21"/>
  <c r="L195" i="18"/>
  <c r="C160" i="21"/>
  <c r="L141" i="18"/>
  <c r="I162" i="21"/>
  <c r="L190" i="18"/>
  <c r="N113" i="68"/>
  <c r="N114" i="68" s="1"/>
  <c r="N115" i="68" s="1"/>
  <c r="N116" i="68" s="1"/>
  <c r="Q65" i="71"/>
  <c r="BD31" i="18"/>
  <c r="BD29" i="18"/>
  <c r="BD32" i="18"/>
  <c r="AC29" i="18"/>
  <c r="AC30" i="18"/>
  <c r="AC32" i="18"/>
  <c r="BD156" i="18"/>
  <c r="BD46" i="18"/>
  <c r="X156" i="18"/>
  <c r="X46" i="18"/>
  <c r="BJ218" i="18"/>
  <c r="BJ140" i="18"/>
  <c r="BJ87" i="18"/>
  <c r="X215" i="18"/>
  <c r="X139" i="18"/>
  <c r="X138" i="18" s="1"/>
  <c r="X81" i="18"/>
  <c r="X104" i="18"/>
  <c r="AD29" i="18"/>
  <c r="AD32" i="18"/>
  <c r="AG218" i="18"/>
  <c r="AG140" i="18"/>
  <c r="AG87" i="18"/>
  <c r="C35" i="18"/>
  <c r="AA140" i="18"/>
  <c r="AA218" i="18"/>
  <c r="AA87" i="18"/>
  <c r="AA48" i="18"/>
  <c r="BJ195" i="18"/>
  <c r="BJ225" i="18"/>
  <c r="AH218" i="18"/>
  <c r="AH140" i="18"/>
  <c r="AH87" i="18"/>
  <c r="AN159" i="18"/>
  <c r="AN48" i="18"/>
  <c r="AS189" i="18"/>
  <c r="AS218" i="18"/>
  <c r="AS140" i="18"/>
  <c r="AS87" i="18"/>
  <c r="N99" i="68"/>
  <c r="N100" i="68" s="1"/>
  <c r="N101" i="68" s="1"/>
  <c r="N102" i="68" s="1"/>
  <c r="BM162" i="18"/>
  <c r="AM218" i="18"/>
  <c r="AM140" i="18"/>
  <c r="AM87" i="18"/>
  <c r="BA215" i="18"/>
  <c r="BA104" i="18"/>
  <c r="BA81" i="18"/>
  <c r="BA139" i="18"/>
  <c r="N35" i="18"/>
  <c r="BQ9" i="18"/>
  <c r="O9" i="18"/>
  <c r="AS218" i="68"/>
  <c r="BJ159" i="18"/>
  <c r="I189" i="18"/>
  <c r="BG225" i="18"/>
  <c r="BG195" i="18"/>
  <c r="Z162" i="18"/>
  <c r="F147" i="18"/>
  <c r="F136" i="18"/>
  <c r="AN225" i="18"/>
  <c r="Z30" i="18"/>
  <c r="Z29" i="18"/>
  <c r="BF218" i="18"/>
  <c r="BF140" i="18"/>
  <c r="BF87" i="18"/>
  <c r="L12" i="18"/>
  <c r="N55" i="68" s="1"/>
  <c r="N56" i="68" s="1"/>
  <c r="N57" i="68" s="1"/>
  <c r="N58" i="68" s="1"/>
  <c r="L13" i="18"/>
  <c r="AS31" i="18"/>
  <c r="K48" i="18"/>
  <c r="M70" i="68" s="1"/>
  <c r="M71" i="68" s="1"/>
  <c r="BF30" i="18"/>
  <c r="BF29" i="18"/>
  <c r="BI218" i="18"/>
  <c r="BI189" i="18"/>
  <c r="BI140" i="18"/>
  <c r="BI87" i="18"/>
  <c r="I193" i="18"/>
  <c r="BE38" i="18"/>
  <c r="BE29" i="18" s="1"/>
  <c r="BM244" i="18"/>
  <c r="BB159" i="18"/>
  <c r="F162" i="18"/>
  <c r="BE225" i="18"/>
  <c r="BE190" i="18"/>
  <c r="AO190" i="18"/>
  <c r="Y162" i="18"/>
  <c r="I113" i="68"/>
  <c r="I114" i="68" s="1"/>
  <c r="I115" i="68" s="1"/>
  <c r="I116" i="68" s="1"/>
  <c r="J113" i="68"/>
  <c r="J114" i="68" s="1"/>
  <c r="J115" i="68" s="1"/>
  <c r="J116" i="68" s="1"/>
  <c r="BH218" i="18"/>
  <c r="BH189" i="18"/>
  <c r="BH140" i="18"/>
  <c r="BH87" i="18"/>
  <c r="AB218" i="18"/>
  <c r="AB140" i="18"/>
  <c r="AB138" i="18" s="1"/>
  <c r="AB87" i="18"/>
  <c r="AP215" i="18"/>
  <c r="AP139" i="18"/>
  <c r="AP104" i="18"/>
  <c r="N44" i="21" s="1"/>
  <c r="AP81" i="18"/>
  <c r="AW215" i="18"/>
  <c r="AW139" i="18"/>
  <c r="AW188" i="18"/>
  <c r="AW104" i="18"/>
  <c r="AW81" i="18"/>
  <c r="L193" i="18"/>
  <c r="L139" i="18"/>
  <c r="L86" i="18"/>
  <c r="L104" i="18"/>
  <c r="N85" i="21" s="1"/>
  <c r="BG162" i="18"/>
  <c r="BK215" i="18"/>
  <c r="BK139" i="18"/>
  <c r="BK188" i="18"/>
  <c r="BK81" i="18"/>
  <c r="BK104" i="18"/>
  <c r="AE215" i="18"/>
  <c r="AE139" i="18"/>
  <c r="AE81" i="18"/>
  <c r="AE104" i="18"/>
  <c r="AV218" i="18"/>
  <c r="AQ225" i="18"/>
  <c r="L249" i="18"/>
  <c r="L145" i="18"/>
  <c r="AN156" i="18"/>
  <c r="AN46" i="18"/>
  <c r="Z31" i="18"/>
  <c r="AT218" i="18"/>
  <c r="AT140" i="18"/>
  <c r="AT87" i="18"/>
  <c r="AK215" i="18"/>
  <c r="AK139" i="18"/>
  <c r="AK104" i="18"/>
  <c r="I44" i="21" s="1"/>
  <c r="AK81" i="18"/>
  <c r="AN215" i="18"/>
  <c r="AN139" i="18"/>
  <c r="AN81" i="18"/>
  <c r="AN104" i="18"/>
  <c r="BN31" i="18"/>
  <c r="AE141" i="18"/>
  <c r="BE218" i="18"/>
  <c r="Z218" i="18"/>
  <c r="Z140" i="18"/>
  <c r="Z87" i="18"/>
  <c r="BH215" i="18"/>
  <c r="BN159" i="18"/>
  <c r="AB48" i="18"/>
  <c r="C38" i="18"/>
  <c r="C29" i="18" s="1"/>
  <c r="AJ218" i="68"/>
  <c r="D12" i="18"/>
  <c r="F55" i="68" s="1"/>
  <c r="F56" i="68" s="1"/>
  <c r="F57" i="68" s="1"/>
  <c r="F58" i="68" s="1"/>
  <c r="D13" i="18"/>
  <c r="AN87" i="18"/>
  <c r="AX38" i="18"/>
  <c r="AX32" i="18" s="1"/>
  <c r="AP26" i="18"/>
  <c r="AP25" i="18" s="1"/>
  <c r="AR48" i="18"/>
  <c r="AH159" i="18"/>
  <c r="K104" i="18"/>
  <c r="M85" i="21" s="1"/>
  <c r="AK189" i="18"/>
  <c r="AK218" i="18"/>
  <c r="AK87" i="18"/>
  <c r="AK140" i="18"/>
  <c r="H32" i="18"/>
  <c r="J96" i="68" s="1"/>
  <c r="BE159" i="18"/>
  <c r="BE87" i="18"/>
  <c r="AE31" i="18"/>
  <c r="AE29" i="18"/>
  <c r="AW38" i="18"/>
  <c r="AW29" i="18" s="1"/>
  <c r="Y46" i="18"/>
  <c r="K99" i="68"/>
  <c r="K100" i="68" s="1"/>
  <c r="K101" i="68" s="1"/>
  <c r="K102" i="68" s="1"/>
  <c r="J99" i="68"/>
  <c r="J100" i="68" s="1"/>
  <c r="J101" i="68" s="1"/>
  <c r="J102" i="68" s="1"/>
  <c r="AR218" i="18"/>
  <c r="AR189" i="18"/>
  <c r="AR140" i="18"/>
  <c r="AR87" i="18"/>
  <c r="Z215" i="18"/>
  <c r="Z139" i="18"/>
  <c r="Z104" i="18"/>
  <c r="Z81" i="18"/>
  <c r="BD223" i="18"/>
  <c r="AB227" i="68" s="1"/>
  <c r="AC227" i="68"/>
  <c r="BM139" i="18"/>
  <c r="BM188" i="18"/>
  <c r="BM104" i="18"/>
  <c r="BM81" i="18"/>
  <c r="V14" i="61" s="1"/>
  <c r="R68" i="18"/>
  <c r="AX35" i="18"/>
  <c r="AX27" i="18" s="1"/>
  <c r="BD215" i="18"/>
  <c r="BD81" i="18"/>
  <c r="BD139" i="18"/>
  <c r="BD104" i="18"/>
  <c r="B35" i="18"/>
  <c r="B27" i="18" s="1"/>
  <c r="D91" i="68" s="1"/>
  <c r="H26" i="18"/>
  <c r="H16" i="18"/>
  <c r="D38" i="18"/>
  <c r="D29" i="18" s="1"/>
  <c r="BG218" i="18"/>
  <c r="BG140" i="18"/>
  <c r="BG87" i="18"/>
  <c r="N104" i="68"/>
  <c r="N105" i="68" s="1"/>
  <c r="N106" i="68" s="1"/>
  <c r="N107" i="68" s="1"/>
  <c r="I249" i="18"/>
  <c r="I145" i="18"/>
  <c r="G38" i="18"/>
  <c r="AD30" i="18"/>
  <c r="BA48" i="18"/>
  <c r="E32" i="18"/>
  <c r="G96" i="68" s="1"/>
  <c r="E30" i="18"/>
  <c r="G94" i="68" s="1"/>
  <c r="E29" i="18"/>
  <c r="E31" i="18"/>
  <c r="G95" i="68" s="1"/>
  <c r="AD31" i="18"/>
  <c r="BK225" i="18"/>
  <c r="BK195" i="18"/>
  <c r="AJ218" i="18"/>
  <c r="AJ140" i="18"/>
  <c r="AJ189" i="18"/>
  <c r="AJ87" i="18"/>
  <c r="AX139" i="18"/>
  <c r="AX104" i="18"/>
  <c r="AX187" i="18" s="1"/>
  <c r="AX215" i="18"/>
  <c r="AX81" i="18"/>
  <c r="BE215" i="18"/>
  <c r="BE193" i="18"/>
  <c r="BE139" i="18"/>
  <c r="BE104" i="18"/>
  <c r="BE192" i="18" s="1"/>
  <c r="BE81" i="18"/>
  <c r="AM215" i="18"/>
  <c r="AM139" i="18"/>
  <c r="AM81" i="18"/>
  <c r="AV215" i="18"/>
  <c r="AV188" i="18"/>
  <c r="AV139" i="18"/>
  <c r="AV81" i="18"/>
  <c r="AV104" i="18"/>
  <c r="AV187" i="18" s="1"/>
  <c r="AM30" i="18"/>
  <c r="AM31" i="18"/>
  <c r="AM29" i="18"/>
  <c r="AC31" i="18"/>
  <c r="I248" i="18"/>
  <c r="I144" i="18"/>
  <c r="D46" i="18"/>
  <c r="F65" i="68" s="1"/>
  <c r="F66" i="68" s="1"/>
  <c r="D86" i="18"/>
  <c r="F38" i="18"/>
  <c r="BI225" i="18"/>
  <c r="AX159" i="18"/>
  <c r="BN32" i="18"/>
  <c r="BJ193" i="18"/>
  <c r="AM188" i="18"/>
  <c r="AT159" i="18"/>
  <c r="BJ189" i="18"/>
  <c r="I146" i="18"/>
  <c r="I127" i="18"/>
  <c r="I128" i="18" s="1"/>
  <c r="BJ162" i="18"/>
  <c r="BD225" i="18"/>
  <c r="BB215" i="18"/>
  <c r="AQ218" i="18"/>
  <c r="AQ140" i="18"/>
  <c r="AQ87" i="18"/>
  <c r="G249" i="18"/>
  <c r="G145" i="18"/>
  <c r="K249" i="18"/>
  <c r="K145" i="18"/>
  <c r="BF225" i="18"/>
  <c r="AR225" i="18"/>
  <c r="AJ141" i="18"/>
  <c r="BK218" i="18"/>
  <c r="BK87" i="18"/>
  <c r="BK140" i="18"/>
  <c r="BL35" i="18"/>
  <c r="BL27" i="18" s="1"/>
  <c r="AF35" i="18"/>
  <c r="AF27" i="18" s="1"/>
  <c r="BJ48" i="18"/>
  <c r="AT30" i="18"/>
  <c r="AO35" i="18"/>
  <c r="AO26" i="18" s="1"/>
  <c r="AC156" i="18"/>
  <c r="AC46" i="18"/>
  <c r="BE35" i="18"/>
  <c r="BE26" i="18" s="1"/>
  <c r="G147" i="18"/>
  <c r="G136" i="18"/>
  <c r="G141" i="18"/>
  <c r="BF159" i="18"/>
  <c r="AT29" i="18"/>
  <c r="AK38" i="18"/>
  <c r="AK31" i="18" s="1"/>
  <c r="AB162" i="18"/>
  <c r="AO218" i="18"/>
  <c r="AO140" i="18"/>
  <c r="AO87" i="18"/>
  <c r="BH38" i="18"/>
  <c r="M90" i="68"/>
  <c r="AX48" i="18"/>
  <c r="X29" i="18"/>
  <c r="X31" i="18"/>
  <c r="BL30" i="18"/>
  <c r="B38" i="18"/>
  <c r="AO159" i="18"/>
  <c r="Y218" i="18"/>
  <c r="AG38" i="18"/>
  <c r="AG29" i="18" s="1"/>
  <c r="K251" i="18"/>
  <c r="BF215" i="18"/>
  <c r="BF139" i="18"/>
  <c r="BF104" i="18"/>
  <c r="AD44" i="21" s="1"/>
  <c r="BF81" i="18"/>
  <c r="AG215" i="18"/>
  <c r="AG139" i="18"/>
  <c r="AG81" i="18"/>
  <c r="AU215" i="18"/>
  <c r="AU188" i="18"/>
  <c r="AU139" i="18"/>
  <c r="AU81" i="18"/>
  <c r="AU104" i="18"/>
  <c r="AD218" i="18"/>
  <c r="AD140" i="18"/>
  <c r="AD87" i="18"/>
  <c r="AI30" i="18"/>
  <c r="AI32" i="18"/>
  <c r="BD30" i="18"/>
  <c r="Y159" i="18"/>
  <c r="J248" i="18"/>
  <c r="J144" i="18"/>
  <c r="AF162" i="18"/>
  <c r="BI31" i="18"/>
  <c r="AB38" i="18"/>
  <c r="AB29" i="18" s="1"/>
  <c r="C12" i="18"/>
  <c r="E55" i="68" s="1"/>
  <c r="E56" i="68" s="1"/>
  <c r="E57" i="68" s="1"/>
  <c r="E58" i="68" s="1"/>
  <c r="C13" i="18"/>
  <c r="X87" i="18"/>
  <c r="BK31" i="18"/>
  <c r="BK29" i="18"/>
  <c r="I104" i="18"/>
  <c r="K85" i="21" s="1"/>
  <c r="D35" i="18"/>
  <c r="D27" i="18" s="1"/>
  <c r="F91" i="68" s="1"/>
  <c r="Y215" i="18"/>
  <c r="Y139" i="18"/>
  <c r="Y104" i="18"/>
  <c r="Y81" i="18"/>
  <c r="AA215" i="18"/>
  <c r="N11" i="18"/>
  <c r="BK32" i="18"/>
  <c r="AM189" i="18"/>
  <c r="AF141" i="18"/>
  <c r="N162" i="18"/>
  <c r="AT215" i="18"/>
  <c r="AN35" i="18"/>
  <c r="AN27" i="18" s="1"/>
  <c r="BM35" i="18"/>
  <c r="BM26" i="18" s="1"/>
  <c r="AF29" i="18"/>
  <c r="AF30" i="18"/>
  <c r="AF31" i="18"/>
  <c r="AI48" i="18"/>
  <c r="AR38" i="18"/>
  <c r="X218" i="18"/>
  <c r="J38" i="18"/>
  <c r="J29" i="18" s="1"/>
  <c r="Y87" i="18"/>
  <c r="AW159" i="18"/>
  <c r="AW48" i="18"/>
  <c r="BJ190" i="18"/>
  <c r="BK190" i="18"/>
  <c r="AX193" i="18"/>
  <c r="L251" i="18"/>
  <c r="AI159" i="18"/>
  <c r="AV225" i="18"/>
  <c r="BE162" i="18"/>
  <c r="AO162" i="18"/>
  <c r="AV190" i="18"/>
  <c r="AU225" i="18"/>
  <c r="AS225" i="18"/>
  <c r="J141" i="18"/>
  <c r="K104" i="68"/>
  <c r="K105" i="68" s="1"/>
  <c r="K106" i="68" s="1"/>
  <c r="K107" i="68" s="1"/>
  <c r="J104" i="68"/>
  <c r="J105" i="68" s="1"/>
  <c r="J106" i="68" s="1"/>
  <c r="J107" i="68" s="1"/>
  <c r="AZ218" i="18"/>
  <c r="AZ189" i="18"/>
  <c r="AZ140" i="18"/>
  <c r="BN139" i="18"/>
  <c r="BN104" i="18"/>
  <c r="BN81" i="18"/>
  <c r="AH215" i="18"/>
  <c r="AH139" i="18"/>
  <c r="AH81" i="18"/>
  <c r="BH225" i="18"/>
  <c r="AZ225" i="18"/>
  <c r="AO215" i="18"/>
  <c r="AO139" i="18"/>
  <c r="AO104" i="18"/>
  <c r="AO81" i="18"/>
  <c r="BG244" i="18"/>
  <c r="BC215" i="18"/>
  <c r="BC139" i="18"/>
  <c r="BC81" i="18"/>
  <c r="BC104" i="18"/>
  <c r="BF141" i="18"/>
  <c r="BH162" i="18"/>
  <c r="AJ162" i="18"/>
  <c r="AB104" i="18"/>
  <c r="AM127" i="18"/>
  <c r="AM128" i="18" s="1"/>
  <c r="AN135" i="18"/>
  <c r="BJ104" i="18"/>
  <c r="BJ187" i="18" s="1"/>
  <c r="AD215" i="18"/>
  <c r="BL46" i="18"/>
  <c r="BL156" i="18"/>
  <c r="AF156" i="18"/>
  <c r="AF46" i="18"/>
  <c r="AL218" i="18"/>
  <c r="AL140" i="18"/>
  <c r="AL87" i="18"/>
  <c r="BL188" i="18"/>
  <c r="BL139" i="18"/>
  <c r="BL138" i="18" s="1"/>
  <c r="BL81" i="18"/>
  <c r="BL104" i="18"/>
  <c r="AF215" i="18"/>
  <c r="AF139" i="18"/>
  <c r="AF81" i="18"/>
  <c r="AF104" i="18"/>
  <c r="AV29" i="18"/>
  <c r="AV31" i="18"/>
  <c r="BJ31" i="18"/>
  <c r="BJ29" i="18"/>
  <c r="AC35" i="18"/>
  <c r="AC27" i="18" s="1"/>
  <c r="BI104" i="18"/>
  <c r="AG44" i="21" s="1"/>
  <c r="AY225" i="18"/>
  <c r="AX218" i="18"/>
  <c r="AX140" i="18"/>
  <c r="AX87" i="18"/>
  <c r="AJ104" i="18"/>
  <c r="AN218" i="18"/>
  <c r="AQ30" i="18"/>
  <c r="AQ32" i="18"/>
  <c r="BM140" i="18"/>
  <c r="BM87" i="18"/>
  <c r="V15" i="61" s="1"/>
  <c r="BH48" i="18"/>
  <c r="AJ38" i="18"/>
  <c r="AJ31" i="18" s="1"/>
  <c r="K16" i="18"/>
  <c r="K27" i="18"/>
  <c r="M91" i="68" s="1"/>
  <c r="BD87" i="18"/>
  <c r="AV30" i="18"/>
  <c r="AF218" i="18"/>
  <c r="BA218" i="18"/>
  <c r="BA189" i="18"/>
  <c r="BA140" i="18"/>
  <c r="BA87" i="18"/>
  <c r="BI32" i="18"/>
  <c r="AO38" i="18"/>
  <c r="AO29" i="18" s="1"/>
  <c r="AG159" i="18"/>
  <c r="AG48" i="18"/>
  <c r="BN140" i="18"/>
  <c r="BN87" i="18"/>
  <c r="Z159" i="18"/>
  <c r="AS32" i="18"/>
  <c r="AS29" i="18"/>
  <c r="K12" i="18"/>
  <c r="M55" i="68" s="1"/>
  <c r="M56" i="68" s="1"/>
  <c r="M57" i="68" s="1"/>
  <c r="M58" i="68" s="1"/>
  <c r="K13" i="18"/>
  <c r="L35" i="18"/>
  <c r="L27" i="18" s="1"/>
  <c r="N91" i="68" s="1"/>
  <c r="BD188" i="18"/>
  <c r="BF188" i="18"/>
  <c r="BC218" i="18"/>
  <c r="BC87" i="18"/>
  <c r="BC140" i="18"/>
  <c r="AV35" i="18"/>
  <c r="AV27" i="18" s="1"/>
  <c r="X159" i="18"/>
  <c r="AU218" i="18"/>
  <c r="AU140" i="18"/>
  <c r="AU87" i="18"/>
  <c r="AV156" i="18"/>
  <c r="BB218" i="18"/>
  <c r="BB140" i="18"/>
  <c r="BB87" i="18"/>
  <c r="K141" i="18"/>
  <c r="BL31" i="18"/>
  <c r="BL29" i="18"/>
  <c r="BG215" i="18"/>
  <c r="BA38" i="18"/>
  <c r="BM38" i="18"/>
  <c r="BM29" i="18" s="1"/>
  <c r="AF171" i="18"/>
  <c r="BM190" i="18"/>
  <c r="AY218" i="18"/>
  <c r="AY140" i="18"/>
  <c r="AY189" i="18"/>
  <c r="AY87" i="18"/>
  <c r="AY32" i="18"/>
  <c r="AY30" i="18"/>
  <c r="AR104" i="18"/>
  <c r="AO171" i="18"/>
  <c r="AO244" i="18" s="1"/>
  <c r="J251" i="18"/>
  <c r="BG190" i="18"/>
  <c r="AB159" i="18"/>
  <c r="AA159" i="18"/>
  <c r="AT162" i="18"/>
  <c r="AT171" i="18"/>
  <c r="AT244" i="18" s="1"/>
  <c r="AI218" i="18"/>
  <c r="AI140" i="18"/>
  <c r="AI87" i="18"/>
  <c r="AX225" i="18"/>
  <c r="AX195" i="18"/>
  <c r="AX141" i="18"/>
  <c r="AJ171" i="18"/>
  <c r="AJ244" i="18" s="1"/>
  <c r="AE218" i="18"/>
  <c r="AE140" i="18"/>
  <c r="AE87" i="18"/>
  <c r="F104" i="18"/>
  <c r="H85" i="21" s="1"/>
  <c r="H140" i="18"/>
  <c r="H189" i="18"/>
  <c r="H104" i="18"/>
  <c r="AN38" i="18"/>
  <c r="AN30" i="18" s="1"/>
  <c r="AS215" i="18"/>
  <c r="AS104" i="18"/>
  <c r="Q44" i="21" s="1"/>
  <c r="AS81" i="18"/>
  <c r="AS139" i="18"/>
  <c r="BD35" i="18"/>
  <c r="BD27" i="18" s="1"/>
  <c r="X35" i="18"/>
  <c r="X27" i="18" s="1"/>
  <c r="AP225" i="18"/>
  <c r="Z35" i="18"/>
  <c r="Z27" i="18" s="1"/>
  <c r="H29" i="18"/>
  <c r="H30" i="18"/>
  <c r="J94" i="68" s="1"/>
  <c r="N10" i="18"/>
  <c r="P339" i="67" s="1"/>
  <c r="P340" i="67" s="1"/>
  <c r="AP218" i="18"/>
  <c r="AP140" i="18"/>
  <c r="AP87" i="18"/>
  <c r="AI29" i="18"/>
  <c r="Z32" i="18"/>
  <c r="AM32" i="18"/>
  <c r="AG27" i="18"/>
  <c r="AG25" i="18" s="1"/>
  <c r="AW218" i="18"/>
  <c r="BF32" i="18"/>
  <c r="H27" i="18"/>
  <c r="J91" i="68" s="1"/>
  <c r="AC218" i="18"/>
  <c r="AC140" i="18"/>
  <c r="AC87" i="18"/>
  <c r="AF32" i="18"/>
  <c r="Y38" i="18"/>
  <c r="Y29" i="18" s="1"/>
  <c r="AP38" i="18"/>
  <c r="L46" i="18"/>
  <c r="N65" i="68" s="1"/>
  <c r="N66" i="68" s="1"/>
  <c r="N67" i="68" s="1"/>
  <c r="N68" i="68" s="1"/>
  <c r="M127" i="21"/>
  <c r="M100" i="21" s="1"/>
  <c r="F162" i="21"/>
  <c r="F161" i="21"/>
  <c r="N101" i="21"/>
  <c r="AF54" i="21"/>
  <c r="AF55" i="21"/>
  <c r="AL55" i="21"/>
  <c r="AL54" i="21"/>
  <c r="AP55" i="21" s="1"/>
  <c r="S114" i="21"/>
  <c r="AE46" i="21"/>
  <c r="AE45" i="21"/>
  <c r="P122" i="21"/>
  <c r="Q113" i="21"/>
  <c r="O112" i="21"/>
  <c r="N121" i="21"/>
  <c r="M54" i="21"/>
  <c r="AH61" i="21"/>
  <c r="AH60" i="21"/>
  <c r="D55" i="21"/>
  <c r="S45" i="21"/>
  <c r="S46" i="21"/>
  <c r="AJ46" i="21"/>
  <c r="E161" i="21"/>
  <c r="E179" i="21" s="1"/>
  <c r="S115" i="21"/>
  <c r="W137" i="21"/>
  <c r="AD55" i="21"/>
  <c r="AD54" i="21"/>
  <c r="AG45" i="21"/>
  <c r="AG46" i="21"/>
  <c r="AL45" i="21"/>
  <c r="AL46" i="21"/>
  <c r="U46" i="21"/>
  <c r="E46" i="21"/>
  <c r="Y46" i="21"/>
  <c r="Y45" i="21"/>
  <c r="N45" i="21"/>
  <c r="N46" i="21"/>
  <c r="X55" i="21"/>
  <c r="X54" i="21"/>
  <c r="S61" i="21"/>
  <c r="AL60" i="21"/>
  <c r="AL61" i="21"/>
  <c r="AH54" i="21"/>
  <c r="AH55" i="21"/>
  <c r="AJ15" i="21"/>
  <c r="N162" i="21"/>
  <c r="N161" i="21"/>
  <c r="L119" i="21"/>
  <c r="L118" i="21" s="1"/>
  <c r="L109" i="21"/>
  <c r="M110" i="21"/>
  <c r="K61" i="21"/>
  <c r="N60" i="21"/>
  <c r="N61" i="21"/>
  <c r="AK60" i="21"/>
  <c r="J46" i="21"/>
  <c r="J45" i="21"/>
  <c r="L55" i="21"/>
  <c r="I46" i="21"/>
  <c r="I45" i="21"/>
  <c r="G45" i="21"/>
  <c r="G46" i="21"/>
  <c r="L46" i="21"/>
  <c r="K46" i="21"/>
  <c r="K45" i="21"/>
  <c r="F45" i="21"/>
  <c r="F46" i="21"/>
  <c r="W45" i="21"/>
  <c r="W46" i="21"/>
  <c r="AD45" i="21"/>
  <c r="AD46" i="21"/>
  <c r="AB46" i="21"/>
  <c r="P54" i="21"/>
  <c r="Q46" i="21"/>
  <c r="Q45" i="21"/>
  <c r="AC60" i="21"/>
  <c r="AC61" i="21"/>
  <c r="U61" i="21"/>
  <c r="U60" i="21"/>
  <c r="R116" i="21"/>
  <c r="M162" i="21"/>
  <c r="M179" i="21" s="1"/>
  <c r="L161" i="21"/>
  <c r="L179" i="21" s="1"/>
  <c r="C61" i="21"/>
  <c r="H55" i="21"/>
  <c r="H54" i="21"/>
  <c r="V55" i="21"/>
  <c r="V54" i="21"/>
  <c r="AF46" i="21"/>
  <c r="AF45" i="21"/>
  <c r="AI46" i="21"/>
  <c r="M46" i="21"/>
  <c r="AH46" i="21"/>
  <c r="T121" i="15"/>
  <c r="L24" i="15"/>
  <c r="L15" i="15"/>
  <c r="W121" i="15"/>
  <c r="P96" i="15"/>
  <c r="P90" i="15"/>
  <c r="P14" i="15"/>
  <c r="AU84" i="15"/>
  <c r="N121" i="15"/>
  <c r="AU85" i="15"/>
  <c r="M121" i="15"/>
  <c r="X96" i="15"/>
  <c r="W96" i="15"/>
  <c r="AB121" i="15"/>
  <c r="AK24" i="15"/>
  <c r="AK15" i="15"/>
  <c r="R96" i="15"/>
  <c r="AL11" i="15"/>
  <c r="AL13" i="15"/>
  <c r="AL23" i="15"/>
  <c r="AP11" i="15"/>
  <c r="C15" i="15"/>
  <c r="V24" i="15"/>
  <c r="K15" i="15"/>
  <c r="O14" i="15"/>
  <c r="AH121" i="15"/>
  <c r="AJ115" i="15"/>
  <c r="AJ27" i="15"/>
  <c r="AJ25" i="15"/>
  <c r="M96" i="15"/>
  <c r="AH24" i="15"/>
  <c r="AH15" i="15"/>
  <c r="AH14" i="15"/>
  <c r="AD15" i="15"/>
  <c r="AL90" i="15"/>
  <c r="L90" i="15"/>
  <c r="J98" i="15"/>
  <c r="S90" i="15"/>
  <c r="V98" i="15"/>
  <c r="U98" i="15"/>
  <c r="I90" i="15"/>
  <c r="I121" i="15" s="1"/>
  <c r="AE90" i="15"/>
  <c r="AW108" i="15"/>
  <c r="O115" i="15"/>
  <c r="O27" i="15"/>
  <c r="AA23" i="15"/>
  <c r="AA13" i="15"/>
  <c r="AA11" i="15"/>
  <c r="M15" i="15"/>
  <c r="N11" i="15"/>
  <c r="N13" i="15"/>
  <c r="T98" i="15"/>
  <c r="AN96" i="15"/>
  <c r="F11" i="15"/>
  <c r="F13" i="15"/>
  <c r="Z23" i="15"/>
  <c r="Z13" i="15"/>
  <c r="AD14" i="15" s="1"/>
  <c r="Z11" i="15"/>
  <c r="X13" i="15"/>
  <c r="X11" i="15"/>
  <c r="X23" i="15"/>
  <c r="AJ121" i="15"/>
  <c r="AI121" i="15"/>
  <c r="O90" i="15"/>
  <c r="K98" i="15"/>
  <c r="B15" i="15"/>
  <c r="B24" i="15"/>
  <c r="AO11" i="15"/>
  <c r="AO13" i="15"/>
  <c r="AS14" i="15" s="1"/>
  <c r="AM24" i="15"/>
  <c r="AM15" i="15"/>
  <c r="AQ24" i="15"/>
  <c r="AQ15" i="15"/>
  <c r="AQ14" i="15"/>
  <c r="E115" i="15"/>
  <c r="E27" i="15"/>
  <c r="E25" i="15"/>
  <c r="AF121" i="15"/>
  <c r="R90" i="15"/>
  <c r="J121" i="15"/>
  <c r="AL98" i="15"/>
  <c r="AU107" i="15"/>
  <c r="AV82" i="15"/>
  <c r="AK98" i="15"/>
  <c r="Y121" i="15"/>
  <c r="G14" i="15"/>
  <c r="G24" i="15"/>
  <c r="G15" i="15"/>
  <c r="AC15" i="15"/>
  <c r="AB13" i="15"/>
  <c r="AB11" i="15"/>
  <c r="AK121" i="15"/>
  <c r="C98" i="15"/>
  <c r="T24" i="15"/>
  <c r="T15" i="15"/>
  <c r="U15" i="15"/>
  <c r="R25" i="15"/>
  <c r="AD90" i="15"/>
  <c r="Z98" i="15"/>
  <c r="U121" i="15"/>
  <c r="AD98" i="15"/>
  <c r="AC98" i="15"/>
  <c r="X121" i="15"/>
  <c r="Q90" i="15"/>
  <c r="AJ98" i="15"/>
  <c r="AU41" i="15"/>
  <c r="AU42" i="15" s="1"/>
  <c r="D15" i="15"/>
  <c r="AG13" i="15"/>
  <c r="AK14" i="15" s="1"/>
  <c r="AG11" i="15"/>
  <c r="AG23" i="15"/>
  <c r="Y11" i="15"/>
  <c r="Y13" i="15"/>
  <c r="AI23" i="15"/>
  <c r="AI13" i="15"/>
  <c r="AI11" i="15"/>
  <c r="J24" i="15"/>
  <c r="J15" i="15"/>
  <c r="AF13" i="15"/>
  <c r="AF11" i="15"/>
  <c r="AF23" i="15"/>
  <c r="AJ11" i="15"/>
  <c r="H11" i="15"/>
  <c r="H13" i="15"/>
  <c r="L14" i="15" s="1"/>
  <c r="AE11" i="15"/>
  <c r="S23" i="15"/>
  <c r="S11" i="15"/>
  <c r="S13" i="15"/>
  <c r="AP15" i="15"/>
  <c r="AP24" i="15"/>
  <c r="AM11" i="15"/>
  <c r="T42" i="68"/>
  <c r="U40" i="68"/>
  <c r="T41" i="68"/>
  <c r="T39" i="68"/>
  <c r="R91" i="18" s="1"/>
  <c r="U114" i="68"/>
  <c r="T116" i="68"/>
  <c r="T113" i="68" s="1"/>
  <c r="T115" i="68"/>
  <c r="C61" i="90" l="1"/>
  <c r="D55" i="90"/>
  <c r="D78" i="90" s="1"/>
  <c r="D71" i="90"/>
  <c r="D94" i="90" s="1"/>
  <c r="D62" i="90"/>
  <c r="D85" i="90" s="1"/>
  <c r="C68" i="90"/>
  <c r="D54" i="90"/>
  <c r="D77" i="90" s="1"/>
  <c r="C57" i="90"/>
  <c r="D56" i="90"/>
  <c r="D79" i="90" s="1"/>
  <c r="C65" i="90"/>
  <c r="D58" i="90"/>
  <c r="D81" i="90" s="1"/>
  <c r="D61" i="90"/>
  <c r="D84" i="90" s="1"/>
  <c r="D65" i="90"/>
  <c r="D88" i="90" s="1"/>
  <c r="C59" i="90"/>
  <c r="C56" i="90"/>
  <c r="C67" i="90"/>
  <c r="D68" i="90"/>
  <c r="D91" i="90" s="1"/>
  <c r="D67" i="90"/>
  <c r="D90" i="90" s="1"/>
  <c r="D63" i="90"/>
  <c r="D86" i="90" s="1"/>
  <c r="D70" i="90"/>
  <c r="D93" i="90" s="1"/>
  <c r="C70" i="90"/>
  <c r="C62" i="90"/>
  <c r="C58" i="90"/>
  <c r="D59" i="90"/>
  <c r="D82" i="90" s="1"/>
  <c r="D66" i="90"/>
  <c r="D89" i="90" s="1"/>
  <c r="D57" i="90"/>
  <c r="D80" i="90" s="1"/>
  <c r="C54" i="90"/>
  <c r="C55" i="90"/>
  <c r="C63" i="90"/>
  <c r="AH50" i="60"/>
  <c r="AS35" i="60"/>
  <c r="AS37" i="60" s="1"/>
  <c r="J61" i="21"/>
  <c r="N33" i="21"/>
  <c r="M244" i="18"/>
  <c r="I191" i="67"/>
  <c r="J191" i="67" s="1"/>
  <c r="K191" i="67" s="1"/>
  <c r="L191" i="67" s="1"/>
  <c r="M191" i="67" s="1"/>
  <c r="N191" i="67" s="1"/>
  <c r="O191" i="67" s="1"/>
  <c r="P191" i="67" s="1"/>
  <c r="Q191" i="67" s="1"/>
  <c r="R191" i="67" s="1"/>
  <c r="BM34" i="15"/>
  <c r="BL34" i="15"/>
  <c r="BK34" i="15"/>
  <c r="BJ34" i="15"/>
  <c r="BI34" i="15"/>
  <c r="BH34" i="15"/>
  <c r="BG34" i="15"/>
  <c r="BF34" i="15"/>
  <c r="I11" i="21"/>
  <c r="V14" i="15"/>
  <c r="AE24" i="15"/>
  <c r="AE98" i="15"/>
  <c r="AJ30" i="21"/>
  <c r="AJ33" i="21"/>
  <c r="AI98" i="15"/>
  <c r="V121" i="15"/>
  <c r="AC121" i="15"/>
  <c r="Z55" i="21"/>
  <c r="AA98" i="15"/>
  <c r="L12" i="21"/>
  <c r="G33" i="21"/>
  <c r="G30" i="21"/>
  <c r="N14" i="21"/>
  <c r="N10" i="21" s="1"/>
  <c r="N30" i="21"/>
  <c r="D33" i="21"/>
  <c r="D18" i="21"/>
  <c r="D30" i="21"/>
  <c r="BA19" i="18"/>
  <c r="AS93" i="15"/>
  <c r="BO187" i="18"/>
  <c r="BO237" i="18"/>
  <c r="P174" i="18"/>
  <c r="U7" i="61"/>
  <c r="K66" i="21"/>
  <c r="BO171" i="18"/>
  <c r="BO244" i="18" s="1"/>
  <c r="T88" i="68"/>
  <c r="R24" i="18" s="1"/>
  <c r="J85" i="21"/>
  <c r="M133" i="68"/>
  <c r="M134" i="68" s="1"/>
  <c r="M91" i="21"/>
  <c r="M93" i="21" s="1"/>
  <c r="G187" i="18"/>
  <c r="I85" i="21"/>
  <c r="J187" i="18"/>
  <c r="L85" i="21"/>
  <c r="E85" i="21"/>
  <c r="G85" i="21"/>
  <c r="K133" i="68"/>
  <c r="K134" i="68" s="1"/>
  <c r="K135" i="68" s="1"/>
  <c r="K136" i="68" s="1"/>
  <c r="K91" i="21"/>
  <c r="K93" i="21" s="1"/>
  <c r="H133" i="68"/>
  <c r="H134" i="68" s="1"/>
  <c r="H135" i="68" s="1"/>
  <c r="H136" i="68" s="1"/>
  <c r="H91" i="21"/>
  <c r="H93" i="21" s="1"/>
  <c r="N133" i="68"/>
  <c r="N134" i="68" s="1"/>
  <c r="N135" i="68" s="1"/>
  <c r="N136" i="68" s="1"/>
  <c r="N91" i="21"/>
  <c r="N93" i="21" s="1"/>
  <c r="F85" i="21"/>
  <c r="D85" i="21"/>
  <c r="D91" i="21" s="1"/>
  <c r="D93" i="21" s="1"/>
  <c r="I179" i="21"/>
  <c r="AR46" i="21"/>
  <c r="AV46" i="21" s="1"/>
  <c r="AZ46" i="21" s="1"/>
  <c r="BD46" i="21" s="1"/>
  <c r="BH46" i="21" s="1"/>
  <c r="BL46" i="21" s="1"/>
  <c r="BP46" i="21" s="1"/>
  <c r="AP46" i="21"/>
  <c r="AT46" i="21" s="1"/>
  <c r="AX46" i="21" s="1"/>
  <c r="BB46" i="21" s="1"/>
  <c r="BF46" i="21" s="1"/>
  <c r="BJ46" i="21" s="1"/>
  <c r="BN46" i="21" s="1"/>
  <c r="BR46" i="21" s="1"/>
  <c r="AO46" i="21"/>
  <c r="AS46" i="21" s="1"/>
  <c r="AW46" i="21" s="1"/>
  <c r="BA46" i="21" s="1"/>
  <c r="BE46" i="21" s="1"/>
  <c r="BI46" i="21" s="1"/>
  <c r="BM46" i="21" s="1"/>
  <c r="BQ46" i="21" s="1"/>
  <c r="T14" i="21"/>
  <c r="T10" i="21" s="1"/>
  <c r="T11" i="21" s="1"/>
  <c r="AC162" i="18"/>
  <c r="AC171" i="18"/>
  <c r="AH141" i="18"/>
  <c r="AH138" i="18" s="1"/>
  <c r="AA104" i="18"/>
  <c r="AA171" i="18"/>
  <c r="BK244" i="18"/>
  <c r="AM171" i="18"/>
  <c r="AM244" i="18" s="1"/>
  <c r="AT166" i="18"/>
  <c r="BH192" i="18"/>
  <c r="AZ156" i="18"/>
  <c r="J160" i="18"/>
  <c r="AZ48" i="18"/>
  <c r="E253" i="18"/>
  <c r="I160" i="18"/>
  <c r="E24" i="18"/>
  <c r="O22" i="18"/>
  <c r="J157" i="18"/>
  <c r="W44" i="21"/>
  <c r="AO187" i="18"/>
  <c r="AM104" i="18"/>
  <c r="K44" i="21" s="1"/>
  <c r="AQ154" i="18"/>
  <c r="AY166" i="18"/>
  <c r="G87" i="68"/>
  <c r="AV138" i="18"/>
  <c r="AD239" i="18"/>
  <c r="AQ166" i="18"/>
  <c r="AY239" i="18"/>
  <c r="AY198" i="18"/>
  <c r="K157" i="18"/>
  <c r="AM136" i="18"/>
  <c r="AC225" i="18"/>
  <c r="AD138" i="18"/>
  <c r="AC104" i="18"/>
  <c r="AK225" i="18"/>
  <c r="AZ87" i="18"/>
  <c r="AM162" i="18"/>
  <c r="AJ225" i="18"/>
  <c r="AZ159" i="18"/>
  <c r="AD225" i="18"/>
  <c r="BB28" i="18"/>
  <c r="BB252" i="18" s="1"/>
  <c r="AZ138" i="18"/>
  <c r="AB225" i="18"/>
  <c r="AE225" i="18"/>
  <c r="J44" i="21"/>
  <c r="BB138" i="18"/>
  <c r="K144" i="18"/>
  <c r="AL239" i="18"/>
  <c r="BD138" i="18"/>
  <c r="AR138" i="18"/>
  <c r="AH28" i="18"/>
  <c r="AH252" i="18" s="1"/>
  <c r="AY138" i="18"/>
  <c r="I28" i="18"/>
  <c r="AA141" i="18"/>
  <c r="AA138" i="18" s="1"/>
  <c r="AF225" i="18"/>
  <c r="AD154" i="18"/>
  <c r="H136" i="18"/>
  <c r="F138" i="18"/>
  <c r="F143" i="18" s="1"/>
  <c r="AL28" i="18"/>
  <c r="AD198" i="18"/>
  <c r="Y138" i="18"/>
  <c r="AD187" i="18"/>
  <c r="X225" i="18"/>
  <c r="BB239" i="18"/>
  <c r="BH187" i="18"/>
  <c r="AT25" i="18"/>
  <c r="BB187" i="18"/>
  <c r="AT154" i="18"/>
  <c r="Y225" i="18"/>
  <c r="AY187" i="18"/>
  <c r="BH239" i="18"/>
  <c r="AZ187" i="18"/>
  <c r="AR166" i="18"/>
  <c r="X44" i="21"/>
  <c r="AZ239" i="18"/>
  <c r="AI225" i="18"/>
  <c r="BB198" i="18"/>
  <c r="BB192" i="18"/>
  <c r="G144" i="18"/>
  <c r="AG171" i="18"/>
  <c r="AZ46" i="18"/>
  <c r="Z229" i="18"/>
  <c r="AD25" i="18"/>
  <c r="AU28" i="18"/>
  <c r="AQ25" i="18"/>
  <c r="AZ81" i="18"/>
  <c r="N160" i="18"/>
  <c r="AC141" i="18"/>
  <c r="AC138" i="18" s="1"/>
  <c r="L160" i="18"/>
  <c r="M160" i="18"/>
  <c r="H144" i="18"/>
  <c r="AM190" i="18"/>
  <c r="L90" i="68"/>
  <c r="AL138" i="18"/>
  <c r="AD166" i="18"/>
  <c r="AG104" i="18"/>
  <c r="AL225" i="18"/>
  <c r="AL187" i="18"/>
  <c r="AZ192" i="18"/>
  <c r="AH171" i="18"/>
  <c r="K160" i="18"/>
  <c r="AR154" i="18"/>
  <c r="AH104" i="18"/>
  <c r="F44" i="21" s="1"/>
  <c r="AG225" i="18"/>
  <c r="AA225" i="18"/>
  <c r="AM225" i="18"/>
  <c r="AH162" i="18"/>
  <c r="AZ27" i="18"/>
  <c r="AZ25" i="18" s="1"/>
  <c r="I157" i="18"/>
  <c r="N157" i="18"/>
  <c r="AL26" i="18"/>
  <c r="AL25" i="18" s="1"/>
  <c r="K253" i="18"/>
  <c r="H253" i="18"/>
  <c r="AA154" i="18"/>
  <c r="BC28" i="18"/>
  <c r="G44" i="21"/>
  <c r="AI198" i="18"/>
  <c r="R44" i="21"/>
  <c r="AT187" i="18"/>
  <c r="AL154" i="18"/>
  <c r="G90" i="68"/>
  <c r="BG192" i="18"/>
  <c r="O161" i="21"/>
  <c r="F54" i="21"/>
  <c r="N54" i="21"/>
  <c r="AI138" i="18"/>
  <c r="AT239" i="18"/>
  <c r="F25" i="18"/>
  <c r="H90" i="68"/>
  <c r="K24" i="15"/>
  <c r="BU214" i="18"/>
  <c r="BU9" i="18" s="1"/>
  <c r="BR18" i="18"/>
  <c r="L101" i="68"/>
  <c r="L102" i="68" s="1"/>
  <c r="O10" i="18"/>
  <c r="O11" i="18"/>
  <c r="Q14" i="21"/>
  <c r="Q10" i="21" s="1"/>
  <c r="Q11" i="21" s="1"/>
  <c r="Q18" i="21"/>
  <c r="Q30" i="21"/>
  <c r="AH18" i="21"/>
  <c r="AH30" i="21"/>
  <c r="J14" i="21"/>
  <c r="J10" i="21" s="1"/>
  <c r="J11" i="21" s="1"/>
  <c r="J30" i="21"/>
  <c r="J18" i="21"/>
  <c r="J33" i="21"/>
  <c r="M21" i="21"/>
  <c r="M24" i="21"/>
  <c r="M27" i="21"/>
  <c r="AL30" i="21"/>
  <c r="AP30" i="21" s="1"/>
  <c r="AT30" i="21" s="1"/>
  <c r="AX30" i="21" s="1"/>
  <c r="BB30" i="21" s="1"/>
  <c r="BF30" i="21" s="1"/>
  <c r="BJ30" i="21" s="1"/>
  <c r="BN30" i="21" s="1"/>
  <c r="BR30" i="21" s="1"/>
  <c r="AL33" i="21"/>
  <c r="AP33" i="21" s="1"/>
  <c r="AT33" i="21" s="1"/>
  <c r="AX33" i="21" s="1"/>
  <c r="BB33" i="21" s="1"/>
  <c r="BF33" i="21" s="1"/>
  <c r="BJ33" i="21" s="1"/>
  <c r="BN33" i="21" s="1"/>
  <c r="BR33" i="21" s="1"/>
  <c r="R115" i="15"/>
  <c r="T14" i="15"/>
  <c r="W24" i="15"/>
  <c r="AE15" i="15"/>
  <c r="AR15" i="15"/>
  <c r="K14" i="15"/>
  <c r="I15" i="15"/>
  <c r="P24" i="15"/>
  <c r="AF44" i="21"/>
  <c r="AI14" i="21"/>
  <c r="AI10" i="21" s="1"/>
  <c r="AI12" i="21" s="1"/>
  <c r="AE44" i="21"/>
  <c r="K28" i="18"/>
  <c r="AQ187" i="18"/>
  <c r="J192" i="18"/>
  <c r="AQ198" i="18"/>
  <c r="AI166" i="18"/>
  <c r="AQ239" i="18"/>
  <c r="BN187" i="18"/>
  <c r="AZ166" i="18"/>
  <c r="BG198" i="18"/>
  <c r="AL166" i="18"/>
  <c r="BG187" i="18"/>
  <c r="AY154" i="18"/>
  <c r="BG239" i="18"/>
  <c r="BH138" i="18"/>
  <c r="AZ154" i="18"/>
  <c r="N98" i="15"/>
  <c r="G25" i="18"/>
  <c r="J12" i="21"/>
  <c r="AL18" i="21"/>
  <c r="BP193" i="18"/>
  <c r="AG18" i="21"/>
  <c r="AG30" i="21"/>
  <c r="K121" i="15"/>
  <c r="F24" i="21"/>
  <c r="F21" i="21"/>
  <c r="F27" i="21"/>
  <c r="Z27" i="21"/>
  <c r="Z24" i="21"/>
  <c r="Z21" i="21"/>
  <c r="AT109" i="15"/>
  <c r="AT103" i="15" s="1"/>
  <c r="AT93" i="15"/>
  <c r="AH33" i="21"/>
  <c r="AM26" i="18"/>
  <c r="AM25" i="18" s="1"/>
  <c r="BA25" i="18"/>
  <c r="BM27" i="18"/>
  <c r="BM25" i="18" s="1"/>
  <c r="Y44" i="21"/>
  <c r="AB31" i="18"/>
  <c r="AU26" i="18"/>
  <c r="AU25" i="18" s="1"/>
  <c r="BC25" i="18"/>
  <c r="AE26" i="18"/>
  <c r="AE25" i="18" s="1"/>
  <c r="BH26" i="18"/>
  <c r="BH25" i="18" s="1"/>
  <c r="AS140" i="85"/>
  <c r="AT140" i="85" s="1"/>
  <c r="BP184" i="18" s="1"/>
  <c r="BP194" i="18" s="1"/>
  <c r="AM28" i="18"/>
  <c r="AJ138" i="18"/>
  <c r="BG28" i="18"/>
  <c r="AH225" i="18"/>
  <c r="AY28" i="18"/>
  <c r="AY252" i="18" s="1"/>
  <c r="AC26" i="18"/>
  <c r="AC25" i="18" s="1"/>
  <c r="AT28" i="18"/>
  <c r="BI138" i="18"/>
  <c r="Q24" i="15"/>
  <c r="Q14" i="15"/>
  <c r="Q15" i="15"/>
  <c r="AQ240" i="18"/>
  <c r="BF28" i="18"/>
  <c r="BF252" i="18" s="1"/>
  <c r="AW187" i="18"/>
  <c r="BM185" i="18"/>
  <c r="BM195" i="18" s="1"/>
  <c r="BM183" i="18"/>
  <c r="BM193" i="18" s="1"/>
  <c r="AV46" i="18"/>
  <c r="U88" i="68"/>
  <c r="G15" i="21"/>
  <c r="H14" i="21"/>
  <c r="H10" i="21" s="1"/>
  <c r="H11" i="21" s="1"/>
  <c r="AG14" i="21"/>
  <c r="AG10" i="21" s="1"/>
  <c r="AE30" i="21"/>
  <c r="AE18" i="21"/>
  <c r="AH14" i="21"/>
  <c r="AH10" i="21" s="1"/>
  <c r="AE33" i="21"/>
  <c r="AM54" i="21"/>
  <c r="AQ55" i="21" s="1"/>
  <c r="AM55" i="21"/>
  <c r="F60" i="21"/>
  <c r="F61" i="21"/>
  <c r="S13" i="68"/>
  <c r="T181" i="68"/>
  <c r="T98" i="68"/>
  <c r="T85" i="68"/>
  <c r="T157" i="68"/>
  <c r="T112" i="68"/>
  <c r="T142" i="68"/>
  <c r="T163" i="68"/>
  <c r="T49" i="68"/>
  <c r="X18" i="21"/>
  <c r="AA14" i="21"/>
  <c r="AA10" i="21" s="1"/>
  <c r="AA11" i="21" s="1"/>
  <c r="X33" i="21"/>
  <c r="X30" i="21"/>
  <c r="C30" i="21"/>
  <c r="C18" i="21"/>
  <c r="C33" i="21"/>
  <c r="O24" i="21"/>
  <c r="O21" i="21"/>
  <c r="O202" i="68" s="1"/>
  <c r="O203" i="68" s="1"/>
  <c r="O204" i="68" s="1"/>
  <c r="O205" i="68" s="1"/>
  <c r="O27" i="21"/>
  <c r="O207" i="68" s="1"/>
  <c r="O208" i="68" s="1"/>
  <c r="O209" i="68" s="1"/>
  <c r="O210" i="68" s="1"/>
  <c r="BG229" i="18"/>
  <c r="BG129" i="18"/>
  <c r="BG141" i="18" s="1"/>
  <c r="BG138" i="18" s="1"/>
  <c r="AS110" i="15"/>
  <c r="AM50" i="21"/>
  <c r="Z14" i="21"/>
  <c r="Z10" i="21" s="1"/>
  <c r="G61" i="21"/>
  <c r="M33" i="21"/>
  <c r="M30" i="21"/>
  <c r="M18" i="21"/>
  <c r="M14" i="21"/>
  <c r="M10" i="21" s="1"/>
  <c r="M11" i="21" s="1"/>
  <c r="AI18" i="21"/>
  <c r="AI30" i="21"/>
  <c r="AQ30" i="21" s="1"/>
  <c r="AU30" i="21" s="1"/>
  <c r="AY30" i="21" s="1"/>
  <c r="BC30" i="21" s="1"/>
  <c r="BG30" i="21" s="1"/>
  <c r="BK30" i="21" s="1"/>
  <c r="BO30" i="21" s="1"/>
  <c r="BS30" i="21" s="1"/>
  <c r="AI33" i="21"/>
  <c r="AQ33" i="21" s="1"/>
  <c r="AU33" i="21" s="1"/>
  <c r="AY33" i="21" s="1"/>
  <c r="BC33" i="21" s="1"/>
  <c r="BG33" i="21" s="1"/>
  <c r="BK33" i="21" s="1"/>
  <c r="BO33" i="21" s="1"/>
  <c r="BS33" i="21" s="1"/>
  <c r="AB229" i="18"/>
  <c r="AD229" i="18"/>
  <c r="AE229" i="18"/>
  <c r="N27" i="21"/>
  <c r="N24" i="21"/>
  <c r="N21" i="21"/>
  <c r="AL229" i="18"/>
  <c r="AK229" i="18"/>
  <c r="Y30" i="21"/>
  <c r="AB14" i="21"/>
  <c r="AB10" i="21" s="1"/>
  <c r="AB11" i="21" s="1"/>
  <c r="Y18" i="21"/>
  <c r="Y33" i="21"/>
  <c r="AA229" i="18"/>
  <c r="K54" i="21"/>
  <c r="K55" i="21"/>
  <c r="Q21" i="21"/>
  <c r="Q24" i="21"/>
  <c r="Q27" i="21"/>
  <c r="Y21" i="21"/>
  <c r="Y27" i="21"/>
  <c r="Y24" i="21"/>
  <c r="R55" i="21"/>
  <c r="R54" i="21"/>
  <c r="AA28" i="18"/>
  <c r="AA252" i="18" s="1"/>
  <c r="O40" i="6"/>
  <c r="M141" i="18"/>
  <c r="M138" i="18" s="1"/>
  <c r="M104" i="18"/>
  <c r="H33" i="21"/>
  <c r="H18" i="21"/>
  <c r="H30" i="21"/>
  <c r="B18" i="21"/>
  <c r="B30" i="21"/>
  <c r="B33" i="21"/>
  <c r="V14" i="21"/>
  <c r="V10" i="21" s="1"/>
  <c r="S18" i="21"/>
  <c r="S33" i="21"/>
  <c r="S30" i="21"/>
  <c r="T30" i="21"/>
  <c r="T12" i="21"/>
  <c r="T33" i="21"/>
  <c r="W14" i="21"/>
  <c r="W10" i="21" s="1"/>
  <c r="T18" i="21"/>
  <c r="X229" i="18"/>
  <c r="Y229" i="18"/>
  <c r="E24" i="21"/>
  <c r="E21" i="21"/>
  <c r="E27" i="21"/>
  <c r="BE229" i="18"/>
  <c r="BE129" i="18"/>
  <c r="BF229" i="18"/>
  <c r="BD229" i="18"/>
  <c r="AF18" i="21"/>
  <c r="AF33" i="21"/>
  <c r="AF30" i="21"/>
  <c r="K21" i="21"/>
  <c r="K24" i="21"/>
  <c r="K27" i="21"/>
  <c r="S24" i="21"/>
  <c r="S27" i="21"/>
  <c r="S21" i="21"/>
  <c r="BN26" i="18"/>
  <c r="BN25" i="18" s="1"/>
  <c r="R27" i="15"/>
  <c r="R28" i="15" s="1"/>
  <c r="M14" i="15"/>
  <c r="I14" i="15"/>
  <c r="F179" i="21"/>
  <c r="X26" i="18"/>
  <c r="X25" i="18" s="1"/>
  <c r="BL28" i="18"/>
  <c r="AV26" i="18"/>
  <c r="AV25" i="18" s="1"/>
  <c r="AS28" i="18"/>
  <c r="AS252" i="18" s="1"/>
  <c r="AI154" i="18"/>
  <c r="AQ28" i="18"/>
  <c r="AY240" i="18"/>
  <c r="BC187" i="18"/>
  <c r="AN26" i="18"/>
  <c r="AN25" i="18" s="1"/>
  <c r="AA166" i="18"/>
  <c r="BI28" i="18"/>
  <c r="BI252" i="18" s="1"/>
  <c r="BL26" i="18"/>
  <c r="BL25" i="18" s="1"/>
  <c r="BN28" i="18"/>
  <c r="AI187" i="18"/>
  <c r="BK187" i="18"/>
  <c r="BG240" i="18"/>
  <c r="Z138" i="18"/>
  <c r="AN138" i="18"/>
  <c r="AA162" i="18"/>
  <c r="Z28" i="18"/>
  <c r="Z225" i="18"/>
  <c r="AI239" i="18"/>
  <c r="AD28" i="18"/>
  <c r="BM184" i="18"/>
  <c r="BM194" i="18" s="1"/>
  <c r="Q22" i="18"/>
  <c r="G55" i="21"/>
  <c r="G54" i="21"/>
  <c r="AQ229" i="18"/>
  <c r="O233" i="68" s="1"/>
  <c r="AQ129" i="18"/>
  <c r="AQ141" i="18" s="1"/>
  <c r="AQ138" i="18" s="1"/>
  <c r="W24" i="21"/>
  <c r="W27" i="21"/>
  <c r="W21" i="21"/>
  <c r="AE27" i="21"/>
  <c r="AE24" i="21"/>
  <c r="AE21" i="21"/>
  <c r="BG27" i="18"/>
  <c r="BG25" i="18" s="1"/>
  <c r="AW46" i="18"/>
  <c r="X101" i="15"/>
  <c r="AG162" i="18"/>
  <c r="AG141" i="18"/>
  <c r="AG138" i="18" s="1"/>
  <c r="AB55" i="21"/>
  <c r="AK54" i="21"/>
  <c r="AO55" i="21" s="1"/>
  <c r="R14" i="21"/>
  <c r="R10" i="21" s="1"/>
  <c r="R30" i="21"/>
  <c r="R18" i="21"/>
  <c r="U14" i="21"/>
  <c r="U10" i="21" s="1"/>
  <c r="R33" i="21"/>
  <c r="AC14" i="21"/>
  <c r="AC10" i="21" s="1"/>
  <c r="AC11" i="21" s="1"/>
  <c r="Z33" i="21"/>
  <c r="Z30" i="21"/>
  <c r="Z18" i="21"/>
  <c r="AA18" i="21"/>
  <c r="AA30" i="21"/>
  <c r="AD14" i="21"/>
  <c r="AD10" i="21" s="1"/>
  <c r="AA33" i="21"/>
  <c r="C21" i="21"/>
  <c r="C27" i="21"/>
  <c r="C24" i="21"/>
  <c r="AP129" i="18"/>
  <c r="AP141" i="18" s="1"/>
  <c r="AP138" i="18" s="1"/>
  <c r="AP229" i="18"/>
  <c r="AO229" i="18"/>
  <c r="J24" i="21"/>
  <c r="J27" i="21"/>
  <c r="J21" i="21"/>
  <c r="U179" i="68"/>
  <c r="AC229" i="18"/>
  <c r="W55" i="21"/>
  <c r="W54" i="21"/>
  <c r="P33" i="21"/>
  <c r="P14" i="21"/>
  <c r="P10" i="21" s="1"/>
  <c r="P30" i="21"/>
  <c r="P18" i="21"/>
  <c r="S14" i="21"/>
  <c r="S10" i="21" s="1"/>
  <c r="S11" i="21" s="1"/>
  <c r="AB30" i="21"/>
  <c r="AB18" i="21"/>
  <c r="AB33" i="21"/>
  <c r="AE14" i="21"/>
  <c r="AE10" i="21" s="1"/>
  <c r="AE11" i="21" s="1"/>
  <c r="AS129" i="18"/>
  <c r="AS141" i="18" s="1"/>
  <c r="AS138" i="18" s="1"/>
  <c r="AS229" i="18"/>
  <c r="AT229" i="18"/>
  <c r="V33" i="21"/>
  <c r="V30" i="21"/>
  <c r="Y14" i="21"/>
  <c r="Y10" i="21" s="1"/>
  <c r="Y11" i="21" s="1"/>
  <c r="V18" i="21"/>
  <c r="X14" i="21"/>
  <c r="X10" i="21" s="1"/>
  <c r="X11" i="21" s="1"/>
  <c r="U33" i="21"/>
  <c r="U30" i="21"/>
  <c r="U18" i="21"/>
  <c r="AC30" i="21"/>
  <c r="AC18" i="21"/>
  <c r="AC33" i="21"/>
  <c r="AF14" i="21"/>
  <c r="AF10" i="21" s="1"/>
  <c r="AF11" i="21" s="1"/>
  <c r="AH229" i="18"/>
  <c r="AG229" i="18"/>
  <c r="AF229" i="18"/>
  <c r="AC27" i="21"/>
  <c r="AC24" i="21"/>
  <c r="AC21" i="21"/>
  <c r="AM229" i="18"/>
  <c r="AM129" i="18"/>
  <c r="AM141" i="18" s="1"/>
  <c r="AM138" i="18" s="1"/>
  <c r="AU229" i="18"/>
  <c r="AU129" i="18"/>
  <c r="AU141" i="18" s="1"/>
  <c r="AU138" i="18" s="1"/>
  <c r="AI24" i="21"/>
  <c r="AQ24" i="21" s="1"/>
  <c r="AU24" i="21" s="1"/>
  <c r="AY24" i="21" s="1"/>
  <c r="BC24" i="21" s="1"/>
  <c r="BG24" i="21" s="1"/>
  <c r="BK24" i="21" s="1"/>
  <c r="BO24" i="21" s="1"/>
  <c r="BS24" i="21" s="1"/>
  <c r="AI27" i="21"/>
  <c r="AI21" i="21"/>
  <c r="AR229" i="18"/>
  <c r="AJ229" i="18"/>
  <c r="AN229" i="18"/>
  <c r="AW218" i="68"/>
  <c r="BA218" i="68" s="1"/>
  <c r="CC214" i="18" s="1"/>
  <c r="S138" i="68"/>
  <c r="L32" i="18"/>
  <c r="N96" i="68" s="1"/>
  <c r="L30" i="18"/>
  <c r="L31" i="18"/>
  <c r="N95" i="68" s="1"/>
  <c r="N179" i="21"/>
  <c r="I26" i="18"/>
  <c r="I16" i="18"/>
  <c r="AL44" i="21"/>
  <c r="AL27" i="21"/>
  <c r="AL24" i="21"/>
  <c r="AP24" i="21" s="1"/>
  <c r="AT24" i="21" s="1"/>
  <c r="AX24" i="21" s="1"/>
  <c r="BB24" i="21" s="1"/>
  <c r="BF24" i="21" s="1"/>
  <c r="BJ24" i="21" s="1"/>
  <c r="BN24" i="21" s="1"/>
  <c r="BR24" i="21" s="1"/>
  <c r="AL21" i="21"/>
  <c r="BJ199" i="18"/>
  <c r="BN200" i="18"/>
  <c r="BR200" i="18" s="1"/>
  <c r="BV200" i="18" s="1"/>
  <c r="BZ200" i="18" s="1"/>
  <c r="CD200" i="18" s="1"/>
  <c r="CH200" i="18" s="1"/>
  <c r="CL200" i="18" s="1"/>
  <c r="CP200" i="18" s="1"/>
  <c r="CT200" i="18" s="1"/>
  <c r="BJ200" i="18"/>
  <c r="BL200" i="18"/>
  <c r="BM200" i="18"/>
  <c r="BQ200" i="18" s="1"/>
  <c r="BU200" i="18" s="1"/>
  <c r="BY200" i="18" s="1"/>
  <c r="CC200" i="18" s="1"/>
  <c r="CG200" i="18" s="1"/>
  <c r="CK200" i="18" s="1"/>
  <c r="CO200" i="18" s="1"/>
  <c r="CS200" i="18" s="1"/>
  <c r="BH200" i="18"/>
  <c r="BI200" i="18"/>
  <c r="BK200" i="18"/>
  <c r="BS200" i="18" s="1"/>
  <c r="BW200" i="18" s="1"/>
  <c r="CA200" i="18" s="1"/>
  <c r="CE200" i="18" s="1"/>
  <c r="CI200" i="18" s="1"/>
  <c r="CM200" i="18" s="1"/>
  <c r="CQ200" i="18" s="1"/>
  <c r="CU200" i="18" s="1"/>
  <c r="AN98" i="18"/>
  <c r="AN50" i="18"/>
  <c r="S71" i="85"/>
  <c r="AO61" i="18"/>
  <c r="L41" i="71"/>
  <c r="BE187" i="18"/>
  <c r="AG121" i="15"/>
  <c r="AT198" i="18"/>
  <c r="AZ29" i="18"/>
  <c r="AE138" i="18"/>
  <c r="BA214" i="18"/>
  <c r="Y218" i="68" s="1"/>
  <c r="BC214" i="18"/>
  <c r="AA218" i="68" s="1"/>
  <c r="BB214" i="18"/>
  <c r="Z218" i="68" s="1"/>
  <c r="AZ214" i="18"/>
  <c r="X218" i="68" s="1"/>
  <c r="Z3" i="85"/>
  <c r="W3" i="85"/>
  <c r="X3" i="85" s="1"/>
  <c r="Y3" i="85" s="1"/>
  <c r="BE22" i="18"/>
  <c r="K14" i="21"/>
  <c r="K10" i="21" s="1"/>
  <c r="K11" i="21" s="1"/>
  <c r="K18" i="21"/>
  <c r="K33" i="21"/>
  <c r="K30" i="21"/>
  <c r="AP187" i="18"/>
  <c r="BG193" i="18"/>
  <c r="AI47" i="85"/>
  <c r="AX192" i="18"/>
  <c r="BJ192" i="18"/>
  <c r="AT138" i="18"/>
  <c r="BA229" i="18"/>
  <c r="BB229" i="18"/>
  <c r="BC129" i="18"/>
  <c r="BC141" i="18" s="1"/>
  <c r="BC138" i="18" s="1"/>
  <c r="AZ229" i="18"/>
  <c r="BC229" i="18"/>
  <c r="AW229" i="18"/>
  <c r="AX229" i="18"/>
  <c r="AV229" i="18"/>
  <c r="AW129" i="18"/>
  <c r="AW141" i="18" s="1"/>
  <c r="AW138" i="18" s="1"/>
  <c r="AY229" i="18"/>
  <c r="AO138" i="18"/>
  <c r="AU240" i="18"/>
  <c r="AH7" i="21"/>
  <c r="BJ123" i="18"/>
  <c r="BO229" i="18" s="1"/>
  <c r="AN13" i="15"/>
  <c r="U27" i="21"/>
  <c r="U24" i="21"/>
  <c r="U21" i="21"/>
  <c r="AA27" i="21"/>
  <c r="AA24" i="21"/>
  <c r="AA21" i="21"/>
  <c r="C162" i="21"/>
  <c r="C161" i="21"/>
  <c r="G138" i="18"/>
  <c r="G143" i="18" s="1"/>
  <c r="J138" i="18"/>
  <c r="J143" i="18" s="1"/>
  <c r="E93" i="68"/>
  <c r="F93" i="68"/>
  <c r="AR30" i="18"/>
  <c r="AR32" i="18"/>
  <c r="AU239" i="18"/>
  <c r="AM166" i="18"/>
  <c r="AU198" i="18"/>
  <c r="B32" i="18"/>
  <c r="D96" i="68" s="1"/>
  <c r="B30" i="18"/>
  <c r="D94" i="68" s="1"/>
  <c r="B31" i="18"/>
  <c r="D95" i="68" s="1"/>
  <c r="F31" i="18"/>
  <c r="H95" i="68" s="1"/>
  <c r="F29" i="18"/>
  <c r="F32" i="18"/>
  <c r="H96" i="68" s="1"/>
  <c r="F16" i="18"/>
  <c r="G16" i="18"/>
  <c r="H17" i="18" s="1"/>
  <c r="G30" i="18"/>
  <c r="I94" i="68" s="1"/>
  <c r="G31" i="18"/>
  <c r="I95" i="68" s="1"/>
  <c r="G32" i="18"/>
  <c r="I96" i="68" s="1"/>
  <c r="AN239" i="18"/>
  <c r="AF166" i="18"/>
  <c r="AN198" i="18"/>
  <c r="L44" i="21"/>
  <c r="AF154" i="18"/>
  <c r="Y31" i="18"/>
  <c r="Y32" i="18"/>
  <c r="Y30" i="18"/>
  <c r="H249" i="18"/>
  <c r="H145" i="18"/>
  <c r="H138" i="18"/>
  <c r="BD239" i="18"/>
  <c r="AV166" i="18"/>
  <c r="BD198" i="18"/>
  <c r="BD192" i="18"/>
  <c r="AV154" i="18"/>
  <c r="AB44" i="21"/>
  <c r="BM239" i="18"/>
  <c r="BM198" i="18"/>
  <c r="BE166" i="18"/>
  <c r="BE154" i="18"/>
  <c r="AK44" i="21"/>
  <c r="BM187" i="18"/>
  <c r="BD28" i="18"/>
  <c r="D16" i="18"/>
  <c r="D24" i="18" s="1"/>
  <c r="D26" i="18"/>
  <c r="F67" i="68"/>
  <c r="F68" i="68" s="1"/>
  <c r="M72" i="68"/>
  <c r="M73" i="68" s="1"/>
  <c r="AP30" i="18"/>
  <c r="AP31" i="18"/>
  <c r="AP29" i="18"/>
  <c r="AP32" i="18"/>
  <c r="J32" i="18"/>
  <c r="L96" i="68" s="1"/>
  <c r="J30" i="18"/>
  <c r="L94" i="68" s="1"/>
  <c r="J31" i="18"/>
  <c r="L95" i="68" s="1"/>
  <c r="J16" i="18"/>
  <c r="K17" i="18" s="1"/>
  <c r="AG32" i="18"/>
  <c r="AG30" i="18"/>
  <c r="AG31" i="18"/>
  <c r="I143" i="18"/>
  <c r="AW31" i="18"/>
  <c r="AW32" i="18"/>
  <c r="AW30" i="18"/>
  <c r="L248" i="18"/>
  <c r="L144" i="18"/>
  <c r="L138" i="18"/>
  <c r="BF187" i="18"/>
  <c r="S44" i="21"/>
  <c r="AF28" i="18"/>
  <c r="BK28" i="18"/>
  <c r="BK252" i="18" s="1"/>
  <c r="AE28" i="18"/>
  <c r="AR218" i="68"/>
  <c r="BT214" i="18" s="1"/>
  <c r="BR9" i="18"/>
  <c r="AP239" i="18"/>
  <c r="AH166" i="18"/>
  <c r="AH154" i="18"/>
  <c r="AP198" i="18"/>
  <c r="BH30" i="18"/>
  <c r="BH32" i="18"/>
  <c r="E28" i="18"/>
  <c r="G93" i="68"/>
  <c r="AZ32" i="18"/>
  <c r="AZ30" i="18"/>
  <c r="H28" i="18"/>
  <c r="J93" i="68"/>
  <c r="BA29" i="18"/>
  <c r="BA30" i="18"/>
  <c r="BA32" i="18"/>
  <c r="AO27" i="18"/>
  <c r="AO25" i="18" s="1"/>
  <c r="L187" i="18"/>
  <c r="BQ10" i="18"/>
  <c r="AS239" i="18"/>
  <c r="AS198" i="18"/>
  <c r="AK166" i="18"/>
  <c r="AS187" i="18"/>
  <c r="AK154" i="18"/>
  <c r="AJ239" i="18"/>
  <c r="AB154" i="18"/>
  <c r="AB166" i="18"/>
  <c r="AJ187" i="18"/>
  <c r="AJ198" i="18"/>
  <c r="H44" i="21"/>
  <c r="L192" i="18"/>
  <c r="I192" i="18"/>
  <c r="X28" i="18"/>
  <c r="B26" i="18"/>
  <c r="B16" i="18"/>
  <c r="AC28" i="18"/>
  <c r="AI28" i="18"/>
  <c r="AI252" i="18" s="1"/>
  <c r="AR239" i="18"/>
  <c r="AR198" i="18"/>
  <c r="AJ154" i="18"/>
  <c r="P44" i="21"/>
  <c r="AJ166" i="18"/>
  <c r="AR187" i="18"/>
  <c r="L26" i="18"/>
  <c r="L16" i="18"/>
  <c r="C33" i="90" s="1"/>
  <c r="C84" i="90" s="1"/>
  <c r="AO30" i="18"/>
  <c r="AO31" i="18"/>
  <c r="AO32" i="18"/>
  <c r="AF138" i="18"/>
  <c r="AV239" i="18"/>
  <c r="AV198" i="18"/>
  <c r="AN166" i="18"/>
  <c r="AN154" i="18"/>
  <c r="T44" i="21"/>
  <c r="AZ31" i="18"/>
  <c r="AK239" i="18"/>
  <c r="AK198" i="18"/>
  <c r="AC166" i="18"/>
  <c r="AC154" i="18"/>
  <c r="AK187" i="18"/>
  <c r="BK138" i="18"/>
  <c r="BA138" i="18"/>
  <c r="C16" i="18"/>
  <c r="C27" i="18"/>
  <c r="E91" i="68" s="1"/>
  <c r="BD187" i="18"/>
  <c r="Z239" i="18"/>
  <c r="Z187" i="18"/>
  <c r="Z198" i="18"/>
  <c r="BM30" i="18"/>
  <c r="BM32" i="18"/>
  <c r="BM31" i="18"/>
  <c r="AB239" i="18"/>
  <c r="AB187" i="18"/>
  <c r="AB198" i="18"/>
  <c r="BE27" i="18"/>
  <c r="BE25" i="18" s="1"/>
  <c r="H25" i="18"/>
  <c r="J90" i="68"/>
  <c r="X239" i="18"/>
  <c r="X198" i="18"/>
  <c r="AV28" i="18"/>
  <c r="L93" i="68"/>
  <c r="BK239" i="18"/>
  <c r="BC166" i="18"/>
  <c r="AI44" i="21"/>
  <c r="BC154" i="18"/>
  <c r="BK198" i="18"/>
  <c r="BK192" i="18"/>
  <c r="AF239" i="18"/>
  <c r="AF198" i="18"/>
  <c r="X166" i="18"/>
  <c r="X154" i="18"/>
  <c r="D44" i="21"/>
  <c r="AF187" i="18"/>
  <c r="BF138" i="18"/>
  <c r="AN187" i="18"/>
  <c r="BM138" i="18"/>
  <c r="K187" i="18"/>
  <c r="BQ15" i="18"/>
  <c r="N38" i="18"/>
  <c r="AR31" i="18"/>
  <c r="AN31" i="18"/>
  <c r="AN29" i="18"/>
  <c r="AN32" i="18"/>
  <c r="AU187" i="18"/>
  <c r="AJ29" i="18"/>
  <c r="BJ198" i="18"/>
  <c r="BB166" i="18"/>
  <c r="BB154" i="18"/>
  <c r="AH44" i="21"/>
  <c r="BN239" i="18"/>
  <c r="BF154" i="18"/>
  <c r="BF166" i="18"/>
  <c r="BN198" i="18"/>
  <c r="K192" i="18"/>
  <c r="K25" i="18"/>
  <c r="AK32" i="18"/>
  <c r="AK29" i="18"/>
  <c r="AK30" i="18"/>
  <c r="AF26" i="18"/>
  <c r="AF25" i="18" s="1"/>
  <c r="I147" i="18"/>
  <c r="I136" i="18"/>
  <c r="AX239" i="18"/>
  <c r="AX198" i="18"/>
  <c r="V44" i="21"/>
  <c r="AP166" i="18"/>
  <c r="AP154" i="18"/>
  <c r="BH31" i="18"/>
  <c r="AX26" i="18"/>
  <c r="AX25" i="18" s="1"/>
  <c r="AK138" i="18"/>
  <c r="AE239" i="18"/>
  <c r="AE198" i="18"/>
  <c r="AE187" i="18"/>
  <c r="AW239" i="18"/>
  <c r="AO154" i="18"/>
  <c r="AO166" i="18"/>
  <c r="U44" i="21"/>
  <c r="AW198" i="18"/>
  <c r="I187" i="18"/>
  <c r="C26" i="18"/>
  <c r="BI239" i="18"/>
  <c r="BI198" i="18"/>
  <c r="BA166" i="18"/>
  <c r="BA154" i="18"/>
  <c r="BI187" i="18"/>
  <c r="BI192" i="18"/>
  <c r="BC239" i="18"/>
  <c r="AU166" i="18"/>
  <c r="BC198" i="18"/>
  <c r="AU154" i="18"/>
  <c r="BC192" i="18"/>
  <c r="AA44" i="21"/>
  <c r="Y239" i="18"/>
  <c r="Y187" i="18"/>
  <c r="Y198" i="18"/>
  <c r="BE31" i="18"/>
  <c r="BE32" i="18"/>
  <c r="BE30" i="18"/>
  <c r="P9" i="18"/>
  <c r="AB32" i="18"/>
  <c r="AB30" i="18"/>
  <c r="BF239" i="18"/>
  <c r="BF192" i="18"/>
  <c r="AX166" i="18"/>
  <c r="AX154" i="18"/>
  <c r="BF198" i="18"/>
  <c r="Z26" i="18"/>
  <c r="Z25" i="18" s="1"/>
  <c r="BD26" i="18"/>
  <c r="BD25" i="18" s="1"/>
  <c r="H187" i="18"/>
  <c r="K138" i="18"/>
  <c r="AJ30" i="18"/>
  <c r="AJ32" i="18"/>
  <c r="BJ28" i="18"/>
  <c r="BL239" i="18"/>
  <c r="BL198" i="18"/>
  <c r="BD166" i="18"/>
  <c r="BL187" i="18"/>
  <c r="BD154" i="18"/>
  <c r="AJ44" i="21"/>
  <c r="BL192" i="18"/>
  <c r="AN127" i="18"/>
  <c r="AN128" i="18" s="1"/>
  <c r="AN136" i="18" s="1"/>
  <c r="AO135" i="18"/>
  <c r="AO239" i="18"/>
  <c r="AG154" i="18"/>
  <c r="AG166" i="18"/>
  <c r="M44" i="21"/>
  <c r="AO198" i="18"/>
  <c r="BN138" i="18"/>
  <c r="AR29" i="18"/>
  <c r="O162" i="18"/>
  <c r="P71" i="68"/>
  <c r="B29" i="18"/>
  <c r="BH29" i="18"/>
  <c r="J146" i="18"/>
  <c r="J127" i="18"/>
  <c r="J128" i="18" s="1"/>
  <c r="F30" i="18"/>
  <c r="H94" i="68" s="1"/>
  <c r="BE239" i="18"/>
  <c r="AW166" i="18"/>
  <c r="AW154" i="18"/>
  <c r="AC44" i="21"/>
  <c r="BE198" i="18"/>
  <c r="AX138" i="18"/>
  <c r="G29" i="18"/>
  <c r="BA31" i="18"/>
  <c r="D32" i="18"/>
  <c r="F96" i="68" s="1"/>
  <c r="D31" i="18"/>
  <c r="F95" i="68" s="1"/>
  <c r="D30" i="18"/>
  <c r="F94" i="68" s="1"/>
  <c r="S68" i="18"/>
  <c r="AX29" i="18"/>
  <c r="AX30" i="18"/>
  <c r="AX31" i="18"/>
  <c r="C32" i="18"/>
  <c r="E96" i="68" s="1"/>
  <c r="C31" i="18"/>
  <c r="E95" i="68" s="1"/>
  <c r="C30" i="18"/>
  <c r="E94" i="68" s="1"/>
  <c r="BA239" i="18"/>
  <c r="BA198" i="18"/>
  <c r="AS166" i="18"/>
  <c r="BA192" i="18"/>
  <c r="AS154" i="18"/>
  <c r="BA187" i="18"/>
  <c r="M119" i="21"/>
  <c r="M118" i="21" s="1"/>
  <c r="M109" i="21"/>
  <c r="N110" i="21"/>
  <c r="O101" i="21"/>
  <c r="AK15" i="21"/>
  <c r="AJ14" i="21"/>
  <c r="AJ10" i="21" s="1"/>
  <c r="P112" i="21"/>
  <c r="O121" i="21"/>
  <c r="R113" i="21"/>
  <c r="R109" i="21" s="1"/>
  <c r="T115" i="21"/>
  <c r="S116" i="21"/>
  <c r="T114" i="21"/>
  <c r="S14" i="15"/>
  <c r="S24" i="15"/>
  <c r="S15" i="15"/>
  <c r="D115" i="15"/>
  <c r="D25" i="15"/>
  <c r="D27" i="15"/>
  <c r="R32" i="15"/>
  <c r="AM115" i="15"/>
  <c r="AM27" i="15"/>
  <c r="AM25" i="15"/>
  <c r="AP115" i="15"/>
  <c r="AP25" i="15"/>
  <c r="AP27" i="15"/>
  <c r="AI15" i="15"/>
  <c r="AI14" i="15"/>
  <c r="AI24" i="15"/>
  <c r="W14" i="15"/>
  <c r="S121" i="15"/>
  <c r="AU55" i="15"/>
  <c r="AU101" i="15" s="1"/>
  <c r="L115" i="15"/>
  <c r="L27" i="15"/>
  <c r="L25" i="15"/>
  <c r="T115" i="15"/>
  <c r="T25" i="15"/>
  <c r="T27" i="15"/>
  <c r="G115" i="15"/>
  <c r="G25" i="15"/>
  <c r="G27" i="15"/>
  <c r="AW82" i="15"/>
  <c r="AV107" i="15"/>
  <c r="E28" i="15"/>
  <c r="E32" i="15"/>
  <c r="AA14" i="15"/>
  <c r="AA24" i="15"/>
  <c r="AA15" i="15"/>
  <c r="AH115" i="15"/>
  <c r="AH27" i="15"/>
  <c r="AH25" i="15"/>
  <c r="AR115" i="15"/>
  <c r="AR27" i="15"/>
  <c r="AR25" i="15"/>
  <c r="AU105" i="15"/>
  <c r="AV84" i="15"/>
  <c r="Y24" i="15"/>
  <c r="Y15" i="15"/>
  <c r="Y14" i="15"/>
  <c r="X15" i="15"/>
  <c r="X24" i="15"/>
  <c r="X14" i="15"/>
  <c r="L121" i="15"/>
  <c r="AM14" i="15"/>
  <c r="N15" i="15"/>
  <c r="N24" i="15"/>
  <c r="N14" i="15"/>
  <c r="R14" i="15"/>
  <c r="AE121" i="15"/>
  <c r="AL121" i="15"/>
  <c r="AE115" i="15"/>
  <c r="AE25" i="15"/>
  <c r="AE27" i="15"/>
  <c r="AU59" i="15"/>
  <c r="AU99" i="15" s="1"/>
  <c r="AB14" i="15"/>
  <c r="AB24" i="15"/>
  <c r="AB15" i="15"/>
  <c r="O28" i="15"/>
  <c r="O32" i="15"/>
  <c r="AE14" i="15"/>
  <c r="V115" i="15"/>
  <c r="V27" i="15"/>
  <c r="V25" i="15"/>
  <c r="Q121" i="15"/>
  <c r="O121" i="15"/>
  <c r="F15" i="15"/>
  <c r="F24" i="15"/>
  <c r="F14" i="15"/>
  <c r="AD121" i="15"/>
  <c r="AD115" i="15"/>
  <c r="AD25" i="15"/>
  <c r="AD27" i="15"/>
  <c r="H15" i="15"/>
  <c r="H24" i="15"/>
  <c r="H14" i="15"/>
  <c r="J115" i="15"/>
  <c r="J25" i="15"/>
  <c r="J27" i="15"/>
  <c r="AG15" i="15"/>
  <c r="AG14" i="15"/>
  <c r="AG24" i="15"/>
  <c r="U115" i="15"/>
  <c r="U27" i="15"/>
  <c r="U25" i="15"/>
  <c r="W115" i="15"/>
  <c r="W25" i="15"/>
  <c r="C115" i="15"/>
  <c r="C25" i="15"/>
  <c r="C27" i="15"/>
  <c r="AK115" i="15"/>
  <c r="AK27" i="15"/>
  <c r="AK25" i="15"/>
  <c r="P27" i="15"/>
  <c r="AL15" i="15"/>
  <c r="AL24" i="15"/>
  <c r="AL14" i="15"/>
  <c r="AF15" i="15"/>
  <c r="AF24" i="15"/>
  <c r="AF14" i="15"/>
  <c r="AJ14" i="15"/>
  <c r="J14" i="15"/>
  <c r="AV41" i="15"/>
  <c r="AV42" i="15" s="1"/>
  <c r="AC14" i="15"/>
  <c r="AQ115" i="15"/>
  <c r="AQ25" i="15"/>
  <c r="AQ27" i="15"/>
  <c r="AO24" i="15"/>
  <c r="AO15" i="15"/>
  <c r="AO14" i="15"/>
  <c r="AJ28" i="15"/>
  <c r="AJ32" i="15"/>
  <c r="AV85" i="15"/>
  <c r="AU106" i="15"/>
  <c r="AP14" i="15"/>
  <c r="AC115" i="15"/>
  <c r="AC25" i="15"/>
  <c r="AC27" i="15"/>
  <c r="R121" i="15"/>
  <c r="B115" i="15"/>
  <c r="B27" i="15"/>
  <c r="B25" i="15"/>
  <c r="Z15" i="15"/>
  <c r="Z14" i="15"/>
  <c r="Z24" i="15"/>
  <c r="M115" i="15"/>
  <c r="M27" i="15"/>
  <c r="M25" i="15"/>
  <c r="AX108" i="15"/>
  <c r="AY81" i="15"/>
  <c r="K115" i="15"/>
  <c r="K25" i="15"/>
  <c r="K27" i="15"/>
  <c r="I115" i="15"/>
  <c r="I27" i="15"/>
  <c r="I25" i="15"/>
  <c r="P121" i="15"/>
  <c r="U42" i="68"/>
  <c r="V40" i="68"/>
  <c r="U39" i="68"/>
  <c r="S91" i="18" s="1"/>
  <c r="U41" i="68"/>
  <c r="U115" i="68"/>
  <c r="V114" i="68"/>
  <c r="U116" i="68"/>
  <c r="U113" i="68" s="1"/>
  <c r="R8" i="68"/>
  <c r="Q8" i="68"/>
  <c r="R7" i="68"/>
  <c r="Q7" i="68"/>
  <c r="R6" i="68"/>
  <c r="Q6" i="68"/>
  <c r="B42" i="87"/>
  <c r="B41" i="87"/>
  <c r="B40" i="87"/>
  <c r="AP28" i="87"/>
  <c r="AO28" i="87"/>
  <c r="AN28" i="87"/>
  <c r="AM28" i="87"/>
  <c r="AL28" i="87"/>
  <c r="AK28" i="87"/>
  <c r="AJ28" i="87"/>
  <c r="AI28" i="87"/>
  <c r="AH28" i="87"/>
  <c r="AT28" i="87" s="1"/>
  <c r="AG28" i="87"/>
  <c r="AS28" i="87" s="1"/>
  <c r="AF28" i="87"/>
  <c r="AR28" i="87" s="1"/>
  <c r="AE28" i="87"/>
  <c r="AQ28" i="87" s="1"/>
  <c r="AH16" i="87"/>
  <c r="V16" i="87"/>
  <c r="AX15" i="87"/>
  <c r="AX14" i="87"/>
  <c r="AX13" i="87"/>
  <c r="K66" i="74"/>
  <c r="N63" i="74"/>
  <c r="N62" i="74"/>
  <c r="K59" i="74"/>
  <c r="K57" i="74"/>
  <c r="K56" i="74" s="1"/>
  <c r="K64" i="74" s="1"/>
  <c r="O55" i="74"/>
  <c r="P55" i="74" s="1"/>
  <c r="P63" i="74" s="1"/>
  <c r="M55" i="74"/>
  <c r="M63" i="74" s="1"/>
  <c r="O48" i="74"/>
  <c r="P48" i="74" s="1"/>
  <c r="N48" i="74"/>
  <c r="M48" i="74"/>
  <c r="L48" i="74"/>
  <c r="K48" i="74"/>
  <c r="J48" i="74"/>
  <c r="I48" i="74"/>
  <c r="H48" i="74"/>
  <c r="P38" i="74"/>
  <c r="O38" i="74"/>
  <c r="N38" i="74"/>
  <c r="M38" i="74"/>
  <c r="L38" i="74"/>
  <c r="K38" i="74"/>
  <c r="J38" i="74"/>
  <c r="I38" i="74"/>
  <c r="H38" i="74"/>
  <c r="J27" i="74"/>
  <c r="K27" i="74" s="1"/>
  <c r="L27" i="74" s="1"/>
  <c r="M27" i="74" s="1"/>
  <c r="N27" i="74" s="1"/>
  <c r="O27" i="74" s="1"/>
  <c r="P27" i="74" s="1"/>
  <c r="A11" i="74"/>
  <c r="A1" i="74"/>
  <c r="D114" i="12"/>
  <c r="E114" i="12" s="1"/>
  <c r="D113" i="12"/>
  <c r="E113" i="12" s="1"/>
  <c r="F113" i="12" s="1"/>
  <c r="G113" i="12" s="1"/>
  <c r="H113" i="12" s="1"/>
  <c r="G112" i="12"/>
  <c r="H112" i="12" s="1"/>
  <c r="G94" i="12"/>
  <c r="G92" i="12" s="1"/>
  <c r="E88" i="12"/>
  <c r="F87" i="12"/>
  <c r="F88" i="12" s="1"/>
  <c r="G86" i="12"/>
  <c r="G85" i="12"/>
  <c r="G84" i="12"/>
  <c r="C115" i="12"/>
  <c r="C116" i="12" s="1"/>
  <c r="F61" i="12"/>
  <c r="G61" i="12" s="1"/>
  <c r="H61" i="12" s="1"/>
  <c r="I61" i="12" s="1"/>
  <c r="J61" i="12" s="1"/>
  <c r="K61" i="12" s="1"/>
  <c r="L61" i="12" s="1"/>
  <c r="G60" i="12"/>
  <c r="H60" i="12" s="1"/>
  <c r="I60" i="12" s="1"/>
  <c r="J60" i="12" s="1"/>
  <c r="K60" i="12" s="1"/>
  <c r="L60" i="12" s="1"/>
  <c r="E54" i="12"/>
  <c r="G53" i="12" s="1"/>
  <c r="E42" i="12"/>
  <c r="E37" i="12"/>
  <c r="D37" i="12"/>
  <c r="C37" i="12"/>
  <c r="F31" i="12"/>
  <c r="D28" i="12"/>
  <c r="C28" i="12"/>
  <c r="M24" i="12"/>
  <c r="L24" i="12"/>
  <c r="K24" i="12"/>
  <c r="J24" i="12"/>
  <c r="I24" i="12"/>
  <c r="H24" i="12"/>
  <c r="G24" i="12"/>
  <c r="F24" i="12"/>
  <c r="E24" i="12"/>
  <c r="D24" i="12"/>
  <c r="C24" i="12"/>
  <c r="F21" i="12"/>
  <c r="F19" i="12"/>
  <c r="C10" i="12"/>
  <c r="C11" i="12" s="1"/>
  <c r="B10" i="12"/>
  <c r="B5" i="12"/>
  <c r="E4" i="12"/>
  <c r="I5" i="74" s="1"/>
  <c r="D4" i="12"/>
  <c r="H5" i="74" s="1"/>
  <c r="C4" i="12"/>
  <c r="O4" i="12" s="1"/>
  <c r="C86" i="90" l="1"/>
  <c r="C77" i="90"/>
  <c r="C81" i="90"/>
  <c r="C93" i="90"/>
  <c r="C79" i="90"/>
  <c r="C94" i="90"/>
  <c r="C78" i="90"/>
  <c r="C85" i="90"/>
  <c r="C90" i="90"/>
  <c r="C82" i="90"/>
  <c r="C88" i="90"/>
  <c r="C80" i="90"/>
  <c r="C91" i="90"/>
  <c r="D92" i="90"/>
  <c r="C69" i="90"/>
  <c r="D64" i="90"/>
  <c r="C83" i="90"/>
  <c r="C60" i="90"/>
  <c r="C76" i="90"/>
  <c r="D53" i="90"/>
  <c r="D69" i="90"/>
  <c r="D60" i="90"/>
  <c r="C53" i="90"/>
  <c r="D83" i="90"/>
  <c r="D87" i="90"/>
  <c r="D76" i="90"/>
  <c r="M92" i="21"/>
  <c r="AM252" i="18"/>
  <c r="I94" i="12"/>
  <c r="E12" i="12" s="1"/>
  <c r="BQ34" i="15"/>
  <c r="BP34" i="15"/>
  <c r="BO34" i="15"/>
  <c r="BN34" i="15"/>
  <c r="N11" i="21"/>
  <c r="N12" i="21"/>
  <c r="F12" i="12"/>
  <c r="I31" i="74" s="1"/>
  <c r="L55" i="74"/>
  <c r="L63" i="74" s="1"/>
  <c r="Q174" i="18"/>
  <c r="Q27" i="15"/>
  <c r="Q32" i="15" s="1"/>
  <c r="AI11" i="21"/>
  <c r="AA12" i="21"/>
  <c r="M12" i="21"/>
  <c r="AB12" i="21"/>
  <c r="D92" i="21"/>
  <c r="AG198" i="18"/>
  <c r="K92" i="21"/>
  <c r="H92" i="21"/>
  <c r="N92" i="21"/>
  <c r="I133" i="68"/>
  <c r="I134" i="68" s="1"/>
  <c r="I135" i="68" s="1"/>
  <c r="I136" i="68" s="1"/>
  <c r="I91" i="21"/>
  <c r="J133" i="68"/>
  <c r="J134" i="68" s="1"/>
  <c r="J135" i="68" s="1"/>
  <c r="J136" i="68" s="1"/>
  <c r="J91" i="21"/>
  <c r="O85" i="21"/>
  <c r="AA239" i="18"/>
  <c r="E133" i="68"/>
  <c r="E134" i="68" s="1"/>
  <c r="E135" i="68" s="1"/>
  <c r="E136" i="68" s="1"/>
  <c r="E91" i="21"/>
  <c r="M135" i="68"/>
  <c r="M136" i="68" s="1"/>
  <c r="AA187" i="18"/>
  <c r="F133" i="68"/>
  <c r="F134" i="68" s="1"/>
  <c r="F135" i="68" s="1"/>
  <c r="F136" i="68" s="1"/>
  <c r="F91" i="21"/>
  <c r="G133" i="68"/>
  <c r="G134" i="68" s="1"/>
  <c r="G135" i="68" s="1"/>
  <c r="G136" i="68" s="1"/>
  <c r="G91" i="21"/>
  <c r="L133" i="68"/>
  <c r="L134" i="68" s="1"/>
  <c r="L135" i="68" s="1"/>
  <c r="L136" i="68" s="1"/>
  <c r="L91" i="21"/>
  <c r="AA198" i="18"/>
  <c r="AM198" i="18"/>
  <c r="AM187" i="18"/>
  <c r="AE154" i="18"/>
  <c r="AM239" i="18"/>
  <c r="AE166" i="18"/>
  <c r="AM154" i="18"/>
  <c r="G88" i="68"/>
  <c r="E22" i="18"/>
  <c r="E252" i="18" s="1"/>
  <c r="BE141" i="18"/>
  <c r="BE138" i="18" s="1"/>
  <c r="AT252" i="18"/>
  <c r="AH187" i="18"/>
  <c r="AU252" i="18"/>
  <c r="AL252" i="18"/>
  <c r="AE240" i="18"/>
  <c r="Z154" i="18"/>
  <c r="AQ252" i="18"/>
  <c r="AM240" i="18"/>
  <c r="AC187" i="18"/>
  <c r="AC198" i="18"/>
  <c r="AC239" i="18"/>
  <c r="BC252" i="18"/>
  <c r="AH198" i="18"/>
  <c r="AH239" i="18"/>
  <c r="Z166" i="18"/>
  <c r="Y154" i="18"/>
  <c r="AV252" i="18"/>
  <c r="E44" i="21"/>
  <c r="Y166" i="18"/>
  <c r="AA240" i="18"/>
  <c r="AG187" i="18"/>
  <c r="AG239" i="18"/>
  <c r="AD252" i="18"/>
  <c r="AI240" i="18"/>
  <c r="O160" i="18"/>
  <c r="O157" i="18"/>
  <c r="X252" i="18"/>
  <c r="Z252" i="18"/>
  <c r="AC252" i="18"/>
  <c r="C253" i="18"/>
  <c r="C17" i="18"/>
  <c r="L253" i="18"/>
  <c r="L17" i="18"/>
  <c r="M17" i="18"/>
  <c r="B253" i="18"/>
  <c r="B17" i="18"/>
  <c r="F24" i="18"/>
  <c r="H88" i="68" s="1"/>
  <c r="F17" i="18"/>
  <c r="I253" i="18"/>
  <c r="I17" i="18"/>
  <c r="BN252" i="18"/>
  <c r="J253" i="18"/>
  <c r="J17" i="18"/>
  <c r="D253" i="18"/>
  <c r="D17" i="18"/>
  <c r="E17" i="18"/>
  <c r="G24" i="18"/>
  <c r="I88" i="68" s="1"/>
  <c r="G17" i="18"/>
  <c r="BM182" i="18"/>
  <c r="BM192" i="18" s="1"/>
  <c r="C23" i="18"/>
  <c r="BL252" i="18"/>
  <c r="BY214" i="18"/>
  <c r="BY9" i="18" s="1"/>
  <c r="BT18" i="18"/>
  <c r="K252" i="18"/>
  <c r="BP182" i="18"/>
  <c r="BP192" i="18" s="1"/>
  <c r="Q25" i="15"/>
  <c r="Q115" i="15"/>
  <c r="P25" i="15"/>
  <c r="P115" i="15"/>
  <c r="W27" i="15"/>
  <c r="AE252" i="18"/>
  <c r="AC12" i="21"/>
  <c r="BG252" i="18"/>
  <c r="H12" i="21"/>
  <c r="AT110" i="15"/>
  <c r="Q12" i="21"/>
  <c r="AR28" i="18"/>
  <c r="AR252" i="18" s="1"/>
  <c r="BM28" i="18"/>
  <c r="BM252" i="18" s="1"/>
  <c r="BD252" i="18"/>
  <c r="AB28" i="18"/>
  <c r="AB252" i="18" s="1"/>
  <c r="BE28" i="18"/>
  <c r="BE252" i="18" s="1"/>
  <c r="Y28" i="18"/>
  <c r="Y252" i="18" s="1"/>
  <c r="G88" i="12"/>
  <c r="K67" i="74"/>
  <c r="K60" i="74"/>
  <c r="K68" i="74" s="1"/>
  <c r="AX28" i="18"/>
  <c r="AX252" i="18" s="1"/>
  <c r="G31" i="12"/>
  <c r="G95" i="12"/>
  <c r="AF252" i="18"/>
  <c r="AK28" i="18"/>
  <c r="AK252" i="18" s="1"/>
  <c r="AO28" i="18"/>
  <c r="AO252" i="18" s="1"/>
  <c r="BA28" i="18"/>
  <c r="BA252" i="18" s="1"/>
  <c r="AW28" i="18"/>
  <c r="AW252" i="18" s="1"/>
  <c r="AG28" i="18"/>
  <c r="AG252" i="18" s="1"/>
  <c r="D23" i="18"/>
  <c r="P11" i="21"/>
  <c r="P12" i="21"/>
  <c r="V179" i="68"/>
  <c r="AD11" i="21"/>
  <c r="AD12" i="21"/>
  <c r="U11" i="21"/>
  <c r="U12" i="21"/>
  <c r="S12" i="21"/>
  <c r="AF12" i="21"/>
  <c r="W11" i="21"/>
  <c r="W12" i="21"/>
  <c r="M187" i="18"/>
  <c r="M192" i="18"/>
  <c r="M166" i="18"/>
  <c r="M198" i="18"/>
  <c r="O123" i="68" s="1"/>
  <c r="O124" i="68" s="1"/>
  <c r="O125" i="68" s="1"/>
  <c r="O126" i="68" s="1"/>
  <c r="Z11" i="21"/>
  <c r="Z12" i="21"/>
  <c r="R13" i="68"/>
  <c r="S142" i="68"/>
  <c r="S181" i="68"/>
  <c r="S49" i="68"/>
  <c r="S163" i="68"/>
  <c r="S112" i="68"/>
  <c r="S85" i="68"/>
  <c r="S157" i="68"/>
  <c r="S98" i="68"/>
  <c r="AH11" i="21"/>
  <c r="AH12" i="21"/>
  <c r="AE12" i="21"/>
  <c r="F15" i="21"/>
  <c r="G14" i="21"/>
  <c r="G10" i="21" s="1"/>
  <c r="R22" i="18"/>
  <c r="BN183" i="18"/>
  <c r="BN193" i="18" s="1"/>
  <c r="BN185" i="18"/>
  <c r="BN195" i="18" s="1"/>
  <c r="R11" i="21"/>
  <c r="R12" i="21"/>
  <c r="X98" i="15"/>
  <c r="BN184" i="18"/>
  <c r="Y12" i="21"/>
  <c r="X12" i="21"/>
  <c r="V11" i="21"/>
  <c r="V12" i="21"/>
  <c r="M143" i="18"/>
  <c r="AG11" i="21"/>
  <c r="AG12" i="21"/>
  <c r="V88" i="68"/>
  <c r="S24" i="18"/>
  <c r="T138" i="68"/>
  <c r="G4" i="12"/>
  <c r="J5" i="74" s="1"/>
  <c r="K4" i="12"/>
  <c r="M5" i="74" s="1"/>
  <c r="G5" i="74"/>
  <c r="C179" i="21"/>
  <c r="BQ11" i="18"/>
  <c r="I25" i="18"/>
  <c r="I252" i="18" s="1"/>
  <c r="K90" i="68"/>
  <c r="F88" i="68"/>
  <c r="P11" i="18"/>
  <c r="N94" i="68"/>
  <c r="L28" i="18"/>
  <c r="M64" i="74"/>
  <c r="O64" i="74"/>
  <c r="L65" i="74"/>
  <c r="N65" i="74"/>
  <c r="P65" i="74"/>
  <c r="L66" i="74"/>
  <c r="N66" i="74"/>
  <c r="P66" i="74"/>
  <c r="L67" i="74"/>
  <c r="N67" i="74"/>
  <c r="P67" i="74"/>
  <c r="M68" i="74"/>
  <c r="O68" i="74"/>
  <c r="L64" i="74"/>
  <c r="N64" i="74"/>
  <c r="P64" i="74"/>
  <c r="M65" i="74"/>
  <c r="O65" i="74"/>
  <c r="M66" i="74"/>
  <c r="O66" i="74"/>
  <c r="M67" i="74"/>
  <c r="O67" i="74"/>
  <c r="L68" i="74"/>
  <c r="N68" i="74"/>
  <c r="P68" i="74"/>
  <c r="AO98" i="18"/>
  <c r="AO50" i="18"/>
  <c r="BR15" i="18"/>
  <c r="AA3" i="85"/>
  <c r="AB3" i="85" s="1"/>
  <c r="AC3" i="85" s="1"/>
  <c r="AD3" i="85"/>
  <c r="AH24" i="21"/>
  <c r="AH21" i="21"/>
  <c r="AH27" i="21"/>
  <c r="BC240" i="18"/>
  <c r="AN24" i="15"/>
  <c r="AN14" i="15"/>
  <c r="AN15" i="15"/>
  <c r="AR14" i="15"/>
  <c r="K12" i="21"/>
  <c r="AZ28" i="18"/>
  <c r="AZ252" i="18" s="1"/>
  <c r="BK229" i="18"/>
  <c r="BH229" i="18"/>
  <c r="BI229" i="18"/>
  <c r="BJ229" i="18"/>
  <c r="BJ129" i="18"/>
  <c r="BJ141" i="18" s="1"/>
  <c r="BJ138" i="18" s="1"/>
  <c r="H143" i="18"/>
  <c r="T68" i="18"/>
  <c r="B23" i="18"/>
  <c r="BR10" i="18"/>
  <c r="AO127" i="18"/>
  <c r="AO128" i="18" s="1"/>
  <c r="AO136" i="18" s="1"/>
  <c r="AP135" i="18"/>
  <c r="N16" i="18"/>
  <c r="AV218" i="68"/>
  <c r="BX214" i="18" s="1"/>
  <c r="AT218" i="68"/>
  <c r="AU218" i="68" s="1"/>
  <c r="BW214" i="18" s="1"/>
  <c r="AP28" i="18"/>
  <c r="AP252" i="18" s="1"/>
  <c r="B28" i="18"/>
  <c r="D93" i="68"/>
  <c r="D25" i="18"/>
  <c r="F90" i="68"/>
  <c r="G253" i="18"/>
  <c r="G23" i="18"/>
  <c r="B24" i="18"/>
  <c r="K146" i="18"/>
  <c r="K127" i="18"/>
  <c r="K128" i="18" s="1"/>
  <c r="B25" i="18"/>
  <c r="D90" i="68"/>
  <c r="L143" i="18"/>
  <c r="P162" i="18"/>
  <c r="C28" i="18"/>
  <c r="BU10" i="18"/>
  <c r="C24" i="18"/>
  <c r="BH28" i="18"/>
  <c r="BH252" i="18" s="1"/>
  <c r="Q9" i="18"/>
  <c r="C25" i="18"/>
  <c r="E90" i="68"/>
  <c r="AJ28" i="18"/>
  <c r="AJ252" i="18" s="1"/>
  <c r="J28" i="18"/>
  <c r="J252" i="18" s="1"/>
  <c r="H252" i="18"/>
  <c r="P10" i="18"/>
  <c r="F253" i="18"/>
  <c r="F23" i="18"/>
  <c r="J147" i="18"/>
  <c r="J136" i="18"/>
  <c r="F28" i="18"/>
  <c r="H93" i="68"/>
  <c r="L25" i="18"/>
  <c r="N90" i="68"/>
  <c r="AN28" i="18"/>
  <c r="AN252" i="18" s="1"/>
  <c r="G28" i="18"/>
  <c r="I93" i="68"/>
  <c r="P72" i="68"/>
  <c r="P73" i="68"/>
  <c r="P70" i="68" s="1"/>
  <c r="N48" i="18" s="1"/>
  <c r="K143" i="18"/>
  <c r="D28" i="18"/>
  <c r="T116" i="21"/>
  <c r="T109" i="21" s="1"/>
  <c r="S109" i="21"/>
  <c r="N109" i="21"/>
  <c r="O110" i="21"/>
  <c r="N119" i="21"/>
  <c r="N118" i="21" s="1"/>
  <c r="U115" i="21"/>
  <c r="AJ11" i="21"/>
  <c r="AJ12" i="21"/>
  <c r="P121" i="21"/>
  <c r="Q112" i="21"/>
  <c r="U114" i="21"/>
  <c r="AL15" i="21"/>
  <c r="AM15" i="21" s="1"/>
  <c r="AM14" i="21" s="1"/>
  <c r="AM10" i="21" s="1"/>
  <c r="AK14" i="21"/>
  <c r="AK10" i="21" s="1"/>
  <c r="AY108" i="15"/>
  <c r="AZ81" i="15"/>
  <c r="AC28" i="15"/>
  <c r="AC32" i="15"/>
  <c r="AV106" i="15"/>
  <c r="AW85" i="15"/>
  <c r="T28" i="15"/>
  <c r="T32" i="15"/>
  <c r="R35" i="15"/>
  <c r="R37" i="15" s="1"/>
  <c r="R34" i="15"/>
  <c r="AJ35" i="15"/>
  <c r="AJ37" i="15" s="1"/>
  <c r="AJ34" i="15"/>
  <c r="AO115" i="15"/>
  <c r="AO27" i="15"/>
  <c r="AO25" i="15"/>
  <c r="P28" i="15"/>
  <c r="P32" i="15"/>
  <c r="H115" i="15"/>
  <c r="H27" i="15"/>
  <c r="H25" i="15"/>
  <c r="F115" i="15"/>
  <c r="F25" i="15"/>
  <c r="F27" i="15"/>
  <c r="Y115" i="15"/>
  <c r="Y27" i="15"/>
  <c r="Y25" i="15"/>
  <c r="AH28" i="15"/>
  <c r="AH32" i="15"/>
  <c r="E35" i="15"/>
  <c r="E37" i="15" s="1"/>
  <c r="E34" i="15"/>
  <c r="AL115" i="15"/>
  <c r="AL27" i="15"/>
  <c r="AL25" i="15"/>
  <c r="AU57" i="15"/>
  <c r="AV55" i="15"/>
  <c r="S115" i="15"/>
  <c r="S25" i="15"/>
  <c r="S27" i="15"/>
  <c r="AQ28" i="15"/>
  <c r="AQ32" i="15"/>
  <c r="AG115" i="15"/>
  <c r="AG27" i="15"/>
  <c r="AG25" i="15"/>
  <c r="AV105" i="15"/>
  <c r="AP28" i="15"/>
  <c r="AP32" i="15"/>
  <c r="M28" i="15"/>
  <c r="M32" i="15"/>
  <c r="AF115" i="15"/>
  <c r="AF27" i="15"/>
  <c r="AF25" i="15"/>
  <c r="AD32" i="15"/>
  <c r="AD28" i="15"/>
  <c r="V28" i="15"/>
  <c r="V32" i="15"/>
  <c r="AE28" i="15"/>
  <c r="AE32" i="15"/>
  <c r="K28" i="15"/>
  <c r="K32" i="15"/>
  <c r="B28" i="15"/>
  <c r="B32" i="15"/>
  <c r="AK28" i="15"/>
  <c r="AK32" i="15"/>
  <c r="N115" i="15"/>
  <c r="N27" i="15"/>
  <c r="N25" i="15"/>
  <c r="AA115" i="15"/>
  <c r="AA25" i="15"/>
  <c r="AA27" i="15"/>
  <c r="AW107" i="15"/>
  <c r="AX82" i="15"/>
  <c r="L28" i="15"/>
  <c r="L32" i="15"/>
  <c r="C28" i="15"/>
  <c r="C32" i="15"/>
  <c r="AR28" i="15"/>
  <c r="AR32" i="15"/>
  <c r="AM28" i="15"/>
  <c r="AM32" i="15"/>
  <c r="I28" i="15"/>
  <c r="I32" i="15"/>
  <c r="W28" i="15"/>
  <c r="W32" i="15"/>
  <c r="D28" i="15"/>
  <c r="D32" i="15"/>
  <c r="AB115" i="15"/>
  <c r="AB27" i="15"/>
  <c r="AB25" i="15"/>
  <c r="Z115" i="15"/>
  <c r="Z25" i="15"/>
  <c r="Z27" i="15"/>
  <c r="U28" i="15"/>
  <c r="U32" i="15"/>
  <c r="J28" i="15"/>
  <c r="J32" i="15"/>
  <c r="AV59" i="15"/>
  <c r="X115" i="15"/>
  <c r="X25" i="15"/>
  <c r="X27" i="15"/>
  <c r="G28" i="15"/>
  <c r="G32" i="15"/>
  <c r="AW41" i="15"/>
  <c r="AW42" i="15" s="1"/>
  <c r="O35" i="15"/>
  <c r="O37" i="15" s="1"/>
  <c r="O34" i="15"/>
  <c r="AI115" i="15"/>
  <c r="AI25" i="15"/>
  <c r="AI27" i="15"/>
  <c r="W114" i="68"/>
  <c r="V115" i="68"/>
  <c r="V116" i="68"/>
  <c r="V113" i="68"/>
  <c r="V42" i="68"/>
  <c r="W40" i="68"/>
  <c r="V39" i="68"/>
  <c r="T91" i="18" s="1"/>
  <c r="V41" i="68"/>
  <c r="BE218" i="68"/>
  <c r="CG214" i="18" s="1"/>
  <c r="O63" i="74"/>
  <c r="K65" i="74"/>
  <c r="F42" i="12"/>
  <c r="C117" i="12"/>
  <c r="C118" i="12" s="1"/>
  <c r="P4" i="12"/>
  <c r="L4" i="12"/>
  <c r="N5" i="74" s="1"/>
  <c r="H4" i="12"/>
  <c r="K5" i="74" s="1"/>
  <c r="Q4" i="12"/>
  <c r="M4" i="12"/>
  <c r="O5" i="74" s="1"/>
  <c r="I4" i="12"/>
  <c r="L5" i="74" s="1"/>
  <c r="H31" i="12"/>
  <c r="G42" i="12"/>
  <c r="G52" i="12"/>
  <c r="G54" i="12" s="1"/>
  <c r="D54" i="12"/>
  <c r="C31" i="12" s="1"/>
  <c r="F114" i="12"/>
  <c r="B125" i="12" s="1"/>
  <c r="C92" i="90" l="1"/>
  <c r="D72" i="90"/>
  <c r="D35" i="90" s="1"/>
  <c r="D37" i="90" s="1"/>
  <c r="AY10" i="87" s="1"/>
  <c r="T24" i="60" s="1"/>
  <c r="T62" i="60" s="1"/>
  <c r="D95" i="90"/>
  <c r="Q28" i="15"/>
  <c r="BY34" i="15"/>
  <c r="BX34" i="15"/>
  <c r="BW34" i="15"/>
  <c r="BV34" i="15"/>
  <c r="BU34" i="15"/>
  <c r="BT34" i="15"/>
  <c r="BS34" i="15"/>
  <c r="BR34" i="15"/>
  <c r="R174" i="18"/>
  <c r="S174" i="18" s="1"/>
  <c r="T174" i="18" s="1"/>
  <c r="U174" i="18" s="1"/>
  <c r="I93" i="21"/>
  <c r="I92" i="21"/>
  <c r="G93" i="21"/>
  <c r="G92" i="21"/>
  <c r="J93" i="21"/>
  <c r="J92" i="21"/>
  <c r="L93" i="21"/>
  <c r="L92" i="21"/>
  <c r="F93" i="21"/>
  <c r="F92" i="21"/>
  <c r="O133" i="68"/>
  <c r="O134" i="68" s="1"/>
  <c r="Y134" i="68" s="1"/>
  <c r="O91" i="21"/>
  <c r="E93" i="21"/>
  <c r="E92" i="21"/>
  <c r="E87" i="68"/>
  <c r="P160" i="18"/>
  <c r="P157" i="18"/>
  <c r="F87" i="68"/>
  <c r="N253" i="18"/>
  <c r="N17" i="18"/>
  <c r="BU18" i="18"/>
  <c r="BV214" i="18"/>
  <c r="BV9" i="18" s="1"/>
  <c r="L252" i="18"/>
  <c r="D22" i="18"/>
  <c r="D252" i="18" s="1"/>
  <c r="BO185" i="18"/>
  <c r="BO195" i="18" s="1"/>
  <c r="BO184" i="18"/>
  <c r="BO194" i="18" s="1"/>
  <c r="BO183" i="18"/>
  <c r="S22" i="18"/>
  <c r="G11" i="21"/>
  <c r="G12" i="21"/>
  <c r="W179" i="68"/>
  <c r="AM11" i="21"/>
  <c r="AM12" i="21"/>
  <c r="M127" i="18"/>
  <c r="M128" i="18" s="1"/>
  <c r="M146" i="18"/>
  <c r="T24" i="18"/>
  <c r="W88" i="68"/>
  <c r="U24" i="18" s="1"/>
  <c r="BN182" i="18"/>
  <c r="BN192" i="18" s="1"/>
  <c r="BN194" i="18"/>
  <c r="E15" i="21"/>
  <c r="F14" i="21"/>
  <c r="F10" i="21" s="1"/>
  <c r="R157" i="68"/>
  <c r="R98" i="68"/>
  <c r="R85" i="68"/>
  <c r="R163" i="68"/>
  <c r="R181" i="68"/>
  <c r="R142" i="68"/>
  <c r="Q13" i="68"/>
  <c r="R49" i="68"/>
  <c r="R112" i="68"/>
  <c r="U138" i="68"/>
  <c r="Q11" i="18"/>
  <c r="E88" i="68"/>
  <c r="D88" i="68"/>
  <c r="BR11" i="18"/>
  <c r="AN115" i="15"/>
  <c r="AN25" i="15"/>
  <c r="AN27" i="15"/>
  <c r="BY10" i="18"/>
  <c r="AH3" i="85"/>
  <c r="AI3" i="85" s="1"/>
  <c r="AJ3" i="85" s="1"/>
  <c r="AK3" i="85" s="1"/>
  <c r="AE3" i="85"/>
  <c r="AF3" i="85" s="1"/>
  <c r="AG3" i="85" s="1"/>
  <c r="CC9" i="18"/>
  <c r="R9" i="18"/>
  <c r="F22" i="18"/>
  <c r="F252" i="18" s="1"/>
  <c r="H87" i="68"/>
  <c r="L127" i="18"/>
  <c r="L128" i="18" s="1"/>
  <c r="L146" i="18"/>
  <c r="C22" i="18"/>
  <c r="C252" i="18" s="1"/>
  <c r="K147" i="18"/>
  <c r="K136" i="18"/>
  <c r="BT9" i="18"/>
  <c r="AZ218" i="68"/>
  <c r="CB214" i="18" s="1"/>
  <c r="BX9" i="18"/>
  <c r="AX218" i="68"/>
  <c r="AY218" i="68" s="1"/>
  <c r="BU11" i="18"/>
  <c r="AQ135" i="18"/>
  <c r="AP127" i="18"/>
  <c r="AP128" i="18" s="1"/>
  <c r="AP136" i="18" s="1"/>
  <c r="U68" i="18"/>
  <c r="G22" i="18"/>
  <c r="G252" i="18" s="1"/>
  <c r="I87" i="68"/>
  <c r="B22" i="18"/>
  <c r="B252" i="18" s="1"/>
  <c r="D87" i="68"/>
  <c r="Q10" i="18"/>
  <c r="Q162" i="18"/>
  <c r="AN15" i="21"/>
  <c r="AO15" i="21" s="1"/>
  <c r="AP15" i="21" s="1"/>
  <c r="AQ15" i="21" s="1"/>
  <c r="AR15" i="21" s="1"/>
  <c r="AS15" i="21" s="1"/>
  <c r="AT15" i="21" s="1"/>
  <c r="AU15" i="21" s="1"/>
  <c r="AV15" i="21" s="1"/>
  <c r="AW15" i="21" s="1"/>
  <c r="AX15" i="21" s="1"/>
  <c r="AY15" i="21" s="1"/>
  <c r="AZ15" i="21" s="1"/>
  <c r="BA15" i="21" s="1"/>
  <c r="BB15" i="21" s="1"/>
  <c r="BC15" i="21" s="1"/>
  <c r="BD15" i="21" s="1"/>
  <c r="BE15" i="21" s="1"/>
  <c r="BF15" i="21" s="1"/>
  <c r="BG15" i="21" s="1"/>
  <c r="BH15" i="21" s="1"/>
  <c r="BI15" i="21" s="1"/>
  <c r="BJ15" i="21" s="1"/>
  <c r="BK15" i="21" s="1"/>
  <c r="BL15" i="21" s="1"/>
  <c r="BM15" i="21" s="1"/>
  <c r="BN15" i="21" s="1"/>
  <c r="BO15" i="21" s="1"/>
  <c r="BP15" i="21" s="1"/>
  <c r="BQ15" i="21" s="1"/>
  <c r="BR15" i="21" s="1"/>
  <c r="BS15" i="21" s="1"/>
  <c r="AL14" i="21"/>
  <c r="AL10" i="21" s="1"/>
  <c r="V114" i="21"/>
  <c r="U116" i="21"/>
  <c r="U109" i="21" s="1"/>
  <c r="V115" i="21"/>
  <c r="Q109" i="21"/>
  <c r="AK11" i="21"/>
  <c r="AK12" i="21"/>
  <c r="O109" i="21"/>
  <c r="P110" i="21"/>
  <c r="O119" i="21"/>
  <c r="Q35" i="15"/>
  <c r="Q37" i="15" s="1"/>
  <c r="Q34" i="15"/>
  <c r="T35" i="15"/>
  <c r="T37" i="15" s="1"/>
  <c r="T34" i="15"/>
  <c r="AP35" i="15"/>
  <c r="AP37" i="15" s="1"/>
  <c r="AP119" i="15" s="1"/>
  <c r="AP34" i="15"/>
  <c r="F28" i="15"/>
  <c r="F32" i="15"/>
  <c r="O117" i="15"/>
  <c r="O94" i="15"/>
  <c r="O43" i="15"/>
  <c r="O38" i="15"/>
  <c r="AB28" i="15"/>
  <c r="AB32" i="15"/>
  <c r="AK35" i="15"/>
  <c r="AK37" i="15" s="1"/>
  <c r="AK119" i="15" s="1"/>
  <c r="AK34" i="15"/>
  <c r="K34" i="15"/>
  <c r="K35" i="15"/>
  <c r="K37" i="15" s="1"/>
  <c r="AG28" i="15"/>
  <c r="AG32" i="15"/>
  <c r="AH35" i="15"/>
  <c r="AH37" i="15" s="1"/>
  <c r="AH34" i="15"/>
  <c r="V35" i="15"/>
  <c r="V37" i="15" s="1"/>
  <c r="V34" i="15"/>
  <c r="S28" i="15"/>
  <c r="S32" i="15"/>
  <c r="J35" i="15"/>
  <c r="J37" i="15" s="1"/>
  <c r="J34" i="15"/>
  <c r="L35" i="15"/>
  <c r="L37" i="15" s="1"/>
  <c r="L34" i="15"/>
  <c r="N32" i="15"/>
  <c r="N28" i="15"/>
  <c r="X28" i="15"/>
  <c r="X32" i="15"/>
  <c r="AO28" i="15"/>
  <c r="AO32" i="15"/>
  <c r="U35" i="15"/>
  <c r="U37" i="15" s="1"/>
  <c r="U34" i="15"/>
  <c r="AM35" i="15"/>
  <c r="AM37" i="15" s="1"/>
  <c r="AM34" i="15"/>
  <c r="AX107" i="15"/>
  <c r="AY82" i="15"/>
  <c r="AD35" i="15"/>
  <c r="AD37" i="15" s="1"/>
  <c r="AD34" i="15"/>
  <c r="AW55" i="15"/>
  <c r="AV57" i="15"/>
  <c r="E117" i="15"/>
  <c r="E43" i="15"/>
  <c r="E94" i="15"/>
  <c r="E38" i="15"/>
  <c r="AZ108" i="15"/>
  <c r="BA81" i="15"/>
  <c r="AI28" i="15"/>
  <c r="AI32" i="15"/>
  <c r="AX41" i="15"/>
  <c r="AX42" i="15" s="1"/>
  <c r="AW59" i="15"/>
  <c r="AW99" i="15" s="1"/>
  <c r="Z28" i="15"/>
  <c r="Z32" i="15"/>
  <c r="D35" i="15"/>
  <c r="D37" i="15" s="1"/>
  <c r="D34" i="15"/>
  <c r="AR35" i="15"/>
  <c r="AR37" i="15" s="1"/>
  <c r="AR119" i="15" s="1"/>
  <c r="AR34" i="15"/>
  <c r="AA28" i="15"/>
  <c r="AA32" i="15"/>
  <c r="AF28" i="15"/>
  <c r="AF32" i="15"/>
  <c r="AV101" i="15"/>
  <c r="H28" i="15"/>
  <c r="H32" i="15"/>
  <c r="AJ117" i="15"/>
  <c r="AJ94" i="15"/>
  <c r="AJ43" i="15"/>
  <c r="AJ39" i="15"/>
  <c r="AX85" i="15"/>
  <c r="AW106" i="15"/>
  <c r="G35" i="15"/>
  <c r="G37" i="15" s="1"/>
  <c r="G34" i="15"/>
  <c r="I35" i="15"/>
  <c r="I37" i="15" s="1"/>
  <c r="I34" i="15"/>
  <c r="B35" i="15"/>
  <c r="B37" i="15" s="1"/>
  <c r="B34" i="15"/>
  <c r="AE35" i="15"/>
  <c r="AE37" i="15" s="1"/>
  <c r="AE34" i="15"/>
  <c r="AQ35" i="15"/>
  <c r="AQ37" i="15" s="1"/>
  <c r="AQ119" i="15" s="1"/>
  <c r="AQ34" i="15"/>
  <c r="AV99" i="15"/>
  <c r="W35" i="15"/>
  <c r="W37" i="15" s="1"/>
  <c r="W34" i="15"/>
  <c r="C35" i="15"/>
  <c r="C37" i="15" s="1"/>
  <c r="C34" i="15"/>
  <c r="M35" i="15"/>
  <c r="M37" i="15" s="1"/>
  <c r="M34" i="15"/>
  <c r="AL28" i="15"/>
  <c r="AL32" i="15"/>
  <c r="Y28" i="15"/>
  <c r="Y32" i="15"/>
  <c r="P34" i="15"/>
  <c r="P35" i="15"/>
  <c r="P37" i="15" s="1"/>
  <c r="R117" i="15"/>
  <c r="R94" i="15"/>
  <c r="R43" i="15"/>
  <c r="AC35" i="15"/>
  <c r="AC37" i="15" s="1"/>
  <c r="AC34" i="15"/>
  <c r="BI218" i="68"/>
  <c r="CK214" i="18" s="1"/>
  <c r="W42" i="68"/>
  <c r="W39" i="68"/>
  <c r="U91" i="18" s="1"/>
  <c r="W41" i="68"/>
  <c r="W116" i="68"/>
  <c r="W115" i="68"/>
  <c r="W113" i="68"/>
  <c r="I31" i="12"/>
  <c r="H42" i="12"/>
  <c r="C42" i="12"/>
  <c r="D31" i="12"/>
  <c r="G114" i="12"/>
  <c r="AY11" i="87" l="1"/>
  <c r="AM119" i="15"/>
  <c r="G172" i="21"/>
  <c r="G173" i="21" s="1"/>
  <c r="O135" i="68"/>
  <c r="O136" i="68" s="1"/>
  <c r="O93" i="21"/>
  <c r="O92" i="21"/>
  <c r="Q160" i="18"/>
  <c r="Q157" i="18"/>
  <c r="BV10" i="18"/>
  <c r="BZ214" i="18"/>
  <c r="BZ9" i="18" s="1"/>
  <c r="BO182" i="18"/>
  <c r="BO192" i="18" s="1"/>
  <c r="BO193" i="18"/>
  <c r="D42" i="12"/>
  <c r="Q181" i="68"/>
  <c r="Q163" i="68"/>
  <c r="Q85" i="68"/>
  <c r="Q142" i="68"/>
  <c r="Q98" i="68"/>
  <c r="Q157" i="68"/>
  <c r="Q112" i="68"/>
  <c r="Q49" i="68"/>
  <c r="P13" i="68"/>
  <c r="D15" i="21"/>
  <c r="E14" i="21"/>
  <c r="E10" i="21" s="1"/>
  <c r="U22" i="18"/>
  <c r="N146" i="18"/>
  <c r="P47" i="6" s="1"/>
  <c r="M147" i="18"/>
  <c r="M136" i="18"/>
  <c r="N136" i="18" s="1"/>
  <c r="V22" i="61"/>
  <c r="F11" i="21"/>
  <c r="F12" i="21"/>
  <c r="T22" i="18"/>
  <c r="V138" i="68"/>
  <c r="R11" i="18"/>
  <c r="CC10" i="18"/>
  <c r="CC11" i="18" s="1"/>
  <c r="X22" i="61"/>
  <c r="BY11" i="18"/>
  <c r="AN32" i="15"/>
  <c r="AN28" i="15"/>
  <c r="R162" i="18"/>
  <c r="S9" i="18"/>
  <c r="CG9" i="18"/>
  <c r="R10" i="18"/>
  <c r="AR135" i="18"/>
  <c r="AQ127" i="18"/>
  <c r="AQ128" i="18" s="1"/>
  <c r="AQ136" i="18" s="1"/>
  <c r="BT10" i="18"/>
  <c r="BT11" i="18" s="1"/>
  <c r="L136" i="18"/>
  <c r="L147" i="18"/>
  <c r="N48" i="6" s="1"/>
  <c r="BD218" i="68"/>
  <c r="CF214" i="18" s="1"/>
  <c r="CB9" i="18"/>
  <c r="BB218" i="68"/>
  <c r="P109" i="21"/>
  <c r="AL12" i="21"/>
  <c r="AL11" i="21"/>
  <c r="V116" i="21"/>
  <c r="W114" i="21"/>
  <c r="W115" i="21"/>
  <c r="D117" i="15"/>
  <c r="D94" i="15"/>
  <c r="D43" i="15"/>
  <c r="D38" i="15"/>
  <c r="AI35" i="15"/>
  <c r="AI37" i="15" s="1"/>
  <c r="M172" i="21" s="1"/>
  <c r="M173" i="21" s="1"/>
  <c r="AI34" i="15"/>
  <c r="Q117" i="15"/>
  <c r="Q94" i="15"/>
  <c r="Q38" i="15"/>
  <c r="Q43" i="15"/>
  <c r="Q364" i="67" s="1"/>
  <c r="AC117" i="15"/>
  <c r="AC39" i="15"/>
  <c r="AC43" i="15"/>
  <c r="AC94" i="15"/>
  <c r="AL35" i="15"/>
  <c r="AL37" i="15" s="1"/>
  <c r="AL34" i="15"/>
  <c r="I94" i="15"/>
  <c r="I117" i="15"/>
  <c r="I43" i="15"/>
  <c r="I364" i="67" s="1"/>
  <c r="I38" i="15"/>
  <c r="AX106" i="15"/>
  <c r="AY85" i="15"/>
  <c r="AF35" i="15"/>
  <c r="AF37" i="15" s="1"/>
  <c r="AF34" i="15"/>
  <c r="Z35" i="15"/>
  <c r="Z37" i="15" s="1"/>
  <c r="Z34" i="15"/>
  <c r="AW57" i="15"/>
  <c r="AX55" i="15"/>
  <c r="N34" i="15"/>
  <c r="N35" i="15"/>
  <c r="N37" i="15" s="1"/>
  <c r="F34" i="15"/>
  <c r="F35" i="15"/>
  <c r="F37" i="15" s="1"/>
  <c r="BA108" i="15"/>
  <c r="BB81" i="15"/>
  <c r="AW101" i="15"/>
  <c r="U117" i="15"/>
  <c r="U94" i="15"/>
  <c r="U39" i="15"/>
  <c r="U43" i="15"/>
  <c r="V117" i="15"/>
  <c r="V94" i="15"/>
  <c r="V39" i="15"/>
  <c r="V43" i="15"/>
  <c r="AK117" i="15"/>
  <c r="AK94" i="15"/>
  <c r="AK39" i="15"/>
  <c r="AK43" i="15"/>
  <c r="AK364" i="67" s="1"/>
  <c r="R93" i="15"/>
  <c r="R109" i="15"/>
  <c r="AQ117" i="15"/>
  <c r="AQ94" i="15"/>
  <c r="AQ43" i="15"/>
  <c r="AQ39" i="15"/>
  <c r="AA35" i="15"/>
  <c r="AA37" i="15" s="1"/>
  <c r="AA34" i="15"/>
  <c r="AX59" i="15"/>
  <c r="AX99" i="15" s="1"/>
  <c r="L117" i="15"/>
  <c r="L94" i="15"/>
  <c r="L43" i="15"/>
  <c r="L364" i="67" s="1"/>
  <c r="L38" i="15"/>
  <c r="AB35" i="15"/>
  <c r="AB37" i="15" s="1"/>
  <c r="AB34" i="15"/>
  <c r="AJ93" i="15"/>
  <c r="AJ366" i="67" s="1"/>
  <c r="AJ109" i="15"/>
  <c r="AJ103" i="15" s="1"/>
  <c r="AO35" i="15"/>
  <c r="AO37" i="15" s="1"/>
  <c r="AO119" i="15" s="1"/>
  <c r="AO34" i="15"/>
  <c r="AH117" i="15"/>
  <c r="AH94" i="15"/>
  <c r="AH43" i="15"/>
  <c r="AH39" i="15"/>
  <c r="AP117" i="15"/>
  <c r="AP94" i="15"/>
  <c r="AP43" i="15"/>
  <c r="AP39" i="15"/>
  <c r="AE117" i="15"/>
  <c r="AE94" i="15"/>
  <c r="AE39" i="15"/>
  <c r="AE43" i="15"/>
  <c r="AY107" i="15"/>
  <c r="AZ82" i="15"/>
  <c r="AG35" i="15"/>
  <c r="AG37" i="15" s="1"/>
  <c r="AG34" i="15"/>
  <c r="C117" i="15"/>
  <c r="C94" i="15"/>
  <c r="C43" i="15"/>
  <c r="C364" i="67" s="1"/>
  <c r="C38" i="15"/>
  <c r="G117" i="15"/>
  <c r="G94" i="15"/>
  <c r="G43" i="15"/>
  <c r="G38" i="15"/>
  <c r="H35" i="15"/>
  <c r="H37" i="15" s="1"/>
  <c r="H34" i="15"/>
  <c r="AR117" i="15"/>
  <c r="AR94" i="15"/>
  <c r="AR39" i="15"/>
  <c r="AR43" i="15"/>
  <c r="X34" i="15"/>
  <c r="X35" i="15"/>
  <c r="X37" i="15" s="1"/>
  <c r="T117" i="15"/>
  <c r="T94" i="15"/>
  <c r="T43" i="15"/>
  <c r="M117" i="15"/>
  <c r="M94" i="15"/>
  <c r="M43" i="15"/>
  <c r="M38" i="15"/>
  <c r="AD117" i="15"/>
  <c r="AD94" i="15"/>
  <c r="AD39" i="15"/>
  <c r="AD43" i="15"/>
  <c r="P117" i="15"/>
  <c r="P94" i="15"/>
  <c r="P43" i="15"/>
  <c r="P38" i="15"/>
  <c r="E93" i="15"/>
  <c r="E109" i="15"/>
  <c r="E103" i="15" s="1"/>
  <c r="J117" i="15"/>
  <c r="J94" i="15"/>
  <c r="J43" i="15"/>
  <c r="J364" i="67" s="1"/>
  <c r="J38" i="15"/>
  <c r="Y35" i="15"/>
  <c r="Y37" i="15" s="1"/>
  <c r="Y34" i="15"/>
  <c r="B117" i="15"/>
  <c r="B43" i="15"/>
  <c r="B38" i="15"/>
  <c r="AY41" i="15"/>
  <c r="AY42" i="15" s="1"/>
  <c r="S34" i="15"/>
  <c r="S35" i="15"/>
  <c r="S37" i="15" s="1"/>
  <c r="I172" i="21" s="1"/>
  <c r="I173" i="21" s="1"/>
  <c r="K117" i="15"/>
  <c r="K94" i="15"/>
  <c r="K43" i="15"/>
  <c r="K38" i="15"/>
  <c r="O93" i="15"/>
  <c r="O109" i="15"/>
  <c r="O103" i="15" s="1"/>
  <c r="W117" i="15"/>
  <c r="W94" i="15"/>
  <c r="W43" i="15"/>
  <c r="W39" i="15"/>
  <c r="AM117" i="15"/>
  <c r="AM94" i="15"/>
  <c r="AM39" i="15"/>
  <c r="AM43" i="15"/>
  <c r="BM218" i="68"/>
  <c r="CO214" i="18" s="1"/>
  <c r="H114" i="12"/>
  <c r="J31" i="12"/>
  <c r="I42" i="12"/>
  <c r="B165" i="6"/>
  <c r="A157" i="6"/>
  <c r="A156" i="6"/>
  <c r="N150" i="6"/>
  <c r="M150" i="6"/>
  <c r="M151" i="6" s="1"/>
  <c r="L150" i="6"/>
  <c r="K150" i="6"/>
  <c r="J150" i="6"/>
  <c r="I150" i="6"/>
  <c r="H150" i="6"/>
  <c r="G150" i="6"/>
  <c r="F150" i="6"/>
  <c r="E150" i="6"/>
  <c r="W139" i="6"/>
  <c r="M28" i="12" s="1"/>
  <c r="V139" i="6"/>
  <c r="L28" i="12" s="1"/>
  <c r="U139" i="6"/>
  <c r="K28" i="12" s="1"/>
  <c r="T139" i="6"/>
  <c r="J28" i="12" s="1"/>
  <c r="S139" i="6"/>
  <c r="R139" i="6"/>
  <c r="H28" i="12" s="1"/>
  <c r="Q139" i="6"/>
  <c r="G28" i="12" s="1"/>
  <c r="P139" i="6"/>
  <c r="F28" i="12" s="1"/>
  <c r="W138" i="6"/>
  <c r="V138" i="6"/>
  <c r="U138" i="6"/>
  <c r="T138" i="6"/>
  <c r="S138" i="6"/>
  <c r="R138" i="6"/>
  <c r="Q138" i="6"/>
  <c r="P138" i="6"/>
  <c r="O138" i="6"/>
  <c r="N138" i="6"/>
  <c r="M138" i="6"/>
  <c r="L138" i="6"/>
  <c r="K138" i="6"/>
  <c r="J138" i="6"/>
  <c r="I138" i="6"/>
  <c r="H138" i="6"/>
  <c r="G138" i="6"/>
  <c r="F138" i="6"/>
  <c r="E138" i="6"/>
  <c r="D138" i="6"/>
  <c r="C138" i="6"/>
  <c r="B138" i="6"/>
  <c r="B125" i="6"/>
  <c r="W125" i="6"/>
  <c r="V125" i="6"/>
  <c r="U125" i="6"/>
  <c r="T125" i="6"/>
  <c r="S125" i="6"/>
  <c r="R125" i="6"/>
  <c r="Q125" i="6"/>
  <c r="P125" i="6"/>
  <c r="O125" i="6"/>
  <c r="N125" i="6"/>
  <c r="M125" i="6"/>
  <c r="L125" i="6"/>
  <c r="K125" i="6"/>
  <c r="J125" i="6"/>
  <c r="I125" i="6"/>
  <c r="H125" i="6"/>
  <c r="G125" i="6"/>
  <c r="F125" i="6"/>
  <c r="E125" i="6"/>
  <c r="D125" i="6"/>
  <c r="C125" i="6"/>
  <c r="O122" i="6"/>
  <c r="N122" i="6"/>
  <c r="M122" i="6"/>
  <c r="L122" i="6"/>
  <c r="K122" i="6"/>
  <c r="J122" i="6"/>
  <c r="I122" i="6"/>
  <c r="H122" i="6"/>
  <c r="G122" i="6"/>
  <c r="F122" i="6"/>
  <c r="O121" i="6"/>
  <c r="N121" i="6"/>
  <c r="M121" i="6"/>
  <c r="L121" i="6"/>
  <c r="K121" i="6"/>
  <c r="J121" i="6"/>
  <c r="I121" i="6"/>
  <c r="H121" i="6"/>
  <c r="G121" i="6"/>
  <c r="F121" i="6"/>
  <c r="P120" i="6"/>
  <c r="O120" i="6"/>
  <c r="N120" i="6"/>
  <c r="M120" i="6"/>
  <c r="L120" i="6"/>
  <c r="K120" i="6"/>
  <c r="J120" i="6"/>
  <c r="I120" i="6"/>
  <c r="H120" i="6"/>
  <c r="G120" i="6"/>
  <c r="F120" i="6"/>
  <c r="N118" i="6"/>
  <c r="D16" i="60" s="1"/>
  <c r="D54" i="60" s="1"/>
  <c r="M118" i="6"/>
  <c r="C16" i="60" s="1"/>
  <c r="C54" i="60" s="1"/>
  <c r="L118" i="6"/>
  <c r="B16" i="60" s="1"/>
  <c r="B54" i="60" s="1"/>
  <c r="K118" i="6"/>
  <c r="J118" i="6"/>
  <c r="I118" i="6"/>
  <c r="H118" i="6"/>
  <c r="G118" i="6"/>
  <c r="F118" i="6"/>
  <c r="F84" i="67" s="1"/>
  <c r="F83" i="67" s="1"/>
  <c r="N116" i="6"/>
  <c r="M116" i="6"/>
  <c r="L116" i="6"/>
  <c r="K116" i="6"/>
  <c r="J116" i="6"/>
  <c r="J306" i="67" s="1"/>
  <c r="I116" i="6"/>
  <c r="H116" i="6"/>
  <c r="G116" i="6"/>
  <c r="F116" i="6"/>
  <c r="W113" i="6"/>
  <c r="V113" i="6"/>
  <c r="U113" i="6"/>
  <c r="T113" i="6"/>
  <c r="S113" i="6"/>
  <c r="R113" i="6"/>
  <c r="Q113" i="6"/>
  <c r="P113" i="6"/>
  <c r="O113" i="6"/>
  <c r="N113" i="6"/>
  <c r="M113" i="6"/>
  <c r="L113" i="6"/>
  <c r="K113" i="6"/>
  <c r="J113" i="6"/>
  <c r="I113" i="6"/>
  <c r="H113" i="6"/>
  <c r="G113" i="6"/>
  <c r="F113" i="6"/>
  <c r="E113" i="6"/>
  <c r="D113" i="6"/>
  <c r="C113" i="6"/>
  <c r="B113" i="6"/>
  <c r="P110" i="6"/>
  <c r="O110" i="6"/>
  <c r="N110" i="6"/>
  <c r="M110" i="6"/>
  <c r="L110" i="6"/>
  <c r="K110" i="6"/>
  <c r="J110" i="6"/>
  <c r="I110" i="6"/>
  <c r="I109" i="6" s="1"/>
  <c r="H110" i="6"/>
  <c r="G110" i="6"/>
  <c r="F110" i="6"/>
  <c r="E110" i="6"/>
  <c r="D110" i="6"/>
  <c r="C110" i="6"/>
  <c r="C109" i="6" s="1"/>
  <c r="B110" i="6"/>
  <c r="B109" i="6" s="1"/>
  <c r="M109" i="6"/>
  <c r="J109" i="6"/>
  <c r="F109" i="6"/>
  <c r="E109" i="6"/>
  <c r="N108" i="6"/>
  <c r="M108" i="6"/>
  <c r="L108" i="6"/>
  <c r="K108" i="6"/>
  <c r="J108" i="6"/>
  <c r="I108" i="6"/>
  <c r="H108" i="6"/>
  <c r="G108" i="6"/>
  <c r="F108" i="6"/>
  <c r="E108" i="6"/>
  <c r="D108" i="6"/>
  <c r="C108" i="6"/>
  <c r="B108" i="6"/>
  <c r="N107" i="6"/>
  <c r="M107" i="6"/>
  <c r="L107" i="6"/>
  <c r="K107" i="6"/>
  <c r="J107" i="6"/>
  <c r="I107" i="6"/>
  <c r="H107" i="6"/>
  <c r="G107" i="6"/>
  <c r="F107" i="6"/>
  <c r="E107" i="6"/>
  <c r="D107" i="6"/>
  <c r="C107" i="6"/>
  <c r="B107" i="6"/>
  <c r="N106" i="6"/>
  <c r="M106" i="6"/>
  <c r="L106" i="6"/>
  <c r="K106" i="6"/>
  <c r="J106" i="6"/>
  <c r="I106" i="6"/>
  <c r="H106" i="6"/>
  <c r="G106" i="6"/>
  <c r="F106" i="6"/>
  <c r="E106" i="6"/>
  <c r="D106" i="6"/>
  <c r="C106" i="6"/>
  <c r="B106" i="6"/>
  <c r="N105" i="6"/>
  <c r="M105" i="6"/>
  <c r="L105" i="6"/>
  <c r="K105" i="6"/>
  <c r="J105" i="6"/>
  <c r="I105" i="6"/>
  <c r="H105" i="6"/>
  <c r="G105" i="6"/>
  <c r="F105" i="6"/>
  <c r="E105" i="6"/>
  <c r="D105" i="6"/>
  <c r="C105" i="6"/>
  <c r="B105" i="6"/>
  <c r="O102" i="6"/>
  <c r="N102" i="6"/>
  <c r="M102" i="6"/>
  <c r="L102" i="6"/>
  <c r="K102" i="6"/>
  <c r="J102" i="6"/>
  <c r="I102" i="6"/>
  <c r="H102" i="6"/>
  <c r="G102" i="6"/>
  <c r="F102" i="6"/>
  <c r="E102" i="6"/>
  <c r="D102" i="6"/>
  <c r="C102" i="6"/>
  <c r="B102" i="6"/>
  <c r="N101" i="6"/>
  <c r="M101" i="6"/>
  <c r="L101" i="6"/>
  <c r="K101" i="6"/>
  <c r="J101" i="6"/>
  <c r="I101" i="6"/>
  <c r="H101" i="6"/>
  <c r="G101" i="6"/>
  <c r="F101" i="6"/>
  <c r="E101" i="6"/>
  <c r="D101" i="6"/>
  <c r="C101" i="6"/>
  <c r="B101" i="6"/>
  <c r="N100" i="6"/>
  <c r="M100" i="6"/>
  <c r="L100" i="6"/>
  <c r="K100" i="6"/>
  <c r="J100" i="6"/>
  <c r="I100" i="6"/>
  <c r="H100" i="6"/>
  <c r="G100" i="6"/>
  <c r="F100" i="6"/>
  <c r="E100" i="6"/>
  <c r="D100" i="6"/>
  <c r="C100" i="6"/>
  <c r="B100" i="6"/>
  <c r="N99" i="6"/>
  <c r="M99" i="6"/>
  <c r="L99" i="6"/>
  <c r="K99" i="6"/>
  <c r="J99" i="6"/>
  <c r="I99" i="6"/>
  <c r="H99" i="6"/>
  <c r="G99" i="6"/>
  <c r="F99" i="6"/>
  <c r="E99" i="6"/>
  <c r="D99" i="6"/>
  <c r="C99" i="6"/>
  <c r="B99" i="6"/>
  <c r="D98" i="6"/>
  <c r="C98" i="6"/>
  <c r="B98" i="6"/>
  <c r="P96" i="6"/>
  <c r="O96" i="6"/>
  <c r="N96" i="6"/>
  <c r="M96" i="6"/>
  <c r="L96" i="6"/>
  <c r="K96" i="6"/>
  <c r="J96" i="6"/>
  <c r="I96" i="6"/>
  <c r="H96" i="6"/>
  <c r="G96" i="6"/>
  <c r="F96" i="6"/>
  <c r="E96" i="6"/>
  <c r="D96" i="6"/>
  <c r="C96" i="6"/>
  <c r="B96" i="6"/>
  <c r="N95" i="6"/>
  <c r="M199" i="18" s="1"/>
  <c r="M95" i="6"/>
  <c r="L95" i="6"/>
  <c r="K95" i="6"/>
  <c r="J95" i="6"/>
  <c r="I95" i="6"/>
  <c r="H95" i="6"/>
  <c r="G95" i="6"/>
  <c r="F95" i="6"/>
  <c r="E95" i="6"/>
  <c r="D95" i="6"/>
  <c r="C95" i="6"/>
  <c r="B95" i="6"/>
  <c r="W94" i="6"/>
  <c r="V94" i="6"/>
  <c r="U94" i="6"/>
  <c r="T94" i="6"/>
  <c r="S94" i="6"/>
  <c r="R94" i="6"/>
  <c r="Q94" i="6"/>
  <c r="P94" i="6"/>
  <c r="O94" i="6"/>
  <c r="N94" i="6"/>
  <c r="M94" i="6"/>
  <c r="L94" i="6"/>
  <c r="K94" i="6"/>
  <c r="J94" i="6"/>
  <c r="I94" i="6"/>
  <c r="H94" i="6"/>
  <c r="G94" i="6"/>
  <c r="F94" i="6"/>
  <c r="E94" i="6"/>
  <c r="D94" i="6"/>
  <c r="C94" i="6"/>
  <c r="B94" i="6"/>
  <c r="W92" i="6"/>
  <c r="V92" i="6"/>
  <c r="U92" i="6"/>
  <c r="T92" i="6"/>
  <c r="S92" i="6"/>
  <c r="R92" i="6"/>
  <c r="Q92" i="6"/>
  <c r="P92" i="6"/>
  <c r="O92" i="6"/>
  <c r="N92" i="6"/>
  <c r="M92" i="6"/>
  <c r="L92" i="6"/>
  <c r="K92" i="6"/>
  <c r="J92" i="6"/>
  <c r="I92" i="6"/>
  <c r="H92" i="6"/>
  <c r="G92" i="6"/>
  <c r="F92" i="6"/>
  <c r="E92" i="6"/>
  <c r="D92" i="6"/>
  <c r="C92" i="6"/>
  <c r="B92" i="6"/>
  <c r="N89" i="6"/>
  <c r="M89" i="6"/>
  <c r="L89" i="6"/>
  <c r="K89" i="6"/>
  <c r="J89" i="6"/>
  <c r="I89" i="6"/>
  <c r="H89" i="6"/>
  <c r="G89" i="6"/>
  <c r="F89" i="6"/>
  <c r="E89" i="6"/>
  <c r="D89" i="6"/>
  <c r="C89" i="6"/>
  <c r="B89" i="6"/>
  <c r="N88" i="6"/>
  <c r="M88" i="6"/>
  <c r="L88" i="6"/>
  <c r="K88" i="6"/>
  <c r="J88" i="6"/>
  <c r="I88" i="6"/>
  <c r="H88" i="6"/>
  <c r="G88" i="6"/>
  <c r="F88" i="6"/>
  <c r="E88" i="6"/>
  <c r="D88" i="6"/>
  <c r="C88" i="6"/>
  <c r="B88" i="6"/>
  <c r="K140" i="6"/>
  <c r="E85" i="6"/>
  <c r="D85" i="6"/>
  <c r="C85" i="6"/>
  <c r="B85" i="6"/>
  <c r="E84" i="6"/>
  <c r="D84" i="6"/>
  <c r="C84" i="6"/>
  <c r="B84" i="6"/>
  <c r="E76" i="6"/>
  <c r="D76" i="6"/>
  <c r="C76" i="6"/>
  <c r="B76" i="6"/>
  <c r="E74" i="6"/>
  <c r="D74" i="6"/>
  <c r="C74" i="6"/>
  <c r="C138" i="68" s="1"/>
  <c r="B74" i="6"/>
  <c r="B138" i="68" s="1"/>
  <c r="E73" i="6"/>
  <c r="C210" i="18" s="1"/>
  <c r="C211" i="18" s="1"/>
  <c r="D73" i="6"/>
  <c r="B210" i="18" s="1"/>
  <c r="C73" i="6"/>
  <c r="B73" i="6"/>
  <c r="E72" i="6"/>
  <c r="C207" i="18" s="1"/>
  <c r="D72" i="6"/>
  <c r="B207" i="18" s="1"/>
  <c r="C72" i="6"/>
  <c r="B72" i="6"/>
  <c r="C71" i="6"/>
  <c r="B71" i="6"/>
  <c r="B67" i="6"/>
  <c r="B42" i="6" s="1"/>
  <c r="W79" i="6"/>
  <c r="V79" i="6"/>
  <c r="U79" i="6"/>
  <c r="T79" i="6"/>
  <c r="N79" i="6"/>
  <c r="M79" i="6"/>
  <c r="L79" i="6"/>
  <c r="K79" i="6"/>
  <c r="J79" i="6"/>
  <c r="I79" i="6"/>
  <c r="H79" i="6"/>
  <c r="G79" i="6"/>
  <c r="F79" i="6"/>
  <c r="W77" i="6"/>
  <c r="AA19" i="60" s="1"/>
  <c r="V77" i="6"/>
  <c r="Z19" i="60" s="1"/>
  <c r="U77" i="6"/>
  <c r="Y19" i="60" s="1"/>
  <c r="T77" i="6"/>
  <c r="X19" i="60" s="1"/>
  <c r="S77" i="6"/>
  <c r="W19" i="60" s="1"/>
  <c r="R77" i="6"/>
  <c r="V19" i="60" s="1"/>
  <c r="Q77" i="6"/>
  <c r="U19" i="60" s="1"/>
  <c r="P77" i="6"/>
  <c r="T19" i="60" s="1"/>
  <c r="N76" i="6"/>
  <c r="M76" i="6"/>
  <c r="L76" i="6"/>
  <c r="K76" i="6"/>
  <c r="J76" i="6"/>
  <c r="I76" i="6"/>
  <c r="H76" i="6"/>
  <c r="G76" i="6"/>
  <c r="F76" i="6"/>
  <c r="N74" i="6"/>
  <c r="M74" i="6"/>
  <c r="L74" i="6"/>
  <c r="K74" i="6"/>
  <c r="J74" i="6"/>
  <c r="I74" i="6"/>
  <c r="H74" i="6"/>
  <c r="G74" i="6"/>
  <c r="F74" i="6"/>
  <c r="N73" i="6"/>
  <c r="L210" i="18" s="1"/>
  <c r="L211" i="18" s="1"/>
  <c r="M73" i="6"/>
  <c r="K210" i="18" s="1"/>
  <c r="K211" i="18" s="1"/>
  <c r="L73" i="6"/>
  <c r="J210" i="18" s="1"/>
  <c r="K73" i="6"/>
  <c r="I210" i="18" s="1"/>
  <c r="J73" i="6"/>
  <c r="H210" i="18" s="1"/>
  <c r="I73" i="6"/>
  <c r="G210" i="18" s="1"/>
  <c r="H73" i="6"/>
  <c r="F210" i="18" s="1"/>
  <c r="G73" i="6"/>
  <c r="F73" i="6"/>
  <c r="D210" i="18" s="1"/>
  <c r="D211" i="18" s="1"/>
  <c r="N72" i="6"/>
  <c r="L207" i="18" s="1"/>
  <c r="M72" i="6"/>
  <c r="K207" i="18" s="1"/>
  <c r="L72" i="6"/>
  <c r="J207" i="18" s="1"/>
  <c r="K72" i="6"/>
  <c r="I207" i="18" s="1"/>
  <c r="J72" i="6"/>
  <c r="H207" i="18" s="1"/>
  <c r="I72" i="6"/>
  <c r="H72" i="6"/>
  <c r="F207" i="18" s="1"/>
  <c r="G72" i="6"/>
  <c r="F72" i="6"/>
  <c r="D207" i="18" s="1"/>
  <c r="N67" i="6"/>
  <c r="M67" i="6"/>
  <c r="L67" i="6"/>
  <c r="K67" i="6"/>
  <c r="J67" i="6"/>
  <c r="I67" i="6"/>
  <c r="H67" i="6"/>
  <c r="G67" i="6"/>
  <c r="F67" i="6"/>
  <c r="E67" i="6"/>
  <c r="D67" i="6"/>
  <c r="C67" i="6"/>
  <c r="C115" i="6" s="1"/>
  <c r="A66" i="6"/>
  <c r="A65" i="6"/>
  <c r="A64" i="6"/>
  <c r="A63" i="6"/>
  <c r="H59" i="6"/>
  <c r="G59" i="6"/>
  <c r="F59" i="6"/>
  <c r="E59" i="6"/>
  <c r="D59" i="6"/>
  <c r="H58" i="6"/>
  <c r="G58" i="6"/>
  <c r="F58" i="6"/>
  <c r="E58" i="6"/>
  <c r="D58" i="6"/>
  <c r="H57" i="6"/>
  <c r="G57" i="6"/>
  <c r="F57" i="6"/>
  <c r="E57" i="6"/>
  <c r="D57" i="6"/>
  <c r="H56" i="6"/>
  <c r="G56" i="6"/>
  <c r="F56" i="6"/>
  <c r="E56" i="6"/>
  <c r="D56" i="6"/>
  <c r="H55" i="6"/>
  <c r="G55" i="6"/>
  <c r="F55" i="6"/>
  <c r="H54" i="6"/>
  <c r="F175" i="18" s="1"/>
  <c r="G54" i="6"/>
  <c r="E175" i="18" s="1"/>
  <c r="F54" i="6"/>
  <c r="D175" i="18" s="1"/>
  <c r="E54" i="6"/>
  <c r="C175" i="18" s="1"/>
  <c r="D54" i="6"/>
  <c r="B175" i="18" s="1"/>
  <c r="H53" i="6"/>
  <c r="F174" i="18" s="1"/>
  <c r="G53" i="6"/>
  <c r="F53" i="6"/>
  <c r="D174" i="18" s="1"/>
  <c r="E53" i="6"/>
  <c r="C174" i="18" s="1"/>
  <c r="D53" i="6"/>
  <c r="B174" i="18" s="1"/>
  <c r="H52" i="6"/>
  <c r="F165" i="18" s="1"/>
  <c r="G52" i="6"/>
  <c r="E165" i="18" s="1"/>
  <c r="F52" i="6"/>
  <c r="D165" i="18" s="1"/>
  <c r="E52" i="6"/>
  <c r="C165" i="18" s="1"/>
  <c r="D52" i="6"/>
  <c r="B165" i="18" s="1"/>
  <c r="H51" i="6"/>
  <c r="G51" i="6"/>
  <c r="E153" i="18" s="1"/>
  <c r="F51" i="6"/>
  <c r="D153" i="18" s="1"/>
  <c r="E51" i="6"/>
  <c r="D51" i="6"/>
  <c r="B153" i="18" s="1"/>
  <c r="H50" i="6"/>
  <c r="G50" i="6"/>
  <c r="F50" i="6"/>
  <c r="C54" i="6"/>
  <c r="B54" i="6"/>
  <c r="C53" i="6"/>
  <c r="B53" i="6"/>
  <c r="C52" i="6"/>
  <c r="B52" i="6"/>
  <c r="C51" i="6"/>
  <c r="B51" i="6"/>
  <c r="H48" i="6"/>
  <c r="H47" i="6"/>
  <c r="H46" i="6"/>
  <c r="H110" i="68" s="1"/>
  <c r="H45" i="6"/>
  <c r="H109" i="68" s="1"/>
  <c r="H42" i="6"/>
  <c r="H40" i="6"/>
  <c r="H39" i="6"/>
  <c r="H38" i="6"/>
  <c r="H37" i="6"/>
  <c r="H36" i="6"/>
  <c r="H35" i="6"/>
  <c r="A48" i="6"/>
  <c r="A47" i="6"/>
  <c r="A46" i="6"/>
  <c r="A45" i="6"/>
  <c r="G42" i="6"/>
  <c r="F42" i="6"/>
  <c r="B40" i="6"/>
  <c r="B39" i="6"/>
  <c r="B38" i="6"/>
  <c r="B37" i="6"/>
  <c r="B35" i="6"/>
  <c r="N66" i="6"/>
  <c r="N290" i="67" s="1"/>
  <c r="M66" i="6"/>
  <c r="M290" i="67" s="1"/>
  <c r="L66" i="6"/>
  <c r="L290" i="67" s="1"/>
  <c r="K66" i="6"/>
  <c r="K290" i="67" s="1"/>
  <c r="J66" i="6"/>
  <c r="J290" i="67" s="1"/>
  <c r="I66" i="6"/>
  <c r="I290" i="67" s="1"/>
  <c r="N65" i="6"/>
  <c r="N289" i="67" s="1"/>
  <c r="M65" i="6"/>
  <c r="M289" i="67" s="1"/>
  <c r="L65" i="6"/>
  <c r="L289" i="67" s="1"/>
  <c r="K65" i="6"/>
  <c r="K289" i="67" s="1"/>
  <c r="J65" i="6"/>
  <c r="J289" i="67" s="1"/>
  <c r="I65" i="6"/>
  <c r="I289" i="67" s="1"/>
  <c r="N64" i="6"/>
  <c r="N288" i="67" s="1"/>
  <c r="M64" i="6"/>
  <c r="M288" i="67" s="1"/>
  <c r="L64" i="6"/>
  <c r="L288" i="67" s="1"/>
  <c r="K64" i="6"/>
  <c r="K288" i="67" s="1"/>
  <c r="J64" i="6"/>
  <c r="J288" i="67" s="1"/>
  <c r="I64" i="6"/>
  <c r="I288" i="67" s="1"/>
  <c r="N63" i="6"/>
  <c r="N287" i="67" s="1"/>
  <c r="M63" i="6"/>
  <c r="M287" i="67" s="1"/>
  <c r="L63" i="6"/>
  <c r="L287" i="67" s="1"/>
  <c r="K63" i="6"/>
  <c r="K287" i="67" s="1"/>
  <c r="J63" i="6"/>
  <c r="J287" i="67" s="1"/>
  <c r="I63" i="6"/>
  <c r="I287" i="67" s="1"/>
  <c r="N59" i="6"/>
  <c r="N285" i="67" s="1"/>
  <c r="M59" i="6"/>
  <c r="M285" i="67" s="1"/>
  <c r="L59" i="6"/>
  <c r="L285" i="67" s="1"/>
  <c r="K59" i="6"/>
  <c r="K285" i="67" s="1"/>
  <c r="J59" i="6"/>
  <c r="J285" i="67" s="1"/>
  <c r="I59" i="6"/>
  <c r="I285" i="67" s="1"/>
  <c r="N58" i="6"/>
  <c r="N284" i="67" s="1"/>
  <c r="M58" i="6"/>
  <c r="M284" i="67" s="1"/>
  <c r="L58" i="6"/>
  <c r="L284" i="67" s="1"/>
  <c r="K58" i="6"/>
  <c r="K284" i="67" s="1"/>
  <c r="J58" i="6"/>
  <c r="J284" i="67" s="1"/>
  <c r="I58" i="6"/>
  <c r="I284" i="67" s="1"/>
  <c r="N57" i="6"/>
  <c r="N283" i="67" s="1"/>
  <c r="M57" i="6"/>
  <c r="M283" i="67" s="1"/>
  <c r="L57" i="6"/>
  <c r="L283" i="67" s="1"/>
  <c r="K57" i="6"/>
  <c r="K283" i="67" s="1"/>
  <c r="J57" i="6"/>
  <c r="J283" i="67" s="1"/>
  <c r="I57" i="6"/>
  <c r="I283" i="67" s="1"/>
  <c r="N56" i="6"/>
  <c r="N282" i="67" s="1"/>
  <c r="M56" i="6"/>
  <c r="M282" i="67" s="1"/>
  <c r="L56" i="6"/>
  <c r="L282" i="67" s="1"/>
  <c r="K56" i="6"/>
  <c r="K282" i="67" s="1"/>
  <c r="J56" i="6"/>
  <c r="J282" i="67" s="1"/>
  <c r="I56" i="6"/>
  <c r="I282" i="67" s="1"/>
  <c r="N55" i="6"/>
  <c r="M55" i="6"/>
  <c r="L55" i="6"/>
  <c r="K55" i="6"/>
  <c r="J55" i="6"/>
  <c r="I55" i="6"/>
  <c r="N54" i="6"/>
  <c r="L175" i="18" s="1"/>
  <c r="M54" i="6"/>
  <c r="K175" i="18" s="1"/>
  <c r="L54" i="6"/>
  <c r="J175" i="18" s="1"/>
  <c r="K54" i="6"/>
  <c r="I175" i="18" s="1"/>
  <c r="J54" i="6"/>
  <c r="H175" i="18" s="1"/>
  <c r="I54" i="6"/>
  <c r="G175" i="18" s="1"/>
  <c r="N53" i="6"/>
  <c r="L174" i="18" s="1"/>
  <c r="M53" i="6"/>
  <c r="K174" i="18" s="1"/>
  <c r="L53" i="6"/>
  <c r="J174" i="18" s="1"/>
  <c r="K53" i="6"/>
  <c r="I174" i="18" s="1"/>
  <c r="J53" i="6"/>
  <c r="H174" i="18" s="1"/>
  <c r="I53" i="6"/>
  <c r="G174" i="18" s="1"/>
  <c r="N52" i="6"/>
  <c r="L165" i="18" s="1"/>
  <c r="C25" i="90" s="1"/>
  <c r="M52" i="6"/>
  <c r="K165" i="18" s="1"/>
  <c r="L52" i="6"/>
  <c r="J165" i="18" s="1"/>
  <c r="K52" i="6"/>
  <c r="I165" i="18" s="1"/>
  <c r="J52" i="6"/>
  <c r="H165" i="18" s="1"/>
  <c r="I52" i="6"/>
  <c r="G165" i="18" s="1"/>
  <c r="N51" i="6"/>
  <c r="M51" i="6"/>
  <c r="L51" i="6"/>
  <c r="K51" i="6"/>
  <c r="J51" i="6"/>
  <c r="I51" i="6"/>
  <c r="N50" i="6"/>
  <c r="M50" i="6"/>
  <c r="L50" i="6"/>
  <c r="K50" i="6"/>
  <c r="J50" i="6"/>
  <c r="I50" i="6"/>
  <c r="M48" i="6"/>
  <c r="L48" i="6"/>
  <c r="K48" i="6"/>
  <c r="J48" i="6"/>
  <c r="I48" i="6"/>
  <c r="O47" i="6"/>
  <c r="N47" i="6"/>
  <c r="M47" i="6"/>
  <c r="L47" i="6"/>
  <c r="K47" i="6"/>
  <c r="J47" i="6"/>
  <c r="I47" i="6"/>
  <c r="N46" i="6"/>
  <c r="N110" i="68" s="1"/>
  <c r="M46" i="6"/>
  <c r="M110" i="68" s="1"/>
  <c r="L46" i="6"/>
  <c r="L110" i="68" s="1"/>
  <c r="K46" i="6"/>
  <c r="K110" i="68" s="1"/>
  <c r="J46" i="6"/>
  <c r="J110" i="68" s="1"/>
  <c r="I46" i="6"/>
  <c r="I110" i="68" s="1"/>
  <c r="N45" i="6"/>
  <c r="N109" i="68" s="1"/>
  <c r="M45" i="6"/>
  <c r="M109" i="68" s="1"/>
  <c r="L45" i="6"/>
  <c r="L109" i="68" s="1"/>
  <c r="K45" i="6"/>
  <c r="K109" i="68" s="1"/>
  <c r="J45" i="6"/>
  <c r="J109" i="68" s="1"/>
  <c r="I45" i="6"/>
  <c r="I109" i="68" s="1"/>
  <c r="N42" i="6"/>
  <c r="M42" i="6"/>
  <c r="L42" i="6"/>
  <c r="K42" i="6"/>
  <c r="J42" i="6"/>
  <c r="I42" i="6"/>
  <c r="N40" i="6"/>
  <c r="M40" i="6"/>
  <c r="L40" i="6"/>
  <c r="K40" i="6"/>
  <c r="J40" i="6"/>
  <c r="I40" i="6"/>
  <c r="N39" i="6"/>
  <c r="M39" i="6"/>
  <c r="L39" i="6"/>
  <c r="L331" i="67" s="1"/>
  <c r="K39" i="6"/>
  <c r="J39" i="6"/>
  <c r="I39" i="6"/>
  <c r="N38" i="6"/>
  <c r="N348" i="67" s="1"/>
  <c r="M38" i="6"/>
  <c r="L38" i="6"/>
  <c r="K38" i="6"/>
  <c r="J38" i="6"/>
  <c r="I38" i="6"/>
  <c r="N37" i="6"/>
  <c r="N323" i="67" s="1"/>
  <c r="M37" i="6"/>
  <c r="M323" i="67" s="1"/>
  <c r="L37" i="6"/>
  <c r="K37" i="6"/>
  <c r="J37" i="6"/>
  <c r="I37" i="6"/>
  <c r="L36" i="6"/>
  <c r="K36" i="6"/>
  <c r="J36" i="6"/>
  <c r="J14" i="67" s="1"/>
  <c r="J13" i="67" s="1"/>
  <c r="I36" i="6"/>
  <c r="W35" i="6"/>
  <c r="V35" i="6"/>
  <c r="U35" i="6"/>
  <c r="T35" i="6"/>
  <c r="S35" i="6"/>
  <c r="R35" i="6"/>
  <c r="AK4" i="60" s="1"/>
  <c r="Q35" i="6"/>
  <c r="AJ4" i="60" s="1"/>
  <c r="P35" i="6"/>
  <c r="AI4" i="60" s="1"/>
  <c r="AT28" i="60" s="1"/>
  <c r="O35" i="6"/>
  <c r="AH4" i="60" s="1"/>
  <c r="AS28" i="60" s="1"/>
  <c r="N35" i="6"/>
  <c r="AG4" i="60" s="1"/>
  <c r="M35" i="6"/>
  <c r="AF4" i="60" s="1"/>
  <c r="AR28" i="60" s="1"/>
  <c r="L35" i="6"/>
  <c r="AE4" i="60" s="1"/>
  <c r="K35" i="6"/>
  <c r="J35" i="6"/>
  <c r="I35" i="6"/>
  <c r="G40" i="6"/>
  <c r="F40" i="6"/>
  <c r="E40" i="6"/>
  <c r="D40" i="6"/>
  <c r="C40" i="6"/>
  <c r="G39" i="6"/>
  <c r="F39" i="6"/>
  <c r="E39" i="6"/>
  <c r="D39" i="6"/>
  <c r="D331" i="67" s="1"/>
  <c r="C39" i="6"/>
  <c r="G38" i="6"/>
  <c r="F38" i="6"/>
  <c r="E38" i="6"/>
  <c r="D38" i="6"/>
  <c r="C38" i="6"/>
  <c r="G37" i="6"/>
  <c r="F37" i="6"/>
  <c r="E37" i="6"/>
  <c r="D37" i="6"/>
  <c r="C37" i="6"/>
  <c r="G36" i="6"/>
  <c r="G14" i="67" s="1"/>
  <c r="F36" i="6"/>
  <c r="F14" i="67" s="1"/>
  <c r="E36" i="6"/>
  <c r="E301" i="67" s="1"/>
  <c r="G35" i="6"/>
  <c r="F35" i="6"/>
  <c r="E35" i="6"/>
  <c r="D35" i="6"/>
  <c r="C35" i="6"/>
  <c r="N30" i="6"/>
  <c r="R11" i="60" s="1"/>
  <c r="M30" i="6"/>
  <c r="Q11" i="60" s="1"/>
  <c r="L30" i="6"/>
  <c r="P11" i="60" s="1"/>
  <c r="K30" i="6"/>
  <c r="K222" i="67" s="1"/>
  <c r="K221" i="67" s="1"/>
  <c r="J30" i="6"/>
  <c r="J222" i="67" s="1"/>
  <c r="J221" i="67" s="1"/>
  <c r="I30" i="6"/>
  <c r="H30" i="6"/>
  <c r="G30" i="6"/>
  <c r="F30" i="6"/>
  <c r="E30" i="6"/>
  <c r="D30" i="6"/>
  <c r="N29" i="6"/>
  <c r="M29" i="6"/>
  <c r="L29" i="6"/>
  <c r="G16" i="61" s="1"/>
  <c r="K29" i="6"/>
  <c r="J29" i="6"/>
  <c r="E16" i="61" s="1"/>
  <c r="I29" i="6"/>
  <c r="D16" i="61" s="1"/>
  <c r="H29" i="6"/>
  <c r="C16" i="61" s="1"/>
  <c r="G29" i="6"/>
  <c r="F29" i="6"/>
  <c r="E29" i="6"/>
  <c r="D29" i="6"/>
  <c r="N27" i="6"/>
  <c r="M27" i="6"/>
  <c r="L27" i="6"/>
  <c r="K27" i="6"/>
  <c r="J27" i="6"/>
  <c r="I27" i="6"/>
  <c r="H27" i="6"/>
  <c r="G27" i="6"/>
  <c r="F27" i="6"/>
  <c r="E27" i="6"/>
  <c r="D27" i="6"/>
  <c r="N26" i="6"/>
  <c r="R13" i="60" s="1"/>
  <c r="M26" i="6"/>
  <c r="Q13" i="60" s="1"/>
  <c r="L26" i="6"/>
  <c r="P13" i="60" s="1"/>
  <c r="K26" i="6"/>
  <c r="J26" i="6"/>
  <c r="I26" i="6"/>
  <c r="H26" i="6"/>
  <c r="G26" i="6"/>
  <c r="F26" i="6"/>
  <c r="E26" i="6"/>
  <c r="D26" i="6"/>
  <c r="N25" i="6"/>
  <c r="N330" i="67" s="1"/>
  <c r="M25" i="6"/>
  <c r="M330" i="67" s="1"/>
  <c r="L25" i="6"/>
  <c r="L330" i="67" s="1"/>
  <c r="K25" i="6"/>
  <c r="K330" i="67" s="1"/>
  <c r="J25" i="6"/>
  <c r="J330" i="67" s="1"/>
  <c r="I25" i="6"/>
  <c r="I330" i="67" s="1"/>
  <c r="H25" i="6"/>
  <c r="H330" i="67" s="1"/>
  <c r="G25" i="6"/>
  <c r="G330" i="67" s="1"/>
  <c r="F25" i="6"/>
  <c r="F330" i="67" s="1"/>
  <c r="E25" i="6"/>
  <c r="E330" i="67" s="1"/>
  <c r="D25" i="6"/>
  <c r="D330" i="67" s="1"/>
  <c r="N24" i="6"/>
  <c r="R10" i="60" s="1"/>
  <c r="M24" i="6"/>
  <c r="Q10" i="60" s="1"/>
  <c r="L24" i="6"/>
  <c r="P10" i="60" s="1"/>
  <c r="K24" i="6"/>
  <c r="K329" i="67" s="1"/>
  <c r="J24" i="6"/>
  <c r="J329" i="67" s="1"/>
  <c r="I24" i="6"/>
  <c r="I329" i="67" s="1"/>
  <c r="H24" i="6"/>
  <c r="H329" i="67" s="1"/>
  <c r="G24" i="6"/>
  <c r="F24" i="6"/>
  <c r="E24" i="6"/>
  <c r="D24" i="6"/>
  <c r="N23" i="6"/>
  <c r="M23" i="6"/>
  <c r="L23" i="6"/>
  <c r="K23" i="6"/>
  <c r="J23" i="6"/>
  <c r="I23" i="6"/>
  <c r="H23" i="6"/>
  <c r="G23" i="6"/>
  <c r="F23" i="6"/>
  <c r="E23" i="6"/>
  <c r="D23" i="6"/>
  <c r="N22" i="6"/>
  <c r="I15" i="61" s="1"/>
  <c r="M22" i="6"/>
  <c r="H15" i="61" s="1"/>
  <c r="L22" i="6"/>
  <c r="L328" i="67" s="1"/>
  <c r="K22" i="6"/>
  <c r="F15" i="61" s="1"/>
  <c r="J22" i="6"/>
  <c r="J328" i="67" s="1"/>
  <c r="I22" i="6"/>
  <c r="D15" i="61" s="1"/>
  <c r="H22" i="6"/>
  <c r="G22" i="6"/>
  <c r="G328" i="67" s="1"/>
  <c r="F22" i="6"/>
  <c r="E22" i="6"/>
  <c r="D22" i="6"/>
  <c r="D300" i="67" s="1"/>
  <c r="N20" i="6"/>
  <c r="N326" i="67" s="1"/>
  <c r="M20" i="6"/>
  <c r="M326" i="67" s="1"/>
  <c r="L20" i="6"/>
  <c r="L326" i="67" s="1"/>
  <c r="K20" i="6"/>
  <c r="K326" i="67" s="1"/>
  <c r="J20" i="6"/>
  <c r="J326" i="67" s="1"/>
  <c r="I20" i="6"/>
  <c r="I326" i="67" s="1"/>
  <c r="H20" i="6"/>
  <c r="H326" i="67" s="1"/>
  <c r="G20" i="6"/>
  <c r="G326" i="67" s="1"/>
  <c r="F20" i="6"/>
  <c r="F326" i="67" s="1"/>
  <c r="E20" i="6"/>
  <c r="E326" i="67" s="1"/>
  <c r="D20" i="6"/>
  <c r="D326" i="67" s="1"/>
  <c r="N19" i="6"/>
  <c r="R9" i="60" s="1"/>
  <c r="M19" i="6"/>
  <c r="Q9" i="60" s="1"/>
  <c r="L19" i="6"/>
  <c r="P9" i="60" s="1"/>
  <c r="K19" i="6"/>
  <c r="K325" i="67" s="1"/>
  <c r="J19" i="6"/>
  <c r="J325" i="67" s="1"/>
  <c r="I19" i="6"/>
  <c r="I325" i="67" s="1"/>
  <c r="H19" i="6"/>
  <c r="H217" i="67" s="1"/>
  <c r="G19" i="6"/>
  <c r="F19" i="6"/>
  <c r="F325" i="67" s="1"/>
  <c r="E19" i="6"/>
  <c r="E325" i="67" s="1"/>
  <c r="D19" i="6"/>
  <c r="D325" i="67" s="1"/>
  <c r="N18" i="6"/>
  <c r="M18" i="6"/>
  <c r="L18" i="6"/>
  <c r="K18" i="6"/>
  <c r="J18" i="6"/>
  <c r="I18" i="6"/>
  <c r="H18" i="6"/>
  <c r="G18" i="6"/>
  <c r="F18" i="6"/>
  <c r="E18" i="6"/>
  <c r="D18" i="6"/>
  <c r="N17" i="6"/>
  <c r="N299" i="67" s="1"/>
  <c r="M17" i="6"/>
  <c r="H14" i="61" s="1"/>
  <c r="L17" i="6"/>
  <c r="K17" i="6"/>
  <c r="K164" i="67" s="1"/>
  <c r="J17" i="6"/>
  <c r="J164" i="67" s="1"/>
  <c r="I17" i="6"/>
  <c r="I164" i="67" s="1"/>
  <c r="I169" i="67" s="1"/>
  <c r="H17" i="6"/>
  <c r="C14" i="61" s="1"/>
  <c r="G17" i="6"/>
  <c r="G324" i="67" s="1"/>
  <c r="F17" i="6"/>
  <c r="F299" i="67" s="1"/>
  <c r="E17" i="6"/>
  <c r="E324" i="67" s="1"/>
  <c r="D17" i="6"/>
  <c r="Y11" i="6"/>
  <c r="Y9" i="6"/>
  <c r="N13" i="6"/>
  <c r="M13" i="6"/>
  <c r="L13" i="6"/>
  <c r="K13" i="6"/>
  <c r="J13" i="6"/>
  <c r="I13" i="6"/>
  <c r="H13" i="6"/>
  <c r="G13" i="6"/>
  <c r="F13" i="6"/>
  <c r="E13" i="6"/>
  <c r="D13" i="6"/>
  <c r="P12" i="6"/>
  <c r="T12" i="60" s="1"/>
  <c r="T50" i="60" s="1"/>
  <c r="N12" i="6"/>
  <c r="R12" i="60" s="1"/>
  <c r="M12" i="6"/>
  <c r="Q12" i="60" s="1"/>
  <c r="L12" i="6"/>
  <c r="P12" i="60" s="1"/>
  <c r="K12" i="6"/>
  <c r="J12" i="6"/>
  <c r="I12" i="6"/>
  <c r="H12" i="6"/>
  <c r="G12" i="6"/>
  <c r="F12" i="6"/>
  <c r="E12" i="6"/>
  <c r="D12" i="6"/>
  <c r="O11" i="6"/>
  <c r="N11" i="6"/>
  <c r="M11" i="6"/>
  <c r="L11" i="6"/>
  <c r="K11" i="6"/>
  <c r="J11" i="6"/>
  <c r="I11" i="6"/>
  <c r="H11" i="6"/>
  <c r="G11" i="6"/>
  <c r="F11" i="6"/>
  <c r="E11" i="6"/>
  <c r="D11" i="6"/>
  <c r="O10" i="6"/>
  <c r="N10" i="6"/>
  <c r="M10" i="6"/>
  <c r="L10" i="6"/>
  <c r="K10" i="6"/>
  <c r="J10" i="6"/>
  <c r="I10" i="6"/>
  <c r="H10" i="6"/>
  <c r="G10" i="6"/>
  <c r="F10" i="6"/>
  <c r="E10" i="6"/>
  <c r="D10" i="6"/>
  <c r="N9" i="6"/>
  <c r="M9" i="6"/>
  <c r="M227" i="67" s="1"/>
  <c r="M228" i="67" s="1"/>
  <c r="L9" i="6"/>
  <c r="L227" i="67" s="1"/>
  <c r="K9" i="6"/>
  <c r="K227" i="67" s="1"/>
  <c r="J9" i="6"/>
  <c r="I9" i="6"/>
  <c r="H9" i="6"/>
  <c r="G9" i="6"/>
  <c r="F9" i="6"/>
  <c r="E9" i="6"/>
  <c r="D9" i="6"/>
  <c r="O8" i="6"/>
  <c r="N8" i="6"/>
  <c r="M8" i="6"/>
  <c r="L8" i="6"/>
  <c r="K8" i="6"/>
  <c r="J8" i="6"/>
  <c r="I8" i="6"/>
  <c r="H8" i="6"/>
  <c r="G8" i="6"/>
  <c r="F8" i="6"/>
  <c r="E8" i="6"/>
  <c r="D8" i="6"/>
  <c r="O7" i="6"/>
  <c r="N7" i="6"/>
  <c r="M7" i="6"/>
  <c r="L7" i="6"/>
  <c r="K7" i="6"/>
  <c r="J7" i="6"/>
  <c r="I7" i="6"/>
  <c r="H7" i="6"/>
  <c r="G7" i="6"/>
  <c r="F7" i="6"/>
  <c r="E7" i="6"/>
  <c r="D7" i="6"/>
  <c r="O5" i="6"/>
  <c r="N5" i="6"/>
  <c r="M5" i="6"/>
  <c r="L5" i="6"/>
  <c r="K5" i="6"/>
  <c r="J5" i="6"/>
  <c r="I5" i="6"/>
  <c r="H5" i="6"/>
  <c r="G5" i="6"/>
  <c r="F5" i="6"/>
  <c r="E5" i="6"/>
  <c r="D5" i="6"/>
  <c r="BY438" i="67"/>
  <c r="BU438" i="67"/>
  <c r="BQ438" i="67"/>
  <c r="BM438" i="67"/>
  <c r="BI438" i="67"/>
  <c r="BE438" i="67"/>
  <c r="BA438" i="67"/>
  <c r="AW438" i="67"/>
  <c r="AS438" i="67"/>
  <c r="AO438" i="67"/>
  <c r="AK438" i="67"/>
  <c r="AG438" i="67"/>
  <c r="AC438" i="67"/>
  <c r="Y438" i="67"/>
  <c r="U438" i="67"/>
  <c r="Q438" i="67"/>
  <c r="M438" i="67"/>
  <c r="I438" i="67"/>
  <c r="E438" i="67"/>
  <c r="A440" i="67"/>
  <c r="A439" i="67"/>
  <c r="BX438" i="67"/>
  <c r="BW438" i="67"/>
  <c r="BV438" i="67"/>
  <c r="BT438" i="67"/>
  <c r="BS438" i="67"/>
  <c r="BR438" i="67"/>
  <c r="BP438" i="67"/>
  <c r="BO438" i="67"/>
  <c r="BN438" i="67"/>
  <c r="BL438" i="67"/>
  <c r="BK438" i="67"/>
  <c r="BJ438" i="67"/>
  <c r="BH438" i="67"/>
  <c r="BG438" i="67"/>
  <c r="BF438" i="67"/>
  <c r="BD438" i="67"/>
  <c r="BC438" i="67"/>
  <c r="BB438" i="67"/>
  <c r="AZ438" i="67"/>
  <c r="AY438" i="67"/>
  <c r="AX438" i="67"/>
  <c r="AV438" i="67"/>
  <c r="AU438" i="67"/>
  <c r="AT438" i="67"/>
  <c r="AP438" i="67"/>
  <c r="AN438" i="67"/>
  <c r="AM438" i="67"/>
  <c r="AL438" i="67"/>
  <c r="AJ438" i="67"/>
  <c r="AI438" i="67"/>
  <c r="AH438" i="67"/>
  <c r="AF438" i="67"/>
  <c r="AE438" i="67"/>
  <c r="AD438" i="67"/>
  <c r="AB438" i="67"/>
  <c r="AA438" i="67"/>
  <c r="Z438" i="67"/>
  <c r="X438" i="67"/>
  <c r="W438" i="67"/>
  <c r="V438" i="67"/>
  <c r="T438" i="67"/>
  <c r="S438" i="67"/>
  <c r="R438" i="67"/>
  <c r="P438" i="67"/>
  <c r="O438" i="67"/>
  <c r="N438" i="67"/>
  <c r="L438" i="67"/>
  <c r="K438" i="67"/>
  <c r="J438" i="67"/>
  <c r="H438" i="67"/>
  <c r="G438" i="67"/>
  <c r="F438" i="67"/>
  <c r="D438" i="67"/>
  <c r="C438" i="67"/>
  <c r="B438" i="67"/>
  <c r="AR434" i="67"/>
  <c r="AR438" i="67" s="1"/>
  <c r="AQ434" i="67"/>
  <c r="AQ438" i="67" s="1"/>
  <c r="A425" i="67"/>
  <c r="K430" i="67" s="1"/>
  <c r="K429" i="67" s="1"/>
  <c r="K428" i="67" s="1"/>
  <c r="AA407" i="67"/>
  <c r="Z407" i="67"/>
  <c r="Y407" i="67"/>
  <c r="X407" i="67"/>
  <c r="W407" i="67"/>
  <c r="V407" i="67"/>
  <c r="U407" i="67"/>
  <c r="T407" i="67"/>
  <c r="S407" i="67"/>
  <c r="R407" i="67"/>
  <c r="Q407" i="67"/>
  <c r="P407" i="67"/>
  <c r="O407" i="67"/>
  <c r="N407" i="67"/>
  <c r="M407" i="67"/>
  <c r="L407" i="67"/>
  <c r="K407" i="67"/>
  <c r="J407" i="67"/>
  <c r="I407" i="67"/>
  <c r="H407" i="67"/>
  <c r="G407" i="67"/>
  <c r="F407" i="67"/>
  <c r="E407" i="67"/>
  <c r="D407" i="67"/>
  <c r="C407" i="67"/>
  <c r="B407" i="67"/>
  <c r="AA406" i="67"/>
  <c r="Z406" i="67"/>
  <c r="Y406" i="67"/>
  <c r="X406" i="67"/>
  <c r="W406" i="67"/>
  <c r="V406" i="67"/>
  <c r="U406" i="67"/>
  <c r="T406" i="67"/>
  <c r="S406" i="67"/>
  <c r="R406" i="67"/>
  <c r="Q406" i="67"/>
  <c r="P406" i="67"/>
  <c r="O406" i="67"/>
  <c r="N406" i="67"/>
  <c r="M406" i="67"/>
  <c r="L406" i="67"/>
  <c r="K406" i="67"/>
  <c r="J406" i="67"/>
  <c r="I406" i="67"/>
  <c r="H406" i="67"/>
  <c r="G406" i="67"/>
  <c r="F406" i="67"/>
  <c r="E406" i="67"/>
  <c r="D406" i="67"/>
  <c r="C406" i="67"/>
  <c r="B406" i="67"/>
  <c r="AA405" i="67"/>
  <c r="Z405" i="67"/>
  <c r="Y405" i="67"/>
  <c r="X405" i="67"/>
  <c r="W405" i="67"/>
  <c r="V405" i="67"/>
  <c r="U405" i="67"/>
  <c r="T405" i="67"/>
  <c r="S405" i="67"/>
  <c r="R405" i="67"/>
  <c r="Q405" i="67"/>
  <c r="P405" i="67"/>
  <c r="O405" i="67"/>
  <c r="N405" i="67"/>
  <c r="M405" i="67"/>
  <c r="L405" i="67"/>
  <c r="K405" i="67"/>
  <c r="J405" i="67"/>
  <c r="I405" i="67"/>
  <c r="H405" i="67"/>
  <c r="G405" i="67"/>
  <c r="F405" i="67"/>
  <c r="E405" i="67"/>
  <c r="D405" i="67"/>
  <c r="C405" i="67"/>
  <c r="B405" i="67"/>
  <c r="BY407" i="67"/>
  <c r="BX407" i="67"/>
  <c r="BW407" i="67"/>
  <c r="BV407" i="67"/>
  <c r="BU407" i="67"/>
  <c r="BT407" i="67"/>
  <c r="BS407" i="67"/>
  <c r="BR407" i="67"/>
  <c r="BQ407" i="67"/>
  <c r="BP407" i="67"/>
  <c r="BO407" i="67"/>
  <c r="BN407" i="67"/>
  <c r="BM407" i="67"/>
  <c r="BL407" i="67"/>
  <c r="BK407" i="67"/>
  <c r="BJ407" i="67"/>
  <c r="BI407" i="67"/>
  <c r="BH407" i="67"/>
  <c r="BG407" i="67"/>
  <c r="BF407" i="67"/>
  <c r="BE407" i="67"/>
  <c r="BD407" i="67"/>
  <c r="BC407" i="67"/>
  <c r="BB407" i="67"/>
  <c r="BA407" i="67"/>
  <c r="AZ407" i="67"/>
  <c r="AY407" i="67"/>
  <c r="AX407" i="67"/>
  <c r="AW407" i="67"/>
  <c r="AV407" i="67"/>
  <c r="AU407" i="67"/>
  <c r="AT407" i="67"/>
  <c r="AS407" i="67"/>
  <c r="AR407" i="67"/>
  <c r="AQ407" i="67"/>
  <c r="AP407" i="67"/>
  <c r="AO407" i="67"/>
  <c r="AN407" i="67"/>
  <c r="AM407" i="67"/>
  <c r="AL407" i="67"/>
  <c r="AK407" i="67"/>
  <c r="AJ407" i="67"/>
  <c r="AI407" i="67"/>
  <c r="AH407" i="67"/>
  <c r="AG407" i="67"/>
  <c r="AF407" i="67"/>
  <c r="AE407" i="67"/>
  <c r="AD407" i="67"/>
  <c r="AC407" i="67"/>
  <c r="AB407" i="67"/>
  <c r="BY406" i="67"/>
  <c r="BX406" i="67"/>
  <c r="BW406" i="67"/>
  <c r="BV406" i="67"/>
  <c r="BU406" i="67"/>
  <c r="BT406" i="67"/>
  <c r="BS406" i="67"/>
  <c r="BR406" i="67"/>
  <c r="BQ406" i="67"/>
  <c r="BP406" i="67"/>
  <c r="BO406" i="67"/>
  <c r="BN406" i="67"/>
  <c r="BM406" i="67"/>
  <c r="BL406" i="67"/>
  <c r="BK406" i="67"/>
  <c r="BJ406" i="67"/>
  <c r="BI406" i="67"/>
  <c r="BH406" i="67"/>
  <c r="BG406" i="67"/>
  <c r="BF406" i="67"/>
  <c r="BE406" i="67"/>
  <c r="BD406" i="67"/>
  <c r="BC406" i="67"/>
  <c r="BB406" i="67"/>
  <c r="BA406" i="67"/>
  <c r="AZ406" i="67"/>
  <c r="AY406" i="67"/>
  <c r="AX406" i="67"/>
  <c r="AW406" i="67"/>
  <c r="AV406" i="67"/>
  <c r="AU406" i="67"/>
  <c r="AT406" i="67"/>
  <c r="AS406" i="67"/>
  <c r="AR406" i="67"/>
  <c r="AQ406" i="67"/>
  <c r="AP406" i="67"/>
  <c r="AO406" i="67"/>
  <c r="AN406" i="67"/>
  <c r="AM406" i="67"/>
  <c r="AL406" i="67"/>
  <c r="AK406" i="67"/>
  <c r="AJ406" i="67"/>
  <c r="AI406" i="67"/>
  <c r="AH406" i="67"/>
  <c r="AG406" i="67"/>
  <c r="AF406" i="67"/>
  <c r="AE406" i="67"/>
  <c r="AD406" i="67"/>
  <c r="AC406" i="67"/>
  <c r="AB406" i="67"/>
  <c r="BY405" i="67"/>
  <c r="BX405" i="67"/>
  <c r="BW405" i="67"/>
  <c r="BV405" i="67"/>
  <c r="BU405" i="67"/>
  <c r="BT405" i="67"/>
  <c r="BS405" i="67"/>
  <c r="BR405" i="67"/>
  <c r="BQ405" i="67"/>
  <c r="BP405" i="67"/>
  <c r="BO405" i="67"/>
  <c r="BN405" i="67"/>
  <c r="BM405" i="67"/>
  <c r="BL405" i="67"/>
  <c r="BK405" i="67"/>
  <c r="BJ405" i="67"/>
  <c r="BI405" i="67"/>
  <c r="BH405" i="67"/>
  <c r="BG405" i="67"/>
  <c r="BF405" i="67"/>
  <c r="BE405" i="67"/>
  <c r="BD405" i="67"/>
  <c r="BC405" i="67"/>
  <c r="BB405" i="67"/>
  <c r="BA405" i="67"/>
  <c r="AZ405" i="67"/>
  <c r="AY405" i="67"/>
  <c r="AX405" i="67"/>
  <c r="AW405" i="67"/>
  <c r="AV405" i="67"/>
  <c r="AU405" i="67"/>
  <c r="AT405" i="67"/>
  <c r="AS405" i="67"/>
  <c r="AR405" i="67"/>
  <c r="AQ405" i="67"/>
  <c r="AP405" i="67"/>
  <c r="AO405" i="67"/>
  <c r="AN405" i="67"/>
  <c r="AM405" i="67"/>
  <c r="AL405" i="67"/>
  <c r="AK405" i="67"/>
  <c r="AJ405" i="67"/>
  <c r="AI405" i="67"/>
  <c r="AH405" i="67"/>
  <c r="AG405" i="67"/>
  <c r="AF405" i="67"/>
  <c r="AE405" i="67"/>
  <c r="AD405" i="67"/>
  <c r="AC405" i="67"/>
  <c r="AB405" i="67"/>
  <c r="AO402" i="67"/>
  <c r="AN402" i="67"/>
  <c r="AM402" i="67"/>
  <c r="AL402" i="67"/>
  <c r="AK402" i="67"/>
  <c r="AJ402" i="67"/>
  <c r="AI402" i="67"/>
  <c r="AH402" i="67"/>
  <c r="AG402" i="67"/>
  <c r="AF402" i="67"/>
  <c r="AE402" i="67"/>
  <c r="AD402" i="67"/>
  <c r="AC402" i="67"/>
  <c r="AB402" i="67"/>
  <c r="AA402" i="67"/>
  <c r="Z402" i="67"/>
  <c r="Y402" i="67"/>
  <c r="X402" i="67"/>
  <c r="W402" i="67"/>
  <c r="V402" i="67"/>
  <c r="U402" i="67"/>
  <c r="T402" i="67"/>
  <c r="S402" i="67"/>
  <c r="R402" i="67"/>
  <c r="Q402" i="67"/>
  <c r="P402" i="67"/>
  <c r="O402" i="67"/>
  <c r="N402" i="67"/>
  <c r="M402" i="67"/>
  <c r="L402" i="67"/>
  <c r="K402" i="67"/>
  <c r="J402" i="67"/>
  <c r="I402" i="67"/>
  <c r="H402" i="67"/>
  <c r="G402" i="67"/>
  <c r="F402" i="67"/>
  <c r="E402" i="67"/>
  <c r="D402" i="67"/>
  <c r="C402" i="67"/>
  <c r="B402" i="67"/>
  <c r="AR401" i="67"/>
  <c r="AQ401" i="67"/>
  <c r="AP401" i="67"/>
  <c r="AO401" i="67"/>
  <c r="AN401" i="67"/>
  <c r="AM401" i="67"/>
  <c r="AL401" i="67"/>
  <c r="AK401" i="67"/>
  <c r="AJ401" i="67"/>
  <c r="AI401" i="67"/>
  <c r="AH401" i="67"/>
  <c r="AG401" i="67"/>
  <c r="AF401" i="67"/>
  <c r="AE401" i="67"/>
  <c r="AD401" i="67"/>
  <c r="AC401" i="67"/>
  <c r="AB401" i="67"/>
  <c r="AA401" i="67"/>
  <c r="Z401" i="67"/>
  <c r="Y401" i="67"/>
  <c r="X401" i="67"/>
  <c r="W401" i="67"/>
  <c r="V401" i="67"/>
  <c r="U401" i="67"/>
  <c r="T401" i="67"/>
  <c r="S401" i="67"/>
  <c r="R401" i="67"/>
  <c r="Q401" i="67"/>
  <c r="P401" i="67"/>
  <c r="O401" i="67"/>
  <c r="N401" i="67"/>
  <c r="M401" i="67"/>
  <c r="L401" i="67"/>
  <c r="K401" i="67"/>
  <c r="J401" i="67"/>
  <c r="I401" i="67"/>
  <c r="H401" i="67"/>
  <c r="G401" i="67"/>
  <c r="F401" i="67"/>
  <c r="E401" i="67"/>
  <c r="D401" i="67"/>
  <c r="C401" i="67"/>
  <c r="B401" i="67"/>
  <c r="AR400" i="67"/>
  <c r="AQ400" i="67"/>
  <c r="AP400" i="67"/>
  <c r="AO400" i="67"/>
  <c r="AN400" i="67"/>
  <c r="AM400" i="67"/>
  <c r="AL400" i="67"/>
  <c r="AK400" i="67"/>
  <c r="AJ400" i="67"/>
  <c r="AI400" i="67"/>
  <c r="AH400" i="67"/>
  <c r="AG400" i="67"/>
  <c r="AF400" i="67"/>
  <c r="AE400" i="67"/>
  <c r="AD400" i="67"/>
  <c r="AC400" i="67"/>
  <c r="AB400" i="67"/>
  <c r="AA400" i="67"/>
  <c r="Z400" i="67"/>
  <c r="Y400" i="67"/>
  <c r="X400" i="67"/>
  <c r="W400" i="67"/>
  <c r="V400" i="67"/>
  <c r="U400" i="67"/>
  <c r="T400" i="67"/>
  <c r="S400" i="67"/>
  <c r="R400" i="67"/>
  <c r="Q400" i="67"/>
  <c r="P400" i="67"/>
  <c r="O400" i="67"/>
  <c r="N400" i="67"/>
  <c r="M400" i="67"/>
  <c r="L400" i="67"/>
  <c r="K400" i="67"/>
  <c r="J400" i="67"/>
  <c r="I400" i="67"/>
  <c r="H400" i="67"/>
  <c r="G400" i="67"/>
  <c r="F400" i="67"/>
  <c r="E400" i="67"/>
  <c r="D400" i="67"/>
  <c r="C400" i="67"/>
  <c r="B400" i="67"/>
  <c r="AR399" i="67"/>
  <c r="AQ399" i="67"/>
  <c r="AP399" i="67"/>
  <c r="AO399" i="67"/>
  <c r="AN399" i="67"/>
  <c r="AM399" i="67"/>
  <c r="AL399" i="67"/>
  <c r="AK399" i="67"/>
  <c r="AJ399" i="67"/>
  <c r="AI399" i="67"/>
  <c r="AH399" i="67"/>
  <c r="AG399" i="67"/>
  <c r="AF399" i="67"/>
  <c r="AE399" i="67"/>
  <c r="AD399" i="67"/>
  <c r="AC399" i="67"/>
  <c r="AB399" i="67"/>
  <c r="AA399" i="67"/>
  <c r="Z399" i="67"/>
  <c r="Y399" i="67"/>
  <c r="X399" i="67"/>
  <c r="W399" i="67"/>
  <c r="V399" i="67"/>
  <c r="U399" i="67"/>
  <c r="T399" i="67"/>
  <c r="S399" i="67"/>
  <c r="R399" i="67"/>
  <c r="Q399" i="67"/>
  <c r="P399" i="67"/>
  <c r="O399" i="67"/>
  <c r="N399" i="67"/>
  <c r="M399" i="67"/>
  <c r="L399" i="67"/>
  <c r="K399" i="67"/>
  <c r="J399" i="67"/>
  <c r="I399" i="67"/>
  <c r="H399" i="67"/>
  <c r="G399" i="67"/>
  <c r="F399" i="67"/>
  <c r="E399" i="67"/>
  <c r="D399" i="67"/>
  <c r="C399" i="67"/>
  <c r="B399" i="67"/>
  <c r="AR398" i="67"/>
  <c r="AQ398" i="67"/>
  <c r="AP398" i="67"/>
  <c r="AO398" i="67"/>
  <c r="AN398" i="67"/>
  <c r="AM398" i="67"/>
  <c r="AL398" i="67"/>
  <c r="AK398" i="67"/>
  <c r="AJ398" i="67"/>
  <c r="AI398" i="67"/>
  <c r="AH398" i="67"/>
  <c r="AG398" i="67"/>
  <c r="AF398" i="67"/>
  <c r="AE398" i="67"/>
  <c r="AD398" i="67"/>
  <c r="AC398" i="67"/>
  <c r="AB398" i="67"/>
  <c r="AA398" i="67"/>
  <c r="Z398" i="67"/>
  <c r="Y398" i="67"/>
  <c r="X398" i="67"/>
  <c r="W398" i="67"/>
  <c r="V398" i="67"/>
  <c r="U398" i="67"/>
  <c r="T398" i="67"/>
  <c r="S398" i="67"/>
  <c r="R398" i="67"/>
  <c r="Q398" i="67"/>
  <c r="P398" i="67"/>
  <c r="O398" i="67"/>
  <c r="N398" i="67"/>
  <c r="M398" i="67"/>
  <c r="L398" i="67"/>
  <c r="K398" i="67"/>
  <c r="J398" i="67"/>
  <c r="I398" i="67"/>
  <c r="H398" i="67"/>
  <c r="G398" i="67"/>
  <c r="F398" i="67"/>
  <c r="E398" i="67"/>
  <c r="D398" i="67"/>
  <c r="C398" i="67"/>
  <c r="B398" i="67"/>
  <c r="AR396" i="67"/>
  <c r="AQ396" i="67"/>
  <c r="AP396" i="67"/>
  <c r="AO396" i="67"/>
  <c r="AN396" i="67"/>
  <c r="AM396" i="67"/>
  <c r="AL396" i="67"/>
  <c r="AK396" i="67"/>
  <c r="AJ396" i="67"/>
  <c r="AI396" i="67"/>
  <c r="AH396" i="67"/>
  <c r="AG396" i="67"/>
  <c r="AF396" i="67"/>
  <c r="AE396" i="67"/>
  <c r="AD396" i="67"/>
  <c r="AC396" i="67"/>
  <c r="AB396" i="67"/>
  <c r="AA396" i="67"/>
  <c r="Z396" i="67"/>
  <c r="Y396" i="67"/>
  <c r="X396" i="67"/>
  <c r="W396" i="67"/>
  <c r="V396" i="67"/>
  <c r="U396" i="67"/>
  <c r="T396" i="67"/>
  <c r="S396" i="67"/>
  <c r="R396" i="67"/>
  <c r="Q396" i="67"/>
  <c r="P396" i="67"/>
  <c r="O396" i="67"/>
  <c r="N396" i="67"/>
  <c r="M396" i="67"/>
  <c r="L396" i="67"/>
  <c r="K396" i="67"/>
  <c r="J396" i="67"/>
  <c r="I396" i="67"/>
  <c r="H396" i="67"/>
  <c r="G396" i="67"/>
  <c r="F396" i="67"/>
  <c r="E396" i="67"/>
  <c r="D396" i="67"/>
  <c r="C396" i="67"/>
  <c r="B396" i="67"/>
  <c r="AR395" i="67"/>
  <c r="AQ395" i="67"/>
  <c r="AP395" i="67"/>
  <c r="AO395" i="67"/>
  <c r="AN395" i="67"/>
  <c r="AM395" i="67"/>
  <c r="AL395" i="67"/>
  <c r="AK395" i="67"/>
  <c r="AJ395" i="67"/>
  <c r="AI395" i="67"/>
  <c r="AH395" i="67"/>
  <c r="AG395" i="67"/>
  <c r="AF395" i="67"/>
  <c r="AE395" i="67"/>
  <c r="AD395" i="67"/>
  <c r="AC395" i="67"/>
  <c r="AB395" i="67"/>
  <c r="AA395" i="67"/>
  <c r="Z395" i="67"/>
  <c r="Y395" i="67"/>
  <c r="X395" i="67"/>
  <c r="W395" i="67"/>
  <c r="V395" i="67"/>
  <c r="U395" i="67"/>
  <c r="T395" i="67"/>
  <c r="S395" i="67"/>
  <c r="R395" i="67"/>
  <c r="Q395" i="67"/>
  <c r="P395" i="67"/>
  <c r="O395" i="67"/>
  <c r="N395" i="67"/>
  <c r="M395" i="67"/>
  <c r="L395" i="67"/>
  <c r="K395" i="67"/>
  <c r="J395" i="67"/>
  <c r="I395" i="67"/>
  <c r="H395" i="67"/>
  <c r="G395" i="67"/>
  <c r="F395" i="67"/>
  <c r="E395" i="67"/>
  <c r="D395" i="67"/>
  <c r="C395" i="67"/>
  <c r="B395" i="67"/>
  <c r="AR394" i="67"/>
  <c r="AQ394" i="67"/>
  <c r="AP394" i="67"/>
  <c r="AO394" i="67"/>
  <c r="AN394" i="67"/>
  <c r="AM394" i="67"/>
  <c r="AL394" i="67"/>
  <c r="AK394" i="67"/>
  <c r="AJ394" i="67"/>
  <c r="AI394" i="67"/>
  <c r="AH394" i="67"/>
  <c r="AG394" i="67"/>
  <c r="AF394" i="67"/>
  <c r="AE394" i="67"/>
  <c r="AD394" i="67"/>
  <c r="AC394" i="67"/>
  <c r="AB394" i="67"/>
  <c r="AA394" i="67"/>
  <c r="Z394" i="67"/>
  <c r="Y394" i="67"/>
  <c r="X394" i="67"/>
  <c r="W394" i="67"/>
  <c r="V394" i="67"/>
  <c r="U394" i="67"/>
  <c r="T394" i="67"/>
  <c r="S394" i="67"/>
  <c r="R394" i="67"/>
  <c r="Q394" i="67"/>
  <c r="P394" i="67"/>
  <c r="O394" i="67"/>
  <c r="N394" i="67"/>
  <c r="M394" i="67"/>
  <c r="L394" i="67"/>
  <c r="K394" i="67"/>
  <c r="J394" i="67"/>
  <c r="I394" i="67"/>
  <c r="H394" i="67"/>
  <c r="G394" i="67"/>
  <c r="F394" i="67"/>
  <c r="E394" i="67"/>
  <c r="D394" i="67"/>
  <c r="C394" i="67"/>
  <c r="B394" i="67"/>
  <c r="AR393" i="67"/>
  <c r="AQ393" i="67"/>
  <c r="AP393" i="67"/>
  <c r="AO393" i="67"/>
  <c r="AN393" i="67"/>
  <c r="AM393" i="67"/>
  <c r="AL393" i="67"/>
  <c r="AK393" i="67"/>
  <c r="AJ393" i="67"/>
  <c r="AI393" i="67"/>
  <c r="AH393" i="67"/>
  <c r="AG393" i="67"/>
  <c r="AF393" i="67"/>
  <c r="AE393" i="67"/>
  <c r="AD393" i="67"/>
  <c r="AC393" i="67"/>
  <c r="AB393" i="67"/>
  <c r="AA393" i="67"/>
  <c r="Z393" i="67"/>
  <c r="Y393" i="67"/>
  <c r="X393" i="67"/>
  <c r="W393" i="67"/>
  <c r="V393" i="67"/>
  <c r="U393" i="67"/>
  <c r="T393" i="67"/>
  <c r="S393" i="67"/>
  <c r="R393" i="67"/>
  <c r="Q393" i="67"/>
  <c r="P393" i="67"/>
  <c r="O393" i="67"/>
  <c r="N393" i="67"/>
  <c r="M393" i="67"/>
  <c r="L393" i="67"/>
  <c r="K393" i="67"/>
  <c r="J393" i="67"/>
  <c r="I393" i="67"/>
  <c r="H393" i="67"/>
  <c r="G393" i="67"/>
  <c r="F393" i="67"/>
  <c r="E393" i="67"/>
  <c r="D393" i="67"/>
  <c r="C393" i="67"/>
  <c r="B393" i="67"/>
  <c r="AR392" i="67"/>
  <c r="AQ392" i="67"/>
  <c r="AP392" i="67"/>
  <c r="AO392" i="67"/>
  <c r="AN392" i="67"/>
  <c r="AM392" i="67"/>
  <c r="AL392" i="67"/>
  <c r="AK392" i="67"/>
  <c r="AJ392" i="67"/>
  <c r="AI392" i="67"/>
  <c r="AH392" i="67"/>
  <c r="AG392" i="67"/>
  <c r="AF392" i="67"/>
  <c r="AE392" i="67"/>
  <c r="AD392" i="67"/>
  <c r="AC392" i="67"/>
  <c r="AB392" i="67"/>
  <c r="AA392" i="67"/>
  <c r="Z392" i="67"/>
  <c r="Y392" i="67"/>
  <c r="X392" i="67"/>
  <c r="W392" i="67"/>
  <c r="V392" i="67"/>
  <c r="U392" i="67"/>
  <c r="T392" i="67"/>
  <c r="S392" i="67"/>
  <c r="R392" i="67"/>
  <c r="Q392" i="67"/>
  <c r="P392" i="67"/>
  <c r="O392" i="67"/>
  <c r="N392" i="67"/>
  <c r="M392" i="67"/>
  <c r="L392" i="67"/>
  <c r="K392" i="67"/>
  <c r="J392" i="67"/>
  <c r="I392" i="67"/>
  <c r="H392" i="67"/>
  <c r="G392" i="67"/>
  <c r="F392" i="67"/>
  <c r="E392" i="67"/>
  <c r="D392" i="67"/>
  <c r="C392" i="67"/>
  <c r="B392" i="67"/>
  <c r="AR391" i="67"/>
  <c r="AQ391" i="67"/>
  <c r="AP391" i="67"/>
  <c r="AO391" i="67"/>
  <c r="AN391" i="67"/>
  <c r="AM391" i="67"/>
  <c r="AL391" i="67"/>
  <c r="AK391" i="67"/>
  <c r="AJ391" i="67"/>
  <c r="AI391" i="67"/>
  <c r="AH391" i="67"/>
  <c r="AG391" i="67"/>
  <c r="AF391" i="67"/>
  <c r="AE391" i="67"/>
  <c r="AD391" i="67"/>
  <c r="AC391" i="67"/>
  <c r="AB391" i="67"/>
  <c r="AA391" i="67"/>
  <c r="Z391" i="67"/>
  <c r="Y391" i="67"/>
  <c r="X391" i="67"/>
  <c r="W391" i="67"/>
  <c r="V391" i="67"/>
  <c r="U391" i="67"/>
  <c r="T391" i="67"/>
  <c r="S391" i="67"/>
  <c r="R391" i="67"/>
  <c r="Q391" i="67"/>
  <c r="P391" i="67"/>
  <c r="O391" i="67"/>
  <c r="N391" i="67"/>
  <c r="M391" i="67"/>
  <c r="L391" i="67"/>
  <c r="K391" i="67"/>
  <c r="J391" i="67"/>
  <c r="I391" i="67"/>
  <c r="H391" i="67"/>
  <c r="G391" i="67"/>
  <c r="F391" i="67"/>
  <c r="E391" i="67"/>
  <c r="D391" i="67"/>
  <c r="C391" i="67"/>
  <c r="B391" i="67"/>
  <c r="BY390" i="67"/>
  <c r="BU390" i="67"/>
  <c r="BQ390" i="67"/>
  <c r="BM390" i="67"/>
  <c r="BI390" i="67"/>
  <c r="BE390" i="67"/>
  <c r="BA390" i="67"/>
  <c r="AW390" i="67"/>
  <c r="AU390" i="67"/>
  <c r="AT390" i="67"/>
  <c r="AS390" i="67"/>
  <c r="AR390" i="67"/>
  <c r="AQ390" i="67"/>
  <c r="AP390" i="67"/>
  <c r="AO390" i="67"/>
  <c r="AN390" i="67"/>
  <c r="AM390" i="67"/>
  <c r="AL390" i="67"/>
  <c r="AK390" i="67"/>
  <c r="AJ390" i="67"/>
  <c r="AI390" i="67"/>
  <c r="AH390" i="67"/>
  <c r="AG390" i="67"/>
  <c r="AF390" i="67"/>
  <c r="AE390" i="67"/>
  <c r="AD390" i="67"/>
  <c r="AC390" i="67"/>
  <c r="AB390" i="67"/>
  <c r="AA390" i="67"/>
  <c r="Z390" i="67"/>
  <c r="Y390" i="67"/>
  <c r="X390" i="67"/>
  <c r="W390" i="67"/>
  <c r="V390" i="67"/>
  <c r="U390" i="67"/>
  <c r="T390" i="67"/>
  <c r="S390" i="67"/>
  <c r="R390" i="67"/>
  <c r="Q390" i="67"/>
  <c r="P390" i="67"/>
  <c r="O390" i="67"/>
  <c r="N390" i="67"/>
  <c r="M390" i="67"/>
  <c r="L390" i="67"/>
  <c r="K390" i="67"/>
  <c r="J390" i="67"/>
  <c r="I390" i="67"/>
  <c r="H390" i="67"/>
  <c r="G390" i="67"/>
  <c r="F390" i="67"/>
  <c r="E390" i="67"/>
  <c r="D390" i="67"/>
  <c r="C390" i="67"/>
  <c r="B390" i="67"/>
  <c r="AT389" i="67"/>
  <c r="AS389" i="67"/>
  <c r="AR389" i="67"/>
  <c r="AQ389" i="67"/>
  <c r="AP389" i="67"/>
  <c r="AO389" i="67"/>
  <c r="AN389" i="67"/>
  <c r="AM389" i="67"/>
  <c r="AL389" i="67"/>
  <c r="AK389" i="67"/>
  <c r="AJ389" i="67"/>
  <c r="AI389" i="67"/>
  <c r="AH389" i="67"/>
  <c r="AG389" i="67"/>
  <c r="AF389" i="67"/>
  <c r="AE389" i="67"/>
  <c r="AD389" i="67"/>
  <c r="AC389" i="67"/>
  <c r="AB389" i="67"/>
  <c r="AA389" i="67"/>
  <c r="Z389" i="67"/>
  <c r="Y389" i="67"/>
  <c r="X389" i="67"/>
  <c r="W389" i="67"/>
  <c r="V389" i="67"/>
  <c r="U389" i="67"/>
  <c r="T389" i="67"/>
  <c r="S389" i="67"/>
  <c r="R389" i="67"/>
  <c r="Q389" i="67"/>
  <c r="P389" i="67"/>
  <c r="O389" i="67"/>
  <c r="N389" i="67"/>
  <c r="M389" i="67"/>
  <c r="L389" i="67"/>
  <c r="K389" i="67"/>
  <c r="J389" i="67"/>
  <c r="I389" i="67"/>
  <c r="H389" i="67"/>
  <c r="G389" i="67"/>
  <c r="F389" i="67"/>
  <c r="E389" i="67"/>
  <c r="D389" i="67"/>
  <c r="C389" i="67"/>
  <c r="B389" i="67"/>
  <c r="AR388" i="67"/>
  <c r="AQ388" i="67"/>
  <c r="AP388" i="67"/>
  <c r="AO388" i="67"/>
  <c r="AN388" i="67"/>
  <c r="AM388" i="67"/>
  <c r="AL388" i="67"/>
  <c r="AK388" i="67"/>
  <c r="AJ388" i="67"/>
  <c r="AI388" i="67"/>
  <c r="AH388" i="67"/>
  <c r="AG388" i="67"/>
  <c r="AF388" i="67"/>
  <c r="AE388" i="67"/>
  <c r="AD388" i="67"/>
  <c r="AC388" i="67"/>
  <c r="AB388" i="67"/>
  <c r="AA388" i="67"/>
  <c r="Z388" i="67"/>
  <c r="Y388" i="67"/>
  <c r="X388" i="67"/>
  <c r="W388" i="67"/>
  <c r="V388" i="67"/>
  <c r="U388" i="67"/>
  <c r="T388" i="67"/>
  <c r="S388" i="67"/>
  <c r="R388" i="67"/>
  <c r="Q388" i="67"/>
  <c r="P388" i="67"/>
  <c r="O388" i="67"/>
  <c r="N388" i="67"/>
  <c r="M388" i="67"/>
  <c r="L388" i="67"/>
  <c r="K388" i="67"/>
  <c r="J388" i="67"/>
  <c r="I388" i="67"/>
  <c r="H388" i="67"/>
  <c r="G388" i="67"/>
  <c r="F388" i="67"/>
  <c r="E388" i="67"/>
  <c r="D388" i="67"/>
  <c r="C388" i="67"/>
  <c r="B388" i="67"/>
  <c r="B382" i="67"/>
  <c r="B383" i="67" s="1"/>
  <c r="B384" i="67" s="1"/>
  <c r="AR377" i="67"/>
  <c r="AQ377" i="67"/>
  <c r="AP377" i="67"/>
  <c r="AO377" i="67"/>
  <c r="AN377" i="67"/>
  <c r="AM377" i="67"/>
  <c r="AL377" i="67"/>
  <c r="AK377" i="67"/>
  <c r="AJ377" i="67"/>
  <c r="AI377" i="67"/>
  <c r="AH377" i="67"/>
  <c r="AG377" i="67"/>
  <c r="AF377" i="67"/>
  <c r="AE377" i="67"/>
  <c r="AD377" i="67"/>
  <c r="AC377" i="67"/>
  <c r="AB377" i="67"/>
  <c r="AA377" i="67"/>
  <c r="Z377" i="67"/>
  <c r="Y377" i="67"/>
  <c r="X377" i="67"/>
  <c r="W377" i="67"/>
  <c r="V377" i="67"/>
  <c r="U377" i="67"/>
  <c r="T377" i="67"/>
  <c r="S377" i="67"/>
  <c r="R377" i="67"/>
  <c r="Q377" i="67"/>
  <c r="P377" i="67"/>
  <c r="O377" i="67"/>
  <c r="N377" i="67"/>
  <c r="M377" i="67"/>
  <c r="L377" i="67"/>
  <c r="K377" i="67"/>
  <c r="J377" i="67"/>
  <c r="I377" i="67"/>
  <c r="H377" i="67"/>
  <c r="G377" i="67"/>
  <c r="F377" i="67"/>
  <c r="E377" i="67"/>
  <c r="D377" i="67"/>
  <c r="C377" i="67"/>
  <c r="B377" i="67"/>
  <c r="P375" i="67"/>
  <c r="O375" i="67"/>
  <c r="N375" i="67"/>
  <c r="M375" i="67"/>
  <c r="L375" i="67"/>
  <c r="K375" i="67"/>
  <c r="J375" i="67"/>
  <c r="I375" i="67"/>
  <c r="G375" i="67"/>
  <c r="F375" i="67"/>
  <c r="E375" i="67"/>
  <c r="D375" i="67"/>
  <c r="C375" i="67"/>
  <c r="P374" i="67"/>
  <c r="O374" i="67"/>
  <c r="M374" i="67"/>
  <c r="L374" i="67"/>
  <c r="K374" i="67"/>
  <c r="J374" i="67"/>
  <c r="I374" i="67"/>
  <c r="G374" i="67"/>
  <c r="F374" i="67"/>
  <c r="E374" i="67"/>
  <c r="D374" i="67"/>
  <c r="C374" i="67"/>
  <c r="P373" i="67"/>
  <c r="O373" i="67"/>
  <c r="N373" i="67"/>
  <c r="M373" i="67"/>
  <c r="L373" i="67"/>
  <c r="K373" i="67"/>
  <c r="J373" i="67"/>
  <c r="I373" i="67"/>
  <c r="H373" i="67"/>
  <c r="G373" i="67"/>
  <c r="F373" i="67"/>
  <c r="E373" i="67"/>
  <c r="D373" i="67"/>
  <c r="C373" i="67"/>
  <c r="B373" i="67"/>
  <c r="B368" i="67"/>
  <c r="B366" i="67"/>
  <c r="B364" i="67"/>
  <c r="B363" i="67"/>
  <c r="B362" i="67"/>
  <c r="B361" i="67"/>
  <c r="B360" i="67"/>
  <c r="B359" i="67"/>
  <c r="AR375" i="67"/>
  <c r="AQ375" i="67"/>
  <c r="AP375" i="67"/>
  <c r="AO375" i="67"/>
  <c r="AM375" i="67"/>
  <c r="AK375" i="67"/>
  <c r="AJ375" i="67"/>
  <c r="AH375" i="67"/>
  <c r="AF375" i="67"/>
  <c r="AE375" i="67"/>
  <c r="AD375" i="67"/>
  <c r="AC375" i="67"/>
  <c r="AB375" i="67"/>
  <c r="AA375" i="67"/>
  <c r="Z375" i="67"/>
  <c r="Y375" i="67"/>
  <c r="W375" i="67"/>
  <c r="V375" i="67"/>
  <c r="U375" i="67"/>
  <c r="T375" i="67"/>
  <c r="S375" i="67"/>
  <c r="R375" i="67"/>
  <c r="Q375" i="67"/>
  <c r="AR374" i="67"/>
  <c r="AQ374" i="67"/>
  <c r="AP374" i="67"/>
  <c r="AO374" i="67"/>
  <c r="AM374" i="67"/>
  <c r="AL374" i="67"/>
  <c r="AK374" i="67"/>
  <c r="AJ374" i="67"/>
  <c r="AH374" i="67"/>
  <c r="AG374" i="67"/>
  <c r="AE374" i="67"/>
  <c r="AD374" i="67"/>
  <c r="AC374" i="67"/>
  <c r="Y374" i="67"/>
  <c r="W374" i="67"/>
  <c r="V374" i="67"/>
  <c r="U374" i="67"/>
  <c r="T374" i="67"/>
  <c r="R374" i="67"/>
  <c r="Q374" i="67"/>
  <c r="AR373" i="67"/>
  <c r="AQ373" i="67"/>
  <c r="AP373" i="67"/>
  <c r="AO373" i="67"/>
  <c r="AN373" i="67"/>
  <c r="AM373" i="67"/>
  <c r="AL373" i="67"/>
  <c r="AK373" i="67"/>
  <c r="AJ373" i="67"/>
  <c r="AI373" i="67"/>
  <c r="AH373" i="67"/>
  <c r="AG373" i="67"/>
  <c r="AF373" i="67"/>
  <c r="AE373" i="67"/>
  <c r="AD373" i="67"/>
  <c r="AC373" i="67"/>
  <c r="AB373" i="67"/>
  <c r="AA373" i="67"/>
  <c r="Z373" i="67"/>
  <c r="Y373" i="67"/>
  <c r="X373" i="67"/>
  <c r="W373" i="67"/>
  <c r="V373" i="67"/>
  <c r="U373" i="67"/>
  <c r="T373" i="67"/>
  <c r="S373" i="67"/>
  <c r="R373" i="67"/>
  <c r="Q373" i="67"/>
  <c r="AR370" i="67"/>
  <c r="AQ370" i="67"/>
  <c r="AP370" i="67"/>
  <c r="AO370" i="67"/>
  <c r="AN370" i="67"/>
  <c r="AM370" i="67"/>
  <c r="AL370" i="67"/>
  <c r="AK370" i="67"/>
  <c r="AJ370" i="67"/>
  <c r="AI370" i="67"/>
  <c r="AH370" i="67"/>
  <c r="AG370" i="67"/>
  <c r="AF370" i="67"/>
  <c r="AE370" i="67"/>
  <c r="AD370" i="67"/>
  <c r="AC370" i="67"/>
  <c r="AB370" i="67"/>
  <c r="AA370" i="67"/>
  <c r="Z370" i="67"/>
  <c r="Y370" i="67"/>
  <c r="X370" i="67"/>
  <c r="W370" i="67"/>
  <c r="V370" i="67"/>
  <c r="U370" i="67"/>
  <c r="T370" i="67"/>
  <c r="S370" i="67"/>
  <c r="R370" i="67"/>
  <c r="Q370" i="67"/>
  <c r="AR369" i="67"/>
  <c r="AQ369" i="67"/>
  <c r="AP369" i="67"/>
  <c r="AO369" i="67"/>
  <c r="AN369" i="67"/>
  <c r="AM369" i="67"/>
  <c r="AL369" i="67"/>
  <c r="AK369" i="67"/>
  <c r="AJ369" i="67"/>
  <c r="AI369" i="67"/>
  <c r="AH369" i="67"/>
  <c r="AG369" i="67"/>
  <c r="AF369" i="67"/>
  <c r="AE369" i="67"/>
  <c r="AD369" i="67"/>
  <c r="AC369" i="67"/>
  <c r="AB369" i="67"/>
  <c r="AA369" i="67"/>
  <c r="Z369" i="67"/>
  <c r="Y369" i="67"/>
  <c r="X369" i="67"/>
  <c r="W369" i="67"/>
  <c r="V369" i="67"/>
  <c r="U369" i="67"/>
  <c r="T369" i="67"/>
  <c r="S369" i="67"/>
  <c r="R369" i="67"/>
  <c r="Q369" i="67"/>
  <c r="R368" i="67"/>
  <c r="R366" i="67"/>
  <c r="P370" i="67"/>
  <c r="O370" i="67"/>
  <c r="N370" i="67"/>
  <c r="M370" i="67"/>
  <c r="L370" i="67"/>
  <c r="K370" i="67"/>
  <c r="J370" i="67"/>
  <c r="P369" i="67"/>
  <c r="O369" i="67"/>
  <c r="N369" i="67"/>
  <c r="M369" i="67"/>
  <c r="L369" i="67"/>
  <c r="K369" i="67"/>
  <c r="J369" i="67"/>
  <c r="O368" i="67"/>
  <c r="O366" i="67"/>
  <c r="AR364" i="67"/>
  <c r="AJ364" i="67"/>
  <c r="AC364" i="67"/>
  <c r="R364" i="67"/>
  <c r="P364" i="67"/>
  <c r="O364" i="67"/>
  <c r="M364" i="67"/>
  <c r="K364" i="67"/>
  <c r="G364" i="67"/>
  <c r="E364" i="67"/>
  <c r="D364" i="67"/>
  <c r="AR363" i="67"/>
  <c r="AQ363" i="67"/>
  <c r="AP363" i="67"/>
  <c r="AM363" i="67"/>
  <c r="AK363" i="67"/>
  <c r="AJ363" i="67"/>
  <c r="AH363" i="67"/>
  <c r="AG363" i="67"/>
  <c r="AE363" i="67"/>
  <c r="AD363" i="67"/>
  <c r="AC363" i="67"/>
  <c r="AA363" i="67"/>
  <c r="Y363" i="67"/>
  <c r="X363" i="67"/>
  <c r="W363" i="67"/>
  <c r="V363" i="67"/>
  <c r="U363" i="67"/>
  <c r="T363" i="67"/>
  <c r="S363" i="67"/>
  <c r="R363" i="67"/>
  <c r="Q363" i="67"/>
  <c r="P363" i="67"/>
  <c r="O363" i="67"/>
  <c r="M363" i="67"/>
  <c r="L363" i="67"/>
  <c r="K363" i="67"/>
  <c r="J363" i="67"/>
  <c r="I363" i="67"/>
  <c r="H363" i="67"/>
  <c r="G363" i="67"/>
  <c r="F363" i="67"/>
  <c r="E363" i="67"/>
  <c r="D363" i="67"/>
  <c r="C363" i="67"/>
  <c r="AR362" i="67"/>
  <c r="AQ362" i="67"/>
  <c r="AP362" i="67"/>
  <c r="AO362" i="67"/>
  <c r="AN362" i="67"/>
  <c r="AM362" i="67"/>
  <c r="AL362" i="67"/>
  <c r="AK362" i="67"/>
  <c r="AJ362" i="67"/>
  <c r="AI362" i="67"/>
  <c r="AH362" i="67"/>
  <c r="AG362" i="67"/>
  <c r="AF362" i="67"/>
  <c r="AE362" i="67"/>
  <c r="AD362" i="67"/>
  <c r="AC362" i="67"/>
  <c r="AB362" i="67"/>
  <c r="AA362" i="67"/>
  <c r="Z362" i="67"/>
  <c r="Y362" i="67"/>
  <c r="X362" i="67"/>
  <c r="W362" i="67"/>
  <c r="V362" i="67"/>
  <c r="U362" i="67"/>
  <c r="T362" i="67"/>
  <c r="S362" i="67"/>
  <c r="R362" i="67"/>
  <c r="Q362" i="67"/>
  <c r="P362" i="67"/>
  <c r="O362" i="67"/>
  <c r="N362" i="67"/>
  <c r="M362" i="67"/>
  <c r="L362" i="67"/>
  <c r="K362" i="67"/>
  <c r="J362" i="67"/>
  <c r="I362" i="67"/>
  <c r="H362" i="67"/>
  <c r="G362" i="67"/>
  <c r="F362" i="67"/>
  <c r="E362" i="67"/>
  <c r="D362" i="67"/>
  <c r="C362" i="67"/>
  <c r="AR361" i="67"/>
  <c r="AQ361" i="67"/>
  <c r="AP361" i="67"/>
  <c r="AO361" i="67"/>
  <c r="AN361" i="67"/>
  <c r="AM361" i="67"/>
  <c r="AL361" i="67"/>
  <c r="AK361" i="67"/>
  <c r="AJ361" i="67"/>
  <c r="AI361" i="67"/>
  <c r="AH361" i="67"/>
  <c r="AG361" i="67"/>
  <c r="AF361" i="67"/>
  <c r="AE361" i="67"/>
  <c r="AD361" i="67"/>
  <c r="AC361" i="67"/>
  <c r="AB361" i="67"/>
  <c r="AA361" i="67"/>
  <c r="Z361" i="67"/>
  <c r="Y361" i="67"/>
  <c r="X361" i="67"/>
  <c r="W361" i="67"/>
  <c r="V361" i="67"/>
  <c r="U361" i="67"/>
  <c r="T361" i="67"/>
  <c r="S361" i="67"/>
  <c r="R361" i="67"/>
  <c r="Q361" i="67"/>
  <c r="P361" i="67"/>
  <c r="O361" i="67"/>
  <c r="N361" i="67"/>
  <c r="M361" i="67"/>
  <c r="L361" i="67"/>
  <c r="K361" i="67"/>
  <c r="J361" i="67"/>
  <c r="I361" i="67"/>
  <c r="H361" i="67"/>
  <c r="G361" i="67"/>
  <c r="F361" i="67"/>
  <c r="E361" i="67"/>
  <c r="D361" i="67"/>
  <c r="C361" i="67"/>
  <c r="AR360" i="67"/>
  <c r="AQ360" i="67"/>
  <c r="AP360" i="67"/>
  <c r="AO360" i="67"/>
  <c r="AN360" i="67"/>
  <c r="AM360" i="67"/>
  <c r="AL360" i="67"/>
  <c r="AK360" i="67"/>
  <c r="AJ360" i="67"/>
  <c r="AI360" i="67"/>
  <c r="AH360" i="67"/>
  <c r="AG360" i="67"/>
  <c r="AF360" i="67"/>
  <c r="AE360" i="67"/>
  <c r="AD360" i="67"/>
  <c r="AC360" i="67"/>
  <c r="AB360" i="67"/>
  <c r="AA360" i="67"/>
  <c r="Z360" i="67"/>
  <c r="Y360" i="67"/>
  <c r="X360" i="67"/>
  <c r="W360" i="67"/>
  <c r="V360" i="67"/>
  <c r="U360" i="67"/>
  <c r="T360" i="67"/>
  <c r="S360" i="67"/>
  <c r="R360" i="67"/>
  <c r="Q360" i="67"/>
  <c r="P360" i="67"/>
  <c r="O360" i="67"/>
  <c r="N360" i="67"/>
  <c r="M360" i="67"/>
  <c r="L360" i="67"/>
  <c r="K360" i="67"/>
  <c r="J360" i="67"/>
  <c r="I360" i="67"/>
  <c r="H360" i="67"/>
  <c r="G360" i="67"/>
  <c r="F360" i="67"/>
  <c r="E360" i="67"/>
  <c r="D360" i="67"/>
  <c r="C360" i="67"/>
  <c r="AR359" i="67"/>
  <c r="AQ359" i="67"/>
  <c r="AP359" i="67"/>
  <c r="AO359" i="67"/>
  <c r="AN359" i="67"/>
  <c r="AM359" i="67"/>
  <c r="AL359" i="67"/>
  <c r="AK359" i="67"/>
  <c r="AJ359" i="67"/>
  <c r="AI359" i="67"/>
  <c r="AH359" i="67"/>
  <c r="AG359" i="67"/>
  <c r="AF359" i="67"/>
  <c r="AE359" i="67"/>
  <c r="AD359" i="67"/>
  <c r="AC359" i="67"/>
  <c r="AB359" i="67"/>
  <c r="AA359" i="67"/>
  <c r="Z359" i="67"/>
  <c r="Y359" i="67"/>
  <c r="X359" i="67"/>
  <c r="W359" i="67"/>
  <c r="V359" i="67"/>
  <c r="U359" i="67"/>
  <c r="T359" i="67"/>
  <c r="S359" i="67"/>
  <c r="R359" i="67"/>
  <c r="Q359" i="67"/>
  <c r="P359" i="67"/>
  <c r="O359" i="67"/>
  <c r="N359" i="67"/>
  <c r="M359" i="67"/>
  <c r="L359" i="67"/>
  <c r="K359" i="67"/>
  <c r="J359" i="67"/>
  <c r="I359" i="67"/>
  <c r="H359" i="67"/>
  <c r="G359" i="67"/>
  <c r="F359" i="67"/>
  <c r="E359" i="67"/>
  <c r="D359" i="67"/>
  <c r="C359" i="67"/>
  <c r="AR357" i="67"/>
  <c r="AQ357" i="67"/>
  <c r="AP357" i="67"/>
  <c r="AO357" i="67"/>
  <c r="AN357" i="67"/>
  <c r="AM357" i="67"/>
  <c r="AL357" i="67"/>
  <c r="AK357" i="67"/>
  <c r="AJ357" i="67"/>
  <c r="AI357" i="67"/>
  <c r="AH357" i="67"/>
  <c r="AG357" i="67"/>
  <c r="AF357" i="67"/>
  <c r="AE357" i="67"/>
  <c r="AD357" i="67"/>
  <c r="AC357" i="67"/>
  <c r="AB357" i="67"/>
  <c r="AA357" i="67"/>
  <c r="Z357" i="67"/>
  <c r="Y357" i="67"/>
  <c r="X357" i="67"/>
  <c r="W357" i="67"/>
  <c r="V357" i="67"/>
  <c r="U357" i="67"/>
  <c r="T357" i="67"/>
  <c r="S357" i="67"/>
  <c r="R357" i="67"/>
  <c r="Q357" i="67"/>
  <c r="P357" i="67"/>
  <c r="O357" i="67"/>
  <c r="N357" i="67"/>
  <c r="M357" i="67"/>
  <c r="L357" i="67"/>
  <c r="K357" i="67"/>
  <c r="J357" i="67"/>
  <c r="I357" i="67"/>
  <c r="H357" i="67"/>
  <c r="G357" i="67"/>
  <c r="F357" i="67"/>
  <c r="AR356" i="67"/>
  <c r="AQ356" i="67"/>
  <c r="AP356" i="67"/>
  <c r="AO356" i="67"/>
  <c r="AN356" i="67"/>
  <c r="AM356" i="67"/>
  <c r="AL356" i="67"/>
  <c r="AK356" i="67"/>
  <c r="AJ356" i="67"/>
  <c r="AI356" i="67"/>
  <c r="AH356" i="67"/>
  <c r="AG356" i="67"/>
  <c r="AF356" i="67"/>
  <c r="AE356" i="67"/>
  <c r="AD356" i="67"/>
  <c r="AC356" i="67"/>
  <c r="AB356" i="67"/>
  <c r="AA356" i="67"/>
  <c r="Z356" i="67"/>
  <c r="Y356" i="67"/>
  <c r="X356" i="67"/>
  <c r="AB358" i="67" s="1"/>
  <c r="W356" i="67"/>
  <c r="V356" i="67"/>
  <c r="U356" i="67"/>
  <c r="T356" i="67"/>
  <c r="S356" i="67"/>
  <c r="R356" i="67"/>
  <c r="Q356" i="67"/>
  <c r="P356" i="67"/>
  <c r="O356" i="67"/>
  <c r="N356" i="67"/>
  <c r="M356" i="67"/>
  <c r="L356" i="67"/>
  <c r="K356" i="67"/>
  <c r="J356" i="67"/>
  <c r="N358" i="67" s="1"/>
  <c r="I356" i="67"/>
  <c r="H356" i="67"/>
  <c r="G356" i="67"/>
  <c r="F356" i="67"/>
  <c r="E357" i="67"/>
  <c r="D357" i="67"/>
  <c r="C357" i="67"/>
  <c r="B357" i="67"/>
  <c r="E356" i="67"/>
  <c r="D356" i="67"/>
  <c r="C356" i="67"/>
  <c r="B356" i="67"/>
  <c r="A350" i="67"/>
  <c r="A349" i="67"/>
  <c r="A348" i="67"/>
  <c r="A347" i="67"/>
  <c r="O342" i="67"/>
  <c r="O339" i="67"/>
  <c r="O340" i="67" s="1"/>
  <c r="N339" i="67"/>
  <c r="N340" i="67" s="1"/>
  <c r="O336" i="67"/>
  <c r="N336" i="67"/>
  <c r="M336" i="67"/>
  <c r="L336" i="67"/>
  <c r="K336" i="67"/>
  <c r="J336" i="67"/>
  <c r="I336" i="67"/>
  <c r="H336" i="67"/>
  <c r="G336" i="67"/>
  <c r="F336" i="67"/>
  <c r="E336" i="67"/>
  <c r="D336" i="67"/>
  <c r="C336" i="67"/>
  <c r="B336" i="67"/>
  <c r="A336" i="67"/>
  <c r="C335" i="67"/>
  <c r="B335" i="67"/>
  <c r="A335" i="67"/>
  <c r="J334" i="67"/>
  <c r="I334" i="67"/>
  <c r="H334" i="67"/>
  <c r="G334" i="67"/>
  <c r="F334" i="67"/>
  <c r="E334" i="67"/>
  <c r="D334" i="67"/>
  <c r="C334" i="67"/>
  <c r="B334" i="67"/>
  <c r="A334" i="67"/>
  <c r="W335" i="67"/>
  <c r="V335" i="67"/>
  <c r="U335" i="67"/>
  <c r="T335" i="67"/>
  <c r="S335" i="67"/>
  <c r="R335" i="67"/>
  <c r="Q335" i="67"/>
  <c r="P335" i="67"/>
  <c r="O335" i="67"/>
  <c r="N335" i="67"/>
  <c r="M335" i="67"/>
  <c r="L335" i="67"/>
  <c r="K335" i="67"/>
  <c r="N334" i="67"/>
  <c r="M334" i="67"/>
  <c r="L334" i="67"/>
  <c r="K334" i="67"/>
  <c r="W333" i="67"/>
  <c r="V333" i="67"/>
  <c r="U333" i="67"/>
  <c r="T333" i="67"/>
  <c r="S333" i="67"/>
  <c r="R333" i="67"/>
  <c r="Q333" i="67"/>
  <c r="P333" i="67"/>
  <c r="O333" i="67"/>
  <c r="N333" i="67"/>
  <c r="M333" i="67"/>
  <c r="L333" i="67"/>
  <c r="K333" i="67"/>
  <c r="J333" i="67"/>
  <c r="I333" i="67"/>
  <c r="H333" i="67"/>
  <c r="G333" i="67"/>
  <c r="F333" i="67"/>
  <c r="E333" i="67"/>
  <c r="D333" i="67"/>
  <c r="C331" i="67"/>
  <c r="B331" i="67"/>
  <c r="C330" i="67"/>
  <c r="B330" i="67"/>
  <c r="C329" i="67"/>
  <c r="B329" i="67"/>
  <c r="C328" i="67"/>
  <c r="B328" i="67"/>
  <c r="C327" i="67"/>
  <c r="B327" i="67"/>
  <c r="C326" i="67"/>
  <c r="B326" i="67"/>
  <c r="C325" i="67"/>
  <c r="B325" i="67"/>
  <c r="C324" i="67"/>
  <c r="B324" i="67"/>
  <c r="B323" i="67"/>
  <c r="W322" i="67"/>
  <c r="V322" i="67"/>
  <c r="U322" i="67"/>
  <c r="T322" i="67"/>
  <c r="S322" i="67"/>
  <c r="R322" i="67"/>
  <c r="Q322" i="67"/>
  <c r="P322" i="67"/>
  <c r="O322" i="67"/>
  <c r="N322" i="67"/>
  <c r="M322" i="67"/>
  <c r="L322" i="67"/>
  <c r="K322" i="67"/>
  <c r="J322" i="67"/>
  <c r="I322" i="67"/>
  <c r="H322" i="67"/>
  <c r="G322" i="67"/>
  <c r="F322" i="67"/>
  <c r="E322" i="67"/>
  <c r="D322" i="67"/>
  <c r="C322" i="67"/>
  <c r="B322" i="67"/>
  <c r="M320" i="67"/>
  <c r="M317" i="67"/>
  <c r="L317" i="67"/>
  <c r="K317" i="67"/>
  <c r="J317" i="67"/>
  <c r="I317" i="67"/>
  <c r="H317" i="67"/>
  <c r="G317" i="67"/>
  <c r="F317" i="67"/>
  <c r="E317" i="67"/>
  <c r="D317" i="67"/>
  <c r="C317" i="67"/>
  <c r="B317" i="67"/>
  <c r="B315" i="67"/>
  <c r="B314" i="67"/>
  <c r="M310" i="67"/>
  <c r="L310" i="67"/>
  <c r="K310" i="67"/>
  <c r="J310" i="67"/>
  <c r="I310" i="67"/>
  <c r="H310" i="67"/>
  <c r="G310" i="67"/>
  <c r="F310" i="67"/>
  <c r="E310" i="67"/>
  <c r="D310" i="67"/>
  <c r="C310" i="67"/>
  <c r="B310" i="67"/>
  <c r="C300" i="67"/>
  <c r="C299" i="67"/>
  <c r="C298" i="67"/>
  <c r="C297" i="67"/>
  <c r="B300" i="67"/>
  <c r="B299" i="67"/>
  <c r="B298" i="67"/>
  <c r="B297" i="67"/>
  <c r="L306" i="67"/>
  <c r="G301" i="67"/>
  <c r="N298" i="67"/>
  <c r="M298" i="67"/>
  <c r="L298" i="67"/>
  <c r="K298" i="67"/>
  <c r="J298" i="67"/>
  <c r="I298" i="67"/>
  <c r="H298" i="67"/>
  <c r="G298" i="67"/>
  <c r="F298" i="67"/>
  <c r="E298" i="67"/>
  <c r="D298" i="67"/>
  <c r="P297" i="67"/>
  <c r="N297" i="67"/>
  <c r="M297" i="67"/>
  <c r="L297" i="67"/>
  <c r="K297" i="67"/>
  <c r="J297" i="67"/>
  <c r="I297" i="67"/>
  <c r="H297" i="67"/>
  <c r="G297" i="67"/>
  <c r="F297" i="67"/>
  <c r="E297" i="67"/>
  <c r="D297" i="67"/>
  <c r="A294" i="67"/>
  <c r="A293" i="67"/>
  <c r="J295" i="67"/>
  <c r="I295" i="67"/>
  <c r="H295" i="67"/>
  <c r="G295" i="67"/>
  <c r="F295" i="67"/>
  <c r="E295" i="67"/>
  <c r="D295" i="67"/>
  <c r="C295" i="67"/>
  <c r="B295" i="67"/>
  <c r="O294" i="67"/>
  <c r="N294" i="67"/>
  <c r="M294" i="67"/>
  <c r="L294" i="67"/>
  <c r="K294" i="67"/>
  <c r="J294" i="67"/>
  <c r="I294" i="67"/>
  <c r="H294" i="67"/>
  <c r="G294" i="67"/>
  <c r="F294" i="67"/>
  <c r="E294" i="67"/>
  <c r="D294" i="67"/>
  <c r="C294" i="67"/>
  <c r="B294" i="67"/>
  <c r="C293" i="67"/>
  <c r="B293" i="67"/>
  <c r="M292" i="67"/>
  <c r="L292" i="67"/>
  <c r="K292" i="67"/>
  <c r="J292" i="67"/>
  <c r="I292" i="67"/>
  <c r="H292" i="67"/>
  <c r="G292" i="67"/>
  <c r="F292" i="67"/>
  <c r="E292" i="67"/>
  <c r="D292" i="67"/>
  <c r="C292" i="67"/>
  <c r="B292" i="67"/>
  <c r="H286" i="67"/>
  <c r="G286" i="67"/>
  <c r="F286" i="67"/>
  <c r="E286" i="67"/>
  <c r="D286" i="67"/>
  <c r="C286" i="67"/>
  <c r="B286" i="67"/>
  <c r="N286" i="67"/>
  <c r="M286" i="67"/>
  <c r="L286" i="67"/>
  <c r="K286" i="67"/>
  <c r="J286" i="67"/>
  <c r="I286" i="67"/>
  <c r="N281" i="67"/>
  <c r="M281" i="67"/>
  <c r="L281" i="67"/>
  <c r="K281" i="67"/>
  <c r="J281" i="67"/>
  <c r="I281" i="67"/>
  <c r="H281" i="67"/>
  <c r="G281" i="67"/>
  <c r="F281" i="67"/>
  <c r="E281" i="67"/>
  <c r="D281" i="67"/>
  <c r="C281" i="67"/>
  <c r="B281" i="67"/>
  <c r="W279" i="67"/>
  <c r="V279" i="67"/>
  <c r="U279" i="67"/>
  <c r="T279" i="67"/>
  <c r="S279" i="67"/>
  <c r="R279" i="67"/>
  <c r="Q279" i="67"/>
  <c r="P279" i="67"/>
  <c r="O279" i="67"/>
  <c r="N279" i="67"/>
  <c r="M279" i="67"/>
  <c r="L279" i="67"/>
  <c r="K279" i="67"/>
  <c r="J279" i="67"/>
  <c r="I279" i="67"/>
  <c r="H279" i="67"/>
  <c r="G279" i="67"/>
  <c r="F279" i="67"/>
  <c r="E279" i="67"/>
  <c r="D279" i="67"/>
  <c r="C279" i="67"/>
  <c r="B279" i="67"/>
  <c r="W278" i="67"/>
  <c r="V278" i="67"/>
  <c r="U278" i="67"/>
  <c r="T278" i="67"/>
  <c r="S278" i="67"/>
  <c r="R278" i="67"/>
  <c r="Q278" i="67"/>
  <c r="P278" i="67"/>
  <c r="O278" i="67"/>
  <c r="N278" i="67"/>
  <c r="M278" i="67"/>
  <c r="L278" i="67"/>
  <c r="K278" i="67"/>
  <c r="J278" i="67"/>
  <c r="I278" i="67"/>
  <c r="H278" i="67"/>
  <c r="G278" i="67"/>
  <c r="F278" i="67"/>
  <c r="E278" i="67"/>
  <c r="D278" i="67"/>
  <c r="C278" i="67"/>
  <c r="B278" i="67"/>
  <c r="W277" i="67"/>
  <c r="V277" i="67"/>
  <c r="U277" i="67"/>
  <c r="T277" i="67"/>
  <c r="S277" i="67"/>
  <c r="R277" i="67"/>
  <c r="Q277" i="67"/>
  <c r="P277" i="67"/>
  <c r="O277" i="67"/>
  <c r="N277" i="67"/>
  <c r="M277" i="67"/>
  <c r="L277" i="67"/>
  <c r="K277" i="67"/>
  <c r="J277" i="67"/>
  <c r="I277" i="67"/>
  <c r="H277" i="67"/>
  <c r="G277" i="67"/>
  <c r="F277" i="67"/>
  <c r="E277" i="67"/>
  <c r="D277" i="67"/>
  <c r="C277" i="67"/>
  <c r="B277" i="67"/>
  <c r="N276" i="67"/>
  <c r="M276" i="67"/>
  <c r="L276" i="67"/>
  <c r="K276" i="67"/>
  <c r="J276" i="67"/>
  <c r="I276" i="67"/>
  <c r="H276" i="67"/>
  <c r="G276" i="67"/>
  <c r="F276" i="67"/>
  <c r="E276" i="67"/>
  <c r="D276" i="67"/>
  <c r="C276" i="67"/>
  <c r="B276" i="67"/>
  <c r="W274" i="67"/>
  <c r="V274" i="67"/>
  <c r="U274" i="67"/>
  <c r="T274" i="67"/>
  <c r="S274" i="67"/>
  <c r="R274" i="67"/>
  <c r="Q274" i="67"/>
  <c r="P274" i="67"/>
  <c r="O274" i="67"/>
  <c r="N274" i="67"/>
  <c r="M274" i="67"/>
  <c r="L274" i="67"/>
  <c r="K274" i="67"/>
  <c r="J274" i="67"/>
  <c r="I274" i="67"/>
  <c r="H274" i="67"/>
  <c r="G274" i="67"/>
  <c r="F274" i="67"/>
  <c r="E274" i="67"/>
  <c r="D274" i="67"/>
  <c r="C274" i="67"/>
  <c r="B274" i="67"/>
  <c r="W273" i="67"/>
  <c r="V273" i="67"/>
  <c r="U273" i="67"/>
  <c r="T273" i="67"/>
  <c r="S273" i="67"/>
  <c r="R273" i="67"/>
  <c r="Q273" i="67"/>
  <c r="P273" i="67"/>
  <c r="O273" i="67"/>
  <c r="N273" i="67"/>
  <c r="M273" i="67"/>
  <c r="L273" i="67"/>
  <c r="K273" i="67"/>
  <c r="J273" i="67"/>
  <c r="I273" i="67"/>
  <c r="H273" i="67"/>
  <c r="G273" i="67"/>
  <c r="F273" i="67"/>
  <c r="E273" i="67"/>
  <c r="D273" i="67"/>
  <c r="C273" i="67"/>
  <c r="B273" i="67"/>
  <c r="W272" i="67"/>
  <c r="V272" i="67"/>
  <c r="U272" i="67"/>
  <c r="T272" i="67"/>
  <c r="S272" i="67"/>
  <c r="R272" i="67"/>
  <c r="Q272" i="67"/>
  <c r="P272" i="67"/>
  <c r="O272" i="67"/>
  <c r="N272" i="67"/>
  <c r="M272" i="67"/>
  <c r="L272" i="67"/>
  <c r="K272" i="67"/>
  <c r="J272" i="67"/>
  <c r="I272" i="67"/>
  <c r="H272" i="67"/>
  <c r="G272" i="67"/>
  <c r="F272" i="67"/>
  <c r="E272" i="67"/>
  <c r="D272" i="67"/>
  <c r="C272" i="67"/>
  <c r="B272" i="67"/>
  <c r="N271" i="67"/>
  <c r="M271" i="67"/>
  <c r="L271" i="67"/>
  <c r="K271" i="67"/>
  <c r="J271" i="67"/>
  <c r="I271" i="67"/>
  <c r="H271" i="67"/>
  <c r="G271" i="67"/>
  <c r="F271" i="67"/>
  <c r="E271" i="67"/>
  <c r="D271" i="67"/>
  <c r="C271" i="67"/>
  <c r="B271" i="67"/>
  <c r="W269" i="67"/>
  <c r="V269" i="67"/>
  <c r="U269" i="67"/>
  <c r="T269" i="67"/>
  <c r="S269" i="67"/>
  <c r="R269" i="67"/>
  <c r="Q269" i="67"/>
  <c r="P269" i="67"/>
  <c r="O269" i="67"/>
  <c r="N269" i="67"/>
  <c r="M269" i="67"/>
  <c r="L269" i="67"/>
  <c r="K269" i="67"/>
  <c r="J269" i="67"/>
  <c r="I269" i="67"/>
  <c r="H269" i="67"/>
  <c r="G269" i="67"/>
  <c r="F269" i="67"/>
  <c r="E269" i="67"/>
  <c r="D269" i="67"/>
  <c r="C269" i="67"/>
  <c r="B269" i="67"/>
  <c r="W268" i="67"/>
  <c r="V268" i="67"/>
  <c r="U268" i="67"/>
  <c r="T268" i="67"/>
  <c r="S268" i="67"/>
  <c r="R268" i="67"/>
  <c r="Q268" i="67"/>
  <c r="P268" i="67"/>
  <c r="O268" i="67"/>
  <c r="N268" i="67"/>
  <c r="M268" i="67"/>
  <c r="L268" i="67"/>
  <c r="K268" i="67"/>
  <c r="J268" i="67"/>
  <c r="I268" i="67"/>
  <c r="H268" i="67"/>
  <c r="G268" i="67"/>
  <c r="F268" i="67"/>
  <c r="E268" i="67"/>
  <c r="D268" i="67"/>
  <c r="C268" i="67"/>
  <c r="B268" i="67"/>
  <c r="W267" i="67"/>
  <c r="V267" i="67"/>
  <c r="U267" i="67"/>
  <c r="T267" i="67"/>
  <c r="S267" i="67"/>
  <c r="R267" i="67"/>
  <c r="Q267" i="67"/>
  <c r="P267" i="67"/>
  <c r="O267" i="67"/>
  <c r="N267" i="67"/>
  <c r="M267" i="67"/>
  <c r="L267" i="67"/>
  <c r="K267" i="67"/>
  <c r="J267" i="67"/>
  <c r="I267" i="67"/>
  <c r="H267" i="67"/>
  <c r="G267" i="67"/>
  <c r="F267" i="67"/>
  <c r="E267" i="67"/>
  <c r="D267" i="67"/>
  <c r="C267" i="67"/>
  <c r="B267" i="67"/>
  <c r="N266" i="67"/>
  <c r="M266" i="67"/>
  <c r="L266" i="67"/>
  <c r="K266" i="67"/>
  <c r="J266" i="67"/>
  <c r="I266" i="67"/>
  <c r="H266" i="67"/>
  <c r="G266" i="67"/>
  <c r="F266" i="67"/>
  <c r="E266" i="67"/>
  <c r="D266" i="67"/>
  <c r="C266" i="67"/>
  <c r="B266" i="67"/>
  <c r="W264" i="67"/>
  <c r="V264" i="67"/>
  <c r="U264" i="67"/>
  <c r="T264" i="67"/>
  <c r="S264" i="67"/>
  <c r="R264" i="67"/>
  <c r="Q264" i="67"/>
  <c r="P264" i="67"/>
  <c r="O264" i="67"/>
  <c r="N264" i="67"/>
  <c r="M264" i="67"/>
  <c r="L264" i="67"/>
  <c r="K264" i="67"/>
  <c r="J264" i="67"/>
  <c r="I264" i="67"/>
  <c r="H264" i="67"/>
  <c r="G264" i="67"/>
  <c r="F264" i="67"/>
  <c r="E264" i="67"/>
  <c r="D264" i="67"/>
  <c r="C264" i="67"/>
  <c r="B264" i="67"/>
  <c r="W263" i="67"/>
  <c r="V263" i="67"/>
  <c r="U263" i="67"/>
  <c r="T263" i="67"/>
  <c r="S263" i="67"/>
  <c r="R263" i="67"/>
  <c r="Q263" i="67"/>
  <c r="P263" i="67"/>
  <c r="O263" i="67"/>
  <c r="N263" i="67"/>
  <c r="M263" i="67"/>
  <c r="L263" i="67"/>
  <c r="K263" i="67"/>
  <c r="J263" i="67"/>
  <c r="I263" i="67"/>
  <c r="H263" i="67"/>
  <c r="G263" i="67"/>
  <c r="F263" i="67"/>
  <c r="E263" i="67"/>
  <c r="D263" i="67"/>
  <c r="C263" i="67"/>
  <c r="B263" i="67"/>
  <c r="W262" i="67"/>
  <c r="V262" i="67"/>
  <c r="U262" i="67"/>
  <c r="T262" i="67"/>
  <c r="S262" i="67"/>
  <c r="R262" i="67"/>
  <c r="Q262" i="67"/>
  <c r="P262" i="67"/>
  <c r="O262" i="67"/>
  <c r="N262" i="67"/>
  <c r="M262" i="67"/>
  <c r="L262" i="67"/>
  <c r="K262" i="67"/>
  <c r="J262" i="67"/>
  <c r="I262" i="67"/>
  <c r="H262" i="67"/>
  <c r="G262" i="67"/>
  <c r="F262" i="67"/>
  <c r="E262" i="67"/>
  <c r="D262" i="67"/>
  <c r="C262" i="67"/>
  <c r="B262" i="67"/>
  <c r="N261" i="67"/>
  <c r="M261" i="67"/>
  <c r="L261" i="67"/>
  <c r="K261" i="67"/>
  <c r="J261" i="67"/>
  <c r="I261" i="67"/>
  <c r="H261" i="67"/>
  <c r="G261" i="67"/>
  <c r="F261" i="67"/>
  <c r="E261" i="67"/>
  <c r="D261" i="67"/>
  <c r="C261" i="67"/>
  <c r="B261" i="67"/>
  <c r="W259" i="67"/>
  <c r="V259" i="67"/>
  <c r="U259" i="67"/>
  <c r="T259" i="67"/>
  <c r="S259" i="67"/>
  <c r="R259" i="67"/>
  <c r="Q259" i="67"/>
  <c r="P259" i="67"/>
  <c r="O259" i="67"/>
  <c r="N259" i="67"/>
  <c r="M259" i="67"/>
  <c r="L259" i="67"/>
  <c r="K259" i="67"/>
  <c r="J259" i="67"/>
  <c r="I259" i="67"/>
  <c r="H259" i="67"/>
  <c r="G259" i="67"/>
  <c r="F259" i="67"/>
  <c r="E259" i="67"/>
  <c r="D259" i="67"/>
  <c r="C259" i="67"/>
  <c r="B259" i="67"/>
  <c r="W258" i="67"/>
  <c r="V258" i="67"/>
  <c r="U258" i="67"/>
  <c r="T258" i="67"/>
  <c r="S258" i="67"/>
  <c r="R258" i="67"/>
  <c r="Q258" i="67"/>
  <c r="P258" i="67"/>
  <c r="O258" i="67"/>
  <c r="N258" i="67"/>
  <c r="M258" i="67"/>
  <c r="L258" i="67"/>
  <c r="K258" i="67"/>
  <c r="J258" i="67"/>
  <c r="I258" i="67"/>
  <c r="H258" i="67"/>
  <c r="G258" i="67"/>
  <c r="F258" i="67"/>
  <c r="E258" i="67"/>
  <c r="D258" i="67"/>
  <c r="C258" i="67"/>
  <c r="B258" i="67"/>
  <c r="W257" i="67"/>
  <c r="V257" i="67"/>
  <c r="U257" i="67"/>
  <c r="T257" i="67"/>
  <c r="S257" i="67"/>
  <c r="R257" i="67"/>
  <c r="Q257" i="67"/>
  <c r="P257" i="67"/>
  <c r="O257" i="67"/>
  <c r="N257" i="67"/>
  <c r="M257" i="67"/>
  <c r="L257" i="67"/>
  <c r="K257" i="67"/>
  <c r="J257" i="67"/>
  <c r="I257" i="67"/>
  <c r="H257" i="67"/>
  <c r="G257" i="67"/>
  <c r="F257" i="67"/>
  <c r="E257" i="67"/>
  <c r="D257" i="67"/>
  <c r="C257" i="67"/>
  <c r="B257" i="67"/>
  <c r="N256" i="67"/>
  <c r="M256" i="67"/>
  <c r="L256" i="67"/>
  <c r="K256" i="67"/>
  <c r="J256" i="67"/>
  <c r="I256" i="67"/>
  <c r="H256" i="67"/>
  <c r="G256" i="67"/>
  <c r="F256" i="67"/>
  <c r="E256" i="67"/>
  <c r="D256" i="67"/>
  <c r="C256" i="67"/>
  <c r="B256" i="67"/>
  <c r="G254" i="67"/>
  <c r="F254" i="67"/>
  <c r="E254" i="67"/>
  <c r="D254" i="67"/>
  <c r="C254" i="67"/>
  <c r="B254" i="67"/>
  <c r="W252" i="67"/>
  <c r="V252" i="67"/>
  <c r="U252" i="67"/>
  <c r="T252" i="67"/>
  <c r="S252" i="67"/>
  <c r="R252" i="67"/>
  <c r="Q252" i="67"/>
  <c r="P252" i="67"/>
  <c r="O252" i="67"/>
  <c r="N252" i="67"/>
  <c r="M252" i="67"/>
  <c r="L252" i="67"/>
  <c r="K252" i="67"/>
  <c r="J252" i="67"/>
  <c r="I252" i="67"/>
  <c r="H252" i="67"/>
  <c r="G252" i="67"/>
  <c r="F252" i="67"/>
  <c r="E252" i="67"/>
  <c r="D252" i="67"/>
  <c r="C252" i="67"/>
  <c r="B252" i="67"/>
  <c r="W251" i="67"/>
  <c r="V251" i="67"/>
  <c r="U251" i="67"/>
  <c r="T251" i="67"/>
  <c r="S251" i="67"/>
  <c r="R251" i="67"/>
  <c r="Q251" i="67"/>
  <c r="P251" i="67"/>
  <c r="O251" i="67"/>
  <c r="N251" i="67"/>
  <c r="M251" i="67"/>
  <c r="L251" i="67"/>
  <c r="K251" i="67"/>
  <c r="J251" i="67"/>
  <c r="I251" i="67"/>
  <c r="H251" i="67"/>
  <c r="G251" i="67"/>
  <c r="F251" i="67"/>
  <c r="E251" i="67"/>
  <c r="D251" i="67"/>
  <c r="C251" i="67"/>
  <c r="B251" i="67"/>
  <c r="W250" i="67"/>
  <c r="V250" i="67"/>
  <c r="U250" i="67"/>
  <c r="T250" i="67"/>
  <c r="S250" i="67"/>
  <c r="R250" i="67"/>
  <c r="Q250" i="67"/>
  <c r="P250" i="67"/>
  <c r="O250" i="67"/>
  <c r="N250" i="67"/>
  <c r="M250" i="67"/>
  <c r="L250" i="67"/>
  <c r="K250" i="67"/>
  <c r="J250" i="67"/>
  <c r="I250" i="67"/>
  <c r="H250" i="67"/>
  <c r="G250" i="67"/>
  <c r="F250" i="67"/>
  <c r="E250" i="67"/>
  <c r="D250" i="67"/>
  <c r="C250" i="67"/>
  <c r="B250" i="67"/>
  <c r="N249" i="67"/>
  <c r="M249" i="67"/>
  <c r="L249" i="67"/>
  <c r="K249" i="67"/>
  <c r="J249" i="67"/>
  <c r="I249" i="67"/>
  <c r="H249" i="67"/>
  <c r="G249" i="67"/>
  <c r="F249" i="67"/>
  <c r="E249" i="67"/>
  <c r="D249" i="67"/>
  <c r="C249" i="67"/>
  <c r="B249" i="67"/>
  <c r="G242" i="67"/>
  <c r="F242" i="67"/>
  <c r="E242" i="67"/>
  <c r="D242" i="67"/>
  <c r="C242" i="67"/>
  <c r="B242" i="67"/>
  <c r="W240" i="67"/>
  <c r="W247" i="67" s="1"/>
  <c r="V240" i="67"/>
  <c r="V247" i="67" s="1"/>
  <c r="U240" i="67"/>
  <c r="U247" i="67" s="1"/>
  <c r="T240" i="67"/>
  <c r="T247" i="67" s="1"/>
  <c r="S240" i="67"/>
  <c r="S247" i="67" s="1"/>
  <c r="R240" i="67"/>
  <c r="R247" i="67" s="1"/>
  <c r="Q240" i="67"/>
  <c r="Q247" i="67" s="1"/>
  <c r="P240" i="67"/>
  <c r="P247" i="67" s="1"/>
  <c r="O240" i="67"/>
  <c r="O247" i="67" s="1"/>
  <c r="N240" i="67"/>
  <c r="N247" i="67" s="1"/>
  <c r="M240" i="67"/>
  <c r="M247" i="67" s="1"/>
  <c r="L240" i="67"/>
  <c r="L247" i="67" s="1"/>
  <c r="K240" i="67"/>
  <c r="K247" i="67" s="1"/>
  <c r="J240" i="67"/>
  <c r="J247" i="67" s="1"/>
  <c r="I240" i="67"/>
  <c r="I247" i="67" s="1"/>
  <c r="H240" i="67"/>
  <c r="H247" i="67" s="1"/>
  <c r="G240" i="67"/>
  <c r="F240" i="67"/>
  <c r="E240" i="67"/>
  <c r="D240" i="67"/>
  <c r="C240" i="67"/>
  <c r="B240" i="67"/>
  <c r="W239" i="67"/>
  <c r="W246" i="67" s="1"/>
  <c r="V239" i="67"/>
  <c r="V246" i="67" s="1"/>
  <c r="U239" i="67"/>
  <c r="U246" i="67" s="1"/>
  <c r="T239" i="67"/>
  <c r="T246" i="67" s="1"/>
  <c r="S239" i="67"/>
  <c r="S246" i="67" s="1"/>
  <c r="R239" i="67"/>
  <c r="R246" i="67" s="1"/>
  <c r="Q239" i="67"/>
  <c r="Q246" i="67" s="1"/>
  <c r="P239" i="67"/>
  <c r="P246" i="67" s="1"/>
  <c r="O239" i="67"/>
  <c r="O246" i="67" s="1"/>
  <c r="N239" i="67"/>
  <c r="N246" i="67" s="1"/>
  <c r="M239" i="67"/>
  <c r="M246" i="67" s="1"/>
  <c r="L239" i="67"/>
  <c r="L246" i="67" s="1"/>
  <c r="K239" i="67"/>
  <c r="K246" i="67" s="1"/>
  <c r="J239" i="67"/>
  <c r="J246" i="67" s="1"/>
  <c r="I239" i="67"/>
  <c r="I246" i="67" s="1"/>
  <c r="H239" i="67"/>
  <c r="H246" i="67" s="1"/>
  <c r="G239" i="67"/>
  <c r="F239" i="67"/>
  <c r="E239" i="67"/>
  <c r="D239" i="67"/>
  <c r="C239" i="67"/>
  <c r="B239" i="67"/>
  <c r="W238" i="67"/>
  <c r="W245" i="67" s="1"/>
  <c r="V238" i="67"/>
  <c r="V245" i="67" s="1"/>
  <c r="U238" i="67"/>
  <c r="U245" i="67" s="1"/>
  <c r="T238" i="67"/>
  <c r="T245" i="67" s="1"/>
  <c r="S238" i="67"/>
  <c r="S245" i="67" s="1"/>
  <c r="R238" i="67"/>
  <c r="R245" i="67" s="1"/>
  <c r="Q238" i="67"/>
  <c r="Q245" i="67" s="1"/>
  <c r="P238" i="67"/>
  <c r="P245" i="67" s="1"/>
  <c r="O238" i="67"/>
  <c r="O245" i="67" s="1"/>
  <c r="N238" i="67"/>
  <c r="N245" i="67" s="1"/>
  <c r="M238" i="67"/>
  <c r="M245" i="67" s="1"/>
  <c r="L238" i="67"/>
  <c r="L245" i="67" s="1"/>
  <c r="K238" i="67"/>
  <c r="K245" i="67" s="1"/>
  <c r="J238" i="67"/>
  <c r="J245" i="67" s="1"/>
  <c r="I238" i="67"/>
  <c r="I245" i="67" s="1"/>
  <c r="H238" i="67"/>
  <c r="H245" i="67" s="1"/>
  <c r="G238" i="67"/>
  <c r="F238" i="67"/>
  <c r="E238" i="67"/>
  <c r="D238" i="67"/>
  <c r="C238" i="67"/>
  <c r="B238" i="67"/>
  <c r="N237" i="67"/>
  <c r="M237" i="67"/>
  <c r="L237" i="67"/>
  <c r="K237" i="67"/>
  <c r="J237" i="67"/>
  <c r="I237" i="67"/>
  <c r="H237" i="67"/>
  <c r="G237" i="67"/>
  <c r="F237" i="67"/>
  <c r="E237" i="67"/>
  <c r="D237" i="67"/>
  <c r="C237" i="67"/>
  <c r="B237" i="67"/>
  <c r="N235" i="67"/>
  <c r="M235" i="67"/>
  <c r="L235" i="67"/>
  <c r="K235" i="67"/>
  <c r="J235" i="67"/>
  <c r="I235" i="67"/>
  <c r="H235" i="67"/>
  <c r="G235" i="67"/>
  <c r="F235" i="67"/>
  <c r="E235" i="67"/>
  <c r="D235" i="67"/>
  <c r="C235" i="67"/>
  <c r="B235" i="67"/>
  <c r="W233" i="67"/>
  <c r="V233" i="67"/>
  <c r="U233" i="67"/>
  <c r="T233" i="67"/>
  <c r="S233" i="67"/>
  <c r="R233" i="67"/>
  <c r="Q233" i="67"/>
  <c r="P233" i="67"/>
  <c r="O233" i="67"/>
  <c r="N233" i="67"/>
  <c r="M233" i="67"/>
  <c r="L233" i="67"/>
  <c r="K233" i="67"/>
  <c r="J233" i="67"/>
  <c r="I233" i="67"/>
  <c r="H233" i="67"/>
  <c r="G233" i="67"/>
  <c r="F233" i="67"/>
  <c r="E233" i="67"/>
  <c r="D233" i="67"/>
  <c r="C233" i="67"/>
  <c r="B233" i="67"/>
  <c r="W232" i="67"/>
  <c r="V232" i="67"/>
  <c r="U232" i="67"/>
  <c r="T232" i="67"/>
  <c r="S232" i="67"/>
  <c r="R232" i="67"/>
  <c r="Q232" i="67"/>
  <c r="P232" i="67"/>
  <c r="O232" i="67"/>
  <c r="N232" i="67"/>
  <c r="M232" i="67"/>
  <c r="L232" i="67"/>
  <c r="K232" i="67"/>
  <c r="J232" i="67"/>
  <c r="I232" i="67"/>
  <c r="H232" i="67"/>
  <c r="G232" i="67"/>
  <c r="F232" i="67"/>
  <c r="E232" i="67"/>
  <c r="D232" i="67"/>
  <c r="C232" i="67"/>
  <c r="B232" i="67"/>
  <c r="W231" i="67"/>
  <c r="V231" i="67"/>
  <c r="U231" i="67"/>
  <c r="T231" i="67"/>
  <c r="S231" i="67"/>
  <c r="R231" i="67"/>
  <c r="Q231" i="67"/>
  <c r="P231" i="67"/>
  <c r="O231" i="67"/>
  <c r="N231" i="67"/>
  <c r="M231" i="67"/>
  <c r="L231" i="67"/>
  <c r="K231" i="67"/>
  <c r="J231" i="67"/>
  <c r="I231" i="67"/>
  <c r="H231" i="67"/>
  <c r="G231" i="67"/>
  <c r="F231" i="67"/>
  <c r="E231" i="67"/>
  <c r="D231" i="67"/>
  <c r="C231" i="67"/>
  <c r="B231" i="67"/>
  <c r="N230" i="67"/>
  <c r="M230" i="67"/>
  <c r="L230" i="67"/>
  <c r="K230" i="67"/>
  <c r="J230" i="67"/>
  <c r="I230" i="67"/>
  <c r="H230" i="67"/>
  <c r="G230" i="67"/>
  <c r="F230" i="67"/>
  <c r="E230" i="67"/>
  <c r="D230" i="67"/>
  <c r="C230" i="67"/>
  <c r="B230" i="67"/>
  <c r="W228" i="67"/>
  <c r="V228" i="67"/>
  <c r="U228" i="67"/>
  <c r="T228" i="67"/>
  <c r="S228" i="67"/>
  <c r="R228" i="67"/>
  <c r="Q228" i="67"/>
  <c r="P228" i="67"/>
  <c r="O228" i="67"/>
  <c r="J228" i="67"/>
  <c r="I228" i="67"/>
  <c r="H228" i="67"/>
  <c r="G228" i="67"/>
  <c r="F228" i="67"/>
  <c r="E228" i="67"/>
  <c r="D228" i="67"/>
  <c r="C228" i="67"/>
  <c r="B228" i="67"/>
  <c r="W227" i="67"/>
  <c r="V227" i="67"/>
  <c r="U227" i="67"/>
  <c r="T227" i="67"/>
  <c r="S227" i="67"/>
  <c r="R227" i="67"/>
  <c r="Q227" i="67"/>
  <c r="P227" i="67"/>
  <c r="O227" i="67"/>
  <c r="J227" i="67"/>
  <c r="I227" i="67"/>
  <c r="H227" i="67"/>
  <c r="G227" i="67"/>
  <c r="F227" i="67"/>
  <c r="E227" i="67"/>
  <c r="D227" i="67"/>
  <c r="C227" i="67"/>
  <c r="B227" i="67"/>
  <c r="W226" i="67"/>
  <c r="V226" i="67"/>
  <c r="U226" i="67"/>
  <c r="T226" i="67"/>
  <c r="S226" i="67"/>
  <c r="R226" i="67"/>
  <c r="Q226" i="67"/>
  <c r="P226" i="67"/>
  <c r="O226" i="67"/>
  <c r="J226" i="67"/>
  <c r="I226" i="67"/>
  <c r="H226" i="67"/>
  <c r="G226" i="67"/>
  <c r="F226" i="67"/>
  <c r="E226" i="67"/>
  <c r="D226" i="67"/>
  <c r="C226" i="67"/>
  <c r="B226" i="67"/>
  <c r="N225" i="67"/>
  <c r="M225" i="67"/>
  <c r="L225" i="67"/>
  <c r="K225" i="67"/>
  <c r="J225" i="67"/>
  <c r="I225" i="67"/>
  <c r="H225" i="67"/>
  <c r="G225" i="67"/>
  <c r="F225" i="67"/>
  <c r="E225" i="67"/>
  <c r="D225" i="67"/>
  <c r="C225" i="67"/>
  <c r="B225" i="67"/>
  <c r="W223" i="67"/>
  <c r="V223" i="67"/>
  <c r="U223" i="67"/>
  <c r="T223" i="67"/>
  <c r="S223" i="67"/>
  <c r="R223" i="67"/>
  <c r="Q223" i="67"/>
  <c r="P223" i="67"/>
  <c r="O223" i="67"/>
  <c r="W222" i="67"/>
  <c r="V222" i="67"/>
  <c r="U222" i="67"/>
  <c r="T222" i="67"/>
  <c r="S222" i="67"/>
  <c r="R222" i="67"/>
  <c r="Q222" i="67"/>
  <c r="P222" i="67"/>
  <c r="O222" i="67"/>
  <c r="W221" i="67"/>
  <c r="V221" i="67"/>
  <c r="U221" i="67"/>
  <c r="T221" i="67"/>
  <c r="S221" i="67"/>
  <c r="R221" i="67"/>
  <c r="Q221" i="67"/>
  <c r="P221" i="67"/>
  <c r="O221" i="67"/>
  <c r="N220" i="67"/>
  <c r="M220" i="67"/>
  <c r="L220" i="67"/>
  <c r="K220" i="67"/>
  <c r="J220" i="67"/>
  <c r="I220" i="67"/>
  <c r="H220" i="67"/>
  <c r="G220" i="67"/>
  <c r="F220" i="67"/>
  <c r="E220" i="67"/>
  <c r="D220" i="67"/>
  <c r="C220" i="67"/>
  <c r="B220" i="67"/>
  <c r="W218" i="67"/>
  <c r="V218" i="67"/>
  <c r="U218" i="67"/>
  <c r="T218" i="67"/>
  <c r="S218" i="67"/>
  <c r="R218" i="67"/>
  <c r="Q218" i="67"/>
  <c r="P218" i="67"/>
  <c r="O218" i="67"/>
  <c r="C218" i="67"/>
  <c r="B218" i="67"/>
  <c r="W217" i="67"/>
  <c r="V217" i="67"/>
  <c r="U217" i="67"/>
  <c r="T217" i="67"/>
  <c r="S217" i="67"/>
  <c r="R217" i="67"/>
  <c r="Q217" i="67"/>
  <c r="P217" i="67"/>
  <c r="O217" i="67"/>
  <c r="C217" i="67"/>
  <c r="B217" i="67"/>
  <c r="W216" i="67"/>
  <c r="V216" i="67"/>
  <c r="U216" i="67"/>
  <c r="T216" i="67"/>
  <c r="S216" i="67"/>
  <c r="R216" i="67"/>
  <c r="Q216" i="67"/>
  <c r="P216" i="67"/>
  <c r="O216" i="67"/>
  <c r="C216" i="67"/>
  <c r="B216" i="67"/>
  <c r="N215" i="67"/>
  <c r="M215" i="67"/>
  <c r="L215" i="67"/>
  <c r="K215" i="67"/>
  <c r="J215" i="67"/>
  <c r="I215" i="67"/>
  <c r="H215" i="67"/>
  <c r="G215" i="67"/>
  <c r="F215" i="67"/>
  <c r="E215" i="67"/>
  <c r="D215" i="67"/>
  <c r="C215" i="67"/>
  <c r="B215" i="67"/>
  <c r="W213" i="67"/>
  <c r="V213" i="67"/>
  <c r="U213" i="67"/>
  <c r="T213" i="67"/>
  <c r="S213" i="67"/>
  <c r="R213" i="67"/>
  <c r="Q213" i="67"/>
  <c r="P213" i="67"/>
  <c r="O213" i="67"/>
  <c r="C213" i="67"/>
  <c r="B213" i="67"/>
  <c r="W212" i="67"/>
  <c r="V212" i="67"/>
  <c r="U212" i="67"/>
  <c r="T212" i="67"/>
  <c r="S212" i="67"/>
  <c r="R212" i="67"/>
  <c r="Q212" i="67"/>
  <c r="P212" i="67"/>
  <c r="O212" i="67"/>
  <c r="C212" i="67"/>
  <c r="B212" i="67"/>
  <c r="W211" i="67"/>
  <c r="V211" i="67"/>
  <c r="U211" i="67"/>
  <c r="T211" i="67"/>
  <c r="S211" i="67"/>
  <c r="R211" i="67"/>
  <c r="Q211" i="67"/>
  <c r="P211" i="67"/>
  <c r="O211" i="67"/>
  <c r="C211" i="67"/>
  <c r="B211" i="67"/>
  <c r="N210" i="67"/>
  <c r="M210" i="67"/>
  <c r="L210" i="67"/>
  <c r="K210" i="67"/>
  <c r="J210" i="67"/>
  <c r="I210" i="67"/>
  <c r="H210" i="67"/>
  <c r="G210" i="67"/>
  <c r="F210" i="67"/>
  <c r="E210" i="67"/>
  <c r="D210" i="67"/>
  <c r="C210" i="67"/>
  <c r="B210" i="67"/>
  <c r="W208" i="67"/>
  <c r="V208" i="67"/>
  <c r="U208" i="67"/>
  <c r="T208" i="67"/>
  <c r="S208" i="67"/>
  <c r="R208" i="67"/>
  <c r="Q208" i="67"/>
  <c r="P208" i="67"/>
  <c r="O208" i="67"/>
  <c r="C208" i="67"/>
  <c r="B208" i="67"/>
  <c r="W207" i="67"/>
  <c r="V207" i="67"/>
  <c r="U207" i="67"/>
  <c r="T207" i="67"/>
  <c r="S207" i="67"/>
  <c r="R207" i="67"/>
  <c r="Q207" i="67"/>
  <c r="P207" i="67"/>
  <c r="O207" i="67"/>
  <c r="C207" i="67"/>
  <c r="B207" i="67"/>
  <c r="W206" i="67"/>
  <c r="V206" i="67"/>
  <c r="U206" i="67"/>
  <c r="T206" i="67"/>
  <c r="S206" i="67"/>
  <c r="R206" i="67"/>
  <c r="Q206" i="67"/>
  <c r="P206" i="67"/>
  <c r="O206" i="67"/>
  <c r="C206" i="67"/>
  <c r="B206" i="67"/>
  <c r="N205" i="67"/>
  <c r="M205" i="67"/>
  <c r="L205" i="67"/>
  <c r="K205" i="67"/>
  <c r="J205" i="67"/>
  <c r="I205" i="67"/>
  <c r="H205" i="67"/>
  <c r="G205" i="67"/>
  <c r="F205" i="67"/>
  <c r="E205" i="67"/>
  <c r="D205" i="67"/>
  <c r="C205" i="67"/>
  <c r="B205" i="67"/>
  <c r="W203" i="67"/>
  <c r="V203" i="67"/>
  <c r="U203" i="67"/>
  <c r="T203" i="67"/>
  <c r="S203" i="67"/>
  <c r="R203" i="67"/>
  <c r="Q203" i="67"/>
  <c r="P203" i="67"/>
  <c r="O203" i="67"/>
  <c r="C203" i="67"/>
  <c r="B203" i="67"/>
  <c r="W202" i="67"/>
  <c r="V202" i="67"/>
  <c r="U202" i="67"/>
  <c r="T202" i="67"/>
  <c r="S202" i="67"/>
  <c r="R202" i="67"/>
  <c r="Q202" i="67"/>
  <c r="P202" i="67"/>
  <c r="O202" i="67"/>
  <c r="C202" i="67"/>
  <c r="B202" i="67"/>
  <c r="W201" i="67"/>
  <c r="V201" i="67"/>
  <c r="U201" i="67"/>
  <c r="T201" i="67"/>
  <c r="S201" i="67"/>
  <c r="R201" i="67"/>
  <c r="Q201" i="67"/>
  <c r="P201" i="67"/>
  <c r="O201" i="67"/>
  <c r="C201" i="67"/>
  <c r="B201" i="67"/>
  <c r="N200" i="67"/>
  <c r="M200" i="67"/>
  <c r="L200" i="67"/>
  <c r="K200" i="67"/>
  <c r="J200" i="67"/>
  <c r="I200" i="67"/>
  <c r="H200" i="67"/>
  <c r="G200" i="67"/>
  <c r="F200" i="67"/>
  <c r="E200" i="67"/>
  <c r="D200" i="67"/>
  <c r="C200" i="67"/>
  <c r="B200" i="67"/>
  <c r="W185" i="67"/>
  <c r="V185" i="67"/>
  <c r="U185" i="67"/>
  <c r="T185" i="67"/>
  <c r="S185" i="67"/>
  <c r="R185" i="67"/>
  <c r="Q185" i="67"/>
  <c r="P185" i="67"/>
  <c r="O185" i="67"/>
  <c r="W184" i="67"/>
  <c r="V184" i="67"/>
  <c r="U184" i="67"/>
  <c r="T184" i="67"/>
  <c r="S184" i="67"/>
  <c r="R184" i="67"/>
  <c r="Q184" i="67"/>
  <c r="P184" i="67"/>
  <c r="O184" i="67"/>
  <c r="W183" i="67"/>
  <c r="V183" i="67"/>
  <c r="U183" i="67"/>
  <c r="T183" i="67"/>
  <c r="S183" i="67"/>
  <c r="R183" i="67"/>
  <c r="Q183" i="67"/>
  <c r="P183" i="67"/>
  <c r="O183" i="67"/>
  <c r="N182" i="67"/>
  <c r="M182" i="67"/>
  <c r="L182" i="67"/>
  <c r="K182" i="67"/>
  <c r="J182" i="67"/>
  <c r="I182" i="67"/>
  <c r="H182" i="67"/>
  <c r="G182" i="67"/>
  <c r="F182" i="67"/>
  <c r="E182" i="67"/>
  <c r="D182" i="67"/>
  <c r="C182" i="67"/>
  <c r="B182" i="67"/>
  <c r="W180" i="67"/>
  <c r="V180" i="67"/>
  <c r="U180" i="67"/>
  <c r="T180" i="67"/>
  <c r="S180" i="67"/>
  <c r="R180" i="67"/>
  <c r="Q180" i="67"/>
  <c r="P180" i="67"/>
  <c r="O180" i="67"/>
  <c r="C180" i="67"/>
  <c r="B180" i="67"/>
  <c r="W179" i="67"/>
  <c r="V179" i="67"/>
  <c r="U179" i="67"/>
  <c r="T179" i="67"/>
  <c r="S179" i="67"/>
  <c r="R179" i="67"/>
  <c r="Q179" i="67"/>
  <c r="P179" i="67"/>
  <c r="O179" i="67"/>
  <c r="C179" i="67"/>
  <c r="B179" i="67"/>
  <c r="W178" i="67"/>
  <c r="V178" i="67"/>
  <c r="U178" i="67"/>
  <c r="T178" i="67"/>
  <c r="S178" i="67"/>
  <c r="R178" i="67"/>
  <c r="Q178" i="67"/>
  <c r="P178" i="67"/>
  <c r="O178" i="67"/>
  <c r="C178" i="67"/>
  <c r="B178" i="67"/>
  <c r="N177" i="67"/>
  <c r="M177" i="67"/>
  <c r="L177" i="67"/>
  <c r="K177" i="67"/>
  <c r="J177" i="67"/>
  <c r="I177" i="67"/>
  <c r="H177" i="67"/>
  <c r="G177" i="67"/>
  <c r="F177" i="67"/>
  <c r="E177" i="67"/>
  <c r="D177" i="67"/>
  <c r="C177" i="67"/>
  <c r="B177" i="67"/>
  <c r="W175" i="67"/>
  <c r="V175" i="67"/>
  <c r="U175" i="67"/>
  <c r="T175" i="67"/>
  <c r="S175" i="67"/>
  <c r="R175" i="67"/>
  <c r="Q175" i="67"/>
  <c r="P175" i="67"/>
  <c r="O175" i="67"/>
  <c r="C175" i="67"/>
  <c r="B175" i="67"/>
  <c r="W174" i="67"/>
  <c r="V174" i="67"/>
  <c r="U174" i="67"/>
  <c r="T174" i="67"/>
  <c r="S174" i="67"/>
  <c r="R174" i="67"/>
  <c r="Q174" i="67"/>
  <c r="P174" i="67"/>
  <c r="O174" i="67"/>
  <c r="C174" i="67"/>
  <c r="B174" i="67"/>
  <c r="W173" i="67"/>
  <c r="V173" i="67"/>
  <c r="U173" i="67"/>
  <c r="T173" i="67"/>
  <c r="S173" i="67"/>
  <c r="R173" i="67"/>
  <c r="Q173" i="67"/>
  <c r="P173" i="67"/>
  <c r="O173" i="67"/>
  <c r="C173" i="67"/>
  <c r="B173" i="67"/>
  <c r="W165" i="67"/>
  <c r="W170" i="67" s="1"/>
  <c r="V165" i="67"/>
  <c r="V170" i="67" s="1"/>
  <c r="U165" i="67"/>
  <c r="U170" i="67" s="1"/>
  <c r="T165" i="67"/>
  <c r="T170" i="67" s="1"/>
  <c r="S165" i="67"/>
  <c r="S170" i="67" s="1"/>
  <c r="R165" i="67"/>
  <c r="R170" i="67" s="1"/>
  <c r="Q165" i="67"/>
  <c r="Q170" i="67" s="1"/>
  <c r="P165" i="67"/>
  <c r="P170" i="67" s="1"/>
  <c r="O165" i="67"/>
  <c r="O170" i="67" s="1"/>
  <c r="C165" i="67"/>
  <c r="B165" i="67"/>
  <c r="W164" i="67"/>
  <c r="W169" i="67" s="1"/>
  <c r="V164" i="67"/>
  <c r="V169" i="67" s="1"/>
  <c r="U164" i="67"/>
  <c r="U169" i="67" s="1"/>
  <c r="T164" i="67"/>
  <c r="T169" i="67" s="1"/>
  <c r="S164" i="67"/>
  <c r="S169" i="67" s="1"/>
  <c r="R164" i="67"/>
  <c r="R169" i="67" s="1"/>
  <c r="Q164" i="67"/>
  <c r="Q169" i="67" s="1"/>
  <c r="P164" i="67"/>
  <c r="P169" i="67" s="1"/>
  <c r="O164" i="67"/>
  <c r="C164" i="67"/>
  <c r="B164" i="67"/>
  <c r="W163" i="67"/>
  <c r="W168" i="67" s="1"/>
  <c r="V163" i="67"/>
  <c r="V168" i="67" s="1"/>
  <c r="U163" i="67"/>
  <c r="U168" i="67" s="1"/>
  <c r="T163" i="67"/>
  <c r="T168" i="67" s="1"/>
  <c r="S163" i="67"/>
  <c r="S168" i="67" s="1"/>
  <c r="R163" i="67"/>
  <c r="R168" i="67" s="1"/>
  <c r="Q163" i="67"/>
  <c r="Q168" i="67" s="1"/>
  <c r="P163" i="67"/>
  <c r="P168" i="67" s="1"/>
  <c r="O163" i="67"/>
  <c r="O168" i="67" s="1"/>
  <c r="C163" i="67"/>
  <c r="B163" i="67"/>
  <c r="W160" i="67"/>
  <c r="V160" i="67"/>
  <c r="U160" i="67"/>
  <c r="T160" i="67"/>
  <c r="S160" i="67"/>
  <c r="R160" i="67"/>
  <c r="Q160" i="67"/>
  <c r="P160" i="67"/>
  <c r="O160" i="67"/>
  <c r="W159" i="67"/>
  <c r="V159" i="67"/>
  <c r="U159" i="67"/>
  <c r="T159" i="67"/>
  <c r="S159" i="67"/>
  <c r="R159" i="67"/>
  <c r="Q159" i="67"/>
  <c r="P159" i="67"/>
  <c r="O159" i="67"/>
  <c r="W158" i="67"/>
  <c r="V158" i="67"/>
  <c r="U158" i="67"/>
  <c r="T158" i="67"/>
  <c r="S158" i="67"/>
  <c r="R158" i="67"/>
  <c r="Q158" i="67"/>
  <c r="P158" i="67"/>
  <c r="O158" i="67"/>
  <c r="W155" i="67"/>
  <c r="V155" i="67"/>
  <c r="U155" i="67"/>
  <c r="T155" i="67"/>
  <c r="S155" i="67"/>
  <c r="R155" i="67"/>
  <c r="Q155" i="67"/>
  <c r="P155" i="67"/>
  <c r="O155" i="67"/>
  <c r="W154" i="67"/>
  <c r="V154" i="67"/>
  <c r="U154" i="67"/>
  <c r="T154" i="67"/>
  <c r="S154" i="67"/>
  <c r="R154" i="67"/>
  <c r="Q154" i="67"/>
  <c r="P154" i="67"/>
  <c r="O154" i="67"/>
  <c r="W153" i="67"/>
  <c r="V153" i="67"/>
  <c r="U153" i="67"/>
  <c r="T153" i="67"/>
  <c r="S153" i="67"/>
  <c r="R153" i="67"/>
  <c r="Q153" i="67"/>
  <c r="P153" i="67"/>
  <c r="O153" i="67"/>
  <c r="W150" i="67"/>
  <c r="V150" i="67"/>
  <c r="U150" i="67"/>
  <c r="T150" i="67"/>
  <c r="S150" i="67"/>
  <c r="R150" i="67"/>
  <c r="Q150" i="67"/>
  <c r="P150" i="67"/>
  <c r="O150" i="67"/>
  <c r="W149" i="67"/>
  <c r="V149" i="67"/>
  <c r="U149" i="67"/>
  <c r="T149" i="67"/>
  <c r="S149" i="67"/>
  <c r="R149" i="67"/>
  <c r="Q149" i="67"/>
  <c r="P149" i="67"/>
  <c r="O149" i="67"/>
  <c r="W148" i="67"/>
  <c r="V148" i="67"/>
  <c r="U148" i="67"/>
  <c r="T148" i="67"/>
  <c r="S148" i="67"/>
  <c r="R148" i="67"/>
  <c r="Q148" i="67"/>
  <c r="P148" i="67"/>
  <c r="O148" i="67"/>
  <c r="W145" i="67"/>
  <c r="V145" i="67"/>
  <c r="U145" i="67"/>
  <c r="T145" i="67"/>
  <c r="S145" i="67"/>
  <c r="R145" i="67"/>
  <c r="Q145" i="67"/>
  <c r="P145" i="67"/>
  <c r="O145" i="67"/>
  <c r="W144" i="67"/>
  <c r="V144" i="67"/>
  <c r="U144" i="67"/>
  <c r="T144" i="67"/>
  <c r="S144" i="67"/>
  <c r="R144" i="67"/>
  <c r="Q144" i="67"/>
  <c r="P144" i="67"/>
  <c r="O144" i="67"/>
  <c r="W143" i="67"/>
  <c r="V143" i="67"/>
  <c r="U143" i="67"/>
  <c r="T143" i="67"/>
  <c r="S143" i="67"/>
  <c r="R143" i="67"/>
  <c r="Q143" i="67"/>
  <c r="P143" i="67"/>
  <c r="O143" i="67"/>
  <c r="M141" i="67"/>
  <c r="L141" i="67"/>
  <c r="K141" i="67"/>
  <c r="J141" i="67"/>
  <c r="I141" i="67"/>
  <c r="H141" i="67"/>
  <c r="G141" i="67"/>
  <c r="F141" i="67"/>
  <c r="E141" i="67"/>
  <c r="D141" i="67"/>
  <c r="C141" i="67"/>
  <c r="B141" i="67"/>
  <c r="W135" i="67"/>
  <c r="V135" i="67"/>
  <c r="U135" i="67"/>
  <c r="T135" i="67"/>
  <c r="S135" i="67"/>
  <c r="R135" i="67"/>
  <c r="Q135" i="67"/>
  <c r="P135" i="67"/>
  <c r="O135" i="67"/>
  <c r="W134" i="67"/>
  <c r="V134" i="67"/>
  <c r="U134" i="67"/>
  <c r="T134" i="67"/>
  <c r="S134" i="67"/>
  <c r="R134" i="67"/>
  <c r="Q134" i="67"/>
  <c r="P134" i="67"/>
  <c r="O134" i="67"/>
  <c r="W133" i="67"/>
  <c r="V133" i="67"/>
  <c r="U133" i="67"/>
  <c r="T133" i="67"/>
  <c r="S133" i="67"/>
  <c r="R133" i="67"/>
  <c r="Q133" i="67"/>
  <c r="P133" i="67"/>
  <c r="O133" i="67"/>
  <c r="W130" i="67"/>
  <c r="V130" i="67"/>
  <c r="U130" i="67"/>
  <c r="T130" i="67"/>
  <c r="S130" i="67"/>
  <c r="R130" i="67"/>
  <c r="Q130" i="67"/>
  <c r="P130" i="67"/>
  <c r="O130" i="67"/>
  <c r="W129" i="67"/>
  <c r="V129" i="67"/>
  <c r="U129" i="67"/>
  <c r="T129" i="67"/>
  <c r="S129" i="67"/>
  <c r="R129" i="67"/>
  <c r="Q129" i="67"/>
  <c r="P129" i="67"/>
  <c r="O129" i="67"/>
  <c r="W128" i="67"/>
  <c r="V128" i="67"/>
  <c r="U128" i="67"/>
  <c r="T128" i="67"/>
  <c r="S128" i="67"/>
  <c r="R128" i="67"/>
  <c r="Q128" i="67"/>
  <c r="P128" i="67"/>
  <c r="O128" i="67"/>
  <c r="W125" i="67"/>
  <c r="V125" i="67"/>
  <c r="U125" i="67"/>
  <c r="T125" i="67"/>
  <c r="S125" i="67"/>
  <c r="R125" i="67"/>
  <c r="Q125" i="67"/>
  <c r="P125" i="67"/>
  <c r="O125" i="67"/>
  <c r="W124" i="67"/>
  <c r="V124" i="67"/>
  <c r="U124" i="67"/>
  <c r="T124" i="67"/>
  <c r="S124" i="67"/>
  <c r="R124" i="67"/>
  <c r="Q124" i="67"/>
  <c r="P124" i="67"/>
  <c r="O124" i="67"/>
  <c r="W123" i="67"/>
  <c r="V123" i="67"/>
  <c r="U123" i="67"/>
  <c r="T123" i="67"/>
  <c r="S123" i="67"/>
  <c r="R123" i="67"/>
  <c r="Q123" i="67"/>
  <c r="P123" i="67"/>
  <c r="O123" i="67"/>
  <c r="W120" i="67"/>
  <c r="V120" i="67"/>
  <c r="U120" i="67"/>
  <c r="T120" i="67"/>
  <c r="S120" i="67"/>
  <c r="R120" i="67"/>
  <c r="Q120" i="67"/>
  <c r="P120" i="67"/>
  <c r="O120" i="67"/>
  <c r="W119" i="67"/>
  <c r="V119" i="67"/>
  <c r="U119" i="67"/>
  <c r="T119" i="67"/>
  <c r="S119" i="67"/>
  <c r="R119" i="67"/>
  <c r="Q119" i="67"/>
  <c r="P119" i="67"/>
  <c r="O119" i="67"/>
  <c r="W118" i="67"/>
  <c r="V118" i="67"/>
  <c r="U118" i="67"/>
  <c r="T118" i="67"/>
  <c r="S118" i="67"/>
  <c r="R118" i="67"/>
  <c r="Q118" i="67"/>
  <c r="P118" i="67"/>
  <c r="O118" i="67"/>
  <c r="W115" i="67"/>
  <c r="V115" i="67"/>
  <c r="U115" i="67"/>
  <c r="T115" i="67"/>
  <c r="S115" i="67"/>
  <c r="R115" i="67"/>
  <c r="Q115" i="67"/>
  <c r="P115" i="67"/>
  <c r="O115" i="67"/>
  <c r="B115" i="67"/>
  <c r="W114" i="67"/>
  <c r="V114" i="67"/>
  <c r="U114" i="67"/>
  <c r="T114" i="67"/>
  <c r="S114" i="67"/>
  <c r="R114" i="67"/>
  <c r="Q114" i="67"/>
  <c r="P114" i="67"/>
  <c r="O114" i="67"/>
  <c r="B114" i="67"/>
  <c r="W113" i="67"/>
  <c r="V113" i="67"/>
  <c r="U113" i="67"/>
  <c r="T113" i="67"/>
  <c r="S113" i="67"/>
  <c r="R113" i="67"/>
  <c r="Q113" i="67"/>
  <c r="P113" i="67"/>
  <c r="O113" i="67"/>
  <c r="B113" i="67"/>
  <c r="W110" i="67"/>
  <c r="V110" i="67"/>
  <c r="U110" i="67"/>
  <c r="T110" i="67"/>
  <c r="S110" i="67"/>
  <c r="R110" i="67"/>
  <c r="Q110" i="67"/>
  <c r="P110" i="67"/>
  <c r="O110" i="67"/>
  <c r="B110" i="67"/>
  <c r="W109" i="67"/>
  <c r="V109" i="67"/>
  <c r="U109" i="67"/>
  <c r="T109" i="67"/>
  <c r="S109" i="67"/>
  <c r="R109" i="67"/>
  <c r="Q109" i="67"/>
  <c r="P109" i="67"/>
  <c r="O109" i="67"/>
  <c r="B109" i="67"/>
  <c r="W108" i="67"/>
  <c r="V108" i="67"/>
  <c r="U108" i="67"/>
  <c r="T108" i="67"/>
  <c r="S108" i="67"/>
  <c r="R108" i="67"/>
  <c r="Q108" i="67"/>
  <c r="P108" i="67"/>
  <c r="O108" i="67"/>
  <c r="B108" i="67"/>
  <c r="W105" i="67"/>
  <c r="V105" i="67"/>
  <c r="U105" i="67"/>
  <c r="T105" i="67"/>
  <c r="S105" i="67"/>
  <c r="R105" i="67"/>
  <c r="Q105" i="67"/>
  <c r="P105" i="67"/>
  <c r="O105" i="67"/>
  <c r="W104" i="67"/>
  <c r="V104" i="67"/>
  <c r="U104" i="67"/>
  <c r="T104" i="67"/>
  <c r="S104" i="67"/>
  <c r="R104" i="67"/>
  <c r="Q104" i="67"/>
  <c r="P104" i="67"/>
  <c r="O104" i="67"/>
  <c r="W103" i="67"/>
  <c r="V103" i="67"/>
  <c r="U103" i="67"/>
  <c r="T103" i="67"/>
  <c r="S103" i="67"/>
  <c r="R103" i="67"/>
  <c r="Q103" i="67"/>
  <c r="P103" i="67"/>
  <c r="O103" i="67"/>
  <c r="W100" i="67"/>
  <c r="V100" i="67"/>
  <c r="U100" i="67"/>
  <c r="T100" i="67"/>
  <c r="S100" i="67"/>
  <c r="R100" i="67"/>
  <c r="Q100" i="67"/>
  <c r="P100" i="67"/>
  <c r="O100" i="67"/>
  <c r="W99" i="67"/>
  <c r="V99" i="67"/>
  <c r="U99" i="67"/>
  <c r="T99" i="67"/>
  <c r="S99" i="67"/>
  <c r="R99" i="67"/>
  <c r="Q99" i="67"/>
  <c r="P99" i="67"/>
  <c r="O99" i="67"/>
  <c r="W98" i="67"/>
  <c r="V98" i="67"/>
  <c r="U98" i="67"/>
  <c r="T98" i="67"/>
  <c r="S98" i="67"/>
  <c r="R98" i="67"/>
  <c r="Q98" i="67"/>
  <c r="P98" i="67"/>
  <c r="O98" i="67"/>
  <c r="W95" i="67"/>
  <c r="V95" i="67"/>
  <c r="U95" i="67"/>
  <c r="T95" i="67"/>
  <c r="S95" i="67"/>
  <c r="R95" i="67"/>
  <c r="Q95" i="67"/>
  <c r="P95" i="67"/>
  <c r="O95" i="67"/>
  <c r="W94" i="67"/>
  <c r="V94" i="67"/>
  <c r="U94" i="67"/>
  <c r="T94" i="67"/>
  <c r="S94" i="67"/>
  <c r="R94" i="67"/>
  <c r="Q94" i="67"/>
  <c r="P94" i="67"/>
  <c r="O94" i="67"/>
  <c r="W93" i="67"/>
  <c r="V93" i="67"/>
  <c r="U93" i="67"/>
  <c r="T93" i="67"/>
  <c r="S93" i="67"/>
  <c r="R93" i="67"/>
  <c r="Q93" i="67"/>
  <c r="P93" i="67"/>
  <c r="O93" i="67"/>
  <c r="W90" i="67"/>
  <c r="V90" i="67"/>
  <c r="U90" i="67"/>
  <c r="T90" i="67"/>
  <c r="S90" i="67"/>
  <c r="R90" i="67"/>
  <c r="Q90" i="67"/>
  <c r="P90" i="67"/>
  <c r="O90" i="67"/>
  <c r="W89" i="67"/>
  <c r="V89" i="67"/>
  <c r="U89" i="67"/>
  <c r="T89" i="67"/>
  <c r="S89" i="67"/>
  <c r="R89" i="67"/>
  <c r="Q89" i="67"/>
  <c r="P89" i="67"/>
  <c r="O89" i="67"/>
  <c r="W88" i="67"/>
  <c r="V88" i="67"/>
  <c r="U88" i="67"/>
  <c r="T88" i="67"/>
  <c r="S88" i="67"/>
  <c r="R88" i="67"/>
  <c r="Q88" i="67"/>
  <c r="P88" i="67"/>
  <c r="O88" i="67"/>
  <c r="W85" i="67"/>
  <c r="V85" i="67"/>
  <c r="U85" i="67"/>
  <c r="T85" i="67"/>
  <c r="S85" i="67"/>
  <c r="R85" i="67"/>
  <c r="Q85" i="67"/>
  <c r="P85" i="67"/>
  <c r="O85" i="67"/>
  <c r="W84" i="67"/>
  <c r="V84" i="67"/>
  <c r="U84" i="67"/>
  <c r="T84" i="67"/>
  <c r="S84" i="67"/>
  <c r="R84" i="67"/>
  <c r="Q84" i="67"/>
  <c r="P84" i="67"/>
  <c r="O84" i="67"/>
  <c r="W83" i="67"/>
  <c r="V83" i="67"/>
  <c r="U83" i="67"/>
  <c r="T83" i="67"/>
  <c r="S83" i="67"/>
  <c r="R83" i="67"/>
  <c r="Q83" i="67"/>
  <c r="P83" i="67"/>
  <c r="O83" i="67"/>
  <c r="W80" i="67"/>
  <c r="V80" i="67"/>
  <c r="U80" i="67"/>
  <c r="T80" i="67"/>
  <c r="S80" i="67"/>
  <c r="R80" i="67"/>
  <c r="Q80" i="67"/>
  <c r="P80" i="67"/>
  <c r="O80" i="67"/>
  <c r="W79" i="67"/>
  <c r="V79" i="67"/>
  <c r="U79" i="67"/>
  <c r="T79" i="67"/>
  <c r="S79" i="67"/>
  <c r="R79" i="67"/>
  <c r="Q79" i="67"/>
  <c r="P79" i="67"/>
  <c r="O79" i="67"/>
  <c r="W78" i="67"/>
  <c r="V78" i="67"/>
  <c r="U78" i="67"/>
  <c r="T78" i="67"/>
  <c r="S78" i="67"/>
  <c r="R78" i="67"/>
  <c r="Q78" i="67"/>
  <c r="P78" i="67"/>
  <c r="O78" i="67"/>
  <c r="W70" i="67"/>
  <c r="V70" i="67"/>
  <c r="U70" i="67"/>
  <c r="T70" i="67"/>
  <c r="S70" i="67"/>
  <c r="R70" i="67"/>
  <c r="Q70" i="67"/>
  <c r="P70" i="67"/>
  <c r="O70" i="67"/>
  <c r="W69" i="67"/>
  <c r="V69" i="67"/>
  <c r="U69" i="67"/>
  <c r="T69" i="67"/>
  <c r="S69" i="67"/>
  <c r="R69" i="67"/>
  <c r="Q69" i="67"/>
  <c r="P69" i="67"/>
  <c r="O69" i="67"/>
  <c r="W68" i="67"/>
  <c r="V68" i="67"/>
  <c r="U68" i="67"/>
  <c r="T68" i="67"/>
  <c r="S68" i="67"/>
  <c r="R68" i="67"/>
  <c r="Q68" i="67"/>
  <c r="P68" i="67"/>
  <c r="O68" i="67"/>
  <c r="W60" i="67"/>
  <c r="V60" i="67"/>
  <c r="U60" i="67"/>
  <c r="T60" i="67"/>
  <c r="S60" i="67"/>
  <c r="R60" i="67"/>
  <c r="Q60" i="67"/>
  <c r="P60" i="67"/>
  <c r="O60" i="67"/>
  <c r="W59" i="67"/>
  <c r="V59" i="67"/>
  <c r="U59" i="67"/>
  <c r="T59" i="67"/>
  <c r="S59" i="67"/>
  <c r="R59" i="67"/>
  <c r="Q59" i="67"/>
  <c r="P59" i="67"/>
  <c r="O59" i="67"/>
  <c r="W58" i="67"/>
  <c r="V58" i="67"/>
  <c r="U58" i="67"/>
  <c r="T58" i="67"/>
  <c r="S58" i="67"/>
  <c r="R58" i="67"/>
  <c r="Q58" i="67"/>
  <c r="P58" i="67"/>
  <c r="O58" i="67"/>
  <c r="W55" i="67"/>
  <c r="V55" i="67"/>
  <c r="U55" i="67"/>
  <c r="T55" i="67"/>
  <c r="S55" i="67"/>
  <c r="R55" i="67"/>
  <c r="Q55" i="67"/>
  <c r="P55" i="67"/>
  <c r="O55" i="67"/>
  <c r="W54" i="67"/>
  <c r="V54" i="67"/>
  <c r="U54" i="67"/>
  <c r="T54" i="67"/>
  <c r="S54" i="67"/>
  <c r="R54" i="67"/>
  <c r="Q54" i="67"/>
  <c r="P54" i="67"/>
  <c r="O54" i="67"/>
  <c r="W53" i="67"/>
  <c r="V53" i="67"/>
  <c r="U53" i="67"/>
  <c r="T53" i="67"/>
  <c r="S53" i="67"/>
  <c r="R53" i="67"/>
  <c r="Q53" i="67"/>
  <c r="P53" i="67"/>
  <c r="O53" i="67"/>
  <c r="W45" i="67"/>
  <c r="V45" i="67"/>
  <c r="U45" i="67"/>
  <c r="T45" i="67"/>
  <c r="S45" i="67"/>
  <c r="R45" i="67"/>
  <c r="Q45" i="67"/>
  <c r="P45" i="67"/>
  <c r="O45" i="67"/>
  <c r="W44" i="67"/>
  <c r="V44" i="67"/>
  <c r="U44" i="67"/>
  <c r="T44" i="67"/>
  <c r="S44" i="67"/>
  <c r="R44" i="67"/>
  <c r="Q44" i="67"/>
  <c r="P44" i="67"/>
  <c r="O44" i="67"/>
  <c r="W43" i="67"/>
  <c r="V43" i="67"/>
  <c r="U43" i="67"/>
  <c r="T43" i="67"/>
  <c r="S43" i="67"/>
  <c r="R43" i="67"/>
  <c r="Q43" i="67"/>
  <c r="P43" i="67"/>
  <c r="O43" i="67"/>
  <c r="W40" i="67"/>
  <c r="V40" i="67"/>
  <c r="U40" i="67"/>
  <c r="T40" i="67"/>
  <c r="S40" i="67"/>
  <c r="R40" i="67"/>
  <c r="Q40" i="67"/>
  <c r="P40" i="67"/>
  <c r="O40" i="67"/>
  <c r="W39" i="67"/>
  <c r="V39" i="67"/>
  <c r="U39" i="67"/>
  <c r="T39" i="67"/>
  <c r="S39" i="67"/>
  <c r="R39" i="67"/>
  <c r="Q39" i="67"/>
  <c r="P39" i="67"/>
  <c r="O39" i="67"/>
  <c r="W38" i="67"/>
  <c r="V38" i="67"/>
  <c r="U38" i="67"/>
  <c r="T38" i="67"/>
  <c r="S38" i="67"/>
  <c r="R38" i="67"/>
  <c r="Q38" i="67"/>
  <c r="P38" i="67"/>
  <c r="O38" i="67"/>
  <c r="W35" i="67"/>
  <c r="V35" i="67"/>
  <c r="U35" i="67"/>
  <c r="T35" i="67"/>
  <c r="S35" i="67"/>
  <c r="R35" i="67"/>
  <c r="Q35" i="67"/>
  <c r="P35" i="67"/>
  <c r="O35" i="67"/>
  <c r="W34" i="67"/>
  <c r="V34" i="67"/>
  <c r="U34" i="67"/>
  <c r="T34" i="67"/>
  <c r="S34" i="67"/>
  <c r="R34" i="67"/>
  <c r="Q34" i="67"/>
  <c r="P34" i="67"/>
  <c r="O34" i="67"/>
  <c r="W33" i="67"/>
  <c r="V33" i="67"/>
  <c r="U33" i="67"/>
  <c r="T33" i="67"/>
  <c r="S33" i="67"/>
  <c r="R33" i="67"/>
  <c r="Q33" i="67"/>
  <c r="P33" i="67"/>
  <c r="O33" i="67"/>
  <c r="W30" i="67"/>
  <c r="V30" i="67"/>
  <c r="U30" i="67"/>
  <c r="T30" i="67"/>
  <c r="S30" i="67"/>
  <c r="R30" i="67"/>
  <c r="Q30" i="67"/>
  <c r="P30" i="67"/>
  <c r="O30" i="67"/>
  <c r="W29" i="67"/>
  <c r="V29" i="67"/>
  <c r="U29" i="67"/>
  <c r="T29" i="67"/>
  <c r="S29" i="67"/>
  <c r="R29" i="67"/>
  <c r="Q29" i="67"/>
  <c r="P29" i="67"/>
  <c r="O29" i="67"/>
  <c r="W28" i="67"/>
  <c r="V28" i="67"/>
  <c r="U28" i="67"/>
  <c r="T28" i="67"/>
  <c r="S28" i="67"/>
  <c r="R28" i="67"/>
  <c r="Q28" i="67"/>
  <c r="P28" i="67"/>
  <c r="O28" i="67"/>
  <c r="W25" i="67"/>
  <c r="V25" i="67"/>
  <c r="U25" i="67"/>
  <c r="T25" i="67"/>
  <c r="S25" i="67"/>
  <c r="R25" i="67"/>
  <c r="Q25" i="67"/>
  <c r="P25" i="67"/>
  <c r="O25" i="67"/>
  <c r="W24" i="67"/>
  <c r="V24" i="67"/>
  <c r="U24" i="67"/>
  <c r="T24" i="67"/>
  <c r="S24" i="67"/>
  <c r="R24" i="67"/>
  <c r="Q24" i="67"/>
  <c r="P24" i="67"/>
  <c r="O24" i="67"/>
  <c r="W23" i="67"/>
  <c r="V23" i="67"/>
  <c r="U23" i="67"/>
  <c r="T23" i="67"/>
  <c r="S23" i="67"/>
  <c r="R23" i="67"/>
  <c r="Q23" i="67"/>
  <c r="P23" i="67"/>
  <c r="O23" i="67"/>
  <c r="W15" i="67"/>
  <c r="V15" i="67"/>
  <c r="U15" i="67"/>
  <c r="T15" i="67"/>
  <c r="S15" i="67"/>
  <c r="S75" i="67" s="1"/>
  <c r="R15" i="67"/>
  <c r="Q15" i="67"/>
  <c r="P15" i="67"/>
  <c r="O15" i="67"/>
  <c r="W14" i="67"/>
  <c r="V14" i="67"/>
  <c r="U14" i="67"/>
  <c r="T14" i="67"/>
  <c r="S14" i="67"/>
  <c r="R14" i="67"/>
  <c r="Q14" i="67"/>
  <c r="P14" i="67"/>
  <c r="P74" i="67" s="1"/>
  <c r="O14" i="67"/>
  <c r="W13" i="67"/>
  <c r="V13" i="67"/>
  <c r="U13" i="67"/>
  <c r="T13" i="67"/>
  <c r="S13" i="67"/>
  <c r="R13" i="67"/>
  <c r="Q13" i="67"/>
  <c r="P13" i="67"/>
  <c r="O13" i="67"/>
  <c r="W10" i="67"/>
  <c r="V10" i="67"/>
  <c r="U10" i="67"/>
  <c r="T10" i="67"/>
  <c r="S10" i="67"/>
  <c r="R10" i="67"/>
  <c r="Q10" i="67"/>
  <c r="P10" i="67"/>
  <c r="O10" i="67"/>
  <c r="W9" i="67"/>
  <c r="V9" i="67"/>
  <c r="U9" i="67"/>
  <c r="T9" i="67"/>
  <c r="S9" i="67"/>
  <c r="R9" i="67"/>
  <c r="Q9" i="67"/>
  <c r="P9" i="67"/>
  <c r="O9" i="67"/>
  <c r="W8" i="67"/>
  <c r="V8" i="67"/>
  <c r="U8" i="67"/>
  <c r="T8" i="67"/>
  <c r="S8" i="67"/>
  <c r="R8" i="67"/>
  <c r="Q8" i="67"/>
  <c r="P8" i="67"/>
  <c r="O8" i="67"/>
  <c r="W7" i="67"/>
  <c r="V7" i="67"/>
  <c r="U7" i="67"/>
  <c r="T7" i="67"/>
  <c r="S7" i="67"/>
  <c r="R7" i="67"/>
  <c r="Q7" i="67"/>
  <c r="P7" i="67"/>
  <c r="O286" i="67"/>
  <c r="N7" i="67"/>
  <c r="M7" i="67"/>
  <c r="L7" i="67"/>
  <c r="K7" i="67"/>
  <c r="J7" i="67"/>
  <c r="I7" i="67"/>
  <c r="H7" i="67"/>
  <c r="G7" i="67"/>
  <c r="F7" i="67"/>
  <c r="E7" i="67"/>
  <c r="D7" i="67"/>
  <c r="C7" i="67"/>
  <c r="B7" i="67"/>
  <c r="C5" i="67"/>
  <c r="B5" i="67"/>
  <c r="W4" i="67"/>
  <c r="V4" i="67"/>
  <c r="U4" i="67"/>
  <c r="T4" i="67"/>
  <c r="S4" i="67"/>
  <c r="R4" i="67"/>
  <c r="Q4" i="67"/>
  <c r="P4" i="67"/>
  <c r="N4" i="67"/>
  <c r="M4" i="67"/>
  <c r="L4" i="67"/>
  <c r="K4" i="67"/>
  <c r="J4" i="67"/>
  <c r="I4" i="67"/>
  <c r="H4" i="67"/>
  <c r="G4" i="67"/>
  <c r="F4" i="67"/>
  <c r="E4" i="67"/>
  <c r="D4" i="67"/>
  <c r="C4" i="67"/>
  <c r="B4" i="67"/>
  <c r="O12" i="5"/>
  <c r="L12" i="5"/>
  <c r="C23" i="90" l="1"/>
  <c r="C31" i="90" s="1"/>
  <c r="C36" i="90" s="1"/>
  <c r="C66" i="90"/>
  <c r="B211" i="18"/>
  <c r="E14" i="67"/>
  <c r="L14" i="67"/>
  <c r="AE11" i="60"/>
  <c r="P15" i="60"/>
  <c r="B9" i="60" s="1"/>
  <c r="B47" i="60" s="1"/>
  <c r="Y5" i="6"/>
  <c r="E30" i="12"/>
  <c r="Q17" i="60"/>
  <c r="C10" i="60" s="1"/>
  <c r="C48" i="60" s="1"/>
  <c r="AF12" i="60"/>
  <c r="AR35" i="60" s="1"/>
  <c r="AR37" i="60" s="1"/>
  <c r="D30" i="12"/>
  <c r="D6" i="6"/>
  <c r="R17" i="60"/>
  <c r="D10" i="60" s="1"/>
  <c r="D48" i="60" s="1"/>
  <c r="AG12" i="60"/>
  <c r="AG50" i="60" s="1"/>
  <c r="F211" i="18"/>
  <c r="M202" i="67"/>
  <c r="M203" i="67" s="1"/>
  <c r="C30" i="12"/>
  <c r="C41" i="12" s="1"/>
  <c r="M84" i="67"/>
  <c r="AE12" i="60"/>
  <c r="P17" i="60"/>
  <c r="B10" i="60" s="1"/>
  <c r="B48" i="60" s="1"/>
  <c r="M6" i="6"/>
  <c r="Q8" i="60" s="1"/>
  <c r="M196" i="67"/>
  <c r="M193" i="67"/>
  <c r="N193" i="67"/>
  <c r="N196" i="67"/>
  <c r="W196" i="67"/>
  <c r="W190" i="67"/>
  <c r="W193" i="67"/>
  <c r="C193" i="67"/>
  <c r="C196" i="67"/>
  <c r="K193" i="67"/>
  <c r="K196" i="67"/>
  <c r="S193" i="67"/>
  <c r="S196" i="67"/>
  <c r="S190" i="67"/>
  <c r="N320" i="67"/>
  <c r="I6" i="6"/>
  <c r="I207" i="67" s="1"/>
  <c r="I208" i="67" s="1"/>
  <c r="L193" i="67"/>
  <c r="L196" i="67"/>
  <c r="L301" i="67"/>
  <c r="V196" i="67"/>
  <c r="V190" i="67"/>
  <c r="V193" i="67"/>
  <c r="G211" i="18"/>
  <c r="H196" i="67"/>
  <c r="H193" i="67"/>
  <c r="P196" i="67"/>
  <c r="P193" i="67"/>
  <c r="P190" i="67"/>
  <c r="H211" i="18"/>
  <c r="T196" i="67"/>
  <c r="T190" i="67"/>
  <c r="T193" i="67"/>
  <c r="U196" i="67"/>
  <c r="U190" i="67"/>
  <c r="U193" i="67"/>
  <c r="F193" i="67"/>
  <c r="F196" i="67"/>
  <c r="G193" i="67"/>
  <c r="G196" i="67"/>
  <c r="I193" i="67"/>
  <c r="I196" i="67"/>
  <c r="Q190" i="67"/>
  <c r="Q193" i="67"/>
  <c r="Q196" i="67"/>
  <c r="N84" i="67"/>
  <c r="N85" i="67" s="1"/>
  <c r="F320" i="67"/>
  <c r="G6" i="6"/>
  <c r="I211" i="18"/>
  <c r="D193" i="67"/>
  <c r="D196" i="67"/>
  <c r="E196" i="67"/>
  <c r="E193" i="67"/>
  <c r="B193" i="67"/>
  <c r="B196" i="67"/>
  <c r="J196" i="67"/>
  <c r="J193" i="67"/>
  <c r="R190" i="67"/>
  <c r="R196" i="67"/>
  <c r="R193" i="67"/>
  <c r="H6" i="6"/>
  <c r="H207" i="67" s="1"/>
  <c r="H206" i="67" s="1"/>
  <c r="J211" i="18"/>
  <c r="O169" i="67"/>
  <c r="P244" i="67"/>
  <c r="P187" i="67"/>
  <c r="R244" i="67"/>
  <c r="R187" i="67"/>
  <c r="T244" i="67"/>
  <c r="T187" i="67"/>
  <c r="V244" i="67"/>
  <c r="V187" i="67"/>
  <c r="Q244" i="67"/>
  <c r="Q187" i="67"/>
  <c r="S244" i="67"/>
  <c r="S187" i="67"/>
  <c r="U244" i="67"/>
  <c r="U187" i="67"/>
  <c r="W244" i="67"/>
  <c r="W187" i="67"/>
  <c r="J172" i="21"/>
  <c r="J173" i="21" s="1"/>
  <c r="L172" i="21"/>
  <c r="L173" i="21" s="1"/>
  <c r="E210" i="18"/>
  <c r="E211" i="18" s="1"/>
  <c r="K172" i="21"/>
  <c r="K173" i="21" s="1"/>
  <c r="AL119" i="15"/>
  <c r="H172" i="21"/>
  <c r="H173" i="21" s="1"/>
  <c r="C50" i="6"/>
  <c r="C49" i="6" s="1"/>
  <c r="F172" i="21"/>
  <c r="F173" i="21" s="1"/>
  <c r="K163" i="67"/>
  <c r="K168" i="67" s="1"/>
  <c r="K169" i="67"/>
  <c r="J163" i="67"/>
  <c r="J168" i="67" s="1"/>
  <c r="J169" i="67"/>
  <c r="E87" i="67"/>
  <c r="E167" i="67"/>
  <c r="I127" i="67"/>
  <c r="I167" i="67"/>
  <c r="U62" i="67"/>
  <c r="U167" i="67"/>
  <c r="B47" i="67"/>
  <c r="B167" i="67"/>
  <c r="D42" i="67"/>
  <c r="D167" i="67"/>
  <c r="F147" i="67"/>
  <c r="F167" i="67"/>
  <c r="H107" i="67"/>
  <c r="H167" i="67"/>
  <c r="J162" i="67"/>
  <c r="J167" i="67"/>
  <c r="L162" i="67"/>
  <c r="L167" i="67"/>
  <c r="N62" i="67"/>
  <c r="N167" i="67"/>
  <c r="P157" i="67"/>
  <c r="P167" i="67"/>
  <c r="R122" i="67"/>
  <c r="R167" i="67"/>
  <c r="T107" i="67"/>
  <c r="T167" i="67"/>
  <c r="V177" i="67"/>
  <c r="V167" i="67"/>
  <c r="C62" i="67"/>
  <c r="C167" i="67"/>
  <c r="G82" i="67"/>
  <c r="G167" i="67"/>
  <c r="K117" i="67"/>
  <c r="K167" i="67"/>
  <c r="M82" i="67"/>
  <c r="M167" i="67"/>
  <c r="Q261" i="67"/>
  <c r="Q167" i="67"/>
  <c r="S292" i="67"/>
  <c r="S167" i="67"/>
  <c r="W215" i="67"/>
  <c r="W167" i="67"/>
  <c r="B50" i="6"/>
  <c r="B49" i="6" s="1"/>
  <c r="D71" i="6"/>
  <c r="D320" i="67"/>
  <c r="K40" i="74"/>
  <c r="O40" i="74"/>
  <c r="P40" i="74" s="1"/>
  <c r="H40" i="74"/>
  <c r="L40" i="74"/>
  <c r="I40" i="74"/>
  <c r="M40" i="74"/>
  <c r="J40" i="74"/>
  <c r="N40" i="74"/>
  <c r="N325" i="67"/>
  <c r="N168" i="6"/>
  <c r="L222" i="67"/>
  <c r="L221" i="67" s="1"/>
  <c r="L325" i="67"/>
  <c r="L329" i="67"/>
  <c r="M222" i="67"/>
  <c r="M221" i="67" s="1"/>
  <c r="M325" i="67"/>
  <c r="M329" i="67"/>
  <c r="N222" i="67"/>
  <c r="N221" i="67" s="1"/>
  <c r="Z134" i="68"/>
  <c r="BY404" i="67"/>
  <c r="BY408" i="67" s="1"/>
  <c r="K217" i="67"/>
  <c r="K218" i="67" s="1"/>
  <c r="H325" i="67"/>
  <c r="J324" i="67"/>
  <c r="L323" i="67"/>
  <c r="D327" i="67"/>
  <c r="F324" i="67"/>
  <c r="G331" i="67"/>
  <c r="L217" i="67"/>
  <c r="L218" i="67" s="1"/>
  <c r="L347" i="67"/>
  <c r="AU404" i="67"/>
  <c r="AU408" i="67" s="1"/>
  <c r="AY404" i="67"/>
  <c r="AY408" i="67" s="1"/>
  <c r="G323" i="67"/>
  <c r="D174" i="67"/>
  <c r="D173" i="67" s="1"/>
  <c r="I300" i="67"/>
  <c r="G299" i="67"/>
  <c r="G202" i="67"/>
  <c r="G201" i="67" s="1"/>
  <c r="AF404" i="67"/>
  <c r="AF408" i="67" s="1"/>
  <c r="AV404" i="67"/>
  <c r="AV408" i="67" s="1"/>
  <c r="BD404" i="67"/>
  <c r="BD408" i="67" s="1"/>
  <c r="BL404" i="67"/>
  <c r="BL408" i="67" s="1"/>
  <c r="K202" i="67"/>
  <c r="K201" i="67" s="1"/>
  <c r="R160" i="18"/>
  <c r="R157" i="18"/>
  <c r="J184" i="67"/>
  <c r="J185" i="67" s="1"/>
  <c r="J217" i="67"/>
  <c r="J216" i="67" s="1"/>
  <c r="J323" i="67"/>
  <c r="F327" i="67"/>
  <c r="E331" i="67"/>
  <c r="F217" i="67"/>
  <c r="F216" i="67" s="1"/>
  <c r="J331" i="67"/>
  <c r="L350" i="67"/>
  <c r="G217" i="67"/>
  <c r="G216" i="67" s="1"/>
  <c r="D323" i="67"/>
  <c r="I328" i="67"/>
  <c r="F331" i="67"/>
  <c r="K9" i="67"/>
  <c r="K10" i="67" s="1"/>
  <c r="I217" i="67"/>
  <c r="I218" i="67" s="1"/>
  <c r="E212" i="67"/>
  <c r="E213" i="67" s="1"/>
  <c r="E327" i="67"/>
  <c r="AK404" i="67"/>
  <c r="AK408" i="67" s="1"/>
  <c r="AS404" i="67"/>
  <c r="AS408" i="67" s="1"/>
  <c r="AW404" i="67"/>
  <c r="AW408" i="67" s="1"/>
  <c r="BA404" i="67"/>
  <c r="BA408" i="67" s="1"/>
  <c r="BE404" i="67"/>
  <c r="BE408" i="67" s="1"/>
  <c r="BM404" i="67"/>
  <c r="BM408" i="67" s="1"/>
  <c r="BQ404" i="67"/>
  <c r="BQ408" i="67" s="1"/>
  <c r="I49" i="6"/>
  <c r="M212" i="67"/>
  <c r="M213" i="67" s="1"/>
  <c r="BU404" i="67"/>
  <c r="BU408" i="67" s="1"/>
  <c r="BT404" i="67"/>
  <c r="BT408" i="67" s="1"/>
  <c r="BC404" i="67"/>
  <c r="BC408" i="67" s="1"/>
  <c r="BG404" i="67"/>
  <c r="BG408" i="67" s="1"/>
  <c r="BO404" i="67"/>
  <c r="BO408" i="67" s="1"/>
  <c r="BW404" i="67"/>
  <c r="BW408" i="67" s="1"/>
  <c r="AD404" i="67"/>
  <c r="AD408" i="67" s="1"/>
  <c r="AL404" i="67"/>
  <c r="AL408" i="67" s="1"/>
  <c r="AT404" i="67"/>
  <c r="AT408" i="67" s="1"/>
  <c r="BB404" i="67"/>
  <c r="BB408" i="67" s="1"/>
  <c r="BJ404" i="67"/>
  <c r="BJ408" i="67" s="1"/>
  <c r="BR404" i="67"/>
  <c r="BR408" i="67" s="1"/>
  <c r="J49" i="6"/>
  <c r="N254" i="67"/>
  <c r="G164" i="67"/>
  <c r="K174" i="67"/>
  <c r="I212" i="67"/>
  <c r="L295" i="67"/>
  <c r="E329" i="67"/>
  <c r="BV11" i="18"/>
  <c r="E71" i="6"/>
  <c r="E320" i="67"/>
  <c r="CD214" i="18"/>
  <c r="CD9" i="18" s="1"/>
  <c r="BZ10" i="18"/>
  <c r="M9" i="67"/>
  <c r="M8" i="67" s="1"/>
  <c r="E164" i="67"/>
  <c r="M164" i="67"/>
  <c r="I184" i="67"/>
  <c r="I185" i="67" s="1"/>
  <c r="G212" i="67"/>
  <c r="G213" i="67" s="1"/>
  <c r="K212" i="67"/>
  <c r="K211" i="67" s="1"/>
  <c r="E299" i="67"/>
  <c r="M299" i="67"/>
  <c r="G300" i="67"/>
  <c r="K300" i="67"/>
  <c r="I323" i="67"/>
  <c r="K323" i="67"/>
  <c r="M324" i="67"/>
  <c r="G325" i="67"/>
  <c r="K327" i="67"/>
  <c r="K328" i="67"/>
  <c r="G329" i="67"/>
  <c r="N242" i="67"/>
  <c r="Q73" i="67"/>
  <c r="U73" i="67"/>
  <c r="O138" i="67"/>
  <c r="W138" i="67"/>
  <c r="S63" i="67"/>
  <c r="U63" i="67"/>
  <c r="T139" i="67"/>
  <c r="Q50" i="67"/>
  <c r="P20" i="67"/>
  <c r="W20" i="67"/>
  <c r="Q139" i="67"/>
  <c r="S10" i="18"/>
  <c r="R64" i="67"/>
  <c r="T64" i="67"/>
  <c r="V64" i="67"/>
  <c r="Q65" i="67"/>
  <c r="V49" i="67"/>
  <c r="Q140" i="67"/>
  <c r="T19" i="67"/>
  <c r="P139" i="67"/>
  <c r="V12" i="67"/>
  <c r="H17" i="67"/>
  <c r="H22" i="67"/>
  <c r="H27" i="67"/>
  <c r="T32" i="67"/>
  <c r="H37" i="67"/>
  <c r="P42" i="67"/>
  <c r="T47" i="67"/>
  <c r="H52" i="67"/>
  <c r="H57" i="67"/>
  <c r="S65" i="67"/>
  <c r="D67" i="67"/>
  <c r="W73" i="67"/>
  <c r="P72" i="67"/>
  <c r="H82" i="67"/>
  <c r="P82" i="67"/>
  <c r="L92" i="67"/>
  <c r="U140" i="67"/>
  <c r="P102" i="67"/>
  <c r="T117" i="67"/>
  <c r="D122" i="67"/>
  <c r="H142" i="67"/>
  <c r="P12" i="67"/>
  <c r="S18" i="67"/>
  <c r="W18" i="67"/>
  <c r="S19" i="67"/>
  <c r="F17" i="67"/>
  <c r="P17" i="67"/>
  <c r="V32" i="67"/>
  <c r="B37" i="67"/>
  <c r="L37" i="67"/>
  <c r="L42" i="67"/>
  <c r="V42" i="67"/>
  <c r="R48" i="67"/>
  <c r="T48" i="67"/>
  <c r="V48" i="67"/>
  <c r="S49" i="67"/>
  <c r="U49" i="67"/>
  <c r="W49" i="67"/>
  <c r="P50" i="67"/>
  <c r="R50" i="67"/>
  <c r="T50" i="67"/>
  <c r="F47" i="67"/>
  <c r="B52" i="67"/>
  <c r="L57" i="67"/>
  <c r="S64" i="67"/>
  <c r="T62" i="67"/>
  <c r="H67" i="67"/>
  <c r="T73" i="67"/>
  <c r="V73" i="67"/>
  <c r="Q74" i="67"/>
  <c r="P75" i="67"/>
  <c r="R75" i="67"/>
  <c r="T75" i="67"/>
  <c r="D72" i="67"/>
  <c r="L82" i="67"/>
  <c r="S139" i="67"/>
  <c r="H102" i="67"/>
  <c r="T102" i="67"/>
  <c r="T112" i="67"/>
  <c r="D142" i="67"/>
  <c r="P152" i="67"/>
  <c r="H172" i="67"/>
  <c r="P225" i="67"/>
  <c r="T237" i="67"/>
  <c r="P256" i="67"/>
  <c r="AQ397" i="67"/>
  <c r="AQ403" i="67" s="1"/>
  <c r="AC358" i="67"/>
  <c r="G397" i="67"/>
  <c r="G403" i="67" s="1"/>
  <c r="O397" i="67"/>
  <c r="O403" i="67" s="1"/>
  <c r="W397" i="67"/>
  <c r="W403" i="67" s="1"/>
  <c r="D397" i="67"/>
  <c r="D403" i="67" s="1"/>
  <c r="F397" i="67"/>
  <c r="F403" i="67" s="1"/>
  <c r="N397" i="67"/>
  <c r="N403" i="67" s="1"/>
  <c r="T397" i="67"/>
  <c r="T403" i="67" s="1"/>
  <c r="V397" i="67"/>
  <c r="V403" i="67" s="1"/>
  <c r="AD397" i="67"/>
  <c r="AD403" i="67" s="1"/>
  <c r="AL397" i="67"/>
  <c r="AL403" i="67" s="1"/>
  <c r="E154" i="18"/>
  <c r="J378" i="67"/>
  <c r="X378" i="67"/>
  <c r="AK378" i="67"/>
  <c r="AN378" i="67"/>
  <c r="I12" i="67"/>
  <c r="S12" i="67"/>
  <c r="U17" i="67"/>
  <c r="Q18" i="67"/>
  <c r="C22" i="67"/>
  <c r="E22" i="67"/>
  <c r="M22" i="67"/>
  <c r="Q22" i="67"/>
  <c r="M27" i="67"/>
  <c r="Q27" i="67"/>
  <c r="E32" i="67"/>
  <c r="I32" i="67"/>
  <c r="K32" i="67"/>
  <c r="M32" i="67"/>
  <c r="E37" i="67"/>
  <c r="Q37" i="67"/>
  <c r="E42" i="67"/>
  <c r="S42" i="67"/>
  <c r="I47" i="67"/>
  <c r="Q47" i="67"/>
  <c r="U48" i="67"/>
  <c r="O50" i="67"/>
  <c r="E52" i="67"/>
  <c r="M52" i="67"/>
  <c r="Q52" i="67"/>
  <c r="Q57" i="67"/>
  <c r="I62" i="67"/>
  <c r="Q62" i="67"/>
  <c r="T63" i="67"/>
  <c r="R65" i="67"/>
  <c r="M67" i="67"/>
  <c r="S67" i="67"/>
  <c r="U67" i="67"/>
  <c r="G72" i="67"/>
  <c r="G77" i="67"/>
  <c r="Q77" i="67"/>
  <c r="U82" i="67"/>
  <c r="I87" i="67"/>
  <c r="U87" i="67"/>
  <c r="Q92" i="67"/>
  <c r="I97" i="67"/>
  <c r="Q97" i="67"/>
  <c r="P138" i="67"/>
  <c r="V138" i="67"/>
  <c r="U139" i="67"/>
  <c r="W139" i="67"/>
  <c r="R140" i="67"/>
  <c r="T140" i="67"/>
  <c r="V140" i="67"/>
  <c r="I107" i="67"/>
  <c r="S107" i="67"/>
  <c r="Q112" i="67"/>
  <c r="Q117" i="67"/>
  <c r="I122" i="67"/>
  <c r="U132" i="67"/>
  <c r="E137" i="67"/>
  <c r="I137" i="67"/>
  <c r="Q142" i="67"/>
  <c r="E147" i="67"/>
  <c r="I147" i="67"/>
  <c r="W147" i="67"/>
  <c r="I152" i="67"/>
  <c r="G157" i="67"/>
  <c r="I162" i="67"/>
  <c r="Q172" i="67"/>
  <c r="Q177" i="67"/>
  <c r="U182" i="67"/>
  <c r="U200" i="67"/>
  <c r="Q205" i="67"/>
  <c r="Q215" i="67"/>
  <c r="Q220" i="67"/>
  <c r="U230" i="67"/>
  <c r="W271" i="67"/>
  <c r="Q286" i="67"/>
  <c r="W317" i="67"/>
  <c r="F358" i="67"/>
  <c r="R358" i="67"/>
  <c r="V358" i="67"/>
  <c r="Z358" i="67"/>
  <c r="AH358" i="67"/>
  <c r="AP358" i="67"/>
  <c r="L397" i="67"/>
  <c r="L403" i="67" s="1"/>
  <c r="P397" i="67"/>
  <c r="P403" i="67" s="1"/>
  <c r="AJ397" i="67"/>
  <c r="AJ403" i="67" s="1"/>
  <c r="AQ404" i="67"/>
  <c r="AQ408" i="67" s="1"/>
  <c r="BI404" i="67"/>
  <c r="BI408" i="67" s="1"/>
  <c r="BK404" i="67"/>
  <c r="BK408" i="67" s="1"/>
  <c r="D239" i="18"/>
  <c r="F41" i="6"/>
  <c r="I14" i="67"/>
  <c r="I13" i="67" s="1"/>
  <c r="J18" i="67" s="1"/>
  <c r="D19" i="61"/>
  <c r="G154" i="18"/>
  <c r="G239" i="18"/>
  <c r="F19" i="61"/>
  <c r="I154" i="18"/>
  <c r="I239" i="18"/>
  <c r="I41" i="6"/>
  <c r="G242" i="18"/>
  <c r="I242" i="18"/>
  <c r="K242" i="18"/>
  <c r="I43" i="6"/>
  <c r="I24" i="67" s="1"/>
  <c r="I23" i="67" s="1"/>
  <c r="D22" i="61"/>
  <c r="G246" i="18"/>
  <c r="K168" i="6"/>
  <c r="F22" i="61"/>
  <c r="I246" i="18"/>
  <c r="M168" i="6"/>
  <c r="H22" i="61"/>
  <c r="K246" i="18"/>
  <c r="F242" i="18"/>
  <c r="G49" i="6"/>
  <c r="E174" i="18"/>
  <c r="G168" i="6"/>
  <c r="E177" i="18"/>
  <c r="E187" i="18" s="1"/>
  <c r="C197" i="18"/>
  <c r="C198" i="18" s="1"/>
  <c r="E123" i="68" s="1"/>
  <c r="E124" i="68" s="1"/>
  <c r="E125" i="68" s="1"/>
  <c r="E126" i="68" s="1"/>
  <c r="G115" i="6"/>
  <c r="E197" i="18"/>
  <c r="E198" i="18" s="1"/>
  <c r="G123" i="68" s="1"/>
  <c r="G124" i="68" s="1"/>
  <c r="G125" i="68" s="1"/>
  <c r="G126" i="68" s="1"/>
  <c r="I115" i="6"/>
  <c r="G197" i="18"/>
  <c r="G198" i="18" s="1"/>
  <c r="I123" i="68" s="1"/>
  <c r="I124" i="68" s="1"/>
  <c r="I125" i="68" s="1"/>
  <c r="I126" i="68" s="1"/>
  <c r="M115" i="6"/>
  <c r="K197" i="18"/>
  <c r="K198" i="18" s="1"/>
  <c r="M123" i="68" s="1"/>
  <c r="M124" i="68" s="1"/>
  <c r="F138" i="68"/>
  <c r="J138" i="68"/>
  <c r="L138" i="68"/>
  <c r="N138" i="68"/>
  <c r="I17" i="74"/>
  <c r="M17" i="74"/>
  <c r="O17" i="74"/>
  <c r="G140" i="68"/>
  <c r="I140" i="68"/>
  <c r="K140" i="68"/>
  <c r="M140" i="68"/>
  <c r="H109" i="6"/>
  <c r="L109" i="6"/>
  <c r="N109" i="6"/>
  <c r="I306" i="67"/>
  <c r="C20" i="74"/>
  <c r="E20" i="74"/>
  <c r="H84" i="67"/>
  <c r="H83" i="67" s="1"/>
  <c r="J84" i="67"/>
  <c r="J85" i="67" s="1"/>
  <c r="D21" i="74"/>
  <c r="F21" i="74"/>
  <c r="E28" i="12"/>
  <c r="O150" i="6"/>
  <c r="AM364" i="67"/>
  <c r="T364" i="67"/>
  <c r="H375" i="67"/>
  <c r="AH364" i="67"/>
  <c r="R103" i="15"/>
  <c r="R110" i="15" s="1"/>
  <c r="V364" i="67"/>
  <c r="O146" i="18"/>
  <c r="Q47" i="6" s="1"/>
  <c r="C15" i="21"/>
  <c r="D14" i="21"/>
  <c r="D10" i="21" s="1"/>
  <c r="L9" i="67"/>
  <c r="L8" i="67" s="1"/>
  <c r="E12" i="67"/>
  <c r="M12" i="67"/>
  <c r="Q12" i="67"/>
  <c r="U12" i="67"/>
  <c r="W12" i="67"/>
  <c r="P48" i="67"/>
  <c r="R73" i="67"/>
  <c r="K14" i="67"/>
  <c r="K13" i="67" s="1"/>
  <c r="K18" i="67" s="1"/>
  <c r="O49" i="67"/>
  <c r="Q19" i="67"/>
  <c r="V19" i="67"/>
  <c r="W19" i="67"/>
  <c r="T20" i="67"/>
  <c r="V50" i="67"/>
  <c r="C17" i="67"/>
  <c r="G17" i="67"/>
  <c r="I17" i="67"/>
  <c r="Q17" i="67"/>
  <c r="P18" i="67"/>
  <c r="D22" i="67"/>
  <c r="F22" i="67"/>
  <c r="I22" i="67"/>
  <c r="P22" i="67"/>
  <c r="U22" i="67"/>
  <c r="F27" i="67"/>
  <c r="I27" i="67"/>
  <c r="P27" i="67"/>
  <c r="H32" i="67"/>
  <c r="J32" i="67"/>
  <c r="L32" i="67"/>
  <c r="Q32" i="67"/>
  <c r="U32" i="67"/>
  <c r="C37" i="67"/>
  <c r="F37" i="67"/>
  <c r="I37" i="67"/>
  <c r="P37" i="67"/>
  <c r="I42" i="67"/>
  <c r="M42" i="67"/>
  <c r="Q42" i="67"/>
  <c r="U42" i="67"/>
  <c r="Q48" i="67"/>
  <c r="S48" i="67"/>
  <c r="P49" i="67"/>
  <c r="U50" i="67"/>
  <c r="W50" i="67"/>
  <c r="H47" i="67"/>
  <c r="M47" i="67"/>
  <c r="S47" i="67"/>
  <c r="U47" i="67"/>
  <c r="D52" i="67"/>
  <c r="F52" i="67"/>
  <c r="I52" i="67"/>
  <c r="P52" i="67"/>
  <c r="I57" i="67"/>
  <c r="M57" i="67"/>
  <c r="U57" i="67"/>
  <c r="R63" i="67"/>
  <c r="W64" i="67"/>
  <c r="U65" i="67"/>
  <c r="V65" i="67"/>
  <c r="E62" i="67"/>
  <c r="P62" i="67"/>
  <c r="S62" i="67"/>
  <c r="F67" i="67"/>
  <c r="I67" i="67"/>
  <c r="Q67" i="67"/>
  <c r="T67" i="67"/>
  <c r="R74" i="67"/>
  <c r="V74" i="67"/>
  <c r="U75" i="67"/>
  <c r="W75" i="67"/>
  <c r="F72" i="67"/>
  <c r="I72" i="67"/>
  <c r="Q72" i="67"/>
  <c r="I77" i="67"/>
  <c r="I82" i="67"/>
  <c r="Q82" i="67"/>
  <c r="Q87" i="67"/>
  <c r="V87" i="67"/>
  <c r="I92" i="67"/>
  <c r="P92" i="67"/>
  <c r="P97" i="67"/>
  <c r="Q138" i="67"/>
  <c r="S138" i="67"/>
  <c r="U138" i="67"/>
  <c r="R139" i="67"/>
  <c r="W140" i="67"/>
  <c r="I102" i="67"/>
  <c r="Q102" i="67"/>
  <c r="Q107" i="67"/>
  <c r="S112" i="67"/>
  <c r="W112" i="67"/>
  <c r="S117" i="67"/>
  <c r="G122" i="67"/>
  <c r="Q122" i="67"/>
  <c r="V122" i="67"/>
  <c r="L127" i="67"/>
  <c r="P132" i="67"/>
  <c r="H137" i="67"/>
  <c r="Q137" i="67"/>
  <c r="G142" i="67"/>
  <c r="P142" i="67"/>
  <c r="H147" i="67"/>
  <c r="Q147" i="67"/>
  <c r="J152" i="67"/>
  <c r="Q157" i="67"/>
  <c r="D162" i="67"/>
  <c r="V162" i="67"/>
  <c r="F164" i="67"/>
  <c r="H164" i="67"/>
  <c r="P172" i="67"/>
  <c r="J174" i="67"/>
  <c r="L174" i="67"/>
  <c r="P177" i="67"/>
  <c r="S182" i="67"/>
  <c r="V182" i="67"/>
  <c r="L184" i="67"/>
  <c r="L183" i="67" s="1"/>
  <c r="Q200" i="67"/>
  <c r="E202" i="67"/>
  <c r="I202" i="67"/>
  <c r="I201" i="67" s="1"/>
  <c r="P205" i="67"/>
  <c r="Q210" i="67"/>
  <c r="K223" i="67"/>
  <c r="W230" i="67"/>
  <c r="L254" i="67"/>
  <c r="Q256" i="67"/>
  <c r="F301" i="67"/>
  <c r="I301" i="67"/>
  <c r="G306" i="67"/>
  <c r="H323" i="67"/>
  <c r="H324" i="67"/>
  <c r="I327" i="67"/>
  <c r="D328" i="67"/>
  <c r="I331" i="67"/>
  <c r="K331" i="67"/>
  <c r="G358" i="67"/>
  <c r="K358" i="67"/>
  <c r="M358" i="67"/>
  <c r="S358" i="67"/>
  <c r="AA358" i="67"/>
  <c r="AI358" i="67"/>
  <c r="AK358" i="67"/>
  <c r="AQ358" i="67"/>
  <c r="N435" i="67"/>
  <c r="Z363" i="67"/>
  <c r="AB363" i="67"/>
  <c r="AF363" i="67"/>
  <c r="U364" i="67"/>
  <c r="AD364" i="67"/>
  <c r="S374" i="67"/>
  <c r="Z374" i="67"/>
  <c r="AF374" i="67"/>
  <c r="AG375" i="67"/>
  <c r="E378" i="67"/>
  <c r="H378" i="67"/>
  <c r="M378" i="67"/>
  <c r="V378" i="67"/>
  <c r="AC378" i="67"/>
  <c r="AE378" i="67"/>
  <c r="AM378" i="67"/>
  <c r="AF397" i="67"/>
  <c r="AF403" i="67" s="1"/>
  <c r="AN404" i="67"/>
  <c r="AN408" i="67" s="1"/>
  <c r="AX404" i="67"/>
  <c r="AX408" i="67" s="1"/>
  <c r="BF404" i="67"/>
  <c r="BF408" i="67" s="1"/>
  <c r="BN404" i="67"/>
  <c r="BN408" i="67" s="1"/>
  <c r="BV404" i="67"/>
  <c r="BV408" i="67" s="1"/>
  <c r="C239" i="18"/>
  <c r="E239" i="18"/>
  <c r="E19" i="61"/>
  <c r="H154" i="18"/>
  <c r="H239" i="18"/>
  <c r="G19" i="61"/>
  <c r="J154" i="18"/>
  <c r="J239" i="18"/>
  <c r="J41" i="6"/>
  <c r="H242" i="18"/>
  <c r="J242" i="18"/>
  <c r="L242" i="18"/>
  <c r="K43" i="6"/>
  <c r="L150" i="18"/>
  <c r="L171" i="18"/>
  <c r="L244" i="18" s="1"/>
  <c r="L166" i="18"/>
  <c r="E22" i="61"/>
  <c r="H246" i="18"/>
  <c r="G22" i="61"/>
  <c r="J246" i="18"/>
  <c r="I22" i="61"/>
  <c r="L246" i="18"/>
  <c r="C42" i="6"/>
  <c r="E123" i="18"/>
  <c r="D154" i="18"/>
  <c r="F168" i="6"/>
  <c r="D177" i="18"/>
  <c r="D187" i="18" s="1"/>
  <c r="C22" i="61"/>
  <c r="F115" i="6"/>
  <c r="D197" i="18"/>
  <c r="D198" i="18" s="1"/>
  <c r="F123" i="68" s="1"/>
  <c r="F124" i="68" s="1"/>
  <c r="F125" i="68" s="1"/>
  <c r="F126" i="68" s="1"/>
  <c r="J197" i="18"/>
  <c r="J199" i="18" s="1"/>
  <c r="E207" i="18"/>
  <c r="G138" i="68"/>
  <c r="I138" i="68"/>
  <c r="K138" i="68"/>
  <c r="M138" i="68"/>
  <c r="H17" i="74"/>
  <c r="J17" i="74"/>
  <c r="L17" i="74"/>
  <c r="N17" i="74"/>
  <c r="F140" i="68"/>
  <c r="J140" i="68"/>
  <c r="L140" i="68"/>
  <c r="N140" i="68"/>
  <c r="G109" i="6"/>
  <c r="K109" i="6"/>
  <c r="F306" i="67"/>
  <c r="H306" i="67"/>
  <c r="D20" i="74"/>
  <c r="F20" i="74"/>
  <c r="G84" i="67"/>
  <c r="G85" i="67" s="1"/>
  <c r="I84" i="67"/>
  <c r="I83" i="67" s="1"/>
  <c r="C21" i="74"/>
  <c r="E21" i="74"/>
  <c r="W364" i="67"/>
  <c r="E110" i="15"/>
  <c r="AE364" i="67"/>
  <c r="L50" i="21"/>
  <c r="E11" i="21"/>
  <c r="E12" i="21"/>
  <c r="P142" i="68"/>
  <c r="O142" i="68" s="1"/>
  <c r="N142" i="68" s="1"/>
  <c r="M142" i="68" s="1"/>
  <c r="L142" i="68" s="1"/>
  <c r="K142" i="68" s="1"/>
  <c r="J142" i="68" s="1"/>
  <c r="I142" i="68" s="1"/>
  <c r="H142" i="68" s="1"/>
  <c r="G142" i="68" s="1"/>
  <c r="F142" i="68" s="1"/>
  <c r="E142" i="68" s="1"/>
  <c r="D142" i="68" s="1"/>
  <c r="C142" i="68" s="1"/>
  <c r="B142" i="68" s="1"/>
  <c r="P157" i="68"/>
  <c r="O157" i="68" s="1"/>
  <c r="P98" i="68"/>
  <c r="O98" i="68" s="1"/>
  <c r="N98" i="68" s="1"/>
  <c r="M98" i="68" s="1"/>
  <c r="L98" i="68" s="1"/>
  <c r="K98" i="68" s="1"/>
  <c r="J98" i="68" s="1"/>
  <c r="I98" i="68" s="1"/>
  <c r="H98" i="68" s="1"/>
  <c r="G98" i="68" s="1"/>
  <c r="F98" i="68" s="1"/>
  <c r="E98" i="68" s="1"/>
  <c r="D98" i="68" s="1"/>
  <c r="C98" i="68" s="1"/>
  <c r="B98" i="68" s="1"/>
  <c r="P85" i="68"/>
  <c r="O85" i="68" s="1"/>
  <c r="N85" i="68" s="1"/>
  <c r="M85" i="68" s="1"/>
  <c r="L85" i="68" s="1"/>
  <c r="K85" i="68" s="1"/>
  <c r="J85" i="68" s="1"/>
  <c r="I85" i="68" s="1"/>
  <c r="H85" i="68" s="1"/>
  <c r="G85" i="68" s="1"/>
  <c r="F85" i="68" s="1"/>
  <c r="E85" i="68" s="1"/>
  <c r="D85" i="68" s="1"/>
  <c r="C85" i="68" s="1"/>
  <c r="B85" i="68" s="1"/>
  <c r="P163" i="68"/>
  <c r="P181" i="68"/>
  <c r="O181" i="68" s="1"/>
  <c r="N181" i="68" s="1"/>
  <c r="M181" i="68" s="1"/>
  <c r="L181" i="68" s="1"/>
  <c r="K181" i="68" s="1"/>
  <c r="J181" i="68" s="1"/>
  <c r="I181" i="68" s="1"/>
  <c r="H181" i="68" s="1"/>
  <c r="G181" i="68" s="1"/>
  <c r="F181" i="68" s="1"/>
  <c r="E181" i="68" s="1"/>
  <c r="D181" i="68" s="1"/>
  <c r="C181" i="68" s="1"/>
  <c r="B181" i="68" s="1"/>
  <c r="P49" i="68"/>
  <c r="O49" i="68" s="1"/>
  <c r="N49" i="68" s="1"/>
  <c r="M49" i="68" s="1"/>
  <c r="L49" i="68" s="1"/>
  <c r="K49" i="68" s="1"/>
  <c r="J49" i="68" s="1"/>
  <c r="I49" i="68" s="1"/>
  <c r="H49" i="68" s="1"/>
  <c r="G49" i="68" s="1"/>
  <c r="F49" i="68" s="1"/>
  <c r="E49" i="68" s="1"/>
  <c r="D49" i="68" s="1"/>
  <c r="C49" i="68" s="1"/>
  <c r="B49" i="68" s="1"/>
  <c r="P112" i="68"/>
  <c r="O112" i="68" s="1"/>
  <c r="N112" i="68" s="1"/>
  <c r="M112" i="68" s="1"/>
  <c r="L112" i="68" s="1"/>
  <c r="K112" i="68" s="1"/>
  <c r="J112" i="68" s="1"/>
  <c r="I112" i="68" s="1"/>
  <c r="H112" i="68" s="1"/>
  <c r="G112" i="68" s="1"/>
  <c r="F112" i="68" s="1"/>
  <c r="E112" i="68" s="1"/>
  <c r="D112" i="68" s="1"/>
  <c r="C112" i="68" s="1"/>
  <c r="B112" i="68" s="1"/>
  <c r="O13" i="68"/>
  <c r="N13" i="68" s="1"/>
  <c r="M13" i="68" s="1"/>
  <c r="L13" i="68" s="1"/>
  <c r="K13" i="68" s="1"/>
  <c r="J13" i="68" s="1"/>
  <c r="I13" i="68" s="1"/>
  <c r="H13" i="68" s="1"/>
  <c r="G13" i="68" s="1"/>
  <c r="F13" i="68" s="1"/>
  <c r="E13" i="68" s="1"/>
  <c r="D13" i="68" s="1"/>
  <c r="C13" i="68" s="1"/>
  <c r="B13" i="68" s="1"/>
  <c r="P63" i="67"/>
  <c r="O73" i="67"/>
  <c r="O75" i="67"/>
  <c r="O140" i="67"/>
  <c r="O74" i="67"/>
  <c r="O139" i="67"/>
  <c r="P19" i="67"/>
  <c r="W138" i="68"/>
  <c r="O17" i="67"/>
  <c r="N22" i="67"/>
  <c r="N52" i="67"/>
  <c r="N57" i="67"/>
  <c r="N77" i="67"/>
  <c r="O127" i="67"/>
  <c r="N137" i="67"/>
  <c r="O152" i="67"/>
  <c r="N37" i="67"/>
  <c r="O72" i="67"/>
  <c r="N127" i="67"/>
  <c r="O276" i="67"/>
  <c r="L430" i="67"/>
  <c r="L429" i="67" s="1"/>
  <c r="L428" i="67" s="1"/>
  <c r="R430" i="67"/>
  <c r="AD430" i="67"/>
  <c r="AJ430" i="67"/>
  <c r="I206" i="67"/>
  <c r="H430" i="67"/>
  <c r="O430" i="67"/>
  <c r="P430" i="67" s="1"/>
  <c r="P429" i="67" s="1"/>
  <c r="P428" i="67" s="1"/>
  <c r="U430" i="67"/>
  <c r="X430" i="67"/>
  <c r="AA430" i="67"/>
  <c r="AA429" i="67" s="1"/>
  <c r="AA428" i="67" s="1"/>
  <c r="AG430" i="67"/>
  <c r="D50" i="6"/>
  <c r="D49" i="6" s="1"/>
  <c r="C208" i="18"/>
  <c r="C97" i="6"/>
  <c r="C103" i="6" s="1"/>
  <c r="B97" i="6"/>
  <c r="B103" i="6" s="1"/>
  <c r="C126" i="6"/>
  <c r="B134" i="6"/>
  <c r="B318" i="67" s="1"/>
  <c r="D207" i="67"/>
  <c r="D208" i="67" s="1"/>
  <c r="L6" i="6"/>
  <c r="P8" i="60" s="1"/>
  <c r="K295" i="67"/>
  <c r="M295" i="67"/>
  <c r="I299" i="67"/>
  <c r="D14" i="61"/>
  <c r="K299" i="67"/>
  <c r="F14" i="61"/>
  <c r="E217" i="67"/>
  <c r="E216" i="67" s="1"/>
  <c r="D9" i="61"/>
  <c r="F9" i="61"/>
  <c r="H9" i="61"/>
  <c r="D10" i="61"/>
  <c r="F10" i="61"/>
  <c r="M217" i="67"/>
  <c r="H10" i="61"/>
  <c r="K184" i="67"/>
  <c r="K183" i="67" s="1"/>
  <c r="F16" i="61"/>
  <c r="M184" i="67"/>
  <c r="M185" i="67" s="1"/>
  <c r="H16" i="61"/>
  <c r="C11" i="61"/>
  <c r="E11" i="61"/>
  <c r="G11" i="61"/>
  <c r="I11" i="61"/>
  <c r="F323" i="67"/>
  <c r="G327" i="67"/>
  <c r="D36" i="6"/>
  <c r="D14" i="67" s="1"/>
  <c r="N347" i="67"/>
  <c r="J327" i="67"/>
  <c r="N327" i="67"/>
  <c r="L349" i="67"/>
  <c r="N349" i="67"/>
  <c r="N350" i="67"/>
  <c r="D123" i="18"/>
  <c r="H331" i="67"/>
  <c r="C166" i="18"/>
  <c r="D115" i="6"/>
  <c r="B197" i="18"/>
  <c r="E138" i="68"/>
  <c r="G173" i="6"/>
  <c r="I173" i="6"/>
  <c r="K173" i="6"/>
  <c r="M173" i="6"/>
  <c r="F140" i="6"/>
  <c r="F151" i="6" s="1"/>
  <c r="F155" i="6" s="1"/>
  <c r="H140" i="6"/>
  <c r="H151" i="6" s="1"/>
  <c r="C24" i="61"/>
  <c r="J140" i="6"/>
  <c r="J144" i="6" s="1"/>
  <c r="E24" i="61"/>
  <c r="L140" i="6"/>
  <c r="L151" i="6" s="1"/>
  <c r="G24" i="61"/>
  <c r="N151" i="6"/>
  <c r="I24" i="61"/>
  <c r="D27" i="12"/>
  <c r="L148" i="6"/>
  <c r="D134" i="6"/>
  <c r="H148" i="6"/>
  <c r="I324" i="67"/>
  <c r="K324" i="67"/>
  <c r="D202" i="67"/>
  <c r="D203" i="67" s="1"/>
  <c r="F202" i="67"/>
  <c r="F201" i="67" s="1"/>
  <c r="H202" i="67"/>
  <c r="H203" i="67" s="1"/>
  <c r="J202" i="67"/>
  <c r="J203" i="67" s="1"/>
  <c r="L202" i="67"/>
  <c r="L203" i="67" s="1"/>
  <c r="K6" i="6"/>
  <c r="Y8" i="6"/>
  <c r="N295" i="67"/>
  <c r="J242" i="67"/>
  <c r="E14" i="61"/>
  <c r="L164" i="67"/>
  <c r="G14" i="61"/>
  <c r="N324" i="67"/>
  <c r="I14" i="61"/>
  <c r="I242" i="67"/>
  <c r="D217" i="67"/>
  <c r="D218" i="67" s="1"/>
  <c r="F212" i="67"/>
  <c r="F213" i="67" s="1"/>
  <c r="C9" i="61"/>
  <c r="J212" i="67"/>
  <c r="J211" i="67" s="1"/>
  <c r="E9" i="61"/>
  <c r="G9" i="61"/>
  <c r="I9" i="61"/>
  <c r="H300" i="67"/>
  <c r="C15" i="61"/>
  <c r="J300" i="67"/>
  <c r="E15" i="61"/>
  <c r="L300" i="67"/>
  <c r="G15" i="61"/>
  <c r="M254" i="67"/>
  <c r="D329" i="67"/>
  <c r="F329" i="67"/>
  <c r="C10" i="61"/>
  <c r="E10" i="61"/>
  <c r="G10" i="61"/>
  <c r="I10" i="61"/>
  <c r="N184" i="67"/>
  <c r="N183" i="67" s="1"/>
  <c r="I16" i="61"/>
  <c r="I222" i="67"/>
  <c r="I221" i="67" s="1"/>
  <c r="D11" i="61"/>
  <c r="F11" i="61"/>
  <c r="H11" i="61"/>
  <c r="F43" i="6"/>
  <c r="F24" i="67" s="1"/>
  <c r="F25" i="67" s="1"/>
  <c r="C36" i="6"/>
  <c r="C14" i="67" s="1"/>
  <c r="E323" i="67"/>
  <c r="M36" i="6"/>
  <c r="M327" i="67"/>
  <c r="M331" i="67"/>
  <c r="D42" i="6"/>
  <c r="H327" i="67"/>
  <c r="E50" i="6"/>
  <c r="E49" i="6" s="1"/>
  <c r="C153" i="18"/>
  <c r="C154" i="18" s="1"/>
  <c r="B150" i="18"/>
  <c r="B166" i="18"/>
  <c r="B208" i="18"/>
  <c r="D138" i="68"/>
  <c r="H173" i="6"/>
  <c r="J173" i="6"/>
  <c r="L173" i="6"/>
  <c r="E140" i="6"/>
  <c r="E144" i="6" s="1"/>
  <c r="G140" i="6"/>
  <c r="G151" i="6" s="1"/>
  <c r="I140" i="6"/>
  <c r="I151" i="6" s="1"/>
  <c r="I155" i="6" s="1"/>
  <c r="D24" i="61"/>
  <c r="F24" i="61"/>
  <c r="M140" i="6"/>
  <c r="M144" i="6" s="1"/>
  <c r="H24" i="61"/>
  <c r="C27" i="12"/>
  <c r="E159" i="6"/>
  <c r="D97" i="6"/>
  <c r="D109" i="6"/>
  <c r="E148" i="6"/>
  <c r="K148" i="6"/>
  <c r="AP364" i="67"/>
  <c r="BX10" i="18"/>
  <c r="CB10" i="18" s="1"/>
  <c r="CB11" i="18" s="1"/>
  <c r="S11" i="18"/>
  <c r="AQ364" i="67"/>
  <c r="L320" i="67"/>
  <c r="F111" i="6"/>
  <c r="P122" i="6"/>
  <c r="X23" i="61"/>
  <c r="I97" i="6"/>
  <c r="K97" i="6"/>
  <c r="U358" i="67"/>
  <c r="C19" i="61"/>
  <c r="H138" i="68"/>
  <c r="H140" i="68"/>
  <c r="I28" i="12"/>
  <c r="B6" i="74"/>
  <c r="K171" i="18"/>
  <c r="K244" i="18" s="1"/>
  <c r="K150" i="18"/>
  <c r="K166" i="18"/>
  <c r="H320" i="67"/>
  <c r="H168" i="6"/>
  <c r="F177" i="18"/>
  <c r="F187" i="18" s="1"/>
  <c r="J115" i="6"/>
  <c r="H197" i="18"/>
  <c r="AI374" i="67"/>
  <c r="N83" i="67"/>
  <c r="I320" i="67"/>
  <c r="F440" i="67"/>
  <c r="V440" i="67"/>
  <c r="X374" i="67"/>
  <c r="F154" i="18"/>
  <c r="F239" i="18"/>
  <c r="D166" i="18"/>
  <c r="D150" i="18"/>
  <c r="D151" i="18" s="1"/>
  <c r="K115" i="6"/>
  <c r="I197" i="18"/>
  <c r="G320" i="67"/>
  <c r="J97" i="6"/>
  <c r="E150" i="18"/>
  <c r="E151" i="18" s="1"/>
  <c r="E166" i="18"/>
  <c r="I71" i="6"/>
  <c r="I132" i="6" s="1"/>
  <c r="G207" i="18"/>
  <c r="AA374" i="67"/>
  <c r="X375" i="67"/>
  <c r="AI397" i="67"/>
  <c r="AI403" i="67" s="1"/>
  <c r="H397" i="67"/>
  <c r="H403" i="67" s="1"/>
  <c r="X397" i="67"/>
  <c r="X403" i="67" s="1"/>
  <c r="AN397" i="67"/>
  <c r="AN403" i="67" s="1"/>
  <c r="H150" i="18"/>
  <c r="H151" i="18" s="1"/>
  <c r="H171" i="18"/>
  <c r="H166" i="18"/>
  <c r="L49" i="6"/>
  <c r="N115" i="6"/>
  <c r="L197" i="18"/>
  <c r="J320" i="67"/>
  <c r="E97" i="6"/>
  <c r="M97" i="6"/>
  <c r="L115" i="6"/>
  <c r="I50" i="21"/>
  <c r="G171" i="18"/>
  <c r="G150" i="18"/>
  <c r="G151" i="18" s="1"/>
  <c r="G166" i="18"/>
  <c r="F171" i="18"/>
  <c r="F244" i="18" s="1"/>
  <c r="F150" i="18"/>
  <c r="F151" i="18" s="1"/>
  <c r="F166" i="18"/>
  <c r="N363" i="67"/>
  <c r="AB374" i="67"/>
  <c r="AI404" i="67"/>
  <c r="AI408" i="67" s="1"/>
  <c r="I171" i="18"/>
  <c r="I150" i="18"/>
  <c r="I151" i="18" s="1"/>
  <c r="I166" i="18"/>
  <c r="H71" i="6"/>
  <c r="H132" i="6" s="1"/>
  <c r="N374" i="67"/>
  <c r="AN35" i="15"/>
  <c r="AN37" i="15" s="1"/>
  <c r="N172" i="21" s="1"/>
  <c r="N173" i="21" s="1"/>
  <c r="AN34" i="15"/>
  <c r="K84" i="67"/>
  <c r="K306" i="67"/>
  <c r="J150" i="18"/>
  <c r="J151" i="18" s="1"/>
  <c r="J171" i="18"/>
  <c r="J166" i="18"/>
  <c r="H115" i="6"/>
  <c r="F197" i="18"/>
  <c r="J71" i="6"/>
  <c r="J132" i="6" s="1"/>
  <c r="AJ110" i="15"/>
  <c r="AD50" i="21"/>
  <c r="G174" i="67"/>
  <c r="G173" i="67" s="1"/>
  <c r="K254" i="67"/>
  <c r="F176" i="6"/>
  <c r="I174" i="67"/>
  <c r="H254" i="67"/>
  <c r="K242" i="67"/>
  <c r="C323" i="67"/>
  <c r="H174" i="67"/>
  <c r="H328" i="67"/>
  <c r="M242" i="67"/>
  <c r="I254" i="67"/>
  <c r="M207" i="67"/>
  <c r="M208" i="67" s="1"/>
  <c r="H212" i="67"/>
  <c r="H299" i="67"/>
  <c r="N331" i="67"/>
  <c r="E397" i="67"/>
  <c r="E403" i="67" s="1"/>
  <c r="M397" i="67"/>
  <c r="M403" i="67" s="1"/>
  <c r="U397" i="67"/>
  <c r="U403" i="67" s="1"/>
  <c r="CG10" i="18"/>
  <c r="T9" i="18"/>
  <c r="CK9" i="18"/>
  <c r="AM404" i="67"/>
  <c r="AM408" i="67" s="1"/>
  <c r="AC404" i="67"/>
  <c r="AC408" i="67" s="1"/>
  <c r="H208" i="67"/>
  <c r="J299" i="67"/>
  <c r="B397" i="67"/>
  <c r="B403" i="67" s="1"/>
  <c r="J397" i="67"/>
  <c r="J403" i="67" s="1"/>
  <c r="R397" i="67"/>
  <c r="R403" i="67" s="1"/>
  <c r="Z397" i="67"/>
  <c r="Z403" i="67" s="1"/>
  <c r="AH397" i="67"/>
  <c r="AH403" i="67" s="1"/>
  <c r="AP397" i="67"/>
  <c r="AP403" i="67" s="1"/>
  <c r="S162" i="18"/>
  <c r="AG404" i="67"/>
  <c r="AG408" i="67" s="1"/>
  <c r="AO404" i="67"/>
  <c r="AO408" i="67" s="1"/>
  <c r="AE404" i="67"/>
  <c r="AE408" i="67" s="1"/>
  <c r="F6" i="6"/>
  <c r="N6" i="6"/>
  <c r="R8" i="60" s="1"/>
  <c r="J6" i="6"/>
  <c r="J207" i="67" s="1"/>
  <c r="N164" i="67"/>
  <c r="N169" i="67" s="1"/>
  <c r="N202" i="67"/>
  <c r="D212" i="67"/>
  <c r="D211" i="67" s="1"/>
  <c r="L212" i="67"/>
  <c r="L213" i="67" s="1"/>
  <c r="J223" i="67"/>
  <c r="AB397" i="67"/>
  <c r="AB403" i="67" s="1"/>
  <c r="AR397" i="67"/>
  <c r="AR403" i="67" s="1"/>
  <c r="J254" i="67"/>
  <c r="BH218" i="68"/>
  <c r="CJ214" i="18" s="1"/>
  <c r="CF9" i="18"/>
  <c r="BF218" i="68"/>
  <c r="O136" i="18"/>
  <c r="P136" i="18" s="1"/>
  <c r="Q136" i="18" s="1"/>
  <c r="R136" i="18" s="1"/>
  <c r="S136" i="18" s="1"/>
  <c r="T136" i="18" s="1"/>
  <c r="U136" i="18" s="1"/>
  <c r="AR127" i="18"/>
  <c r="AR128" i="18" s="1"/>
  <c r="AR136" i="18" s="1"/>
  <c r="AS135" i="18"/>
  <c r="N212" i="67"/>
  <c r="M226" i="67"/>
  <c r="C397" i="67"/>
  <c r="C403" i="67" s="1"/>
  <c r="K397" i="67"/>
  <c r="K403" i="67" s="1"/>
  <c r="S397" i="67"/>
  <c r="S403" i="67" s="1"/>
  <c r="AA397" i="67"/>
  <c r="AA403" i="67" s="1"/>
  <c r="AH404" i="67"/>
  <c r="AH408" i="67" s="1"/>
  <c r="AP404" i="67"/>
  <c r="AP408" i="67" s="1"/>
  <c r="E6" i="6"/>
  <c r="H242" i="67"/>
  <c r="E176" i="6"/>
  <c r="W116" i="21"/>
  <c r="V109" i="21"/>
  <c r="K93" i="15"/>
  <c r="K109" i="15"/>
  <c r="K103" i="15" s="1"/>
  <c r="AD93" i="15"/>
  <c r="AD109" i="15"/>
  <c r="M93" i="15"/>
  <c r="M109" i="15"/>
  <c r="M103" i="15" s="1"/>
  <c r="AZ107" i="15"/>
  <c r="BA82" i="15"/>
  <c r="AK93" i="15"/>
  <c r="AK109" i="15"/>
  <c r="AK103" i="15" s="1"/>
  <c r="U93" i="15"/>
  <c r="U109" i="15"/>
  <c r="U103" i="15" s="1"/>
  <c r="Q93" i="15"/>
  <c r="Q109" i="15"/>
  <c r="AD358" i="67"/>
  <c r="E366" i="67"/>
  <c r="E111" i="6"/>
  <c r="AR93" i="15"/>
  <c r="AR109" i="15"/>
  <c r="AR103" i="15" s="1"/>
  <c r="AO117" i="15"/>
  <c r="AO94" i="15"/>
  <c r="AO43" i="15"/>
  <c r="AO39" i="15"/>
  <c r="L93" i="15"/>
  <c r="L109" i="15"/>
  <c r="L103" i="15" s="1"/>
  <c r="AY55" i="15"/>
  <c r="AX57" i="15"/>
  <c r="AY106" i="15"/>
  <c r="AZ85" i="15"/>
  <c r="AL117" i="15"/>
  <c r="AL39" i="15"/>
  <c r="AL94" i="15"/>
  <c r="AL43" i="15"/>
  <c r="D439" i="67"/>
  <c r="AF358" i="67"/>
  <c r="AR358" i="67"/>
  <c r="AO363" i="67"/>
  <c r="AJ368" i="67"/>
  <c r="AI375" i="67"/>
  <c r="E368" i="67"/>
  <c r="G378" i="67"/>
  <c r="O378" i="67"/>
  <c r="W378" i="67"/>
  <c r="AD378" i="67"/>
  <c r="AL378" i="67"/>
  <c r="F378" i="67"/>
  <c r="L43" i="6"/>
  <c r="L97" i="6"/>
  <c r="W93" i="15"/>
  <c r="W109" i="15"/>
  <c r="W103" i="15" s="1"/>
  <c r="S117" i="15"/>
  <c r="S94" i="15"/>
  <c r="S43" i="15"/>
  <c r="Y117" i="15"/>
  <c r="Y94" i="15"/>
  <c r="Y43" i="15"/>
  <c r="Y39" i="15"/>
  <c r="AP93" i="15"/>
  <c r="AP109" i="15"/>
  <c r="AP103" i="15" s="1"/>
  <c r="AQ93" i="15"/>
  <c r="AQ109" i="15"/>
  <c r="AQ103" i="15" s="1"/>
  <c r="AX101" i="15"/>
  <c r="AC93" i="15"/>
  <c r="AC109" i="15"/>
  <c r="AC103" i="15" s="1"/>
  <c r="J358" i="67"/>
  <c r="L60" i="6"/>
  <c r="T93" i="15"/>
  <c r="T109" i="15"/>
  <c r="T103" i="15" s="1"/>
  <c r="BB108" i="15"/>
  <c r="BC81" i="15"/>
  <c r="F85" i="67"/>
  <c r="AI363" i="67"/>
  <c r="AF378" i="67"/>
  <c r="H43" i="6"/>
  <c r="AE358" i="67"/>
  <c r="AM358" i="67"/>
  <c r="N439" i="67"/>
  <c r="AL375" i="67"/>
  <c r="I378" i="67"/>
  <c r="Q378" i="67"/>
  <c r="Y378" i="67"/>
  <c r="AG378" i="67"/>
  <c r="AO378" i="67"/>
  <c r="N378" i="67"/>
  <c r="M49" i="6"/>
  <c r="L71" i="6"/>
  <c r="L132" i="6" s="1"/>
  <c r="O110" i="15"/>
  <c r="AZ41" i="15"/>
  <c r="J93" i="15"/>
  <c r="J109" i="15"/>
  <c r="X117" i="15"/>
  <c r="X94" i="15"/>
  <c r="X43" i="15"/>
  <c r="X39" i="15"/>
  <c r="AE93" i="15"/>
  <c r="AE109" i="15"/>
  <c r="AE103" i="15" s="1"/>
  <c r="F117" i="15"/>
  <c r="F43" i="15"/>
  <c r="F364" i="67" s="1"/>
  <c r="F94" i="15"/>
  <c r="F38" i="15"/>
  <c r="Z117" i="15"/>
  <c r="Z43" i="15"/>
  <c r="Z39" i="15"/>
  <c r="Z94" i="15"/>
  <c r="C93" i="15"/>
  <c r="C109" i="15"/>
  <c r="C103" i="15" s="1"/>
  <c r="P378" i="67"/>
  <c r="H38" i="15"/>
  <c r="H94" i="15"/>
  <c r="H117" i="15"/>
  <c r="H43" i="15"/>
  <c r="H364" i="67" s="1"/>
  <c r="AY59" i="15"/>
  <c r="AY99" i="15" s="1"/>
  <c r="V93" i="15"/>
  <c r="V109" i="15"/>
  <c r="H14" i="67"/>
  <c r="M306" i="67"/>
  <c r="H358" i="67"/>
  <c r="I440" i="67"/>
  <c r="Q440" i="67"/>
  <c r="Y440" i="67"/>
  <c r="AG440" i="67"/>
  <c r="AO440" i="67"/>
  <c r="C378" i="67"/>
  <c r="U378" i="67"/>
  <c r="G71" i="6"/>
  <c r="G132" i="6" s="1"/>
  <c r="H97" i="6"/>
  <c r="AM93" i="15"/>
  <c r="AM109" i="15"/>
  <c r="AM103" i="15" s="1"/>
  <c r="AH93" i="15"/>
  <c r="AH109" i="15"/>
  <c r="AB117" i="15"/>
  <c r="AB94" i="15"/>
  <c r="AB39" i="15"/>
  <c r="AB43" i="15"/>
  <c r="I93" i="15"/>
  <c r="I109" i="15"/>
  <c r="I103" i="15" s="1"/>
  <c r="D93" i="15"/>
  <c r="D109" i="15"/>
  <c r="D103" i="15" s="1"/>
  <c r="AL358" i="67"/>
  <c r="G97" i="6"/>
  <c r="P93" i="15"/>
  <c r="P109" i="15"/>
  <c r="P103" i="15" s="1"/>
  <c r="AI117" i="15"/>
  <c r="AI94" i="15"/>
  <c r="AI39" i="15"/>
  <c r="AI43" i="15"/>
  <c r="H301" i="67"/>
  <c r="N306" i="67"/>
  <c r="I358" i="67"/>
  <c r="Q358" i="67"/>
  <c r="Y358" i="67"/>
  <c r="AG358" i="67"/>
  <c r="AO358" i="67"/>
  <c r="J440" i="67"/>
  <c r="R440" i="67"/>
  <c r="Z440" i="67"/>
  <c r="AH440" i="67"/>
  <c r="AL363" i="67"/>
  <c r="H374" i="67"/>
  <c r="D378" i="67"/>
  <c r="L378" i="67"/>
  <c r="T378" i="67"/>
  <c r="AB378" i="67"/>
  <c r="AJ378" i="67"/>
  <c r="AR378" i="67"/>
  <c r="G93" i="15"/>
  <c r="G109" i="15"/>
  <c r="G103" i="15" s="1"/>
  <c r="AG117" i="15"/>
  <c r="AG94" i="15"/>
  <c r="AG43" i="15"/>
  <c r="AG39" i="15"/>
  <c r="AA117" i="15"/>
  <c r="AA94" i="15"/>
  <c r="AA43" i="15"/>
  <c r="AA39" i="15"/>
  <c r="N117" i="15"/>
  <c r="N94" i="15"/>
  <c r="N43" i="15"/>
  <c r="N38" i="15"/>
  <c r="AF117" i="15"/>
  <c r="AF94" i="15"/>
  <c r="AF43" i="15"/>
  <c r="AF39" i="15"/>
  <c r="BQ218" i="68"/>
  <c r="CS214" i="18" s="1"/>
  <c r="K17" i="74"/>
  <c r="K31" i="12"/>
  <c r="J42" i="12"/>
  <c r="D324" i="67"/>
  <c r="D299" i="67"/>
  <c r="K71" i="6"/>
  <c r="K132" i="6" s="1"/>
  <c r="K320" i="67"/>
  <c r="F13" i="67"/>
  <c r="F15" i="67"/>
  <c r="K226" i="67"/>
  <c r="K228" i="67"/>
  <c r="N227" i="67"/>
  <c r="N226" i="67" s="1"/>
  <c r="N9" i="67"/>
  <c r="D164" i="67"/>
  <c r="J165" i="67"/>
  <c r="J170" i="67" s="1"/>
  <c r="L228" i="67"/>
  <c r="L226" i="67"/>
  <c r="J174" i="6"/>
  <c r="J60" i="6"/>
  <c r="J301" i="67"/>
  <c r="J43" i="6"/>
  <c r="O6" i="6"/>
  <c r="S8" i="60" s="1"/>
  <c r="Y7" i="6"/>
  <c r="O295" i="67"/>
  <c r="L324" i="67"/>
  <c r="L242" i="67"/>
  <c r="L299" i="67"/>
  <c r="H216" i="67"/>
  <c r="H218" i="67"/>
  <c r="K167" i="6"/>
  <c r="K174" i="6"/>
  <c r="K41" i="6"/>
  <c r="K301" i="67"/>
  <c r="L133" i="6"/>
  <c r="P21" i="60" s="1"/>
  <c r="L84" i="67"/>
  <c r="L167" i="6"/>
  <c r="L174" i="6"/>
  <c r="L41" i="6"/>
  <c r="K165" i="67"/>
  <c r="K170" i="67" s="1"/>
  <c r="L348" i="67"/>
  <c r="L327" i="67"/>
  <c r="G15" i="67"/>
  <c r="E328" i="67"/>
  <c r="E300" i="67"/>
  <c r="E174" i="67"/>
  <c r="M328" i="67"/>
  <c r="M300" i="67"/>
  <c r="M174" i="67"/>
  <c r="E115" i="6"/>
  <c r="E42" i="6"/>
  <c r="J133" i="6"/>
  <c r="F328" i="67"/>
  <c r="F300" i="67"/>
  <c r="F174" i="67"/>
  <c r="N328" i="67"/>
  <c r="N300" i="67"/>
  <c r="N174" i="67"/>
  <c r="N175" i="67" s="1"/>
  <c r="N217" i="67"/>
  <c r="N329" i="67"/>
  <c r="K176" i="6"/>
  <c r="K133" i="6"/>
  <c r="M155" i="6"/>
  <c r="L176" i="6"/>
  <c r="K49" i="6"/>
  <c r="J168" i="6"/>
  <c r="J177" i="6"/>
  <c r="H172" i="6"/>
  <c r="H159" i="6"/>
  <c r="K177" i="6"/>
  <c r="N36" i="6"/>
  <c r="L168" i="6"/>
  <c r="L177" i="6"/>
  <c r="C111" i="6"/>
  <c r="C134" i="6"/>
  <c r="D116" i="6"/>
  <c r="G176" i="6"/>
  <c r="N49" i="6"/>
  <c r="M177" i="6"/>
  <c r="K60" i="6"/>
  <c r="H176" i="6"/>
  <c r="E116" i="6"/>
  <c r="E174" i="6"/>
  <c r="N177" i="6"/>
  <c r="F49" i="6"/>
  <c r="M111" i="6"/>
  <c r="F174" i="6"/>
  <c r="H49" i="6"/>
  <c r="M71" i="6"/>
  <c r="M132" i="6" s="1"/>
  <c r="AE17" i="60" s="1"/>
  <c r="B111" i="6"/>
  <c r="B126" i="6"/>
  <c r="J111" i="6"/>
  <c r="G174" i="6"/>
  <c r="G60" i="6"/>
  <c r="G43" i="6"/>
  <c r="I176" i="6"/>
  <c r="B36" i="6"/>
  <c r="F60" i="6"/>
  <c r="F71" i="6"/>
  <c r="F132" i="6" s="1"/>
  <c r="N71" i="6"/>
  <c r="N132" i="6" s="1"/>
  <c r="AF17" i="60" s="1"/>
  <c r="F148" i="6"/>
  <c r="F172" i="6"/>
  <c r="F159" i="6"/>
  <c r="N159" i="6"/>
  <c r="N172" i="6"/>
  <c r="N148" i="6"/>
  <c r="K151" i="6"/>
  <c r="G41" i="6"/>
  <c r="I174" i="6"/>
  <c r="J176" i="6"/>
  <c r="I60" i="6"/>
  <c r="H174" i="6"/>
  <c r="H41" i="6"/>
  <c r="H60" i="6"/>
  <c r="G159" i="6"/>
  <c r="G148" i="6"/>
  <c r="G172" i="6"/>
  <c r="N140" i="6"/>
  <c r="I168" i="6"/>
  <c r="I177" i="6"/>
  <c r="J151" i="6"/>
  <c r="J155" i="6" s="1"/>
  <c r="J172" i="6"/>
  <c r="J148" i="6"/>
  <c r="J159" i="6"/>
  <c r="F97" i="6"/>
  <c r="N97" i="6"/>
  <c r="C116" i="6"/>
  <c r="F133" i="6"/>
  <c r="K159" i="6"/>
  <c r="K172" i="6"/>
  <c r="E134" i="6"/>
  <c r="E172" i="6"/>
  <c r="L172" i="6"/>
  <c r="L159" i="6"/>
  <c r="C118" i="6"/>
  <c r="H133" i="6"/>
  <c r="M148" i="6"/>
  <c r="M159" i="6"/>
  <c r="M172" i="6"/>
  <c r="I111" i="6"/>
  <c r="I133" i="6"/>
  <c r="I159" i="6"/>
  <c r="I172" i="6"/>
  <c r="I148" i="6"/>
  <c r="G133" i="6"/>
  <c r="D126" i="6"/>
  <c r="R292" i="67"/>
  <c r="R317" i="67"/>
  <c r="R249" i="67"/>
  <c r="R261" i="67"/>
  <c r="R256" i="67"/>
  <c r="R310" i="67"/>
  <c r="R276" i="67"/>
  <c r="R147" i="67"/>
  <c r="R137" i="67"/>
  <c r="R127" i="67"/>
  <c r="R266" i="67"/>
  <c r="R112" i="67"/>
  <c r="R72" i="67"/>
  <c r="R230" i="67"/>
  <c r="R132" i="67"/>
  <c r="R82" i="67"/>
  <c r="R286" i="67"/>
  <c r="R215" i="67"/>
  <c r="R205" i="67"/>
  <c r="R177" i="67"/>
  <c r="R142" i="67"/>
  <c r="R271" i="67"/>
  <c r="R172" i="67"/>
  <c r="R157" i="67"/>
  <c r="R117" i="67"/>
  <c r="R107" i="67"/>
  <c r="R102" i="67"/>
  <c r="R97" i="67"/>
  <c r="R92" i="67"/>
  <c r="R67" i="67"/>
  <c r="R237" i="67"/>
  <c r="R220" i="67"/>
  <c r="R182" i="67"/>
  <c r="R47" i="67"/>
  <c r="R27" i="67"/>
  <c r="R210" i="67"/>
  <c r="R152" i="67"/>
  <c r="R52" i="67"/>
  <c r="P64" i="67"/>
  <c r="R87" i="67"/>
  <c r="J172" i="67"/>
  <c r="T18" i="67"/>
  <c r="B32" i="67"/>
  <c r="C87" i="67"/>
  <c r="B112" i="67"/>
  <c r="K172" i="67"/>
  <c r="R200" i="67"/>
  <c r="T292" i="67"/>
  <c r="T261" i="67"/>
  <c r="T256" i="67"/>
  <c r="T286" i="67"/>
  <c r="T266" i="67"/>
  <c r="T271" i="67"/>
  <c r="T230" i="67"/>
  <c r="T220" i="67"/>
  <c r="T215" i="67"/>
  <c r="T210" i="67"/>
  <c r="T205" i="67"/>
  <c r="T200" i="67"/>
  <c r="T310" i="67"/>
  <c r="T276" i="67"/>
  <c r="T177" i="67"/>
  <c r="T142" i="67"/>
  <c r="T122" i="67"/>
  <c r="T77" i="67"/>
  <c r="T152" i="67"/>
  <c r="T147" i="67"/>
  <c r="T137" i="67"/>
  <c r="T317" i="67"/>
  <c r="T182" i="67"/>
  <c r="T162" i="67"/>
  <c r="T87" i="67"/>
  <c r="T17" i="67"/>
  <c r="T12" i="67"/>
  <c r="T42" i="67"/>
  <c r="T22" i="67"/>
  <c r="T249" i="67"/>
  <c r="T157" i="67"/>
  <c r="T132" i="67"/>
  <c r="T92" i="67"/>
  <c r="T72" i="67"/>
  <c r="B12" i="67"/>
  <c r="L13" i="67"/>
  <c r="R17" i="67"/>
  <c r="R18" i="67"/>
  <c r="R20" i="67"/>
  <c r="J27" i="67"/>
  <c r="D57" i="67"/>
  <c r="Q63" i="67"/>
  <c r="T74" i="67"/>
  <c r="D82" i="67"/>
  <c r="D107" i="67"/>
  <c r="D112" i="67"/>
  <c r="B117" i="67"/>
  <c r="T127" i="67"/>
  <c r="L157" i="67"/>
  <c r="R281" i="67"/>
  <c r="E172" i="67"/>
  <c r="E117" i="67"/>
  <c r="E77" i="67"/>
  <c r="E157" i="67"/>
  <c r="E162" i="67"/>
  <c r="E107" i="67"/>
  <c r="E102" i="67"/>
  <c r="E97" i="67"/>
  <c r="E92" i="67"/>
  <c r="E142" i="67"/>
  <c r="E72" i="67"/>
  <c r="E122" i="67"/>
  <c r="E67" i="67"/>
  <c r="E17" i="67"/>
  <c r="E112" i="67"/>
  <c r="E47" i="67"/>
  <c r="M152" i="67"/>
  <c r="M147" i="67"/>
  <c r="M137" i="67"/>
  <c r="M77" i="67"/>
  <c r="M172" i="67"/>
  <c r="M117" i="67"/>
  <c r="M157" i="67"/>
  <c r="M107" i="67"/>
  <c r="M102" i="67"/>
  <c r="M97" i="67"/>
  <c r="M92" i="67"/>
  <c r="M132" i="67"/>
  <c r="M127" i="67"/>
  <c r="M72" i="67"/>
  <c r="M112" i="67"/>
  <c r="M37" i="67"/>
  <c r="M142" i="67"/>
  <c r="M62" i="67"/>
  <c r="U286" i="67"/>
  <c r="U266" i="67"/>
  <c r="U271" i="67"/>
  <c r="U310" i="67"/>
  <c r="U292" i="67"/>
  <c r="U276" i="67"/>
  <c r="U249" i="67"/>
  <c r="U215" i="67"/>
  <c r="U205" i="67"/>
  <c r="U122" i="67"/>
  <c r="U77" i="67"/>
  <c r="U152" i="67"/>
  <c r="U147" i="67"/>
  <c r="U137" i="67"/>
  <c r="U261" i="67"/>
  <c r="U172" i="67"/>
  <c r="U117" i="67"/>
  <c r="U107" i="67"/>
  <c r="U102" i="67"/>
  <c r="U97" i="67"/>
  <c r="U92" i="67"/>
  <c r="U281" i="67"/>
  <c r="U256" i="67"/>
  <c r="U237" i="67"/>
  <c r="U112" i="67"/>
  <c r="U72" i="67"/>
  <c r="U52" i="67"/>
  <c r="U210" i="67"/>
  <c r="U162" i="67"/>
  <c r="U157" i="67"/>
  <c r="U127" i="67"/>
  <c r="C12" i="67"/>
  <c r="N12" i="67"/>
  <c r="U20" i="67"/>
  <c r="S17" i="67"/>
  <c r="S20" i="67"/>
  <c r="R22" i="67"/>
  <c r="B27" i="67"/>
  <c r="K27" i="67"/>
  <c r="U27" i="67"/>
  <c r="D32" i="67"/>
  <c r="N32" i="67"/>
  <c r="R37" i="67"/>
  <c r="C42" i="67"/>
  <c r="N42" i="67"/>
  <c r="W48" i="67"/>
  <c r="K47" i="67"/>
  <c r="V47" i="67"/>
  <c r="S52" i="67"/>
  <c r="E57" i="67"/>
  <c r="R57" i="67"/>
  <c r="P65" i="67"/>
  <c r="B62" i="67"/>
  <c r="K67" i="67"/>
  <c r="H72" i="67"/>
  <c r="V72" i="67"/>
  <c r="U74" i="67"/>
  <c r="E82" i="67"/>
  <c r="T82" i="67"/>
  <c r="S92" i="67"/>
  <c r="D97" i="67"/>
  <c r="D102" i="67"/>
  <c r="J112" i="67"/>
  <c r="G117" i="67"/>
  <c r="W127" i="67"/>
  <c r="E132" i="67"/>
  <c r="O137" i="67"/>
  <c r="V200" i="67"/>
  <c r="U220" i="67"/>
  <c r="R225" i="67"/>
  <c r="T281" i="67"/>
  <c r="J147" i="67"/>
  <c r="J137" i="67"/>
  <c r="J127" i="67"/>
  <c r="J132" i="67"/>
  <c r="J72" i="67"/>
  <c r="J142" i="67"/>
  <c r="J82" i="67"/>
  <c r="J122" i="67"/>
  <c r="J107" i="67"/>
  <c r="J102" i="67"/>
  <c r="J97" i="67"/>
  <c r="J92" i="67"/>
  <c r="J67" i="67"/>
  <c r="J57" i="67"/>
  <c r="J12" i="67"/>
  <c r="V63" i="67"/>
  <c r="J62" i="67"/>
  <c r="S317" i="67"/>
  <c r="S261" i="67"/>
  <c r="S256" i="67"/>
  <c r="S286" i="67"/>
  <c r="S266" i="67"/>
  <c r="S281" i="67"/>
  <c r="S237" i="67"/>
  <c r="S157" i="67"/>
  <c r="S249" i="67"/>
  <c r="S230" i="67"/>
  <c r="S132" i="67"/>
  <c r="S127" i="67"/>
  <c r="S82" i="67"/>
  <c r="S310" i="67"/>
  <c r="S276" i="67"/>
  <c r="S215" i="67"/>
  <c r="S205" i="67"/>
  <c r="S177" i="67"/>
  <c r="S142" i="67"/>
  <c r="S122" i="67"/>
  <c r="S77" i="67"/>
  <c r="S225" i="67"/>
  <c r="S220" i="67"/>
  <c r="S210" i="67"/>
  <c r="S200" i="67"/>
  <c r="S147" i="67"/>
  <c r="S102" i="67"/>
  <c r="S57" i="67"/>
  <c r="S172" i="67"/>
  <c r="S152" i="67"/>
  <c r="S137" i="67"/>
  <c r="S162" i="67"/>
  <c r="S87" i="67"/>
  <c r="F19" i="67"/>
  <c r="Q20" i="67"/>
  <c r="K62" i="67"/>
  <c r="Q75" i="67"/>
  <c r="J77" i="67"/>
  <c r="J157" i="67"/>
  <c r="S72" i="67"/>
  <c r="T97" i="67"/>
  <c r="F152" i="67"/>
  <c r="F142" i="67"/>
  <c r="F132" i="67"/>
  <c r="F157" i="67"/>
  <c r="F162" i="67"/>
  <c r="F107" i="67"/>
  <c r="F102" i="67"/>
  <c r="F97" i="67"/>
  <c r="F92" i="67"/>
  <c r="F112" i="67"/>
  <c r="F122" i="67"/>
  <c r="F82" i="67"/>
  <c r="F172" i="67"/>
  <c r="F137" i="67"/>
  <c r="F117" i="67"/>
  <c r="F32" i="67"/>
  <c r="F12" i="67"/>
  <c r="F87" i="67"/>
  <c r="F57" i="67"/>
  <c r="L27" i="67"/>
  <c r="V27" i="67"/>
  <c r="S37" i="67"/>
  <c r="L47" i="67"/>
  <c r="O48" i="67"/>
  <c r="Q49" i="67"/>
  <c r="S50" i="67"/>
  <c r="T52" i="67"/>
  <c r="T57" i="67"/>
  <c r="T65" i="67"/>
  <c r="W72" i="67"/>
  <c r="R77" i="67"/>
  <c r="J87" i="67"/>
  <c r="K112" i="67"/>
  <c r="J117" i="67"/>
  <c r="M122" i="67"/>
  <c r="K132" i="67"/>
  <c r="U142" i="67"/>
  <c r="T172" i="67"/>
  <c r="U177" i="67"/>
  <c r="V220" i="67"/>
  <c r="T225" i="67"/>
  <c r="B147" i="67"/>
  <c r="B137" i="67"/>
  <c r="B127" i="67"/>
  <c r="B142" i="67"/>
  <c r="B72" i="67"/>
  <c r="B122" i="67"/>
  <c r="B82" i="67"/>
  <c r="B152" i="67"/>
  <c r="B162" i="67"/>
  <c r="B107" i="67"/>
  <c r="B102" i="67"/>
  <c r="B97" i="67"/>
  <c r="B92" i="67"/>
  <c r="B67" i="67"/>
  <c r="B42" i="67"/>
  <c r="B22" i="67"/>
  <c r="B157" i="67"/>
  <c r="B132" i="67"/>
  <c r="B87" i="67"/>
  <c r="C157" i="67"/>
  <c r="C122" i="67"/>
  <c r="C82" i="67"/>
  <c r="C152" i="67"/>
  <c r="C147" i="67"/>
  <c r="C137" i="67"/>
  <c r="C172" i="67"/>
  <c r="C117" i="67"/>
  <c r="C77" i="67"/>
  <c r="C112" i="67"/>
  <c r="C102" i="67"/>
  <c r="C72" i="67"/>
  <c r="C52" i="67"/>
  <c r="C162" i="67"/>
  <c r="C127" i="67"/>
  <c r="K12" i="67"/>
  <c r="C57" i="67"/>
  <c r="C107" i="67"/>
  <c r="S271" i="67"/>
  <c r="L122" i="67"/>
  <c r="L152" i="67"/>
  <c r="L147" i="67"/>
  <c r="L137" i="67"/>
  <c r="L77" i="67"/>
  <c r="L172" i="67"/>
  <c r="L117" i="67"/>
  <c r="L112" i="67"/>
  <c r="L87" i="67"/>
  <c r="L17" i="67"/>
  <c r="L12" i="67"/>
  <c r="L52" i="67"/>
  <c r="L142" i="67"/>
  <c r="L102" i="67"/>
  <c r="L67" i="67"/>
  <c r="L15" i="67"/>
  <c r="J47" i="67"/>
  <c r="L62" i="67"/>
  <c r="H85" i="67"/>
  <c r="C97" i="67"/>
  <c r="N310" i="67"/>
  <c r="N317" i="67"/>
  <c r="N152" i="67"/>
  <c r="N142" i="67"/>
  <c r="N132" i="67"/>
  <c r="N172" i="67"/>
  <c r="N117" i="67"/>
  <c r="N157" i="67"/>
  <c r="N107" i="67"/>
  <c r="N102" i="67"/>
  <c r="N97" i="67"/>
  <c r="N92" i="67"/>
  <c r="N292" i="67"/>
  <c r="N162" i="67"/>
  <c r="N82" i="67"/>
  <c r="N72" i="67"/>
  <c r="N17" i="67"/>
  <c r="N147" i="67"/>
  <c r="N47" i="67"/>
  <c r="J17" i="67"/>
  <c r="G172" i="67"/>
  <c r="G162" i="67"/>
  <c r="G107" i="67"/>
  <c r="G102" i="67"/>
  <c r="G97" i="67"/>
  <c r="G92" i="67"/>
  <c r="G67" i="67"/>
  <c r="G112" i="67"/>
  <c r="G127" i="67"/>
  <c r="G87" i="67"/>
  <c r="G147" i="67"/>
  <c r="G137" i="67"/>
  <c r="G62" i="67"/>
  <c r="G57" i="67"/>
  <c r="G52" i="67"/>
  <c r="G47" i="67"/>
  <c r="G42" i="67"/>
  <c r="G37" i="67"/>
  <c r="G32" i="67"/>
  <c r="G27" i="67"/>
  <c r="G22" i="67"/>
  <c r="G152" i="67"/>
  <c r="G132" i="67"/>
  <c r="J15" i="67"/>
  <c r="K17" i="67"/>
  <c r="V20" i="67"/>
  <c r="J22" i="67"/>
  <c r="T37" i="67"/>
  <c r="S73" i="67"/>
  <c r="K72" i="67"/>
  <c r="V77" i="67"/>
  <c r="M87" i="67"/>
  <c r="C92" i="67"/>
  <c r="K97" i="67"/>
  <c r="K107" i="67"/>
  <c r="N112" i="67"/>
  <c r="N122" i="67"/>
  <c r="E127" i="67"/>
  <c r="L132" i="67"/>
  <c r="W137" i="67"/>
  <c r="W142" i="67"/>
  <c r="E152" i="67"/>
  <c r="M162" i="67"/>
  <c r="M223" i="67"/>
  <c r="U225" i="67"/>
  <c r="J42" i="67"/>
  <c r="B57" i="67"/>
  <c r="K157" i="67"/>
  <c r="K142" i="67"/>
  <c r="K82" i="67"/>
  <c r="K122" i="67"/>
  <c r="K152" i="67"/>
  <c r="K147" i="67"/>
  <c r="K137" i="67"/>
  <c r="K77" i="67"/>
  <c r="K162" i="67"/>
  <c r="K127" i="67"/>
  <c r="K92" i="67"/>
  <c r="K87" i="67"/>
  <c r="K42" i="67"/>
  <c r="K22" i="67"/>
  <c r="S27" i="67"/>
  <c r="S97" i="67"/>
  <c r="D152" i="67"/>
  <c r="D147" i="67"/>
  <c r="D137" i="67"/>
  <c r="D172" i="67"/>
  <c r="D117" i="67"/>
  <c r="D77" i="67"/>
  <c r="D157" i="67"/>
  <c r="D132" i="67"/>
  <c r="D127" i="67"/>
  <c r="D87" i="67"/>
  <c r="D17" i="67"/>
  <c r="D12" i="67"/>
  <c r="D37" i="67"/>
  <c r="D92" i="67"/>
  <c r="D62" i="67"/>
  <c r="G19" i="67"/>
  <c r="T27" i="67"/>
  <c r="C32" i="67"/>
  <c r="W65" i="67"/>
  <c r="C132" i="67"/>
  <c r="V286" i="67"/>
  <c r="V271" i="67"/>
  <c r="V230" i="67"/>
  <c r="V310" i="67"/>
  <c r="V292" i="67"/>
  <c r="V276" i="67"/>
  <c r="V281" i="67"/>
  <c r="V237" i="67"/>
  <c r="V317" i="67"/>
  <c r="V152" i="67"/>
  <c r="V142" i="67"/>
  <c r="V132" i="67"/>
  <c r="V147" i="67"/>
  <c r="V137" i="67"/>
  <c r="V261" i="67"/>
  <c r="V172" i="67"/>
  <c r="V117" i="67"/>
  <c r="V107" i="67"/>
  <c r="V102" i="67"/>
  <c r="V97" i="67"/>
  <c r="V92" i="67"/>
  <c r="V225" i="67"/>
  <c r="V157" i="67"/>
  <c r="V127" i="67"/>
  <c r="V82" i="67"/>
  <c r="V215" i="67"/>
  <c r="V37" i="67"/>
  <c r="V266" i="67"/>
  <c r="V210" i="67"/>
  <c r="V256" i="67"/>
  <c r="V249" i="67"/>
  <c r="V205" i="67"/>
  <c r="V112" i="67"/>
  <c r="V67" i="67"/>
  <c r="V62" i="67"/>
  <c r="U18" i="67"/>
  <c r="U19" i="67"/>
  <c r="S22" i="67"/>
  <c r="C27" i="67"/>
  <c r="O281" i="67"/>
  <c r="O317" i="67"/>
  <c r="O237" i="67"/>
  <c r="O266" i="67"/>
  <c r="O261" i="67"/>
  <c r="O256" i="67"/>
  <c r="O182" i="67"/>
  <c r="O177" i="67"/>
  <c r="O172" i="67"/>
  <c r="O162" i="67"/>
  <c r="O225" i="67"/>
  <c r="O157" i="67"/>
  <c r="O107" i="67"/>
  <c r="O102" i="67"/>
  <c r="O97" i="67"/>
  <c r="O92" i="67"/>
  <c r="O67" i="67"/>
  <c r="O292" i="67"/>
  <c r="O249" i="67"/>
  <c r="O220" i="67"/>
  <c r="O210" i="67"/>
  <c r="O200" i="67"/>
  <c r="O310" i="67"/>
  <c r="O112" i="67"/>
  <c r="O87" i="67"/>
  <c r="O215" i="67"/>
  <c r="O205" i="67"/>
  <c r="O142" i="67"/>
  <c r="O122" i="67"/>
  <c r="O62" i="67"/>
  <c r="O57" i="67"/>
  <c r="O52" i="67"/>
  <c r="O47" i="67"/>
  <c r="O42" i="67"/>
  <c r="O37" i="67"/>
  <c r="O32" i="67"/>
  <c r="O27" i="67"/>
  <c r="O22" i="67"/>
  <c r="O271" i="67"/>
  <c r="O230" i="67"/>
  <c r="O82" i="67"/>
  <c r="O77" i="67"/>
  <c r="O12" i="67"/>
  <c r="O147" i="67"/>
  <c r="W310" i="67"/>
  <c r="W292" i="67"/>
  <c r="W276" i="67"/>
  <c r="W281" i="67"/>
  <c r="W237" i="67"/>
  <c r="W261" i="67"/>
  <c r="W256" i="67"/>
  <c r="W182" i="67"/>
  <c r="W177" i="67"/>
  <c r="W172" i="67"/>
  <c r="W162" i="67"/>
  <c r="W152" i="67"/>
  <c r="W117" i="67"/>
  <c r="W107" i="67"/>
  <c r="W102" i="67"/>
  <c r="W97" i="67"/>
  <c r="W92" i="67"/>
  <c r="W67" i="67"/>
  <c r="W286" i="67"/>
  <c r="W225" i="67"/>
  <c r="W157" i="67"/>
  <c r="W220" i="67"/>
  <c r="W210" i="67"/>
  <c r="W200" i="67"/>
  <c r="W87" i="67"/>
  <c r="W249" i="67"/>
  <c r="W132" i="67"/>
  <c r="W62" i="67"/>
  <c r="W57" i="67"/>
  <c r="W52" i="67"/>
  <c r="W47" i="67"/>
  <c r="W42" i="67"/>
  <c r="W37" i="67"/>
  <c r="W32" i="67"/>
  <c r="W27" i="67"/>
  <c r="W22" i="67"/>
  <c r="W266" i="67"/>
  <c r="W122" i="67"/>
  <c r="W17" i="67"/>
  <c r="W205" i="67"/>
  <c r="W82" i="67"/>
  <c r="G12" i="67"/>
  <c r="E13" i="67"/>
  <c r="R19" i="67"/>
  <c r="E15" i="67"/>
  <c r="V17" i="67"/>
  <c r="V18" i="67"/>
  <c r="D27" i="67"/>
  <c r="R32" i="67"/>
  <c r="J37" i="67"/>
  <c r="C47" i="67"/>
  <c r="R49" i="67"/>
  <c r="J52" i="67"/>
  <c r="V52" i="67"/>
  <c r="U64" i="67"/>
  <c r="N67" i="67"/>
  <c r="B77" i="67"/>
  <c r="M85" i="67"/>
  <c r="M83" i="67"/>
  <c r="H122" i="67"/>
  <c r="H117" i="67"/>
  <c r="H112" i="67"/>
  <c r="H162" i="67"/>
  <c r="H127" i="67"/>
  <c r="H87" i="67"/>
  <c r="H132" i="67"/>
  <c r="H152" i="67"/>
  <c r="H77" i="67"/>
  <c r="H157" i="67"/>
  <c r="H97" i="67"/>
  <c r="H62" i="67"/>
  <c r="H42" i="67"/>
  <c r="P317" i="67"/>
  <c r="P310" i="67"/>
  <c r="P281" i="67"/>
  <c r="P276" i="67"/>
  <c r="P271" i="67"/>
  <c r="P266" i="67"/>
  <c r="P237" i="67"/>
  <c r="P249" i="67"/>
  <c r="P292" i="67"/>
  <c r="P286" i="67"/>
  <c r="P122" i="67"/>
  <c r="P117" i="67"/>
  <c r="P112" i="67"/>
  <c r="P220" i="67"/>
  <c r="P210" i="67"/>
  <c r="P200" i="67"/>
  <c r="P182" i="67"/>
  <c r="P162" i="67"/>
  <c r="P87" i="67"/>
  <c r="P230" i="67"/>
  <c r="P127" i="67"/>
  <c r="P147" i="67"/>
  <c r="P137" i="67"/>
  <c r="P77" i="67"/>
  <c r="P107" i="67"/>
  <c r="P67" i="67"/>
  <c r="P32" i="67"/>
  <c r="P261" i="67"/>
  <c r="P215" i="67"/>
  <c r="P57" i="67"/>
  <c r="H12" i="67"/>
  <c r="R12" i="67"/>
  <c r="G13" i="67"/>
  <c r="B17" i="67"/>
  <c r="M17" i="67"/>
  <c r="L22" i="67"/>
  <c r="V22" i="67"/>
  <c r="E27" i="67"/>
  <c r="N27" i="67"/>
  <c r="S32" i="67"/>
  <c r="K37" i="67"/>
  <c r="U37" i="67"/>
  <c r="F42" i="67"/>
  <c r="R42" i="67"/>
  <c r="T49" i="67"/>
  <c r="D47" i="67"/>
  <c r="P47" i="67"/>
  <c r="K52" i="67"/>
  <c r="K57" i="67"/>
  <c r="V57" i="67"/>
  <c r="F62" i="67"/>
  <c r="R62" i="67"/>
  <c r="Q64" i="67"/>
  <c r="C67" i="67"/>
  <c r="W74" i="67"/>
  <c r="V75" i="67"/>
  <c r="L72" i="67"/>
  <c r="F77" i="67"/>
  <c r="W77" i="67"/>
  <c r="N87" i="67"/>
  <c r="H92" i="67"/>
  <c r="L97" i="67"/>
  <c r="R138" i="67"/>
  <c r="S140" i="67"/>
  <c r="K102" i="67"/>
  <c r="L107" i="67"/>
  <c r="O117" i="67"/>
  <c r="F127" i="67"/>
  <c r="O132" i="67"/>
  <c r="C142" i="67"/>
  <c r="R162" i="67"/>
  <c r="B172" i="67"/>
  <c r="U317" i="67"/>
  <c r="P358" i="67"/>
  <c r="L358" i="67"/>
  <c r="X358" i="67"/>
  <c r="T358" i="67"/>
  <c r="AJ358" i="67"/>
  <c r="AN358" i="67"/>
  <c r="R378" i="67"/>
  <c r="S378" i="67"/>
  <c r="Z378" i="67"/>
  <c r="AA378" i="67"/>
  <c r="AH378" i="67"/>
  <c r="AI378" i="67"/>
  <c r="AP378" i="67"/>
  <c r="AQ378" i="67"/>
  <c r="W63" i="67"/>
  <c r="P73" i="67"/>
  <c r="S74" i="67"/>
  <c r="I163" i="67"/>
  <c r="I168" i="67" s="1"/>
  <c r="I165" i="67"/>
  <c r="I170" i="67" s="1"/>
  <c r="K439" i="67"/>
  <c r="K435" i="67"/>
  <c r="S439" i="67"/>
  <c r="S435" i="67"/>
  <c r="AA439" i="67"/>
  <c r="AA435" i="67"/>
  <c r="AB439" i="67"/>
  <c r="AI439" i="67"/>
  <c r="AI435" i="67"/>
  <c r="AQ435" i="67"/>
  <c r="Q310" i="67"/>
  <c r="Q317" i="67"/>
  <c r="Q249" i="67"/>
  <c r="Q271" i="67"/>
  <c r="Q230" i="67"/>
  <c r="Q225" i="67"/>
  <c r="T138" i="67"/>
  <c r="V139" i="67"/>
  <c r="P140" i="67"/>
  <c r="I117" i="67"/>
  <c r="Q152" i="67"/>
  <c r="I157" i="67"/>
  <c r="I172" i="67"/>
  <c r="C439" i="67"/>
  <c r="Q132" i="67"/>
  <c r="I142" i="67"/>
  <c r="Q276" i="67"/>
  <c r="Q127" i="67"/>
  <c r="I132" i="67"/>
  <c r="Q266" i="67"/>
  <c r="H439" i="67"/>
  <c r="H435" i="67"/>
  <c r="P439" i="67"/>
  <c r="P435" i="67"/>
  <c r="X439" i="67"/>
  <c r="X435" i="67"/>
  <c r="AF439" i="67"/>
  <c r="AF435" i="67"/>
  <c r="AN439" i="67"/>
  <c r="AN435" i="67"/>
  <c r="I112" i="67"/>
  <c r="Q162" i="67"/>
  <c r="Q182" i="67"/>
  <c r="Q237" i="67"/>
  <c r="Q281" i="67"/>
  <c r="Q292" i="67"/>
  <c r="K440" i="67"/>
  <c r="B439" i="67"/>
  <c r="D440" i="67"/>
  <c r="B440" i="67"/>
  <c r="L440" i="67"/>
  <c r="T440" i="67"/>
  <c r="AB440" i="67"/>
  <c r="AJ440" i="67"/>
  <c r="I397" i="67"/>
  <c r="I403" i="67" s="1"/>
  <c r="Q397" i="67"/>
  <c r="Q403" i="67" s="1"/>
  <c r="Y397" i="67"/>
  <c r="Y403" i="67" s="1"/>
  <c r="AG397" i="67"/>
  <c r="AG403" i="67" s="1"/>
  <c r="AO397" i="67"/>
  <c r="AO403" i="67" s="1"/>
  <c r="E439" i="67"/>
  <c r="M439" i="67"/>
  <c r="M435" i="67"/>
  <c r="U439" i="67"/>
  <c r="U435" i="67"/>
  <c r="AC435" i="67"/>
  <c r="AC439" i="67"/>
  <c r="AK439" i="67"/>
  <c r="AK435" i="67"/>
  <c r="G440" i="67"/>
  <c r="O440" i="67"/>
  <c r="W440" i="67"/>
  <c r="AE440" i="67"/>
  <c r="AM440" i="67"/>
  <c r="F439" i="67"/>
  <c r="F435" i="67"/>
  <c r="V439" i="67"/>
  <c r="V435" i="67"/>
  <c r="AD435" i="67"/>
  <c r="AD439" i="67"/>
  <c r="AL439" i="67"/>
  <c r="AL435" i="67"/>
  <c r="O358" i="67"/>
  <c r="W358" i="67"/>
  <c r="G435" i="67"/>
  <c r="G439" i="67"/>
  <c r="O435" i="67"/>
  <c r="O439" i="67"/>
  <c r="W435" i="67"/>
  <c r="W439" i="67"/>
  <c r="AE435" i="67"/>
  <c r="AE439" i="67"/>
  <c r="AM435" i="67"/>
  <c r="AM439" i="67"/>
  <c r="J435" i="67"/>
  <c r="J439" i="67"/>
  <c r="R435" i="67"/>
  <c r="R439" i="67"/>
  <c r="Z435" i="67"/>
  <c r="Z439" i="67"/>
  <c r="AH435" i="67"/>
  <c r="AH439" i="67"/>
  <c r="AP435" i="67"/>
  <c r="N440" i="67"/>
  <c r="AD440" i="67"/>
  <c r="AL440" i="67"/>
  <c r="L439" i="67"/>
  <c r="L435" i="67"/>
  <c r="T435" i="67"/>
  <c r="T439" i="67"/>
  <c r="AB435" i="67"/>
  <c r="AJ439" i="67"/>
  <c r="AJ435" i="67"/>
  <c r="AR435" i="67"/>
  <c r="E440" i="67"/>
  <c r="M440" i="67"/>
  <c r="U440" i="67"/>
  <c r="AC440" i="67"/>
  <c r="I439" i="67"/>
  <c r="I435" i="67"/>
  <c r="Q435" i="67"/>
  <c r="Q439" i="67"/>
  <c r="Y435" i="67"/>
  <c r="Y439" i="67"/>
  <c r="AG435" i="67"/>
  <c r="AG439" i="67"/>
  <c r="AO439" i="67"/>
  <c r="AO435" i="67"/>
  <c r="H440" i="67"/>
  <c r="P440" i="67"/>
  <c r="X440" i="67"/>
  <c r="AF440" i="67"/>
  <c r="AN440" i="67"/>
  <c r="K378" i="67"/>
  <c r="C440" i="67"/>
  <c r="S440" i="67"/>
  <c r="AA440" i="67"/>
  <c r="AI440" i="67"/>
  <c r="O429" i="67"/>
  <c r="O428" i="67" s="1"/>
  <c r="AK440" i="67"/>
  <c r="AC397" i="67"/>
  <c r="AC403" i="67" s="1"/>
  <c r="AK397" i="67"/>
  <c r="AK403" i="67" s="1"/>
  <c r="AE397" i="67"/>
  <c r="AE403" i="67" s="1"/>
  <c r="AM397" i="67"/>
  <c r="AM403" i="67" s="1"/>
  <c r="AB404" i="67"/>
  <c r="AB408" i="67" s="1"/>
  <c r="AJ404" i="67"/>
  <c r="AJ408" i="67" s="1"/>
  <c r="AR404" i="67"/>
  <c r="AR408" i="67" s="1"/>
  <c r="AZ404" i="67"/>
  <c r="AZ408" i="67" s="1"/>
  <c r="BH404" i="67"/>
  <c r="BH408" i="67" s="1"/>
  <c r="BP404" i="67"/>
  <c r="BP408" i="67" s="1"/>
  <c r="BX404" i="67"/>
  <c r="BX408" i="67" s="1"/>
  <c r="BS404" i="67"/>
  <c r="BS408" i="67" s="1"/>
  <c r="C89" i="90" l="1"/>
  <c r="C87" i="90" s="1"/>
  <c r="C95" i="90" s="1"/>
  <c r="C64" i="90"/>
  <c r="C72" i="90" s="1"/>
  <c r="C35" i="90" s="1"/>
  <c r="C37" i="90" s="1"/>
  <c r="C7" i="61"/>
  <c r="K151" i="18"/>
  <c r="H7" i="61"/>
  <c r="M201" i="67"/>
  <c r="D7" i="61"/>
  <c r="C133" i="6"/>
  <c r="G207" i="67"/>
  <c r="G208" i="67" s="1"/>
  <c r="C174" i="6"/>
  <c r="C301" i="67"/>
  <c r="AG11" i="60"/>
  <c r="AG49" i="60" s="1"/>
  <c r="R15" i="60"/>
  <c r="D9" i="60" s="1"/>
  <c r="D47" i="60" s="1"/>
  <c r="AE13" i="60"/>
  <c r="P18" i="60"/>
  <c r="B11" i="60" s="1"/>
  <c r="B49" i="60" s="1"/>
  <c r="Q15" i="60"/>
  <c r="C9" i="60" s="1"/>
  <c r="C47" i="60" s="1"/>
  <c r="AF11" i="60"/>
  <c r="AR32" i="60" s="1"/>
  <c r="AR34" i="60" s="1"/>
  <c r="G154" i="67"/>
  <c r="H154" i="67"/>
  <c r="B163" i="6"/>
  <c r="E151" i="6"/>
  <c r="E155" i="6" s="1"/>
  <c r="B94" i="67"/>
  <c r="B93" i="67" s="1"/>
  <c r="I85" i="67"/>
  <c r="F154" i="67"/>
  <c r="E175" i="67"/>
  <c r="E197" i="67"/>
  <c r="F197" i="67" s="1"/>
  <c r="G197" i="67" s="1"/>
  <c r="H197" i="67" s="1"/>
  <c r="I197" i="67" s="1"/>
  <c r="J197" i="67" s="1"/>
  <c r="K197" i="67" s="1"/>
  <c r="L197" i="67" s="1"/>
  <c r="M197" i="67" s="1"/>
  <c r="N197" i="67" s="1"/>
  <c r="O197" i="67" s="1"/>
  <c r="P197" i="67" s="1"/>
  <c r="Q197" i="67" s="1"/>
  <c r="R197" i="67" s="1"/>
  <c r="S197" i="67" s="1"/>
  <c r="T197" i="67" s="1"/>
  <c r="U197" i="67" s="1"/>
  <c r="V197" i="67" s="1"/>
  <c r="W197" i="67" s="1"/>
  <c r="E169" i="67"/>
  <c r="E194" i="67"/>
  <c r="F194" i="67" s="1"/>
  <c r="G194" i="67" s="1"/>
  <c r="H194" i="67" s="1"/>
  <c r="I194" i="67" s="1"/>
  <c r="J194" i="67" s="1"/>
  <c r="K194" i="67" s="1"/>
  <c r="L194" i="67" s="1"/>
  <c r="M194" i="67" s="1"/>
  <c r="N194" i="67" s="1"/>
  <c r="O194" i="67" s="1"/>
  <c r="P194" i="67" s="1"/>
  <c r="Q194" i="67" s="1"/>
  <c r="R194" i="67" s="1"/>
  <c r="S194" i="67" s="1"/>
  <c r="T194" i="67" s="1"/>
  <c r="U194" i="67" s="1"/>
  <c r="V194" i="67" s="1"/>
  <c r="W194" i="67" s="1"/>
  <c r="L19" i="67"/>
  <c r="N223" i="67"/>
  <c r="G83" i="67"/>
  <c r="I15" i="67"/>
  <c r="J20" i="67" s="1"/>
  <c r="AN119" i="15"/>
  <c r="O172" i="21"/>
  <c r="O173" i="21" s="1"/>
  <c r="D163" i="67"/>
  <c r="D168" i="67" s="1"/>
  <c r="D169" i="67"/>
  <c r="H165" i="67"/>
  <c r="H170" i="67" s="1"/>
  <c r="H169" i="67"/>
  <c r="AB430" i="67"/>
  <c r="AB429" i="67" s="1"/>
  <c r="AB428" i="67" s="1"/>
  <c r="L163" i="67"/>
  <c r="L168" i="67" s="1"/>
  <c r="L169" i="67"/>
  <c r="F165" i="67"/>
  <c r="F170" i="67" s="1"/>
  <c r="F169" i="67"/>
  <c r="M165" i="67"/>
  <c r="M170" i="67" s="1"/>
  <c r="M169" i="67"/>
  <c r="G163" i="67"/>
  <c r="G168" i="67" s="1"/>
  <c r="G169" i="67"/>
  <c r="K19" i="67"/>
  <c r="K15" i="67"/>
  <c r="K20" i="67" s="1"/>
  <c r="J83" i="67"/>
  <c r="D118" i="6"/>
  <c r="L223" i="67"/>
  <c r="N60" i="6"/>
  <c r="M174" i="6"/>
  <c r="L207" i="67"/>
  <c r="L206" i="67" s="1"/>
  <c r="S133" i="68"/>
  <c r="S85" i="21" s="1"/>
  <c r="S135" i="68"/>
  <c r="S136" i="68"/>
  <c r="Q136" i="68"/>
  <c r="Q135" i="68"/>
  <c r="Q133" i="68"/>
  <c r="Q85" i="21" s="1"/>
  <c r="R133" i="68"/>
  <c r="R85" i="21" s="1"/>
  <c r="R136" i="68"/>
  <c r="R135" i="68"/>
  <c r="K216" i="67"/>
  <c r="K203" i="67"/>
  <c r="D175" i="67"/>
  <c r="L216" i="67"/>
  <c r="I216" i="67"/>
  <c r="M183" i="67"/>
  <c r="G203" i="67"/>
  <c r="J183" i="67"/>
  <c r="J173" i="67"/>
  <c r="E211" i="67"/>
  <c r="D176" i="6"/>
  <c r="L10" i="67"/>
  <c r="I203" i="67"/>
  <c r="G165" i="67"/>
  <c r="G170" i="67" s="1"/>
  <c r="K8" i="67"/>
  <c r="E41" i="6"/>
  <c r="J218" i="67"/>
  <c r="B154" i="18"/>
  <c r="S160" i="18"/>
  <c r="M10" i="67"/>
  <c r="M211" i="67"/>
  <c r="M14" i="67"/>
  <c r="M19" i="67" s="1"/>
  <c r="F218" i="67"/>
  <c r="F203" i="67"/>
  <c r="G211" i="67"/>
  <c r="S157" i="18"/>
  <c r="D206" i="67"/>
  <c r="D213" i="67"/>
  <c r="G218" i="67"/>
  <c r="N185" i="67"/>
  <c r="K175" i="67"/>
  <c r="K185" i="67"/>
  <c r="J213" i="67"/>
  <c r="F211" i="67"/>
  <c r="I175" i="67"/>
  <c r="I223" i="67"/>
  <c r="K213" i="67"/>
  <c r="D216" i="67"/>
  <c r="L173" i="67"/>
  <c r="E218" i="67"/>
  <c r="D199" i="18"/>
  <c r="M125" i="68"/>
  <c r="M126" i="68" s="1"/>
  <c r="M163" i="67"/>
  <c r="M168" i="67" s="1"/>
  <c r="H201" i="67"/>
  <c r="M167" i="6"/>
  <c r="J201" i="67"/>
  <c r="F302" i="67"/>
  <c r="F311" i="67" s="1"/>
  <c r="L185" i="67"/>
  <c r="K239" i="18"/>
  <c r="L201" i="67"/>
  <c r="G199" i="18"/>
  <c r="J175" i="67"/>
  <c r="H163" i="67"/>
  <c r="H168" i="67" s="1"/>
  <c r="L165" i="67"/>
  <c r="L170" i="67" s="1"/>
  <c r="M133" i="6"/>
  <c r="Q21" i="60" s="1"/>
  <c r="K173" i="67"/>
  <c r="M41" i="6"/>
  <c r="I61" i="6"/>
  <c r="I183" i="67"/>
  <c r="K154" i="18"/>
  <c r="J198" i="18"/>
  <c r="L123" i="68" s="1"/>
  <c r="L124" i="68" s="1"/>
  <c r="L125" i="68" s="1"/>
  <c r="L126" i="68" s="1"/>
  <c r="I213" i="67"/>
  <c r="I211" i="67"/>
  <c r="F144" i="6"/>
  <c r="F144" i="67" s="1"/>
  <c r="BZ11" i="18"/>
  <c r="CD10" i="18"/>
  <c r="CD11" i="18" s="1"/>
  <c r="CH214" i="18"/>
  <c r="CH9" i="18" s="1"/>
  <c r="N155" i="6"/>
  <c r="I51" i="61" s="1"/>
  <c r="H155" i="6"/>
  <c r="C51" i="61" s="1"/>
  <c r="E165" i="67"/>
  <c r="E170" i="67" s="1"/>
  <c r="E163" i="67"/>
  <c r="E168" i="67" s="1"/>
  <c r="G111" i="6"/>
  <c r="L111" i="6"/>
  <c r="D135" i="6"/>
  <c r="K111" i="6"/>
  <c r="N111" i="6"/>
  <c r="G155" i="6"/>
  <c r="H111" i="6"/>
  <c r="H144" i="6"/>
  <c r="C43" i="61" s="1"/>
  <c r="K144" i="6"/>
  <c r="F43" i="61" s="1"/>
  <c r="C99" i="67"/>
  <c r="C100" i="67" s="1"/>
  <c r="L18" i="67"/>
  <c r="G144" i="6"/>
  <c r="G144" i="67" s="1"/>
  <c r="K24" i="67"/>
  <c r="K23" i="67" s="1"/>
  <c r="K302" i="67"/>
  <c r="K311" i="67" s="1"/>
  <c r="K199" i="18"/>
  <c r="E199" i="18"/>
  <c r="L155" i="6"/>
  <c r="C199" i="18"/>
  <c r="N50" i="21"/>
  <c r="G50" i="21"/>
  <c r="C15" i="67"/>
  <c r="C13" i="67"/>
  <c r="G89" i="67"/>
  <c r="G88" i="67" s="1"/>
  <c r="D31" i="61"/>
  <c r="F61" i="6"/>
  <c r="E31" i="61"/>
  <c r="E118" i="6"/>
  <c r="G31" i="61"/>
  <c r="H241" i="18"/>
  <c r="AB50" i="21"/>
  <c r="S364" i="67"/>
  <c r="J241" i="18"/>
  <c r="C19" i="74"/>
  <c r="N157" i="68"/>
  <c r="E203" i="67"/>
  <c r="E201" i="67"/>
  <c r="D11" i="21"/>
  <c r="D12" i="21"/>
  <c r="G241" i="18"/>
  <c r="J19" i="67"/>
  <c r="L144" i="6"/>
  <c r="G43" i="61" s="1"/>
  <c r="F89" i="67"/>
  <c r="F90" i="67" s="1"/>
  <c r="K155" i="6"/>
  <c r="F51" i="61" s="1"/>
  <c r="E138" i="18"/>
  <c r="F31" i="61"/>
  <c r="D43" i="6"/>
  <c r="C127" i="6"/>
  <c r="K44" i="6"/>
  <c r="I302" i="67"/>
  <c r="I311" i="67" s="1"/>
  <c r="I44" i="6"/>
  <c r="AF364" i="67"/>
  <c r="N364" i="67"/>
  <c r="AA364" i="67"/>
  <c r="AG364" i="67"/>
  <c r="AI364" i="67"/>
  <c r="AB364" i="67"/>
  <c r="I19" i="67"/>
  <c r="Z364" i="67"/>
  <c r="Y50" i="21"/>
  <c r="X364" i="67"/>
  <c r="AK50" i="21"/>
  <c r="Y364" i="67"/>
  <c r="F50" i="21"/>
  <c r="F163" i="67"/>
  <c r="F168" i="67" s="1"/>
  <c r="B239" i="18"/>
  <c r="L175" i="67"/>
  <c r="C43" i="6"/>
  <c r="O182" i="68"/>
  <c r="O183" i="68" s="1"/>
  <c r="O184" i="68" s="1"/>
  <c r="O185" i="68" s="1"/>
  <c r="D19" i="74"/>
  <c r="I241" i="18"/>
  <c r="B15" i="21"/>
  <c r="C14" i="21"/>
  <c r="C10" i="21" s="1"/>
  <c r="P146" i="18"/>
  <c r="R47" i="6" s="1"/>
  <c r="E19" i="74"/>
  <c r="P80" i="68"/>
  <c r="F19" i="74"/>
  <c r="U429" i="67"/>
  <c r="U428" i="67" s="1"/>
  <c r="V430" i="67"/>
  <c r="V429" i="67" s="1"/>
  <c r="V428" i="67" s="1"/>
  <c r="H429" i="67"/>
  <c r="H428" i="67" s="1"/>
  <c r="I430" i="67"/>
  <c r="I429" i="67" s="1"/>
  <c r="I428" i="67" s="1"/>
  <c r="AK430" i="67"/>
  <c r="AK429" i="67" s="1"/>
  <c r="AK428" i="67" s="1"/>
  <c r="AJ429" i="67"/>
  <c r="AJ428" i="67" s="1"/>
  <c r="S430" i="67"/>
  <c r="S429" i="67" s="1"/>
  <c r="S428" i="67" s="1"/>
  <c r="R429" i="67"/>
  <c r="R428" i="67" s="1"/>
  <c r="AG429" i="67"/>
  <c r="AG428" i="67" s="1"/>
  <c r="AH430" i="67"/>
  <c r="AH429" i="67" s="1"/>
  <c r="AH428" i="67" s="1"/>
  <c r="Y430" i="67"/>
  <c r="Y429" i="67" s="1"/>
  <c r="Y428" i="67" s="1"/>
  <c r="X429" i="67"/>
  <c r="X428" i="67" s="1"/>
  <c r="AE430" i="67"/>
  <c r="AE429" i="67" s="1"/>
  <c r="AE428" i="67" s="1"/>
  <c r="AD429" i="67"/>
  <c r="AD428" i="67" s="1"/>
  <c r="D13" i="67"/>
  <c r="E18" i="67" s="1"/>
  <c r="E19" i="67"/>
  <c r="I144" i="6"/>
  <c r="D43" i="61" s="1"/>
  <c r="D111" i="6"/>
  <c r="F44" i="6"/>
  <c r="F29" i="67" s="1"/>
  <c r="M176" i="6"/>
  <c r="D201" i="67"/>
  <c r="D41" i="6"/>
  <c r="D174" i="6"/>
  <c r="I173" i="67"/>
  <c r="M60" i="6"/>
  <c r="M43" i="6"/>
  <c r="K241" i="18" s="1"/>
  <c r="B151" i="18"/>
  <c r="M154" i="67"/>
  <c r="M153" i="67" s="1"/>
  <c r="C306" i="67"/>
  <c r="J154" i="67"/>
  <c r="N154" i="67"/>
  <c r="AO364" i="67"/>
  <c r="V23" i="61"/>
  <c r="E207" i="67"/>
  <c r="I7" i="61"/>
  <c r="T11" i="18"/>
  <c r="H173" i="67"/>
  <c r="C38" i="12"/>
  <c r="C32" i="12"/>
  <c r="L154" i="67"/>
  <c r="B199" i="18"/>
  <c r="B198" i="18"/>
  <c r="D301" i="67"/>
  <c r="G7" i="61"/>
  <c r="I154" i="67"/>
  <c r="I153" i="67" s="1"/>
  <c r="D306" i="67"/>
  <c r="I19" i="61"/>
  <c r="N173" i="67"/>
  <c r="E43" i="6"/>
  <c r="E44" i="6" s="1"/>
  <c r="C123" i="18"/>
  <c r="J7" i="61"/>
  <c r="AL364" i="67"/>
  <c r="E7" i="61"/>
  <c r="F207" i="67"/>
  <c r="F206" i="67" s="1"/>
  <c r="D41" i="12"/>
  <c r="G175" i="67"/>
  <c r="BX11" i="18"/>
  <c r="K154" i="67"/>
  <c r="D103" i="6"/>
  <c r="B123" i="18"/>
  <c r="M301" i="67"/>
  <c r="H19" i="61"/>
  <c r="D138" i="18"/>
  <c r="D143" i="18" s="1"/>
  <c r="K207" i="67"/>
  <c r="F7" i="61"/>
  <c r="D318" i="67"/>
  <c r="D94" i="67"/>
  <c r="D38" i="12"/>
  <c r="D32" i="12"/>
  <c r="C150" i="18"/>
  <c r="C151" i="18" s="1"/>
  <c r="M218" i="67"/>
  <c r="M216" i="67"/>
  <c r="E51" i="61"/>
  <c r="E306" i="67"/>
  <c r="H43" i="61"/>
  <c r="D51" i="61"/>
  <c r="E43" i="61"/>
  <c r="H51" i="61"/>
  <c r="H19" i="67"/>
  <c r="C31" i="61"/>
  <c r="K50" i="21"/>
  <c r="F241" i="18"/>
  <c r="Q103" i="15"/>
  <c r="C50" i="21"/>
  <c r="X50" i="21"/>
  <c r="J244" i="18"/>
  <c r="AJ50" i="21"/>
  <c r="AL50" i="21"/>
  <c r="I244" i="18"/>
  <c r="J50" i="21"/>
  <c r="Q50" i="21"/>
  <c r="AE50" i="21"/>
  <c r="E50" i="21"/>
  <c r="P50" i="21"/>
  <c r="H244" i="18"/>
  <c r="D50" i="21"/>
  <c r="W50" i="21"/>
  <c r="F199" i="18"/>
  <c r="F198" i="18"/>
  <c r="H123" i="68" s="1"/>
  <c r="H124" i="68" s="1"/>
  <c r="H125" i="68" s="1"/>
  <c r="H126" i="68" s="1"/>
  <c r="AG50" i="21"/>
  <c r="O50" i="21"/>
  <c r="K85" i="67"/>
  <c r="K83" i="67"/>
  <c r="I199" i="18"/>
  <c r="I198" i="18"/>
  <c r="K123" i="68" s="1"/>
  <c r="K124" i="68" s="1"/>
  <c r="K125" i="68" s="1"/>
  <c r="K126" i="68" s="1"/>
  <c r="G244" i="18"/>
  <c r="H199" i="18"/>
  <c r="H198" i="18"/>
  <c r="J123" i="68" s="1"/>
  <c r="J124" i="68" s="1"/>
  <c r="J125" i="68" s="1"/>
  <c r="J126" i="68" s="1"/>
  <c r="AN375" i="67"/>
  <c r="AN363" i="67"/>
  <c r="AN117" i="15"/>
  <c r="AN94" i="15"/>
  <c r="AN39" i="15"/>
  <c r="AN43" i="15"/>
  <c r="AN374" i="67"/>
  <c r="L199" i="18"/>
  <c r="L198" i="18"/>
  <c r="N123" i="68" s="1"/>
  <c r="N124" i="68" s="1"/>
  <c r="N125" i="68" s="1"/>
  <c r="N126" i="68" s="1"/>
  <c r="H175" i="67"/>
  <c r="D19" i="67"/>
  <c r="D15" i="67"/>
  <c r="E20" i="67" s="1"/>
  <c r="C163" i="6"/>
  <c r="BL218" i="68"/>
  <c r="CN214" i="18" s="1"/>
  <c r="CJ9" i="18"/>
  <c r="BJ218" i="68"/>
  <c r="N228" i="67"/>
  <c r="L211" i="67"/>
  <c r="T10" i="18"/>
  <c r="AT135" i="18"/>
  <c r="AS127" i="18"/>
  <c r="AS128" i="18" s="1"/>
  <c r="AS136" i="18" s="1"/>
  <c r="CK10" i="18"/>
  <c r="H211" i="67"/>
  <c r="H213" i="67"/>
  <c r="CG11" i="18"/>
  <c r="N176" i="6"/>
  <c r="L239" i="18"/>
  <c r="L154" i="18"/>
  <c r="L151" i="18"/>
  <c r="M206" i="67"/>
  <c r="N207" i="67"/>
  <c r="N206" i="67" s="1"/>
  <c r="N201" i="67"/>
  <c r="N203" i="67"/>
  <c r="U9" i="18"/>
  <c r="CO9" i="18"/>
  <c r="N165" i="67"/>
  <c r="N170" i="67" s="1"/>
  <c r="N163" i="67"/>
  <c r="N168" i="67" s="1"/>
  <c r="N211" i="67"/>
  <c r="N213" i="67"/>
  <c r="T162" i="18"/>
  <c r="CF10" i="18"/>
  <c r="W109" i="21"/>
  <c r="AY57" i="15"/>
  <c r="AZ55" i="15"/>
  <c r="AD103" i="15"/>
  <c r="AR110" i="15"/>
  <c r="AR366" i="67"/>
  <c r="AR368" i="67"/>
  <c r="H61" i="6"/>
  <c r="H303" i="67" s="1"/>
  <c r="M144" i="67"/>
  <c r="AH103" i="15"/>
  <c r="C110" i="15"/>
  <c r="C366" i="67"/>
  <c r="C368" i="67"/>
  <c r="F93" i="15"/>
  <c r="F109" i="15"/>
  <c r="X93" i="15"/>
  <c r="X109" i="15"/>
  <c r="X103" i="15" s="1"/>
  <c r="AQ110" i="15"/>
  <c r="AQ366" i="67"/>
  <c r="AQ368" i="67"/>
  <c r="S93" i="15"/>
  <c r="S109" i="15"/>
  <c r="BA107" i="15"/>
  <c r="BB82" i="15"/>
  <c r="Q110" i="6"/>
  <c r="G110" i="15"/>
  <c r="G368" i="67"/>
  <c r="G366" i="67"/>
  <c r="AC110" i="15"/>
  <c r="AC366" i="67"/>
  <c r="AC368" i="67"/>
  <c r="AF93" i="15"/>
  <c r="AF109" i="15"/>
  <c r="AF103" i="15" s="1"/>
  <c r="AB93" i="15"/>
  <c r="AB109" i="15"/>
  <c r="AB103" i="15" s="1"/>
  <c r="H302" i="67"/>
  <c r="H311" i="67" s="1"/>
  <c r="H24" i="67"/>
  <c r="L110" i="15"/>
  <c r="L368" i="67"/>
  <c r="L366" i="67"/>
  <c r="K110" i="15"/>
  <c r="K366" i="67"/>
  <c r="K368" i="67"/>
  <c r="H44" i="6"/>
  <c r="AI93" i="15"/>
  <c r="AI109" i="15"/>
  <c r="AI103" i="15" s="1"/>
  <c r="D110" i="15"/>
  <c r="D368" i="67"/>
  <c r="D366" i="67"/>
  <c r="AH366" i="67"/>
  <c r="AH368" i="67"/>
  <c r="H13" i="67"/>
  <c r="I18" i="67" s="1"/>
  <c r="H15" i="67"/>
  <c r="H93" i="15"/>
  <c r="H109" i="15"/>
  <c r="H103" i="15" s="1"/>
  <c r="AZ106" i="15"/>
  <c r="BA85" i="15"/>
  <c r="AZ59" i="15"/>
  <c r="AZ99" i="15" s="1"/>
  <c r="AE110" i="15"/>
  <c r="AE366" i="67"/>
  <c r="AE368" i="67"/>
  <c r="Y93" i="15"/>
  <c r="Y109" i="15"/>
  <c r="Y103" i="15" s="1"/>
  <c r="AY101" i="15"/>
  <c r="U110" i="15"/>
  <c r="U366" i="67"/>
  <c r="U368" i="67"/>
  <c r="AA93" i="15"/>
  <c r="AA109" i="15"/>
  <c r="AA103" i="15" s="1"/>
  <c r="T110" i="15"/>
  <c r="T366" i="67"/>
  <c r="T368" i="67"/>
  <c r="L61" i="6"/>
  <c r="L44" i="6"/>
  <c r="P16" i="60" s="1"/>
  <c r="L302" i="67"/>
  <c r="L311" i="67" s="1"/>
  <c r="L24" i="67"/>
  <c r="F23" i="67"/>
  <c r="N93" i="15"/>
  <c r="N109" i="15"/>
  <c r="AG93" i="15"/>
  <c r="AG109" i="15"/>
  <c r="AG103" i="15" s="1"/>
  <c r="V103" i="15"/>
  <c r="J103" i="15"/>
  <c r="G119" i="6"/>
  <c r="AP110" i="15"/>
  <c r="AP366" i="67"/>
  <c r="AP368" i="67"/>
  <c r="AO93" i="15"/>
  <c r="AO109" i="15"/>
  <c r="AO103" i="15" s="1"/>
  <c r="P110" i="15"/>
  <c r="P368" i="67"/>
  <c r="P366" i="67"/>
  <c r="BA41" i="15"/>
  <c r="BA42" i="15" s="1"/>
  <c r="AZ42" i="15"/>
  <c r="AL93" i="15"/>
  <c r="AL109" i="15"/>
  <c r="AD368" i="67"/>
  <c r="AD366" i="67"/>
  <c r="AK110" i="15"/>
  <c r="AK366" i="67"/>
  <c r="AK368" i="67"/>
  <c r="I110" i="15"/>
  <c r="I368" i="67"/>
  <c r="I366" i="67"/>
  <c r="AM110" i="15"/>
  <c r="AM366" i="67"/>
  <c r="AM368" i="67"/>
  <c r="V110" i="15"/>
  <c r="V366" i="67"/>
  <c r="V368" i="67"/>
  <c r="Z93" i="15"/>
  <c r="Z109" i="15"/>
  <c r="J368" i="67"/>
  <c r="J366" i="67"/>
  <c r="BC108" i="15"/>
  <c r="BD81" i="15"/>
  <c r="W110" i="15"/>
  <c r="W366" i="67"/>
  <c r="W368" i="67"/>
  <c r="Q368" i="67"/>
  <c r="Q366" i="67"/>
  <c r="M110" i="15"/>
  <c r="M368" i="67"/>
  <c r="M366" i="67"/>
  <c r="BU218" i="68"/>
  <c r="K42" i="12"/>
  <c r="L31" i="12"/>
  <c r="J144" i="67"/>
  <c r="G302" i="67"/>
  <c r="G311" i="67" s="1"/>
  <c r="G24" i="67"/>
  <c r="G44" i="6"/>
  <c r="G61" i="6"/>
  <c r="J89" i="67"/>
  <c r="K61" i="6"/>
  <c r="J61" i="6"/>
  <c r="J24" i="67"/>
  <c r="J44" i="6"/>
  <c r="J302" i="67"/>
  <c r="J311" i="67" s="1"/>
  <c r="N10" i="67"/>
  <c r="N8" i="67"/>
  <c r="E173" i="67"/>
  <c r="N216" i="67"/>
  <c r="N218" i="67"/>
  <c r="G20" i="67"/>
  <c r="B174" i="6"/>
  <c r="B133" i="6"/>
  <c r="B43" i="6"/>
  <c r="B301" i="67"/>
  <c r="B14" i="67"/>
  <c r="D127" i="6"/>
  <c r="D99" i="67"/>
  <c r="N167" i="6"/>
  <c r="N133" i="6"/>
  <c r="R21" i="60" s="1"/>
  <c r="N174" i="6"/>
  <c r="N41" i="6"/>
  <c r="N43" i="6"/>
  <c r="N344" i="67"/>
  <c r="N343" i="67" s="1"/>
  <c r="N301" i="67"/>
  <c r="N14" i="67"/>
  <c r="L89" i="67"/>
  <c r="F20" i="67"/>
  <c r="D165" i="67"/>
  <c r="D170" i="67" s="1"/>
  <c r="M175" i="67"/>
  <c r="M173" i="67"/>
  <c r="C41" i="6"/>
  <c r="F175" i="67"/>
  <c r="F173" i="67"/>
  <c r="I25" i="67"/>
  <c r="B127" i="6"/>
  <c r="B99" i="67"/>
  <c r="K89" i="67"/>
  <c r="C135" i="6"/>
  <c r="C313" i="67" s="1"/>
  <c r="C318" i="67"/>
  <c r="C94" i="67"/>
  <c r="I89" i="67"/>
  <c r="L85" i="67"/>
  <c r="L83" i="67"/>
  <c r="Y6" i="6"/>
  <c r="H89" i="67"/>
  <c r="B135" i="6"/>
  <c r="B313" i="67" s="1"/>
  <c r="E135" i="6"/>
  <c r="E94" i="67"/>
  <c r="E318" i="67"/>
  <c r="N144" i="6"/>
  <c r="J208" i="67"/>
  <c r="J206" i="67"/>
  <c r="F18" i="67"/>
  <c r="G18" i="67"/>
  <c r="B95" i="67" l="1"/>
  <c r="G206" i="67"/>
  <c r="Q18" i="60"/>
  <c r="C11" i="60" s="1"/>
  <c r="C49" i="60" s="1"/>
  <c r="AF13" i="60"/>
  <c r="AG13" i="60"/>
  <c r="AG51" i="60" s="1"/>
  <c r="R18" i="60"/>
  <c r="D11" i="60" s="1"/>
  <c r="D49" i="60" s="1"/>
  <c r="D133" i="6"/>
  <c r="C104" i="67"/>
  <c r="C105" i="67" s="1"/>
  <c r="D84" i="67"/>
  <c r="D83" i="67" s="1"/>
  <c r="F155" i="67"/>
  <c r="F153" i="67"/>
  <c r="G155" i="67"/>
  <c r="G153" i="67"/>
  <c r="H155" i="67"/>
  <c r="H153" i="67"/>
  <c r="L20" i="67"/>
  <c r="F88" i="67"/>
  <c r="L208" i="67"/>
  <c r="G90" i="67"/>
  <c r="C98" i="67"/>
  <c r="E133" i="6"/>
  <c r="H31" i="61"/>
  <c r="V133" i="68"/>
  <c r="V85" i="21" s="1"/>
  <c r="V135" i="68"/>
  <c r="V136" i="68"/>
  <c r="W133" i="68"/>
  <c r="W85" i="21" s="1"/>
  <c r="W136" i="68"/>
  <c r="W135" i="68"/>
  <c r="U136" i="68"/>
  <c r="U133" i="68"/>
  <c r="U85" i="21" s="1"/>
  <c r="U135" i="68"/>
  <c r="T133" i="68"/>
  <c r="T85" i="21" s="1"/>
  <c r="T135" i="68"/>
  <c r="T136" i="68"/>
  <c r="I68" i="6"/>
  <c r="I304" i="67" s="1"/>
  <c r="I312" i="67" s="1"/>
  <c r="I169" i="6"/>
  <c r="K25" i="67"/>
  <c r="I34" i="67"/>
  <c r="I35" i="67" s="1"/>
  <c r="I303" i="67"/>
  <c r="M13" i="67"/>
  <c r="M18" i="67" s="1"/>
  <c r="I62" i="6"/>
  <c r="I39" i="67" s="1"/>
  <c r="F62" i="6"/>
  <c r="F39" i="67" s="1"/>
  <c r="D20" i="61"/>
  <c r="G173" i="18"/>
  <c r="G245" i="18" s="1"/>
  <c r="CJ10" i="18"/>
  <c r="CJ11" i="18" s="1"/>
  <c r="M15" i="67"/>
  <c r="M20" i="67" s="1"/>
  <c r="D20" i="67"/>
  <c r="U160" i="18"/>
  <c r="T160" i="18"/>
  <c r="U157" i="18"/>
  <c r="T157" i="18"/>
  <c r="D44" i="6"/>
  <c r="M44" i="6"/>
  <c r="Q16" i="60" s="1"/>
  <c r="P124" i="68"/>
  <c r="D313" i="67"/>
  <c r="D18" i="67"/>
  <c r="M89" i="67"/>
  <c r="M90" i="67" s="1"/>
  <c r="F303" i="67"/>
  <c r="AI50" i="21"/>
  <c r="AA50" i="21"/>
  <c r="U50" i="21"/>
  <c r="D173" i="18"/>
  <c r="M155" i="67"/>
  <c r="CH10" i="18"/>
  <c r="CH11" i="18" s="1"/>
  <c r="CL214" i="18"/>
  <c r="CL9" i="18" s="1"/>
  <c r="L144" i="67"/>
  <c r="H144" i="67"/>
  <c r="K144" i="67"/>
  <c r="D302" i="67"/>
  <c r="D311" i="67" s="1"/>
  <c r="E302" i="67"/>
  <c r="E311" i="67" s="1"/>
  <c r="B138" i="18"/>
  <c r="G51" i="61"/>
  <c r="M61" i="6"/>
  <c r="H20" i="61" s="1"/>
  <c r="S50" i="21"/>
  <c r="V50" i="21"/>
  <c r="Z50" i="21"/>
  <c r="R50" i="21"/>
  <c r="J29" i="67"/>
  <c r="J30" i="67" s="1"/>
  <c r="H173" i="18"/>
  <c r="H245" i="18" s="1"/>
  <c r="E20" i="61"/>
  <c r="G29" i="67"/>
  <c r="G30" i="67" s="1"/>
  <c r="AH110" i="15"/>
  <c r="AD110" i="15"/>
  <c r="B14" i="21"/>
  <c r="B10" i="21" s="1"/>
  <c r="G48" i="15"/>
  <c r="D48" i="15"/>
  <c r="C48" i="15"/>
  <c r="B48" i="15"/>
  <c r="E48" i="15"/>
  <c r="F48" i="15"/>
  <c r="A1" i="61"/>
  <c r="A1" i="66"/>
  <c r="A1" i="71"/>
  <c r="A1" i="85"/>
  <c r="A1" i="21"/>
  <c r="A1" i="15"/>
  <c r="A1" i="36"/>
  <c r="A1" i="18"/>
  <c r="A1" i="68"/>
  <c r="B1" i="87"/>
  <c r="A1" i="12"/>
  <c r="A1" i="67"/>
  <c r="B1" i="5"/>
  <c r="A1" i="6"/>
  <c r="D24" i="67"/>
  <c r="D25" i="67" s="1"/>
  <c r="D61" i="6"/>
  <c r="I155" i="67"/>
  <c r="E61" i="6"/>
  <c r="I173" i="18"/>
  <c r="F20" i="61"/>
  <c r="E173" i="18"/>
  <c r="E84" i="67"/>
  <c r="E85" i="67" s="1"/>
  <c r="F34" i="67"/>
  <c r="F35" i="67" s="1"/>
  <c r="F68" i="6"/>
  <c r="F169" i="6"/>
  <c r="J110" i="15"/>
  <c r="J173" i="18"/>
  <c r="G20" i="61"/>
  <c r="F208" i="67"/>
  <c r="AN364" i="67"/>
  <c r="Q146" i="18"/>
  <c r="S47" i="6" s="1"/>
  <c r="C11" i="21"/>
  <c r="C12" i="21"/>
  <c r="C44" i="6"/>
  <c r="C29" i="67" s="1"/>
  <c r="C61" i="6"/>
  <c r="C24" i="67"/>
  <c r="C302" i="67"/>
  <c r="C311" i="67" s="1"/>
  <c r="I29" i="67"/>
  <c r="K29" i="67"/>
  <c r="E241" i="18"/>
  <c r="E143" i="18"/>
  <c r="M157" i="68"/>
  <c r="F30" i="67"/>
  <c r="F28" i="67"/>
  <c r="I144" i="67"/>
  <c r="M24" i="67"/>
  <c r="M23" i="67" s="1"/>
  <c r="M302" i="67"/>
  <c r="M311" i="67" s="1"/>
  <c r="E24" i="67"/>
  <c r="E25" i="67" s="1"/>
  <c r="E313" i="67"/>
  <c r="B104" i="67"/>
  <c r="B103" i="67" s="1"/>
  <c r="E29" i="67"/>
  <c r="E28" i="67" s="1"/>
  <c r="L241" i="18"/>
  <c r="D104" i="67"/>
  <c r="D105" i="67" s="1"/>
  <c r="K208" i="67"/>
  <c r="K206" i="67"/>
  <c r="E208" i="67"/>
  <c r="E206" i="67"/>
  <c r="I31" i="61"/>
  <c r="D95" i="67"/>
  <c r="D93" i="67"/>
  <c r="D241" i="18"/>
  <c r="D171" i="6"/>
  <c r="K153" i="67"/>
  <c r="K155" i="67"/>
  <c r="C138" i="18"/>
  <c r="L155" i="67"/>
  <c r="L153" i="67"/>
  <c r="D163" i="6"/>
  <c r="N155" i="67"/>
  <c r="N153" i="67"/>
  <c r="J155" i="67"/>
  <c r="J153" i="67"/>
  <c r="I43" i="61"/>
  <c r="F145" i="67"/>
  <c r="G145" i="67"/>
  <c r="F143" i="67"/>
  <c r="G143" i="67"/>
  <c r="Q110" i="15"/>
  <c r="H18" i="67"/>
  <c r="H29" i="67"/>
  <c r="F173" i="18"/>
  <c r="C20" i="61"/>
  <c r="AF50" i="21"/>
  <c r="B50" i="21"/>
  <c r="H62" i="6"/>
  <c r="H39" i="67" s="1"/>
  <c r="H50" i="21"/>
  <c r="AC50" i="21"/>
  <c r="H34" i="67"/>
  <c r="H33" i="67" s="1"/>
  <c r="J441" i="67"/>
  <c r="M50" i="21"/>
  <c r="H169" i="6"/>
  <c r="L119" i="6"/>
  <c r="T50" i="21"/>
  <c r="D441" i="67"/>
  <c r="H68" i="6"/>
  <c r="AN109" i="15"/>
  <c r="AN103" i="15" s="1"/>
  <c r="AN93" i="15"/>
  <c r="CF11" i="18"/>
  <c r="U10" i="18"/>
  <c r="CO10" i="18"/>
  <c r="BP218" i="68"/>
  <c r="CR214" i="18" s="1"/>
  <c r="CN9" i="18"/>
  <c r="BN218" i="68"/>
  <c r="U162" i="18"/>
  <c r="CS9" i="18"/>
  <c r="AT127" i="18"/>
  <c r="AT128" i="18" s="1"/>
  <c r="AT136" i="18" s="1"/>
  <c r="AU135" i="18"/>
  <c r="N208" i="67"/>
  <c r="CK11" i="18"/>
  <c r="U11" i="18"/>
  <c r="BB107" i="15"/>
  <c r="BC82" i="15"/>
  <c r="J119" i="6"/>
  <c r="F103" i="15"/>
  <c r="F119" i="6"/>
  <c r="BA55" i="15"/>
  <c r="BA101" i="15" s="1"/>
  <c r="AZ57" i="15"/>
  <c r="AO110" i="15"/>
  <c r="AO368" i="67"/>
  <c r="AO366" i="67"/>
  <c r="L23" i="67"/>
  <c r="L25" i="67"/>
  <c r="AA110" i="15"/>
  <c r="AA366" i="67"/>
  <c r="AA368" i="67"/>
  <c r="S103" i="15"/>
  <c r="I119" i="6"/>
  <c r="F368" i="67"/>
  <c r="F366" i="67"/>
  <c r="AL103" i="15"/>
  <c r="X110" i="15"/>
  <c r="X366" i="67"/>
  <c r="X368" i="67"/>
  <c r="M143" i="67"/>
  <c r="M145" i="67"/>
  <c r="Z103" i="15"/>
  <c r="K119" i="6"/>
  <c r="Y110" i="15"/>
  <c r="Y368" i="67"/>
  <c r="Y366" i="67"/>
  <c r="H110" i="15"/>
  <c r="H366" i="67"/>
  <c r="H368" i="67"/>
  <c r="K441" i="67"/>
  <c r="AB110" i="15"/>
  <c r="AB366" i="67"/>
  <c r="AB368" i="67"/>
  <c r="S366" i="67"/>
  <c r="S368" i="67"/>
  <c r="AZ101" i="15"/>
  <c r="AL368" i="67"/>
  <c r="AL366" i="67"/>
  <c r="BA59" i="15"/>
  <c r="H25" i="67"/>
  <c r="H23" i="67"/>
  <c r="I20" i="67"/>
  <c r="H20" i="67"/>
  <c r="M441" i="67"/>
  <c r="N103" i="15"/>
  <c r="H119" i="6"/>
  <c r="L34" i="67"/>
  <c r="L169" i="6"/>
  <c r="L303" i="67"/>
  <c r="L68" i="6"/>
  <c r="L62" i="6"/>
  <c r="AI110" i="15"/>
  <c r="AI366" i="67"/>
  <c r="AI441" i="67" s="1"/>
  <c r="AI368" i="67"/>
  <c r="L441" i="67"/>
  <c r="AF110" i="15"/>
  <c r="AF366" i="67"/>
  <c r="AF368" i="67"/>
  <c r="Z366" i="67"/>
  <c r="Z368" i="67"/>
  <c r="BB41" i="15"/>
  <c r="AG110" i="15"/>
  <c r="AG368" i="67"/>
  <c r="AG366" i="67"/>
  <c r="L29" i="67"/>
  <c r="C441" i="67"/>
  <c r="B441" i="67"/>
  <c r="E441" i="67"/>
  <c r="BD108" i="15"/>
  <c r="BE81" i="15"/>
  <c r="N366" i="67"/>
  <c r="N368" i="67"/>
  <c r="BA106" i="15"/>
  <c r="Q120" i="6" s="1"/>
  <c r="BB85" i="15"/>
  <c r="M119" i="6"/>
  <c r="L42" i="12"/>
  <c r="M31" i="12"/>
  <c r="M42" i="12" s="1"/>
  <c r="I70" i="6"/>
  <c r="E93" i="67"/>
  <c r="E95" i="67"/>
  <c r="L88" i="67"/>
  <c r="L90" i="67"/>
  <c r="D98" i="67"/>
  <c r="D100" i="67"/>
  <c r="G23" i="67"/>
  <c r="G25" i="67"/>
  <c r="N144" i="67"/>
  <c r="J90" i="67"/>
  <c r="J88" i="67"/>
  <c r="C95" i="67"/>
  <c r="C93" i="67"/>
  <c r="B100" i="67"/>
  <c r="B98" i="67"/>
  <c r="N13" i="67"/>
  <c r="N15" i="67"/>
  <c r="O19" i="67"/>
  <c r="N19" i="67"/>
  <c r="J25" i="67"/>
  <c r="J23" i="67"/>
  <c r="K90" i="67"/>
  <c r="K88" i="67"/>
  <c r="G169" i="6"/>
  <c r="G62" i="6"/>
  <c r="G68" i="6"/>
  <c r="G303" i="67"/>
  <c r="G34" i="67"/>
  <c r="J169" i="6"/>
  <c r="J68" i="6"/>
  <c r="J62" i="6"/>
  <c r="J303" i="67"/>
  <c r="J34" i="67"/>
  <c r="H90" i="67"/>
  <c r="H88" i="67"/>
  <c r="J145" i="67"/>
  <c r="J143" i="67"/>
  <c r="I88" i="67"/>
  <c r="I90" i="67"/>
  <c r="B44" i="6"/>
  <c r="B29" i="67" s="1"/>
  <c r="B302" i="67"/>
  <c r="B311" i="67" s="1"/>
  <c r="B24" i="67"/>
  <c r="B61" i="6"/>
  <c r="N89" i="67"/>
  <c r="N44" i="6"/>
  <c r="R16" i="60" s="1"/>
  <c r="N61" i="6"/>
  <c r="N302" i="67"/>
  <c r="N311" i="67" s="1"/>
  <c r="N24" i="67"/>
  <c r="C19" i="67"/>
  <c r="B15" i="67"/>
  <c r="C20" i="67" s="1"/>
  <c r="B13" i="67"/>
  <c r="C18" i="67" s="1"/>
  <c r="K169" i="6"/>
  <c r="K68" i="6"/>
  <c r="K62" i="6"/>
  <c r="K303" i="67"/>
  <c r="K34" i="67"/>
  <c r="D89" i="67" l="1"/>
  <c r="D90" i="67" s="1"/>
  <c r="C103" i="67"/>
  <c r="I131" i="6"/>
  <c r="I114" i="67" s="1"/>
  <c r="AE14" i="60"/>
  <c r="D103" i="67"/>
  <c r="E89" i="67"/>
  <c r="E88" i="67" s="1"/>
  <c r="D85" i="67"/>
  <c r="I69" i="6"/>
  <c r="N119" i="6"/>
  <c r="E83" i="67"/>
  <c r="I44" i="67"/>
  <c r="I49" i="67" s="1"/>
  <c r="I319" i="67"/>
  <c r="I75" i="6"/>
  <c r="S110" i="15"/>
  <c r="B105" i="67"/>
  <c r="M88" i="67"/>
  <c r="G250" i="18"/>
  <c r="G247" i="18" s="1"/>
  <c r="I33" i="67"/>
  <c r="D21" i="61"/>
  <c r="D34" i="67"/>
  <c r="D139" i="67" s="1"/>
  <c r="CN10" i="18"/>
  <c r="CN11" i="18" s="1"/>
  <c r="M303" i="67"/>
  <c r="M68" i="6"/>
  <c r="AK441" i="67"/>
  <c r="M29" i="67"/>
  <c r="M30" i="67" s="1"/>
  <c r="F33" i="67"/>
  <c r="D23" i="67"/>
  <c r="F38" i="67"/>
  <c r="F304" i="67"/>
  <c r="F312" i="67" s="1"/>
  <c r="D29" i="67"/>
  <c r="G69" i="6"/>
  <c r="G28" i="67"/>
  <c r="F75" i="6"/>
  <c r="D68" i="6"/>
  <c r="E34" i="67"/>
  <c r="E33" i="67" s="1"/>
  <c r="D62" i="6"/>
  <c r="D39" i="67" s="1"/>
  <c r="E169" i="6"/>
  <c r="E68" i="6"/>
  <c r="J28" i="67"/>
  <c r="Q124" i="68"/>
  <c r="P123" i="68"/>
  <c r="N198" i="18" s="1"/>
  <c r="P126" i="68"/>
  <c r="P125" i="68"/>
  <c r="K173" i="18"/>
  <c r="Y441" i="67"/>
  <c r="V441" i="67"/>
  <c r="CL10" i="18"/>
  <c r="CL11" i="18" s="1"/>
  <c r="D303" i="67"/>
  <c r="D55" i="6"/>
  <c r="D169" i="6"/>
  <c r="E303" i="67"/>
  <c r="E55" i="6"/>
  <c r="E62" i="6"/>
  <c r="E39" i="67" s="1"/>
  <c r="F44" i="67"/>
  <c r="F43" i="67" s="1"/>
  <c r="F70" i="6"/>
  <c r="F131" i="6"/>
  <c r="H250" i="18"/>
  <c r="H247" i="18" s="1"/>
  <c r="CP214" i="18"/>
  <c r="CP9" i="18" s="1"/>
  <c r="L143" i="67"/>
  <c r="L145" i="67"/>
  <c r="H145" i="67"/>
  <c r="K145" i="67"/>
  <c r="H143" i="67"/>
  <c r="K143" i="67"/>
  <c r="I145" i="67"/>
  <c r="I143" i="67"/>
  <c r="B143" i="18"/>
  <c r="B241" i="18"/>
  <c r="M25" i="67"/>
  <c r="E23" i="67"/>
  <c r="M34" i="67"/>
  <c r="M33" i="67" s="1"/>
  <c r="M62" i="6"/>
  <c r="M169" i="6"/>
  <c r="F40" i="67"/>
  <c r="E30" i="67"/>
  <c r="N110" i="15"/>
  <c r="C16" i="74"/>
  <c r="F21" i="61"/>
  <c r="J69" i="6"/>
  <c r="G39" i="67"/>
  <c r="G21" i="61"/>
  <c r="Z110" i="15"/>
  <c r="L157" i="68"/>
  <c r="C23" i="67"/>
  <c r="C25" i="67"/>
  <c r="C28" i="67"/>
  <c r="C30" i="67"/>
  <c r="J245" i="18"/>
  <c r="J250" i="18"/>
  <c r="J247" i="18" s="1"/>
  <c r="E49" i="15"/>
  <c r="E112" i="15" s="1"/>
  <c r="F111" i="15" s="1"/>
  <c r="C49" i="15"/>
  <c r="C371" i="67" s="1"/>
  <c r="G49" i="15"/>
  <c r="G112" i="15" s="1"/>
  <c r="H111" i="15" s="1"/>
  <c r="E21" i="61"/>
  <c r="AL110" i="15"/>
  <c r="F110" i="15"/>
  <c r="K30" i="67"/>
  <c r="K28" i="67"/>
  <c r="I28" i="67"/>
  <c r="I30" i="67"/>
  <c r="C62" i="6"/>
  <c r="C39" i="67" s="1"/>
  <c r="C68" i="6"/>
  <c r="C55" i="6"/>
  <c r="C132" i="6" s="1"/>
  <c r="C303" i="67"/>
  <c r="C34" i="67"/>
  <c r="R146" i="18"/>
  <c r="T47" i="6" s="1"/>
  <c r="I245" i="18"/>
  <c r="I250" i="18"/>
  <c r="I247" i="18" s="1"/>
  <c r="F49" i="15"/>
  <c r="F112" i="15" s="1"/>
  <c r="G111" i="15" s="1"/>
  <c r="B49" i="15"/>
  <c r="C111" i="15" s="1"/>
  <c r="D49" i="15"/>
  <c r="D371" i="67" s="1"/>
  <c r="B11" i="21"/>
  <c r="B12" i="21"/>
  <c r="L173" i="18"/>
  <c r="L250" i="18" s="1"/>
  <c r="L247" i="18" s="1"/>
  <c r="I20" i="61"/>
  <c r="C241" i="18"/>
  <c r="C143" i="18"/>
  <c r="W441" i="67"/>
  <c r="Z441" i="67"/>
  <c r="H35" i="67"/>
  <c r="H44" i="67"/>
  <c r="H49" i="67" s="1"/>
  <c r="H304" i="67"/>
  <c r="H312" i="67" s="1"/>
  <c r="H30" i="67"/>
  <c r="H28" i="67"/>
  <c r="H319" i="67"/>
  <c r="C21" i="61"/>
  <c r="AH50" i="21"/>
  <c r="AN368" i="67"/>
  <c r="AN110" i="15"/>
  <c r="AN366" i="67"/>
  <c r="AN441" i="67" s="1"/>
  <c r="H75" i="6"/>
  <c r="H441" i="67"/>
  <c r="H70" i="6"/>
  <c r="AF441" i="67"/>
  <c r="H131" i="6"/>
  <c r="H315" i="67" s="1"/>
  <c r="AJ441" i="67"/>
  <c r="CS10" i="18"/>
  <c r="CS11" i="18" s="1"/>
  <c r="AU127" i="18"/>
  <c r="AU128" i="18" s="1"/>
  <c r="AU136" i="18" s="1"/>
  <c r="AV135" i="18"/>
  <c r="CO11" i="18"/>
  <c r="BT218" i="68"/>
  <c r="BV218" i="68" s="1"/>
  <c r="CR9" i="18"/>
  <c r="BR218" i="68"/>
  <c r="L30" i="67"/>
  <c r="L28" i="67"/>
  <c r="G441" i="67"/>
  <c r="N29" i="67"/>
  <c r="N30" i="67" s="1"/>
  <c r="AG441" i="67"/>
  <c r="AH441" i="67"/>
  <c r="BC107" i="15"/>
  <c r="BD82" i="15"/>
  <c r="O441" i="67"/>
  <c r="N441" i="67"/>
  <c r="Q441" i="67"/>
  <c r="P441" i="67"/>
  <c r="BB59" i="15"/>
  <c r="Q96" i="6"/>
  <c r="S441" i="67"/>
  <c r="R441" i="67"/>
  <c r="BE108" i="15"/>
  <c r="BF81" i="15"/>
  <c r="T441" i="67"/>
  <c r="L33" i="67"/>
  <c r="L35" i="67"/>
  <c r="BA99" i="15"/>
  <c r="U441" i="67"/>
  <c r="AD441" i="67"/>
  <c r="AB441" i="67"/>
  <c r="AA441" i="67"/>
  <c r="BC41" i="15"/>
  <c r="BC42" i="15" s="1"/>
  <c r="AE441" i="67"/>
  <c r="BA57" i="15"/>
  <c r="BB55" i="15"/>
  <c r="BB101" i="15" s="1"/>
  <c r="D16" i="74"/>
  <c r="L70" i="6"/>
  <c r="L319" i="67"/>
  <c r="L304" i="67"/>
  <c r="L312" i="67" s="1"/>
  <c r="L44" i="67"/>
  <c r="L131" i="6"/>
  <c r="L75" i="6"/>
  <c r="BB106" i="15"/>
  <c r="BC85" i="15"/>
  <c r="AC441" i="67"/>
  <c r="E442" i="67"/>
  <c r="BB42" i="15"/>
  <c r="L39" i="67"/>
  <c r="M442" i="67"/>
  <c r="I441" i="67"/>
  <c r="X441" i="67"/>
  <c r="F441" i="67"/>
  <c r="N169" i="6"/>
  <c r="N62" i="6"/>
  <c r="N303" i="67"/>
  <c r="N34" i="67"/>
  <c r="N68" i="6"/>
  <c r="H40" i="67"/>
  <c r="H38" i="67"/>
  <c r="O18" i="67"/>
  <c r="N18" i="67"/>
  <c r="G33" i="67"/>
  <c r="G35" i="67"/>
  <c r="N143" i="67"/>
  <c r="N145" i="67"/>
  <c r="K33" i="67"/>
  <c r="K35" i="67"/>
  <c r="J39" i="67"/>
  <c r="I38" i="67"/>
  <c r="I40" i="67"/>
  <c r="N90" i="67"/>
  <c r="N88" i="67"/>
  <c r="B30" i="67"/>
  <c r="B28" i="67"/>
  <c r="J75" i="6"/>
  <c r="K69" i="6"/>
  <c r="J131" i="6"/>
  <c r="J319" i="67"/>
  <c r="J304" i="67"/>
  <c r="J312" i="67" s="1"/>
  <c r="J70" i="6"/>
  <c r="J44" i="67"/>
  <c r="G131" i="6"/>
  <c r="G75" i="6"/>
  <c r="G70" i="6"/>
  <c r="H69" i="6"/>
  <c r="G44" i="67"/>
  <c r="G319" i="67"/>
  <c r="G304" i="67"/>
  <c r="G312" i="67" s="1"/>
  <c r="I78" i="6"/>
  <c r="B23" i="67"/>
  <c r="B25" i="67"/>
  <c r="K39" i="67"/>
  <c r="N25" i="67"/>
  <c r="N23" i="67"/>
  <c r="O20" i="67"/>
  <c r="N20" i="67"/>
  <c r="B68" i="6"/>
  <c r="B55" i="6"/>
  <c r="B62" i="6"/>
  <c r="B39" i="67" s="1"/>
  <c r="B303" i="67"/>
  <c r="B34" i="67"/>
  <c r="J33" i="67"/>
  <c r="J35" i="67"/>
  <c r="K131" i="6"/>
  <c r="K75" i="6"/>
  <c r="L69" i="6"/>
  <c r="K319" i="67"/>
  <c r="K304" i="67"/>
  <c r="K312" i="67" s="1"/>
  <c r="K44" i="67"/>
  <c r="K70" i="6"/>
  <c r="D88" i="67" l="1"/>
  <c r="E90" i="67"/>
  <c r="I315" i="67"/>
  <c r="D34" i="61"/>
  <c r="AG14" i="60"/>
  <c r="AG52" i="60" s="1"/>
  <c r="AF14" i="60"/>
  <c r="I45" i="67"/>
  <c r="I43" i="67"/>
  <c r="B173" i="18"/>
  <c r="D132" i="6"/>
  <c r="E132" i="6"/>
  <c r="F69" i="6"/>
  <c r="D70" i="6"/>
  <c r="I77" i="6"/>
  <c r="M131" i="6"/>
  <c r="E371" i="67"/>
  <c r="E98" i="6"/>
  <c r="E54" i="15"/>
  <c r="E365" i="67" s="1"/>
  <c r="AA208" i="18"/>
  <c r="E35" i="67"/>
  <c r="F45" i="67"/>
  <c r="M319" i="67"/>
  <c r="D33" i="67"/>
  <c r="D138" i="67" s="1"/>
  <c r="F49" i="67"/>
  <c r="F50" i="67" s="1"/>
  <c r="D35" i="67"/>
  <c r="D140" i="67" s="1"/>
  <c r="D304" i="67"/>
  <c r="D312" i="67" s="1"/>
  <c r="F77" i="6"/>
  <c r="M75" i="6"/>
  <c r="M304" i="67"/>
  <c r="M312" i="67" s="1"/>
  <c r="M69" i="6"/>
  <c r="M70" i="6"/>
  <c r="E16" i="74"/>
  <c r="M44" i="67"/>
  <c r="M43" i="67" s="1"/>
  <c r="M28" i="67"/>
  <c r="L245" i="18"/>
  <c r="F78" i="6"/>
  <c r="E75" i="6"/>
  <c r="E319" i="67"/>
  <c r="E70" i="6"/>
  <c r="E44" i="67"/>
  <c r="E49" i="67" s="1"/>
  <c r="E38" i="67"/>
  <c r="D319" i="67"/>
  <c r="D131" i="6"/>
  <c r="D315" i="67" s="1"/>
  <c r="D128" i="6"/>
  <c r="D75" i="6"/>
  <c r="D69" i="6"/>
  <c r="D60" i="6"/>
  <c r="D44" i="67"/>
  <c r="D43" i="67" s="1"/>
  <c r="D30" i="67"/>
  <c r="D28" i="67"/>
  <c r="D40" i="67"/>
  <c r="D38" i="67"/>
  <c r="E60" i="6"/>
  <c r="E304" i="67"/>
  <c r="E312" i="67" s="1"/>
  <c r="E131" i="6"/>
  <c r="E114" i="67" s="1"/>
  <c r="M35" i="67"/>
  <c r="E69" i="6"/>
  <c r="R124" i="68"/>
  <c r="Q125" i="68"/>
  <c r="Q126" i="68"/>
  <c r="Q123" i="68" s="1"/>
  <c r="O198" i="18" s="1"/>
  <c r="E40" i="67"/>
  <c r="B177" i="18"/>
  <c r="B187" i="18" s="1"/>
  <c r="G40" i="67"/>
  <c r="M39" i="67"/>
  <c r="C173" i="18"/>
  <c r="G38" i="67"/>
  <c r="H21" i="61"/>
  <c r="K250" i="18"/>
  <c r="K247" i="18" s="1"/>
  <c r="K245" i="18"/>
  <c r="C177" i="18"/>
  <c r="C187" i="18" s="1"/>
  <c r="F114" i="67"/>
  <c r="F115" i="67" s="1"/>
  <c r="CP10" i="18"/>
  <c r="CP11" i="18" s="1"/>
  <c r="G371" i="67"/>
  <c r="G372" i="67" s="1"/>
  <c r="F315" i="67"/>
  <c r="CT214" i="18"/>
  <c r="CT9" i="18" s="1"/>
  <c r="AL441" i="67"/>
  <c r="F371" i="67"/>
  <c r="G54" i="15"/>
  <c r="G64" i="15" s="1"/>
  <c r="G120" i="15" s="1"/>
  <c r="B371" i="67"/>
  <c r="X208" i="18"/>
  <c r="H45" i="67"/>
  <c r="H114" i="67"/>
  <c r="H115" i="67" s="1"/>
  <c r="H43" i="67"/>
  <c r="D112" i="15"/>
  <c r="E111" i="15" s="1"/>
  <c r="D122" i="15"/>
  <c r="C70" i="6"/>
  <c r="C319" i="67"/>
  <c r="C44" i="67"/>
  <c r="C131" i="6"/>
  <c r="C75" i="6"/>
  <c r="C304" i="67"/>
  <c r="C312" i="67" s="1"/>
  <c r="F122" i="15"/>
  <c r="G122" i="15"/>
  <c r="C112" i="15"/>
  <c r="D111" i="15" s="1"/>
  <c r="C122" i="15"/>
  <c r="E122" i="15"/>
  <c r="D208" i="18"/>
  <c r="E103" i="6"/>
  <c r="K157" i="68"/>
  <c r="I80" i="6"/>
  <c r="I175" i="6" s="1"/>
  <c r="AK442" i="67"/>
  <c r="AM441" i="67"/>
  <c r="AO441" i="67"/>
  <c r="D54" i="15"/>
  <c r="Z208" i="18"/>
  <c r="B54" i="15"/>
  <c r="F54" i="15"/>
  <c r="AB208" i="18"/>
  <c r="S146" i="18"/>
  <c r="U47" i="6" s="1"/>
  <c r="C35" i="67"/>
  <c r="C140" i="67" s="1"/>
  <c r="C139" i="67"/>
  <c r="C33" i="67"/>
  <c r="C138" i="67" s="1"/>
  <c r="C128" i="6"/>
  <c r="C60" i="6"/>
  <c r="C40" i="67"/>
  <c r="C38" i="67"/>
  <c r="AC208" i="18"/>
  <c r="C54" i="15"/>
  <c r="Y208" i="18"/>
  <c r="I21" i="61"/>
  <c r="Y442" i="67"/>
  <c r="F34" i="61"/>
  <c r="E34" i="61"/>
  <c r="G34" i="61"/>
  <c r="C34" i="61"/>
  <c r="H77" i="6"/>
  <c r="I442" i="67"/>
  <c r="H78" i="6"/>
  <c r="AC442" i="67"/>
  <c r="AG442" i="67"/>
  <c r="U442" i="67"/>
  <c r="N28" i="67"/>
  <c r="AV127" i="18"/>
  <c r="AV128" i="18" s="1"/>
  <c r="AV136" i="18" s="1"/>
  <c r="AW135" i="18"/>
  <c r="CR10" i="18"/>
  <c r="CR11" i="18" s="1"/>
  <c r="L315" i="67"/>
  <c r="L114" i="67"/>
  <c r="L45" i="67"/>
  <c r="L49" i="67"/>
  <c r="L43" i="67"/>
  <c r="Q442" i="67"/>
  <c r="BC106" i="15"/>
  <c r="BD85" i="15"/>
  <c r="Q122" i="6"/>
  <c r="BD107" i="15"/>
  <c r="BE82" i="15"/>
  <c r="F16" i="74"/>
  <c r="L78" i="6"/>
  <c r="L77" i="6"/>
  <c r="L40" i="67"/>
  <c r="L38" i="67"/>
  <c r="BF108" i="15"/>
  <c r="BG81" i="15"/>
  <c r="BC55" i="15"/>
  <c r="BB57" i="15"/>
  <c r="BD41" i="15"/>
  <c r="BD42" i="15" s="1"/>
  <c r="BC59" i="15"/>
  <c r="BC99" i="15" s="1"/>
  <c r="D32" i="61"/>
  <c r="N69" i="6"/>
  <c r="BB99" i="15"/>
  <c r="K49" i="67"/>
  <c r="K43" i="67"/>
  <c r="K45" i="67"/>
  <c r="K40" i="67"/>
  <c r="K38" i="67"/>
  <c r="B60" i="6"/>
  <c r="B128" i="6"/>
  <c r="J78" i="6"/>
  <c r="J77" i="6"/>
  <c r="I48" i="67"/>
  <c r="I50" i="67"/>
  <c r="N33" i="67"/>
  <c r="N35" i="67"/>
  <c r="B35" i="67"/>
  <c r="B140" i="67" s="1"/>
  <c r="B33" i="67"/>
  <c r="B138" i="67" s="1"/>
  <c r="B139" i="67"/>
  <c r="B38" i="67"/>
  <c r="B40" i="67"/>
  <c r="N131" i="6"/>
  <c r="N75" i="6"/>
  <c r="N70" i="6"/>
  <c r="N44" i="67"/>
  <c r="N304" i="67"/>
  <c r="N312" i="67" s="1"/>
  <c r="N319" i="67"/>
  <c r="B75" i="6"/>
  <c r="B70" i="6"/>
  <c r="C69" i="6"/>
  <c r="B319" i="67"/>
  <c r="B304" i="67"/>
  <c r="B312" i="67" s="1"/>
  <c r="B44" i="67"/>
  <c r="G43" i="67"/>
  <c r="G45" i="67"/>
  <c r="G49" i="67"/>
  <c r="K315" i="67"/>
  <c r="K114" i="67"/>
  <c r="G114" i="67"/>
  <c r="G315" i="67"/>
  <c r="H50" i="67"/>
  <c r="H48" i="67"/>
  <c r="J49" i="67"/>
  <c r="J43" i="67"/>
  <c r="J45" i="67"/>
  <c r="N39" i="67"/>
  <c r="I115" i="67"/>
  <c r="I113" i="67"/>
  <c r="G78" i="6"/>
  <c r="G77" i="6"/>
  <c r="J114" i="67"/>
  <c r="J315" i="67"/>
  <c r="J38" i="67"/>
  <c r="J40" i="67"/>
  <c r="K78" i="6"/>
  <c r="K77" i="6"/>
  <c r="E126" i="6" l="1"/>
  <c r="E141" i="6" s="1"/>
  <c r="P19" i="60"/>
  <c r="I139" i="68"/>
  <c r="M315" i="67"/>
  <c r="F158" i="6"/>
  <c r="F149" i="67" s="1"/>
  <c r="H34" i="61"/>
  <c r="M114" i="67"/>
  <c r="M113" i="67" s="1"/>
  <c r="E64" i="15"/>
  <c r="E120" i="15" s="1"/>
  <c r="G365" i="67"/>
  <c r="F372" i="67"/>
  <c r="F48" i="67"/>
  <c r="F80" i="6"/>
  <c r="M49" i="67"/>
  <c r="M48" i="67" s="1"/>
  <c r="M38" i="67"/>
  <c r="F139" i="68"/>
  <c r="M77" i="6"/>
  <c r="M78" i="6"/>
  <c r="M80" i="6" s="1"/>
  <c r="M45" i="67"/>
  <c r="E43" i="67"/>
  <c r="E315" i="67"/>
  <c r="E45" i="67"/>
  <c r="D49" i="67"/>
  <c r="D50" i="67" s="1"/>
  <c r="D77" i="6"/>
  <c r="E78" i="6"/>
  <c r="E80" i="6" s="1"/>
  <c r="D114" i="67"/>
  <c r="D115" i="67" s="1"/>
  <c r="D45" i="67"/>
  <c r="E77" i="6"/>
  <c r="D78" i="6"/>
  <c r="D80" i="6" s="1"/>
  <c r="M40" i="67"/>
  <c r="I114" i="6"/>
  <c r="I87" i="6"/>
  <c r="I164" i="6"/>
  <c r="S124" i="68"/>
  <c r="R126" i="68"/>
  <c r="R125" i="68"/>
  <c r="R123" i="68"/>
  <c r="P198" i="18" s="1"/>
  <c r="H113" i="67"/>
  <c r="F113" i="67"/>
  <c r="I90" i="6"/>
  <c r="I86" i="6"/>
  <c r="I143" i="6"/>
  <c r="D42" i="61" s="1"/>
  <c r="CT10" i="18"/>
  <c r="CT11" i="18" s="1"/>
  <c r="I54" i="67"/>
  <c r="I53" i="67" s="1"/>
  <c r="I81" i="6"/>
  <c r="I82" i="6" s="1"/>
  <c r="I130" i="6"/>
  <c r="D33" i="61" s="1"/>
  <c r="I154" i="6"/>
  <c r="I170" i="6"/>
  <c r="AO442" i="67"/>
  <c r="I147" i="6"/>
  <c r="I158" i="6"/>
  <c r="D52" i="61" s="1"/>
  <c r="J80" i="6"/>
  <c r="J175" i="6" s="1"/>
  <c r="L80" i="6"/>
  <c r="U146" i="18"/>
  <c r="W47" i="6" s="1"/>
  <c r="T146" i="18"/>
  <c r="V47" i="6" s="1"/>
  <c r="B64" i="15"/>
  <c r="B120" i="15" s="1"/>
  <c r="B365" i="67"/>
  <c r="D64" i="15"/>
  <c r="D120" i="15" s="1"/>
  <c r="D365" i="67"/>
  <c r="E367" i="67" s="1"/>
  <c r="D23" i="61"/>
  <c r="E171" i="6"/>
  <c r="E163" i="6"/>
  <c r="E99" i="67"/>
  <c r="C114" i="67"/>
  <c r="C315" i="67"/>
  <c r="K80" i="6"/>
  <c r="K143" i="6" s="1"/>
  <c r="G80" i="6"/>
  <c r="C64" i="15"/>
  <c r="C120" i="15" s="1"/>
  <c r="C365" i="67"/>
  <c r="F64" i="15"/>
  <c r="F120" i="15" s="1"/>
  <c r="F365" i="67"/>
  <c r="J157" i="68"/>
  <c r="C77" i="6"/>
  <c r="C78" i="6"/>
  <c r="C80" i="6" s="1"/>
  <c r="C43" i="67"/>
  <c r="C49" i="67"/>
  <c r="C45" i="67"/>
  <c r="I34" i="61"/>
  <c r="H139" i="68"/>
  <c r="H79" i="67"/>
  <c r="O179" i="21"/>
  <c r="H80" i="6"/>
  <c r="AW127" i="18"/>
  <c r="AW128" i="18" s="1"/>
  <c r="AW136" i="18" s="1"/>
  <c r="AX135" i="18"/>
  <c r="L113" i="67"/>
  <c r="L115" i="67"/>
  <c r="L139" i="68"/>
  <c r="D17" i="74"/>
  <c r="D18" i="74" s="1"/>
  <c r="D23" i="74" s="1"/>
  <c r="L178" i="6" s="1"/>
  <c r="BD55" i="15"/>
  <c r="BC57" i="15"/>
  <c r="L50" i="67"/>
  <c r="L48" i="67"/>
  <c r="BD59" i="15"/>
  <c r="BC101" i="15"/>
  <c r="BE107" i="15"/>
  <c r="BF82" i="15"/>
  <c r="R110" i="6"/>
  <c r="J158" i="6"/>
  <c r="E52" i="61" s="1"/>
  <c r="J139" i="68"/>
  <c r="BG108" i="15"/>
  <c r="BH81" i="15"/>
  <c r="BD106" i="15"/>
  <c r="BE85" i="15"/>
  <c r="G158" i="6"/>
  <c r="G149" i="67" s="1"/>
  <c r="G139" i="68"/>
  <c r="I79" i="67"/>
  <c r="K139" i="68"/>
  <c r="C17" i="74"/>
  <c r="C18" i="74" s="1"/>
  <c r="C23" i="74" s="1"/>
  <c r="K178" i="6" s="1"/>
  <c r="BE41" i="15"/>
  <c r="BE42" i="15" s="1"/>
  <c r="N78" i="6"/>
  <c r="N77" i="6"/>
  <c r="R19" i="60" s="1"/>
  <c r="E113" i="67"/>
  <c r="E115" i="67"/>
  <c r="B45" i="67"/>
  <c r="B43" i="67"/>
  <c r="B49" i="67"/>
  <c r="N315" i="67"/>
  <c r="N114" i="67"/>
  <c r="K48" i="67"/>
  <c r="K50" i="67"/>
  <c r="G50" i="67"/>
  <c r="G48" i="67"/>
  <c r="G113" i="67"/>
  <c r="G115" i="67"/>
  <c r="N40" i="67"/>
  <c r="N38" i="67"/>
  <c r="K113" i="67"/>
  <c r="K115" i="67"/>
  <c r="E50" i="67"/>
  <c r="E48" i="67"/>
  <c r="N45" i="67"/>
  <c r="N43" i="67"/>
  <c r="N49" i="67"/>
  <c r="B78" i="6"/>
  <c r="B80" i="6" s="1"/>
  <c r="B77" i="6"/>
  <c r="B139" i="68" s="1"/>
  <c r="J113" i="67"/>
  <c r="J115" i="67"/>
  <c r="J50" i="67"/>
  <c r="J48" i="67"/>
  <c r="E128" i="6" l="1"/>
  <c r="E127" i="6"/>
  <c r="E104" i="67" s="1"/>
  <c r="Q19" i="60"/>
  <c r="AE15" i="60"/>
  <c r="P20" i="60"/>
  <c r="B13" i="60" s="1"/>
  <c r="B51" i="60" s="1"/>
  <c r="Q20" i="60"/>
  <c r="C13" i="60" s="1"/>
  <c r="C51" i="60" s="1"/>
  <c r="AF15" i="60"/>
  <c r="F150" i="67"/>
  <c r="F148" i="67"/>
  <c r="G367" i="67"/>
  <c r="M115" i="67"/>
  <c r="F79" i="67"/>
  <c r="F147" i="6"/>
  <c r="D367" i="67"/>
  <c r="E139" i="68"/>
  <c r="F130" i="6"/>
  <c r="M139" i="68"/>
  <c r="F164" i="6"/>
  <c r="F86" i="6"/>
  <c r="F90" i="6"/>
  <c r="F54" i="67"/>
  <c r="F53" i="67" s="1"/>
  <c r="F87" i="6"/>
  <c r="F143" i="6"/>
  <c r="F175" i="6"/>
  <c r="F81" i="6"/>
  <c r="F82" i="6" s="1"/>
  <c r="F114" i="6"/>
  <c r="F170" i="6"/>
  <c r="F154" i="6"/>
  <c r="D25" i="61"/>
  <c r="M50" i="67"/>
  <c r="E17" i="74"/>
  <c r="E18" i="74" s="1"/>
  <c r="E23" i="74" s="1"/>
  <c r="D48" i="67"/>
  <c r="D113" i="67"/>
  <c r="D139" i="68"/>
  <c r="D79" i="67"/>
  <c r="D78" i="67" s="1"/>
  <c r="I59" i="67"/>
  <c r="I58" i="67" s="1"/>
  <c r="E158" i="6"/>
  <c r="K175" i="6"/>
  <c r="L154" i="6"/>
  <c r="L124" i="67" s="1"/>
  <c r="M154" i="6"/>
  <c r="M175" i="6"/>
  <c r="I117" i="6"/>
  <c r="L54" i="67"/>
  <c r="L55" i="67" s="1"/>
  <c r="M164" i="6"/>
  <c r="I308" i="67"/>
  <c r="L90" i="6"/>
  <c r="K170" i="6"/>
  <c r="J143" i="6"/>
  <c r="E42" i="61" s="1"/>
  <c r="I55" i="67"/>
  <c r="J164" i="6"/>
  <c r="J86" i="6"/>
  <c r="J154" i="6"/>
  <c r="J124" i="67" s="1"/>
  <c r="E86" i="6"/>
  <c r="K90" i="6"/>
  <c r="M54" i="67"/>
  <c r="M53" i="67" s="1"/>
  <c r="K130" i="6"/>
  <c r="F33" i="61" s="1"/>
  <c r="T124" i="68"/>
  <c r="S126" i="68"/>
  <c r="S123" i="68"/>
  <c r="Q198" i="18" s="1"/>
  <c r="S125" i="68"/>
  <c r="M114" i="6"/>
  <c r="K87" i="6"/>
  <c r="L143" i="6"/>
  <c r="M87" i="6"/>
  <c r="AF16" i="60" s="1"/>
  <c r="AR38" i="60" s="1"/>
  <c r="AR40" i="60" s="1"/>
  <c r="D81" i="6"/>
  <c r="I149" i="67"/>
  <c r="K86" i="6"/>
  <c r="L164" i="6"/>
  <c r="L130" i="6"/>
  <c r="G33" i="61" s="1"/>
  <c r="D50" i="61"/>
  <c r="G114" i="6"/>
  <c r="E164" i="6"/>
  <c r="E54" i="67"/>
  <c r="E55" i="67" s="1"/>
  <c r="G164" i="6"/>
  <c r="D87" i="6"/>
  <c r="J81" i="6"/>
  <c r="J82" i="6" s="1"/>
  <c r="E129" i="6"/>
  <c r="G143" i="6"/>
  <c r="J114" i="6"/>
  <c r="E114" i="6"/>
  <c r="E170" i="6"/>
  <c r="G81" i="6"/>
  <c r="G82" i="6" s="1"/>
  <c r="G154" i="6"/>
  <c r="E87" i="6"/>
  <c r="G86" i="6"/>
  <c r="I124" i="67"/>
  <c r="D44" i="61"/>
  <c r="I109" i="67"/>
  <c r="J90" i="6"/>
  <c r="J54" i="67"/>
  <c r="J55" i="67" s="1"/>
  <c r="J130" i="6"/>
  <c r="E33" i="61" s="1"/>
  <c r="J87" i="6"/>
  <c r="E25" i="61" s="1"/>
  <c r="J170" i="6"/>
  <c r="M90" i="6"/>
  <c r="M86" i="6"/>
  <c r="M81" i="6"/>
  <c r="M82" i="6" s="1"/>
  <c r="M130" i="6"/>
  <c r="M143" i="6"/>
  <c r="M170" i="6"/>
  <c r="I314" i="67"/>
  <c r="E90" i="6"/>
  <c r="E143" i="6"/>
  <c r="E81" i="6"/>
  <c r="E154" i="6"/>
  <c r="E130" i="6"/>
  <c r="E175" i="6"/>
  <c r="D90" i="6"/>
  <c r="D86" i="6"/>
  <c r="D130" i="6"/>
  <c r="K164" i="6"/>
  <c r="K54" i="67"/>
  <c r="K53" i="67" s="1"/>
  <c r="K154" i="6"/>
  <c r="K81" i="6"/>
  <c r="K82" i="6" s="1"/>
  <c r="K114" i="6"/>
  <c r="G54" i="67"/>
  <c r="G55" i="67" s="1"/>
  <c r="G87" i="6"/>
  <c r="G90" i="6"/>
  <c r="G170" i="6"/>
  <c r="G130" i="6"/>
  <c r="G175" i="6"/>
  <c r="L175" i="6"/>
  <c r="L114" i="6"/>
  <c r="L117" i="6" s="1"/>
  <c r="B15" i="60" s="1"/>
  <c r="L170" i="6"/>
  <c r="L81" i="6"/>
  <c r="L82" i="6" s="1"/>
  <c r="L87" i="6"/>
  <c r="AE16" i="60" s="1"/>
  <c r="L86" i="6"/>
  <c r="I78" i="67"/>
  <c r="H78" i="67"/>
  <c r="H147" i="6"/>
  <c r="H80" i="67"/>
  <c r="C32" i="61"/>
  <c r="J147" i="6"/>
  <c r="E32" i="61"/>
  <c r="C139" i="68"/>
  <c r="F23" i="61"/>
  <c r="C115" i="67"/>
  <c r="C113" i="67"/>
  <c r="E152" i="6"/>
  <c r="E142" i="6"/>
  <c r="I80" i="67"/>
  <c r="H158" i="6"/>
  <c r="C52" i="61" s="1"/>
  <c r="C48" i="67"/>
  <c r="C50" i="67"/>
  <c r="C86" i="6"/>
  <c r="C114" i="6"/>
  <c r="C117" i="6" s="1"/>
  <c r="C69" i="67" s="1"/>
  <c r="C129" i="6"/>
  <c r="C81" i="6"/>
  <c r="C164" i="6"/>
  <c r="C130" i="6"/>
  <c r="C87" i="6"/>
  <c r="C54" i="67"/>
  <c r="C90" i="6"/>
  <c r="I157" i="68"/>
  <c r="E98" i="67"/>
  <c r="E138" i="67" s="1"/>
  <c r="E100" i="67"/>
  <c r="E140" i="67" s="1"/>
  <c r="E139" i="67"/>
  <c r="C367" i="67"/>
  <c r="F367" i="67"/>
  <c r="G23" i="61"/>
  <c r="E23" i="61"/>
  <c r="D164" i="6"/>
  <c r="D54" i="67"/>
  <c r="D55" i="67" s="1"/>
  <c r="D129" i="6"/>
  <c r="D119" i="67" s="1"/>
  <c r="D114" i="6"/>
  <c r="D170" i="6"/>
  <c r="F42" i="61"/>
  <c r="N80" i="6"/>
  <c r="H23" i="61"/>
  <c r="H170" i="6"/>
  <c r="H175" i="6"/>
  <c r="H114" i="6"/>
  <c r="H81" i="6"/>
  <c r="H82" i="6" s="1"/>
  <c r="H164" i="6"/>
  <c r="H154" i="6"/>
  <c r="H143" i="6"/>
  <c r="H130" i="6"/>
  <c r="H87" i="6"/>
  <c r="H54" i="67"/>
  <c r="H90" i="6"/>
  <c r="H86" i="6"/>
  <c r="C23" i="61"/>
  <c r="AY135" i="18"/>
  <c r="AX127" i="18"/>
  <c r="AX128" i="18" s="1"/>
  <c r="AX136" i="18" s="1"/>
  <c r="G79" i="67"/>
  <c r="BF107" i="15"/>
  <c r="BG82" i="15"/>
  <c r="G147" i="6"/>
  <c r="BF41" i="15"/>
  <c r="BF42" i="15" s="1"/>
  <c r="BH108" i="15"/>
  <c r="BI81" i="15"/>
  <c r="BE59" i="15"/>
  <c r="BE106" i="15"/>
  <c r="BF85" i="15"/>
  <c r="J79" i="67"/>
  <c r="BE55" i="15"/>
  <c r="BD57" i="15"/>
  <c r="BD99" i="15"/>
  <c r="N139" i="68"/>
  <c r="BD101" i="15"/>
  <c r="J149" i="67"/>
  <c r="B48" i="67"/>
  <c r="B50" i="67"/>
  <c r="N115" i="67"/>
  <c r="N113" i="67"/>
  <c r="N48" i="67"/>
  <c r="N50" i="67"/>
  <c r="G150" i="67"/>
  <c r="G148" i="67"/>
  <c r="B87" i="6"/>
  <c r="B86" i="6"/>
  <c r="B90" i="6"/>
  <c r="B54" i="67"/>
  <c r="B129" i="6"/>
  <c r="B81" i="6"/>
  <c r="B164" i="6"/>
  <c r="G177" i="6"/>
  <c r="F177" i="6"/>
  <c r="E177" i="6"/>
  <c r="G233" i="68"/>
  <c r="P9" i="6"/>
  <c r="AF207" i="68"/>
  <c r="AF208" i="68" s="1"/>
  <c r="E207" i="68"/>
  <c r="E208" i="68" s="1"/>
  <c r="E209" i="68" s="1"/>
  <c r="E210" i="68" s="1"/>
  <c r="AE207" i="68"/>
  <c r="AE208" i="68" s="1"/>
  <c r="X207" i="68"/>
  <c r="X208" i="68" s="1"/>
  <c r="X209" i="68" s="1"/>
  <c r="X210" i="68" s="1"/>
  <c r="W207" i="68"/>
  <c r="W208" i="68" s="1"/>
  <c r="W209" i="68" s="1"/>
  <c r="W210" i="68" s="1"/>
  <c r="G207" i="68"/>
  <c r="G208" i="68" s="1"/>
  <c r="G209" i="68" s="1"/>
  <c r="G210" i="68" s="1"/>
  <c r="B207" i="68"/>
  <c r="B208" i="68" s="1"/>
  <c r="B209" i="68" s="1"/>
  <c r="B210" i="68" s="1"/>
  <c r="L202" i="68"/>
  <c r="L203" i="68" s="1"/>
  <c r="L204" i="68" s="1"/>
  <c r="L205" i="68" s="1"/>
  <c r="K202" i="68"/>
  <c r="K203" i="68" s="1"/>
  <c r="K204" i="68" s="1"/>
  <c r="K205" i="68" s="1"/>
  <c r="AF202" i="68"/>
  <c r="AF203" i="68" s="1"/>
  <c r="AF204" i="68" s="1"/>
  <c r="AF205" i="68" s="1"/>
  <c r="X202" i="68"/>
  <c r="X203" i="68" s="1"/>
  <c r="X204" i="68" s="1"/>
  <c r="X205" i="68" s="1"/>
  <c r="B202" i="68"/>
  <c r="B203" i="68" s="1"/>
  <c r="B204" i="68" s="1"/>
  <c r="B205" i="68" s="1"/>
  <c r="AI197" i="68"/>
  <c r="AI198" i="68" s="1"/>
  <c r="AH197" i="68"/>
  <c r="AH198" i="68" s="1"/>
  <c r="AH199" i="68" s="1"/>
  <c r="AH200" i="68" s="1"/>
  <c r="AA197" i="68"/>
  <c r="AA198" i="68" s="1"/>
  <c r="AA199" i="68" s="1"/>
  <c r="AA200" i="68" s="1"/>
  <c r="B197" i="68"/>
  <c r="B198" i="68" s="1"/>
  <c r="B199" i="68" s="1"/>
  <c r="B200" i="68" s="1"/>
  <c r="Y48" i="15"/>
  <c r="X48" i="15"/>
  <c r="R197" i="68"/>
  <c r="R198" i="68" s="1"/>
  <c r="R199" i="68" s="1"/>
  <c r="R200" i="68" s="1"/>
  <c r="AE202" i="68"/>
  <c r="AE203" i="68" s="1"/>
  <c r="AB202" i="68"/>
  <c r="AB203" i="68" s="1"/>
  <c r="AB204" i="68" s="1"/>
  <c r="AB205" i="68" s="1"/>
  <c r="Y207" i="68"/>
  <c r="Y208" i="68" s="1"/>
  <c r="Y209" i="68" s="1"/>
  <c r="Y210" i="68" s="1"/>
  <c r="W202" i="68"/>
  <c r="W203" i="68" s="1"/>
  <c r="W204" i="68" s="1"/>
  <c r="W205" i="68" s="1"/>
  <c r="G202" i="68"/>
  <c r="G203" i="68" s="1"/>
  <c r="G204" i="68" s="1"/>
  <c r="G205" i="68" s="1"/>
  <c r="C207" i="68"/>
  <c r="C208" i="68" s="1"/>
  <c r="C209" i="68" s="1"/>
  <c r="C210" i="68" s="1"/>
  <c r="AE197" i="68"/>
  <c r="AE198" i="68" s="1"/>
  <c r="W197" i="68"/>
  <c r="W198" i="68" s="1"/>
  <c r="W199" i="68" s="1"/>
  <c r="W200" i="68" s="1"/>
  <c r="J197" i="68"/>
  <c r="J198" i="68" s="1"/>
  <c r="J199" i="68" s="1"/>
  <c r="J200" i="68" s="1"/>
  <c r="G197" i="68"/>
  <c r="G198" i="68" s="1"/>
  <c r="G199" i="68" s="1"/>
  <c r="G200" i="68" s="1"/>
  <c r="C197" i="68"/>
  <c r="C198" i="68" s="1"/>
  <c r="C199" i="68" s="1"/>
  <c r="C200" i="68" s="1"/>
  <c r="F17" i="74" l="1"/>
  <c r="F18" i="74" s="1"/>
  <c r="F23" i="74" s="1"/>
  <c r="N178" i="6" s="1"/>
  <c r="AG15" i="60"/>
  <c r="AG53" i="60" s="1"/>
  <c r="R20" i="60"/>
  <c r="D13" i="60" s="1"/>
  <c r="D51" i="60" s="1"/>
  <c r="E24" i="74"/>
  <c r="M178" i="6"/>
  <c r="F78" i="67"/>
  <c r="I60" i="67"/>
  <c r="F80" i="67"/>
  <c r="C123" i="6"/>
  <c r="C166" i="6" s="1"/>
  <c r="C305" i="67"/>
  <c r="G25" i="61"/>
  <c r="AE209" i="68"/>
  <c r="AE210" i="68" s="1"/>
  <c r="AE199" i="68"/>
  <c r="AE200" i="68" s="1"/>
  <c r="AF209" i="68"/>
  <c r="AF210" i="68" s="1"/>
  <c r="AE204" i="68"/>
  <c r="AE205" i="68" s="1"/>
  <c r="F109" i="67"/>
  <c r="F314" i="67"/>
  <c r="K55" i="67"/>
  <c r="F55" i="67"/>
  <c r="E50" i="61"/>
  <c r="F308" i="67"/>
  <c r="H50" i="61"/>
  <c r="E26" i="61"/>
  <c r="F59" i="67"/>
  <c r="F60" i="67" s="1"/>
  <c r="F117" i="6"/>
  <c r="F69" i="67" s="1"/>
  <c r="F70" i="67" s="1"/>
  <c r="F75" i="67" s="1"/>
  <c r="I69" i="67"/>
  <c r="I74" i="67" s="1"/>
  <c r="I305" i="67"/>
  <c r="E308" i="67"/>
  <c r="E79" i="67"/>
  <c r="E80" i="67" s="1"/>
  <c r="J117" i="6"/>
  <c r="M124" i="67"/>
  <c r="L53" i="67"/>
  <c r="K308" i="67"/>
  <c r="E147" i="6"/>
  <c r="M55" i="67"/>
  <c r="F25" i="61"/>
  <c r="F26" i="61" s="1"/>
  <c r="D80" i="67"/>
  <c r="G50" i="61"/>
  <c r="I307" i="67"/>
  <c r="G42" i="61"/>
  <c r="G53" i="67"/>
  <c r="I150" i="67"/>
  <c r="I123" i="6"/>
  <c r="E314" i="67"/>
  <c r="K59" i="67"/>
  <c r="K60" i="67" s="1"/>
  <c r="J53" i="67"/>
  <c r="D59" i="67"/>
  <c r="D58" i="67" s="1"/>
  <c r="C44" i="61"/>
  <c r="I125" i="67"/>
  <c r="M59" i="67"/>
  <c r="M60" i="67" s="1"/>
  <c r="H25" i="61"/>
  <c r="M117" i="6"/>
  <c r="C15" i="60" s="1"/>
  <c r="D109" i="67"/>
  <c r="D108" i="67" s="1"/>
  <c r="D53" i="67"/>
  <c r="M308" i="67"/>
  <c r="E53" i="67"/>
  <c r="J59" i="67"/>
  <c r="J58" i="67" s="1"/>
  <c r="I123" i="67"/>
  <c r="K314" i="67"/>
  <c r="E119" i="67"/>
  <c r="E118" i="67" s="1"/>
  <c r="J308" i="67"/>
  <c r="K109" i="67"/>
  <c r="G59" i="67"/>
  <c r="G58" i="67" s="1"/>
  <c r="U124" i="68"/>
  <c r="T126" i="68"/>
  <c r="T125" i="68"/>
  <c r="T123" i="68"/>
  <c r="R198" i="18" s="1"/>
  <c r="L109" i="67"/>
  <c r="K117" i="6"/>
  <c r="D308" i="67"/>
  <c r="L59" i="67"/>
  <c r="L60" i="67" s="1"/>
  <c r="E59" i="67"/>
  <c r="G117" i="6"/>
  <c r="G123" i="6" s="1"/>
  <c r="I148" i="67"/>
  <c r="L314" i="67"/>
  <c r="E117" i="6"/>
  <c r="N175" i="6"/>
  <c r="L308" i="67"/>
  <c r="H42" i="61"/>
  <c r="E44" i="61"/>
  <c r="N81" i="6"/>
  <c r="N82" i="6" s="1"/>
  <c r="N54" i="67"/>
  <c r="N53" i="67" s="1"/>
  <c r="D117" i="6"/>
  <c r="D123" i="6" s="1"/>
  <c r="F50" i="61"/>
  <c r="G308" i="67"/>
  <c r="K124" i="67"/>
  <c r="G314" i="67"/>
  <c r="I108" i="67"/>
  <c r="M109" i="67"/>
  <c r="I110" i="67"/>
  <c r="J314" i="67"/>
  <c r="H33" i="61"/>
  <c r="L123" i="6"/>
  <c r="L307" i="67"/>
  <c r="L305" i="67"/>
  <c r="L69" i="67"/>
  <c r="L74" i="67" s="1"/>
  <c r="G109" i="67"/>
  <c r="E109" i="67"/>
  <c r="J109" i="67"/>
  <c r="D314" i="67"/>
  <c r="M314" i="67"/>
  <c r="N164" i="6"/>
  <c r="N143" i="6"/>
  <c r="N130" i="6"/>
  <c r="I33" i="61" s="1"/>
  <c r="N114" i="6"/>
  <c r="N90" i="6"/>
  <c r="N86" i="6"/>
  <c r="N87" i="6"/>
  <c r="AG16" i="60" s="1"/>
  <c r="N154" i="6"/>
  <c r="N170" i="6"/>
  <c r="H149" i="67"/>
  <c r="H150" i="67" s="1"/>
  <c r="J78" i="67"/>
  <c r="G78" i="67"/>
  <c r="E105" i="67"/>
  <c r="E103" i="67"/>
  <c r="H157" i="68"/>
  <c r="C55" i="67"/>
  <c r="C53" i="67"/>
  <c r="C109" i="67"/>
  <c r="C314" i="67"/>
  <c r="E153" i="6"/>
  <c r="C59" i="67"/>
  <c r="C308" i="67"/>
  <c r="C119" i="67"/>
  <c r="D120" i="67"/>
  <c r="D118" i="67"/>
  <c r="I23" i="61"/>
  <c r="B119" i="67"/>
  <c r="B118" i="67" s="1"/>
  <c r="R120" i="6"/>
  <c r="H53" i="67"/>
  <c r="H55" i="67"/>
  <c r="C33" i="61"/>
  <c r="H314" i="67"/>
  <c r="H109" i="67"/>
  <c r="C50" i="61"/>
  <c r="H124" i="67"/>
  <c r="H308" i="67"/>
  <c r="C25" i="61"/>
  <c r="D26" i="61" s="1"/>
  <c r="H59" i="67"/>
  <c r="C42" i="61"/>
  <c r="H117" i="6"/>
  <c r="AZ135" i="18"/>
  <c r="AY127" i="18"/>
  <c r="AY128" i="18" s="1"/>
  <c r="AY136" i="18" s="1"/>
  <c r="S202" i="68"/>
  <c r="S203" i="68" s="1"/>
  <c r="S204" i="68" s="1"/>
  <c r="S205" i="68" s="1"/>
  <c r="X49" i="15"/>
  <c r="X112" i="15" s="1"/>
  <c r="Y111" i="15" s="1"/>
  <c r="H207" i="68"/>
  <c r="H208" i="68" s="1"/>
  <c r="H209" i="68" s="1"/>
  <c r="H210" i="68" s="1"/>
  <c r="S207" i="68"/>
  <c r="S208" i="68" s="1"/>
  <c r="S209" i="68" s="1"/>
  <c r="S210" i="68" s="1"/>
  <c r="J134" i="6"/>
  <c r="BE57" i="15"/>
  <c r="BF55" i="15"/>
  <c r="BF101" i="15" s="1"/>
  <c r="BE101" i="15"/>
  <c r="H202" i="68"/>
  <c r="H203" i="68" s="1"/>
  <c r="H204" i="68" s="1"/>
  <c r="H205" i="68" s="1"/>
  <c r="AI199" i="68"/>
  <c r="AI200" i="68" s="1"/>
  <c r="R207" i="68"/>
  <c r="R208" i="68" s="1"/>
  <c r="R209" i="68" s="1"/>
  <c r="R210" i="68" s="1"/>
  <c r="F202" i="68"/>
  <c r="F203" i="68" s="1"/>
  <c r="F204" i="68" s="1"/>
  <c r="F205" i="68" s="1"/>
  <c r="N202" i="68"/>
  <c r="N203" i="68" s="1"/>
  <c r="N204" i="68" s="1"/>
  <c r="N205" i="68" s="1"/>
  <c r="AL202" i="68"/>
  <c r="AL203" i="68" s="1"/>
  <c r="H197" i="68"/>
  <c r="H198" i="68" s="1"/>
  <c r="H199" i="68" s="1"/>
  <c r="H200" i="68" s="1"/>
  <c r="P197" i="68"/>
  <c r="P198" i="68" s="1"/>
  <c r="P199" i="68" s="1"/>
  <c r="P200" i="68" s="1"/>
  <c r="AF197" i="68"/>
  <c r="AF198" i="68" s="1"/>
  <c r="C202" i="68"/>
  <c r="C203" i="68" s="1"/>
  <c r="C204" i="68" s="1"/>
  <c r="C205" i="68" s="1"/>
  <c r="AI202" i="68"/>
  <c r="AI203" i="68" s="1"/>
  <c r="L125" i="67"/>
  <c r="L123" i="67"/>
  <c r="W48" i="15"/>
  <c r="I197" i="68"/>
  <c r="I198" i="68" s="1"/>
  <c r="I199" i="68" s="1"/>
  <c r="I200" i="68" s="1"/>
  <c r="Q197" i="68"/>
  <c r="Q198" i="68" s="1"/>
  <c r="Q199" i="68" s="1"/>
  <c r="Q200" i="68" s="1"/>
  <c r="Y197" i="68"/>
  <c r="Y198" i="68" s="1"/>
  <c r="Y199" i="68" s="1"/>
  <c r="Y200" i="68" s="1"/>
  <c r="AG197" i="68"/>
  <c r="AG198" i="68" s="1"/>
  <c r="AG199" i="68" s="1"/>
  <c r="AG200" i="68" s="1"/>
  <c r="J80" i="67"/>
  <c r="G80" i="67"/>
  <c r="BF106" i="15"/>
  <c r="BG85" i="15"/>
  <c r="BG41" i="15"/>
  <c r="BF59" i="15"/>
  <c r="BF99" i="15" s="1"/>
  <c r="R96" i="6"/>
  <c r="Y116" i="15"/>
  <c r="Y49" i="15"/>
  <c r="BI108" i="15"/>
  <c r="BJ81" i="15"/>
  <c r="C233" i="68"/>
  <c r="X197" i="68"/>
  <c r="X198" i="68" s="1"/>
  <c r="X199" i="68" s="1"/>
  <c r="X200" i="68" s="1"/>
  <c r="BE99" i="15"/>
  <c r="BG107" i="15"/>
  <c r="BH82" i="15"/>
  <c r="R12" i="6"/>
  <c r="V12" i="60" s="1"/>
  <c r="R297" i="67"/>
  <c r="T13" i="6"/>
  <c r="T298" i="67"/>
  <c r="S12" i="6"/>
  <c r="W12" i="60" s="1"/>
  <c r="S297" i="67"/>
  <c r="U298" i="67"/>
  <c r="U13" i="6"/>
  <c r="T12" i="6"/>
  <c r="X12" i="60" s="1"/>
  <c r="T297" i="67"/>
  <c r="V13" i="6"/>
  <c r="V298" i="67"/>
  <c r="V297" i="67"/>
  <c r="V12" i="6"/>
  <c r="Z12" i="60" s="1"/>
  <c r="W297" i="67"/>
  <c r="W12" i="6"/>
  <c r="AA12" i="60" s="1"/>
  <c r="Q13" i="6"/>
  <c r="Q298" i="67"/>
  <c r="R13" i="6"/>
  <c r="R298" i="67"/>
  <c r="U12" i="6"/>
  <c r="Y12" i="60" s="1"/>
  <c r="U297" i="67"/>
  <c r="W13" i="6"/>
  <c r="W298" i="67"/>
  <c r="P13" i="6"/>
  <c r="P298" i="67"/>
  <c r="Q12" i="6"/>
  <c r="U12" i="60" s="1"/>
  <c r="Q297" i="67"/>
  <c r="S13" i="6"/>
  <c r="S298" i="67"/>
  <c r="J123" i="67"/>
  <c r="J125" i="67"/>
  <c r="B55" i="67"/>
  <c r="B53" i="67"/>
  <c r="C68" i="67"/>
  <c r="C73" i="67" s="1"/>
  <c r="C74" i="67"/>
  <c r="C70" i="67"/>
  <c r="C75" i="67" s="1"/>
  <c r="J150" i="67"/>
  <c r="J148" i="67"/>
  <c r="B59" i="67"/>
  <c r="B308" i="67"/>
  <c r="C165" i="6"/>
  <c r="AV21" i="15"/>
  <c r="AW21" i="15" s="1"/>
  <c r="K197" i="68"/>
  <c r="K198" i="68" s="1"/>
  <c r="K199" i="68" s="1"/>
  <c r="K200" i="68" s="1"/>
  <c r="I207" i="68"/>
  <c r="I208" i="68" s="1"/>
  <c r="I209" i="68" s="1"/>
  <c r="I210" i="68" s="1"/>
  <c r="K233" i="68"/>
  <c r="AG207" i="68"/>
  <c r="AG208" i="68" s="1"/>
  <c r="AG209" i="68" s="1"/>
  <c r="AG210" i="68" s="1"/>
  <c r="AA207" i="68"/>
  <c r="AA208" i="68" s="1"/>
  <c r="AA209" i="68" s="1"/>
  <c r="AA210" i="68" s="1"/>
  <c r="Z233" i="68"/>
  <c r="V202" i="68"/>
  <c r="V203" i="68" s="1"/>
  <c r="V204" i="68" s="1"/>
  <c r="V205" i="68" s="1"/>
  <c r="AA202" i="68"/>
  <c r="AA203" i="68" s="1"/>
  <c r="AA204" i="68" s="1"/>
  <c r="AA205" i="68" s="1"/>
  <c r="U202" i="68"/>
  <c r="U203" i="68" s="1"/>
  <c r="U204" i="68" s="1"/>
  <c r="U205" i="68" s="1"/>
  <c r="P8" i="6"/>
  <c r="AA233" i="68"/>
  <c r="W233" i="68"/>
  <c r="AE233" i="68"/>
  <c r="D233" i="68"/>
  <c r="L233" i="68"/>
  <c r="T233" i="68"/>
  <c r="AB233" i="68"/>
  <c r="F233" i="68"/>
  <c r="N233" i="68"/>
  <c r="V233" i="68"/>
  <c r="AD233" i="68"/>
  <c r="E233" i="68"/>
  <c r="M233" i="68"/>
  <c r="U233" i="68"/>
  <c r="AC233" i="68"/>
  <c r="B233" i="68"/>
  <c r="D207" i="68"/>
  <c r="D208" i="68" s="1"/>
  <c r="D209" i="68" s="1"/>
  <c r="D210" i="68" s="1"/>
  <c r="AB207" i="68"/>
  <c r="AB208" i="68" s="1"/>
  <c r="AB209" i="68" s="1"/>
  <c r="AB210" i="68" s="1"/>
  <c r="U207" i="68"/>
  <c r="U208" i="68" s="1"/>
  <c r="U209" i="68" s="1"/>
  <c r="U210" i="68" s="1"/>
  <c r="M207" i="68"/>
  <c r="M208" i="68" s="1"/>
  <c r="M209" i="68" s="1"/>
  <c r="M210" i="68" s="1"/>
  <c r="AK207" i="68"/>
  <c r="AK208" i="68" s="1"/>
  <c r="D202" i="68"/>
  <c r="D203" i="68" s="1"/>
  <c r="D204" i="68" s="1"/>
  <c r="D205" i="68" s="1"/>
  <c r="T202" i="68"/>
  <c r="T203" i="68" s="1"/>
  <c r="T204" i="68" s="1"/>
  <c r="T205" i="68" s="1"/>
  <c r="AJ202" i="68"/>
  <c r="AJ203" i="68" s="1"/>
  <c r="D197" i="68"/>
  <c r="D198" i="68" s="1"/>
  <c r="D199" i="68" s="1"/>
  <c r="D200" i="68" s="1"/>
  <c r="L197" i="68"/>
  <c r="L198" i="68" s="1"/>
  <c r="L199" i="68" s="1"/>
  <c r="L200" i="68" s="1"/>
  <c r="T197" i="68"/>
  <c r="T198" i="68" s="1"/>
  <c r="T199" i="68" s="1"/>
  <c r="T200" i="68" s="1"/>
  <c r="AB197" i="68"/>
  <c r="AB198" i="68" s="1"/>
  <c r="AB199" i="68" s="1"/>
  <c r="AB200" i="68" s="1"/>
  <c r="AJ197" i="68"/>
  <c r="AJ198" i="68" s="1"/>
  <c r="E202" i="68"/>
  <c r="E203" i="68" s="1"/>
  <c r="E204" i="68" s="1"/>
  <c r="E205" i="68" s="1"/>
  <c r="M202" i="68"/>
  <c r="M203" i="68" s="1"/>
  <c r="M204" i="68" s="1"/>
  <c r="M205" i="68" s="1"/>
  <c r="AC202" i="68"/>
  <c r="AC203" i="68" s="1"/>
  <c r="AK202" i="68"/>
  <c r="AK203" i="68" s="1"/>
  <c r="L207" i="68"/>
  <c r="L208" i="68" s="1"/>
  <c r="L209" i="68" s="1"/>
  <c r="L210" i="68" s="1"/>
  <c r="AJ207" i="68"/>
  <c r="AJ208" i="68" s="1"/>
  <c r="Z197" i="68"/>
  <c r="Z198" i="68" s="1"/>
  <c r="Z199" i="68" s="1"/>
  <c r="Z200" i="68" s="1"/>
  <c r="AD202" i="68"/>
  <c r="AD203" i="68" s="1"/>
  <c r="F207" i="68"/>
  <c r="F208" i="68" s="1"/>
  <c r="F209" i="68" s="1"/>
  <c r="F210" i="68" s="1"/>
  <c r="N207" i="68"/>
  <c r="N208" i="68" s="1"/>
  <c r="N209" i="68" s="1"/>
  <c r="N210" i="68" s="1"/>
  <c r="V207" i="68"/>
  <c r="V208" i="68" s="1"/>
  <c r="V209" i="68" s="1"/>
  <c r="V210" i="68" s="1"/>
  <c r="AD207" i="68"/>
  <c r="AD208" i="68" s="1"/>
  <c r="AL207" i="68"/>
  <c r="AL208" i="68" s="1"/>
  <c r="E197" i="68"/>
  <c r="E198" i="68" s="1"/>
  <c r="E199" i="68" s="1"/>
  <c r="E200" i="68" s="1"/>
  <c r="U197" i="68"/>
  <c r="U198" i="68" s="1"/>
  <c r="U199" i="68" s="1"/>
  <c r="U200" i="68" s="1"/>
  <c r="AK197" i="68"/>
  <c r="AK198" i="68" s="1"/>
  <c r="F197" i="68"/>
  <c r="F198" i="68" s="1"/>
  <c r="F199" i="68" s="1"/>
  <c r="F200" i="68" s="1"/>
  <c r="N197" i="68"/>
  <c r="N198" i="68" s="1"/>
  <c r="N199" i="68" s="1"/>
  <c r="N200" i="68" s="1"/>
  <c r="V197" i="68"/>
  <c r="V198" i="68" s="1"/>
  <c r="V199" i="68" s="1"/>
  <c r="V200" i="68" s="1"/>
  <c r="AD197" i="68"/>
  <c r="AD198" i="68" s="1"/>
  <c r="AL197" i="68"/>
  <c r="AL198" i="68" s="1"/>
  <c r="Q202" i="68"/>
  <c r="Q203" i="68" s="1"/>
  <c r="Q204" i="68" s="1"/>
  <c r="Q205" i="68" s="1"/>
  <c r="Y202" i="68"/>
  <c r="Y203" i="68" s="1"/>
  <c r="Y204" i="68" s="1"/>
  <c r="Y205" i="68" s="1"/>
  <c r="AG202" i="68"/>
  <c r="AG203" i="68" s="1"/>
  <c r="AG204" i="68" s="1"/>
  <c r="AG205" i="68" s="1"/>
  <c r="Q207" i="68"/>
  <c r="Q208" i="68" s="1"/>
  <c r="Q209" i="68" s="1"/>
  <c r="Q210" i="68" s="1"/>
  <c r="M197" i="68"/>
  <c r="M198" i="68" s="1"/>
  <c r="M199" i="68" s="1"/>
  <c r="M200" i="68" s="1"/>
  <c r="AC197" i="68"/>
  <c r="AC198" i="68" s="1"/>
  <c r="S197" i="68"/>
  <c r="S198" i="68" s="1"/>
  <c r="S199" i="68" s="1"/>
  <c r="S200" i="68" s="1"/>
  <c r="J202" i="68"/>
  <c r="J203" i="68" s="1"/>
  <c r="J204" i="68" s="1"/>
  <c r="J205" i="68" s="1"/>
  <c r="R202" i="68"/>
  <c r="R203" i="68" s="1"/>
  <c r="R204" i="68" s="1"/>
  <c r="R205" i="68" s="1"/>
  <c r="Z202" i="68"/>
  <c r="Z203" i="68" s="1"/>
  <c r="Z204" i="68" s="1"/>
  <c r="Z205" i="68" s="1"/>
  <c r="J207" i="68"/>
  <c r="J208" i="68" s="1"/>
  <c r="J209" i="68" s="1"/>
  <c r="J210" i="68" s="1"/>
  <c r="T207" i="68"/>
  <c r="T208" i="68" s="1"/>
  <c r="T209" i="68" s="1"/>
  <c r="T210" i="68" s="1"/>
  <c r="K207" i="68"/>
  <c r="K208" i="68" s="1"/>
  <c r="K209" i="68" s="1"/>
  <c r="K210" i="68" s="1"/>
  <c r="AI207" i="68"/>
  <c r="AI208" i="68" s="1"/>
  <c r="Z207" i="68"/>
  <c r="Z208" i="68" s="1"/>
  <c r="Z209" i="68" s="1"/>
  <c r="Z210" i="68" s="1"/>
  <c r="AC207" i="68"/>
  <c r="AC208" i="68" s="1"/>
  <c r="O334" i="67"/>
  <c r="Y112" i="15" l="1"/>
  <c r="Z111" i="15" s="1"/>
  <c r="I68" i="67"/>
  <c r="I73" i="67" s="1"/>
  <c r="F24" i="74"/>
  <c r="F110" i="67"/>
  <c r="H26" i="61"/>
  <c r="B120" i="67"/>
  <c r="M69" i="67"/>
  <c r="M68" i="67" s="1"/>
  <c r="M73" i="67" s="1"/>
  <c r="AD199" i="68"/>
  <c r="AD200" i="68" s="1"/>
  <c r="AP198" i="68"/>
  <c r="AD204" i="68"/>
  <c r="AD205" i="68" s="1"/>
  <c r="AC199" i="68"/>
  <c r="AC200" i="68" s="1"/>
  <c r="AO198" i="68"/>
  <c r="AC209" i="68"/>
  <c r="AC210" i="68" s="1"/>
  <c r="AO208" i="68"/>
  <c r="AC204" i="68"/>
  <c r="AC205" i="68" s="1"/>
  <c r="AO203" i="68"/>
  <c r="AF199" i="68"/>
  <c r="AF200" i="68" s="1"/>
  <c r="AD209" i="68"/>
  <c r="AD210" i="68" s="1"/>
  <c r="S69" i="21"/>
  <c r="S70" i="21" s="1"/>
  <c r="S71" i="21" s="1"/>
  <c r="S213" i="68" s="1"/>
  <c r="F108" i="67"/>
  <c r="E78" i="67"/>
  <c r="J69" i="67"/>
  <c r="J74" i="67" s="1"/>
  <c r="J307" i="67"/>
  <c r="F58" i="67"/>
  <c r="I165" i="6"/>
  <c r="F68" i="67"/>
  <c r="F73" i="67" s="1"/>
  <c r="J123" i="6"/>
  <c r="J305" i="67"/>
  <c r="F64" i="67"/>
  <c r="F74" i="67"/>
  <c r="J64" i="67"/>
  <c r="E305" i="67"/>
  <c r="M305" i="67"/>
  <c r="K58" i="67"/>
  <c r="M123" i="6"/>
  <c r="L64" i="67"/>
  <c r="D69" i="67"/>
  <c r="D68" i="67" s="1"/>
  <c r="D73" i="67" s="1"/>
  <c r="F305" i="67"/>
  <c r="F123" i="6"/>
  <c r="F307" i="67"/>
  <c r="M307" i="67"/>
  <c r="L58" i="67"/>
  <c r="I70" i="67"/>
  <c r="I75" i="67" s="1"/>
  <c r="D110" i="67"/>
  <c r="M123" i="67"/>
  <c r="M125" i="67"/>
  <c r="D64" i="67"/>
  <c r="D63" i="67" s="1"/>
  <c r="K307" i="67"/>
  <c r="G26" i="61"/>
  <c r="K125" i="67"/>
  <c r="D60" i="67"/>
  <c r="G60" i="67"/>
  <c r="E108" i="67"/>
  <c r="G69" i="67"/>
  <c r="G68" i="67" s="1"/>
  <c r="G73" i="67" s="1"/>
  <c r="M64" i="67"/>
  <c r="M58" i="67"/>
  <c r="E64" i="67"/>
  <c r="N117" i="6"/>
  <c r="D15" i="60" s="1"/>
  <c r="N55" i="67"/>
  <c r="E110" i="67"/>
  <c r="I50" i="61"/>
  <c r="K123" i="67"/>
  <c r="G307" i="67"/>
  <c r="K305" i="67"/>
  <c r="G305" i="67"/>
  <c r="G64" i="67"/>
  <c r="K123" i="6"/>
  <c r="K69" i="67"/>
  <c r="K74" i="67" s="1"/>
  <c r="E120" i="67"/>
  <c r="J60" i="67"/>
  <c r="E123" i="6"/>
  <c r="E166" i="6" s="1"/>
  <c r="E69" i="67"/>
  <c r="E68" i="67" s="1"/>
  <c r="E73" i="67" s="1"/>
  <c r="K64" i="67"/>
  <c r="L108" i="67"/>
  <c r="E307" i="67"/>
  <c r="N59" i="67"/>
  <c r="O64" i="67" s="1"/>
  <c r="E60" i="67"/>
  <c r="D305" i="67"/>
  <c r="I42" i="61"/>
  <c r="E58" i="67"/>
  <c r="D307" i="67"/>
  <c r="K110" i="67"/>
  <c r="K108" i="67"/>
  <c r="U126" i="68"/>
  <c r="U125" i="68"/>
  <c r="V124" i="68"/>
  <c r="U123" i="68"/>
  <c r="S198" i="18" s="1"/>
  <c r="N109" i="67"/>
  <c r="L110" i="67"/>
  <c r="I25" i="61"/>
  <c r="I26" i="61" s="1"/>
  <c r="L70" i="67"/>
  <c r="L75" i="67" s="1"/>
  <c r="L68" i="67"/>
  <c r="L73" i="67" s="1"/>
  <c r="M108" i="67"/>
  <c r="M110" i="67"/>
  <c r="N314" i="67"/>
  <c r="G110" i="67"/>
  <c r="J108" i="67"/>
  <c r="G108" i="67"/>
  <c r="J110" i="67"/>
  <c r="L165" i="6"/>
  <c r="N124" i="67"/>
  <c r="N308" i="67"/>
  <c r="H148" i="67"/>
  <c r="C60" i="67"/>
  <c r="C58" i="67"/>
  <c r="C110" i="67"/>
  <c r="C108" i="67"/>
  <c r="Y54" i="15"/>
  <c r="Y365" i="67" s="1"/>
  <c r="S77" i="21"/>
  <c r="C120" i="67"/>
  <c r="C118" i="67"/>
  <c r="AU208" i="18"/>
  <c r="G157" i="68"/>
  <c r="AT208" i="18"/>
  <c r="H305" i="67"/>
  <c r="H69" i="67"/>
  <c r="H123" i="6"/>
  <c r="H307" i="67"/>
  <c r="I64" i="67"/>
  <c r="H60" i="67"/>
  <c r="H58" i="67"/>
  <c r="H125" i="67"/>
  <c r="H123" i="67"/>
  <c r="H108" i="67"/>
  <c r="H110" i="67"/>
  <c r="H64" i="67"/>
  <c r="BA135" i="18"/>
  <c r="AZ127" i="18"/>
  <c r="AZ128" i="18" s="1"/>
  <c r="AZ136" i="18" s="1"/>
  <c r="R78" i="21"/>
  <c r="Y122" i="15"/>
  <c r="X371" i="67"/>
  <c r="S78" i="21"/>
  <c r="R49" i="21"/>
  <c r="R77" i="21"/>
  <c r="Y371" i="67"/>
  <c r="S49" i="21"/>
  <c r="J98" i="6"/>
  <c r="BH41" i="15"/>
  <c r="BH42" i="15" s="1"/>
  <c r="AJ199" i="68"/>
  <c r="AJ200" i="68" s="1"/>
  <c r="BJ108" i="15"/>
  <c r="BK81" i="15"/>
  <c r="AI204" i="68"/>
  <c r="AI205" i="68" s="1"/>
  <c r="BG55" i="15"/>
  <c r="BG101" i="15" s="1"/>
  <c r="BF57" i="15"/>
  <c r="AK199" i="68"/>
  <c r="AK200" i="68" s="1"/>
  <c r="AC48" i="15"/>
  <c r="O73" i="6"/>
  <c r="AB48" i="15"/>
  <c r="AL204" i="68"/>
  <c r="AL205" i="68" s="1"/>
  <c r="AK209" i="68"/>
  <c r="AK210" i="68" s="1"/>
  <c r="BG106" i="15"/>
  <c r="BH85" i="15"/>
  <c r="AI209" i="68"/>
  <c r="AI210" i="68" s="1"/>
  <c r="I202" i="68"/>
  <c r="I203" i="68" s="1"/>
  <c r="I204" i="68" s="1"/>
  <c r="I205" i="68" s="1"/>
  <c r="AL209" i="68"/>
  <c r="AL210" i="68" s="1"/>
  <c r="AK204" i="68"/>
  <c r="AK205" i="68" s="1"/>
  <c r="O72" i="6"/>
  <c r="BG59" i="15"/>
  <c r="BG99" i="15" s="1"/>
  <c r="AL199" i="68"/>
  <c r="AL200" i="68" s="1"/>
  <c r="AE48" i="15"/>
  <c r="BH107" i="15"/>
  <c r="BI82" i="15"/>
  <c r="W49" i="15"/>
  <c r="Q49" i="21" s="1"/>
  <c r="BG42" i="15"/>
  <c r="X54" i="15"/>
  <c r="Z48" i="15"/>
  <c r="R122" i="6"/>
  <c r="AD48" i="15"/>
  <c r="AJ209" i="68"/>
  <c r="AJ210" i="68" s="1"/>
  <c r="AJ204" i="68"/>
  <c r="AJ205" i="68" s="1"/>
  <c r="AF48" i="15"/>
  <c r="AA48" i="15"/>
  <c r="J318" i="67"/>
  <c r="J94" i="67"/>
  <c r="J135" i="6"/>
  <c r="D115" i="12"/>
  <c r="D116" i="12" s="1"/>
  <c r="D117" i="12" s="1"/>
  <c r="D118" i="12" s="1"/>
  <c r="O29" i="6"/>
  <c r="J16" i="61" s="1"/>
  <c r="P53" i="6"/>
  <c r="G165" i="6"/>
  <c r="C64" i="67"/>
  <c r="B58" i="67"/>
  <c r="B60" i="67"/>
  <c r="D166" i="6"/>
  <c r="D165" i="6"/>
  <c r="Y233" i="68"/>
  <c r="X233" i="68"/>
  <c r="I233" i="68"/>
  <c r="H233" i="68"/>
  <c r="J233" i="68"/>
  <c r="M74" i="67" l="1"/>
  <c r="M70" i="67"/>
  <c r="M75" i="67" s="1"/>
  <c r="F63" i="67"/>
  <c r="Y64" i="15"/>
  <c r="Y120" i="15" s="1"/>
  <c r="R69" i="21"/>
  <c r="J70" i="67"/>
  <c r="J75" i="67" s="1"/>
  <c r="J68" i="67"/>
  <c r="J73" i="67" s="1"/>
  <c r="G65" i="67"/>
  <c r="J65" i="67"/>
  <c r="J63" i="67"/>
  <c r="M165" i="6"/>
  <c r="L63" i="67"/>
  <c r="J165" i="6"/>
  <c r="F65" i="67"/>
  <c r="L65" i="67"/>
  <c r="D70" i="67"/>
  <c r="D75" i="67" s="1"/>
  <c r="K70" i="67"/>
  <c r="K75" i="67" s="1"/>
  <c r="F165" i="6"/>
  <c r="D74" i="67"/>
  <c r="D65" i="67"/>
  <c r="G63" i="67"/>
  <c r="G74" i="67"/>
  <c r="G70" i="67"/>
  <c r="G75" i="67" s="1"/>
  <c r="N69" i="67"/>
  <c r="N74" i="67" s="1"/>
  <c r="K68" i="67"/>
  <c r="K73" i="67" s="1"/>
  <c r="E165" i="6"/>
  <c r="N60" i="67"/>
  <c r="O65" i="67" s="1"/>
  <c r="E65" i="67"/>
  <c r="E70" i="67"/>
  <c r="E75" i="67" s="1"/>
  <c r="M65" i="67"/>
  <c r="N307" i="67"/>
  <c r="E63" i="67"/>
  <c r="M63" i="67"/>
  <c r="N305" i="67"/>
  <c r="N123" i="6"/>
  <c r="N58" i="67"/>
  <c r="O63" i="67" s="1"/>
  <c r="K165" i="6"/>
  <c r="N64" i="67"/>
  <c r="K65" i="67"/>
  <c r="K63" i="67"/>
  <c r="E74" i="67"/>
  <c r="W124" i="68"/>
  <c r="V126" i="68"/>
  <c r="V125" i="68"/>
  <c r="V123" i="68"/>
  <c r="T198" i="18" s="1"/>
  <c r="N108" i="67"/>
  <c r="N110" i="67"/>
  <c r="N125" i="67"/>
  <c r="N123" i="67"/>
  <c r="W371" i="67"/>
  <c r="W54" i="15"/>
  <c r="W365" i="67" s="1"/>
  <c r="E30" i="61"/>
  <c r="Q78" i="21"/>
  <c r="F157" i="68"/>
  <c r="AS208" i="18"/>
  <c r="I208" i="18"/>
  <c r="Y372" i="67"/>
  <c r="X372" i="67"/>
  <c r="I63" i="67"/>
  <c r="I65" i="67"/>
  <c r="H165" i="6"/>
  <c r="H70" i="67"/>
  <c r="H75" i="67" s="1"/>
  <c r="H68" i="67"/>
  <c r="H73" i="67" s="1"/>
  <c r="H74" i="67"/>
  <c r="H65" i="67"/>
  <c r="H63" i="67"/>
  <c r="BA127" i="18"/>
  <c r="BA128" i="18" s="1"/>
  <c r="BA136" i="18" s="1"/>
  <c r="BB135" i="18"/>
  <c r="J126" i="6"/>
  <c r="J103" i="6"/>
  <c r="J163" i="6" s="1"/>
  <c r="X122" i="15"/>
  <c r="Q77" i="21"/>
  <c r="R70" i="21"/>
  <c r="R71" i="21" s="1"/>
  <c r="R213" i="68" s="1"/>
  <c r="AE49" i="15"/>
  <c r="AE112" i="15" s="1"/>
  <c r="AF111" i="15" s="1"/>
  <c r="W112" i="15"/>
  <c r="X111" i="15" s="1"/>
  <c r="AO199" i="68"/>
  <c r="AO200" i="68"/>
  <c r="AS198" i="68"/>
  <c r="AO197" i="68"/>
  <c r="AO18" i="21" s="1"/>
  <c r="Z49" i="15"/>
  <c r="Z112" i="15" s="1"/>
  <c r="AA111" i="15" s="1"/>
  <c r="AP199" i="68"/>
  <c r="AT198" i="68"/>
  <c r="AP200" i="68"/>
  <c r="AP197" i="68" s="1"/>
  <c r="AP18" i="21" s="1"/>
  <c r="O71" i="6"/>
  <c r="BG57" i="15"/>
  <c r="BH55" i="15"/>
  <c r="BH101" i="15" s="1"/>
  <c r="AF49" i="15"/>
  <c r="AF112" i="15" s="1"/>
  <c r="AG111" i="15" s="1"/>
  <c r="X64" i="15"/>
  <c r="X120" i="15" s="1"/>
  <c r="X365" i="67"/>
  <c r="Y367" i="67" s="1"/>
  <c r="BK108" i="15"/>
  <c r="BL81" i="15"/>
  <c r="AO209" i="68"/>
  <c r="AS208" i="68"/>
  <c r="AO210" i="68"/>
  <c r="AO207" i="68" s="1"/>
  <c r="AO27" i="21" s="1"/>
  <c r="K134" i="6"/>
  <c r="BI41" i="15"/>
  <c r="BI42" i="15" s="1"/>
  <c r="L134" i="6"/>
  <c r="AG48" i="15"/>
  <c r="J313" i="67"/>
  <c r="AA49" i="15"/>
  <c r="AA112" i="15" s="1"/>
  <c r="AB111" i="15" s="1"/>
  <c r="AD49" i="15"/>
  <c r="AD112" i="15" s="1"/>
  <c r="AE111" i="15" s="1"/>
  <c r="BI107" i="15"/>
  <c r="BJ82" i="15"/>
  <c r="S110" i="6"/>
  <c r="AB49" i="15"/>
  <c r="AB112" i="15" s="1"/>
  <c r="AC111" i="15" s="1"/>
  <c r="BH59" i="15"/>
  <c r="BH99" i="15" s="1"/>
  <c r="BH106" i="15"/>
  <c r="BI85" i="15"/>
  <c r="V48" i="15"/>
  <c r="J95" i="67"/>
  <c r="J93" i="67"/>
  <c r="AO204" i="68"/>
  <c r="AS203" i="68"/>
  <c r="AO205" i="68"/>
  <c r="AO202" i="68" s="1"/>
  <c r="AO21" i="21" s="1"/>
  <c r="AC49" i="15"/>
  <c r="AU388" i="67"/>
  <c r="Y29" i="6"/>
  <c r="P10" i="6"/>
  <c r="Q7" i="6"/>
  <c r="P7" i="6"/>
  <c r="P6" i="6" s="1"/>
  <c r="T8" i="60" s="1"/>
  <c r="T46" i="60" s="1"/>
  <c r="AV390" i="67"/>
  <c r="C65" i="67"/>
  <c r="C63" i="67"/>
  <c r="Q53" i="6"/>
  <c r="R233" i="68"/>
  <c r="S233" i="68"/>
  <c r="P233" i="68"/>
  <c r="Q233" i="68"/>
  <c r="AF233" i="68"/>
  <c r="AI233" i="68"/>
  <c r="AG233" i="68"/>
  <c r="AH233" i="68"/>
  <c r="P202" i="68"/>
  <c r="P203" i="68" s="1"/>
  <c r="P204" i="68" s="1"/>
  <c r="P205" i="68" s="1"/>
  <c r="P207" i="68"/>
  <c r="P208" i="68" s="1"/>
  <c r="P209" i="68" s="1"/>
  <c r="P210" i="68" s="1"/>
  <c r="AH202" i="68"/>
  <c r="AH203" i="68" s="1"/>
  <c r="AH207" i="68"/>
  <c r="AH208" i="68" s="1"/>
  <c r="AC112" i="15" l="1"/>
  <c r="AD111" i="15" s="1"/>
  <c r="K136" i="6"/>
  <c r="J127" i="6"/>
  <c r="W372" i="67"/>
  <c r="W64" i="15"/>
  <c r="W120" i="15" s="1"/>
  <c r="T69" i="21"/>
  <c r="T70" i="21" s="1"/>
  <c r="T71" i="21" s="1"/>
  <c r="T213" i="68" s="1"/>
  <c r="AH209" i="68"/>
  <c r="AH210" i="68" s="1"/>
  <c r="AP208" i="68"/>
  <c r="U69" i="21"/>
  <c r="V69" i="21"/>
  <c r="V70" i="21" s="1"/>
  <c r="V71" i="21" s="1"/>
  <c r="V213" i="68" s="1"/>
  <c r="AH204" i="68"/>
  <c r="AH205" i="68" s="1"/>
  <c r="AP203" i="68"/>
  <c r="X69" i="21"/>
  <c r="X70" i="21" s="1"/>
  <c r="X71" i="21" s="1"/>
  <c r="X213" i="68" s="1"/>
  <c r="W69" i="21"/>
  <c r="W70" i="21" s="1"/>
  <c r="W71" i="21" s="1"/>
  <c r="W213" i="68" s="1"/>
  <c r="Z69" i="21"/>
  <c r="Z70" i="21" s="1"/>
  <c r="Z71" i="21" s="1"/>
  <c r="Z213" i="68" s="1"/>
  <c r="Y69" i="21"/>
  <c r="N70" i="67"/>
  <c r="N75" i="67" s="1"/>
  <c r="N68" i="67"/>
  <c r="N73" i="67" s="1"/>
  <c r="N63" i="67"/>
  <c r="N65" i="67"/>
  <c r="N165" i="6"/>
  <c r="W126" i="68"/>
  <c r="W125" i="68"/>
  <c r="W123" i="68"/>
  <c r="U198" i="18" s="1"/>
  <c r="AD371" i="67"/>
  <c r="J99" i="67"/>
  <c r="J139" i="67" s="1"/>
  <c r="X367" i="67"/>
  <c r="AB54" i="15"/>
  <c r="AB64" i="15" s="1"/>
  <c r="AB120" i="15" s="1"/>
  <c r="AD54" i="15"/>
  <c r="AD365" i="67" s="1"/>
  <c r="AA371" i="67"/>
  <c r="AF54" i="15"/>
  <c r="AF365" i="67" s="1"/>
  <c r="Z78" i="21"/>
  <c r="Z77" i="21"/>
  <c r="AV208" i="18"/>
  <c r="AZ208" i="18"/>
  <c r="BB208" i="18"/>
  <c r="AA54" i="15"/>
  <c r="AA64" i="15" s="1"/>
  <c r="AA120" i="15" s="1"/>
  <c r="Z49" i="21"/>
  <c r="U78" i="21"/>
  <c r="X77" i="21"/>
  <c r="AY208" i="18"/>
  <c r="AX208" i="18"/>
  <c r="AW208" i="18"/>
  <c r="E157" i="68"/>
  <c r="BA208" i="18"/>
  <c r="K7" i="61"/>
  <c r="J141" i="6"/>
  <c r="J152" i="6" s="1"/>
  <c r="E28" i="61"/>
  <c r="J128" i="6"/>
  <c r="E29" i="61" s="1"/>
  <c r="J129" i="6"/>
  <c r="J171" i="6"/>
  <c r="BB127" i="18"/>
  <c r="BB128" i="18" s="1"/>
  <c r="BB136" i="18" s="1"/>
  <c r="BC135" i="18"/>
  <c r="U70" i="21"/>
  <c r="U71" i="21" s="1"/>
  <c r="U213" i="68" s="1"/>
  <c r="W49" i="21"/>
  <c r="Y77" i="21"/>
  <c r="T49" i="21"/>
  <c r="V49" i="21"/>
  <c r="Y49" i="21"/>
  <c r="W77" i="21"/>
  <c r="Y78" i="21"/>
  <c r="T78" i="21"/>
  <c r="U49" i="21"/>
  <c r="X49" i="21"/>
  <c r="W78" i="21"/>
  <c r="V77" i="21"/>
  <c r="Y70" i="21"/>
  <c r="Y71" i="21" s="1"/>
  <c r="Y213" i="68" s="1"/>
  <c r="T77" i="21"/>
  <c r="V78" i="21"/>
  <c r="AB371" i="67"/>
  <c r="AE371" i="67"/>
  <c r="U77" i="21"/>
  <c r="X78" i="21"/>
  <c r="AB365" i="67"/>
  <c r="BJ107" i="15"/>
  <c r="BK82" i="15"/>
  <c r="AA122" i="15"/>
  <c r="AS209" i="68"/>
  <c r="AS210" i="68"/>
  <c r="AS207" i="68" s="1"/>
  <c r="AS27" i="21" s="1"/>
  <c r="AW208" i="68"/>
  <c r="AF371" i="67"/>
  <c r="AW198" i="68"/>
  <c r="AS200" i="68"/>
  <c r="AS197" i="68" s="1"/>
  <c r="AS18" i="21" s="1"/>
  <c r="AS199" i="68"/>
  <c r="AE54" i="15"/>
  <c r="AC54" i="15"/>
  <c r="AA372" i="67"/>
  <c r="BI55" i="15"/>
  <c r="BI101" i="15" s="1"/>
  <c r="BH57" i="15"/>
  <c r="AA365" i="67"/>
  <c r="Z122" i="15"/>
  <c r="AB122" i="15"/>
  <c r="AD64" i="15"/>
  <c r="AD120" i="15" s="1"/>
  <c r="V49" i="15"/>
  <c r="BI59" i="15"/>
  <c r="O105" i="6"/>
  <c r="AD122" i="15"/>
  <c r="BJ41" i="15"/>
  <c r="BJ42" i="15" s="1"/>
  <c r="AE122" i="15"/>
  <c r="AT199" i="68"/>
  <c r="AX198" i="68"/>
  <c r="AT200" i="68"/>
  <c r="AT197" i="68" s="1"/>
  <c r="AT18" i="21" s="1"/>
  <c r="K98" i="6"/>
  <c r="BL108" i="15"/>
  <c r="BM81" i="15"/>
  <c r="AS205" i="68"/>
  <c r="AS202" i="68" s="1"/>
  <c r="AS21" i="21" s="1"/>
  <c r="AW203" i="68"/>
  <c r="AS204" i="68"/>
  <c r="BI106" i="15"/>
  <c r="BJ85" i="15"/>
  <c r="AH48" i="15"/>
  <c r="AG49" i="15"/>
  <c r="L136" i="6" s="1"/>
  <c r="Z54" i="15"/>
  <c r="AC122" i="15"/>
  <c r="L94" i="67"/>
  <c r="L318" i="67"/>
  <c r="L135" i="6"/>
  <c r="I134" i="6"/>
  <c r="U48" i="15"/>
  <c r="AC371" i="67"/>
  <c r="K94" i="67"/>
  <c r="K318" i="67"/>
  <c r="K135" i="6"/>
  <c r="AF122" i="15"/>
  <c r="Z371" i="67"/>
  <c r="AY390" i="67"/>
  <c r="AV388" i="67"/>
  <c r="AY388" i="67"/>
  <c r="R7" i="6"/>
  <c r="Z7" i="6" s="1"/>
  <c r="R8" i="6"/>
  <c r="Z8" i="6" s="1"/>
  <c r="Q8" i="6"/>
  <c r="Q6" i="6" s="1"/>
  <c r="U8" i="60" s="1"/>
  <c r="U46" i="60" s="1"/>
  <c r="AX390" i="67"/>
  <c r="R53" i="6"/>
  <c r="J98" i="67" l="1"/>
  <c r="J138" i="67" s="1"/>
  <c r="J104" i="67"/>
  <c r="J103" i="67" s="1"/>
  <c r="J100" i="67"/>
  <c r="J140" i="67" s="1"/>
  <c r="AD372" i="67"/>
  <c r="AG112" i="15"/>
  <c r="AH111" i="15" s="1"/>
  <c r="AA69" i="21"/>
  <c r="AF64" i="15"/>
  <c r="AF120" i="15" s="1"/>
  <c r="AE372" i="67"/>
  <c r="AP204" i="68"/>
  <c r="AT203" i="68"/>
  <c r="AP205" i="68"/>
  <c r="AP202" i="68" s="1"/>
  <c r="AP21" i="21" s="1"/>
  <c r="AP210" i="68"/>
  <c r="AP207" i="68" s="1"/>
  <c r="AP27" i="21" s="1"/>
  <c r="AT208" i="68"/>
  <c r="AP209" i="68"/>
  <c r="Q69" i="21"/>
  <c r="Q70" i="21" s="1"/>
  <c r="Q71" i="21" s="1"/>
  <c r="Q213" i="68" s="1"/>
  <c r="F30" i="61"/>
  <c r="G30" i="61"/>
  <c r="J208" i="18"/>
  <c r="AA78" i="21"/>
  <c r="D157" i="68"/>
  <c r="AA77" i="21"/>
  <c r="BC208" i="18"/>
  <c r="L7" i="61"/>
  <c r="E48" i="61"/>
  <c r="E40" i="61"/>
  <c r="S120" i="6"/>
  <c r="J129" i="67"/>
  <c r="J142" i="6"/>
  <c r="AB372" i="67"/>
  <c r="J119" i="67"/>
  <c r="J118" i="67" s="1"/>
  <c r="V371" i="67"/>
  <c r="AR208" i="18"/>
  <c r="P77" i="21"/>
  <c r="AB367" i="67"/>
  <c r="P49" i="21"/>
  <c r="P78" i="21"/>
  <c r="BC127" i="18"/>
  <c r="BC128" i="18" s="1"/>
  <c r="BC136" i="18" s="1"/>
  <c r="BD135" i="18"/>
  <c r="AA70" i="21"/>
  <c r="AA71" i="21" s="1"/>
  <c r="AA213" i="68" s="1"/>
  <c r="AA49" i="21"/>
  <c r="Z64" i="15"/>
  <c r="Z120" i="15" s="1"/>
  <c r="Z365" i="67"/>
  <c r="AH49" i="15"/>
  <c r="AH112" i="15" s="1"/>
  <c r="AI111" i="15" s="1"/>
  <c r="V112" i="15"/>
  <c r="W111" i="15" s="1"/>
  <c r="W122" i="15"/>
  <c r="K93" i="67"/>
  <c r="K95" i="67"/>
  <c r="L313" i="67"/>
  <c r="V54" i="15"/>
  <c r="BB198" i="68"/>
  <c r="AX199" i="68"/>
  <c r="AX200" i="68"/>
  <c r="AX197" i="68" s="1"/>
  <c r="AX18" i="21" s="1"/>
  <c r="AW210" i="68"/>
  <c r="AW207" i="68" s="1"/>
  <c r="AW27" i="21" s="1"/>
  <c r="AW209" i="68"/>
  <c r="BA208" i="68"/>
  <c r="K313" i="67"/>
  <c r="O320" i="67"/>
  <c r="BK107" i="15"/>
  <c r="BL82" i="15"/>
  <c r="BN81" i="15"/>
  <c r="BM108" i="15"/>
  <c r="BK41" i="15"/>
  <c r="AE64" i="15"/>
  <c r="AE120" i="15" s="1"/>
  <c r="AE365" i="67"/>
  <c r="AF367" i="67" s="1"/>
  <c r="BA198" i="68"/>
  <c r="AW199" i="68"/>
  <c r="AW200" i="68"/>
  <c r="AW197" i="68" s="1"/>
  <c r="AW18" i="21" s="1"/>
  <c r="U49" i="15"/>
  <c r="AG122" i="15"/>
  <c r="L93" i="67"/>
  <c r="L95" i="67"/>
  <c r="BJ59" i="15"/>
  <c r="BJ99" i="15" s="1"/>
  <c r="S96" i="6"/>
  <c r="J153" i="6"/>
  <c r="L98" i="6"/>
  <c r="BJ106" i="15"/>
  <c r="BK85" i="15"/>
  <c r="BI99" i="15"/>
  <c r="AC64" i="15"/>
  <c r="AC120" i="15" s="1"/>
  <c r="AC365" i="67"/>
  <c r="AD367" i="67" s="1"/>
  <c r="Z372" i="67"/>
  <c r="AI48" i="15"/>
  <c r="I94" i="67"/>
  <c r="I318" i="67"/>
  <c r="I135" i="6"/>
  <c r="AW204" i="68"/>
  <c r="AW205" i="68"/>
  <c r="AW202" i="68" s="1"/>
  <c r="AW21" i="21" s="1"/>
  <c r="BA203" i="68"/>
  <c r="AG371" i="67"/>
  <c r="K126" i="6"/>
  <c r="K103" i="6"/>
  <c r="T48" i="15"/>
  <c r="AC372" i="67"/>
  <c r="AG54" i="15"/>
  <c r="BI57" i="15"/>
  <c r="BJ55" i="15"/>
  <c r="BJ101" i="15" s="1"/>
  <c r="AF372" i="67"/>
  <c r="P235" i="67"/>
  <c r="BC388" i="67"/>
  <c r="S7" i="6"/>
  <c r="S8" i="6"/>
  <c r="AZ388" i="67"/>
  <c r="AT388" i="67"/>
  <c r="R6" i="6"/>
  <c r="S53" i="6"/>
  <c r="BH388" i="67"/>
  <c r="BG388" i="67"/>
  <c r="F182" i="68"/>
  <c r="F183" i="68" s="1"/>
  <c r="F184" i="68" s="1"/>
  <c r="F185" i="68" s="1"/>
  <c r="U112" i="15" l="1"/>
  <c r="V111" i="15" s="1"/>
  <c r="J136" i="6"/>
  <c r="J105" i="67"/>
  <c r="V8" i="60"/>
  <c r="V46" i="60" s="1"/>
  <c r="Z6" i="6"/>
  <c r="P69" i="21"/>
  <c r="AX203" i="68"/>
  <c r="AT205" i="68"/>
  <c r="AT202" i="68" s="1"/>
  <c r="AT21" i="21" s="1"/>
  <c r="AT204" i="68"/>
  <c r="AT209" i="68"/>
  <c r="AX208" i="68"/>
  <c r="AT210" i="68"/>
  <c r="AT207" i="68" s="1"/>
  <c r="AT27" i="21" s="1"/>
  <c r="AB69" i="21"/>
  <c r="AB70" i="21" s="1"/>
  <c r="AB71" i="21" s="1"/>
  <c r="AB213" i="68" s="1"/>
  <c r="J130" i="67"/>
  <c r="J120" i="67"/>
  <c r="V372" i="67"/>
  <c r="I98" i="6"/>
  <c r="AH371" i="67"/>
  <c r="AB49" i="21"/>
  <c r="C157" i="68"/>
  <c r="D30" i="61"/>
  <c r="K208" i="18"/>
  <c r="U371" i="67"/>
  <c r="AB78" i="21"/>
  <c r="P70" i="21"/>
  <c r="P71" i="21" s="1"/>
  <c r="P213" i="68" s="1"/>
  <c r="BD208" i="18"/>
  <c r="AQ208" i="18"/>
  <c r="M7" i="61"/>
  <c r="J128" i="67"/>
  <c r="E41" i="61"/>
  <c r="F28" i="61"/>
  <c r="E49" i="61"/>
  <c r="BD127" i="18"/>
  <c r="BD128" i="18" s="1"/>
  <c r="BD136" i="18" s="1"/>
  <c r="BE135" i="18"/>
  <c r="V122" i="15"/>
  <c r="O49" i="21"/>
  <c r="O77" i="21"/>
  <c r="AH122" i="15"/>
  <c r="AB77" i="21"/>
  <c r="O78" i="21"/>
  <c r="BK106" i="15"/>
  <c r="BL85" i="15"/>
  <c r="AG64" i="15"/>
  <c r="AG120" i="15" s="1"/>
  <c r="AG365" i="67"/>
  <c r="BK59" i="15"/>
  <c r="BK99" i="15" s="1"/>
  <c r="V64" i="15"/>
  <c r="V120" i="15" s="1"/>
  <c r="V365" i="67"/>
  <c r="W367" i="67" s="1"/>
  <c r="K171" i="6"/>
  <c r="K163" i="6"/>
  <c r="K129" i="6"/>
  <c r="I93" i="67"/>
  <c r="I95" i="67"/>
  <c r="BO81" i="15"/>
  <c r="BN108" i="15"/>
  <c r="K99" i="67"/>
  <c r="K128" i="6"/>
  <c r="F29" i="61" s="1"/>
  <c r="K127" i="6"/>
  <c r="K141" i="6"/>
  <c r="K166" i="6"/>
  <c r="BE203" i="68"/>
  <c r="BA205" i="68"/>
  <c r="BA204" i="68"/>
  <c r="BA202" i="68"/>
  <c r="BA21" i="21" s="1"/>
  <c r="AI49" i="15"/>
  <c r="AI112" i="15" s="1"/>
  <c r="AJ111" i="15" s="1"/>
  <c r="L126" i="6"/>
  <c r="P22" i="60" s="1"/>
  <c r="B17" i="60" s="1"/>
  <c r="B55" i="60" s="1"/>
  <c r="L103" i="6"/>
  <c r="BA209" i="68"/>
  <c r="BE208" i="68"/>
  <c r="BA210" i="68"/>
  <c r="BA207" i="68" s="1"/>
  <c r="BA27" i="21" s="1"/>
  <c r="S48" i="15"/>
  <c r="U54" i="15"/>
  <c r="T49" i="15"/>
  <c r="T112" i="15" s="1"/>
  <c r="U111" i="15" s="1"/>
  <c r="BA199" i="68"/>
  <c r="BE198" i="68"/>
  <c r="BA200" i="68"/>
  <c r="BA197" i="68" s="1"/>
  <c r="BA18" i="21" s="1"/>
  <c r="AC367" i="67"/>
  <c r="BJ57" i="15"/>
  <c r="BK55" i="15"/>
  <c r="S122" i="6"/>
  <c r="BL41" i="15"/>
  <c r="AA367" i="67"/>
  <c r="Z367" i="67"/>
  <c r="BF198" i="68"/>
  <c r="BB199" i="68"/>
  <c r="BB200" i="68"/>
  <c r="BB197" i="68" s="1"/>
  <c r="BB18" i="21" s="1"/>
  <c r="AJ48" i="15"/>
  <c r="BM82" i="15"/>
  <c r="BL107" i="15"/>
  <c r="AG372" i="67"/>
  <c r="I313" i="67"/>
  <c r="BK42" i="15"/>
  <c r="AE367" i="67"/>
  <c r="AH54" i="15"/>
  <c r="T7" i="6"/>
  <c r="S6" i="6"/>
  <c r="W8" i="60" s="1"/>
  <c r="BD388" i="67"/>
  <c r="AX388" i="67"/>
  <c r="T8" i="6"/>
  <c r="BB388" i="67"/>
  <c r="T53" i="6"/>
  <c r="H182" i="68"/>
  <c r="H183" i="68" s="1"/>
  <c r="H184" i="68" s="1"/>
  <c r="H185" i="68" s="1"/>
  <c r="J182" i="68"/>
  <c r="J183" i="68" s="1"/>
  <c r="J184" i="68" s="1"/>
  <c r="J185" i="68" s="1"/>
  <c r="I182" i="68"/>
  <c r="I183" i="68" s="1"/>
  <c r="I184" i="68" s="1"/>
  <c r="I185" i="68" s="1"/>
  <c r="G182" i="68"/>
  <c r="G183" i="68" s="1"/>
  <c r="G184" i="68" s="1"/>
  <c r="G185" i="68" s="1"/>
  <c r="BF388" i="67"/>
  <c r="BK388" i="67"/>
  <c r="BL388" i="67"/>
  <c r="W46" i="60" l="1"/>
  <c r="AK27" i="60"/>
  <c r="I103" i="6"/>
  <c r="AH372" i="67"/>
  <c r="AX210" i="68"/>
  <c r="AX207" i="68" s="1"/>
  <c r="AX27" i="21" s="1"/>
  <c r="AX209" i="68"/>
  <c r="BB208" i="68"/>
  <c r="BB203" i="68"/>
  <c r="AX204" i="68"/>
  <c r="AX205" i="68"/>
  <c r="AX202" i="68" s="1"/>
  <c r="AX21" i="21" s="1"/>
  <c r="O69" i="21"/>
  <c r="O70" i="21" s="1"/>
  <c r="O71" i="21" s="1"/>
  <c r="O213" i="68" s="1"/>
  <c r="AC69" i="21"/>
  <c r="AC70" i="21" s="1"/>
  <c r="AC71" i="21" s="1"/>
  <c r="AC213" i="68" s="1"/>
  <c r="U122" i="15"/>
  <c r="U372" i="67"/>
  <c r="I126" i="6"/>
  <c r="I127" i="6" s="1"/>
  <c r="H208" i="18"/>
  <c r="N77" i="21"/>
  <c r="AC77" i="21"/>
  <c r="BE208" i="18"/>
  <c r="B157" i="68"/>
  <c r="AI371" i="67"/>
  <c r="AI122" i="15"/>
  <c r="N78" i="21"/>
  <c r="AC78" i="21"/>
  <c r="AP208" i="18"/>
  <c r="N7" i="61"/>
  <c r="G28" i="61"/>
  <c r="F40" i="61"/>
  <c r="BE127" i="18"/>
  <c r="BE128" i="18" s="1"/>
  <c r="BE136" i="18" s="1"/>
  <c r="BF135" i="18"/>
  <c r="T371" i="67"/>
  <c r="T54" i="15"/>
  <c r="T64" i="15" s="1"/>
  <c r="T120" i="15" s="1"/>
  <c r="AC49" i="21"/>
  <c r="N49" i="21"/>
  <c r="AJ49" i="15"/>
  <c r="AJ112" i="15" s="1"/>
  <c r="AK111" i="15" s="1"/>
  <c r="BL55" i="15"/>
  <c r="BL101" i="15" s="1"/>
  <c r="BK57" i="15"/>
  <c r="AG367" i="67"/>
  <c r="S49" i="15"/>
  <c r="K104" i="67"/>
  <c r="U64" i="15"/>
  <c r="U120" i="15" s="1"/>
  <c r="U365" i="67"/>
  <c r="V367" i="67" s="1"/>
  <c r="K152" i="6"/>
  <c r="K142" i="6"/>
  <c r="K129" i="67"/>
  <c r="K119" i="67"/>
  <c r="R48" i="15"/>
  <c r="M134" i="6"/>
  <c r="AK48" i="15"/>
  <c r="BM107" i="15"/>
  <c r="BN82" i="15"/>
  <c r="T110" i="6"/>
  <c r="BK101" i="15"/>
  <c r="BI198" i="68"/>
  <c r="BE200" i="68"/>
  <c r="BE197" i="68"/>
  <c r="BE18" i="21" s="1"/>
  <c r="BE199" i="68"/>
  <c r="BE202" i="68"/>
  <c r="BE21" i="21" s="1"/>
  <c r="BE204" i="68"/>
  <c r="BI203" i="68"/>
  <c r="BE205" i="68"/>
  <c r="BL59" i="15"/>
  <c r="BL99" i="15" s="1"/>
  <c r="L163" i="6"/>
  <c r="L171" i="6"/>
  <c r="L129" i="6"/>
  <c r="L141" i="6"/>
  <c r="L127" i="6"/>
  <c r="L99" i="67"/>
  <c r="L128" i="6"/>
  <c r="P23" i="60" s="1"/>
  <c r="B18" i="60" s="1"/>
  <c r="B56" i="60" s="1"/>
  <c r="L166" i="6"/>
  <c r="N182" i="68"/>
  <c r="N183" i="68" s="1"/>
  <c r="L182" i="68"/>
  <c r="L183" i="68" s="1"/>
  <c r="L184" i="68" s="1"/>
  <c r="L185" i="68" s="1"/>
  <c r="BM41" i="15"/>
  <c r="BM42" i="15" s="1"/>
  <c r="BI208" i="68"/>
  <c r="BE209" i="68"/>
  <c r="BE210" i="68"/>
  <c r="BE207" i="68" s="1"/>
  <c r="BE27" i="21" s="1"/>
  <c r="K98" i="67"/>
  <c r="K138" i="67" s="1"/>
  <c r="K100" i="67"/>
  <c r="K140" i="67" s="1"/>
  <c r="K139" i="67"/>
  <c r="BO108" i="15"/>
  <c r="BP81" i="15"/>
  <c r="BF197" i="68"/>
  <c r="BF18" i="21" s="1"/>
  <c r="BF200" i="68"/>
  <c r="BJ198" i="68"/>
  <c r="BF199" i="68"/>
  <c r="BL106" i="15"/>
  <c r="BM85" i="15"/>
  <c r="AH64" i="15"/>
  <c r="AH120" i="15" s="1"/>
  <c r="AH365" i="67"/>
  <c r="AH367" i="67" s="1"/>
  <c r="BL42" i="15"/>
  <c r="AI54" i="15"/>
  <c r="U7" i="6"/>
  <c r="U8" i="6"/>
  <c r="T6" i="6"/>
  <c r="X8" i="60" s="1"/>
  <c r="X46" i="60" s="1"/>
  <c r="U53" i="6"/>
  <c r="BJ388" i="67"/>
  <c r="BO388" i="67"/>
  <c r="BP388" i="67"/>
  <c r="AT30" i="60" l="1"/>
  <c r="T6" i="68"/>
  <c r="U6" i="68" s="1"/>
  <c r="AK46" i="60"/>
  <c r="I163" i="6"/>
  <c r="I171" i="6"/>
  <c r="G29" i="61"/>
  <c r="I129" i="6"/>
  <c r="AD69" i="21"/>
  <c r="AD70" i="21" s="1"/>
  <c r="AD71" i="21" s="1"/>
  <c r="AD213" i="68" s="1"/>
  <c r="BB205" i="68"/>
  <c r="BB204" i="68"/>
  <c r="BB202" i="68"/>
  <c r="BB21" i="21" s="1"/>
  <c r="BF203" i="68"/>
  <c r="N69" i="21"/>
  <c r="D28" i="61"/>
  <c r="BB207" i="68"/>
  <c r="BB27" i="21" s="1"/>
  <c r="BB210" i="68"/>
  <c r="BB209" i="68"/>
  <c r="BF208" i="68"/>
  <c r="I141" i="6"/>
  <c r="I129" i="67" s="1"/>
  <c r="J166" i="6"/>
  <c r="I99" i="67"/>
  <c r="I98" i="67" s="1"/>
  <c r="I138" i="67" s="1"/>
  <c r="I128" i="6"/>
  <c r="D29" i="61" s="1"/>
  <c r="AI372" i="67"/>
  <c r="AJ54" i="15"/>
  <c r="AJ365" i="67" s="1"/>
  <c r="BF208" i="18"/>
  <c r="U6" i="6"/>
  <c r="Y8" i="60" s="1"/>
  <c r="Y46" i="60" s="1"/>
  <c r="O7" i="61"/>
  <c r="G40" i="61"/>
  <c r="F41" i="61"/>
  <c r="F48" i="61"/>
  <c r="T372" i="67"/>
  <c r="M78" i="21"/>
  <c r="AO208" i="18"/>
  <c r="N70" i="21"/>
  <c r="N71" i="21" s="1"/>
  <c r="N213" i="68" s="1"/>
  <c r="M77" i="21"/>
  <c r="BG135" i="18"/>
  <c r="BF127" i="18"/>
  <c r="BF128" i="18" s="1"/>
  <c r="BF136" i="18" s="1"/>
  <c r="T365" i="67"/>
  <c r="U367" i="67" s="1"/>
  <c r="AD49" i="21"/>
  <c r="AD78" i="21"/>
  <c r="M49" i="21"/>
  <c r="AJ371" i="67"/>
  <c r="AD77" i="21"/>
  <c r="BN41" i="15"/>
  <c r="BN42" i="15" s="1"/>
  <c r="K130" i="67"/>
  <c r="K128" i="67"/>
  <c r="N184" i="68"/>
  <c r="N185" i="68" s="1"/>
  <c r="I104" i="67"/>
  <c r="M182" i="68"/>
  <c r="M183" i="68" s="1"/>
  <c r="M184" i="68" s="1"/>
  <c r="M185" i="68" s="1"/>
  <c r="BM59" i="15"/>
  <c r="R49" i="15"/>
  <c r="BP108" i="15"/>
  <c r="BQ81" i="15"/>
  <c r="BN107" i="15"/>
  <c r="BO82" i="15"/>
  <c r="K103" i="67"/>
  <c r="K105" i="67"/>
  <c r="BM55" i="15"/>
  <c r="BM101" i="15" s="1"/>
  <c r="BL57" i="15"/>
  <c r="AJ122" i="15"/>
  <c r="L129" i="67"/>
  <c r="L142" i="6"/>
  <c r="L152" i="6"/>
  <c r="AK49" i="15"/>
  <c r="S112" i="15"/>
  <c r="T111" i="15" s="1"/>
  <c r="T122" i="15"/>
  <c r="AL48" i="15"/>
  <c r="BN85" i="15"/>
  <c r="BM106" i="15"/>
  <c r="M318" i="67"/>
  <c r="M94" i="67"/>
  <c r="M135" i="6"/>
  <c r="S54" i="15"/>
  <c r="L98" i="67"/>
  <c r="L138" i="67" s="1"/>
  <c r="L139" i="67"/>
  <c r="L100" i="67"/>
  <c r="L140" i="67" s="1"/>
  <c r="BI200" i="68"/>
  <c r="BI197" i="68" s="1"/>
  <c r="BI18" i="21" s="1"/>
  <c r="BI199" i="68"/>
  <c r="BM198" i="68"/>
  <c r="AI64" i="15"/>
  <c r="AI120" i="15" s="1"/>
  <c r="AI365" i="67"/>
  <c r="AI367" i="67" s="1"/>
  <c r="L104" i="67"/>
  <c r="L119" i="67"/>
  <c r="BI204" i="68"/>
  <c r="BM203" i="68"/>
  <c r="BI205" i="68"/>
  <c r="BI202" i="68" s="1"/>
  <c r="BI21" i="21" s="1"/>
  <c r="K153" i="6"/>
  <c r="K182" i="68"/>
  <c r="K183" i="68" s="1"/>
  <c r="K184" i="68" s="1"/>
  <c r="K185" i="68" s="1"/>
  <c r="BJ200" i="68"/>
  <c r="BJ197" i="68" s="1"/>
  <c r="BJ18" i="21" s="1"/>
  <c r="BN198" i="68"/>
  <c r="BJ199" i="68"/>
  <c r="I139" i="67"/>
  <c r="BI210" i="68"/>
  <c r="BM208" i="68"/>
  <c r="BI207" i="68"/>
  <c r="BI27" i="21" s="1"/>
  <c r="BI209" i="68"/>
  <c r="H134" i="6"/>
  <c r="Q48" i="15"/>
  <c r="K118" i="67"/>
  <c r="K120" i="67"/>
  <c r="S371" i="67"/>
  <c r="H177" i="6"/>
  <c r="V53" i="6"/>
  <c r="W53" i="6"/>
  <c r="V8" i="6"/>
  <c r="BS388" i="67"/>
  <c r="BT388" i="67"/>
  <c r="V7" i="6"/>
  <c r="AK112" i="15" l="1"/>
  <c r="AL111" i="15" s="1"/>
  <c r="M136" i="6"/>
  <c r="D40" i="61"/>
  <c r="I119" i="67"/>
  <c r="I118" i="67" s="1"/>
  <c r="I100" i="67"/>
  <c r="I140" i="67" s="1"/>
  <c r="P7" i="61"/>
  <c r="I142" i="6"/>
  <c r="D41" i="61" s="1"/>
  <c r="BF209" i="68"/>
  <c r="BF207" i="68"/>
  <c r="BF27" i="21" s="1"/>
  <c r="BF210" i="68"/>
  <c r="BJ208" i="68"/>
  <c r="AJ64" i="15"/>
  <c r="AJ120" i="15" s="1"/>
  <c r="I152" i="6"/>
  <c r="D48" i="61" s="1"/>
  <c r="BF204" i="68"/>
  <c r="BJ203" i="68"/>
  <c r="BF205" i="68"/>
  <c r="BF202" i="68" s="1"/>
  <c r="BF21" i="21" s="1"/>
  <c r="AE69" i="21"/>
  <c r="AE70" i="21" s="1"/>
  <c r="AE71" i="21" s="1"/>
  <c r="AE213" i="68" s="1"/>
  <c r="M69" i="21"/>
  <c r="AJ372" i="67"/>
  <c r="AE78" i="21"/>
  <c r="AK91" i="15"/>
  <c r="AE77" i="21"/>
  <c r="BG208" i="18"/>
  <c r="H30" i="61"/>
  <c r="F49" i="61"/>
  <c r="G41" i="61"/>
  <c r="G48" i="61"/>
  <c r="R112" i="15"/>
  <c r="S111" i="15" s="1"/>
  <c r="AN208" i="18"/>
  <c r="BH135" i="18"/>
  <c r="BG127" i="18"/>
  <c r="BG128" i="18" s="1"/>
  <c r="BG136" i="18" s="1"/>
  <c r="L49" i="21"/>
  <c r="L78" i="21"/>
  <c r="M70" i="21"/>
  <c r="M71" i="21" s="1"/>
  <c r="M213" i="68" s="1"/>
  <c r="L77" i="21"/>
  <c r="AE49" i="21"/>
  <c r="BN59" i="15"/>
  <c r="BN99" i="15" s="1"/>
  <c r="T96" i="6"/>
  <c r="BM99" i="15"/>
  <c r="L105" i="67"/>
  <c r="L103" i="67"/>
  <c r="AM48" i="15"/>
  <c r="AM49" i="15" s="1"/>
  <c r="BN199" i="68"/>
  <c r="BR198" i="68"/>
  <c r="BN200" i="68"/>
  <c r="BN197" i="68" s="1"/>
  <c r="BN18" i="21" s="1"/>
  <c r="S64" i="15"/>
  <c r="S120" i="15" s="1"/>
  <c r="S365" i="67"/>
  <c r="T367" i="67" s="1"/>
  <c r="AK122" i="15"/>
  <c r="BM57" i="15"/>
  <c r="BN55" i="15"/>
  <c r="Q49" i="15"/>
  <c r="BQ203" i="68"/>
  <c r="BM204" i="68"/>
  <c r="BM205" i="68"/>
  <c r="BM202" i="68" s="1"/>
  <c r="BM21" i="21" s="1"/>
  <c r="AJ367" i="67"/>
  <c r="I130" i="67"/>
  <c r="I128" i="67"/>
  <c r="P48" i="15"/>
  <c r="BQ198" i="68"/>
  <c r="BM200" i="68"/>
  <c r="BM197" i="68" s="1"/>
  <c r="BM18" i="21" s="1"/>
  <c r="BM199" i="68"/>
  <c r="S372" i="67"/>
  <c r="M313" i="67"/>
  <c r="BO107" i="15"/>
  <c r="BP82" i="15"/>
  <c r="M95" i="67"/>
  <c r="M93" i="67"/>
  <c r="AK371" i="67"/>
  <c r="R371" i="67"/>
  <c r="I103" i="67"/>
  <c r="I105" i="67"/>
  <c r="S122" i="15"/>
  <c r="L130" i="67"/>
  <c r="L128" i="67"/>
  <c r="H94" i="67"/>
  <c r="H318" i="67"/>
  <c r="H135" i="6"/>
  <c r="AK54" i="15"/>
  <c r="BM210" i="68"/>
  <c r="BM207" i="68" s="1"/>
  <c r="BM27" i="21" s="1"/>
  <c r="BQ208" i="68"/>
  <c r="BM209" i="68"/>
  <c r="BN106" i="15"/>
  <c r="BO85" i="15"/>
  <c r="L153" i="6"/>
  <c r="L120" i="67"/>
  <c r="L118" i="67"/>
  <c r="AL49" i="15"/>
  <c r="M98" i="6"/>
  <c r="BQ108" i="15"/>
  <c r="BR81" i="15"/>
  <c r="R54" i="15"/>
  <c r="T120" i="6"/>
  <c r="BO41" i="15"/>
  <c r="BO42" i="15" s="1"/>
  <c r="V6" i="6"/>
  <c r="Z8" i="60" s="1"/>
  <c r="Z46" i="60" s="1"/>
  <c r="BN388" i="67"/>
  <c r="W7" i="6"/>
  <c r="BX388" i="67"/>
  <c r="BR388" i="67"/>
  <c r="W8" i="6"/>
  <c r="AA8" i="6" s="1"/>
  <c r="BW388" i="67"/>
  <c r="I120" i="67" l="1"/>
  <c r="Q112" i="15"/>
  <c r="R111" i="15" s="1"/>
  <c r="I136" i="6"/>
  <c r="I153" i="6"/>
  <c r="BN208" i="68"/>
  <c r="BJ210" i="68"/>
  <c r="BJ207" i="68" s="1"/>
  <c r="BJ27" i="21" s="1"/>
  <c r="BJ209" i="68"/>
  <c r="L69" i="21"/>
  <c r="L70" i="21" s="1"/>
  <c r="L71" i="21" s="1"/>
  <c r="L213" i="68" s="1"/>
  <c r="BJ204" i="68"/>
  <c r="BJ202" i="68"/>
  <c r="BJ21" i="21" s="1"/>
  <c r="BJ205" i="68"/>
  <c r="BN203" i="68"/>
  <c r="AF69" i="21"/>
  <c r="L208" i="18"/>
  <c r="BH208" i="18"/>
  <c r="Q7" i="61"/>
  <c r="G49" i="61"/>
  <c r="E27" i="12"/>
  <c r="J24" i="61"/>
  <c r="O140" i="6"/>
  <c r="H98" i="6"/>
  <c r="G208" i="18" s="1"/>
  <c r="R122" i="15"/>
  <c r="Q371" i="67"/>
  <c r="K78" i="21"/>
  <c r="C30" i="61"/>
  <c r="K77" i="21"/>
  <c r="AM208" i="18"/>
  <c r="BH127" i="18"/>
  <c r="BH128" i="18" s="1"/>
  <c r="BH136" i="18" s="1"/>
  <c r="BI135" i="18"/>
  <c r="Q54" i="15"/>
  <c r="Q64" i="15" s="1"/>
  <c r="Q120" i="15" s="1"/>
  <c r="AF49" i="21"/>
  <c r="AF77" i="21"/>
  <c r="AF78" i="21"/>
  <c r="AL112" i="15"/>
  <c r="AM111" i="15" s="1"/>
  <c r="AF70" i="21"/>
  <c r="AF71" i="21" s="1"/>
  <c r="AF213" i="68" s="1"/>
  <c r="K49" i="21"/>
  <c r="R372" i="67"/>
  <c r="AK372" i="67"/>
  <c r="AL371" i="67"/>
  <c r="AM112" i="15"/>
  <c r="AN111" i="15" s="1"/>
  <c r="P49" i="15"/>
  <c r="AN48" i="15"/>
  <c r="AN49" i="15" s="1"/>
  <c r="AL91" i="15"/>
  <c r="BO106" i="15"/>
  <c r="BP85" i="15"/>
  <c r="AK64" i="15"/>
  <c r="AK120" i="15" s="1"/>
  <c r="AK365" i="67"/>
  <c r="BU203" i="68"/>
  <c r="BQ205" i="68"/>
  <c r="BQ202" i="68" s="1"/>
  <c r="BQ21" i="21" s="1"/>
  <c r="BQ204" i="68"/>
  <c r="BR108" i="15"/>
  <c r="BS81" i="15"/>
  <c r="H93" i="67"/>
  <c r="H95" i="67"/>
  <c r="BP41" i="15"/>
  <c r="BP42" i="15" s="1"/>
  <c r="BO55" i="15"/>
  <c r="BO101" i="15" s="1"/>
  <c r="BN57" i="15"/>
  <c r="AL54" i="15"/>
  <c r="H313" i="67"/>
  <c r="BP107" i="15"/>
  <c r="BQ82" i="15"/>
  <c r="BQ200" i="68"/>
  <c r="BQ197" i="68" s="1"/>
  <c r="BQ18" i="21" s="1"/>
  <c r="BU198" i="68"/>
  <c r="BQ199" i="68"/>
  <c r="BO59" i="15"/>
  <c r="BO99" i="15" s="1"/>
  <c r="T122" i="6"/>
  <c r="P184" i="68"/>
  <c r="P185" i="68"/>
  <c r="P182" i="68" s="1"/>
  <c r="P90" i="6"/>
  <c r="BR200" i="68"/>
  <c r="BR197" i="68" s="1"/>
  <c r="BR18" i="21" s="1"/>
  <c r="BR199" i="68"/>
  <c r="BV198" i="68"/>
  <c r="O48" i="15"/>
  <c r="R64" i="15"/>
  <c r="R120" i="15" s="1"/>
  <c r="R365" i="67"/>
  <c r="S367" i="67" s="1"/>
  <c r="M126" i="6"/>
  <c r="M103" i="6"/>
  <c r="AL122" i="15"/>
  <c r="BQ210" i="68"/>
  <c r="BQ207" i="68" s="1"/>
  <c r="BQ27" i="21" s="1"/>
  <c r="BQ209" i="68"/>
  <c r="BU208" i="68"/>
  <c r="BN101" i="15"/>
  <c r="W6" i="6"/>
  <c r="AA8" i="60" s="1"/>
  <c r="AA46" i="60" s="1"/>
  <c r="AA7" i="6"/>
  <c r="BV388" i="67"/>
  <c r="D49" i="61" l="1"/>
  <c r="Q22" i="60"/>
  <c r="C17" i="60" s="1"/>
  <c r="C55" i="60" s="1"/>
  <c r="AE18" i="60"/>
  <c r="Q122" i="15"/>
  <c r="AG69" i="21"/>
  <c r="BR203" i="68"/>
  <c r="BN204" i="68"/>
  <c r="BN205" i="68"/>
  <c r="BN202" i="68" s="1"/>
  <c r="BN21" i="21" s="1"/>
  <c r="BR208" i="68"/>
  <c r="BN209" i="68"/>
  <c r="BN210" i="68"/>
  <c r="BN207" i="68" s="1"/>
  <c r="BN27" i="21" s="1"/>
  <c r="K69" i="21"/>
  <c r="K70" i="21" s="1"/>
  <c r="K71" i="21" s="1"/>
  <c r="K213" i="68" s="1"/>
  <c r="AM371" i="67"/>
  <c r="AM122" i="15"/>
  <c r="Q372" i="67"/>
  <c r="H103" i="6"/>
  <c r="H126" i="6"/>
  <c r="P371" i="67"/>
  <c r="P54" i="15"/>
  <c r="P64" i="15" s="1"/>
  <c r="P120" i="15" s="1"/>
  <c r="J49" i="21"/>
  <c r="BI208" i="18"/>
  <c r="R7" i="61"/>
  <c r="H28" i="61"/>
  <c r="E38" i="12"/>
  <c r="E32" i="12"/>
  <c r="P112" i="15"/>
  <c r="Q111" i="15" s="1"/>
  <c r="AL208" i="18"/>
  <c r="BJ135" i="18"/>
  <c r="BI127" i="18"/>
  <c r="BI128" i="18" s="1"/>
  <c r="BI136" i="18" s="1"/>
  <c r="AM54" i="15"/>
  <c r="AM64" i="15" s="1"/>
  <c r="AM120" i="15" s="1"/>
  <c r="Q365" i="67"/>
  <c r="R367" i="67" s="1"/>
  <c r="AG49" i="21"/>
  <c r="J78" i="21"/>
  <c r="AG77" i="21"/>
  <c r="AM91" i="15"/>
  <c r="AG78" i="21"/>
  <c r="J77" i="21"/>
  <c r="AG70" i="21"/>
  <c r="AG71" i="21" s="1"/>
  <c r="AG213" i="68" s="1"/>
  <c r="BU200" i="68"/>
  <c r="BU199" i="68"/>
  <c r="BU197" i="68"/>
  <c r="O49" i="15"/>
  <c r="BV199" i="68"/>
  <c r="BV200" i="68"/>
  <c r="BV197" i="68" s="1"/>
  <c r="Q185" i="68"/>
  <c r="Q182" i="68" s="1"/>
  <c r="Q184" i="68"/>
  <c r="Q90" i="6"/>
  <c r="BQ107" i="15"/>
  <c r="U122" i="6" s="1"/>
  <c r="BR82" i="15"/>
  <c r="U110" i="6"/>
  <c r="BS108" i="15"/>
  <c r="BT81" i="15"/>
  <c r="AK367" i="67"/>
  <c r="N134" i="6"/>
  <c r="AO48" i="15"/>
  <c r="BP59" i="15"/>
  <c r="BP99" i="15" s="1"/>
  <c r="BO57" i="15"/>
  <c r="BP55" i="15"/>
  <c r="BP101" i="15" s="1"/>
  <c r="BU204" i="68"/>
  <c r="BU205" i="68"/>
  <c r="BU202" i="68" s="1"/>
  <c r="BQ85" i="15"/>
  <c r="BP106" i="15"/>
  <c r="AL64" i="15"/>
  <c r="AL120" i="15" s="1"/>
  <c r="AL365" i="67"/>
  <c r="AL372" i="67"/>
  <c r="BU210" i="68"/>
  <c r="BU209" i="68"/>
  <c r="BU207" i="68"/>
  <c r="C29" i="12"/>
  <c r="M99" i="67"/>
  <c r="M141" i="6"/>
  <c r="M152" i="6"/>
  <c r="M128" i="6"/>
  <c r="M127" i="6"/>
  <c r="M166" i="6"/>
  <c r="BQ41" i="15"/>
  <c r="BQ42" i="15" s="1"/>
  <c r="AH69" i="21"/>
  <c r="N48" i="15"/>
  <c r="M171" i="6"/>
  <c r="M163" i="6"/>
  <c r="M129" i="6"/>
  <c r="AA6" i="6"/>
  <c r="O49" i="6"/>
  <c r="D177" i="6"/>
  <c r="Q23" i="60" l="1"/>
  <c r="C18" i="60" s="1"/>
  <c r="C56" i="60" s="1"/>
  <c r="AE19" i="60"/>
  <c r="C28" i="61"/>
  <c r="P372" i="67"/>
  <c r="H128" i="6"/>
  <c r="C29" i="61" s="1"/>
  <c r="H29" i="61"/>
  <c r="AM372" i="67"/>
  <c r="J69" i="21"/>
  <c r="J70" i="21" s="1"/>
  <c r="J71" i="21" s="1"/>
  <c r="J213" i="68" s="1"/>
  <c r="BR204" i="68"/>
  <c r="BR205" i="68"/>
  <c r="BR202" i="68" s="1"/>
  <c r="BR21" i="21" s="1"/>
  <c r="BV203" i="68"/>
  <c r="I166" i="6"/>
  <c r="BR209" i="68"/>
  <c r="BV208" i="68"/>
  <c r="BR210" i="68"/>
  <c r="BR207" i="68" s="1"/>
  <c r="BR27" i="21" s="1"/>
  <c r="H141" i="6"/>
  <c r="H152" i="6" s="1"/>
  <c r="P365" i="67"/>
  <c r="Q367" i="67" s="1"/>
  <c r="AN112" i="15"/>
  <c r="AO111" i="15" s="1"/>
  <c r="H99" i="67"/>
  <c r="H100" i="67" s="1"/>
  <c r="H140" i="67" s="1"/>
  <c r="H127" i="6"/>
  <c r="AM365" i="67"/>
  <c r="AM367" i="67" s="1"/>
  <c r="H171" i="6"/>
  <c r="AN91" i="15"/>
  <c r="H129" i="6"/>
  <c r="H163" i="6"/>
  <c r="BJ208" i="18"/>
  <c r="H48" i="61"/>
  <c r="H40" i="61"/>
  <c r="I77" i="21"/>
  <c r="AK208" i="18"/>
  <c r="BJ127" i="18"/>
  <c r="BJ128" i="18" s="1"/>
  <c r="BJ136" i="18" s="1"/>
  <c r="BK135" i="18"/>
  <c r="AN122" i="15"/>
  <c r="O371" i="67"/>
  <c r="I49" i="21"/>
  <c r="AH49" i="21"/>
  <c r="I78" i="21"/>
  <c r="AH78" i="21"/>
  <c r="AN371" i="67"/>
  <c r="AH77" i="21"/>
  <c r="AH70" i="21"/>
  <c r="AH71" i="21" s="1"/>
  <c r="AH213" i="68" s="1"/>
  <c r="BT108" i="15"/>
  <c r="BU81" i="15"/>
  <c r="M142" i="6"/>
  <c r="M129" i="67"/>
  <c r="M119" i="67"/>
  <c r="BQ106" i="15"/>
  <c r="BR85" i="15"/>
  <c r="AL367" i="67"/>
  <c r="BR107" i="15"/>
  <c r="BS82" i="15"/>
  <c r="M153" i="6"/>
  <c r="O112" i="15"/>
  <c r="P111" i="15" s="1"/>
  <c r="P122" i="15"/>
  <c r="R185" i="68"/>
  <c r="R182" i="68" s="1"/>
  <c r="S183" i="68"/>
  <c r="R184" i="68"/>
  <c r="R90" i="6"/>
  <c r="AP48" i="15"/>
  <c r="M100" i="67"/>
  <c r="M140" i="67" s="1"/>
  <c r="M98" i="67"/>
  <c r="M138" i="67" s="1"/>
  <c r="M139" i="67"/>
  <c r="AO49" i="15"/>
  <c r="BR41" i="15"/>
  <c r="BQ55" i="15"/>
  <c r="BQ101" i="15" s="1"/>
  <c r="BP57" i="15"/>
  <c r="O54" i="15"/>
  <c r="G134" i="6"/>
  <c r="M48" i="15"/>
  <c r="N49" i="15"/>
  <c r="AN54" i="15"/>
  <c r="M104" i="67"/>
  <c r="C40" i="12"/>
  <c r="C33" i="12"/>
  <c r="BQ59" i="15"/>
  <c r="N318" i="67"/>
  <c r="N94" i="67"/>
  <c r="N135" i="6"/>
  <c r="G32" i="61"/>
  <c r="F32" i="61"/>
  <c r="AO112" i="15" l="1"/>
  <c r="AP111" i="15" s="1"/>
  <c r="N136" i="6"/>
  <c r="H142" i="6"/>
  <c r="C41" i="61" s="1"/>
  <c r="C40" i="61"/>
  <c r="H129" i="67"/>
  <c r="BV210" i="68"/>
  <c r="BV207" i="68" s="1"/>
  <c r="BV209" i="68"/>
  <c r="BV204" i="68"/>
  <c r="BV205" i="68"/>
  <c r="BV202" i="68" s="1"/>
  <c r="I69" i="21"/>
  <c r="I70" i="21" s="1"/>
  <c r="I71" i="21" s="1"/>
  <c r="I213" i="68" s="1"/>
  <c r="AI69" i="21"/>
  <c r="H98" i="67"/>
  <c r="H138" i="67" s="1"/>
  <c r="H139" i="67"/>
  <c r="AN372" i="67"/>
  <c r="H104" i="67"/>
  <c r="H103" i="67" s="1"/>
  <c r="AO91" i="15"/>
  <c r="H119" i="67"/>
  <c r="H120" i="67" s="1"/>
  <c r="AO54" i="15"/>
  <c r="AO365" i="67" s="1"/>
  <c r="AI77" i="21"/>
  <c r="BK208" i="18"/>
  <c r="AI49" i="21"/>
  <c r="I30" i="61"/>
  <c r="H41" i="61"/>
  <c r="O372" i="67"/>
  <c r="H49" i="61"/>
  <c r="C48" i="61"/>
  <c r="N112" i="15"/>
  <c r="O111" i="15" s="1"/>
  <c r="AJ208" i="18"/>
  <c r="H49" i="21"/>
  <c r="H78" i="21"/>
  <c r="BK127" i="18"/>
  <c r="BK128" i="18" s="1"/>
  <c r="BK136" i="18" s="1"/>
  <c r="BL135" i="18"/>
  <c r="H77" i="21"/>
  <c r="AI78" i="21"/>
  <c r="AI70" i="21"/>
  <c r="AI71" i="21" s="1"/>
  <c r="AI213" i="68" s="1"/>
  <c r="AP49" i="15"/>
  <c r="AP112" i="15" s="1"/>
  <c r="AQ111" i="15" s="1"/>
  <c r="N93" i="67"/>
  <c r="N95" i="67"/>
  <c r="AO122" i="15"/>
  <c r="BR106" i="15"/>
  <c r="BS85" i="15"/>
  <c r="O64" i="15"/>
  <c r="O120" i="15" s="1"/>
  <c r="O365" i="67"/>
  <c r="P367" i="67" s="1"/>
  <c r="M105" i="67"/>
  <c r="M103" i="67"/>
  <c r="S184" i="68"/>
  <c r="S185" i="68"/>
  <c r="S182" i="68" s="1"/>
  <c r="T183" i="68"/>
  <c r="S90" i="6"/>
  <c r="U120" i="6"/>
  <c r="L48" i="15"/>
  <c r="N313" i="67"/>
  <c r="BQ57" i="15"/>
  <c r="BR55" i="15"/>
  <c r="AN64" i="15"/>
  <c r="AN120" i="15" s="1"/>
  <c r="AN365" i="67"/>
  <c r="N98" i="6"/>
  <c r="AQ48" i="15"/>
  <c r="BR59" i="15"/>
  <c r="U96" i="6"/>
  <c r="M49" i="15"/>
  <c r="BS41" i="15"/>
  <c r="M130" i="67"/>
  <c r="M128" i="67"/>
  <c r="N54" i="15"/>
  <c r="M118" i="67"/>
  <c r="M120" i="67"/>
  <c r="BU108" i="15"/>
  <c r="BV81" i="15"/>
  <c r="BQ99" i="15"/>
  <c r="N371" i="67"/>
  <c r="G94" i="67"/>
  <c r="G318" i="67"/>
  <c r="G135" i="6"/>
  <c r="BR42" i="15"/>
  <c r="AO371" i="67"/>
  <c r="H153" i="6"/>
  <c r="BS107" i="15"/>
  <c r="BT82" i="15"/>
  <c r="O122" i="15"/>
  <c r="L158" i="6"/>
  <c r="G52" i="61" s="1"/>
  <c r="L147" i="6"/>
  <c r="L79" i="67"/>
  <c r="K147" i="6"/>
  <c r="K158" i="6"/>
  <c r="F52" i="61" s="1"/>
  <c r="K79" i="67"/>
  <c r="G98" i="6" l="1"/>
  <c r="H136" i="6"/>
  <c r="AO64" i="15"/>
  <c r="AO120" i="15" s="1"/>
  <c r="H130" i="67"/>
  <c r="H128" i="67"/>
  <c r="AJ69" i="21"/>
  <c r="H69" i="21"/>
  <c r="H105" i="67"/>
  <c r="N122" i="15"/>
  <c r="H118" i="67"/>
  <c r="F208" i="18"/>
  <c r="AJ77" i="21"/>
  <c r="BL208" i="18"/>
  <c r="AJ78" i="21"/>
  <c r="G49" i="21"/>
  <c r="F44" i="61"/>
  <c r="G44" i="61"/>
  <c r="C49" i="61"/>
  <c r="M112" i="15"/>
  <c r="N111" i="15" s="1"/>
  <c r="AI208" i="18"/>
  <c r="BL127" i="18"/>
  <c r="BL128" i="18" s="1"/>
  <c r="BL136" i="18" s="1"/>
  <c r="BM135" i="18"/>
  <c r="M54" i="15"/>
  <c r="M365" i="67" s="1"/>
  <c r="G77" i="21"/>
  <c r="AJ70" i="21"/>
  <c r="AJ71" i="21" s="1"/>
  <c r="AJ213" i="68" s="1"/>
  <c r="H70" i="21"/>
  <c r="H71" i="21" s="1"/>
  <c r="H213" i="68" s="1"/>
  <c r="G78" i="21"/>
  <c r="AJ49" i="21"/>
  <c r="N372" i="67"/>
  <c r="BT41" i="15"/>
  <c r="AO372" i="67"/>
  <c r="BS42" i="15"/>
  <c r="AO367" i="67"/>
  <c r="AN367" i="67"/>
  <c r="AP371" i="67"/>
  <c r="K48" i="15"/>
  <c r="N64" i="15"/>
  <c r="N120" i="15" s="1"/>
  <c r="N365" i="67"/>
  <c r="O367" i="67" s="1"/>
  <c r="BV108" i="15"/>
  <c r="BW81" i="15"/>
  <c r="BS59" i="15"/>
  <c r="BS55" i="15"/>
  <c r="BS101" i="15" s="1"/>
  <c r="BR57" i="15"/>
  <c r="AP91" i="15"/>
  <c r="M64" i="15"/>
  <c r="M120" i="15" s="1"/>
  <c r="BS106" i="15"/>
  <c r="BT85" i="15"/>
  <c r="BU82" i="15"/>
  <c r="BT107" i="15"/>
  <c r="G313" i="67"/>
  <c r="M371" i="67"/>
  <c r="BR99" i="15"/>
  <c r="N126" i="6"/>
  <c r="N103" i="6"/>
  <c r="BR101" i="15"/>
  <c r="AP54" i="15"/>
  <c r="AR48" i="15"/>
  <c r="G95" i="67"/>
  <c r="G93" i="67"/>
  <c r="L49" i="15"/>
  <c r="L112" i="15" s="1"/>
  <c r="M111" i="15" s="1"/>
  <c r="G126" i="6"/>
  <c r="G103" i="6"/>
  <c r="T185" i="68"/>
  <c r="T182" i="68" s="1"/>
  <c r="T184" i="68"/>
  <c r="T90" i="6"/>
  <c r="AQ49" i="15"/>
  <c r="AP122" i="15"/>
  <c r="L80" i="67"/>
  <c r="L78" i="67"/>
  <c r="L149" i="67"/>
  <c r="K80" i="67"/>
  <c r="K78" i="67"/>
  <c r="K149" i="67"/>
  <c r="AF18" i="60" l="1"/>
  <c r="R22" i="60"/>
  <c r="D17" i="60" s="1"/>
  <c r="D55" i="60" s="1"/>
  <c r="AQ112" i="15"/>
  <c r="AR111" i="15" s="1"/>
  <c r="AK69" i="21"/>
  <c r="AK70" i="21" s="1"/>
  <c r="AK71" i="21" s="1"/>
  <c r="AK213" i="68" s="1"/>
  <c r="G69" i="21"/>
  <c r="G70" i="21" s="1"/>
  <c r="G71" i="21" s="1"/>
  <c r="G213" i="68" s="1"/>
  <c r="N171" i="6"/>
  <c r="BM208" i="18"/>
  <c r="AH208" i="18"/>
  <c r="H32" i="61"/>
  <c r="I28" i="61"/>
  <c r="BM127" i="18"/>
  <c r="BM128" i="18" s="1"/>
  <c r="BM136" i="18" s="1"/>
  <c r="BN135" i="18"/>
  <c r="F49" i="21"/>
  <c r="L371" i="67"/>
  <c r="AQ371" i="67"/>
  <c r="F78" i="21"/>
  <c r="AQ91" i="15"/>
  <c r="L54" i="15"/>
  <c r="L64" i="15" s="1"/>
  <c r="L120" i="15" s="1"/>
  <c r="F77" i="21"/>
  <c r="AK49" i="21"/>
  <c r="AK78" i="21"/>
  <c r="AK77" i="21"/>
  <c r="N163" i="6"/>
  <c r="N129" i="6"/>
  <c r="AQ54" i="15"/>
  <c r="U90" i="6"/>
  <c r="U185" i="68"/>
  <c r="U182" i="68" s="1"/>
  <c r="V183" i="68"/>
  <c r="U184" i="68"/>
  <c r="AP64" i="15"/>
  <c r="AP120" i="15" s="1"/>
  <c r="AP365" i="67"/>
  <c r="M372" i="67"/>
  <c r="N367" i="67"/>
  <c r="BT59" i="15"/>
  <c r="G141" i="6"/>
  <c r="G99" i="67"/>
  <c r="G127" i="6"/>
  <c r="G128" i="6"/>
  <c r="H166" i="6"/>
  <c r="D29" i="12"/>
  <c r="N152" i="6"/>
  <c r="N99" i="67"/>
  <c r="N128" i="6"/>
  <c r="N127" i="6"/>
  <c r="N141" i="6"/>
  <c r="N166" i="6"/>
  <c r="J48" i="15"/>
  <c r="AQ122" i="15"/>
  <c r="BS99" i="15"/>
  <c r="K49" i="15"/>
  <c r="K112" i="15" s="1"/>
  <c r="L111" i="15" s="1"/>
  <c r="AR49" i="15"/>
  <c r="AR112" i="15" s="1"/>
  <c r="AS111" i="15" s="1"/>
  <c r="AP372" i="67"/>
  <c r="BU41" i="15"/>
  <c r="BU42" i="15" s="1"/>
  <c r="M122" i="15"/>
  <c r="BS57" i="15"/>
  <c r="BT55" i="15"/>
  <c r="BT101" i="15" s="1"/>
  <c r="BU107" i="15"/>
  <c r="V122" i="6" s="1"/>
  <c r="BV82" i="15"/>
  <c r="V110" i="6"/>
  <c r="BT106" i="15"/>
  <c r="BU85" i="15"/>
  <c r="BW108" i="15"/>
  <c r="BX81" i="15"/>
  <c r="G171" i="6"/>
  <c r="G163" i="6"/>
  <c r="G129" i="6"/>
  <c r="BT42" i="15"/>
  <c r="L150" i="67"/>
  <c r="L148" i="67"/>
  <c r="K148" i="67"/>
  <c r="K150" i="67"/>
  <c r="M158" i="6"/>
  <c r="H52" i="61" s="1"/>
  <c r="M147" i="6"/>
  <c r="M79" i="67"/>
  <c r="R23" i="60" l="1"/>
  <c r="D18" i="60" s="1"/>
  <c r="D56" i="60" s="1"/>
  <c r="AF19" i="60"/>
  <c r="L365" i="67"/>
  <c r="M367" i="67" s="1"/>
  <c r="I29" i="61"/>
  <c r="AL69" i="21"/>
  <c r="F69" i="21"/>
  <c r="F70" i="21" s="1"/>
  <c r="F71" i="21" s="1"/>
  <c r="F213" i="68" s="1"/>
  <c r="AQ372" i="67"/>
  <c r="L372" i="67"/>
  <c r="BN127" i="18"/>
  <c r="BN128" i="18" s="1"/>
  <c r="BN136" i="18" s="1"/>
  <c r="BO135" i="18"/>
  <c r="AG208" i="18"/>
  <c r="H44" i="61"/>
  <c r="I32" i="61"/>
  <c r="AL49" i="21"/>
  <c r="AR371" i="67"/>
  <c r="AR122" i="15"/>
  <c r="AL77" i="21"/>
  <c r="BN208" i="18"/>
  <c r="I40" i="61"/>
  <c r="I48" i="61"/>
  <c r="AR54" i="15"/>
  <c r="AR64" i="15" s="1"/>
  <c r="AR120" i="15" s="1"/>
  <c r="E49" i="21"/>
  <c r="E78" i="21"/>
  <c r="E77" i="21"/>
  <c r="L122" i="15"/>
  <c r="AL78" i="21"/>
  <c r="AL70" i="21"/>
  <c r="AL71" i="21" s="1"/>
  <c r="AL213" i="68" s="1"/>
  <c r="BU59" i="15"/>
  <c r="BU99" i="15" s="1"/>
  <c r="J49" i="15"/>
  <c r="J112" i="15" s="1"/>
  <c r="K111" i="15" s="1"/>
  <c r="D33" i="12"/>
  <c r="D40" i="12"/>
  <c r="BT99" i="15"/>
  <c r="N119" i="67"/>
  <c r="BU55" i="15"/>
  <c r="BU101" i="15" s="1"/>
  <c r="BT57" i="15"/>
  <c r="N104" i="67"/>
  <c r="G104" i="67"/>
  <c r="N153" i="6"/>
  <c r="N142" i="6"/>
  <c r="N129" i="67"/>
  <c r="K371" i="67"/>
  <c r="G98" i="67"/>
  <c r="G138" i="67" s="1"/>
  <c r="G100" i="67"/>
  <c r="G140" i="67" s="1"/>
  <c r="G139" i="67"/>
  <c r="V90" i="6"/>
  <c r="W183" i="68"/>
  <c r="V184" i="68"/>
  <c r="V185" i="68"/>
  <c r="V182" i="68" s="1"/>
  <c r="BU106" i="15"/>
  <c r="V120" i="6" s="1"/>
  <c r="BV85" i="15"/>
  <c r="G119" i="67"/>
  <c r="N100" i="67"/>
  <c r="N140" i="67" s="1"/>
  <c r="N98" i="67"/>
  <c r="N138" i="67" s="1"/>
  <c r="N139" i="67"/>
  <c r="G142" i="6"/>
  <c r="G152" i="6"/>
  <c r="G129" i="67"/>
  <c r="BX108" i="15"/>
  <c r="BY81" i="15"/>
  <c r="BY108" i="15" s="1"/>
  <c r="AR91" i="15"/>
  <c r="K54" i="15"/>
  <c r="AP367" i="67"/>
  <c r="F134" i="6"/>
  <c r="I48" i="15"/>
  <c r="BV107" i="15"/>
  <c r="BW82" i="15"/>
  <c r="BV41" i="15"/>
  <c r="BV42" i="15" s="1"/>
  <c r="AQ64" i="15"/>
  <c r="AQ120" i="15" s="1"/>
  <c r="AQ365" i="67"/>
  <c r="AQ367" i="67" s="1"/>
  <c r="M149" i="67"/>
  <c r="M80" i="67"/>
  <c r="M78" i="67"/>
  <c r="N158" i="6"/>
  <c r="I52" i="61" s="1"/>
  <c r="N147" i="6"/>
  <c r="N79" i="67"/>
  <c r="AR372" i="67" l="1"/>
  <c r="E69" i="21"/>
  <c r="E70" i="21" s="1"/>
  <c r="E71" i="21" s="1"/>
  <c r="E213" i="68" s="1"/>
  <c r="AR365" i="67"/>
  <c r="AR367" i="67" s="1"/>
  <c r="BO127" i="18"/>
  <c r="BO128" i="18" s="1"/>
  <c r="BO136" i="18" s="1"/>
  <c r="BP135" i="18"/>
  <c r="BP127" i="18" s="1"/>
  <c r="BP128" i="18" s="1"/>
  <c r="BP136" i="18" s="1"/>
  <c r="AF208" i="18"/>
  <c r="I44" i="61"/>
  <c r="I41" i="61"/>
  <c r="I49" i="61"/>
  <c r="D49" i="21"/>
  <c r="D78" i="21"/>
  <c r="D77" i="21"/>
  <c r="K122" i="15"/>
  <c r="G118" i="67"/>
  <c r="G120" i="67"/>
  <c r="N128" i="67"/>
  <c r="N130" i="67"/>
  <c r="H48" i="15"/>
  <c r="K64" i="15"/>
  <c r="K120" i="15" s="1"/>
  <c r="K365" i="67"/>
  <c r="L367" i="67" s="1"/>
  <c r="I49" i="15"/>
  <c r="W185" i="68"/>
  <c r="W184" i="68"/>
  <c r="W182" i="68"/>
  <c r="W90" i="6"/>
  <c r="BU57" i="15"/>
  <c r="BV55" i="15"/>
  <c r="N103" i="67"/>
  <c r="N105" i="67"/>
  <c r="F318" i="67"/>
  <c r="F94" i="67"/>
  <c r="F135" i="6"/>
  <c r="BV106" i="15"/>
  <c r="BW85" i="15"/>
  <c r="K372" i="67"/>
  <c r="BW107" i="15"/>
  <c r="BX82" i="15"/>
  <c r="G103" i="67"/>
  <c r="G105" i="67"/>
  <c r="J371" i="67"/>
  <c r="G153" i="6"/>
  <c r="N120" i="67"/>
  <c r="N118" i="67"/>
  <c r="BW41" i="15"/>
  <c r="BW42" i="15" s="1"/>
  <c r="BV59" i="15"/>
  <c r="V96" i="6"/>
  <c r="G130" i="67"/>
  <c r="G128" i="67"/>
  <c r="J54" i="15"/>
  <c r="M148" i="67"/>
  <c r="M150" i="67"/>
  <c r="N149" i="67"/>
  <c r="N78" i="67"/>
  <c r="N80" i="67"/>
  <c r="I112" i="15" l="1"/>
  <c r="J111" i="15" s="1"/>
  <c r="F136" i="6"/>
  <c r="G136" i="6"/>
  <c r="D69" i="21"/>
  <c r="D70" i="21" s="1"/>
  <c r="D71" i="21" s="1"/>
  <c r="D213" i="68" s="1"/>
  <c r="C49" i="21"/>
  <c r="AE208" i="18"/>
  <c r="C77" i="21"/>
  <c r="C78" i="21"/>
  <c r="BW106" i="15"/>
  <c r="BX85" i="15"/>
  <c r="J64" i="15"/>
  <c r="J120" i="15" s="1"/>
  <c r="J365" i="67"/>
  <c r="K367" i="67" s="1"/>
  <c r="J122" i="15"/>
  <c r="J372" i="67"/>
  <c r="BW55" i="15"/>
  <c r="BV57" i="15"/>
  <c r="F313" i="67"/>
  <c r="BV101" i="15"/>
  <c r="BW59" i="15"/>
  <c r="I371" i="67"/>
  <c r="BX41" i="15"/>
  <c r="BX107" i="15"/>
  <c r="BY82" i="15"/>
  <c r="F95" i="67"/>
  <c r="F93" i="67"/>
  <c r="F98" i="6"/>
  <c r="BV99" i="15"/>
  <c r="I54" i="15"/>
  <c r="H49" i="15"/>
  <c r="H112" i="15" s="1"/>
  <c r="I111" i="15" s="1"/>
  <c r="N148" i="67"/>
  <c r="N150" i="67"/>
  <c r="B69" i="21" l="1"/>
  <c r="B70" i="21" s="1"/>
  <c r="B71" i="21" s="1"/>
  <c r="B213" i="68" s="1"/>
  <c r="C69" i="21"/>
  <c r="C70" i="21" s="1"/>
  <c r="C71" i="21" s="1"/>
  <c r="C213" i="68" s="1"/>
  <c r="H371" i="67"/>
  <c r="H54" i="15"/>
  <c r="E208" i="18"/>
  <c r="B78" i="21"/>
  <c r="AD208" i="18"/>
  <c r="B49" i="21"/>
  <c r="B77" i="21"/>
  <c r="I372" i="67"/>
  <c r="I122" i="15"/>
  <c r="BX59" i="15"/>
  <c r="BX99" i="15" s="1"/>
  <c r="BW57" i="15"/>
  <c r="BX55" i="15"/>
  <c r="H64" i="15"/>
  <c r="H120" i="15" s="1"/>
  <c r="H365" i="67"/>
  <c r="BX106" i="15"/>
  <c r="BY85" i="15"/>
  <c r="H122" i="15"/>
  <c r="BW99" i="15"/>
  <c r="BY41" i="15"/>
  <c r="BY42" i="15" s="1"/>
  <c r="F126" i="6"/>
  <c r="F103" i="6"/>
  <c r="BY107" i="15"/>
  <c r="W122" i="6" s="1"/>
  <c r="W110" i="6"/>
  <c r="I64" i="15"/>
  <c r="I120" i="15" s="1"/>
  <c r="I365" i="67"/>
  <c r="J367" i="67" s="1"/>
  <c r="BX42" i="15"/>
  <c r="BW101" i="15"/>
  <c r="H372" i="67" l="1"/>
  <c r="I367" i="67"/>
  <c r="H367" i="67"/>
  <c r="F171" i="6"/>
  <c r="F163" i="6"/>
  <c r="F129" i="6"/>
  <c r="BY59" i="15"/>
  <c r="BY55" i="15"/>
  <c r="BY57" i="15" s="1"/>
  <c r="BX57" i="15"/>
  <c r="F141" i="6"/>
  <c r="F128" i="6"/>
  <c r="F127" i="6"/>
  <c r="F99" i="67"/>
  <c r="F166" i="6"/>
  <c r="G166" i="6"/>
  <c r="BY106" i="15"/>
  <c r="W120" i="6" s="1"/>
  <c r="BX101" i="15"/>
  <c r="BY101" i="15" l="1"/>
  <c r="W96" i="6"/>
  <c r="F119" i="67"/>
  <c r="BY99" i="15"/>
  <c r="F139" i="67"/>
  <c r="F100" i="67"/>
  <c r="F140" i="67" s="1"/>
  <c r="F98" i="67"/>
  <c r="F138" i="67" s="1"/>
  <c r="F152" i="6"/>
  <c r="F129" i="67"/>
  <c r="F142" i="6"/>
  <c r="F104" i="67"/>
  <c r="F120" i="67" l="1"/>
  <c r="F118" i="67"/>
  <c r="F128" i="67"/>
  <c r="F130" i="67"/>
  <c r="F103" i="67"/>
  <c r="F105" i="67"/>
  <c r="F153" i="6"/>
  <c r="AS356" i="67" l="1"/>
  <c r="AS358" i="67" s="1"/>
  <c r="AS357" i="67"/>
  <c r="AS435" i="67" s="1"/>
  <c r="AS359" i="67"/>
  <c r="AS360" i="67"/>
  <c r="AS361" i="67"/>
  <c r="AS440" i="67" s="1"/>
  <c r="S22" i="87" s="1"/>
  <c r="AS362" i="67"/>
  <c r="AS363" i="67"/>
  <c r="AS364" i="67"/>
  <c r="AS366" i="67"/>
  <c r="AQ441" i="67" s="1"/>
  <c r="M23" i="87" s="1"/>
  <c r="AS368" i="67"/>
  <c r="AS373" i="67"/>
  <c r="AS374" i="67"/>
  <c r="AS375" i="67"/>
  <c r="AS377" i="67"/>
  <c r="AS378" i="67" s="1"/>
  <c r="O95" i="6"/>
  <c r="O99" i="6"/>
  <c r="O100" i="6"/>
  <c r="O101" i="6"/>
  <c r="O106" i="6"/>
  <c r="O107" i="6"/>
  <c r="O108" i="6"/>
  <c r="O109" i="6"/>
  <c r="O116" i="6"/>
  <c r="O118" i="6"/>
  <c r="E16" i="60" s="1"/>
  <c r="O119" i="6"/>
  <c r="O132" i="6" l="1"/>
  <c r="AG17" i="60" s="1"/>
  <c r="AG55" i="60" s="1"/>
  <c r="AR441" i="67"/>
  <c r="P23" i="87" s="1"/>
  <c r="O111" i="6"/>
  <c r="AQ440" i="67"/>
  <c r="M22" i="87" s="1"/>
  <c r="O144" i="6"/>
  <c r="O97" i="6"/>
  <c r="AP441" i="67"/>
  <c r="J23" i="87" s="1"/>
  <c r="AQ439" i="67"/>
  <c r="M21" i="87" s="1"/>
  <c r="AS441" i="67"/>
  <c r="S23" i="87" s="1"/>
  <c r="AS439" i="67"/>
  <c r="S21" i="87" s="1"/>
  <c r="G21" i="74"/>
  <c r="O306" i="67"/>
  <c r="G20" i="74"/>
  <c r="AP440" i="67"/>
  <c r="J22" i="87" s="1"/>
  <c r="AR440" i="67"/>
  <c r="P22" i="87" s="1"/>
  <c r="AP439" i="67"/>
  <c r="J21" i="87" s="1"/>
  <c r="AR439" i="67"/>
  <c r="P21" i="87" s="1"/>
  <c r="J43" i="61" l="1"/>
  <c r="AS442" i="67"/>
  <c r="AS48" i="15"/>
  <c r="AS49" i="15" l="1"/>
  <c r="AS112" i="15" s="1"/>
  <c r="AT111" i="15" s="1"/>
  <c r="M11" i="5" l="1"/>
  <c r="L11" i="5" s="1"/>
  <c r="AM69" i="21"/>
  <c r="AM70" i="21" s="1"/>
  <c r="AM71" i="21" s="1"/>
  <c r="AM213" i="68" s="1"/>
  <c r="AS371" i="67"/>
  <c r="AS91" i="15"/>
  <c r="BO208" i="18"/>
  <c r="O98" i="6"/>
  <c r="AS122" i="15"/>
  <c r="AS54" i="15"/>
  <c r="AS365" i="67" s="1"/>
  <c r="AM77" i="21"/>
  <c r="AM49" i="21"/>
  <c r="AM78" i="21"/>
  <c r="AS64" i="15" l="1"/>
  <c r="AS120" i="15" s="1"/>
  <c r="O126" i="6"/>
  <c r="I30" i="74" s="1"/>
  <c r="O103" i="6"/>
  <c r="O171" i="6" s="1"/>
  <c r="AS372" i="67"/>
  <c r="AS367" i="67"/>
  <c r="S22" i="60" l="1"/>
  <c r="E17" i="60" s="1"/>
  <c r="E55" i="60" s="1"/>
  <c r="AG18" i="60"/>
  <c r="AG56" i="60" s="1"/>
  <c r="E29" i="12"/>
  <c r="J28" i="61"/>
  <c r="O127" i="6"/>
  <c r="O141" i="6"/>
  <c r="O163" i="6"/>
  <c r="E40" i="12" l="1"/>
  <c r="E33" i="12"/>
  <c r="O134" i="6" l="1"/>
  <c r="AM197" i="68"/>
  <c r="AM198" i="68" s="1"/>
  <c r="AQ198" i="68" s="1"/>
  <c r="AM202" i="68"/>
  <c r="AM203" i="68" s="1"/>
  <c r="AQ203" i="68" s="1"/>
  <c r="AM207" i="68"/>
  <c r="AM208" i="68" s="1"/>
  <c r="AQ208" i="68" s="1"/>
  <c r="AM199" i="68" l="1"/>
  <c r="AM200" i="68" s="1"/>
  <c r="AM204" i="68"/>
  <c r="AM205" i="68" s="1"/>
  <c r="AM209" i="68"/>
  <c r="AM210" i="68" s="1"/>
  <c r="AU208" i="68"/>
  <c r="AQ209" i="68"/>
  <c r="AU203" i="68"/>
  <c r="AQ204" i="68"/>
  <c r="AU198" i="68"/>
  <c r="AQ199" i="68"/>
  <c r="AQ210" i="68"/>
  <c r="AQ207" i="68" s="1"/>
  <c r="AQ27" i="21" s="1"/>
  <c r="AQ205" i="68"/>
  <c r="AQ202" i="68" s="1"/>
  <c r="AQ21" i="21" s="1"/>
  <c r="AQ200" i="68"/>
  <c r="AQ197" i="68" s="1"/>
  <c r="AQ18" i="21" s="1"/>
  <c r="O318" i="67"/>
  <c r="AU200" i="68" l="1"/>
  <c r="AU197" i="68" s="1"/>
  <c r="AU18" i="21" s="1"/>
  <c r="AY198" i="68"/>
  <c r="AU199" i="68"/>
  <c r="AU210" i="68"/>
  <c r="AU207" i="68" s="1"/>
  <c r="AU27" i="21" s="1"/>
  <c r="AY208" i="68"/>
  <c r="AU209" i="68"/>
  <c r="AU205" i="68"/>
  <c r="AY203" i="68"/>
  <c r="AU204" i="68"/>
  <c r="AU202" i="68"/>
  <c r="AU21" i="21" s="1"/>
  <c r="BC203" i="68" l="1"/>
  <c r="AY204" i="68"/>
  <c r="AY205" i="68"/>
  <c r="AY202" i="68" s="1"/>
  <c r="AY21" i="21" s="1"/>
  <c r="BC208" i="68"/>
  <c r="AY209" i="68"/>
  <c r="AY210" i="68"/>
  <c r="AY207" i="68" s="1"/>
  <c r="AY27" i="21" s="1"/>
  <c r="BC198" i="68"/>
  <c r="AY199" i="68"/>
  <c r="AY200" i="68"/>
  <c r="AY197" i="68" s="1"/>
  <c r="AY18" i="21" s="1"/>
  <c r="BC200" i="68" l="1"/>
  <c r="BC197" i="68" s="1"/>
  <c r="BC18" i="21" s="1"/>
  <c r="BG198" i="68"/>
  <c r="BC199" i="68"/>
  <c r="BC210" i="68"/>
  <c r="BC207" i="68" s="1"/>
  <c r="BC27" i="21" s="1"/>
  <c r="BG208" i="68"/>
  <c r="BC209" i="68"/>
  <c r="BC205" i="68"/>
  <c r="BC202" i="68" s="1"/>
  <c r="BC21" i="21" s="1"/>
  <c r="BG203" i="68"/>
  <c r="BC204" i="68"/>
  <c r="BK203" i="68" l="1"/>
  <c r="BG204" i="68"/>
  <c r="BG205" i="68"/>
  <c r="BG202" i="68" s="1"/>
  <c r="BG21" i="21" s="1"/>
  <c r="BK208" i="68"/>
  <c r="BG209" i="68"/>
  <c r="BG210" i="68"/>
  <c r="BG207" i="68" s="1"/>
  <c r="BG27" i="21" s="1"/>
  <c r="BK198" i="68"/>
  <c r="BG199" i="68"/>
  <c r="BG200" i="68"/>
  <c r="BG197" i="68" s="1"/>
  <c r="BG18" i="21" s="1"/>
  <c r="BK200" i="68" l="1"/>
  <c r="BK197" i="68" s="1"/>
  <c r="BK18" i="21" s="1"/>
  <c r="BO198" i="68"/>
  <c r="BK199" i="68"/>
  <c r="BK210" i="68"/>
  <c r="BK207" i="68" s="1"/>
  <c r="BK27" i="21" s="1"/>
  <c r="BO208" i="68"/>
  <c r="BK209" i="68"/>
  <c r="BK205" i="68"/>
  <c r="BK202" i="68" s="1"/>
  <c r="BK21" i="21" s="1"/>
  <c r="BO203" i="68"/>
  <c r="BK204" i="68"/>
  <c r="BS203" i="68" l="1"/>
  <c r="BO204" i="68"/>
  <c r="BO205" i="68"/>
  <c r="BO202" i="68" s="1"/>
  <c r="BO21" i="21" s="1"/>
  <c r="BS208" i="68"/>
  <c r="BO209" i="68"/>
  <c r="BO210" i="68"/>
  <c r="BO207" i="68" s="1"/>
  <c r="BO27" i="21" s="1"/>
  <c r="BS198" i="68"/>
  <c r="BO199" i="68"/>
  <c r="BO200" i="68"/>
  <c r="BO197" i="68" s="1"/>
  <c r="BO18" i="21" s="1"/>
  <c r="BS200" i="68" l="1"/>
  <c r="BS197" i="68" s="1"/>
  <c r="BS18" i="21" s="1"/>
  <c r="BS199" i="68"/>
  <c r="BS210" i="68"/>
  <c r="BS207" i="68" s="1"/>
  <c r="BS27" i="21" s="1"/>
  <c r="BS209" i="68"/>
  <c r="BS205" i="68"/>
  <c r="BS202" i="68" s="1"/>
  <c r="BS21" i="21" s="1"/>
  <c r="BS204" i="68"/>
  <c r="AS369" i="67" l="1"/>
  <c r="AS370" i="67"/>
  <c r="AS388" i="67"/>
  <c r="AS391" i="67"/>
  <c r="AS392" i="67"/>
  <c r="AS393" i="67"/>
  <c r="AS394" i="67"/>
  <c r="AS395" i="67"/>
  <c r="AS396" i="67"/>
  <c r="AS398" i="67"/>
  <c r="AS399" i="67"/>
  <c r="AS400" i="67"/>
  <c r="AS401" i="67"/>
  <c r="AM218" i="68"/>
  <c r="AM220" i="68"/>
  <c r="AM221" i="68"/>
  <c r="AM223" i="68"/>
  <c r="AM224" i="68"/>
  <c r="AM225" i="68"/>
  <c r="AM226" i="68"/>
  <c r="AM227" i="68"/>
  <c r="AM228" i="68"/>
  <c r="AM230" i="68"/>
  <c r="AM231" i="68"/>
  <c r="AM232" i="68"/>
  <c r="AM233" i="68"/>
  <c r="AM234" i="68"/>
  <c r="AM235" i="68"/>
  <c r="AM236" i="68"/>
  <c r="AM44" i="21"/>
  <c r="BG154" i="18"/>
  <c r="BG166" i="18"/>
  <c r="W7" i="61"/>
  <c r="BS15" i="18" l="1"/>
  <c r="AS397" i="67"/>
  <c r="AS403" i="67" s="1"/>
  <c r="BS9" i="18"/>
  <c r="CA214" i="18"/>
  <c r="BW9" i="18" l="1"/>
  <c r="BC218" i="68"/>
  <c r="CE214" i="18" s="1"/>
  <c r="AW388" i="67"/>
  <c r="BG218" i="68" l="1"/>
  <c r="CI214" i="18" s="1"/>
  <c r="BA388" i="67"/>
  <c r="CA9" i="18"/>
  <c r="BE388" i="67" l="1"/>
  <c r="CE9" i="18"/>
  <c r="BI388" i="67" s="1"/>
  <c r="BK218" i="68"/>
  <c r="CM214" i="18" s="1"/>
  <c r="BO218" i="68" l="1"/>
  <c r="CQ214" i="18" s="1"/>
  <c r="CI9" i="18"/>
  <c r="BM388" i="67" s="1"/>
  <c r="CM9" i="18" l="1"/>
  <c r="BQ388" i="67" s="1"/>
  <c r="BS218" i="68"/>
  <c r="CU214" i="18" s="1"/>
  <c r="CQ9" i="18" l="1"/>
  <c r="BU388" i="67" s="1"/>
  <c r="CU9" i="18"/>
  <c r="BY388" i="67" s="1"/>
  <c r="O142" i="6" l="1"/>
  <c r="J22" i="61"/>
  <c r="O128" i="6"/>
  <c r="S23" i="60" l="1"/>
  <c r="E18" i="60" s="1"/>
  <c r="E56" i="60" s="1"/>
  <c r="AG19" i="60"/>
  <c r="AG57" i="60" s="1"/>
  <c r="J29" i="61"/>
  <c r="J41" i="61"/>
  <c r="C5" i="12"/>
  <c r="G6" i="74" s="1"/>
  <c r="O115" i="6"/>
  <c r="G19" i="74" s="1"/>
  <c r="O148" i="6" l="1"/>
  <c r="O159" i="6"/>
  <c r="O151" i="6"/>
  <c r="O155" i="6" s="1"/>
  <c r="O152" i="6" l="1"/>
  <c r="O153" i="6" s="1"/>
  <c r="J51" i="61"/>
  <c r="BM225" i="18"/>
  <c r="BL225" i="18"/>
  <c r="BN225" i="18"/>
  <c r="O45" i="6"/>
  <c r="O109" i="68" s="1"/>
  <c r="O298" i="67"/>
  <c r="O13" i="6"/>
  <c r="O297" i="67"/>
  <c r="BM218" i="18"/>
  <c r="BL218" i="18"/>
  <c r="BN218" i="18"/>
  <c r="O65" i="6"/>
  <c r="O289" i="67" s="1"/>
  <c r="O75" i="68"/>
  <c r="O76" i="68" s="1"/>
  <c r="O77" i="68" s="1"/>
  <c r="O78" i="68" s="1"/>
  <c r="O235" i="67"/>
  <c r="O60" i="68"/>
  <c r="O61" i="68" s="1"/>
  <c r="O9" i="6"/>
  <c r="O23" i="6"/>
  <c r="O38" i="6"/>
  <c r="O48" i="6"/>
  <c r="O39" i="6"/>
  <c r="O12" i="6"/>
  <c r="S12" i="60" s="1"/>
  <c r="O104" i="68"/>
  <c r="O105" i="68" s="1"/>
  <c r="O106" i="68" s="1"/>
  <c r="O107" i="68" s="1"/>
  <c r="O22" i="6"/>
  <c r="Y22" i="6" s="1"/>
  <c r="O99" i="68"/>
  <c r="O100" i="68" s="1"/>
  <c r="O18" i="6"/>
  <c r="O19" i="6"/>
  <c r="S9" i="60" s="1"/>
  <c r="O24" i="6"/>
  <c r="S10" i="60" s="1"/>
  <c r="O44" i="68"/>
  <c r="O45" i="68" s="1"/>
  <c r="O46" i="68" s="1"/>
  <c r="O47" i="68" s="1"/>
  <c r="O91" i="68"/>
  <c r="P91" i="68" s="1"/>
  <c r="O39" i="68"/>
  <c r="O40" i="68" s="1"/>
  <c r="O41" i="68" s="1"/>
  <c r="O42" i="68" s="1"/>
  <c r="O57" i="6"/>
  <c r="O283" i="67" s="1"/>
  <c r="O34" i="68"/>
  <c r="O35" i="68" s="1"/>
  <c r="BM223" i="18"/>
  <c r="AK227" i="68" s="1"/>
  <c r="AO227" i="68" s="1"/>
  <c r="BQ223" i="18" s="1"/>
  <c r="O64" i="6"/>
  <c r="O288" i="67" s="1"/>
  <c r="BN221" i="18"/>
  <c r="AL225" i="68" s="1"/>
  <c r="AP225" i="68" s="1"/>
  <c r="BR221" i="18" s="1"/>
  <c r="BL223" i="18"/>
  <c r="AJ227" i="68" s="1"/>
  <c r="O25" i="6"/>
  <c r="O330" i="67" s="1"/>
  <c r="O46" i="6"/>
  <c r="O110" i="68" s="1"/>
  <c r="BN227" i="18"/>
  <c r="AL231" i="68" s="1"/>
  <c r="AP231" i="68" s="1"/>
  <c r="BR227" i="18" s="1"/>
  <c r="BN223" i="18"/>
  <c r="AL227" i="68" s="1"/>
  <c r="AP227" i="68" s="1"/>
  <c r="BR223" i="18" s="1"/>
  <c r="BN228" i="18"/>
  <c r="AL232" i="68" s="1"/>
  <c r="AP232" i="68" s="1"/>
  <c r="BR228" i="18" s="1"/>
  <c r="BM226" i="18"/>
  <c r="AK230" i="68" s="1"/>
  <c r="AO230" i="68" s="1"/>
  <c r="BQ226" i="18" s="1"/>
  <c r="BM220" i="18"/>
  <c r="AK224" i="68" s="1"/>
  <c r="AO224" i="68" s="1"/>
  <c r="BQ220" i="18" s="1"/>
  <c r="BL227" i="18"/>
  <c r="AJ231" i="68" s="1"/>
  <c r="O66" i="6"/>
  <c r="O290" i="67" s="1"/>
  <c r="BM224" i="18"/>
  <c r="AK228" i="68" s="1"/>
  <c r="AO228" i="68" s="1"/>
  <c r="BQ224" i="18" s="1"/>
  <c r="BM219" i="18"/>
  <c r="AK223" i="68" s="1"/>
  <c r="AO223" i="68" s="1"/>
  <c r="BQ219" i="18" s="1"/>
  <c r="BL226" i="18"/>
  <c r="AJ230" i="68" s="1"/>
  <c r="BN224" i="18"/>
  <c r="AL228" i="68" s="1"/>
  <c r="AP228" i="68" s="1"/>
  <c r="BR224" i="18" s="1"/>
  <c r="BM228" i="18"/>
  <c r="AK232" i="68" s="1"/>
  <c r="AO232" i="68" s="1"/>
  <c r="BQ228" i="18" s="1"/>
  <c r="O59" i="6"/>
  <c r="O285" i="67" s="1"/>
  <c r="BM232" i="18"/>
  <c r="AK236" i="68" s="1"/>
  <c r="AO236" i="68" s="1"/>
  <c r="BQ232" i="18" s="1"/>
  <c r="BL228" i="18"/>
  <c r="AJ232" i="68" s="1"/>
  <c r="O58" i="6"/>
  <c r="O284" i="67" s="1"/>
  <c r="O177" i="6"/>
  <c r="O17" i="6"/>
  <c r="BL215" i="18"/>
  <c r="BN215" i="18"/>
  <c r="BM215" i="18"/>
  <c r="N115" i="18"/>
  <c r="N128" i="18" s="1"/>
  <c r="BM222" i="18"/>
  <c r="AK226" i="68" s="1"/>
  <c r="AO226" i="68" s="1"/>
  <c r="BQ222" i="18" s="1"/>
  <c r="BN229" i="18"/>
  <c r="AL233" i="68" s="1"/>
  <c r="AP233" i="68" s="1"/>
  <c r="BR229" i="18" s="1"/>
  <c r="BR174" i="18" s="1"/>
  <c r="BN219" i="18"/>
  <c r="AL223" i="68" s="1"/>
  <c r="AP223" i="68" s="1"/>
  <c r="BR219" i="18" s="1"/>
  <c r="BN226" i="18"/>
  <c r="AL230" i="68" s="1"/>
  <c r="AP230" i="68" s="1"/>
  <c r="BR226" i="18" s="1"/>
  <c r="O30" i="6"/>
  <c r="S11" i="60" s="1"/>
  <c r="O70" i="68"/>
  <c r="O71" i="68" s="1"/>
  <c r="O96" i="68"/>
  <c r="BM231" i="18"/>
  <c r="AK235" i="68" s="1"/>
  <c r="AO235" i="68" s="1"/>
  <c r="BQ231" i="18" s="1"/>
  <c r="BM221" i="18"/>
  <c r="AK225" i="68" s="1"/>
  <c r="AO225" i="68" s="1"/>
  <c r="BQ221" i="18" s="1"/>
  <c r="O118" i="68"/>
  <c r="O119" i="68" s="1"/>
  <c r="N114" i="18"/>
  <c r="O56" i="6"/>
  <c r="O282" i="67" s="1"/>
  <c r="BL229" i="18"/>
  <c r="AJ233" i="68" s="1"/>
  <c r="BM227" i="18"/>
  <c r="AK231" i="68" s="1"/>
  <c r="AO231" i="68" s="1"/>
  <c r="BQ227" i="18" s="1"/>
  <c r="BL232" i="18"/>
  <c r="AJ236" i="68" s="1"/>
  <c r="BN232" i="18"/>
  <c r="AL236" i="68" s="1"/>
  <c r="AP236" i="68" s="1"/>
  <c r="BR232" i="18" s="1"/>
  <c r="BN217" i="18"/>
  <c r="AL221" i="68" s="1"/>
  <c r="BL224" i="18"/>
  <c r="AJ228" i="68" s="1"/>
  <c r="BL220" i="18"/>
  <c r="AJ224" i="68" s="1"/>
  <c r="O63" i="6"/>
  <c r="O287" i="67" s="1"/>
  <c r="BL221" i="18"/>
  <c r="AJ225" i="68" s="1"/>
  <c r="BL219" i="18"/>
  <c r="AJ223" i="68" s="1"/>
  <c r="BM229" i="18"/>
  <c r="AK233" i="68" s="1"/>
  <c r="AO233" i="68" s="1"/>
  <c r="BQ229" i="18" s="1"/>
  <c r="BQ174" i="18" s="1"/>
  <c r="AU20" i="15" s="1"/>
  <c r="O20" i="6"/>
  <c r="BN220" i="18"/>
  <c r="AL224" i="68" s="1"/>
  <c r="AP224" i="68" s="1"/>
  <c r="BR220" i="18" s="1"/>
  <c r="BL231" i="18"/>
  <c r="AJ235" i="68" s="1"/>
  <c r="BM217" i="18"/>
  <c r="AK221" i="68" s="1"/>
  <c r="BQ217" i="18" s="1"/>
  <c r="BN231" i="18"/>
  <c r="AL235" i="68" s="1"/>
  <c r="AP235" i="68" s="1"/>
  <c r="BR231" i="18" s="1"/>
  <c r="O113" i="68"/>
  <c r="O114" i="68" s="1"/>
  <c r="O115" i="68" s="1"/>
  <c r="O116" i="68" s="1"/>
  <c r="BN222" i="18"/>
  <c r="AL226" i="68" s="1"/>
  <c r="AP226" i="68" s="1"/>
  <c r="BR222" i="18" s="1"/>
  <c r="BN230" i="18"/>
  <c r="AL234" i="68" s="1"/>
  <c r="AP234" i="68" s="1"/>
  <c r="BR230" i="18" s="1"/>
  <c r="BL222" i="18"/>
  <c r="AJ226" i="68" s="1"/>
  <c r="BM230" i="18"/>
  <c r="AK234" i="68" s="1"/>
  <c r="AO234" i="68" s="1"/>
  <c r="BQ230" i="18" s="1"/>
  <c r="BM216" i="18"/>
  <c r="AK220" i="68" s="1"/>
  <c r="AO220" i="68" s="1"/>
  <c r="BQ216" i="18" s="1"/>
  <c r="O95" i="68"/>
  <c r="P95" i="68" s="1"/>
  <c r="BN216" i="18"/>
  <c r="AL220" i="68" s="1"/>
  <c r="AP220" i="68" s="1"/>
  <c r="BR216" i="18" s="1"/>
  <c r="O37" i="6"/>
  <c r="O93" i="68"/>
  <c r="P93" i="68" s="1"/>
  <c r="BL217" i="18"/>
  <c r="AJ221" i="68" s="1"/>
  <c r="O94" i="68"/>
  <c r="O88" i="68"/>
  <c r="BL216" i="18"/>
  <c r="AJ220" i="68" s="1"/>
  <c r="O87" i="68"/>
  <c r="BL230" i="18"/>
  <c r="AJ234" i="68" s="1"/>
  <c r="O80" i="68"/>
  <c r="O81" i="68" s="1"/>
  <c r="O82" i="68" s="1"/>
  <c r="O83" i="68" s="1"/>
  <c r="N61" i="18"/>
  <c r="O65" i="68"/>
  <c r="O66" i="68" s="1"/>
  <c r="O90" i="68"/>
  <c r="BS174" i="18" l="1"/>
  <c r="AW20" i="15" s="1"/>
  <c r="AV20" i="15"/>
  <c r="Y19" i="6"/>
  <c r="O62" i="68"/>
  <c r="O63" i="68" s="1"/>
  <c r="Q61" i="68"/>
  <c r="P79" i="68"/>
  <c r="N100" i="18"/>
  <c r="O120" i="68"/>
  <c r="O121" i="68" s="1"/>
  <c r="P119" i="68"/>
  <c r="P94" i="68"/>
  <c r="P96" i="68" s="1"/>
  <c r="N32" i="18" s="1"/>
  <c r="N42" i="18" s="1"/>
  <c r="N60" i="18" s="1"/>
  <c r="Q91" i="68"/>
  <c r="P90" i="68"/>
  <c r="N26" i="18" s="1"/>
  <c r="N27" i="18"/>
  <c r="N37" i="18" s="1"/>
  <c r="N55" i="18" s="1"/>
  <c r="BQ55" i="18" s="1"/>
  <c r="AT221" i="68"/>
  <c r="BV217" i="18" s="1"/>
  <c r="BR217" i="18"/>
  <c r="P30" i="6"/>
  <c r="T11" i="60" s="1"/>
  <c r="T49" i="60" s="1"/>
  <c r="O101" i="68"/>
  <c r="O102" i="68" s="1"/>
  <c r="J49" i="61"/>
  <c r="C6" i="12"/>
  <c r="G7" i="74" s="1"/>
  <c r="O242" i="67"/>
  <c r="AR228" i="68"/>
  <c r="O115" i="18"/>
  <c r="P115" i="18" s="1"/>
  <c r="N116" i="18"/>
  <c r="P45" i="68"/>
  <c r="P46" i="68" s="1"/>
  <c r="O331" i="67"/>
  <c r="O349" i="67"/>
  <c r="AR220" i="68"/>
  <c r="AQ220" i="68"/>
  <c r="BS216" i="18" s="1"/>
  <c r="AQ221" i="68"/>
  <c r="BS217" i="18" s="1"/>
  <c r="AR221" i="68"/>
  <c r="Q95" i="68"/>
  <c r="N31" i="18"/>
  <c r="N41" i="18" s="1"/>
  <c r="AQ224" i="68"/>
  <c r="BS220" i="18" s="1"/>
  <c r="AR224" i="68"/>
  <c r="O67" i="68"/>
  <c r="O68" i="68" s="1"/>
  <c r="R66" i="68"/>
  <c r="Q66" i="68"/>
  <c r="S66" i="68" s="1"/>
  <c r="AQ234" i="68"/>
  <c r="BS230" i="18" s="1"/>
  <c r="AR234" i="68"/>
  <c r="N29" i="18"/>
  <c r="Q93" i="68"/>
  <c r="AT220" i="68"/>
  <c r="BV216" i="18" s="1"/>
  <c r="AS220" i="68"/>
  <c r="BU216" i="18" s="1"/>
  <c r="AT224" i="68"/>
  <c r="BV220" i="18" s="1"/>
  <c r="AQ236" i="68"/>
  <c r="BS232" i="18" s="1"/>
  <c r="AR236" i="68"/>
  <c r="AS225" i="68"/>
  <c r="BU221" i="18" s="1"/>
  <c r="O72" i="68"/>
  <c r="O73" i="68" s="1"/>
  <c r="Q71" i="68"/>
  <c r="S71" i="68" s="1"/>
  <c r="R71" i="68"/>
  <c r="AT230" i="68"/>
  <c r="BV226" i="18" s="1"/>
  <c r="AT223" i="68"/>
  <c r="BV219" i="18" s="1"/>
  <c r="O323" i="67"/>
  <c r="O347" i="67"/>
  <c r="AS234" i="68"/>
  <c r="BU230" i="18" s="1"/>
  <c r="AT226" i="68"/>
  <c r="BV222" i="18" s="1"/>
  <c r="AT235" i="68"/>
  <c r="BV231" i="18" s="1"/>
  <c r="O326" i="67"/>
  <c r="AQ223" i="68"/>
  <c r="BS219" i="18" s="1"/>
  <c r="AQ225" i="68"/>
  <c r="BS221" i="18" s="1"/>
  <c r="AR225" i="68"/>
  <c r="AQ235" i="68"/>
  <c r="BS231" i="18" s="1"/>
  <c r="AR235" i="68"/>
  <c r="AS233" i="68"/>
  <c r="BU229" i="18" s="1"/>
  <c r="BU174" i="18" s="1"/>
  <c r="AY20" i="15" s="1"/>
  <c r="AT236" i="68"/>
  <c r="BV232" i="18" s="1"/>
  <c r="N49" i="18"/>
  <c r="O36" i="6"/>
  <c r="AQ226" i="68"/>
  <c r="BS222" i="18" s="1"/>
  <c r="AR226" i="68"/>
  <c r="AS221" i="68"/>
  <c r="BU217" i="18" s="1"/>
  <c r="AR223" i="68"/>
  <c r="AQ228" i="68"/>
  <c r="BS224" i="18" s="1"/>
  <c r="AS231" i="68"/>
  <c r="BU227" i="18" s="1"/>
  <c r="O114" i="18"/>
  <c r="AS235" i="68"/>
  <c r="BU231" i="18" s="1"/>
  <c r="J11" i="61"/>
  <c r="Y30" i="6"/>
  <c r="AT234" i="68"/>
  <c r="BV230" i="18" s="1"/>
  <c r="AT233" i="68"/>
  <c r="BV229" i="18" s="1"/>
  <c r="BV174" i="18" s="1"/>
  <c r="AS226" i="68"/>
  <c r="BU222" i="18" s="1"/>
  <c r="AQ230" i="68"/>
  <c r="BS226" i="18" s="1"/>
  <c r="AR230" i="68"/>
  <c r="AQ227" i="68"/>
  <c r="BS223" i="18" s="1"/>
  <c r="AR227" i="68"/>
  <c r="AQ232" i="68"/>
  <c r="BS228" i="18" s="1"/>
  <c r="AR232" i="68"/>
  <c r="AS236" i="68"/>
  <c r="BU232" i="18" s="1"/>
  <c r="AS228" i="68"/>
  <c r="BU224" i="18" s="1"/>
  <c r="BQ61" i="18"/>
  <c r="U11" i="61" s="1"/>
  <c r="AT232" i="68"/>
  <c r="BV228" i="18" s="1"/>
  <c r="AS224" i="68"/>
  <c r="BU220" i="18" s="1"/>
  <c r="J14" i="61"/>
  <c r="Y17" i="6"/>
  <c r="O324" i="67"/>
  <c r="AS232" i="68"/>
  <c r="BU228" i="18" s="1"/>
  <c r="BR61" i="18"/>
  <c r="AV396" i="67" s="1"/>
  <c r="AT228" i="68"/>
  <c r="BV224" i="18" s="1"/>
  <c r="AS223" i="68"/>
  <c r="BU219" i="18" s="1"/>
  <c r="AQ231" i="68"/>
  <c r="BS227" i="18" s="1"/>
  <c r="AS230" i="68"/>
  <c r="BU226" i="18" s="1"/>
  <c r="BR114" i="18"/>
  <c r="AT227" i="68"/>
  <c r="BV223" i="18" s="1"/>
  <c r="AT231" i="68"/>
  <c r="BV227" i="18" s="1"/>
  <c r="AR231" i="68"/>
  <c r="AT225" i="68"/>
  <c r="BV221" i="18" s="1"/>
  <c r="O299" i="67"/>
  <c r="O36" i="68"/>
  <c r="O37" i="68" s="1"/>
  <c r="BQ114" i="18"/>
  <c r="AS227" i="68"/>
  <c r="BU223" i="18" s="1"/>
  <c r="J10" i="61"/>
  <c r="Y24" i="6"/>
  <c r="O329" i="67"/>
  <c r="J9" i="61"/>
  <c r="O325" i="67"/>
  <c r="O254" i="67"/>
  <c r="J15" i="61"/>
  <c r="O300" i="67"/>
  <c r="O328" i="67"/>
  <c r="O350" i="67"/>
  <c r="O327" i="67"/>
  <c r="O348" i="67"/>
  <c r="S15" i="60" l="1"/>
  <c r="E9" i="60" s="1"/>
  <c r="E47" i="60" s="1"/>
  <c r="AH11" i="60"/>
  <c r="AZ20" i="15"/>
  <c r="M7" i="5"/>
  <c r="O167" i="6"/>
  <c r="R61" i="68"/>
  <c r="Q62" i="68"/>
  <c r="Q63" i="68"/>
  <c r="Q60" i="68" s="1"/>
  <c r="O18" i="18" s="1"/>
  <c r="AX221" i="68"/>
  <c r="BZ217" i="18" s="1"/>
  <c r="Q94" i="68"/>
  <c r="R94" i="68" s="1"/>
  <c r="BR55" i="18"/>
  <c r="BS55" i="18" s="1"/>
  <c r="Q90" i="68"/>
  <c r="O26" i="18" s="1"/>
  <c r="R91" i="68"/>
  <c r="O27" i="18"/>
  <c r="N30" i="18"/>
  <c r="N40" i="18" s="1"/>
  <c r="N58" i="18" s="1"/>
  <c r="E62" i="12"/>
  <c r="P44" i="68"/>
  <c r="N95" i="18" s="1"/>
  <c r="K11" i="61"/>
  <c r="P47" i="68"/>
  <c r="BT226" i="18"/>
  <c r="AU230" i="68"/>
  <c r="BW226" i="18" s="1"/>
  <c r="BT219" i="18"/>
  <c r="AU223" i="68"/>
  <c r="BW219" i="18" s="1"/>
  <c r="BT231" i="18"/>
  <c r="AU235" i="68"/>
  <c r="BW231" i="18" s="1"/>
  <c r="BT232" i="18"/>
  <c r="AU236" i="68"/>
  <c r="BW232" i="18" s="1"/>
  <c r="BT230" i="18"/>
  <c r="AU234" i="68"/>
  <c r="BW230" i="18" s="1"/>
  <c r="BT220" i="18"/>
  <c r="AU224" i="68"/>
  <c r="BW220" i="18" s="1"/>
  <c r="BT217" i="18"/>
  <c r="AU221" i="68"/>
  <c r="BW217" i="18" s="1"/>
  <c r="BT227" i="18"/>
  <c r="AU231" i="68"/>
  <c r="BW227" i="18" s="1"/>
  <c r="BT228" i="18"/>
  <c r="AU232" i="68"/>
  <c r="BW228" i="18" s="1"/>
  <c r="BT223" i="18"/>
  <c r="BT114" i="18" s="1"/>
  <c r="AU227" i="68"/>
  <c r="BW223" i="18" s="1"/>
  <c r="BT222" i="18"/>
  <c r="AU226" i="68"/>
  <c r="BW222" i="18" s="1"/>
  <c r="BT221" i="18"/>
  <c r="AU225" i="68"/>
  <c r="BW221" i="18" s="1"/>
  <c r="BT216" i="18"/>
  <c r="AU220" i="68"/>
  <c r="BW216" i="18" s="1"/>
  <c r="AU228" i="68"/>
  <c r="BW224" i="18" s="1"/>
  <c r="AV228" i="68"/>
  <c r="AZ228" i="68" s="1"/>
  <c r="CB224" i="18" s="1"/>
  <c r="BT224" i="18"/>
  <c r="AU396" i="67"/>
  <c r="BS61" i="18"/>
  <c r="AW396" i="67" s="1"/>
  <c r="BS114" i="18"/>
  <c r="Q40" i="6"/>
  <c r="BQ116" i="18"/>
  <c r="O128" i="18"/>
  <c r="BR116" i="18"/>
  <c r="O116" i="18"/>
  <c r="O117" i="18" s="1"/>
  <c r="O119" i="18" s="1"/>
  <c r="O344" i="67"/>
  <c r="O343" i="67" s="1"/>
  <c r="O174" i="6"/>
  <c r="Q45" i="68"/>
  <c r="Q46" i="68" s="1"/>
  <c r="N117" i="18"/>
  <c r="AV231" i="68"/>
  <c r="P128" i="18"/>
  <c r="Q115" i="18"/>
  <c r="AW235" i="68"/>
  <c r="BY231" i="18" s="1"/>
  <c r="P121" i="68"/>
  <c r="P120" i="68"/>
  <c r="P118" i="68"/>
  <c r="N194" i="18" s="1"/>
  <c r="P65" i="6" s="1"/>
  <c r="P289" i="67" s="1"/>
  <c r="Q119" i="68"/>
  <c r="AW231" i="68"/>
  <c r="BY227" i="18" s="1"/>
  <c r="AW221" i="68"/>
  <c r="BY217" i="18" s="1"/>
  <c r="AX236" i="68"/>
  <c r="BZ232" i="18" s="1"/>
  <c r="AX226" i="68"/>
  <c r="BZ222" i="18" s="1"/>
  <c r="AX230" i="68"/>
  <c r="BZ226" i="18" s="1"/>
  <c r="S73" i="68"/>
  <c r="S72" i="68"/>
  <c r="S70" i="68"/>
  <c r="Q48" i="18" s="1"/>
  <c r="R72" i="68"/>
  <c r="R73" i="68"/>
  <c r="R70" i="68" s="1"/>
  <c r="P48" i="18" s="1"/>
  <c r="N25" i="18"/>
  <c r="N36" i="18"/>
  <c r="N54" i="18" s="1"/>
  <c r="AX224" i="68"/>
  <c r="BZ220" i="18" s="1"/>
  <c r="AX220" i="68"/>
  <c r="BZ216" i="18" s="1"/>
  <c r="O29" i="18"/>
  <c r="R93" i="68"/>
  <c r="AV234" i="68"/>
  <c r="R68" i="68"/>
  <c r="R67" i="68"/>
  <c r="R65" i="68"/>
  <c r="P46" i="18" s="1"/>
  <c r="P27" i="6"/>
  <c r="N59" i="18"/>
  <c r="AV221" i="68"/>
  <c r="AV220" i="68"/>
  <c r="AX225" i="68"/>
  <c r="BZ221" i="18" s="1"/>
  <c r="AW223" i="68"/>
  <c r="BY219" i="18" s="1"/>
  <c r="AW224" i="68"/>
  <c r="BY220" i="18" s="1"/>
  <c r="AW228" i="68"/>
  <c r="BY224" i="18" s="1"/>
  <c r="AV230" i="68"/>
  <c r="AX233" i="68"/>
  <c r="BZ229" i="18" s="1"/>
  <c r="BZ174" i="18" s="1"/>
  <c r="AX234" i="68"/>
  <c r="BZ230" i="18" s="1"/>
  <c r="BU114" i="18"/>
  <c r="AW227" i="68"/>
  <c r="BY223" i="18" s="1"/>
  <c r="P36" i="68"/>
  <c r="P37" i="68"/>
  <c r="P34" i="68" s="1"/>
  <c r="N84" i="18" s="1"/>
  <c r="Q35" i="68"/>
  <c r="AX231" i="68"/>
  <c r="BZ227" i="18" s="1"/>
  <c r="BV114" i="18"/>
  <c r="AX227" i="68"/>
  <c r="BZ223" i="18" s="1"/>
  <c r="AW230" i="68"/>
  <c r="BY226" i="18" s="1"/>
  <c r="AX228" i="68"/>
  <c r="BZ224" i="18" s="1"/>
  <c r="AW232" i="68"/>
  <c r="BY228" i="18" s="1"/>
  <c r="AX232" i="68"/>
  <c r="BZ228" i="18" s="1"/>
  <c r="AW236" i="68"/>
  <c r="BY232" i="18" s="1"/>
  <c r="AV232" i="68"/>
  <c r="AV227" i="68"/>
  <c r="AW226" i="68"/>
  <c r="BY222" i="18" s="1"/>
  <c r="BQ60" i="18"/>
  <c r="BR60" i="18"/>
  <c r="P114" i="18"/>
  <c r="AV223" i="68"/>
  <c r="AV226" i="68"/>
  <c r="M239" i="18"/>
  <c r="M151" i="18"/>
  <c r="M154" i="18"/>
  <c r="O301" i="67"/>
  <c r="O135" i="6"/>
  <c r="Y36" i="6"/>
  <c r="O133" i="6"/>
  <c r="S21" i="60" s="1"/>
  <c r="J19" i="61"/>
  <c r="O41" i="6"/>
  <c r="O60" i="6"/>
  <c r="O43" i="6"/>
  <c r="M241" i="18" s="1"/>
  <c r="W11" i="61"/>
  <c r="AT396" i="67"/>
  <c r="AW233" i="68"/>
  <c r="BY229" i="18" s="1"/>
  <c r="BY174" i="18" s="1"/>
  <c r="BC20" i="15" s="1"/>
  <c r="AV235" i="68"/>
  <c r="AV225" i="68"/>
  <c r="AX235" i="68"/>
  <c r="BZ231" i="18" s="1"/>
  <c r="AW234" i="68"/>
  <c r="BY230" i="18" s="1"/>
  <c r="O176" i="6"/>
  <c r="AX223" i="68"/>
  <c r="BZ219" i="18" s="1"/>
  <c r="U71" i="68"/>
  <c r="T71" i="68"/>
  <c r="Q73" i="68"/>
  <c r="Q72" i="68"/>
  <c r="Q70" i="68"/>
  <c r="O48" i="18" s="1"/>
  <c r="AW225" i="68"/>
  <c r="BY221" i="18" s="1"/>
  <c r="AV236" i="68"/>
  <c r="AW220" i="68"/>
  <c r="BY216" i="18" s="1"/>
  <c r="N39" i="18"/>
  <c r="N57" i="18" s="1"/>
  <c r="S67" i="68"/>
  <c r="S68" i="68"/>
  <c r="S65" i="68" s="1"/>
  <c r="Q46" i="18" s="1"/>
  <c r="T66" i="68"/>
  <c r="Q67" i="68"/>
  <c r="Q68" i="68"/>
  <c r="Q65" i="68" s="1"/>
  <c r="O46" i="18" s="1"/>
  <c r="U66" i="68"/>
  <c r="AV224" i="68"/>
  <c r="O31" i="18"/>
  <c r="R95" i="68"/>
  <c r="L7" i="5" l="1"/>
  <c r="S18" i="60"/>
  <c r="E11" i="60" s="1"/>
  <c r="E49" i="60" s="1"/>
  <c r="AH13" i="60"/>
  <c r="AH51" i="60" s="1"/>
  <c r="AS32" i="60"/>
  <c r="AS34" i="60" s="1"/>
  <c r="AH49" i="60"/>
  <c r="E73" i="12"/>
  <c r="B78" i="12" s="1"/>
  <c r="BD20" i="15"/>
  <c r="O15" i="18"/>
  <c r="U14" i="60" s="1"/>
  <c r="BV18" i="18"/>
  <c r="Q9" i="6"/>
  <c r="S61" i="68"/>
  <c r="R63" i="68"/>
  <c r="R62" i="68"/>
  <c r="R60" i="68"/>
  <c r="P18" i="18" s="1"/>
  <c r="BB221" i="68"/>
  <c r="CD217" i="18" s="1"/>
  <c r="O30" i="18"/>
  <c r="Q26" i="6" s="1"/>
  <c r="U13" i="60" s="1"/>
  <c r="Q96" i="68"/>
  <c r="O32" i="18" s="1"/>
  <c r="Q27" i="6" s="1"/>
  <c r="BV119" i="18"/>
  <c r="BU119" i="18"/>
  <c r="BT119" i="18"/>
  <c r="N28" i="18"/>
  <c r="N252" i="18" s="1"/>
  <c r="P26" i="6"/>
  <c r="T13" i="60" s="1"/>
  <c r="O25" i="18"/>
  <c r="S91" i="68"/>
  <c r="R90" i="68"/>
  <c r="P26" i="18" s="1"/>
  <c r="P27" i="18"/>
  <c r="BR58" i="18"/>
  <c r="BQ58" i="18"/>
  <c r="R96" i="68"/>
  <c r="P32" i="18" s="1"/>
  <c r="Q47" i="68"/>
  <c r="BX220" i="18"/>
  <c r="AY224" i="68"/>
  <c r="CA220" i="18" s="1"/>
  <c r="BX232" i="18"/>
  <c r="AY236" i="68"/>
  <c r="CA232" i="18" s="1"/>
  <c r="BX231" i="18"/>
  <c r="AY235" i="68"/>
  <c r="CA231" i="18" s="1"/>
  <c r="BX222" i="18"/>
  <c r="AY226" i="68"/>
  <c r="CA222" i="18" s="1"/>
  <c r="BX223" i="18"/>
  <c r="BX114" i="18" s="1"/>
  <c r="AY227" i="68"/>
  <c r="CA223" i="18" s="1"/>
  <c r="BX217" i="18"/>
  <c r="AY221" i="68"/>
  <c r="CA217" i="18" s="1"/>
  <c r="BX230" i="18"/>
  <c r="AY234" i="68"/>
  <c r="CA230" i="18" s="1"/>
  <c r="BX224" i="18"/>
  <c r="AY228" i="68"/>
  <c r="CA224" i="18" s="1"/>
  <c r="BX221" i="18"/>
  <c r="AY225" i="68"/>
  <c r="CA221" i="18" s="1"/>
  <c r="BX219" i="18"/>
  <c r="AY223" i="68"/>
  <c r="CA219" i="18" s="1"/>
  <c r="BX228" i="18"/>
  <c r="AY232" i="68"/>
  <c r="CA228" i="18" s="1"/>
  <c r="BX226" i="18"/>
  <c r="AY230" i="68"/>
  <c r="CA226" i="18" s="1"/>
  <c r="BX216" i="18"/>
  <c r="AY220" i="68"/>
  <c r="CA216" i="18" s="1"/>
  <c r="BX227" i="18"/>
  <c r="AY231" i="68"/>
  <c r="CA227" i="18" s="1"/>
  <c r="BS60" i="18"/>
  <c r="BW114" i="18"/>
  <c r="BS116" i="18"/>
  <c r="Q44" i="68"/>
  <c r="O95" i="18" s="1"/>
  <c r="R45" i="68"/>
  <c r="R46" i="68" s="1"/>
  <c r="BT117" i="18"/>
  <c r="BU117" i="18"/>
  <c r="BV117" i="18"/>
  <c r="BT116" i="18"/>
  <c r="BV116" i="18"/>
  <c r="BQ117" i="18"/>
  <c r="BU116" i="18"/>
  <c r="P116" i="18"/>
  <c r="Q116" i="18" s="1"/>
  <c r="Q117" i="18" s="1"/>
  <c r="Q119" i="18" s="1"/>
  <c r="W71" i="68"/>
  <c r="W72" i="68" s="1"/>
  <c r="BR117" i="18"/>
  <c r="BR115" i="18" s="1"/>
  <c r="AT401" i="67"/>
  <c r="BA220" i="68"/>
  <c r="CC216" i="18" s="1"/>
  <c r="U72" i="68"/>
  <c r="U73" i="68"/>
  <c r="U70" i="68" s="1"/>
  <c r="S48" i="18" s="1"/>
  <c r="BA234" i="68"/>
  <c r="CC230" i="18" s="1"/>
  <c r="AZ235" i="68"/>
  <c r="CB231" i="18" s="1"/>
  <c r="AT400" i="67"/>
  <c r="AZ226" i="68"/>
  <c r="CB222" i="18" s="1"/>
  <c r="BA226" i="68"/>
  <c r="CC222" i="18" s="1"/>
  <c r="BB231" i="68"/>
  <c r="CD227" i="18" s="1"/>
  <c r="BA228" i="68"/>
  <c r="CC224" i="18" s="1"/>
  <c r="BA224" i="68"/>
  <c r="CC220" i="18" s="1"/>
  <c r="BA223" i="68"/>
  <c r="CC219" i="18" s="1"/>
  <c r="AZ220" i="68"/>
  <c r="CB216" i="18" s="1"/>
  <c r="BQ59" i="18"/>
  <c r="BR59" i="18"/>
  <c r="AZ234" i="68"/>
  <c r="CB230" i="18" s="1"/>
  <c r="S93" i="68"/>
  <c r="P29" i="18"/>
  <c r="BB224" i="68"/>
  <c r="CD220" i="18" s="1"/>
  <c r="BQ54" i="18"/>
  <c r="N53" i="18"/>
  <c r="BR54" i="18"/>
  <c r="BR53" i="18" s="1"/>
  <c r="BB226" i="68"/>
  <c r="CD222" i="18" s="1"/>
  <c r="BB236" i="68"/>
  <c r="CD232" i="18" s="1"/>
  <c r="P30" i="18"/>
  <c r="S94" i="68"/>
  <c r="BA235" i="68"/>
  <c r="CC231" i="18" s="1"/>
  <c r="U67" i="68"/>
  <c r="U68" i="68"/>
  <c r="U65" i="68" s="1"/>
  <c r="S46" i="18" s="1"/>
  <c r="T67" i="68"/>
  <c r="T68" i="68"/>
  <c r="T65" i="68" s="1"/>
  <c r="R46" i="18" s="1"/>
  <c r="W66" i="68"/>
  <c r="V66" i="68"/>
  <c r="N56" i="18"/>
  <c r="BR57" i="18"/>
  <c r="BQ57" i="18"/>
  <c r="BA225" i="68"/>
  <c r="CC221" i="18" s="1"/>
  <c r="J40" i="61"/>
  <c r="J48" i="61"/>
  <c r="AZ232" i="68"/>
  <c r="CB228" i="18" s="1"/>
  <c r="S95" i="68"/>
  <c r="P31" i="18"/>
  <c r="AZ224" i="68"/>
  <c r="CB220" i="18" s="1"/>
  <c r="AZ236" i="68"/>
  <c r="CB232" i="18" s="1"/>
  <c r="T73" i="68"/>
  <c r="T72" i="68"/>
  <c r="T70" i="68"/>
  <c r="R48" i="18" s="1"/>
  <c r="V71" i="68"/>
  <c r="BD228" i="68"/>
  <c r="CF224" i="18" s="1"/>
  <c r="BB223" i="68"/>
  <c r="CD219" i="18" s="1"/>
  <c r="BB235" i="68"/>
  <c r="CD231" i="18" s="1"/>
  <c r="AZ225" i="68"/>
  <c r="CB221" i="18" s="1"/>
  <c r="BA233" i="68"/>
  <c r="CC229" i="18" s="1"/>
  <c r="CC174" i="18" s="1"/>
  <c r="BG20" i="15" s="1"/>
  <c r="O302" i="67"/>
  <c r="O311" i="67" s="1"/>
  <c r="O44" i="6"/>
  <c r="S16" i="60" s="1"/>
  <c r="AG35" i="60" s="1"/>
  <c r="AG54" i="60" s="1"/>
  <c r="O61" i="6"/>
  <c r="O169" i="6" s="1"/>
  <c r="J31" i="61"/>
  <c r="O313" i="67"/>
  <c r="J30" i="61"/>
  <c r="AZ223" i="68"/>
  <c r="CB219" i="18" s="1"/>
  <c r="Q114" i="18"/>
  <c r="S40" i="6" s="1"/>
  <c r="AZ227" i="68"/>
  <c r="CB223" i="18" s="1"/>
  <c r="BA236" i="68"/>
  <c r="CC232" i="18" s="1"/>
  <c r="BB232" i="68"/>
  <c r="CD228" i="18" s="1"/>
  <c r="BA232" i="68"/>
  <c r="CC228" i="18" s="1"/>
  <c r="BB228" i="68"/>
  <c r="CD224" i="18" s="1"/>
  <c r="BA230" i="68"/>
  <c r="CC226" i="18" s="1"/>
  <c r="BZ114" i="18"/>
  <c r="BB227" i="68"/>
  <c r="CD223" i="18" s="1"/>
  <c r="Q37" i="68"/>
  <c r="Q34" i="68" s="1"/>
  <c r="O84" i="18" s="1"/>
  <c r="Q36" i="68"/>
  <c r="R35" i="68"/>
  <c r="BY114" i="18"/>
  <c r="BA227" i="68"/>
  <c r="CC223" i="18" s="1"/>
  <c r="BB234" i="68"/>
  <c r="CD230" i="18" s="1"/>
  <c r="BB233" i="68"/>
  <c r="CD229" i="18" s="1"/>
  <c r="CD174" i="18" s="1"/>
  <c r="AZ230" i="68"/>
  <c r="CB226" i="18" s="1"/>
  <c r="BB225" i="68"/>
  <c r="CD221" i="18" s="1"/>
  <c r="AZ221" i="68"/>
  <c r="CB217" i="18" s="1"/>
  <c r="BB220" i="68"/>
  <c r="CD216" i="18" s="1"/>
  <c r="BB230" i="68"/>
  <c r="CD226" i="18" s="1"/>
  <c r="BA221" i="68"/>
  <c r="CC217" i="18" s="1"/>
  <c r="BA231" i="68"/>
  <c r="CC227" i="18" s="1"/>
  <c r="Q120" i="68"/>
  <c r="Q121" i="68"/>
  <c r="Q118" i="68" s="1"/>
  <c r="O194" i="18" s="1"/>
  <c r="Q65" i="6" s="1"/>
  <c r="Q289" i="67" s="1"/>
  <c r="R119" i="68"/>
  <c r="R115" i="18"/>
  <c r="Q128" i="18"/>
  <c r="R40" i="6"/>
  <c r="AZ231" i="68"/>
  <c r="CB227" i="18" s="1"/>
  <c r="BF221" i="68" l="1"/>
  <c r="CH217" i="18" s="1"/>
  <c r="BH20" i="15"/>
  <c r="BX18" i="18"/>
  <c r="BY18" i="18" s="1"/>
  <c r="AZ390" i="67"/>
  <c r="T61" i="68"/>
  <c r="S63" i="68"/>
  <c r="S62" i="68"/>
  <c r="S60" i="68" s="1"/>
  <c r="Q18" i="18" s="1"/>
  <c r="O38" i="18"/>
  <c r="O42" i="18" s="1"/>
  <c r="O60" i="18" s="1"/>
  <c r="O35" i="18"/>
  <c r="BU15" i="18"/>
  <c r="BT15" i="18"/>
  <c r="BV15" i="18"/>
  <c r="Q10" i="6"/>
  <c r="BW15" i="18"/>
  <c r="P15" i="18"/>
  <c r="V14" i="60" s="1"/>
  <c r="R9" i="6"/>
  <c r="Z9" i="6" s="1"/>
  <c r="O28" i="18"/>
  <c r="O252" i="18" s="1"/>
  <c r="BW119" i="18"/>
  <c r="CD119" i="18"/>
  <c r="CB119" i="18"/>
  <c r="CC119" i="18"/>
  <c r="N52" i="18"/>
  <c r="N74" i="18"/>
  <c r="N70" i="18"/>
  <c r="R47" i="68"/>
  <c r="R44" i="68" s="1"/>
  <c r="P95" i="18" s="1"/>
  <c r="S45" i="68"/>
  <c r="S44" i="68" s="1"/>
  <c r="Q95" i="18" s="1"/>
  <c r="P25" i="18"/>
  <c r="P117" i="18"/>
  <c r="BS58" i="18"/>
  <c r="Q27" i="18"/>
  <c r="T91" i="68"/>
  <c r="S90" i="68"/>
  <c r="Q26" i="18" s="1"/>
  <c r="S96" i="68"/>
  <c r="Q32" i="18" s="1"/>
  <c r="BU115" i="18"/>
  <c r="AY401" i="67" s="1"/>
  <c r="BV115" i="18"/>
  <c r="AV401" i="67"/>
  <c r="BW116" i="18"/>
  <c r="CA114" i="18"/>
  <c r="BS57" i="18"/>
  <c r="BS59" i="18"/>
  <c r="BW117" i="18"/>
  <c r="BQ53" i="18"/>
  <c r="BS54" i="18"/>
  <c r="BS53" i="18" s="1"/>
  <c r="AW369" i="67" s="1"/>
  <c r="BQ115" i="18"/>
  <c r="BS117" i="18"/>
  <c r="BS115" i="18" s="1"/>
  <c r="BT115" i="18"/>
  <c r="BZ116" i="18"/>
  <c r="BX116" i="18"/>
  <c r="BY116" i="18"/>
  <c r="W73" i="68"/>
  <c r="W70" i="68" s="1"/>
  <c r="U48" i="18" s="1"/>
  <c r="BQ56" i="18"/>
  <c r="BR56" i="18"/>
  <c r="AV394" i="67" s="1"/>
  <c r="BC231" i="68"/>
  <c r="CE227" i="18" s="1"/>
  <c r="BD231" i="68"/>
  <c r="CF227" i="18" s="1"/>
  <c r="R121" i="68"/>
  <c r="R118" i="68" s="1"/>
  <c r="P194" i="18" s="1"/>
  <c r="R65" i="6" s="1"/>
  <c r="R289" i="67" s="1"/>
  <c r="R120" i="68"/>
  <c r="S119" i="68"/>
  <c r="CC117" i="18"/>
  <c r="BE231" i="68"/>
  <c r="CG227" i="18" s="1"/>
  <c r="BE221" i="68"/>
  <c r="CG217" i="18" s="1"/>
  <c r="BF220" i="68"/>
  <c r="CH216" i="18" s="1"/>
  <c r="BF225" i="68"/>
  <c r="CH221" i="18" s="1"/>
  <c r="BF233" i="68"/>
  <c r="CH229" i="18" s="1"/>
  <c r="R37" i="68"/>
  <c r="R36" i="68"/>
  <c r="R34" i="68"/>
  <c r="P84" i="18" s="1"/>
  <c r="S35" i="68"/>
  <c r="BF227" i="68"/>
  <c r="CH223" i="18" s="1"/>
  <c r="CD114" i="18"/>
  <c r="CC116" i="18"/>
  <c r="BE230" i="68"/>
  <c r="CG226" i="18" s="1"/>
  <c r="BF228" i="68"/>
  <c r="CH224" i="18" s="1"/>
  <c r="BF232" i="68"/>
  <c r="CH228" i="18" s="1"/>
  <c r="R114" i="18"/>
  <c r="T40" i="6" s="1"/>
  <c r="BD223" i="68"/>
  <c r="CF219" i="18" s="1"/>
  <c r="BC223" i="68"/>
  <c r="CE219" i="18" s="1"/>
  <c r="M173" i="18"/>
  <c r="M245" i="18" s="1"/>
  <c r="O303" i="67"/>
  <c r="J20" i="61"/>
  <c r="Y61" i="6"/>
  <c r="O62" i="6"/>
  <c r="O68" i="6"/>
  <c r="BF235" i="68"/>
  <c r="CH231" i="18" s="1"/>
  <c r="BF223" i="68"/>
  <c r="CH219" i="18" s="1"/>
  <c r="BH228" i="68"/>
  <c r="CJ224" i="18" s="1"/>
  <c r="R128" i="18"/>
  <c r="S115" i="18"/>
  <c r="CB117" i="18"/>
  <c r="CD116" i="18"/>
  <c r="BF230" i="68"/>
  <c r="CH226" i="18" s="1"/>
  <c r="BC221" i="68"/>
  <c r="CE217" i="18" s="1"/>
  <c r="BD221" i="68"/>
  <c r="CF217" i="18" s="1"/>
  <c r="CB116" i="18"/>
  <c r="BC230" i="68"/>
  <c r="CE226" i="18" s="1"/>
  <c r="BD230" i="68"/>
  <c r="CF226" i="18" s="1"/>
  <c r="BE232" i="68"/>
  <c r="CG228" i="18" s="1"/>
  <c r="BE236" i="68"/>
  <c r="CG232" i="18" s="1"/>
  <c r="CB114" i="18"/>
  <c r="BC227" i="68"/>
  <c r="CE223" i="18" s="1"/>
  <c r="BD227" i="68"/>
  <c r="CF223" i="18" s="1"/>
  <c r="BE233" i="68"/>
  <c r="CG229" i="18" s="1"/>
  <c r="BD225" i="68"/>
  <c r="CF221" i="18" s="1"/>
  <c r="BC225" i="68"/>
  <c r="CE221" i="18" s="1"/>
  <c r="BC228" i="68"/>
  <c r="CE224" i="18" s="1"/>
  <c r="V72" i="68"/>
  <c r="V73" i="68"/>
  <c r="V70" i="68" s="1"/>
  <c r="T48" i="18" s="1"/>
  <c r="BC236" i="68"/>
  <c r="CE232" i="18" s="1"/>
  <c r="BD236" i="68"/>
  <c r="CF232" i="18" s="1"/>
  <c r="R27" i="6"/>
  <c r="BE225" i="68"/>
  <c r="CG221" i="18" s="1"/>
  <c r="AT394" i="67"/>
  <c r="AT370" i="67"/>
  <c r="V67" i="68"/>
  <c r="V68" i="68"/>
  <c r="V65" i="68" s="1"/>
  <c r="T46" i="18" s="1"/>
  <c r="T94" i="68"/>
  <c r="Q30" i="18"/>
  <c r="BF226" i="68"/>
  <c r="CH222" i="18" s="1"/>
  <c r="AV369" i="67"/>
  <c r="AV392" i="67"/>
  <c r="P19" i="6"/>
  <c r="T9" i="60" s="1"/>
  <c r="T47" i="60" s="1"/>
  <c r="P20" i="6"/>
  <c r="N155" i="18"/>
  <c r="N45" i="18"/>
  <c r="BF224" i="68"/>
  <c r="CH220" i="18" s="1"/>
  <c r="P28" i="18"/>
  <c r="R26" i="6"/>
  <c r="V13" i="60" s="1"/>
  <c r="BD234" i="68"/>
  <c r="CF230" i="18" s="1"/>
  <c r="BC234" i="68"/>
  <c r="CE230" i="18" s="1"/>
  <c r="BC220" i="68"/>
  <c r="CE216" i="18" s="1"/>
  <c r="BD220" i="68"/>
  <c r="CF216" i="18" s="1"/>
  <c r="BE223" i="68"/>
  <c r="CG219" i="18" s="1"/>
  <c r="BE228" i="68"/>
  <c r="CG224" i="18" s="1"/>
  <c r="AT395" i="67"/>
  <c r="BE220" i="68"/>
  <c r="CG216" i="18" s="1"/>
  <c r="BF234" i="68"/>
  <c r="CH230" i="18" s="1"/>
  <c r="CC114" i="18"/>
  <c r="BE227" i="68"/>
  <c r="CG223" i="18" s="1"/>
  <c r="BC224" i="68"/>
  <c r="CE220" i="18" s="1"/>
  <c r="BD224" i="68"/>
  <c r="CF220" i="18" s="1"/>
  <c r="Q31" i="18"/>
  <c r="T95" i="68"/>
  <c r="BC232" i="68"/>
  <c r="CE228" i="18" s="1"/>
  <c r="BD232" i="68"/>
  <c r="CF228" i="18" s="1"/>
  <c r="N158" i="18"/>
  <c r="P24" i="6"/>
  <c r="T10" i="60" s="1"/>
  <c r="T48" i="60" s="1"/>
  <c r="N47" i="18"/>
  <c r="P25" i="6"/>
  <c r="W68" i="68"/>
  <c r="W67" i="68"/>
  <c r="W65" i="68"/>
  <c r="U46" i="18" s="1"/>
  <c r="BE235" i="68"/>
  <c r="CG231" i="18" s="1"/>
  <c r="R116" i="18"/>
  <c r="BF236" i="68"/>
  <c r="CH232" i="18" s="1"/>
  <c r="AT369" i="67"/>
  <c r="AT392" i="67"/>
  <c r="Q29" i="18"/>
  <c r="T93" i="68"/>
  <c r="BE224" i="68"/>
  <c r="CG220" i="18" s="1"/>
  <c r="CD117" i="18"/>
  <c r="BF231" i="68"/>
  <c r="CH227" i="18" s="1"/>
  <c r="BE226" i="68"/>
  <c r="CG222" i="18" s="1"/>
  <c r="BC226" i="68"/>
  <c r="CE222" i="18" s="1"/>
  <c r="BD226" i="68"/>
  <c r="CF222" i="18" s="1"/>
  <c r="BD235" i="68"/>
  <c r="CF231" i="18" s="1"/>
  <c r="BC235" i="68"/>
  <c r="CE231" i="18" s="1"/>
  <c r="BE234" i="68"/>
  <c r="CG230" i="18" s="1"/>
  <c r="P330" i="67" l="1"/>
  <c r="C353" i="67"/>
  <c r="C352" i="67" s="1"/>
  <c r="P326" i="67"/>
  <c r="B353" i="67"/>
  <c r="B352" i="67" s="1"/>
  <c r="AH14" i="60"/>
  <c r="AH52" i="60" s="1"/>
  <c r="BJ221" i="68"/>
  <c r="CL217" i="18" s="1"/>
  <c r="AU369" i="67"/>
  <c r="U9" i="61"/>
  <c r="W9" i="61" s="1"/>
  <c r="U10" i="61"/>
  <c r="W10" i="61" s="1"/>
  <c r="BT60" i="18"/>
  <c r="BU60" i="18"/>
  <c r="BV60" i="18"/>
  <c r="BC390" i="67"/>
  <c r="BZ18" i="18"/>
  <c r="CB18" i="18" s="1"/>
  <c r="O39" i="18"/>
  <c r="O57" i="18" s="1"/>
  <c r="O41" i="18"/>
  <c r="O59" i="18" s="1"/>
  <c r="U61" i="68"/>
  <c r="T63" i="68"/>
  <c r="T62" i="68"/>
  <c r="T60" i="68" s="1"/>
  <c r="R18" i="18" s="1"/>
  <c r="P38" i="18"/>
  <c r="P35" i="18"/>
  <c r="BY15" i="18"/>
  <c r="BX15" i="18"/>
  <c r="BZ15" i="18"/>
  <c r="R10" i="6"/>
  <c r="CA15" i="18"/>
  <c r="Q15" i="18"/>
  <c r="W14" i="60" s="1"/>
  <c r="S9" i="6"/>
  <c r="O40" i="18"/>
  <c r="O58" i="18" s="1"/>
  <c r="O16" i="18"/>
  <c r="O37" i="18"/>
  <c r="O55" i="18" s="1"/>
  <c r="O36" i="18"/>
  <c r="O54" i="18" s="1"/>
  <c r="BB390" i="67"/>
  <c r="CE119" i="18"/>
  <c r="BY117" i="18"/>
  <c r="BY115" i="18" s="1"/>
  <c r="P119" i="18"/>
  <c r="T45" i="68"/>
  <c r="T46" i="68" s="1"/>
  <c r="S46" i="68"/>
  <c r="Q25" i="18"/>
  <c r="S47" i="68"/>
  <c r="P252" i="18"/>
  <c r="BZ117" i="18"/>
  <c r="BZ115" i="18" s="1"/>
  <c r="BD401" i="67" s="1"/>
  <c r="BX117" i="18"/>
  <c r="T96" i="68"/>
  <c r="R32" i="18" s="1"/>
  <c r="T90" i="68"/>
  <c r="R26" i="18" s="1"/>
  <c r="R27" i="18"/>
  <c r="U91" i="68"/>
  <c r="AX401" i="67"/>
  <c r="AW392" i="67"/>
  <c r="AZ401" i="67"/>
  <c r="AU392" i="67"/>
  <c r="BS56" i="18"/>
  <c r="AW370" i="67" s="1"/>
  <c r="CA116" i="18"/>
  <c r="AU401" i="67"/>
  <c r="CE114" i="18"/>
  <c r="BR225" i="18"/>
  <c r="AW401" i="67"/>
  <c r="CE116" i="18"/>
  <c r="CE117" i="18"/>
  <c r="BQ225" i="18"/>
  <c r="BW115" i="18"/>
  <c r="AU370" i="67"/>
  <c r="AU394" i="67"/>
  <c r="CC115" i="18"/>
  <c r="AV370" i="67"/>
  <c r="CB115" i="18"/>
  <c r="CD115" i="18"/>
  <c r="R31" i="18"/>
  <c r="U95" i="68"/>
  <c r="BI223" i="68"/>
  <c r="CK219" i="18" s="1"/>
  <c r="BG220" i="68"/>
  <c r="CI216" i="18" s="1"/>
  <c r="BH220" i="68"/>
  <c r="CJ216" i="18" s="1"/>
  <c r="BJ224" i="68"/>
  <c r="CL220" i="18" s="1"/>
  <c r="BJ226" i="68"/>
  <c r="CL222" i="18" s="1"/>
  <c r="R30" i="18"/>
  <c r="U94" i="68"/>
  <c r="BI234" i="68"/>
  <c r="CK230" i="18" s="1"/>
  <c r="BI226" i="68"/>
  <c r="CK222" i="18" s="1"/>
  <c r="BJ231" i="68"/>
  <c r="CL227" i="18" s="1"/>
  <c r="R29" i="18"/>
  <c r="U93" i="68"/>
  <c r="BJ236" i="68"/>
  <c r="CL232" i="18" s="1"/>
  <c r="BI235" i="68"/>
  <c r="CK231" i="18" s="1"/>
  <c r="BG232" i="68"/>
  <c r="CI228" i="18" s="1"/>
  <c r="BH232" i="68"/>
  <c r="CJ228" i="18" s="1"/>
  <c r="S27" i="6"/>
  <c r="BI220" i="68"/>
  <c r="CK216" i="18" s="1"/>
  <c r="BI228" i="68"/>
  <c r="CK224" i="18" s="1"/>
  <c r="BH234" i="68"/>
  <c r="CJ230" i="18" s="1"/>
  <c r="BG234" i="68"/>
  <c r="CI230" i="18" s="1"/>
  <c r="N165" i="18"/>
  <c r="P325" i="67"/>
  <c r="K9" i="61"/>
  <c r="BI225" i="68"/>
  <c r="CK221" i="18" s="1"/>
  <c r="BI233" i="68"/>
  <c r="CK229" i="18" s="1"/>
  <c r="CF114" i="18"/>
  <c r="BH227" i="68"/>
  <c r="CJ223" i="18" s="1"/>
  <c r="BG227" i="68"/>
  <c r="CI223" i="18" s="1"/>
  <c r="S128" i="18"/>
  <c r="T115" i="18"/>
  <c r="BL228" i="68"/>
  <c r="CN224" i="18" s="1"/>
  <c r="Y68" i="6"/>
  <c r="O319" i="67"/>
  <c r="O131" i="6"/>
  <c r="O69" i="6"/>
  <c r="O70" i="6"/>
  <c r="O304" i="67"/>
  <c r="O312" i="67" s="1"/>
  <c r="G16" i="74"/>
  <c r="O75" i="6"/>
  <c r="M250" i="18"/>
  <c r="M247" i="18" s="1"/>
  <c r="N173" i="18"/>
  <c r="BG223" i="68"/>
  <c r="CI219" i="18" s="1"/>
  <c r="BH223" i="68"/>
  <c r="CJ219" i="18" s="1"/>
  <c r="BJ228" i="68"/>
  <c r="CL224" i="18" s="1"/>
  <c r="CG116" i="18"/>
  <c r="BI230" i="68"/>
  <c r="CK226" i="18" s="1"/>
  <c r="S37" i="68"/>
  <c r="S36" i="68"/>
  <c r="S34" i="68"/>
  <c r="Q84" i="18" s="1"/>
  <c r="T35" i="68"/>
  <c r="BJ233" i="68"/>
  <c r="CL229" i="18" s="1"/>
  <c r="BJ220" i="68"/>
  <c r="CL216" i="18" s="1"/>
  <c r="BI221" i="68"/>
  <c r="CK217" i="18" s="1"/>
  <c r="BH235" i="68"/>
  <c r="CJ231" i="18" s="1"/>
  <c r="BG235" i="68"/>
  <c r="CI231" i="18" s="1"/>
  <c r="BH226" i="68"/>
  <c r="CJ222" i="18" s="1"/>
  <c r="BG226" i="68"/>
  <c r="CI222" i="18" s="1"/>
  <c r="BI224" i="68"/>
  <c r="CK220" i="18" s="1"/>
  <c r="Q28" i="18"/>
  <c r="S26" i="6"/>
  <c r="W13" i="60" s="1"/>
  <c r="S116" i="18"/>
  <c r="P329" i="67"/>
  <c r="K10" i="61"/>
  <c r="BG224" i="68"/>
  <c r="CI220" i="18" s="1"/>
  <c r="BH224" i="68"/>
  <c r="CJ220" i="18" s="1"/>
  <c r="T44" i="68"/>
  <c r="R95" i="18" s="1"/>
  <c r="BI227" i="68"/>
  <c r="CK223" i="18" s="1"/>
  <c r="CG114" i="18"/>
  <c r="BJ234" i="68"/>
  <c r="CL230" i="18" s="1"/>
  <c r="BG236" i="68"/>
  <c r="CI232" i="18" s="1"/>
  <c r="BH236" i="68"/>
  <c r="CJ232" i="18" s="1"/>
  <c r="BG225" i="68"/>
  <c r="CI221" i="18" s="1"/>
  <c r="BH225" i="68"/>
  <c r="CJ221" i="18" s="1"/>
  <c r="BI236" i="68"/>
  <c r="CK232" i="18" s="1"/>
  <c r="BI232" i="68"/>
  <c r="CK228" i="18" s="1"/>
  <c r="CF116" i="18"/>
  <c r="BG230" i="68"/>
  <c r="CI226" i="18" s="1"/>
  <c r="BH230" i="68"/>
  <c r="CJ226" i="18" s="1"/>
  <c r="BG221" i="68"/>
  <c r="CI217" i="18" s="1"/>
  <c r="BH221" i="68"/>
  <c r="CJ217" i="18" s="1"/>
  <c r="BJ230" i="68"/>
  <c r="CL226" i="18" s="1"/>
  <c r="CH116" i="18"/>
  <c r="R117" i="18"/>
  <c r="R119" i="18" s="1"/>
  <c r="BG228" i="68"/>
  <c r="CI224" i="18" s="1"/>
  <c r="BJ223" i="68"/>
  <c r="CL219" i="18" s="1"/>
  <c r="BJ235" i="68"/>
  <c r="CL231" i="18" s="1"/>
  <c r="J21" i="61"/>
  <c r="S114" i="18"/>
  <c r="BJ232" i="68"/>
  <c r="CL228" i="18" s="1"/>
  <c r="CH114" i="18"/>
  <c r="BJ227" i="68"/>
  <c r="CL223" i="18" s="1"/>
  <c r="BJ225" i="68"/>
  <c r="CL221" i="18" s="1"/>
  <c r="BI231" i="68"/>
  <c r="CK227" i="18" s="1"/>
  <c r="S120" i="68"/>
  <c r="S121" i="68"/>
  <c r="S118" i="68" s="1"/>
  <c r="Q194" i="18" s="1"/>
  <c r="S65" i="6" s="1"/>
  <c r="S289" i="67" s="1"/>
  <c r="T119" i="68"/>
  <c r="BG231" i="68"/>
  <c r="CI227" i="18" s="1"/>
  <c r="BH231" i="68"/>
  <c r="CJ227" i="18" s="1"/>
  <c r="BN221" i="68" l="1"/>
  <c r="CP217" i="18" s="1"/>
  <c r="BW60" i="18"/>
  <c r="CC18" i="18"/>
  <c r="CD18" i="18" s="1"/>
  <c r="BH390" i="67" s="1"/>
  <c r="BF390" i="67"/>
  <c r="BV55" i="18"/>
  <c r="BT55" i="18"/>
  <c r="BU55" i="18"/>
  <c r="Q35" i="18"/>
  <c r="Q38" i="18"/>
  <c r="CC15" i="18"/>
  <c r="CB15" i="18"/>
  <c r="CD15" i="18"/>
  <c r="S10" i="6"/>
  <c r="CE15" i="18"/>
  <c r="V61" i="68"/>
  <c r="U63" i="68"/>
  <c r="U62" i="68"/>
  <c r="U60" i="68"/>
  <c r="S18" i="18" s="1"/>
  <c r="O17" i="18"/>
  <c r="Q235" i="67"/>
  <c r="O253" i="18"/>
  <c r="BV59" i="18"/>
  <c r="BT59" i="18"/>
  <c r="BU59" i="18"/>
  <c r="BT58" i="18"/>
  <c r="BU58" i="18"/>
  <c r="BV58" i="18"/>
  <c r="P16" i="18"/>
  <c r="P36" i="18"/>
  <c r="P54" i="18" s="1"/>
  <c r="P37" i="18"/>
  <c r="P55" i="18" s="1"/>
  <c r="R15" i="18"/>
  <c r="X14" i="60" s="1"/>
  <c r="T9" i="6"/>
  <c r="BV57" i="18"/>
  <c r="BU57" i="18"/>
  <c r="BT57" i="18"/>
  <c r="O56" i="18"/>
  <c r="BV54" i="18"/>
  <c r="O53" i="18"/>
  <c r="BU54" i="18"/>
  <c r="BT54" i="18"/>
  <c r="P40" i="18"/>
  <c r="P58" i="18" s="1"/>
  <c r="P42" i="18"/>
  <c r="P60" i="18" s="1"/>
  <c r="P41" i="18"/>
  <c r="P59" i="18" s="1"/>
  <c r="P39" i="18"/>
  <c r="P57" i="18" s="1"/>
  <c r="BD390" i="67"/>
  <c r="CH119" i="18"/>
  <c r="CG119" i="18"/>
  <c r="CF119" i="18"/>
  <c r="BZ119" i="18"/>
  <c r="BX119" i="18"/>
  <c r="BY119" i="18"/>
  <c r="U45" i="68"/>
  <c r="U46" i="68" s="1"/>
  <c r="T47" i="68"/>
  <c r="Q252" i="18"/>
  <c r="CA117" i="18"/>
  <c r="CA115" i="18" s="1"/>
  <c r="BX115" i="18"/>
  <c r="BB401" i="67" s="1"/>
  <c r="R25" i="18"/>
  <c r="BS225" i="18"/>
  <c r="U96" i="68"/>
  <c r="S32" i="18" s="1"/>
  <c r="S27" i="18"/>
  <c r="U90" i="68"/>
  <c r="S26" i="18" s="1"/>
  <c r="V91" i="68"/>
  <c r="AW394" i="67"/>
  <c r="BV225" i="18"/>
  <c r="CE115" i="18"/>
  <c r="CE225" i="18" s="1"/>
  <c r="BU225" i="18"/>
  <c r="BT225" i="18"/>
  <c r="CI114" i="18"/>
  <c r="BF401" i="67"/>
  <c r="BG401" i="67"/>
  <c r="CI116" i="18"/>
  <c r="BA401" i="67"/>
  <c r="BC401" i="67"/>
  <c r="BN232" i="68"/>
  <c r="CP228" i="18" s="1"/>
  <c r="T114" i="18"/>
  <c r="V40" i="6" s="1"/>
  <c r="BK230" i="68"/>
  <c r="CM226" i="18" s="1"/>
  <c r="CJ116" i="18"/>
  <c r="BL230" i="68"/>
  <c r="CN226" i="18" s="1"/>
  <c r="BK224" i="68"/>
  <c r="CM220" i="18" s="1"/>
  <c r="BL224" i="68"/>
  <c r="CN220" i="18" s="1"/>
  <c r="BM221" i="68"/>
  <c r="CO217" i="18" s="1"/>
  <c r="BN228" i="68"/>
  <c r="CP224" i="18" s="1"/>
  <c r="BK228" i="68"/>
  <c r="CM224" i="18" s="1"/>
  <c r="U115" i="18"/>
  <c r="T128" i="18"/>
  <c r="T120" i="68"/>
  <c r="T121" i="68"/>
  <c r="T118" i="68" s="1"/>
  <c r="R194" i="18" s="1"/>
  <c r="T65" i="6" s="1"/>
  <c r="T289" i="67" s="1"/>
  <c r="U119" i="68"/>
  <c r="BM231" i="68"/>
  <c r="CO227" i="18" s="1"/>
  <c r="BN225" i="68"/>
  <c r="CP221" i="18" s="1"/>
  <c r="BN227" i="68"/>
  <c r="CP223" i="18" s="1"/>
  <c r="CL114" i="18"/>
  <c r="BN235" i="68"/>
  <c r="CP231" i="18" s="1"/>
  <c r="BN223" i="68"/>
  <c r="CP219" i="18" s="1"/>
  <c r="CH117" i="18"/>
  <c r="CH115" i="18" s="1"/>
  <c r="CG117" i="18"/>
  <c r="CG115" i="18" s="1"/>
  <c r="CF117" i="18"/>
  <c r="BK221" i="68"/>
  <c r="CM217" i="18" s="1"/>
  <c r="BL221" i="68"/>
  <c r="CN217" i="18" s="1"/>
  <c r="BM232" i="68"/>
  <c r="CO228" i="18" s="1"/>
  <c r="BL225" i="68"/>
  <c r="CN221" i="18" s="1"/>
  <c r="BK225" i="68"/>
  <c r="CM221" i="18" s="1"/>
  <c r="AT399" i="67"/>
  <c r="BN234" i="68"/>
  <c r="CP230" i="18" s="1"/>
  <c r="BM227" i="68"/>
  <c r="CO223" i="18" s="1"/>
  <c r="CK114" i="18"/>
  <c r="T116" i="18"/>
  <c r="BL226" i="68"/>
  <c r="CN222" i="18" s="1"/>
  <c r="BK226" i="68"/>
  <c r="CM222" i="18" s="1"/>
  <c r="BK235" i="68"/>
  <c r="CM231" i="18" s="1"/>
  <c r="BL235" i="68"/>
  <c r="CN231" i="18" s="1"/>
  <c r="BN220" i="68"/>
  <c r="CP216" i="18" s="1"/>
  <c r="T36" i="68"/>
  <c r="T37" i="68"/>
  <c r="T34" i="68" s="1"/>
  <c r="R84" i="18" s="1"/>
  <c r="U35" i="68"/>
  <c r="BM230" i="68"/>
  <c r="CO226" i="18" s="1"/>
  <c r="CK116" i="18"/>
  <c r="BK223" i="68"/>
  <c r="CM219" i="18" s="1"/>
  <c r="BL223" i="68"/>
  <c r="CN219" i="18" s="1"/>
  <c r="J34" i="61"/>
  <c r="O315" i="67"/>
  <c r="BP228" i="68"/>
  <c r="CR224" i="18" s="1"/>
  <c r="S117" i="18"/>
  <c r="S119" i="18" s="1"/>
  <c r="CJ114" i="18"/>
  <c r="BK227" i="68"/>
  <c r="CM223" i="18" s="1"/>
  <c r="BL227" i="68"/>
  <c r="CN223" i="18" s="1"/>
  <c r="BM233" i="68"/>
  <c r="CO229" i="18" s="1"/>
  <c r="BM225" i="68"/>
  <c r="CO221" i="18" s="1"/>
  <c r="P52" i="6"/>
  <c r="BR165" i="18"/>
  <c r="AV19" i="15" s="1"/>
  <c r="BQ165" i="18"/>
  <c r="AU19" i="15" s="1"/>
  <c r="BL234" i="68"/>
  <c r="CN230" i="18" s="1"/>
  <c r="BK234" i="68"/>
  <c r="CM230" i="18" s="1"/>
  <c r="BM228" i="68"/>
  <c r="CO224" i="18" s="1"/>
  <c r="BM220" i="68"/>
  <c r="CO216" i="18" s="1"/>
  <c r="BN236" i="68"/>
  <c r="CP232" i="18" s="1"/>
  <c r="R28" i="18"/>
  <c r="T26" i="6"/>
  <c r="X13" i="60" s="1"/>
  <c r="BN231" i="68"/>
  <c r="CP227" i="18" s="1"/>
  <c r="BM226" i="68"/>
  <c r="CO222" i="18" s="1"/>
  <c r="S30" i="18"/>
  <c r="V94" i="68"/>
  <c r="BN226" i="68"/>
  <c r="CP222" i="18" s="1"/>
  <c r="BK220" i="68"/>
  <c r="CM216" i="18" s="1"/>
  <c r="BL220" i="68"/>
  <c r="CN216" i="18" s="1"/>
  <c r="T27" i="6"/>
  <c r="BL231" i="68"/>
  <c r="CN227" i="18" s="1"/>
  <c r="BK231" i="68"/>
  <c r="CM227" i="18" s="1"/>
  <c r="CL116" i="18"/>
  <c r="BN230" i="68"/>
  <c r="CP226" i="18" s="1"/>
  <c r="BM236" i="68"/>
  <c r="CO232" i="18" s="1"/>
  <c r="BK236" i="68"/>
  <c r="CM232" i="18" s="1"/>
  <c r="BL236" i="68"/>
  <c r="CN232" i="18" s="1"/>
  <c r="BM224" i="68"/>
  <c r="CO220" i="18" s="1"/>
  <c r="BN233" i="68"/>
  <c r="CP229" i="18" s="1"/>
  <c r="O173" i="18"/>
  <c r="O77" i="6"/>
  <c r="O78" i="6"/>
  <c r="U40" i="6"/>
  <c r="P165" i="18"/>
  <c r="BK232" i="68"/>
  <c r="CM228" i="18" s="1"/>
  <c r="BL232" i="68"/>
  <c r="CN228" i="18" s="1"/>
  <c r="BM235" i="68"/>
  <c r="CO231" i="18" s="1"/>
  <c r="S29" i="18"/>
  <c r="V93" i="68"/>
  <c r="O165" i="18"/>
  <c r="BM234" i="68"/>
  <c r="CO230" i="18" s="1"/>
  <c r="BN224" i="68"/>
  <c r="CP220" i="18" s="1"/>
  <c r="BM223" i="68"/>
  <c r="CO219" i="18" s="1"/>
  <c r="S31" i="18"/>
  <c r="V95" i="68"/>
  <c r="BH401" i="67"/>
  <c r="BR221" i="68" l="1"/>
  <c r="CT217" i="18" s="1"/>
  <c r="S19" i="60"/>
  <c r="O136" i="6"/>
  <c r="BU53" i="18"/>
  <c r="BV53" i="18"/>
  <c r="BV56" i="18"/>
  <c r="BU56" i="18"/>
  <c r="CF18" i="18"/>
  <c r="BJ390" i="67" s="1"/>
  <c r="BW55" i="18"/>
  <c r="BG390" i="67"/>
  <c r="P56" i="18"/>
  <c r="BX57" i="18"/>
  <c r="BZ57" i="18"/>
  <c r="BY57" i="18"/>
  <c r="O52" i="18"/>
  <c r="O155" i="18"/>
  <c r="Q20" i="6"/>
  <c r="Q326" i="67" s="1"/>
  <c r="O74" i="18"/>
  <c r="O45" i="18"/>
  <c r="O70" i="18"/>
  <c r="Q19" i="6"/>
  <c r="U9" i="60" s="1"/>
  <c r="BW57" i="18"/>
  <c r="BT56" i="18"/>
  <c r="R35" i="18"/>
  <c r="R38" i="18"/>
  <c r="CG15" i="18"/>
  <c r="CF15" i="18"/>
  <c r="CH15" i="18"/>
  <c r="T10" i="6"/>
  <c r="CI15" i="18"/>
  <c r="P17" i="18"/>
  <c r="R235" i="67"/>
  <c r="P253" i="18"/>
  <c r="Q41" i="18"/>
  <c r="Q59" i="18" s="1"/>
  <c r="Q40" i="18"/>
  <c r="Q58" i="18" s="1"/>
  <c r="Q39" i="18"/>
  <c r="Q57" i="18" s="1"/>
  <c r="Q42" i="18"/>
  <c r="Q60" i="18" s="1"/>
  <c r="BZ59" i="18"/>
  <c r="BY59" i="18"/>
  <c r="BX59" i="18"/>
  <c r="W61" i="68"/>
  <c r="V63" i="68"/>
  <c r="V62" i="68"/>
  <c r="V60" i="68" s="1"/>
  <c r="T18" i="18" s="1"/>
  <c r="Q16" i="18"/>
  <c r="Q36" i="18"/>
  <c r="Q54" i="18" s="1"/>
  <c r="Q37" i="18"/>
  <c r="Q55" i="18" s="1"/>
  <c r="BY60" i="18"/>
  <c r="BX60" i="18"/>
  <c r="BZ60" i="18"/>
  <c r="BT53" i="18"/>
  <c r="BW54" i="18"/>
  <c r="BX55" i="18"/>
  <c r="BY55" i="18"/>
  <c r="BZ55" i="18"/>
  <c r="BW59" i="18"/>
  <c r="S15" i="18"/>
  <c r="Y14" i="60" s="1"/>
  <c r="U9" i="6"/>
  <c r="BX58" i="18"/>
  <c r="BZ58" i="18"/>
  <c r="BY58" i="18"/>
  <c r="Q25" i="6"/>
  <c r="Q330" i="67" s="1"/>
  <c r="O158" i="18"/>
  <c r="Q24" i="6"/>
  <c r="U10" i="60" s="1"/>
  <c r="O47" i="18"/>
  <c r="BX54" i="18"/>
  <c r="P53" i="18"/>
  <c r="R20" i="6" s="1"/>
  <c r="R326" i="67" s="1"/>
  <c r="BY54" i="18"/>
  <c r="BZ54" i="18"/>
  <c r="BW58" i="18"/>
  <c r="CI119" i="18"/>
  <c r="U47" i="68"/>
  <c r="U44" i="68" s="1"/>
  <c r="S95" i="18" s="1"/>
  <c r="CA119" i="18"/>
  <c r="CL119" i="18"/>
  <c r="CK119" i="18"/>
  <c r="CJ119" i="18"/>
  <c r="V45" i="68"/>
  <c r="W45" i="68" s="1"/>
  <c r="R252" i="18"/>
  <c r="BE401" i="67"/>
  <c r="BX225" i="18"/>
  <c r="BZ225" i="18"/>
  <c r="S25" i="18"/>
  <c r="BY225" i="18"/>
  <c r="CA225" i="18"/>
  <c r="V90" i="68"/>
  <c r="T26" i="18" s="1"/>
  <c r="W91" i="68"/>
  <c r="T27" i="18"/>
  <c r="V96" i="68"/>
  <c r="T32" i="18" s="1"/>
  <c r="BI401" i="67"/>
  <c r="CM114" i="18"/>
  <c r="BW225" i="18"/>
  <c r="CB225" i="18"/>
  <c r="CC225" i="18"/>
  <c r="CD225" i="18"/>
  <c r="CF115" i="18"/>
  <c r="BJ401" i="67" s="1"/>
  <c r="CI117" i="18"/>
  <c r="CI115" i="18" s="1"/>
  <c r="BM401" i="67" s="1"/>
  <c r="CM116" i="18"/>
  <c r="BO228" i="68"/>
  <c r="CQ224" i="18" s="1"/>
  <c r="BK401" i="67"/>
  <c r="R52" i="6"/>
  <c r="BY165" i="18"/>
  <c r="BC19" i="15" s="1"/>
  <c r="BZ165" i="18"/>
  <c r="BD19" i="15" s="1"/>
  <c r="BL401" i="67"/>
  <c r="BR224" i="68"/>
  <c r="CT220" i="18" s="1"/>
  <c r="BQ234" i="68"/>
  <c r="CS230" i="18" s="1"/>
  <c r="U26" i="6"/>
  <c r="Y13" i="60" s="1"/>
  <c r="S28" i="18"/>
  <c r="BR233" i="68"/>
  <c r="CT229" i="18" s="1"/>
  <c r="BQ224" i="68"/>
  <c r="CS220" i="18" s="1"/>
  <c r="BR230" i="68"/>
  <c r="CT226" i="18" s="1"/>
  <c r="CP116" i="18"/>
  <c r="W95" i="68"/>
  <c r="U31" i="18" s="1"/>
  <c r="T31" i="18"/>
  <c r="BQ223" i="68"/>
  <c r="CS219" i="18" s="1"/>
  <c r="Q52" i="6"/>
  <c r="BU165" i="18"/>
  <c r="AY19" i="15" s="1"/>
  <c r="BV165" i="18"/>
  <c r="AZ19" i="15" s="1"/>
  <c r="T29" i="18"/>
  <c r="W93" i="68"/>
  <c r="BQ235" i="68"/>
  <c r="CS231" i="18" s="1"/>
  <c r="BP232" i="68"/>
  <c r="CR228" i="18" s="1"/>
  <c r="BO232" i="68"/>
  <c r="CQ228" i="18" s="1"/>
  <c r="BV221" i="68"/>
  <c r="O80" i="6"/>
  <c r="P173" i="18"/>
  <c r="BO236" i="68"/>
  <c r="CQ232" i="18" s="1"/>
  <c r="BP236" i="68"/>
  <c r="CR232" i="18" s="1"/>
  <c r="BO231" i="68"/>
  <c r="CQ227" i="18" s="1"/>
  <c r="BP231" i="68"/>
  <c r="CR227" i="18" s="1"/>
  <c r="BP220" i="68"/>
  <c r="CR216" i="18" s="1"/>
  <c r="BO220" i="68"/>
  <c r="CQ216" i="18" s="1"/>
  <c r="BR226" i="68"/>
  <c r="CT222" i="18" s="1"/>
  <c r="BQ226" i="68"/>
  <c r="CS222" i="18" s="1"/>
  <c r="BR231" i="68"/>
  <c r="CT227" i="18" s="1"/>
  <c r="BQ220" i="68"/>
  <c r="CS216" i="18" s="1"/>
  <c r="BP234" i="68"/>
  <c r="CR230" i="18" s="1"/>
  <c r="BO234" i="68"/>
  <c r="CQ230" i="18" s="1"/>
  <c r="BQ225" i="68"/>
  <c r="CS221" i="18" s="1"/>
  <c r="BQ233" i="68"/>
  <c r="CS229" i="18" s="1"/>
  <c r="CN114" i="18"/>
  <c r="BP227" i="68"/>
  <c r="CR223" i="18" s="1"/>
  <c r="BO227" i="68"/>
  <c r="CQ223" i="18" s="1"/>
  <c r="CK117" i="18"/>
  <c r="CK115" i="18" s="1"/>
  <c r="CK225" i="18" s="1"/>
  <c r="CJ117" i="18"/>
  <c r="CL117" i="18"/>
  <c r="CL115" i="18" s="1"/>
  <c r="CL225" i="18" s="1"/>
  <c r="BT228" i="68"/>
  <c r="U37" i="68"/>
  <c r="U36" i="68"/>
  <c r="U34" i="68"/>
  <c r="S84" i="18" s="1"/>
  <c r="V35" i="68"/>
  <c r="BR220" i="68"/>
  <c r="CT216" i="18" s="1"/>
  <c r="U116" i="18"/>
  <c r="U117" i="18" s="1"/>
  <c r="U119" i="18" s="1"/>
  <c r="AT393" i="67"/>
  <c r="BQ232" i="68"/>
  <c r="CS228" i="18" s="1"/>
  <c r="BP221" i="68"/>
  <c r="CR217" i="18" s="1"/>
  <c r="BO221" i="68"/>
  <c r="CQ217" i="18" s="1"/>
  <c r="BR223" i="68"/>
  <c r="CT219" i="18" s="1"/>
  <c r="U120" i="68"/>
  <c r="U121" i="68"/>
  <c r="V119" i="68"/>
  <c r="U118" i="68"/>
  <c r="S194" i="18" s="1"/>
  <c r="U65" i="6" s="1"/>
  <c r="U289" i="67" s="1"/>
  <c r="U128" i="18"/>
  <c r="T117" i="18"/>
  <c r="T119" i="18" s="1"/>
  <c r="BR228" i="68"/>
  <c r="CT224" i="18" s="1"/>
  <c r="BQ221" i="68"/>
  <c r="CS217" i="18" s="1"/>
  <c r="CN116" i="18"/>
  <c r="BO230" i="68"/>
  <c r="CQ226" i="18" s="1"/>
  <c r="BP230" i="68"/>
  <c r="CR226" i="18" s="1"/>
  <c r="U27" i="6"/>
  <c r="G17" i="74"/>
  <c r="G18" i="74" s="1"/>
  <c r="G23" i="74" s="1"/>
  <c r="O178" i="6" s="1"/>
  <c r="O139" i="68"/>
  <c r="BQ236" i="68"/>
  <c r="CS232" i="18" s="1"/>
  <c r="T30" i="18"/>
  <c r="W94" i="68"/>
  <c r="U30" i="18" s="1"/>
  <c r="BR236" i="68"/>
  <c r="CT232" i="18" s="1"/>
  <c r="BQ228" i="68"/>
  <c r="CS224" i="18" s="1"/>
  <c r="BP223" i="68"/>
  <c r="CR219" i="18" s="1"/>
  <c r="BO223" i="68"/>
  <c r="CQ219" i="18" s="1"/>
  <c r="CO116" i="18"/>
  <c r="BQ230" i="68"/>
  <c r="CS226" i="18" s="1"/>
  <c r="BO235" i="68"/>
  <c r="CQ231" i="18" s="1"/>
  <c r="BP235" i="68"/>
  <c r="CR231" i="18" s="1"/>
  <c r="BP226" i="68"/>
  <c r="CR222" i="18" s="1"/>
  <c r="BO226" i="68"/>
  <c r="CQ222" i="18" s="1"/>
  <c r="BQ227" i="68"/>
  <c r="CS223" i="18" s="1"/>
  <c r="CO114" i="18"/>
  <c r="BR234" i="68"/>
  <c r="CT230" i="18" s="1"/>
  <c r="BO225" i="68"/>
  <c r="CQ221" i="18" s="1"/>
  <c r="BP225" i="68"/>
  <c r="CR221" i="18" s="1"/>
  <c r="BR235" i="68"/>
  <c r="CT231" i="18" s="1"/>
  <c r="BR227" i="68"/>
  <c r="CT223" i="18" s="1"/>
  <c r="CP114" i="18"/>
  <c r="BR225" i="68"/>
  <c r="CT221" i="18" s="1"/>
  <c r="BQ231" i="68"/>
  <c r="CS227" i="18" s="1"/>
  <c r="Q165" i="18"/>
  <c r="BP224" i="68"/>
  <c r="CR220" i="18" s="1"/>
  <c r="BO224" i="68"/>
  <c r="CQ220" i="18" s="1"/>
  <c r="U114" i="18"/>
  <c r="BR232" i="68"/>
  <c r="CT228" i="18" s="1"/>
  <c r="V46" i="68" l="1"/>
  <c r="V47" i="68"/>
  <c r="V44" i="68" s="1"/>
  <c r="T95" i="18" s="1"/>
  <c r="S20" i="60"/>
  <c r="E13" i="60" s="1"/>
  <c r="E51" i="60" s="1"/>
  <c r="AH15" i="60"/>
  <c r="AH53" i="60" s="1"/>
  <c r="BZ53" i="18"/>
  <c r="BD392" i="67" s="1"/>
  <c r="BX53" i="18"/>
  <c r="BB369" i="67" s="1"/>
  <c r="CG18" i="18"/>
  <c r="CH18" i="18" s="1"/>
  <c r="AY392" i="67"/>
  <c r="AY369" i="67"/>
  <c r="AZ392" i="67"/>
  <c r="AZ369" i="67"/>
  <c r="AZ394" i="67"/>
  <c r="AZ370" i="67"/>
  <c r="CA58" i="18"/>
  <c r="CA59" i="18"/>
  <c r="AY394" i="67"/>
  <c r="AY370" i="67"/>
  <c r="BY53" i="18"/>
  <c r="BC369" i="67" s="1"/>
  <c r="CA55" i="18"/>
  <c r="BW53" i="18"/>
  <c r="CA60" i="18"/>
  <c r="CA54" i="18"/>
  <c r="S35" i="18"/>
  <c r="S38" i="18"/>
  <c r="CK15" i="18"/>
  <c r="CJ15" i="18"/>
  <c r="CL15" i="18"/>
  <c r="U10" i="6"/>
  <c r="CM15" i="18"/>
  <c r="Q53" i="18"/>
  <c r="CD54" i="18"/>
  <c r="CC54" i="18"/>
  <c r="CB54" i="18"/>
  <c r="W63" i="68"/>
  <c r="W62" i="68"/>
  <c r="W60" i="68"/>
  <c r="U18" i="18" s="1"/>
  <c r="CB59" i="18"/>
  <c r="CC59" i="18"/>
  <c r="CD59" i="18"/>
  <c r="CA57" i="18"/>
  <c r="BX56" i="18"/>
  <c r="Q17" i="18"/>
  <c r="S235" i="67"/>
  <c r="Q253" i="18"/>
  <c r="CB60" i="18"/>
  <c r="CD60" i="18"/>
  <c r="CC60" i="18"/>
  <c r="AX370" i="67"/>
  <c r="AX394" i="67"/>
  <c r="R24" i="6"/>
  <c r="P47" i="18"/>
  <c r="P158" i="18"/>
  <c r="R25" i="6"/>
  <c r="R330" i="67" s="1"/>
  <c r="L10" i="61"/>
  <c r="Q329" i="67"/>
  <c r="T15" i="18"/>
  <c r="Z14" i="60" s="1"/>
  <c r="V9" i="6"/>
  <c r="Q56" i="18"/>
  <c r="CD57" i="18"/>
  <c r="CB57" i="18"/>
  <c r="CC57" i="18"/>
  <c r="R39" i="18"/>
  <c r="R57" i="18" s="1"/>
  <c r="R41" i="18"/>
  <c r="R59" i="18" s="1"/>
  <c r="R40" i="18"/>
  <c r="R58" i="18" s="1"/>
  <c r="R42" i="18"/>
  <c r="R60" i="18" s="1"/>
  <c r="BW56" i="18"/>
  <c r="BY56" i="18"/>
  <c r="AX369" i="67"/>
  <c r="AX392" i="67"/>
  <c r="O170" i="6"/>
  <c r="P45" i="18"/>
  <c r="P74" i="18"/>
  <c r="P52" i="18"/>
  <c r="R19" i="6"/>
  <c r="P70" i="18"/>
  <c r="P155" i="18"/>
  <c r="CC55" i="18"/>
  <c r="CD55" i="18"/>
  <c r="CB55" i="18"/>
  <c r="CD58" i="18"/>
  <c r="CC58" i="18"/>
  <c r="CB58" i="18"/>
  <c r="R16" i="18"/>
  <c r="R36" i="18"/>
  <c r="R54" i="18" s="1"/>
  <c r="R37" i="18"/>
  <c r="R55" i="18" s="1"/>
  <c r="Q325" i="67"/>
  <c r="L9" i="61"/>
  <c r="BZ56" i="18"/>
  <c r="CM119" i="18"/>
  <c r="CP119" i="18"/>
  <c r="CN119" i="18"/>
  <c r="CO119" i="18"/>
  <c r="CS119" i="18"/>
  <c r="CR119" i="18"/>
  <c r="CT119" i="18"/>
  <c r="S252" i="18"/>
  <c r="T25" i="18"/>
  <c r="U27" i="18"/>
  <c r="W90" i="68"/>
  <c r="U26" i="18" s="1"/>
  <c r="U29" i="18"/>
  <c r="W26" i="6" s="1"/>
  <c r="AA13" i="60" s="1"/>
  <c r="W96" i="68"/>
  <c r="U32" i="18" s="1"/>
  <c r="CF225" i="18"/>
  <c r="CH225" i="18"/>
  <c r="CG225" i="18"/>
  <c r="CQ116" i="18"/>
  <c r="CJ115" i="18"/>
  <c r="CJ225" i="18" s="1"/>
  <c r="CM225" i="18" s="1"/>
  <c r="CM117" i="18"/>
  <c r="CM115" i="18" s="1"/>
  <c r="CQ114" i="18"/>
  <c r="S52" i="6"/>
  <c r="CC165" i="18"/>
  <c r="BG19" i="15" s="1"/>
  <c r="CD165" i="18"/>
  <c r="BH19" i="15" s="1"/>
  <c r="BP401" i="67"/>
  <c r="BT224" i="68"/>
  <c r="BS224" i="68"/>
  <c r="CU220" i="18" s="1"/>
  <c r="BU231" i="68"/>
  <c r="CS117" i="18"/>
  <c r="BV235" i="68"/>
  <c r="BT225" i="68"/>
  <c r="BS225" i="68"/>
  <c r="CU221" i="18" s="1"/>
  <c r="BV234" i="68"/>
  <c r="BO401" i="67"/>
  <c r="BT235" i="68"/>
  <c r="BS235" i="68"/>
  <c r="CU231" i="18" s="1"/>
  <c r="BT223" i="68"/>
  <c r="BS223" i="68"/>
  <c r="CU219" i="18" s="1"/>
  <c r="BU236" i="68"/>
  <c r="G24" i="74"/>
  <c r="V121" i="68"/>
  <c r="V118" i="68" s="1"/>
  <c r="T194" i="18" s="1"/>
  <c r="V65" i="6" s="1"/>
  <c r="V289" i="67" s="1"/>
  <c r="V120" i="68"/>
  <c r="W119" i="68"/>
  <c r="BV223" i="68"/>
  <c r="BU232" i="68"/>
  <c r="BV220" i="68"/>
  <c r="BT227" i="68"/>
  <c r="CR114" i="18"/>
  <c r="BS227" i="68"/>
  <c r="CU223" i="18" s="1"/>
  <c r="BV232" i="68"/>
  <c r="BV225" i="68"/>
  <c r="BU227" i="68"/>
  <c r="CS114" i="18"/>
  <c r="W46" i="68"/>
  <c r="W47" i="68"/>
  <c r="W44" i="68" s="1"/>
  <c r="U95" i="18" s="1"/>
  <c r="CS116" i="18"/>
  <c r="BU230" i="68"/>
  <c r="BU228" i="68"/>
  <c r="BV236" i="68"/>
  <c r="BT230" i="68"/>
  <c r="CR116" i="18"/>
  <c r="BS230" i="68"/>
  <c r="CU226" i="18" s="1"/>
  <c r="BU221" i="68"/>
  <c r="BV228" i="68"/>
  <c r="CP117" i="18"/>
  <c r="CP115" i="18" s="1"/>
  <c r="CP225" i="18" s="1"/>
  <c r="CN117" i="18"/>
  <c r="CO117" i="18"/>
  <c r="CO115" i="18" s="1"/>
  <c r="CO225" i="18" s="1"/>
  <c r="W40" i="6"/>
  <c r="BT221" i="68"/>
  <c r="BS221" i="68"/>
  <c r="CU217" i="18" s="1"/>
  <c r="V36" i="68"/>
  <c r="V37" i="68"/>
  <c r="V34" i="68" s="1"/>
  <c r="T84" i="18" s="1"/>
  <c r="W35" i="68"/>
  <c r="BS228" i="68"/>
  <c r="CU224" i="18" s="1"/>
  <c r="BU233" i="68"/>
  <c r="BU225" i="68"/>
  <c r="BU226" i="68"/>
  <c r="BT220" i="68"/>
  <c r="BS220" i="68"/>
  <c r="CU216" i="18" s="1"/>
  <c r="CR117" i="18"/>
  <c r="BT231" i="68"/>
  <c r="BS231" i="68"/>
  <c r="CU227" i="18" s="1"/>
  <c r="BU235" i="68"/>
  <c r="T28" i="18"/>
  <c r="V26" i="6"/>
  <c r="Z13" i="60" s="1"/>
  <c r="CT116" i="18"/>
  <c r="BV230" i="68"/>
  <c r="BU224" i="68"/>
  <c r="BU234" i="68"/>
  <c r="BV224" i="68"/>
  <c r="CT114" i="18"/>
  <c r="BV227" i="68"/>
  <c r="BT226" i="68"/>
  <c r="BS226" i="68"/>
  <c r="CU222" i="18" s="1"/>
  <c r="BT234" i="68"/>
  <c r="BS234" i="68"/>
  <c r="CU230" i="18" s="1"/>
  <c r="BU220" i="68"/>
  <c r="CT117" i="18"/>
  <c r="BV231" i="68"/>
  <c r="BV226" i="68"/>
  <c r="BT236" i="68"/>
  <c r="BS236" i="68"/>
  <c r="CU232" i="18" s="1"/>
  <c r="Q173" i="18"/>
  <c r="Y80" i="6"/>
  <c r="O175" i="6"/>
  <c r="O90" i="6"/>
  <c r="J23" i="61"/>
  <c r="O86" i="6"/>
  <c r="O130" i="6"/>
  <c r="O129" i="6"/>
  <c r="O154" i="6"/>
  <c r="O87" i="6"/>
  <c r="O114" i="6"/>
  <c r="O143" i="6"/>
  <c r="O81" i="6"/>
  <c r="O82" i="6" s="1"/>
  <c r="O164" i="6"/>
  <c r="BT232" i="68"/>
  <c r="BS232" i="68"/>
  <c r="CU228" i="18" s="1"/>
  <c r="BU223" i="68"/>
  <c r="V27" i="6"/>
  <c r="R165" i="18"/>
  <c r="BV233" i="68"/>
  <c r="AH16" i="60" l="1"/>
  <c r="Y87" i="6"/>
  <c r="Z19" i="6"/>
  <c r="V9" i="60"/>
  <c r="Z24" i="6"/>
  <c r="V10" i="60"/>
  <c r="AS38" i="60"/>
  <c r="BB392" i="67"/>
  <c r="BK390" i="67"/>
  <c r="BD369" i="67"/>
  <c r="CE58" i="18"/>
  <c r="CE55" i="18"/>
  <c r="BC392" i="67"/>
  <c r="CE60" i="18"/>
  <c r="CA56" i="18"/>
  <c r="BE394" i="67" s="1"/>
  <c r="BA369" i="67"/>
  <c r="BA392" i="67"/>
  <c r="CA53" i="18"/>
  <c r="BE392" i="67" s="1"/>
  <c r="CG59" i="18"/>
  <c r="CH59" i="18"/>
  <c r="CF59" i="18"/>
  <c r="CD56" i="18"/>
  <c r="S19" i="6"/>
  <c r="W9" i="60" s="1"/>
  <c r="AK28" i="60" s="1"/>
  <c r="Q74" i="18"/>
  <c r="Q155" i="18"/>
  <c r="Q70" i="18"/>
  <c r="Q45" i="18"/>
  <c r="BD394" i="67"/>
  <c r="BD370" i="67"/>
  <c r="S20" i="6"/>
  <c r="S326" i="67" s="1"/>
  <c r="BA370" i="67"/>
  <c r="BA394" i="67"/>
  <c r="CG57" i="18"/>
  <c r="CH57" i="18"/>
  <c r="CF57" i="18"/>
  <c r="R56" i="18"/>
  <c r="Q158" i="18"/>
  <c r="Q47" i="18"/>
  <c r="S24" i="6"/>
  <c r="W10" i="60" s="1"/>
  <c r="AK29" i="60" s="1"/>
  <c r="S25" i="6"/>
  <c r="S330" i="67" s="1"/>
  <c r="BB370" i="67"/>
  <c r="BB394" i="67"/>
  <c r="CE59" i="18"/>
  <c r="CB53" i="18"/>
  <c r="CE54" i="18"/>
  <c r="BC394" i="67"/>
  <c r="BC370" i="67"/>
  <c r="S16" i="18"/>
  <c r="S36" i="18"/>
  <c r="S54" i="18" s="1"/>
  <c r="S37" i="18"/>
  <c r="S55" i="18" s="1"/>
  <c r="CG55" i="18"/>
  <c r="CF55" i="18"/>
  <c r="CH55" i="18"/>
  <c r="CH60" i="18"/>
  <c r="CG60" i="18"/>
  <c r="CF60" i="18"/>
  <c r="CC56" i="18"/>
  <c r="U15" i="18"/>
  <c r="AA14" i="60" s="1"/>
  <c r="W9" i="6"/>
  <c r="AA9" i="6" s="1"/>
  <c r="CC53" i="18"/>
  <c r="R17" i="18"/>
  <c r="T235" i="67"/>
  <c r="R253" i="18"/>
  <c r="M9" i="61"/>
  <c r="R325" i="67"/>
  <c r="T38" i="18"/>
  <c r="T35" i="18"/>
  <c r="CO15" i="18"/>
  <c r="CN15" i="18"/>
  <c r="CP15" i="18"/>
  <c r="V10" i="6"/>
  <c r="CQ15" i="18"/>
  <c r="CG54" i="18"/>
  <c r="CH54" i="18"/>
  <c r="CF54" i="18"/>
  <c r="R53" i="18"/>
  <c r="CH58" i="18"/>
  <c r="CG58" i="18"/>
  <c r="CF58" i="18"/>
  <c r="CE57" i="18"/>
  <c r="CB56" i="18"/>
  <c r="R329" i="67"/>
  <c r="M10" i="61"/>
  <c r="CJ18" i="18"/>
  <c r="BL390" i="67"/>
  <c r="CD53" i="18"/>
  <c r="S40" i="18"/>
  <c r="S58" i="18" s="1"/>
  <c r="S39" i="18"/>
  <c r="S57" i="18" s="1"/>
  <c r="S42" i="18"/>
  <c r="S60" i="18" s="1"/>
  <c r="S41" i="18"/>
  <c r="S59" i="18" s="1"/>
  <c r="CU119" i="18"/>
  <c r="CQ119" i="18"/>
  <c r="T252" i="18"/>
  <c r="BN401" i="67"/>
  <c r="U28" i="18"/>
  <c r="W27" i="6"/>
  <c r="U25" i="18"/>
  <c r="CI225" i="18"/>
  <c r="CU114" i="18"/>
  <c r="CU117" i="18"/>
  <c r="CN115" i="18"/>
  <c r="CN225" i="18" s="1"/>
  <c r="CQ225" i="18" s="1"/>
  <c r="CQ117" i="18"/>
  <c r="CQ115" i="18" s="1"/>
  <c r="BU401" i="67" s="1"/>
  <c r="CU116" i="18"/>
  <c r="BQ401" i="67"/>
  <c r="CS115" i="18"/>
  <c r="CS225" i="18" s="1"/>
  <c r="T52" i="6"/>
  <c r="CT115" i="18"/>
  <c r="CT225" i="18" s="1"/>
  <c r="BT401" i="67"/>
  <c r="CR115" i="18"/>
  <c r="CR225" i="18" s="1"/>
  <c r="BS401" i="67"/>
  <c r="J42" i="61"/>
  <c r="G5" i="12"/>
  <c r="J6" i="74" s="1"/>
  <c r="J50" i="61"/>
  <c r="G6" i="12"/>
  <c r="J7" i="74" s="1"/>
  <c r="S165" i="18"/>
  <c r="O117" i="6"/>
  <c r="E15" i="60" s="1"/>
  <c r="O314" i="67"/>
  <c r="J33" i="61"/>
  <c r="R173" i="18"/>
  <c r="J32" i="61"/>
  <c r="O147" i="6"/>
  <c r="O158" i="6"/>
  <c r="J52" i="61" s="1"/>
  <c r="O308" i="67"/>
  <c r="J25" i="61"/>
  <c r="J26" i="61" s="1"/>
  <c r="W36" i="68"/>
  <c r="W37" i="68"/>
  <c r="W34" i="68" s="1"/>
  <c r="U84" i="18" s="1"/>
  <c r="W121" i="68"/>
  <c r="W120" i="68"/>
  <c r="W118" i="68"/>
  <c r="U194" i="18" s="1"/>
  <c r="W65" i="6" s="1"/>
  <c r="W289" i="67" s="1"/>
  <c r="T8" i="68" l="1"/>
  <c r="U8" i="68" s="1"/>
  <c r="AK48" i="60"/>
  <c r="T7" i="68"/>
  <c r="U7" i="68" s="1"/>
  <c r="AK47" i="60"/>
  <c r="CH53" i="18"/>
  <c r="BL392" i="67" s="1"/>
  <c r="CF53" i="18"/>
  <c r="BJ392" i="67" s="1"/>
  <c r="CE53" i="18"/>
  <c r="BI392" i="67" s="1"/>
  <c r="CI59" i="18"/>
  <c r="CE56" i="18"/>
  <c r="BI394" i="67" s="1"/>
  <c r="BE369" i="67"/>
  <c r="CI60" i="18"/>
  <c r="BE370" i="67"/>
  <c r="CI55" i="18"/>
  <c r="CI58" i="18"/>
  <c r="CG53" i="18"/>
  <c r="BK392" i="67" s="1"/>
  <c r="CK60" i="18"/>
  <c r="CJ60" i="18"/>
  <c r="CL60" i="18"/>
  <c r="BG392" i="67"/>
  <c r="BG369" i="67"/>
  <c r="BG394" i="67"/>
  <c r="BG370" i="67"/>
  <c r="N10" i="61"/>
  <c r="S329" i="67"/>
  <c r="CF56" i="18"/>
  <c r="CI57" i="18"/>
  <c r="BH370" i="67"/>
  <c r="BH394" i="67"/>
  <c r="S56" i="18"/>
  <c r="CK57" i="18"/>
  <c r="CL57" i="18"/>
  <c r="CJ57" i="18"/>
  <c r="BN390" i="67"/>
  <c r="CK18" i="18"/>
  <c r="BO390" i="67" s="1"/>
  <c r="CI54" i="18"/>
  <c r="T16" i="18"/>
  <c r="T37" i="18"/>
  <c r="T55" i="18" s="1"/>
  <c r="T36" i="18"/>
  <c r="T54" i="18" s="1"/>
  <c r="CL55" i="18"/>
  <c r="CJ55" i="18"/>
  <c r="CK55" i="18"/>
  <c r="CH56" i="18"/>
  <c r="CK58" i="18"/>
  <c r="CJ58" i="18"/>
  <c r="CL58" i="18"/>
  <c r="R45" i="18"/>
  <c r="R74" i="18"/>
  <c r="T19" i="6"/>
  <c r="X9" i="60" s="1"/>
  <c r="R70" i="18"/>
  <c r="R155" i="18"/>
  <c r="T39" i="18"/>
  <c r="T57" i="18" s="1"/>
  <c r="T42" i="18"/>
  <c r="T60" i="18" s="1"/>
  <c r="T41" i="18"/>
  <c r="T59" i="18" s="1"/>
  <c r="T40" i="18"/>
  <c r="T58" i="18" s="1"/>
  <c r="U35" i="18"/>
  <c r="CS15" i="18"/>
  <c r="U38" i="18"/>
  <c r="CR15" i="18"/>
  <c r="CT15" i="18"/>
  <c r="W10" i="6"/>
  <c r="CU15" i="18"/>
  <c r="T20" i="6"/>
  <c r="T326" i="67" s="1"/>
  <c r="CJ54" i="18"/>
  <c r="S53" i="18"/>
  <c r="CL54" i="18"/>
  <c r="CK54" i="18"/>
  <c r="CG56" i="18"/>
  <c r="CK59" i="18"/>
  <c r="CL59" i="18"/>
  <c r="CJ59" i="18"/>
  <c r="BH392" i="67"/>
  <c r="BH369" i="67"/>
  <c r="BF370" i="67"/>
  <c r="BF394" i="67"/>
  <c r="S17" i="18"/>
  <c r="U235" i="67"/>
  <c r="S253" i="18"/>
  <c r="BF369" i="67"/>
  <c r="BF392" i="67"/>
  <c r="T25" i="6"/>
  <c r="T330" i="67" s="1"/>
  <c r="R47" i="18"/>
  <c r="R158" i="18"/>
  <c r="T24" i="6"/>
  <c r="X10" i="60" s="1"/>
  <c r="S325" i="67"/>
  <c r="N9" i="61"/>
  <c r="CU115" i="18"/>
  <c r="BY401" i="67" s="1"/>
  <c r="U252" i="18"/>
  <c r="CU225" i="18"/>
  <c r="BW401" i="67"/>
  <c r="BR401" i="67"/>
  <c r="U52" i="6"/>
  <c r="O305" i="67"/>
  <c r="O307" i="67"/>
  <c r="O123" i="6"/>
  <c r="BV401" i="67"/>
  <c r="T165" i="18"/>
  <c r="J44" i="61"/>
  <c r="S173" i="18"/>
  <c r="BX401" i="67"/>
  <c r="BL369" i="67" l="1"/>
  <c r="CJ53" i="18"/>
  <c r="BN392" i="67" s="1"/>
  <c r="BI370" i="67"/>
  <c r="BK369" i="67"/>
  <c r="BI369" i="67"/>
  <c r="BJ369" i="67"/>
  <c r="CI53" i="18"/>
  <c r="BM392" i="67" s="1"/>
  <c r="CK53" i="18"/>
  <c r="BO392" i="67" s="1"/>
  <c r="CM60" i="18"/>
  <c r="CM55" i="18"/>
  <c r="CL18" i="18"/>
  <c r="BP390" i="67" s="1"/>
  <c r="CM59" i="18"/>
  <c r="CI56" i="18"/>
  <c r="CM58" i="18"/>
  <c r="CL53" i="18"/>
  <c r="BP392" i="67" s="1"/>
  <c r="CO57" i="18"/>
  <c r="CN57" i="18"/>
  <c r="T56" i="18"/>
  <c r="CP57" i="18"/>
  <c r="CK56" i="18"/>
  <c r="O10" i="61"/>
  <c r="T329" i="67"/>
  <c r="S74" i="18"/>
  <c r="U19" i="6"/>
  <c r="Y9" i="60" s="1"/>
  <c r="S70" i="18"/>
  <c r="S155" i="18"/>
  <c r="S45" i="18"/>
  <c r="U40" i="18"/>
  <c r="U58" i="18" s="1"/>
  <c r="U41" i="18"/>
  <c r="U59" i="18" s="1"/>
  <c r="U42" i="18"/>
  <c r="U60" i="18" s="1"/>
  <c r="U39" i="18"/>
  <c r="U57" i="18" s="1"/>
  <c r="CP58" i="18"/>
  <c r="CN58" i="18"/>
  <c r="CO58" i="18"/>
  <c r="U20" i="6"/>
  <c r="U326" i="67" s="1"/>
  <c r="CP54" i="18"/>
  <c r="CN54" i="18"/>
  <c r="CO54" i="18"/>
  <c r="T53" i="18"/>
  <c r="V20" i="6" s="1"/>
  <c r="V326" i="67" s="1"/>
  <c r="U25" i="6"/>
  <c r="U330" i="67" s="1"/>
  <c r="S158" i="18"/>
  <c r="U24" i="6"/>
  <c r="Y10" i="60" s="1"/>
  <c r="S47" i="18"/>
  <c r="BJ370" i="67"/>
  <c r="BJ394" i="67"/>
  <c r="CM54" i="18"/>
  <c r="CP59" i="18"/>
  <c r="CN59" i="18"/>
  <c r="CO59" i="18"/>
  <c r="CP55" i="18"/>
  <c r="CN55" i="18"/>
  <c r="CO55" i="18"/>
  <c r="CJ56" i="18"/>
  <c r="CM57" i="18"/>
  <c r="BK394" i="67"/>
  <c r="BK370" i="67"/>
  <c r="U16" i="18"/>
  <c r="U37" i="18"/>
  <c r="U55" i="18" s="1"/>
  <c r="U36" i="18"/>
  <c r="U54" i="18" s="1"/>
  <c r="CN60" i="18"/>
  <c r="CP60" i="18"/>
  <c r="CO60" i="18"/>
  <c r="T325" i="67"/>
  <c r="O9" i="61"/>
  <c r="BL370" i="67"/>
  <c r="BL394" i="67"/>
  <c r="T17" i="18"/>
  <c r="V235" i="67"/>
  <c r="T253" i="18"/>
  <c r="CL56" i="18"/>
  <c r="U165" i="18"/>
  <c r="T173" i="18"/>
  <c r="V52" i="6"/>
  <c r="O166" i="6"/>
  <c r="O165" i="6"/>
  <c r="BN369" i="67" l="1"/>
  <c r="BO369" i="67"/>
  <c r="BM369" i="67"/>
  <c r="CM56" i="18"/>
  <c r="BQ394" i="67" s="1"/>
  <c r="CM53" i="18"/>
  <c r="BQ392" i="67" s="1"/>
  <c r="CN18" i="18"/>
  <c r="CO18" i="18" s="1"/>
  <c r="BS390" i="67" s="1"/>
  <c r="CQ60" i="18"/>
  <c r="CQ54" i="18"/>
  <c r="BM394" i="67"/>
  <c r="BM370" i="67"/>
  <c r="BP369" i="67"/>
  <c r="CQ58" i="18"/>
  <c r="CQ55" i="18"/>
  <c r="CQ59" i="18"/>
  <c r="U53" i="18"/>
  <c r="CS54" i="18"/>
  <c r="CR54" i="18"/>
  <c r="CT54" i="18"/>
  <c r="BN394" i="67"/>
  <c r="BN370" i="67"/>
  <c r="CP53" i="18"/>
  <c r="CR59" i="18"/>
  <c r="CT59" i="18"/>
  <c r="CS59" i="18"/>
  <c r="CN56" i="18"/>
  <c r="CQ57" i="18"/>
  <c r="CT55" i="18"/>
  <c r="CR55" i="18"/>
  <c r="CS55" i="18"/>
  <c r="U329" i="67"/>
  <c r="P10" i="61"/>
  <c r="V19" i="6"/>
  <c r="Z9" i="60" s="1"/>
  <c r="T74" i="18"/>
  <c r="T155" i="18"/>
  <c r="T70" i="18"/>
  <c r="T45" i="18"/>
  <c r="CT58" i="18"/>
  <c r="CR58" i="18"/>
  <c r="CS58" i="18"/>
  <c r="P9" i="61"/>
  <c r="U325" i="67"/>
  <c r="CO56" i="18"/>
  <c r="BP370" i="67"/>
  <c r="BP394" i="67"/>
  <c r="U17" i="18"/>
  <c r="W235" i="67"/>
  <c r="U253" i="18"/>
  <c r="CO53" i="18"/>
  <c r="CR57" i="18"/>
  <c r="CT57" i="18"/>
  <c r="U56" i="18"/>
  <c r="CS57" i="18"/>
  <c r="CP56" i="18"/>
  <c r="CN53" i="18"/>
  <c r="CR60" i="18"/>
  <c r="CT60" i="18"/>
  <c r="CS60" i="18"/>
  <c r="BO394" i="67"/>
  <c r="BO370" i="67"/>
  <c r="V25" i="6"/>
  <c r="V330" i="67" s="1"/>
  <c r="T158" i="18"/>
  <c r="V24" i="6"/>
  <c r="Z10" i="60" s="1"/>
  <c r="T47" i="18"/>
  <c r="W52" i="6"/>
  <c r="U173" i="18"/>
  <c r="BQ369" i="67" l="1"/>
  <c r="BQ370" i="67"/>
  <c r="CQ53" i="18"/>
  <c r="BU369" i="67" s="1"/>
  <c r="BR390" i="67"/>
  <c r="CQ56" i="18"/>
  <c r="BU370" i="67" s="1"/>
  <c r="CP18" i="18"/>
  <c r="BT390" i="67" s="1"/>
  <c r="CU59" i="18"/>
  <c r="CS56" i="18"/>
  <c r="BW370" i="67" s="1"/>
  <c r="CU58" i="18"/>
  <c r="CU60" i="18"/>
  <c r="CU55" i="18"/>
  <c r="BS392" i="67"/>
  <c r="BS369" i="67"/>
  <c r="BT392" i="67"/>
  <c r="BT369" i="67"/>
  <c r="CT53" i="18"/>
  <c r="Q10" i="61"/>
  <c r="V329" i="67"/>
  <c r="U158" i="18"/>
  <c r="U47" i="18"/>
  <c r="W25" i="6"/>
  <c r="W330" i="67" s="1"/>
  <c r="W24" i="6"/>
  <c r="AA10" i="60" s="1"/>
  <c r="CR53" i="18"/>
  <c r="CU54" i="18"/>
  <c r="BR392" i="67"/>
  <c r="BR369" i="67"/>
  <c r="CT56" i="18"/>
  <c r="BS370" i="67"/>
  <c r="BS394" i="67"/>
  <c r="CS53" i="18"/>
  <c r="BT394" i="67"/>
  <c r="BT370" i="67"/>
  <c r="CR56" i="18"/>
  <c r="CU57" i="18"/>
  <c r="V325" i="67"/>
  <c r="Q9" i="61"/>
  <c r="BR370" i="67"/>
  <c r="BR394" i="67"/>
  <c r="W20" i="6"/>
  <c r="W326" i="67" s="1"/>
  <c r="U70" i="18"/>
  <c r="W19" i="6"/>
  <c r="AA9" i="60" s="1"/>
  <c r="U155" i="18"/>
  <c r="U74" i="18"/>
  <c r="U45" i="18"/>
  <c r="S38" i="87"/>
  <c r="BU392" i="67" l="1"/>
  <c r="CU53" i="18"/>
  <c r="BY392" i="67" s="1"/>
  <c r="BU394" i="67"/>
  <c r="CR18" i="18"/>
  <c r="CS18" i="18" s="1"/>
  <c r="BW390" i="67" s="1"/>
  <c r="BW394" i="67"/>
  <c r="CU56" i="18"/>
  <c r="BY370" i="67" s="1"/>
  <c r="BV392" i="67"/>
  <c r="BV369" i="67"/>
  <c r="BX394" i="67"/>
  <c r="BX370" i="67"/>
  <c r="BW392" i="67"/>
  <c r="BW369" i="67"/>
  <c r="AA24" i="6"/>
  <c r="R10" i="61"/>
  <c r="W329" i="67"/>
  <c r="BX369" i="67"/>
  <c r="BX392" i="67"/>
  <c r="AA19" i="6"/>
  <c r="R9" i="61"/>
  <c r="W325" i="67"/>
  <c r="BV394" i="67"/>
  <c r="BV370" i="67"/>
  <c r="AT391" i="67"/>
  <c r="AT398" i="67"/>
  <c r="AT397" i="67" s="1"/>
  <c r="AT403" i="67" s="1"/>
  <c r="AN44" i="21"/>
  <c r="BH154" i="18"/>
  <c r="BH166" i="18"/>
  <c r="BY369" i="67" l="1"/>
  <c r="BY394" i="67"/>
  <c r="CT18" i="18"/>
  <c r="BX390" i="67" s="1"/>
  <c r="BV390" i="67"/>
  <c r="BP239" i="18"/>
  <c r="AT357" i="67"/>
  <c r="AN6" i="21"/>
  <c r="AN14" i="21" l="1"/>
  <c r="AT48" i="15" s="1"/>
  <c r="AN18" i="21"/>
  <c r="AN197" i="68" s="1"/>
  <c r="AN198" i="68" s="1"/>
  <c r="AR198" i="68" s="1"/>
  <c r="AN30" i="21"/>
  <c r="AR30" i="21" s="1"/>
  <c r="AN33" i="21"/>
  <c r="AR33" i="21" s="1"/>
  <c r="AT435" i="67"/>
  <c r="AN199" i="68" l="1"/>
  <c r="AN200" i="68" s="1"/>
  <c r="AT49" i="15"/>
  <c r="AT112" i="15" s="1"/>
  <c r="AV33" i="21"/>
  <c r="AT356" i="67"/>
  <c r="AT358" i="67" s="1"/>
  <c r="AT377" i="67"/>
  <c r="AT378" i="67" s="1"/>
  <c r="AV30" i="21"/>
  <c r="AN10" i="21"/>
  <c r="AN69" i="21" l="1"/>
  <c r="AR199" i="68"/>
  <c r="AR200" i="68"/>
  <c r="AR197" i="68" s="1"/>
  <c r="AR18" i="21" s="1"/>
  <c r="AV198" i="68"/>
  <c r="AT122" i="15"/>
  <c r="AT91" i="15"/>
  <c r="AT54" i="15"/>
  <c r="AT64" i="15" s="1"/>
  <c r="AT120" i="15" s="1"/>
  <c r="AN11" i="21"/>
  <c r="AN12" i="21"/>
  <c r="AZ33" i="21"/>
  <c r="AZ30" i="21"/>
  <c r="AV200" i="68" l="1"/>
  <c r="AV197" i="68"/>
  <c r="AV18" i="21" s="1"/>
  <c r="AV199" i="68"/>
  <c r="AZ198" i="68"/>
  <c r="BD30" i="21"/>
  <c r="BD33" i="21"/>
  <c r="AZ199" i="68" l="1"/>
  <c r="AZ200" i="68"/>
  <c r="AZ197" i="68" s="1"/>
  <c r="AZ18" i="21" s="1"/>
  <c r="BD198" i="68"/>
  <c r="BH33" i="21"/>
  <c r="BH30" i="21"/>
  <c r="BH198" i="68" l="1"/>
  <c r="BD197" i="68"/>
  <c r="BD18" i="21" s="1"/>
  <c r="BD200" i="68"/>
  <c r="BD199" i="68"/>
  <c r="BL30" i="21"/>
  <c r="BL33" i="21"/>
  <c r="BL198" i="68" l="1"/>
  <c r="BH199" i="68"/>
  <c r="BH200" i="68"/>
  <c r="BH197" i="68" s="1"/>
  <c r="BH18" i="21" s="1"/>
  <c r="BP33" i="21"/>
  <c r="BP30" i="21"/>
  <c r="AT359" i="67"/>
  <c r="AT360" i="67"/>
  <c r="AT361" i="67"/>
  <c r="AT362" i="67"/>
  <c r="AT363" i="67"/>
  <c r="AT365" i="67"/>
  <c r="AT367" i="67" s="1"/>
  <c r="AT366" i="67"/>
  <c r="AT368" i="67"/>
  <c r="AT371" i="67"/>
  <c r="AT372" i="67" s="1"/>
  <c r="AT373" i="67"/>
  <c r="AT374" i="67"/>
  <c r="AT375" i="67"/>
  <c r="AN7" i="21"/>
  <c r="AN49" i="21"/>
  <c r="AN50" i="21"/>
  <c r="AN56" i="21"/>
  <c r="AO53" i="21" s="1"/>
  <c r="AN62" i="21"/>
  <c r="AN60" i="21" s="1"/>
  <c r="AN67" i="21"/>
  <c r="AN72" i="21"/>
  <c r="AN77" i="21"/>
  <c r="AN78" i="21"/>
  <c r="AU36" i="15"/>
  <c r="AV36" i="15" s="1"/>
  <c r="AW36" i="15" s="1"/>
  <c r="AX36" i="15" s="1"/>
  <c r="AY36" i="15" s="1"/>
  <c r="AZ36" i="15" s="1"/>
  <c r="BA36" i="15" s="1"/>
  <c r="BB36" i="15" s="1"/>
  <c r="BC36" i="15" s="1"/>
  <c r="BD36" i="15" s="1"/>
  <c r="BE36" i="15" s="1"/>
  <c r="BF36" i="15" s="1"/>
  <c r="BG36" i="15" s="1"/>
  <c r="BH36" i="15" s="1"/>
  <c r="BI36" i="15" s="1"/>
  <c r="BJ36" i="15" s="1"/>
  <c r="BK36" i="15" s="1"/>
  <c r="BL36" i="15" s="1"/>
  <c r="BM36" i="15" s="1"/>
  <c r="BN36" i="15" s="1"/>
  <c r="BO36" i="15" s="1"/>
  <c r="BP36" i="15" s="1"/>
  <c r="BQ36" i="15" s="1"/>
  <c r="BR36" i="15" s="1"/>
  <c r="BS36" i="15" s="1"/>
  <c r="BT36" i="15" s="1"/>
  <c r="BU36" i="15" s="1"/>
  <c r="BV36" i="15" s="1"/>
  <c r="BW36" i="15" s="1"/>
  <c r="BX36" i="15" s="1"/>
  <c r="BY36" i="15" s="1"/>
  <c r="AU111" i="15"/>
  <c r="BP123" i="18"/>
  <c r="BP153" i="18"/>
  <c r="BP165" i="18"/>
  <c r="BP197" i="18"/>
  <c r="BP198" i="18" s="1"/>
  <c r="BP207" i="18"/>
  <c r="AN24" i="21" l="1"/>
  <c r="AR24" i="21" s="1"/>
  <c r="AV24" i="21" s="1"/>
  <c r="AN21" i="21"/>
  <c r="AN202" i="68" s="1"/>
  <c r="AN203" i="68" s="1"/>
  <c r="AR203" i="68" s="1"/>
  <c r="AN61" i="21"/>
  <c r="AN27" i="21"/>
  <c r="AN207" i="68" s="1"/>
  <c r="AN208" i="68" s="1"/>
  <c r="AR208" i="68" s="1"/>
  <c r="BP171" i="18"/>
  <c r="BP244" i="18" s="1"/>
  <c r="BP150" i="18"/>
  <c r="AN204" i="68"/>
  <c r="AN205" i="68" s="1"/>
  <c r="BL199" i="68"/>
  <c r="BP198" i="68"/>
  <c r="BL200" i="68"/>
  <c r="BL197" i="68" s="1"/>
  <c r="BL18" i="21" s="1"/>
  <c r="BP208" i="18"/>
  <c r="BP129" i="18"/>
  <c r="BP229" i="18"/>
  <c r="AN233" i="68" s="1"/>
  <c r="BP199" i="18"/>
  <c r="BP200" i="18"/>
  <c r="BT200" i="18" s="1"/>
  <c r="BX200" i="18" s="1"/>
  <c r="AN57" i="21"/>
  <c r="AN70" i="21"/>
  <c r="AN71" i="21" s="1"/>
  <c r="AN213" i="68" s="1"/>
  <c r="AO213" i="68" s="1"/>
  <c r="AP213" i="68" s="1"/>
  <c r="AO59" i="21"/>
  <c r="AO62" i="21" s="1"/>
  <c r="BS165" i="18"/>
  <c r="AW19" i="15" s="1"/>
  <c r="AN55" i="21"/>
  <c r="AN54" i="21"/>
  <c r="AR55" i="21" s="1"/>
  <c r="AN63" i="21"/>
  <c r="AN65" i="21"/>
  <c r="AN66" i="21" s="1"/>
  <c r="O129" i="18" l="1" a="1"/>
  <c r="O129" i="18" s="1"/>
  <c r="Q129" i="18" a="1"/>
  <c r="R129" i="18" a="1"/>
  <c r="T129" i="18" a="1"/>
  <c r="N129" i="18" a="1"/>
  <c r="P129" i="18" a="1"/>
  <c r="U129" i="18" a="1"/>
  <c r="U129" i="18" s="1"/>
  <c r="S129" i="18" a="1"/>
  <c r="S129" i="18" s="1"/>
  <c r="R129" i="18"/>
  <c r="T129" i="18"/>
  <c r="Q129" i="18"/>
  <c r="P129" i="18"/>
  <c r="N129" i="18"/>
  <c r="N147" i="18" s="1"/>
  <c r="P48" i="6" s="1"/>
  <c r="AO70" i="21"/>
  <c r="AO72" i="21" s="1"/>
  <c r="AN209" i="68"/>
  <c r="AN210" i="68" s="1"/>
  <c r="BP141" i="18"/>
  <c r="BP138" i="18" s="1"/>
  <c r="BP199" i="68"/>
  <c r="BP200" i="68"/>
  <c r="BP197" i="68" s="1"/>
  <c r="BP18" i="21" s="1"/>
  <c r="BT198" i="68"/>
  <c r="AR204" i="68"/>
  <c r="AR205" i="68"/>
  <c r="AR202" i="68" s="1"/>
  <c r="AR21" i="21" s="1"/>
  <c r="AV203" i="68"/>
  <c r="AV208" i="68"/>
  <c r="AR210" i="68"/>
  <c r="AR207" i="68" s="1"/>
  <c r="AR27" i="21" s="1"/>
  <c r="AR209" i="68"/>
  <c r="AQ233" i="68"/>
  <c r="BS229" i="18" s="1"/>
  <c r="AR233" i="68"/>
  <c r="AP59" i="21"/>
  <c r="AP62" i="21" s="1"/>
  <c r="AU77" i="15"/>
  <c r="AZ24" i="21"/>
  <c r="CB200" i="18"/>
  <c r="AP70" i="21" l="1"/>
  <c r="Q147" i="18"/>
  <c r="S48" i="6" s="1"/>
  <c r="U147" i="18"/>
  <c r="W48" i="6" s="1"/>
  <c r="O147" i="18"/>
  <c r="Q48" i="6" s="1"/>
  <c r="S147" i="18"/>
  <c r="U48" i="6" s="1"/>
  <c r="R147" i="18"/>
  <c r="T48" i="6" s="1"/>
  <c r="P147" i="18"/>
  <c r="R48" i="6" s="1"/>
  <c r="T147" i="18"/>
  <c r="V48" i="6" s="1"/>
  <c r="AV204" i="68"/>
  <c r="AZ203" i="68"/>
  <c r="AV205" i="68"/>
  <c r="AV202" i="68"/>
  <c r="AV21" i="21" s="1"/>
  <c r="AV210" i="68"/>
  <c r="AV207" i="68"/>
  <c r="AV27" i="21" s="1"/>
  <c r="AZ208" i="68"/>
  <c r="AV209" i="68"/>
  <c r="BT200" i="68"/>
  <c r="BT197" i="68" s="1"/>
  <c r="BT199" i="68"/>
  <c r="BT229" i="18"/>
  <c r="BT174" i="18" s="1"/>
  <c r="AU233" i="68"/>
  <c r="BW229" i="18" s="1"/>
  <c r="AV233" i="68"/>
  <c r="BD24" i="21"/>
  <c r="AU80" i="15"/>
  <c r="AQ59" i="21"/>
  <c r="AQ62" i="21" s="1"/>
  <c r="AV77" i="15"/>
  <c r="AV80" i="15" s="1"/>
  <c r="CF200" i="18"/>
  <c r="AX20" i="15" l="1"/>
  <c r="BW174" i="18"/>
  <c r="BA20" i="15" s="1"/>
  <c r="AQ70" i="21"/>
  <c r="AZ205" i="68"/>
  <c r="AZ202" i="68" s="1"/>
  <c r="AZ21" i="21" s="1"/>
  <c r="BD203" i="68"/>
  <c r="AZ204" i="68"/>
  <c r="BD208" i="68"/>
  <c r="AZ210" i="68"/>
  <c r="AZ207" i="68" s="1"/>
  <c r="AZ27" i="21" s="1"/>
  <c r="AZ209" i="68"/>
  <c r="BX229" i="18"/>
  <c r="BX174" i="18" s="1"/>
  <c r="AY233" i="68"/>
  <c r="CA229" i="18" s="1"/>
  <c r="AZ233" i="68"/>
  <c r="BT165" i="18"/>
  <c r="AW77" i="15"/>
  <c r="AW80" i="15" s="1"/>
  <c r="AR59" i="21"/>
  <c r="AR62" i="21" s="1"/>
  <c r="BH24" i="21"/>
  <c r="CJ200" i="18"/>
  <c r="BB20" i="15" l="1"/>
  <c r="CA174" i="18"/>
  <c r="BE20" i="15" s="1"/>
  <c r="BD207" i="68"/>
  <c r="BD27" i="21" s="1"/>
  <c r="BH208" i="68"/>
  <c r="BD209" i="68"/>
  <c r="BD210" i="68"/>
  <c r="BD205" i="68"/>
  <c r="BD202" i="68" s="1"/>
  <c r="BD21" i="21" s="1"/>
  <c r="BH203" i="68"/>
  <c r="BD204" i="68"/>
  <c r="AX19" i="15"/>
  <c r="BW165" i="18"/>
  <c r="BA19" i="15" s="1"/>
  <c r="CB229" i="18"/>
  <c r="CB174" i="18" s="1"/>
  <c r="BD233" i="68"/>
  <c r="BC233" i="68"/>
  <c r="CE229" i="18" s="1"/>
  <c r="BX165" i="18"/>
  <c r="BL24" i="21"/>
  <c r="AX77" i="15"/>
  <c r="AX80" i="15" s="1"/>
  <c r="AS59" i="21"/>
  <c r="AS62" i="21" s="1"/>
  <c r="CN200" i="18"/>
  <c r="BF20" i="15" l="1"/>
  <c r="CE174" i="18"/>
  <c r="BL203" i="68"/>
  <c r="BH204" i="68"/>
  <c r="BH205" i="68"/>
  <c r="BH202" i="68"/>
  <c r="BH21" i="21" s="1"/>
  <c r="BH207" i="68"/>
  <c r="BH27" i="21" s="1"/>
  <c r="BL208" i="68"/>
  <c r="BH209" i="68"/>
  <c r="BH210" i="68"/>
  <c r="CF229" i="18"/>
  <c r="BH233" i="68"/>
  <c r="BG233" i="68"/>
  <c r="CI229" i="18" s="1"/>
  <c r="BB19" i="15"/>
  <c r="CA165" i="18"/>
  <c r="BE19" i="15" s="1"/>
  <c r="CB165" i="18"/>
  <c r="AY77" i="15"/>
  <c r="AY80" i="15" s="1"/>
  <c r="AT59" i="21"/>
  <c r="AT62" i="21" s="1"/>
  <c r="BP24" i="21"/>
  <c r="CR200" i="18"/>
  <c r="CF174" i="18" l="1"/>
  <c r="BI20" i="15"/>
  <c r="BL209" i="68"/>
  <c r="BL210" i="68"/>
  <c r="BL207" i="68" s="1"/>
  <c r="BL27" i="21" s="1"/>
  <c r="BP208" i="68"/>
  <c r="BL205" i="68"/>
  <c r="BL202" i="68" s="1"/>
  <c r="BL21" i="21" s="1"/>
  <c r="BP203" i="68"/>
  <c r="BL204" i="68"/>
  <c r="BF19" i="15"/>
  <c r="CE165" i="18"/>
  <c r="CJ229" i="18"/>
  <c r="BK233" i="68"/>
  <c r="CM229" i="18" s="1"/>
  <c r="BL233" i="68"/>
  <c r="AZ77" i="15"/>
  <c r="AZ80" i="15" s="1"/>
  <c r="AU59" i="21"/>
  <c r="AU62" i="21" s="1"/>
  <c r="CG174" i="18" l="1"/>
  <c r="BJ20" i="15"/>
  <c r="BP205" i="68"/>
  <c r="BP202" i="68" s="1"/>
  <c r="BP21" i="21" s="1"/>
  <c r="BT203" i="68"/>
  <c r="BP204" i="68"/>
  <c r="BT208" i="68"/>
  <c r="BP210" i="68"/>
  <c r="BP207" i="68" s="1"/>
  <c r="BP27" i="21" s="1"/>
  <c r="BP209" i="68"/>
  <c r="BI19" i="15"/>
  <c r="CF165" i="18"/>
  <c r="CN229" i="18"/>
  <c r="BO233" i="68"/>
  <c r="CQ229" i="18" s="1"/>
  <c r="BP233" i="68"/>
  <c r="AV59" i="21"/>
  <c r="AV62" i="21" s="1"/>
  <c r="BA77" i="15"/>
  <c r="BA80" i="15" s="1"/>
  <c r="CH174" i="18" l="1"/>
  <c r="BK20" i="15"/>
  <c r="BT209" i="68"/>
  <c r="BT210" i="68"/>
  <c r="BT207" i="68" s="1"/>
  <c r="BT205" i="68"/>
  <c r="BT202" i="68" s="1"/>
  <c r="BT204" i="68"/>
  <c r="BJ19" i="15"/>
  <c r="CG165" i="18"/>
  <c r="CR229" i="18"/>
  <c r="BS233" i="68"/>
  <c r="CU229" i="18" s="1"/>
  <c r="BT233" i="68"/>
  <c r="AW59" i="21"/>
  <c r="AW62" i="21" s="1"/>
  <c r="BB77" i="15"/>
  <c r="BB80" i="15" s="1"/>
  <c r="CI174" i="18" l="1"/>
  <c r="BL20" i="15"/>
  <c r="CH165" i="18"/>
  <c r="BK19" i="15"/>
  <c r="AX59" i="21"/>
  <c r="AX62" i="21" s="1"/>
  <c r="BC77" i="15"/>
  <c r="BC80" i="15" s="1"/>
  <c r="CJ174" i="18" l="1"/>
  <c r="BM20" i="15"/>
  <c r="CI165" i="18"/>
  <c r="BL19" i="15"/>
  <c r="AY59" i="21"/>
  <c r="AY62" i="21" s="1"/>
  <c r="BD77" i="15"/>
  <c r="BD80" i="15" s="1"/>
  <c r="CK174" i="18" l="1"/>
  <c r="BN20" i="15"/>
  <c r="BM19" i="15"/>
  <c r="CJ165" i="18"/>
  <c r="AZ59" i="21"/>
  <c r="AZ62" i="21" s="1"/>
  <c r="BE77" i="15"/>
  <c r="BE80" i="15" s="1"/>
  <c r="CL174" i="18" l="1"/>
  <c r="BO20" i="15"/>
  <c r="CK165" i="18"/>
  <c r="BN19" i="15"/>
  <c r="BA59" i="21"/>
  <c r="BA62" i="21" s="1"/>
  <c r="BF77" i="15"/>
  <c r="BF80" i="15" s="1"/>
  <c r="CM174" i="18" l="1"/>
  <c r="BP20" i="15"/>
  <c r="BO19" i="15"/>
  <c r="CL165" i="18"/>
  <c r="BG77" i="15"/>
  <c r="BG80" i="15" s="1"/>
  <c r="BB59" i="21"/>
  <c r="BB62" i="21" s="1"/>
  <c r="CN174" i="18" l="1"/>
  <c r="BQ20" i="15"/>
  <c r="BP19" i="15"/>
  <c r="CM165" i="18"/>
  <c r="BH77" i="15"/>
  <c r="BH80" i="15" s="1"/>
  <c r="BC59" i="21"/>
  <c r="BC62" i="21" s="1"/>
  <c r="CO174" i="18" l="1"/>
  <c r="BR20" i="15"/>
  <c r="CN165" i="18"/>
  <c r="BQ19" i="15"/>
  <c r="BD59" i="21"/>
  <c r="BD62" i="21" s="1"/>
  <c r="BI77" i="15"/>
  <c r="BI80" i="15" s="1"/>
  <c r="CP174" i="18" l="1"/>
  <c r="BS20" i="15"/>
  <c r="BR19" i="15"/>
  <c r="CO165" i="18"/>
  <c r="BJ77" i="15"/>
  <c r="BJ80" i="15" s="1"/>
  <c r="BE59" i="21"/>
  <c r="BE62" i="21" s="1"/>
  <c r="CQ174" i="18" l="1"/>
  <c r="BT20" i="15"/>
  <c r="CP165" i="18"/>
  <c r="BS19" i="15"/>
  <c r="BK77" i="15"/>
  <c r="BK80" i="15" s="1"/>
  <c r="BF59" i="21"/>
  <c r="BF62" i="21" s="1"/>
  <c r="CR174" i="18" l="1"/>
  <c r="BU20" i="15"/>
  <c r="CQ165" i="18"/>
  <c r="BT19" i="15"/>
  <c r="BG59" i="21"/>
  <c r="BG62" i="21" s="1"/>
  <c r="BL77" i="15"/>
  <c r="BL80" i="15" s="1"/>
  <c r="CS174" i="18" l="1"/>
  <c r="BV20" i="15"/>
  <c r="BU19" i="15"/>
  <c r="CR165" i="18"/>
  <c r="BH59" i="21"/>
  <c r="BH62" i="21" s="1"/>
  <c r="BM77" i="15"/>
  <c r="BM80" i="15" s="1"/>
  <c r="CT174" i="18" l="1"/>
  <c r="BW20" i="15"/>
  <c r="BV19" i="15"/>
  <c r="CS165" i="18"/>
  <c r="BN77" i="15"/>
  <c r="BN80" i="15" s="1"/>
  <c r="BI59" i="21"/>
  <c r="BI62" i="21" s="1"/>
  <c r="CU174" i="18" l="1"/>
  <c r="BY20" i="15" s="1"/>
  <c r="BX20" i="15"/>
  <c r="BW19" i="15"/>
  <c r="CT165" i="18"/>
  <c r="BJ59" i="21"/>
  <c r="BJ62" i="21" s="1"/>
  <c r="BO77" i="15"/>
  <c r="BO80" i="15" s="1"/>
  <c r="CU165" i="18" l="1"/>
  <c r="BY19" i="15" s="1"/>
  <c r="BX19" i="15"/>
  <c r="BK59" i="21"/>
  <c r="BK62" i="21" s="1"/>
  <c r="BP77" i="15"/>
  <c r="BP80" i="15" s="1"/>
  <c r="BQ77" i="15" l="1"/>
  <c r="BQ80" i="15" s="1"/>
  <c r="BL59" i="21"/>
  <c r="BL62" i="21" s="1"/>
  <c r="BR77" i="15" l="1"/>
  <c r="BR80" i="15" s="1"/>
  <c r="BM59" i="21"/>
  <c r="BM62" i="21" s="1"/>
  <c r="BS77" i="15" l="1"/>
  <c r="BS80" i="15" s="1"/>
  <c r="BN59" i="21"/>
  <c r="BN62" i="21" s="1"/>
  <c r="BT77" i="15" l="1"/>
  <c r="BT80" i="15" s="1"/>
  <c r="BO59" i="21"/>
  <c r="BO62" i="21" s="1"/>
  <c r="BU77" i="15" l="1"/>
  <c r="BU80" i="15" s="1"/>
  <c r="BP59" i="21"/>
  <c r="BP62" i="21" s="1"/>
  <c r="BQ59" i="21" l="1"/>
  <c r="BQ62" i="21" s="1"/>
  <c r="BV77" i="15"/>
  <c r="BV80" i="15" s="1"/>
  <c r="BR59" i="21" l="1"/>
  <c r="BR62" i="21" s="1"/>
  <c r="BW77" i="15"/>
  <c r="BW80" i="15" s="1"/>
  <c r="BX77" i="15" l="1"/>
  <c r="BX80" i="15" s="1"/>
  <c r="BS59" i="21"/>
  <c r="BS62" i="21" s="1"/>
  <c r="BY77" i="15" s="1"/>
  <c r="BY80" i="15" s="1"/>
  <c r="N79" i="18" l="1"/>
  <c r="N73" i="18" s="1"/>
  <c r="W106" i="68" l="1"/>
  <c r="W107" i="68"/>
  <c r="W104" i="68" l="1"/>
  <c r="P90" i="21" l="1"/>
  <c r="P40" i="6" l="1"/>
  <c r="P350" i="67" s="1"/>
  <c r="N119" i="18" l="1"/>
  <c r="BQ119" i="18" l="1"/>
  <c r="BR119" i="18"/>
  <c r="BS119" i="18" l="1"/>
  <c r="N7" i="18"/>
  <c r="N6" i="18" s="1"/>
  <c r="B385" i="67" l="1"/>
  <c r="C384" i="67" s="1"/>
  <c r="P5" i="6"/>
  <c r="Y50" i="68"/>
  <c r="N13" i="18"/>
  <c r="N5" i="18"/>
  <c r="Q53" i="68" l="1"/>
  <c r="Q52" i="68"/>
  <c r="Q51" i="68"/>
  <c r="P88" i="21"/>
  <c r="P87" i="21" s="1"/>
  <c r="F30" i="12"/>
  <c r="P294" i="67"/>
  <c r="N19" i="18"/>
  <c r="Q50" i="68" l="1"/>
  <c r="O7" i="18" s="1"/>
  <c r="O6" i="18" s="1"/>
  <c r="Q5" i="6" s="1"/>
  <c r="F41" i="12"/>
  <c r="P11" i="6"/>
  <c r="BS19" i="18"/>
  <c r="P336" i="67"/>
  <c r="Q81" i="68" l="1"/>
  <c r="Q83" i="68" s="1"/>
  <c r="E9" i="12"/>
  <c r="F9" i="12" s="1"/>
  <c r="E55" i="12"/>
  <c r="O5" i="18"/>
  <c r="O19" i="18" s="1"/>
  <c r="BW19" i="18" s="1"/>
  <c r="O13" i="18"/>
  <c r="Q88" i="21"/>
  <c r="Q87" i="21" s="1"/>
  <c r="Q336" i="67" s="1"/>
  <c r="G30" i="12"/>
  <c r="E41" i="12"/>
  <c r="AW389" i="67"/>
  <c r="BQ19" i="18"/>
  <c r="BR19" i="18"/>
  <c r="P295" i="67"/>
  <c r="Q82" i="68" l="1"/>
  <c r="E10" i="12"/>
  <c r="F10" i="12" s="1"/>
  <c r="R53" i="68"/>
  <c r="R52" i="68"/>
  <c r="R51" i="68"/>
  <c r="Q11" i="6"/>
  <c r="Q294" i="67"/>
  <c r="Q80" i="68"/>
  <c r="O61" i="18" s="1"/>
  <c r="G41" i="12"/>
  <c r="BA389" i="67"/>
  <c r="BT19" i="18"/>
  <c r="BU19" i="18"/>
  <c r="BV19" i="18"/>
  <c r="AV389" i="67"/>
  <c r="AU389" i="67"/>
  <c r="R50" i="68" l="1"/>
  <c r="P7" i="18" s="1"/>
  <c r="P6" i="18" s="1"/>
  <c r="P5" i="18" s="1"/>
  <c r="Q295" i="67"/>
  <c r="Q30" i="6"/>
  <c r="U11" i="60" s="1"/>
  <c r="BT61" i="18"/>
  <c r="AX396" i="67" s="1"/>
  <c r="BV61" i="18"/>
  <c r="AZ396" i="67" s="1"/>
  <c r="O49" i="18"/>
  <c r="BU61" i="18"/>
  <c r="AY396" i="67" s="1"/>
  <c r="O100" i="18"/>
  <c r="AZ389" i="67"/>
  <c r="AY389" i="67"/>
  <c r="AX389" i="67"/>
  <c r="P13" i="18" l="1"/>
  <c r="S53" i="68" s="1"/>
  <c r="R294" i="67"/>
  <c r="R5" i="6"/>
  <c r="P19" i="18"/>
  <c r="CA19" i="18" s="1"/>
  <c r="BW61" i="18"/>
  <c r="BA396" i="67" s="1"/>
  <c r="P100" i="18"/>
  <c r="L11" i="61"/>
  <c r="F62" i="12"/>
  <c r="S52" i="68" l="1"/>
  <c r="S51" i="68"/>
  <c r="R88" i="21"/>
  <c r="R87" i="21" s="1"/>
  <c r="R336" i="67" s="1"/>
  <c r="Z5" i="6"/>
  <c r="R81" i="68"/>
  <c r="R82" i="68" s="1"/>
  <c r="H30" i="12"/>
  <c r="H41" i="12" s="1"/>
  <c r="R11" i="6"/>
  <c r="BY19" i="18"/>
  <c r="BE389" i="67"/>
  <c r="BX19" i="18"/>
  <c r="BZ19" i="18"/>
  <c r="Q100" i="18"/>
  <c r="S50" i="68" l="1"/>
  <c r="Q7" i="18" s="1"/>
  <c r="Q6" i="18" s="1"/>
  <c r="Q13" i="18" s="1"/>
  <c r="T53" i="68" s="1"/>
  <c r="Z11" i="6"/>
  <c r="R295" i="67"/>
  <c r="R83" i="68"/>
  <c r="R80" i="68" s="1"/>
  <c r="P61" i="18" s="1"/>
  <c r="BZ61" i="18" s="1"/>
  <c r="BD396" i="67" s="1"/>
  <c r="BD389" i="67"/>
  <c r="BB389" i="67"/>
  <c r="BC389" i="67"/>
  <c r="R100" i="18"/>
  <c r="Q5" i="18" l="1"/>
  <c r="S294" i="67" s="1"/>
  <c r="T52" i="68"/>
  <c r="S5" i="6"/>
  <c r="S88" i="21" s="1"/>
  <c r="S87" i="21" s="1"/>
  <c r="S336" i="67" s="1"/>
  <c r="T51" i="68"/>
  <c r="T50" i="68" s="1"/>
  <c r="R7" i="18" s="1"/>
  <c r="R6" i="18" s="1"/>
  <c r="R13" i="18" s="1"/>
  <c r="R30" i="6"/>
  <c r="BX61" i="18"/>
  <c r="BB396" i="67" s="1"/>
  <c r="P49" i="18"/>
  <c r="BY61" i="18"/>
  <c r="BC396" i="67" s="1"/>
  <c r="S100" i="18"/>
  <c r="S81" i="68" l="1"/>
  <c r="S82" i="68" s="1"/>
  <c r="I30" i="12"/>
  <c r="I41" i="12" s="1"/>
  <c r="Q19" i="18"/>
  <c r="CE19" i="18" s="1"/>
  <c r="CD19" i="18" s="1"/>
  <c r="BH389" i="67" s="1"/>
  <c r="V11" i="60"/>
  <c r="Z30" i="6"/>
  <c r="G62" i="12"/>
  <c r="M11" i="61"/>
  <c r="U53" i="68"/>
  <c r="U52" i="68"/>
  <c r="U51" i="68"/>
  <c r="T5" i="6"/>
  <c r="T88" i="21" s="1"/>
  <c r="T87" i="21" s="1"/>
  <c r="T336" i="67" s="1"/>
  <c r="CA61" i="18"/>
  <c r="BE396" i="67" s="1"/>
  <c r="R5" i="18"/>
  <c r="R19" i="18" s="1"/>
  <c r="CI19" i="18" s="1"/>
  <c r="CG19" i="18" s="1"/>
  <c r="BK389" i="67" s="1"/>
  <c r="S83" i="68"/>
  <c r="BQ207" i="18"/>
  <c r="AU29" i="15" s="1"/>
  <c r="T100" i="18"/>
  <c r="BI389" i="67" l="1"/>
  <c r="S11" i="6"/>
  <c r="S295" i="67" s="1"/>
  <c r="CB19" i="18"/>
  <c r="BF389" i="67" s="1"/>
  <c r="CC19" i="18"/>
  <c r="BG389" i="67" s="1"/>
  <c r="T81" i="68"/>
  <c r="T82" i="68" s="1"/>
  <c r="J30" i="12"/>
  <c r="J41" i="12" s="1"/>
  <c r="CH19" i="18"/>
  <c r="BL389" i="67" s="1"/>
  <c r="CF19" i="18"/>
  <c r="BJ389" i="67" s="1"/>
  <c r="T294" i="67"/>
  <c r="BM389" i="67"/>
  <c r="S80" i="68"/>
  <c r="Q61" i="18" s="1"/>
  <c r="CB61" i="18" s="1"/>
  <c r="BF396" i="67" s="1"/>
  <c r="T11" i="6"/>
  <c r="U50" i="68"/>
  <c r="S7" i="18" s="1"/>
  <c r="S6" i="18" s="1"/>
  <c r="S5" i="18" s="1"/>
  <c r="U294" i="67" s="1"/>
  <c r="U100" i="18"/>
  <c r="T83" i="68" l="1"/>
  <c r="T80" i="68" s="1"/>
  <c r="R61" i="18" s="1"/>
  <c r="CG61" i="18" s="1"/>
  <c r="BK396" i="67" s="1"/>
  <c r="CD61" i="18"/>
  <c r="BH396" i="67" s="1"/>
  <c r="CC61" i="18"/>
  <c r="BG396" i="67" s="1"/>
  <c r="S30" i="6"/>
  <c r="Q49" i="18"/>
  <c r="T295" i="67"/>
  <c r="U5" i="6"/>
  <c r="S13" i="18"/>
  <c r="S19" i="18"/>
  <c r="CM19" i="18" s="1"/>
  <c r="H62" i="12" l="1"/>
  <c r="W11" i="60"/>
  <c r="R49" i="18"/>
  <c r="CH61" i="18"/>
  <c r="BL396" i="67" s="1"/>
  <c r="V53" i="68"/>
  <c r="V52" i="68"/>
  <c r="V51" i="68"/>
  <c r="CE61" i="18"/>
  <c r="BI396" i="67" s="1"/>
  <c r="T30" i="6"/>
  <c r="X11" i="60" s="1"/>
  <c r="CF61" i="18"/>
  <c r="BJ396" i="67" s="1"/>
  <c r="N11" i="61"/>
  <c r="U81" i="68"/>
  <c r="U82" i="68" s="1"/>
  <c r="K30" i="12"/>
  <c r="K41" i="12" s="1"/>
  <c r="U88" i="21"/>
  <c r="U87" i="21" s="1"/>
  <c r="U336" i="67" s="1"/>
  <c r="U11" i="6"/>
  <c r="BQ389" i="67"/>
  <c r="CJ19" i="18"/>
  <c r="BN389" i="67" s="1"/>
  <c r="CL19" i="18"/>
  <c r="BP389" i="67" s="1"/>
  <c r="CK19" i="18"/>
  <c r="BO389" i="67" s="1"/>
  <c r="O11" i="61" l="1"/>
  <c r="I62" i="12"/>
  <c r="CI61" i="18"/>
  <c r="BM396" i="67" s="1"/>
  <c r="V50" i="68"/>
  <c r="T7" i="18" s="1"/>
  <c r="T6" i="18" s="1"/>
  <c r="T5" i="18" s="1"/>
  <c r="U83" i="68"/>
  <c r="U80" i="68" s="1"/>
  <c r="S61" i="18" s="1"/>
  <c r="U30" i="6" s="1"/>
  <c r="Y11" i="60" s="1"/>
  <c r="U295" i="67"/>
  <c r="V5" i="6" l="1"/>
  <c r="V88" i="21" s="1"/>
  <c r="V87" i="21" s="1"/>
  <c r="V336" i="67" s="1"/>
  <c r="V294" i="67"/>
  <c r="T19" i="18"/>
  <c r="V11" i="6" s="1"/>
  <c r="T13" i="18"/>
  <c r="CK61" i="18"/>
  <c r="BO396" i="67" s="1"/>
  <c r="CL61" i="18"/>
  <c r="BP396" i="67" s="1"/>
  <c r="P11" i="61"/>
  <c r="S49" i="18"/>
  <c r="J62" i="12"/>
  <c r="CJ61" i="18"/>
  <c r="BN396" i="67" s="1"/>
  <c r="L30" i="12" l="1"/>
  <c r="L41" i="12" s="1"/>
  <c r="V81" i="68"/>
  <c r="V82" i="68" s="1"/>
  <c r="W53" i="68"/>
  <c r="W52" i="68"/>
  <c r="W51" i="68"/>
  <c r="CQ19" i="18"/>
  <c r="CN19" i="18" s="1"/>
  <c r="BR389" i="67" s="1"/>
  <c r="V295" i="67"/>
  <c r="CM61" i="18"/>
  <c r="BQ396" i="67" s="1"/>
  <c r="W50" i="68" l="1"/>
  <c r="U7" i="18" s="1"/>
  <c r="U6" i="18" s="1"/>
  <c r="U5" i="18" s="1"/>
  <c r="U19" i="18" s="1"/>
  <c r="V83" i="68"/>
  <c r="V80" i="68" s="1"/>
  <c r="T61" i="18" s="1"/>
  <c r="CO61" i="18" s="1"/>
  <c r="BS396" i="67" s="1"/>
  <c r="CP19" i="18"/>
  <c r="BT389" i="67" s="1"/>
  <c r="BU389" i="67"/>
  <c r="CO19" i="18"/>
  <c r="BS389" i="67" s="1"/>
  <c r="W5" i="6" l="1"/>
  <c r="M30" i="12" s="1"/>
  <c r="M41" i="12" s="1"/>
  <c r="W294" i="67"/>
  <c r="W11" i="6"/>
  <c r="U13" i="18"/>
  <c r="CU19" i="18"/>
  <c r="CR19" i="18" s="1"/>
  <c r="BV389" i="67" s="1"/>
  <c r="CP61" i="18"/>
  <c r="BT396" i="67" s="1"/>
  <c r="CN61" i="18"/>
  <c r="BR396" i="67" s="1"/>
  <c r="T49" i="18"/>
  <c r="V30" i="6"/>
  <c r="W88" i="21" l="1"/>
  <c r="W87" i="21" s="1"/>
  <c r="W336" i="67" s="1"/>
  <c r="AA5" i="6"/>
  <c r="W81" i="68"/>
  <c r="W83" i="68" s="1"/>
  <c r="AA11" i="6"/>
  <c r="CS19" i="18"/>
  <c r="BW389" i="67" s="1"/>
  <c r="CT19" i="18"/>
  <c r="BX389" i="67" s="1"/>
  <c r="BY389" i="67"/>
  <c r="W295" i="67"/>
  <c r="K62" i="12"/>
  <c r="Z11" i="60"/>
  <c r="Q11" i="61"/>
  <c r="CQ61" i="18"/>
  <c r="BU396" i="67" s="1"/>
  <c r="W82" i="68" l="1"/>
  <c r="W80" i="68"/>
  <c r="U61" i="18" s="1"/>
  <c r="W30" i="6" s="1"/>
  <c r="AA11" i="60" s="1"/>
  <c r="CR61" i="18" l="1"/>
  <c r="BV396" i="67" s="1"/>
  <c r="CT61" i="18"/>
  <c r="BX396" i="67" s="1"/>
  <c r="CS61" i="18"/>
  <c r="BW396" i="67" s="1"/>
  <c r="U49" i="18"/>
  <c r="L62" i="12"/>
  <c r="AA30" i="6"/>
  <c r="R11" i="61"/>
  <c r="CU61" i="18" l="1"/>
  <c r="BY396" i="67" s="1"/>
  <c r="AO54" i="21" l="1"/>
  <c r="AS55" i="21" s="1"/>
  <c r="AP54" i="21"/>
  <c r="AT55" i="21" s="1"/>
  <c r="AQ54" i="21"/>
  <c r="AU55" i="21" s="1"/>
  <c r="AR54" i="21"/>
  <c r="AV55" i="21" s="1"/>
  <c r="AS54" i="21"/>
  <c r="AW55" i="21" s="1"/>
  <c r="AT54" i="21"/>
  <c r="AX55" i="21" s="1"/>
  <c r="AU54" i="21"/>
  <c r="AY55" i="21" s="1"/>
  <c r="AV54" i="21"/>
  <c r="AZ55" i="21" s="1"/>
  <c r="AW54" i="21"/>
  <c r="BA55" i="21" s="1"/>
  <c r="AX54" i="21"/>
  <c r="BB55" i="21" s="1"/>
  <c r="AY54" i="21"/>
  <c r="BC55" i="21" s="1"/>
  <c r="AZ54" i="21"/>
  <c r="BD55" i="21" s="1"/>
  <c r="BA54" i="21"/>
  <c r="BB54" i="21"/>
  <c r="BF55" i="21" s="1"/>
  <c r="BC54" i="21"/>
  <c r="BG55" i="21" s="1"/>
  <c r="BD54" i="21"/>
  <c r="BH55" i="21" s="1"/>
  <c r="BE54" i="21"/>
  <c r="BI55" i="21" s="1"/>
  <c r="BF54" i="21"/>
  <c r="BJ55" i="21" s="1"/>
  <c r="BG54" i="21"/>
  <c r="BK55" i="21" s="1"/>
  <c r="BH54" i="21"/>
  <c r="BL55" i="21" s="1"/>
  <c r="BI54" i="21"/>
  <c r="BJ54" i="21"/>
  <c r="BN55" i="21" s="1"/>
  <c r="BK54" i="21"/>
  <c r="BO55" i="21" s="1"/>
  <c r="BL54" i="21"/>
  <c r="BP55" i="21" s="1"/>
  <c r="BM54" i="21"/>
  <c r="BQ55" i="21" s="1"/>
  <c r="BN54" i="21"/>
  <c r="BR55" i="21" s="1"/>
  <c r="BO54" i="21"/>
  <c r="BP54" i="21"/>
  <c r="BQ54" i="21"/>
  <c r="BR54" i="21"/>
  <c r="BX104" i="15" s="1"/>
  <c r="BS54" i="21"/>
  <c r="BV104" i="15" l="1"/>
  <c r="AO56" i="21"/>
  <c r="AP53" i="21" s="1"/>
  <c r="AP56" i="21" s="1"/>
  <c r="AQ53" i="21" s="1"/>
  <c r="AQ56" i="21" s="1"/>
  <c r="AQ65" i="21" s="1"/>
  <c r="AQ67" i="21" s="1"/>
  <c r="BS210" i="18" s="1"/>
  <c r="AV104" i="15"/>
  <c r="AU104" i="15"/>
  <c r="BG104" i="15"/>
  <c r="BC104" i="15"/>
  <c r="BT104" i="15"/>
  <c r="BR104" i="15"/>
  <c r="BL104" i="15"/>
  <c r="BJ104" i="15"/>
  <c r="BD104" i="15"/>
  <c r="BB104" i="15"/>
  <c r="BW104" i="15"/>
  <c r="BI104" i="15"/>
  <c r="BE55" i="21"/>
  <c r="BK104" i="15" s="1"/>
  <c r="BU104" i="15"/>
  <c r="BQ104" i="15"/>
  <c r="BE104" i="15"/>
  <c r="BA104" i="15"/>
  <c r="BO104" i="15"/>
  <c r="BS55" i="21"/>
  <c r="BY104" i="15" s="1"/>
  <c r="BH104" i="15"/>
  <c r="AY104" i="15"/>
  <c r="BN104" i="15"/>
  <c r="AX104" i="15"/>
  <c r="BM55" i="21"/>
  <c r="BS104" i="15" s="1"/>
  <c r="AZ104" i="15"/>
  <c r="BF104" i="15"/>
  <c r="BM104" i="15"/>
  <c r="AW104" i="15"/>
  <c r="BP104" i="15"/>
  <c r="AP57" i="21" l="1"/>
  <c r="AP63" i="21"/>
  <c r="AO65" i="21"/>
  <c r="AO67" i="21" s="1"/>
  <c r="BQ210" i="18" s="1"/>
  <c r="AU30" i="15" s="1"/>
  <c r="AV68" i="15"/>
  <c r="AU68" i="15"/>
  <c r="AP65" i="21"/>
  <c r="AP67" i="21" s="1"/>
  <c r="BR210" i="18" s="1"/>
  <c r="AV30" i="15" s="1"/>
  <c r="AO57" i="21"/>
  <c r="AO63" i="21"/>
  <c r="AW30" i="15"/>
  <c r="AR53" i="21"/>
  <c r="AR56" i="21" s="1"/>
  <c r="AR65" i="21" s="1"/>
  <c r="AR67" i="21" s="1"/>
  <c r="BT210" i="18" s="1"/>
  <c r="AQ63" i="21"/>
  <c r="AQ57" i="21"/>
  <c r="AW68" i="15"/>
  <c r="BS211" i="18" s="1"/>
  <c r="BQ211" i="18" l="1"/>
  <c r="BR211" i="18"/>
  <c r="P73" i="6"/>
  <c r="P105" i="6"/>
  <c r="AX30" i="15"/>
  <c r="AR57" i="21"/>
  <c r="AS53" i="21"/>
  <c r="AS56" i="21" s="1"/>
  <c r="AS65" i="21" s="1"/>
  <c r="AS67" i="21" s="1"/>
  <c r="BU210" i="18" s="1"/>
  <c r="AR63" i="21"/>
  <c r="AX68" i="15"/>
  <c r="BT211" i="18" s="1"/>
  <c r="P320" i="67" l="1"/>
  <c r="AY30" i="15"/>
  <c r="AT53" i="21"/>
  <c r="AT56" i="21" s="1"/>
  <c r="AT65" i="21" s="1"/>
  <c r="AT67" i="21" s="1"/>
  <c r="BV210" i="18" s="1"/>
  <c r="AS63" i="21"/>
  <c r="AY68" i="15"/>
  <c r="BU211" i="18" s="1"/>
  <c r="AS57" i="21"/>
  <c r="H47" i="74"/>
  <c r="AZ30" i="15" l="1"/>
  <c r="AT57" i="21"/>
  <c r="AT63" i="21"/>
  <c r="AU53" i="21"/>
  <c r="AU56" i="21" s="1"/>
  <c r="AU65" i="21" s="1"/>
  <c r="AU67" i="21" s="1"/>
  <c r="BW210" i="18" s="1"/>
  <c r="AZ68" i="15"/>
  <c r="BA30" i="15" l="1"/>
  <c r="Q73" i="6" s="1"/>
  <c r="BV211" i="18"/>
  <c r="AV53" i="21"/>
  <c r="AV56" i="21" s="1"/>
  <c r="AV65" i="21" s="1"/>
  <c r="AV67" i="21" s="1"/>
  <c r="BX210" i="18" s="1"/>
  <c r="AU63" i="21"/>
  <c r="AU57" i="21"/>
  <c r="BA68" i="15"/>
  <c r="Q105" i="6" l="1"/>
  <c r="BB30" i="15"/>
  <c r="AV57" i="21"/>
  <c r="AW53" i="21"/>
  <c r="AW56" i="21" s="1"/>
  <c r="AW65" i="21" s="1"/>
  <c r="AW67" i="21" s="1"/>
  <c r="BY210" i="18" s="1"/>
  <c r="AV63" i="21"/>
  <c r="BB68" i="15"/>
  <c r="BX211" i="18" s="1"/>
  <c r="BW211" i="18"/>
  <c r="I47" i="74" l="1"/>
  <c r="Q320" i="67"/>
  <c r="BC30" i="15"/>
  <c r="AX53" i="21"/>
  <c r="AX56" i="21" s="1"/>
  <c r="AX65" i="21" s="1"/>
  <c r="AX67" i="21" s="1"/>
  <c r="BZ210" i="18" s="1"/>
  <c r="AW63" i="21"/>
  <c r="BC68" i="15"/>
  <c r="AW57" i="21"/>
  <c r="BD30" i="15" l="1"/>
  <c r="AX57" i="21"/>
  <c r="AX63" i="21"/>
  <c r="AY53" i="21"/>
  <c r="AY56" i="21" s="1"/>
  <c r="BD68" i="15"/>
  <c r="BY211" i="18"/>
  <c r="AZ53" i="21" l="1"/>
  <c r="AZ56" i="21" s="1"/>
  <c r="AZ65" i="21" s="1"/>
  <c r="AZ67" i="21" s="1"/>
  <c r="CB210" i="18" s="1"/>
  <c r="AY63" i="21"/>
  <c r="AY57" i="21"/>
  <c r="BE68" i="15"/>
  <c r="AY65" i="21"/>
  <c r="AY67" i="21" s="1"/>
  <c r="CA210" i="18" s="1"/>
  <c r="BZ211" i="18"/>
  <c r="BE30" i="15" l="1"/>
  <c r="CA211" i="18"/>
  <c r="R105" i="6"/>
  <c r="BF30" i="15"/>
  <c r="AZ57" i="21"/>
  <c r="BA53" i="21"/>
  <c r="BA56" i="21" s="1"/>
  <c r="BA65" i="21" s="1"/>
  <c r="BA67" i="21" s="1"/>
  <c r="CC210" i="18" s="1"/>
  <c r="AZ63" i="21"/>
  <c r="BF68" i="15"/>
  <c r="BG30" i="15" l="1"/>
  <c r="BB53" i="21"/>
  <c r="BB56" i="21" s="1"/>
  <c r="BB65" i="21" s="1"/>
  <c r="BB67" i="21" s="1"/>
  <c r="CD210" i="18" s="1"/>
  <c r="BA63" i="21"/>
  <c r="BG68" i="15"/>
  <c r="BA57" i="21"/>
  <c r="CB211" i="18"/>
  <c r="J47" i="74"/>
  <c r="R73" i="6"/>
  <c r="R320" i="67" l="1"/>
  <c r="BH30" i="15"/>
  <c r="BB57" i="21"/>
  <c r="BB63" i="21"/>
  <c r="BC53" i="21"/>
  <c r="BC56" i="21" s="1"/>
  <c r="BC65" i="21" s="1"/>
  <c r="BC67" i="21" s="1"/>
  <c r="CE210" i="18" s="1"/>
  <c r="BH68" i="15"/>
  <c r="CC211" i="18"/>
  <c r="BI30" i="15" l="1"/>
  <c r="S73" i="6" s="1"/>
  <c r="BD53" i="21"/>
  <c r="BD56" i="21" s="1"/>
  <c r="BD65" i="21" s="1"/>
  <c r="BD67" i="21" s="1"/>
  <c r="CF210" i="18" s="1"/>
  <c r="BC63" i="21"/>
  <c r="BC57" i="21"/>
  <c r="BI68" i="15"/>
  <c r="CD211" i="18"/>
  <c r="S105" i="6" l="1"/>
  <c r="S320" i="67" s="1"/>
  <c r="BJ30" i="15"/>
  <c r="BD57" i="21"/>
  <c r="BE53" i="21"/>
  <c r="BE56" i="21" s="1"/>
  <c r="BE65" i="21" s="1"/>
  <c r="BE67" i="21" s="1"/>
  <c r="CG210" i="18" s="1"/>
  <c r="BD63" i="21"/>
  <c r="BJ68" i="15"/>
  <c r="CF211" i="18" s="1"/>
  <c r="CE211" i="18"/>
  <c r="K47" i="74" l="1"/>
  <c r="BK30" i="15"/>
  <c r="BF53" i="21"/>
  <c r="BF56" i="21" s="1"/>
  <c r="BF65" i="21" s="1"/>
  <c r="BF67" i="21" s="1"/>
  <c r="CH210" i="18" s="1"/>
  <c r="BE63" i="21"/>
  <c r="BK68" i="15"/>
  <c r="BE57" i="21"/>
  <c r="BL30" i="15" l="1"/>
  <c r="BF57" i="21"/>
  <c r="BF63" i="21"/>
  <c r="BG53" i="21"/>
  <c r="BG56" i="21" s="1"/>
  <c r="BL68" i="15"/>
  <c r="P47" i="74"/>
  <c r="CG211" i="18"/>
  <c r="BH53" i="21" l="1"/>
  <c r="BH56" i="21" s="1"/>
  <c r="BH65" i="21" s="1"/>
  <c r="BH67" i="21" s="1"/>
  <c r="CJ210" i="18" s="1"/>
  <c r="BG63" i="21"/>
  <c r="BG57" i="21"/>
  <c r="BM68" i="15"/>
  <c r="BG65" i="21"/>
  <c r="BG67" i="21" s="1"/>
  <c r="CI210" i="18" s="1"/>
  <c r="CH211" i="18"/>
  <c r="BM30" i="15" l="1"/>
  <c r="T73" i="6" s="1"/>
  <c r="CI211" i="18"/>
  <c r="T105" i="6"/>
  <c r="BN30" i="15"/>
  <c r="BH57" i="21"/>
  <c r="BI53" i="21"/>
  <c r="BI56" i="21" s="1"/>
  <c r="BI65" i="21" s="1"/>
  <c r="BI67" i="21" s="1"/>
  <c r="CK210" i="18" s="1"/>
  <c r="BH63" i="21"/>
  <c r="BN68" i="15"/>
  <c r="CJ211" i="18" s="1"/>
  <c r="BO30" i="15" l="1"/>
  <c r="BJ53" i="21"/>
  <c r="BJ56" i="21" s="1"/>
  <c r="BJ65" i="21" s="1"/>
  <c r="BJ67" i="21" s="1"/>
  <c r="CL210" i="18" s="1"/>
  <c r="BI63" i="21"/>
  <c r="BO68" i="15"/>
  <c r="BI57" i="21"/>
  <c r="L47" i="74"/>
  <c r="T320" i="67"/>
  <c r="CK211" i="18" l="1"/>
  <c r="BP30" i="15"/>
  <c r="BJ57" i="21"/>
  <c r="BJ63" i="21"/>
  <c r="BK53" i="21"/>
  <c r="BK56" i="21" s="1"/>
  <c r="BP68" i="15"/>
  <c r="CL211" i="18" s="1"/>
  <c r="BL53" i="21" l="1"/>
  <c r="BL56" i="21" s="1"/>
  <c r="BL65" i="21" s="1"/>
  <c r="BL67" i="21" s="1"/>
  <c r="CN210" i="18" s="1"/>
  <c r="BK63" i="21"/>
  <c r="BK57" i="21"/>
  <c r="BQ68" i="15"/>
  <c r="BK65" i="21"/>
  <c r="BK67" i="21" s="1"/>
  <c r="CM210" i="18" s="1"/>
  <c r="BQ30" i="15" l="1"/>
  <c r="U73" i="6" s="1"/>
  <c r="CM211" i="18"/>
  <c r="U105" i="6"/>
  <c r="BR30" i="15"/>
  <c r="BL57" i="21"/>
  <c r="BM53" i="21"/>
  <c r="BM56" i="21" s="1"/>
  <c r="BM65" i="21" s="1"/>
  <c r="BM67" i="21" s="1"/>
  <c r="CO210" i="18" s="1"/>
  <c r="BL63" i="21"/>
  <c r="BR68" i="15"/>
  <c r="CN211" i="18" s="1"/>
  <c r="BS30" i="15" l="1"/>
  <c r="BN53" i="21"/>
  <c r="BN56" i="21" s="1"/>
  <c r="BN65" i="21" s="1"/>
  <c r="BN67" i="21" s="1"/>
  <c r="CP210" i="18" s="1"/>
  <c r="BM63" i="21"/>
  <c r="BS68" i="15"/>
  <c r="BM57" i="21"/>
  <c r="M47" i="74"/>
  <c r="U320" i="67"/>
  <c r="CO211" i="18" l="1"/>
  <c r="BT30" i="15"/>
  <c r="BN57" i="21"/>
  <c r="BN63" i="21"/>
  <c r="BO53" i="21"/>
  <c r="BO56" i="21" s="1"/>
  <c r="BT68" i="15"/>
  <c r="CP211" i="18" s="1"/>
  <c r="BP53" i="21" l="1"/>
  <c r="BP56" i="21" s="1"/>
  <c r="BP65" i="21" s="1"/>
  <c r="BP67" i="21" s="1"/>
  <c r="CR210" i="18" s="1"/>
  <c r="BO63" i="21"/>
  <c r="BO57" i="21"/>
  <c r="BU68" i="15"/>
  <c r="BO65" i="21"/>
  <c r="BO67" i="21" s="1"/>
  <c r="CQ210" i="18" s="1"/>
  <c r="BU30" i="15" l="1"/>
  <c r="V73" i="6" s="1"/>
  <c r="CQ211" i="18"/>
  <c r="V105" i="6"/>
  <c r="BV30" i="15"/>
  <c r="BP57" i="21"/>
  <c r="BQ53" i="21"/>
  <c r="BQ56" i="21" s="1"/>
  <c r="BQ65" i="21" s="1"/>
  <c r="BQ67" i="21" s="1"/>
  <c r="CS210" i="18" s="1"/>
  <c r="BP63" i="21"/>
  <c r="BV68" i="15"/>
  <c r="CR211" i="18" s="1"/>
  <c r="BW30" i="15" l="1"/>
  <c r="BR53" i="21"/>
  <c r="BR56" i="21" s="1"/>
  <c r="BR65" i="21" s="1"/>
  <c r="BR67" i="21" s="1"/>
  <c r="CT210" i="18" s="1"/>
  <c r="BQ63" i="21"/>
  <c r="BW68" i="15"/>
  <c r="BQ57" i="21"/>
  <c r="N47" i="74"/>
  <c r="V320" i="67"/>
  <c r="BX30" i="15" l="1"/>
  <c r="BR57" i="21"/>
  <c r="BR63" i="21"/>
  <c r="BS53" i="21"/>
  <c r="BS56" i="21" s="1"/>
  <c r="BS65" i="21" s="1"/>
  <c r="BS67" i="21" s="1"/>
  <c r="CU210" i="18" s="1"/>
  <c r="P210" i="18" s="1" a="1"/>
  <c r="P210" i="18" s="1"/>
  <c r="BX68" i="15"/>
  <c r="CT211" i="18" s="1"/>
  <c r="CS211" i="18"/>
  <c r="O210" i="18" l="1" a="1"/>
  <c r="O210" i="18" s="1"/>
  <c r="O211" i="18" s="1"/>
  <c r="I46" i="74" s="1"/>
  <c r="I39" i="74" s="1"/>
  <c r="R210" i="18" a="1"/>
  <c r="R210" i="18" s="1"/>
  <c r="R211" i="18" s="1"/>
  <c r="L46" i="74" s="1"/>
  <c r="L39" i="74" s="1"/>
  <c r="Q210" i="18" a="1"/>
  <c r="Q210" i="18" s="1"/>
  <c r="Q211" i="18" s="1"/>
  <c r="K46" i="74" s="1"/>
  <c r="K39" i="74" s="1"/>
  <c r="M210" i="18" a="1"/>
  <c r="M210" i="18" s="1"/>
  <c r="M211" i="18" s="1"/>
  <c r="T210" i="18" a="1"/>
  <c r="T210" i="18" s="1"/>
  <c r="T211" i="18" s="1"/>
  <c r="N46" i="74" s="1"/>
  <c r="N39" i="74" s="1"/>
  <c r="U210" i="18" a="1"/>
  <c r="U210" i="18" s="1"/>
  <c r="N210" i="18" a="1"/>
  <c r="N210" i="18" s="1"/>
  <c r="N211" i="18" s="1"/>
  <c r="H46" i="74" s="1"/>
  <c r="H39" i="74" s="1"/>
  <c r="S210" i="18" a="1"/>
  <c r="S210" i="18" s="1"/>
  <c r="S211" i="18" s="1"/>
  <c r="M46" i="74" s="1"/>
  <c r="M39" i="74" s="1"/>
  <c r="P211" i="18"/>
  <c r="J46" i="74" s="1"/>
  <c r="J39" i="74" s="1"/>
  <c r="BY30" i="15"/>
  <c r="W73" i="6" s="1"/>
  <c r="BS63" i="21"/>
  <c r="BS57" i="21"/>
  <c r="BY68" i="15"/>
  <c r="W105" i="6" l="1"/>
  <c r="U211" i="18" s="1"/>
  <c r="CU211" i="18"/>
  <c r="W320" i="67" l="1"/>
  <c r="O46" i="74"/>
  <c r="O47" i="74"/>
  <c r="O39" i="74" l="1"/>
  <c r="P46" i="74"/>
  <c r="P39" i="74" s="1"/>
  <c r="P32" i="74" l="1"/>
  <c r="L71" i="12" s="1"/>
  <c r="F124" i="12"/>
  <c r="L72" i="12"/>
  <c r="T54" i="6" l="1"/>
  <c r="BB21" i="15"/>
  <c r="Q54" i="6"/>
  <c r="R54" i="6"/>
  <c r="S54" i="6"/>
  <c r="U54" i="6"/>
  <c r="V54" i="6"/>
  <c r="W54" i="6"/>
  <c r="F123" i="12" l="1"/>
  <c r="BF21" i="15"/>
  <c r="BC21" i="15"/>
  <c r="AX21" i="15"/>
  <c r="C119" i="12" l="1"/>
  <c r="D119" i="12"/>
  <c r="BG21" i="15"/>
  <c r="AY21" i="15"/>
  <c r="BD21" i="15"/>
  <c r="BE21" i="15" l="1"/>
  <c r="AZ21" i="15"/>
  <c r="BH21" i="15"/>
  <c r="BI21" i="15" l="1"/>
  <c r="BA21" i="15"/>
  <c r="BJ21" i="15" l="1"/>
  <c r="BK21" i="15" l="1"/>
  <c r="BL21" i="15" l="1"/>
  <c r="BM21" i="15" l="1"/>
  <c r="BN21" i="15" l="1"/>
  <c r="BO21" i="15" l="1"/>
  <c r="BP21" i="15" l="1"/>
  <c r="BQ21" i="15" l="1"/>
  <c r="BR21" i="15" l="1"/>
  <c r="BS21" i="15" l="1"/>
  <c r="BT21" i="15" l="1"/>
  <c r="BU21" i="15" l="1"/>
  <c r="BV21" i="15" l="1"/>
  <c r="BW21" i="15" l="1"/>
  <c r="BX21" i="15" l="1"/>
  <c r="BY21" i="15" l="1"/>
  <c r="W102" i="68" l="1"/>
  <c r="W101" i="68"/>
  <c r="W99" i="68"/>
  <c r="P29" i="68" l="1"/>
  <c r="N99" i="18" s="1"/>
  <c r="N98" i="18" s="1"/>
  <c r="Q29" i="68"/>
  <c r="O99" i="18" s="1"/>
  <c r="O98" i="18" s="1"/>
  <c r="O31" i="68" l="1"/>
  <c r="O32" i="68"/>
  <c r="O29" i="68"/>
  <c r="M99" i="18" s="1"/>
  <c r="F63" i="12"/>
  <c r="F64" i="12" s="1"/>
  <c r="O113" i="18"/>
  <c r="Q29" i="6"/>
  <c r="L16" i="61" s="1"/>
  <c r="N113" i="18"/>
  <c r="E63" i="12"/>
  <c r="E64" i="12" s="1"/>
  <c r="P29" i="6"/>
  <c r="K16" i="61" s="1"/>
  <c r="V29" i="68"/>
  <c r="T99" i="18" s="1"/>
  <c r="T98" i="18" s="1"/>
  <c r="T29" i="68"/>
  <c r="R99" i="18" s="1"/>
  <c r="R98" i="18" s="1"/>
  <c r="S29" i="68"/>
  <c r="Q99" i="18" s="1"/>
  <c r="Q98" i="18" s="1"/>
  <c r="R29" i="68"/>
  <c r="P99" i="18" s="1"/>
  <c r="P98" i="18" s="1"/>
  <c r="U29" i="68"/>
  <c r="S99" i="18" s="1"/>
  <c r="S98" i="18" s="1"/>
  <c r="W29" i="68"/>
  <c r="U99" i="18" s="1"/>
  <c r="U98" i="18" s="1"/>
  <c r="W29" i="6" l="1"/>
  <c r="L63" i="12"/>
  <c r="U113" i="18"/>
  <c r="P113" i="18"/>
  <c r="G63" i="12"/>
  <c r="G64" i="12" s="1"/>
  <c r="R29" i="6"/>
  <c r="Z29" i="6" s="1"/>
  <c r="K63" i="12"/>
  <c r="V29" i="6"/>
  <c r="Q16" i="61" s="1"/>
  <c r="T113" i="18"/>
  <c r="E115" i="12"/>
  <c r="E116" i="12" s="1"/>
  <c r="E117" i="12" s="1"/>
  <c r="E118" i="12" s="1"/>
  <c r="E119" i="12" s="1"/>
  <c r="E65" i="12"/>
  <c r="E66" i="12" s="1"/>
  <c r="E67" i="12" s="1"/>
  <c r="F115" i="12"/>
  <c r="F116" i="12" s="1"/>
  <c r="F117" i="12" s="1"/>
  <c r="F118" i="12" s="1"/>
  <c r="F119" i="12" s="1"/>
  <c r="F65" i="12"/>
  <c r="F66" i="12" s="1"/>
  <c r="F67" i="12" s="1"/>
  <c r="S29" i="6"/>
  <c r="N16" i="61" s="1"/>
  <c r="Q113" i="18"/>
  <c r="H63" i="12"/>
  <c r="H64" i="12" s="1"/>
  <c r="I63" i="12"/>
  <c r="T29" i="6"/>
  <c r="O16" i="61" s="1"/>
  <c r="R113" i="18"/>
  <c r="P39" i="6"/>
  <c r="P349" i="67" s="1"/>
  <c r="BR113" i="18"/>
  <c r="BQ113" i="18"/>
  <c r="N161" i="18"/>
  <c r="N127" i="18"/>
  <c r="N126" i="18" s="1"/>
  <c r="N141" i="18" s="1"/>
  <c r="N184" i="18"/>
  <c r="P58" i="6" s="1"/>
  <c r="P284" i="67" s="1"/>
  <c r="U29" i="6"/>
  <c r="P16" i="61" s="1"/>
  <c r="J63" i="12"/>
  <c r="S113" i="18"/>
  <c r="BU113" i="18"/>
  <c r="O161" i="18"/>
  <c r="BT113" i="18"/>
  <c r="O184" i="18"/>
  <c r="Q58" i="6" s="1"/>
  <c r="Q284" i="67" s="1"/>
  <c r="Q39" i="6"/>
  <c r="O127" i="18"/>
  <c r="O126" i="18" s="1"/>
  <c r="O141" i="18" s="1"/>
  <c r="BV113" i="18"/>
  <c r="J64" i="12" l="1"/>
  <c r="J65" i="12" s="1"/>
  <c r="J66" i="12" s="1"/>
  <c r="J67" i="12" s="1"/>
  <c r="K64" i="12"/>
  <c r="K65" i="12" s="1"/>
  <c r="K66" i="12" s="1"/>
  <c r="K67" i="12" s="1"/>
  <c r="L64" i="12"/>
  <c r="L65" i="12" s="1"/>
  <c r="L66" i="12" s="1"/>
  <c r="I64" i="12"/>
  <c r="I65" i="12" s="1"/>
  <c r="I66" i="12" s="1"/>
  <c r="I67" i="12" s="1"/>
  <c r="M26" i="68"/>
  <c r="M27" i="68"/>
  <c r="M24" i="68"/>
  <c r="J27" i="68"/>
  <c r="J24" i="68"/>
  <c r="J26" i="68"/>
  <c r="L29" i="68"/>
  <c r="J99" i="18" s="1"/>
  <c r="L31" i="68"/>
  <c r="L32" i="68"/>
  <c r="F27" i="68"/>
  <c r="F24" i="68"/>
  <c r="F26" i="68"/>
  <c r="D21" i="68"/>
  <c r="D22" i="68"/>
  <c r="D19" i="68"/>
  <c r="G31" i="68"/>
  <c r="G32" i="68"/>
  <c r="G29" i="68"/>
  <c r="E99" i="18" s="1"/>
  <c r="E24" i="68"/>
  <c r="E27" i="68"/>
  <c r="E26" i="68"/>
  <c r="D32" i="68"/>
  <c r="D31" i="68"/>
  <c r="D29" i="68"/>
  <c r="B99" i="18" s="1"/>
  <c r="O153" i="18"/>
  <c r="O163" i="18"/>
  <c r="P331" i="67"/>
  <c r="H115" i="12"/>
  <c r="H116" i="12" s="1"/>
  <c r="H117" i="12" s="1"/>
  <c r="H118" i="12" s="1"/>
  <c r="H65" i="12"/>
  <c r="H66" i="12" s="1"/>
  <c r="H67" i="12" s="1"/>
  <c r="BX113" i="18"/>
  <c r="P127" i="18"/>
  <c r="P126" i="18" s="1"/>
  <c r="P141" i="18" s="1"/>
  <c r="R39" i="6"/>
  <c r="BZ113" i="18"/>
  <c r="P184" i="18"/>
  <c r="R58" i="6" s="1"/>
  <c r="R284" i="67" s="1"/>
  <c r="P161" i="18"/>
  <c r="BY113" i="18"/>
  <c r="J22" i="68"/>
  <c r="J21" i="68"/>
  <c r="J19" i="68"/>
  <c r="K29" i="68"/>
  <c r="I99" i="18" s="1"/>
  <c r="K31" i="68"/>
  <c r="K32" i="68"/>
  <c r="I24" i="68"/>
  <c r="I27" i="68"/>
  <c r="I26" i="68"/>
  <c r="M22" i="68"/>
  <c r="M21" i="68"/>
  <c r="M19" i="68"/>
  <c r="L27" i="68"/>
  <c r="L24" i="68" s="1"/>
  <c r="L26" i="68"/>
  <c r="I32" i="68"/>
  <c r="I31" i="68"/>
  <c r="I29" i="68"/>
  <c r="G99" i="18" s="1"/>
  <c r="K22" i="68"/>
  <c r="K19" i="68" s="1"/>
  <c r="K21" i="68"/>
  <c r="N29" i="68"/>
  <c r="L99" i="18" s="1"/>
  <c r="N32" i="68"/>
  <c r="N31" i="68"/>
  <c r="E19" i="68"/>
  <c r="E22" i="68"/>
  <c r="E21" i="68"/>
  <c r="I21" i="68"/>
  <c r="I19" i="68"/>
  <c r="I22" i="68"/>
  <c r="G21" i="68"/>
  <c r="G22" i="68"/>
  <c r="G19" i="68"/>
  <c r="F22" i="68"/>
  <c r="F21" i="68"/>
  <c r="F19" i="68"/>
  <c r="O180" i="18"/>
  <c r="O250" i="18" s="1"/>
  <c r="Q331" i="67"/>
  <c r="AY400" i="67"/>
  <c r="BU98" i="18"/>
  <c r="N180" i="18"/>
  <c r="N250" i="18" s="1"/>
  <c r="N163" i="18"/>
  <c r="N153" i="18"/>
  <c r="T39" i="6"/>
  <c r="CG113" i="18"/>
  <c r="R161" i="18"/>
  <c r="CF113" i="18"/>
  <c r="R184" i="18"/>
  <c r="T58" i="6" s="1"/>
  <c r="T284" i="67" s="1"/>
  <c r="CH113" i="18"/>
  <c r="R127" i="18"/>
  <c r="R126" i="18" s="1"/>
  <c r="R141" i="18" s="1"/>
  <c r="CC113" i="18"/>
  <c r="Q161" i="18"/>
  <c r="S39" i="6"/>
  <c r="Q184" i="18"/>
  <c r="S58" i="6" s="1"/>
  <c r="S284" i="67" s="1"/>
  <c r="CB113" i="18"/>
  <c r="Q127" i="18"/>
  <c r="Q126" i="18" s="1"/>
  <c r="Q141" i="18" s="1"/>
  <c r="CD113" i="18"/>
  <c r="CR113" i="18"/>
  <c r="U127" i="18"/>
  <c r="U126" i="18" s="1"/>
  <c r="U141" i="18" s="1"/>
  <c r="U161" i="18"/>
  <c r="W39" i="6"/>
  <c r="CS113" i="18"/>
  <c r="CT113" i="18"/>
  <c r="U184" i="18"/>
  <c r="W58" i="6" s="1"/>
  <c r="W284" i="67" s="1"/>
  <c r="L21" i="68"/>
  <c r="L19" i="68"/>
  <c r="L22" i="68"/>
  <c r="H19" i="68"/>
  <c r="H21" i="68"/>
  <c r="H22" i="68"/>
  <c r="H27" i="68"/>
  <c r="H26" i="68"/>
  <c r="H24" i="68"/>
  <c r="J31" i="68"/>
  <c r="J32" i="68"/>
  <c r="J29" i="68" s="1"/>
  <c r="H99" i="18" s="1"/>
  <c r="K26" i="68"/>
  <c r="K24" i="68"/>
  <c r="K27" i="68"/>
  <c r="M32" i="68"/>
  <c r="M31" i="68"/>
  <c r="M29" i="68"/>
  <c r="K99" i="18" s="1"/>
  <c r="H31" i="68"/>
  <c r="H29" i="68"/>
  <c r="F99" i="18" s="1"/>
  <c r="H32" i="68"/>
  <c r="F31" i="68"/>
  <c r="F32" i="68"/>
  <c r="F29" i="68" s="1"/>
  <c r="D99" i="18" s="1"/>
  <c r="C24" i="68"/>
  <c r="C26" i="68"/>
  <c r="C27" i="68"/>
  <c r="D27" i="68"/>
  <c r="D24" i="68" s="1"/>
  <c r="D26" i="68"/>
  <c r="E31" i="68"/>
  <c r="E32" i="68"/>
  <c r="E29" i="68"/>
  <c r="C99" i="18" s="1"/>
  <c r="BW113" i="18"/>
  <c r="CJ113" i="18"/>
  <c r="S184" i="18"/>
  <c r="U58" i="6" s="1"/>
  <c r="U284" i="67" s="1"/>
  <c r="CK113" i="18"/>
  <c r="S161" i="18"/>
  <c r="S127" i="18"/>
  <c r="S126" i="18" s="1"/>
  <c r="S141" i="18" s="1"/>
  <c r="U39" i="6"/>
  <c r="CL113" i="18"/>
  <c r="BQ98" i="18"/>
  <c r="AU400" i="67"/>
  <c r="M16" i="61"/>
  <c r="G24" i="68"/>
  <c r="G27" i="68"/>
  <c r="G26" i="68"/>
  <c r="C32" i="68"/>
  <c r="C29" i="68"/>
  <c r="C31" i="68"/>
  <c r="C22" i="68"/>
  <c r="C19" i="68"/>
  <c r="C21" i="68"/>
  <c r="BV98" i="18"/>
  <c r="AZ400" i="67"/>
  <c r="AX400" i="67"/>
  <c r="BT98" i="18"/>
  <c r="BS113" i="18"/>
  <c r="BR98" i="18"/>
  <c r="AV400" i="67"/>
  <c r="T184" i="18"/>
  <c r="V58" i="6" s="1"/>
  <c r="V284" i="67" s="1"/>
  <c r="T161" i="18"/>
  <c r="CO113" i="18"/>
  <c r="V39" i="6"/>
  <c r="CP113" i="18"/>
  <c r="CN113" i="18"/>
  <c r="T127" i="18"/>
  <c r="T126" i="18" s="1"/>
  <c r="T141" i="18" s="1"/>
  <c r="G115" i="12"/>
  <c r="G116" i="12" s="1"/>
  <c r="G117" i="12" s="1"/>
  <c r="G118" i="12" s="1"/>
  <c r="G119" i="12" s="1"/>
  <c r="G65" i="12"/>
  <c r="G66" i="12" s="1"/>
  <c r="G67" i="12" s="1"/>
  <c r="R16" i="61"/>
  <c r="AA29" i="6"/>
  <c r="R180" i="18" l="1"/>
  <c r="R190" i="18" s="1"/>
  <c r="Q180" i="18"/>
  <c r="CB180" i="18" s="1"/>
  <c r="CB190" i="18" s="1"/>
  <c r="CE113" i="18"/>
  <c r="CE98" i="18" s="1"/>
  <c r="BI395" i="67" s="1"/>
  <c r="L68" i="12"/>
  <c r="E71" i="12" s="1"/>
  <c r="L67" i="12"/>
  <c r="E70" i="12" s="1"/>
  <c r="S180" i="18"/>
  <c r="CL180" i="18" s="1"/>
  <c r="CL190" i="18" s="1"/>
  <c r="CM113" i="18"/>
  <c r="BQ400" i="67" s="1"/>
  <c r="T180" i="18"/>
  <c r="CO98" i="18"/>
  <c r="BS395" i="67" s="1"/>
  <c r="BS400" i="67"/>
  <c r="S153" i="18"/>
  <c r="S163" i="18"/>
  <c r="BA400" i="67"/>
  <c r="BW98" i="18"/>
  <c r="W331" i="67"/>
  <c r="BF400" i="67"/>
  <c r="CB98" i="18"/>
  <c r="BF395" i="67" s="1"/>
  <c r="CC98" i="18"/>
  <c r="BG395" i="67" s="1"/>
  <c r="BG400" i="67"/>
  <c r="CF98" i="18"/>
  <c r="BJ395" i="67" s="1"/>
  <c r="BJ400" i="67"/>
  <c r="BQ153" i="18"/>
  <c r="AU18" i="15" s="1"/>
  <c r="AU17" i="15" s="1"/>
  <c r="N150" i="18"/>
  <c r="BR153" i="18"/>
  <c r="AV18" i="15" s="1"/>
  <c r="AV17" i="15" s="1"/>
  <c r="P51" i="6"/>
  <c r="P50" i="6" s="1"/>
  <c r="P49" i="6" s="1"/>
  <c r="P153" i="18"/>
  <c r="P163" i="18"/>
  <c r="P180" i="18"/>
  <c r="CN98" i="18"/>
  <c r="BR395" i="67" s="1"/>
  <c r="BR400" i="67"/>
  <c r="T163" i="18"/>
  <c r="T153" i="18"/>
  <c r="AV395" i="67"/>
  <c r="AX395" i="67"/>
  <c r="BP400" i="67"/>
  <c r="CL98" i="18"/>
  <c r="BP395" i="67" s="1"/>
  <c r="CK98" i="18"/>
  <c r="BO395" i="67" s="1"/>
  <c r="BO400" i="67"/>
  <c r="CT98" i="18"/>
  <c r="BX395" i="67" s="1"/>
  <c r="BX400" i="67"/>
  <c r="U163" i="18"/>
  <c r="U153" i="18"/>
  <c r="R153" i="18"/>
  <c r="R163" i="18"/>
  <c r="BX98" i="18"/>
  <c r="BB400" i="67"/>
  <c r="CP98" i="18"/>
  <c r="BT395" i="67" s="1"/>
  <c r="BT400" i="67"/>
  <c r="U331" i="67"/>
  <c r="U180" i="18"/>
  <c r="U250" i="18" s="1"/>
  <c r="CD98" i="18"/>
  <c r="BH395" i="67" s="1"/>
  <c r="BH400" i="67"/>
  <c r="S331" i="67"/>
  <c r="CI113" i="18"/>
  <c r="BL400" i="67"/>
  <c r="CH98" i="18"/>
  <c r="BL395" i="67" s="1"/>
  <c r="BK400" i="67"/>
  <c r="CG98" i="18"/>
  <c r="BK395" i="67" s="1"/>
  <c r="AY395" i="67"/>
  <c r="CA113" i="18"/>
  <c r="BD400" i="67"/>
  <c r="BZ98" i="18"/>
  <c r="CQ113" i="18"/>
  <c r="V331" i="67"/>
  <c r="BS98" i="18"/>
  <c r="AW400" i="67"/>
  <c r="AZ395" i="67"/>
  <c r="U16" i="61"/>
  <c r="W16" i="61" s="1"/>
  <c r="AU395" i="67"/>
  <c r="CJ98" i="18"/>
  <c r="BN395" i="67" s="1"/>
  <c r="BN400" i="67"/>
  <c r="CU113" i="18"/>
  <c r="CS98" i="18"/>
  <c r="BW395" i="67" s="1"/>
  <c r="BW400" i="67"/>
  <c r="BV400" i="67"/>
  <c r="CR98" i="18"/>
  <c r="BV395" i="67" s="1"/>
  <c r="Q153" i="18"/>
  <c r="Q163" i="18"/>
  <c r="T331" i="67"/>
  <c r="BQ180" i="18"/>
  <c r="BR180" i="18"/>
  <c r="N185" i="18"/>
  <c r="N190" i="18"/>
  <c r="O190" i="18"/>
  <c r="O185" i="18"/>
  <c r="BV180" i="18"/>
  <c r="BU180" i="18"/>
  <c r="BT180" i="18"/>
  <c r="BY98" i="18"/>
  <c r="BC400" i="67"/>
  <c r="R331" i="67"/>
  <c r="H120" i="12"/>
  <c r="B123" i="12" s="1"/>
  <c r="H119" i="12"/>
  <c r="B122" i="12" s="1"/>
  <c r="O150" i="18"/>
  <c r="Q51" i="6"/>
  <c r="Q50" i="6" s="1"/>
  <c r="Q49" i="6" s="1"/>
  <c r="BV153" i="18"/>
  <c r="AZ18" i="15" s="1"/>
  <c r="AZ17" i="15" s="1"/>
  <c r="BT153" i="18"/>
  <c r="AX18" i="15" s="1"/>
  <c r="AX17" i="15" s="1"/>
  <c r="BU153" i="18"/>
  <c r="AY18" i="15" s="1"/>
  <c r="AY17" i="15" s="1"/>
  <c r="R250" i="18" l="1"/>
  <c r="CH180" i="18"/>
  <c r="CH190" i="18" s="1"/>
  <c r="CF180" i="18"/>
  <c r="CF190" i="18" s="1"/>
  <c r="CG180" i="18"/>
  <c r="CG190" i="18" s="1"/>
  <c r="R185" i="18"/>
  <c r="T59" i="6" s="1"/>
  <c r="T285" i="67" s="1"/>
  <c r="Q185" i="18"/>
  <c r="Q195" i="18" s="1"/>
  <c r="S66" i="6" s="1"/>
  <c r="S290" i="67" s="1"/>
  <c r="Q250" i="18"/>
  <c r="CD180" i="18"/>
  <c r="CD190" i="18" s="1"/>
  <c r="Q190" i="18"/>
  <c r="CC180" i="18"/>
  <c r="CC190" i="18" s="1"/>
  <c r="BI400" i="67"/>
  <c r="S185" i="18"/>
  <c r="S195" i="18" s="1"/>
  <c r="U66" i="6" s="1"/>
  <c r="U290" i="67" s="1"/>
  <c r="E72" i="12"/>
  <c r="E11" i="12" s="1"/>
  <c r="S190" i="18"/>
  <c r="S250" i="18"/>
  <c r="CK180" i="18"/>
  <c r="CK190" i="18" s="1"/>
  <c r="CJ180" i="18"/>
  <c r="CJ190" i="18" s="1"/>
  <c r="BW180" i="18"/>
  <c r="BS153" i="18"/>
  <c r="AW18" i="15" s="1"/>
  <c r="AW17" i="15" s="1"/>
  <c r="AW16" i="15" s="1"/>
  <c r="CM98" i="18"/>
  <c r="BQ395" i="67" s="1"/>
  <c r="BS180" i="18"/>
  <c r="BW153" i="18"/>
  <c r="BA18" i="15" s="1"/>
  <c r="BA17" i="15" s="1"/>
  <c r="BT190" i="18"/>
  <c r="BR190" i="18"/>
  <c r="AW395" i="67"/>
  <c r="BD395" i="67"/>
  <c r="BE400" i="67"/>
  <c r="CA98" i="18"/>
  <c r="CI98" i="18"/>
  <c r="BM395" i="67" s="1"/>
  <c r="BM400" i="67"/>
  <c r="BB395" i="67"/>
  <c r="AV16" i="15"/>
  <c r="U51" i="6"/>
  <c r="U50" i="6" s="1"/>
  <c r="U49" i="6" s="1"/>
  <c r="S150" i="18"/>
  <c r="AY16" i="15"/>
  <c r="BC395" i="67"/>
  <c r="BU190" i="18"/>
  <c r="BQ190" i="18"/>
  <c r="CC153" i="18"/>
  <c r="BG18" i="15" s="1"/>
  <c r="BG17" i="15" s="1"/>
  <c r="S51" i="6"/>
  <c r="S50" i="6" s="1"/>
  <c r="S49" i="6" s="1"/>
  <c r="CB153" i="18"/>
  <c r="BF18" i="15" s="1"/>
  <c r="BF17" i="15" s="1"/>
  <c r="CD153" i="18"/>
  <c r="BH18" i="15" s="1"/>
  <c r="BH17" i="15" s="1"/>
  <c r="Q150" i="18"/>
  <c r="BY400" i="67"/>
  <c r="CU98" i="18"/>
  <c r="BY395" i="67" s="1"/>
  <c r="R150" i="18"/>
  <c r="T51" i="6"/>
  <c r="T50" i="6" s="1"/>
  <c r="T49" i="6" s="1"/>
  <c r="BY153" i="18"/>
  <c r="BC18" i="15" s="1"/>
  <c r="BC17" i="15" s="1"/>
  <c r="P150" i="18"/>
  <c r="BX153" i="18"/>
  <c r="BB18" i="15" s="1"/>
  <c r="BB17" i="15" s="1"/>
  <c r="BZ153" i="18"/>
  <c r="BD18" i="15" s="1"/>
  <c r="BD17" i="15" s="1"/>
  <c r="R51" i="6"/>
  <c r="R50" i="6" s="1"/>
  <c r="R49" i="6" s="1"/>
  <c r="BA395" i="67"/>
  <c r="AX16" i="15"/>
  <c r="B124" i="12"/>
  <c r="B126" i="12" s="1"/>
  <c r="BV190" i="18"/>
  <c r="U190" i="18"/>
  <c r="U185" i="18"/>
  <c r="CR180" i="18"/>
  <c r="CR190" i="18" s="1"/>
  <c r="CS180" i="18"/>
  <c r="CS190" i="18" s="1"/>
  <c r="CT180" i="18"/>
  <c r="CT190" i="18" s="1"/>
  <c r="AU16" i="15"/>
  <c r="AZ16" i="15"/>
  <c r="Q59" i="6"/>
  <c r="Q285" i="67" s="1"/>
  <c r="O195" i="18"/>
  <c r="Q66" i="6" s="1"/>
  <c r="Q290" i="67" s="1"/>
  <c r="P59" i="6"/>
  <c r="P285" i="67" s="1"/>
  <c r="N195" i="18"/>
  <c r="P66" i="6" s="1"/>
  <c r="P290" i="67" s="1"/>
  <c r="BU400" i="67"/>
  <c r="CQ98" i="18"/>
  <c r="BU395" i="67" s="1"/>
  <c r="W51" i="6"/>
  <c r="W50" i="6" s="1"/>
  <c r="W49" i="6" s="1"/>
  <c r="U150" i="18"/>
  <c r="T150" i="18"/>
  <c r="V51" i="6"/>
  <c r="V50" i="6" s="1"/>
  <c r="V49" i="6" s="1"/>
  <c r="P250" i="18"/>
  <c r="BZ180" i="18"/>
  <c r="BX180" i="18"/>
  <c r="P185" i="18"/>
  <c r="P190" i="18"/>
  <c r="BY180" i="18"/>
  <c r="T250" i="18"/>
  <c r="CO180" i="18"/>
  <c r="CO190" i="18" s="1"/>
  <c r="CP180" i="18"/>
  <c r="CP190" i="18" s="1"/>
  <c r="T190" i="18"/>
  <c r="T185" i="18"/>
  <c r="CN180" i="18"/>
  <c r="CN190" i="18" s="1"/>
  <c r="R195" i="18" l="1"/>
  <c r="T66" i="6" s="1"/>
  <c r="T290" i="67" s="1"/>
  <c r="CI180" i="18"/>
  <c r="CI190" i="18" s="1"/>
  <c r="S59" i="6"/>
  <c r="S285" i="67" s="1"/>
  <c r="F11" i="12"/>
  <c r="CE180" i="18"/>
  <c r="CE190" i="18" s="1"/>
  <c r="U59" i="6"/>
  <c r="U285" i="67" s="1"/>
  <c r="E74" i="12"/>
  <c r="CM180" i="18"/>
  <c r="CM190" i="18" s="1"/>
  <c r="BS190" i="18"/>
  <c r="BW190" i="18"/>
  <c r="CQ180" i="18"/>
  <c r="CQ190" i="18" s="1"/>
  <c r="CA180" i="18"/>
  <c r="BB16" i="15"/>
  <c r="BH16" i="15"/>
  <c r="P195" i="18"/>
  <c r="R66" i="6" s="1"/>
  <c r="R290" i="67" s="1"/>
  <c r="R59" i="6"/>
  <c r="R285" i="67" s="1"/>
  <c r="CA153" i="18"/>
  <c r="BE18" i="15" s="1"/>
  <c r="BE17" i="15" s="1"/>
  <c r="BF16" i="15"/>
  <c r="V59" i="6"/>
  <c r="V285" i="67" s="1"/>
  <c r="T195" i="18"/>
  <c r="V66" i="6" s="1"/>
  <c r="V290" i="67" s="1"/>
  <c r="BX190" i="18"/>
  <c r="CU180" i="18"/>
  <c r="CU190" i="18" s="1"/>
  <c r="W59" i="6"/>
  <c r="W285" i="67" s="1"/>
  <c r="U195" i="18"/>
  <c r="W66" i="6" s="1"/>
  <c r="W290" i="67" s="1"/>
  <c r="BC16" i="15"/>
  <c r="CE153" i="18"/>
  <c r="BA16" i="15"/>
  <c r="BY190" i="18"/>
  <c r="BZ190" i="18"/>
  <c r="BD16" i="15"/>
  <c r="BG16" i="15"/>
  <c r="BE395" i="67"/>
  <c r="H34" i="12" l="1"/>
  <c r="C45" i="12"/>
  <c r="D45" i="12"/>
  <c r="J34" i="12"/>
  <c r="F34" i="12"/>
  <c r="I45" i="12"/>
  <c r="E45" i="12"/>
  <c r="K34" i="12"/>
  <c r="D34" i="12"/>
  <c r="D35" i="12" s="1"/>
  <c r="N146" i="6" s="1"/>
  <c r="G45" i="12"/>
  <c r="G34" i="12"/>
  <c r="J45" i="12"/>
  <c r="F45" i="12"/>
  <c r="L34" i="12"/>
  <c r="I34" i="12"/>
  <c r="F14" i="12"/>
  <c r="K45" i="12"/>
  <c r="M34" i="12"/>
  <c r="L45" i="12"/>
  <c r="M45" i="12"/>
  <c r="C34" i="12"/>
  <c r="C35" i="12" s="1"/>
  <c r="M146" i="6" s="1"/>
  <c r="E34" i="12"/>
  <c r="E35" i="12" s="1"/>
  <c r="K5" i="12" s="1"/>
  <c r="M6" i="74" s="1"/>
  <c r="H45" i="12"/>
  <c r="CA190" i="18"/>
  <c r="BI18" i="15"/>
  <c r="BI17" i="15" s="1"/>
  <c r="CF153" i="18"/>
  <c r="BE16" i="15"/>
  <c r="M157" i="6" l="1"/>
  <c r="N157" i="6"/>
  <c r="I39" i="61"/>
  <c r="O146" i="6"/>
  <c r="H39" i="61"/>
  <c r="BJ18" i="15"/>
  <c r="BJ17" i="15" s="1"/>
  <c r="BJ16" i="15" s="1"/>
  <c r="CG153" i="18"/>
  <c r="BI16" i="15"/>
  <c r="O157" i="6" l="1"/>
  <c r="J39" i="61"/>
  <c r="N24" i="68"/>
  <c r="N27" i="68"/>
  <c r="N26" i="68"/>
  <c r="N19" i="68"/>
  <c r="N21" i="68"/>
  <c r="N22" i="68"/>
  <c r="BK18" i="15"/>
  <c r="BK17" i="15" s="1"/>
  <c r="BK16" i="15" s="1"/>
  <c r="CH153" i="18"/>
  <c r="BL18" i="15" l="1"/>
  <c r="BL17" i="15" s="1"/>
  <c r="BL16" i="15" s="1"/>
  <c r="CI153" i="18"/>
  <c r="BM18" i="15" l="1"/>
  <c r="BM17" i="15" s="1"/>
  <c r="BM16" i="15" s="1"/>
  <c r="CJ153" i="18"/>
  <c r="BN18" i="15" l="1"/>
  <c r="BN17" i="15" s="1"/>
  <c r="BN16" i="15" s="1"/>
  <c r="CK153" i="18"/>
  <c r="BO18" i="15" l="1"/>
  <c r="BO17" i="15" s="1"/>
  <c r="BO16" i="15" s="1"/>
  <c r="CL153" i="18"/>
  <c r="BP18" i="15" l="1"/>
  <c r="BP17" i="15" s="1"/>
  <c r="BP16" i="15" s="1"/>
  <c r="CM153" i="18"/>
  <c r="BQ18" i="15" l="1"/>
  <c r="BQ17" i="15" s="1"/>
  <c r="BQ16" i="15" s="1"/>
  <c r="CN153" i="18"/>
  <c r="BR18" i="15" l="1"/>
  <c r="BR17" i="15" s="1"/>
  <c r="BR16" i="15" s="1"/>
  <c r="CO153" i="18"/>
  <c r="BS18" i="15" l="1"/>
  <c r="BS17" i="15" s="1"/>
  <c r="BS16" i="15" s="1"/>
  <c r="CP153" i="18"/>
  <c r="BT18" i="15" l="1"/>
  <c r="BT17" i="15" s="1"/>
  <c r="BT16" i="15" s="1"/>
  <c r="CQ153" i="18"/>
  <c r="BU18" i="15" l="1"/>
  <c r="BU17" i="15" s="1"/>
  <c r="BU16" i="15" s="1"/>
  <c r="CR153" i="18"/>
  <c r="BV18" i="15" l="1"/>
  <c r="BV17" i="15" s="1"/>
  <c r="BV16" i="15" s="1"/>
  <c r="CS153" i="18"/>
  <c r="BW18" i="15" l="1"/>
  <c r="BW17" i="15" s="1"/>
  <c r="BW16" i="15" s="1"/>
  <c r="CT153" i="18"/>
  <c r="BX18" i="15" l="1"/>
  <c r="BX17" i="15" s="1"/>
  <c r="BX16" i="15" s="1"/>
  <c r="CU153" i="18"/>
  <c r="BY18" i="15" s="1"/>
  <c r="BY17" i="15" s="1"/>
  <c r="BY16" i="15" s="1"/>
  <c r="O22" i="68" l="1"/>
  <c r="O19" i="68" l="1"/>
  <c r="O21" i="68"/>
  <c r="O26" i="68"/>
  <c r="O24" i="68"/>
  <c r="O27" i="68"/>
  <c r="S14" i="68" l="1"/>
  <c r="V14" i="68"/>
  <c r="R14" i="68"/>
  <c r="U14" i="68"/>
  <c r="Q14" i="68"/>
  <c r="T14" i="68"/>
  <c r="P14" i="68"/>
  <c r="Q100" i="68" l="1"/>
  <c r="Q105" i="68" s="1"/>
  <c r="T100" i="68"/>
  <c r="V100" i="68"/>
  <c r="R100" i="68"/>
  <c r="R105" i="68" s="1"/>
  <c r="U100" i="68"/>
  <c r="S100" i="68"/>
  <c r="N64" i="18"/>
  <c r="N65" i="18" s="1"/>
  <c r="P64" i="18"/>
  <c r="Q64" i="18"/>
  <c r="T64" i="18"/>
  <c r="R64" i="18"/>
  <c r="O64" i="18"/>
  <c r="S64" i="18"/>
  <c r="P16" i="6" l="1"/>
  <c r="K13" i="61" s="1"/>
  <c r="N75" i="18"/>
  <c r="N82" i="18" s="1"/>
  <c r="N106" i="18" s="1"/>
  <c r="Q102" i="68"/>
  <c r="Q101" i="68"/>
  <c r="S16" i="6"/>
  <c r="Q65" i="18"/>
  <c r="Q75" i="18"/>
  <c r="S65" i="18"/>
  <c r="S75" i="18"/>
  <c r="U16" i="6"/>
  <c r="R75" i="18"/>
  <c r="R65" i="18"/>
  <c r="T16" i="6"/>
  <c r="S105" i="68"/>
  <c r="S102" i="68"/>
  <c r="S101" i="68"/>
  <c r="U102" i="68"/>
  <c r="U105" i="68"/>
  <c r="U101" i="68"/>
  <c r="T101" i="68"/>
  <c r="T105" i="68"/>
  <c r="T102" i="68"/>
  <c r="V102" i="68"/>
  <c r="V101" i="68"/>
  <c r="V105" i="68"/>
  <c r="P75" i="18"/>
  <c r="R16" i="6"/>
  <c r="P65" i="18"/>
  <c r="O75" i="18"/>
  <c r="O65" i="18"/>
  <c r="O130" i="18" s="1"/>
  <c r="Q16" i="6"/>
  <c r="T65" i="18"/>
  <c r="V16" i="6"/>
  <c r="T75" i="18"/>
  <c r="R101" i="68"/>
  <c r="R102" i="68"/>
  <c r="V99" i="68" l="1"/>
  <c r="S99" i="68"/>
  <c r="Z16" i="6"/>
  <c r="P5" i="67"/>
  <c r="O82" i="18"/>
  <c r="O83" i="18"/>
  <c r="O107" i="18" s="1"/>
  <c r="U99" i="68"/>
  <c r="P293" i="67"/>
  <c r="N83" i="18"/>
  <c r="N107" i="18" s="1"/>
  <c r="N105" i="18" s="1"/>
  <c r="Q99" i="68"/>
  <c r="R130" i="18"/>
  <c r="T99" i="68"/>
  <c r="R99" i="68"/>
  <c r="T83" i="18"/>
  <c r="T107" i="18" s="1"/>
  <c r="T82" i="18"/>
  <c r="T106" i="18" s="1"/>
  <c r="BR106" i="18"/>
  <c r="BQ106" i="18"/>
  <c r="P130" i="18"/>
  <c r="U106" i="68"/>
  <c r="U107" i="68"/>
  <c r="S106" i="68"/>
  <c r="S107" i="68"/>
  <c r="R82" i="18"/>
  <c r="R106" i="18" s="1"/>
  <c r="R83" i="18"/>
  <c r="R107" i="18" s="1"/>
  <c r="Q83" i="18"/>
  <c r="Q107" i="18" s="1"/>
  <c r="Q82" i="18"/>
  <c r="Q106" i="18" s="1"/>
  <c r="V293" i="67"/>
  <c r="V5" i="67"/>
  <c r="Q13" i="61"/>
  <c r="Q5" i="67"/>
  <c r="Q293" i="67"/>
  <c r="L13" i="61"/>
  <c r="M13" i="61"/>
  <c r="R5" i="67"/>
  <c r="R293" i="67"/>
  <c r="T107" i="68"/>
  <c r="T106" i="68"/>
  <c r="U5" i="67"/>
  <c r="U293" i="67"/>
  <c r="P13" i="61"/>
  <c r="Q130" i="18"/>
  <c r="R107" i="68"/>
  <c r="R106" i="68"/>
  <c r="T130" i="18"/>
  <c r="P82" i="18"/>
  <c r="P106" i="18" s="1"/>
  <c r="P83" i="18"/>
  <c r="P107" i="18" s="1"/>
  <c r="T293" i="67"/>
  <c r="T5" i="67"/>
  <c r="O13" i="61"/>
  <c r="S82" i="18"/>
  <c r="S106" i="18" s="1"/>
  <c r="S83" i="18"/>
  <c r="S107" i="18" s="1"/>
  <c r="N13" i="61"/>
  <c r="S5" i="67"/>
  <c r="S293" i="67"/>
  <c r="Q107" i="68"/>
  <c r="Q106" i="68"/>
  <c r="O106" i="18"/>
  <c r="V106" i="68"/>
  <c r="V107" i="68"/>
  <c r="S130" i="18"/>
  <c r="BR107" i="18" l="1"/>
  <c r="BR105" i="18" s="1"/>
  <c r="BQ107" i="18"/>
  <c r="BQ105" i="18" s="1"/>
  <c r="T104" i="68"/>
  <c r="Q104" i="68"/>
  <c r="BS106" i="18"/>
  <c r="R104" i="68"/>
  <c r="V104" i="68"/>
  <c r="U104" i="68"/>
  <c r="S104" i="68"/>
  <c r="BU107" i="18"/>
  <c r="BT107" i="18"/>
  <c r="BV107" i="18"/>
  <c r="CL107" i="18"/>
  <c r="CJ107" i="18"/>
  <c r="CK107" i="18"/>
  <c r="P105" i="18"/>
  <c r="BZ106" i="18"/>
  <c r="BY106" i="18"/>
  <c r="BX106" i="18"/>
  <c r="CG106" i="18"/>
  <c r="R105" i="18"/>
  <c r="CH106" i="18"/>
  <c r="CF106" i="18"/>
  <c r="CJ106" i="18"/>
  <c r="S105" i="18"/>
  <c r="CK106" i="18"/>
  <c r="CL106" i="18"/>
  <c r="CC106" i="18"/>
  <c r="CD106" i="18"/>
  <c r="CB106" i="18"/>
  <c r="Q105" i="18"/>
  <c r="N81" i="18"/>
  <c r="N86" i="18" s="1"/>
  <c r="P37" i="6"/>
  <c r="CD107" i="18"/>
  <c r="CC107" i="18"/>
  <c r="CB107" i="18"/>
  <c r="T105" i="18"/>
  <c r="CO106" i="18"/>
  <c r="CP106" i="18"/>
  <c r="CN106" i="18"/>
  <c r="BU106" i="18"/>
  <c r="BV106" i="18"/>
  <c r="BT106" i="18"/>
  <c r="O105" i="18"/>
  <c r="BX107" i="18"/>
  <c r="BZ107" i="18"/>
  <c r="BY107" i="18"/>
  <c r="CG107" i="18"/>
  <c r="CH107" i="18"/>
  <c r="CF107" i="18"/>
  <c r="CO107" i="18"/>
  <c r="CN107" i="18"/>
  <c r="CP107" i="18"/>
  <c r="P347" i="67" l="1"/>
  <c r="BS107" i="18"/>
  <c r="BS105" i="18" s="1"/>
  <c r="BQ215" i="18" s="1"/>
  <c r="CK105" i="18"/>
  <c r="CK81" i="18" s="1"/>
  <c r="BO391" i="67" s="1"/>
  <c r="BV105" i="18"/>
  <c r="CL105" i="18"/>
  <c r="CL81" i="18" s="1"/>
  <c r="BP391" i="67" s="1"/>
  <c r="BT105" i="18"/>
  <c r="AX398" i="67" s="1"/>
  <c r="BU105" i="18"/>
  <c r="BU81" i="18" s="1"/>
  <c r="CJ105" i="18"/>
  <c r="CJ81" i="18" s="1"/>
  <c r="BN391" i="67" s="1"/>
  <c r="CM107" i="18"/>
  <c r="CE107" i="18"/>
  <c r="BW107" i="18"/>
  <c r="CQ107" i="18"/>
  <c r="CO105" i="18"/>
  <c r="BS398" i="67" s="1"/>
  <c r="CA107" i="18"/>
  <c r="CI107" i="18"/>
  <c r="CM106" i="18"/>
  <c r="AU398" i="67"/>
  <c r="BQ81" i="18"/>
  <c r="CP105" i="18"/>
  <c r="S37" i="6"/>
  <c r="Q81" i="18"/>
  <c r="Q86" i="18" s="1"/>
  <c r="CH105" i="18"/>
  <c r="BX105" i="18"/>
  <c r="BW106" i="18"/>
  <c r="P323" i="67"/>
  <c r="CB105" i="18"/>
  <c r="AV398" i="67"/>
  <c r="BR81" i="18"/>
  <c r="R81" i="18"/>
  <c r="R86" i="18" s="1"/>
  <c r="T37" i="6"/>
  <c r="BY105" i="18"/>
  <c r="Q37" i="6"/>
  <c r="O81" i="18"/>
  <c r="O86" i="18" s="1"/>
  <c r="CQ106" i="18"/>
  <c r="T81" i="18"/>
  <c r="T86" i="18" s="1"/>
  <c r="V37" i="6"/>
  <c r="P17" i="6"/>
  <c r="N85" i="18"/>
  <c r="CD105" i="18"/>
  <c r="CI106" i="18"/>
  <c r="CG105" i="18"/>
  <c r="BZ105" i="18"/>
  <c r="CN105" i="18"/>
  <c r="CE106" i="18"/>
  <c r="CC105" i="18"/>
  <c r="S81" i="18"/>
  <c r="U37" i="6"/>
  <c r="CF105" i="18"/>
  <c r="CA106" i="18"/>
  <c r="R37" i="6"/>
  <c r="P81" i="18"/>
  <c r="P86" i="18" s="1"/>
  <c r="BO398" i="67" l="1"/>
  <c r="AY398" i="67"/>
  <c r="CE105" i="18"/>
  <c r="CO215" i="18" s="1"/>
  <c r="AZ398" i="67"/>
  <c r="BV81" i="18"/>
  <c r="BR215" i="18"/>
  <c r="BS215" i="18" s="1"/>
  <c r="BP398" i="67"/>
  <c r="CM105" i="18"/>
  <c r="BQ398" i="67" s="1"/>
  <c r="BT81" i="18"/>
  <c r="AX391" i="67" s="1"/>
  <c r="CO81" i="18"/>
  <c r="BS391" i="67" s="1"/>
  <c r="BS81" i="18"/>
  <c r="AW398" i="67"/>
  <c r="BN398" i="67"/>
  <c r="CA105" i="18"/>
  <c r="BW105" i="18"/>
  <c r="BU215" i="18" s="1"/>
  <c r="CQ105" i="18"/>
  <c r="BU398" i="67" s="1"/>
  <c r="CI105" i="18"/>
  <c r="CH215" i="18" s="1"/>
  <c r="R323" i="67"/>
  <c r="U323" i="67"/>
  <c r="CG81" i="18"/>
  <c r="BK391" i="67" s="1"/>
  <c r="BK398" i="67"/>
  <c r="BY81" i="18"/>
  <c r="BC398" i="67"/>
  <c r="AV391" i="67"/>
  <c r="CH81" i="18"/>
  <c r="BL391" i="67" s="1"/>
  <c r="BL398" i="67"/>
  <c r="S323" i="67"/>
  <c r="S85" i="18"/>
  <c r="U17" i="6"/>
  <c r="CN81" i="18"/>
  <c r="BR391" i="67" s="1"/>
  <c r="BR398" i="67"/>
  <c r="CD81" i="18"/>
  <c r="BH391" i="67" s="1"/>
  <c r="BH398" i="67"/>
  <c r="CP81" i="18"/>
  <c r="BT391" i="67" s="1"/>
  <c r="BT398" i="67"/>
  <c r="U14" i="61"/>
  <c r="W14" i="61" s="1"/>
  <c r="AU391" i="67"/>
  <c r="R17" i="6"/>
  <c r="Z17" i="6" s="1"/>
  <c r="P85" i="18"/>
  <c r="CF81" i="18"/>
  <c r="BJ391" i="67" s="1"/>
  <c r="BJ398" i="67"/>
  <c r="CC81" i="18"/>
  <c r="BG391" i="67" s="1"/>
  <c r="BG398" i="67"/>
  <c r="V323" i="67"/>
  <c r="Q17" i="6"/>
  <c r="O85" i="18"/>
  <c r="T323" i="67"/>
  <c r="AY391" i="67"/>
  <c r="S86" i="18"/>
  <c r="BD398" i="67"/>
  <c r="BZ81" i="18"/>
  <c r="P299" i="67"/>
  <c r="P324" i="67"/>
  <c r="K14" i="61"/>
  <c r="T85" i="18"/>
  <c r="V17" i="6"/>
  <c r="Q323" i="67"/>
  <c r="R85" i="18"/>
  <c r="T17" i="6"/>
  <c r="BF398" i="67"/>
  <c r="CB81" i="18"/>
  <c r="BF391" i="67" s="1"/>
  <c r="BX81" i="18"/>
  <c r="BB398" i="67"/>
  <c r="S17" i="6"/>
  <c r="Q85" i="18"/>
  <c r="CJ215" i="18" l="1"/>
  <c r="CE215" i="18"/>
  <c r="CE81" i="18"/>
  <c r="BI391" i="67" s="1"/>
  <c r="CC215" i="18"/>
  <c r="BI398" i="67"/>
  <c r="CL215" i="18"/>
  <c r="CN215" i="18"/>
  <c r="CB215" i="18"/>
  <c r="CK215" i="18"/>
  <c r="CP215" i="18"/>
  <c r="CD215" i="18"/>
  <c r="AZ391" i="67"/>
  <c r="CM81" i="18"/>
  <c r="BQ391" i="67" s="1"/>
  <c r="AW391" i="67"/>
  <c r="CI81" i="18"/>
  <c r="BM391" i="67" s="1"/>
  <c r="CF215" i="18"/>
  <c r="BM398" i="67"/>
  <c r="CG215" i="18"/>
  <c r="CQ81" i="18"/>
  <c r="BU391" i="67" s="1"/>
  <c r="BE398" i="67"/>
  <c r="CA81" i="18"/>
  <c r="BX215" i="18"/>
  <c r="BZ215" i="18"/>
  <c r="BY215" i="18"/>
  <c r="CA215" i="18"/>
  <c r="BT215" i="18"/>
  <c r="BV215" i="18"/>
  <c r="BW81" i="18"/>
  <c r="BA391" i="67" s="1"/>
  <c r="BA398" i="67"/>
  <c r="S299" i="67"/>
  <c r="N14" i="61"/>
  <c r="S324" i="67"/>
  <c r="V324" i="67"/>
  <c r="Q14" i="61"/>
  <c r="V299" i="67"/>
  <c r="R324" i="67"/>
  <c r="M14" i="61"/>
  <c r="R299" i="67"/>
  <c r="BC391" i="67"/>
  <c r="BB391" i="67"/>
  <c r="L14" i="61"/>
  <c r="Q324" i="67"/>
  <c r="Q299" i="67"/>
  <c r="P14" i="61"/>
  <c r="U324" i="67"/>
  <c r="U299" i="67"/>
  <c r="T299" i="67"/>
  <c r="T324" i="67"/>
  <c r="O14" i="61"/>
  <c r="BD391" i="67"/>
  <c r="CQ215" i="18" l="1"/>
  <c r="CM215" i="18"/>
  <c r="BE391" i="67"/>
  <c r="CI215" i="18"/>
  <c r="BW215" i="18"/>
  <c r="O14" i="68" l="1"/>
  <c r="P100" i="68" s="1"/>
  <c r="P105" i="68" l="1"/>
  <c r="M64" i="18"/>
  <c r="M65" i="18" l="1"/>
  <c r="O16" i="6"/>
  <c r="P101" i="68"/>
  <c r="P102" i="68"/>
  <c r="P99" i="68" l="1"/>
  <c r="N132" i="18" s="1"/>
  <c r="N131" i="18" s="1"/>
  <c r="O293" i="67"/>
  <c r="J13" i="61"/>
  <c r="O5" i="67"/>
  <c r="P107" i="68"/>
  <c r="P106" i="68"/>
  <c r="N130" i="18"/>
  <c r="P104" i="68" l="1"/>
  <c r="N133" i="18" s="1"/>
  <c r="P23" i="6" s="1"/>
  <c r="N124" i="18"/>
  <c r="N139" i="18" s="1"/>
  <c r="N144" i="18" s="1"/>
  <c r="P45" i="6" s="1"/>
  <c r="P109" i="68" s="1"/>
  <c r="P18" i="6"/>
  <c r="P242" i="67" s="1"/>
  <c r="O132" i="18"/>
  <c r="P132" i="18" s="1"/>
  <c r="N178" i="18" l="1"/>
  <c r="N248" i="18" s="1"/>
  <c r="O133" i="18"/>
  <c r="Q23" i="6" s="1"/>
  <c r="N125" i="18"/>
  <c r="N123" i="18" s="1"/>
  <c r="O131" i="18"/>
  <c r="O124" i="18"/>
  <c r="O139" i="18" s="1"/>
  <c r="O178" i="18" s="1"/>
  <c r="O248" i="18" s="1"/>
  <c r="Q18" i="6"/>
  <c r="Q242" i="67" s="1"/>
  <c r="R18" i="6"/>
  <c r="P124" i="18"/>
  <c r="P139" i="18" s="1"/>
  <c r="Q132" i="18"/>
  <c r="P131" i="18"/>
  <c r="R242" i="67" l="1"/>
  <c r="Z18" i="6"/>
  <c r="P56" i="6"/>
  <c r="P282" i="67" s="1"/>
  <c r="BQ178" i="18"/>
  <c r="BQ188" i="18" s="1"/>
  <c r="BR178" i="18"/>
  <c r="N188" i="18"/>
  <c r="P63" i="6" s="1"/>
  <c r="P287" i="67" s="1"/>
  <c r="O125" i="18"/>
  <c r="O123" i="18" s="1"/>
  <c r="P133" i="18"/>
  <c r="R23" i="6" s="1"/>
  <c r="Z23" i="6" s="1"/>
  <c r="O144" i="18"/>
  <c r="Q45" i="6" s="1"/>
  <c r="Q109" i="68" s="1"/>
  <c r="O188" i="18"/>
  <c r="Q63" i="6" s="1"/>
  <c r="Q287" i="67" s="1"/>
  <c r="Q56" i="6"/>
  <c r="Q282" i="67" s="1"/>
  <c r="BT178" i="18"/>
  <c r="BV178" i="18"/>
  <c r="BU178" i="18"/>
  <c r="Q124" i="18"/>
  <c r="Q139" i="18" s="1"/>
  <c r="S18" i="6"/>
  <c r="S242" i="67" s="1"/>
  <c r="R132" i="18"/>
  <c r="Q131" i="18"/>
  <c r="BQ123" i="18"/>
  <c r="AU12" i="15" s="1"/>
  <c r="BR123" i="18"/>
  <c r="AV12" i="15" s="1"/>
  <c r="P42" i="6"/>
  <c r="P178" i="18"/>
  <c r="P248" i="18" s="1"/>
  <c r="P144" i="18"/>
  <c r="R45" i="6" s="1"/>
  <c r="R109" i="68" s="1"/>
  <c r="BS178" i="18" l="1"/>
  <c r="BS188" i="18" s="1"/>
  <c r="BR188" i="18"/>
  <c r="Q133" i="18"/>
  <c r="R133" i="18" s="1"/>
  <c r="P125" i="18"/>
  <c r="P123" i="18" s="1"/>
  <c r="AP7" i="21"/>
  <c r="Q144" i="18"/>
  <c r="S45" i="6" s="1"/>
  <c r="S109" i="68" s="1"/>
  <c r="Q178" i="18"/>
  <c r="Q248" i="18" s="1"/>
  <c r="BU188" i="18"/>
  <c r="BX178" i="18"/>
  <c r="R56" i="6"/>
  <c r="R282" i="67" s="1"/>
  <c r="BZ178" i="18"/>
  <c r="P188" i="18"/>
  <c r="R63" i="6" s="1"/>
  <c r="R287" i="67" s="1"/>
  <c r="BY178" i="18"/>
  <c r="AO7" i="21"/>
  <c r="R131" i="18"/>
  <c r="S132" i="18"/>
  <c r="R124" i="18"/>
  <c r="R139" i="18" s="1"/>
  <c r="T18" i="6"/>
  <c r="T242" i="67" s="1"/>
  <c r="BV188" i="18"/>
  <c r="BS123" i="18"/>
  <c r="AW12" i="15" s="1"/>
  <c r="BT188" i="18"/>
  <c r="BU123" i="18"/>
  <c r="AY12" i="15" s="1"/>
  <c r="BT123" i="18"/>
  <c r="AX12" i="15" s="1"/>
  <c r="Q42" i="6"/>
  <c r="BV123" i="18"/>
  <c r="AZ12" i="15" s="1"/>
  <c r="BW178" i="18"/>
  <c r="S23" i="6" l="1"/>
  <c r="Q125" i="18"/>
  <c r="Q123" i="18" s="1"/>
  <c r="CA178" i="18"/>
  <c r="BW188" i="18"/>
  <c r="BZ188" i="18"/>
  <c r="BW123" i="18"/>
  <c r="BA12" i="15" s="1"/>
  <c r="AS7" i="21"/>
  <c r="AQ7" i="21"/>
  <c r="S131" i="18"/>
  <c r="S124" i="18"/>
  <c r="S139" i="18" s="1"/>
  <c r="U18" i="6"/>
  <c r="U242" i="67" s="1"/>
  <c r="T132" i="18"/>
  <c r="CB178" i="18"/>
  <c r="Q188" i="18"/>
  <c r="S63" i="6" s="1"/>
  <c r="S287" i="67" s="1"/>
  <c r="CC178" i="18"/>
  <c r="S56" i="6"/>
  <c r="S282" i="67" s="1"/>
  <c r="CD178" i="18"/>
  <c r="R125" i="18"/>
  <c r="S133" i="18"/>
  <c r="T23" i="6"/>
  <c r="AT7" i="21"/>
  <c r="BY188" i="18"/>
  <c r="BX188" i="18"/>
  <c r="AP26" i="21"/>
  <c r="AV69" i="15" s="1"/>
  <c r="AP20" i="21"/>
  <c r="AP23" i="21"/>
  <c r="AV52" i="15" s="1"/>
  <c r="AR7" i="21"/>
  <c r="R144" i="18"/>
  <c r="T45" i="6" s="1"/>
  <c r="T109" i="68" s="1"/>
  <c r="R178" i="18"/>
  <c r="R248" i="18" s="1"/>
  <c r="AO20" i="21"/>
  <c r="AO26" i="21"/>
  <c r="AU69" i="15" s="1"/>
  <c r="AO23" i="21"/>
  <c r="AU52" i="15" s="1"/>
  <c r="BX123" i="18"/>
  <c r="BB12" i="15" s="1"/>
  <c r="BZ123" i="18"/>
  <c r="BD12" i="15" s="1"/>
  <c r="R42" i="6"/>
  <c r="BY123" i="18"/>
  <c r="BC12" i="15" s="1"/>
  <c r="CA188" i="18" l="1"/>
  <c r="CE178" i="18"/>
  <c r="CE188" i="18" s="1"/>
  <c r="AV51" i="15"/>
  <c r="AT23" i="21"/>
  <c r="AZ52" i="15" s="1"/>
  <c r="AT20" i="21"/>
  <c r="AT26" i="21"/>
  <c r="AZ69" i="15" s="1"/>
  <c r="T133" i="18"/>
  <c r="S125" i="18"/>
  <c r="U23" i="6"/>
  <c r="CD188" i="18"/>
  <c r="CB188" i="18"/>
  <c r="R123" i="18"/>
  <c r="S144" i="18"/>
  <c r="U45" i="6" s="1"/>
  <c r="U109" i="68" s="1"/>
  <c r="S178" i="18"/>
  <c r="S248" i="18" s="1"/>
  <c r="AU7" i="21"/>
  <c r="AX7" i="21"/>
  <c r="CA123" i="18"/>
  <c r="BE12" i="15" s="1"/>
  <c r="AV7" i="21"/>
  <c r="CH178" i="18"/>
  <c r="CF178" i="18"/>
  <c r="T56" i="6"/>
  <c r="T282" i="67" s="1"/>
  <c r="CG178" i="18"/>
  <c r="R188" i="18"/>
  <c r="T63" i="6" s="1"/>
  <c r="T287" i="67" s="1"/>
  <c r="AR26" i="21"/>
  <c r="AX69" i="15" s="1"/>
  <c r="AR20" i="21"/>
  <c r="AR23" i="21"/>
  <c r="AX52" i="15" s="1"/>
  <c r="CC188" i="18"/>
  <c r="AW7" i="21"/>
  <c r="AU51" i="15"/>
  <c r="T124" i="18"/>
  <c r="V18" i="6"/>
  <c r="V242" i="67" s="1"/>
  <c r="T131" i="18"/>
  <c r="U132" i="18"/>
  <c r="AQ20" i="21"/>
  <c r="AQ23" i="21"/>
  <c r="AW52" i="15" s="1"/>
  <c r="P101" i="6" s="1"/>
  <c r="AQ26" i="21"/>
  <c r="AW69" i="15" s="1"/>
  <c r="AS26" i="21"/>
  <c r="AY69" i="15" s="1"/>
  <c r="AS20" i="21"/>
  <c r="AS23" i="21"/>
  <c r="AY52" i="15" s="1"/>
  <c r="CD123" i="18"/>
  <c r="BH12" i="15" s="1"/>
  <c r="CC123" i="18"/>
  <c r="BG12" i="15" s="1"/>
  <c r="CB123" i="18"/>
  <c r="BF12" i="15" s="1"/>
  <c r="S42" i="6"/>
  <c r="CE123" i="18" l="1"/>
  <c r="BI12" i="15" s="1"/>
  <c r="CI178" i="18"/>
  <c r="CI188" i="18" s="1"/>
  <c r="AZ51" i="15"/>
  <c r="AU23" i="21"/>
  <c r="BA52" i="15" s="1"/>
  <c r="Q101" i="6" s="1"/>
  <c r="AU26" i="21"/>
  <c r="BA69" i="15" s="1"/>
  <c r="AU20" i="21"/>
  <c r="AV20" i="21"/>
  <c r="AV26" i="21"/>
  <c r="BB69" i="15" s="1"/>
  <c r="AV23" i="21"/>
  <c r="BB52" i="15" s="1"/>
  <c r="CH123" i="18"/>
  <c r="BL12" i="15" s="1"/>
  <c r="T42" i="6"/>
  <c r="CG123" i="18"/>
  <c r="BK12" i="15" s="1"/>
  <c r="CF123" i="18"/>
  <c r="BJ12" i="15" s="1"/>
  <c r="S123" i="18"/>
  <c r="AZ7" i="21"/>
  <c r="AY51" i="15"/>
  <c r="AW51" i="15"/>
  <c r="T139" i="18"/>
  <c r="AW23" i="21"/>
  <c r="BC52" i="15" s="1"/>
  <c r="AW26" i="21"/>
  <c r="BC69" i="15" s="1"/>
  <c r="AW20" i="21"/>
  <c r="AX51" i="15"/>
  <c r="CF188" i="18"/>
  <c r="CK178" i="18"/>
  <c r="S188" i="18"/>
  <c r="U63" i="6" s="1"/>
  <c r="U287" i="67" s="1"/>
  <c r="U56" i="6"/>
  <c r="U282" i="67" s="1"/>
  <c r="CJ178" i="18"/>
  <c r="CL178" i="18"/>
  <c r="T125" i="18"/>
  <c r="V23" i="6"/>
  <c r="U133" i="18"/>
  <c r="BB7" i="21"/>
  <c r="P107" i="6"/>
  <c r="CG188" i="18"/>
  <c r="BA7" i="21"/>
  <c r="U124" i="18"/>
  <c r="W18" i="6"/>
  <c r="U131" i="18"/>
  <c r="CH188" i="18"/>
  <c r="AY7" i="21"/>
  <c r="AX23" i="21"/>
  <c r="BD52" i="15" s="1"/>
  <c r="AX26" i="21"/>
  <c r="BD69" i="15" s="1"/>
  <c r="AX20" i="21"/>
  <c r="BC7" i="21" l="1"/>
  <c r="BC26" i="21" s="1"/>
  <c r="BI69" i="15" s="1"/>
  <c r="CI123" i="18"/>
  <c r="BM12" i="15" s="1"/>
  <c r="BG7" i="21" s="1"/>
  <c r="CJ188" i="18"/>
  <c r="BB51" i="15"/>
  <c r="BD51" i="15"/>
  <c r="P100" i="6"/>
  <c r="AZ26" i="21"/>
  <c r="BF69" i="15" s="1"/>
  <c r="AZ20" i="21"/>
  <c r="AZ23" i="21"/>
  <c r="BF52" i="15" s="1"/>
  <c r="BF7" i="21"/>
  <c r="AY26" i="21"/>
  <c r="BE69" i="15" s="1"/>
  <c r="AY23" i="21"/>
  <c r="BE52" i="15" s="1"/>
  <c r="R101" i="6" s="1"/>
  <c r="AY20" i="21"/>
  <c r="BA20" i="21"/>
  <c r="BA23" i="21"/>
  <c r="BG52" i="15" s="1"/>
  <c r="BA26" i="21"/>
  <c r="BG69" i="15" s="1"/>
  <c r="U125" i="18"/>
  <c r="W23" i="6"/>
  <c r="CM178" i="18"/>
  <c r="T123" i="18"/>
  <c r="CJ123" i="18"/>
  <c r="BN12" i="15" s="1"/>
  <c r="CK123" i="18"/>
  <c r="BO12" i="15" s="1"/>
  <c r="U42" i="6"/>
  <c r="CL123" i="18"/>
  <c r="BP12" i="15" s="1"/>
  <c r="BD7" i="21"/>
  <c r="BA51" i="15"/>
  <c r="BB26" i="21"/>
  <c r="BH69" i="15" s="1"/>
  <c r="BB20" i="21"/>
  <c r="BB23" i="21"/>
  <c r="BH52" i="15" s="1"/>
  <c r="CL188" i="18"/>
  <c r="CK188" i="18"/>
  <c r="BC51" i="15"/>
  <c r="T144" i="18"/>
  <c r="V45" i="6" s="1"/>
  <c r="V109" i="68" s="1"/>
  <c r="T178" i="18"/>
  <c r="T248" i="18" s="1"/>
  <c r="BE7" i="21"/>
  <c r="Q107" i="6"/>
  <c r="BC23" i="21" l="1"/>
  <c r="BI52" i="15" s="1"/>
  <c r="S101" i="6" s="1"/>
  <c r="BC20" i="21"/>
  <c r="BI51" i="15" s="1"/>
  <c r="Q100" i="6"/>
  <c r="BJ7" i="21"/>
  <c r="U123" i="18"/>
  <c r="R107" i="6"/>
  <c r="BF26" i="21"/>
  <c r="BL69" i="15" s="1"/>
  <c r="BF23" i="21"/>
  <c r="BL52" i="15" s="1"/>
  <c r="BF20" i="21"/>
  <c r="BE26" i="21"/>
  <c r="BK69" i="15" s="1"/>
  <c r="BE20" i="21"/>
  <c r="BE23" i="21"/>
  <c r="BK52" i="15" s="1"/>
  <c r="BG51" i="15"/>
  <c r="BH51" i="15"/>
  <c r="CP178" i="18"/>
  <c r="V56" i="6"/>
  <c r="V282" i="67" s="1"/>
  <c r="CO178" i="18"/>
  <c r="T188" i="18"/>
  <c r="V63" i="6" s="1"/>
  <c r="V287" i="67" s="1"/>
  <c r="CN178" i="18"/>
  <c r="BD23" i="21"/>
  <c r="BJ52" i="15" s="1"/>
  <c r="BD26" i="21"/>
  <c r="BJ69" i="15" s="1"/>
  <c r="BD20" i="21"/>
  <c r="BI7" i="21"/>
  <c r="CN123" i="18"/>
  <c r="BR12" i="15" s="1"/>
  <c r="CO123" i="18"/>
  <c r="BS12" i="15" s="1"/>
  <c r="CP123" i="18"/>
  <c r="BT12" i="15" s="1"/>
  <c r="V42" i="6"/>
  <c r="BE51" i="15"/>
  <c r="CM123" i="18"/>
  <c r="BQ12" i="15" s="1"/>
  <c r="BH7" i="21"/>
  <c r="CM188" i="18"/>
  <c r="BG23" i="21"/>
  <c r="BM52" i="15" s="1"/>
  <c r="T101" i="6" s="1"/>
  <c r="BG26" i="21"/>
  <c r="BM69" i="15" s="1"/>
  <c r="BG20" i="21"/>
  <c r="BF51" i="15"/>
  <c r="S107" i="6"/>
  <c r="CQ178" i="18" l="1"/>
  <c r="CQ188" i="18" s="1"/>
  <c r="CQ123" i="18"/>
  <c r="BU12" i="15" s="1"/>
  <c r="BO7" i="21" s="1"/>
  <c r="BM51" i="15"/>
  <c r="CO188" i="18"/>
  <c r="T107" i="6"/>
  <c r="BH26" i="21"/>
  <c r="BN69" i="15" s="1"/>
  <c r="BH23" i="21"/>
  <c r="BN52" i="15" s="1"/>
  <c r="BH20" i="21"/>
  <c r="BN7" i="21"/>
  <c r="BK51" i="15"/>
  <c r="BK7" i="21"/>
  <c r="S100" i="6"/>
  <c r="R100" i="6"/>
  <c r="BM7" i="21"/>
  <c r="BI20" i="21"/>
  <c r="BI26" i="21"/>
  <c r="BO69" i="15" s="1"/>
  <c r="BI23" i="21"/>
  <c r="BO52" i="15" s="1"/>
  <c r="CN188" i="18"/>
  <c r="CP188" i="18"/>
  <c r="BL51" i="15"/>
  <c r="BJ23" i="21"/>
  <c r="BP52" i="15" s="1"/>
  <c r="BJ20" i="21"/>
  <c r="BJ26" i="21"/>
  <c r="BP69" i="15" s="1"/>
  <c r="BL7" i="21"/>
  <c r="BJ51" i="15"/>
  <c r="CT123" i="18"/>
  <c r="BX12" i="15" s="1"/>
  <c r="CR123" i="18"/>
  <c r="BV12" i="15" s="1"/>
  <c r="W42" i="6"/>
  <c r="CS123" i="18"/>
  <c r="BW12" i="15" s="1"/>
  <c r="CU123" i="18" l="1"/>
  <c r="BY12" i="15" s="1"/>
  <c r="BR7" i="21"/>
  <c r="BP51" i="15"/>
  <c r="BN20" i="21"/>
  <c r="BN26" i="21"/>
  <c r="BT69" i="15" s="1"/>
  <c r="BN23" i="21"/>
  <c r="BT52" i="15" s="1"/>
  <c r="BN51" i="15"/>
  <c r="T100" i="6"/>
  <c r="BO26" i="21"/>
  <c r="BU69" i="15" s="1"/>
  <c r="BO23" i="21"/>
  <c r="BU52" i="15" s="1"/>
  <c r="V101" i="6" s="1"/>
  <c r="BO20" i="21"/>
  <c r="BK20" i="21"/>
  <c r="BK26" i="21"/>
  <c r="BQ69" i="15" s="1"/>
  <c r="BK23" i="21"/>
  <c r="BQ52" i="15" s="1"/>
  <c r="U101" i="6" s="1"/>
  <c r="BL23" i="21"/>
  <c r="BR52" i="15" s="1"/>
  <c r="BL20" i="21"/>
  <c r="BL26" i="21"/>
  <c r="BR69" i="15" s="1"/>
  <c r="BM26" i="21"/>
  <c r="BS69" i="15" s="1"/>
  <c r="BM20" i="21"/>
  <c r="BM23" i="21"/>
  <c r="BS52" i="15" s="1"/>
  <c r="BQ7" i="21"/>
  <c r="BP7" i="21"/>
  <c r="BO51" i="15"/>
  <c r="BS7" i="21" l="1"/>
  <c r="BS23" i="21" s="1"/>
  <c r="BY52" i="15" s="1"/>
  <c r="W101" i="6" s="1"/>
  <c r="BP23" i="21"/>
  <c r="BV52" i="15" s="1"/>
  <c r="BP20" i="21"/>
  <c r="BP26" i="21"/>
  <c r="BV69" i="15" s="1"/>
  <c r="BR23" i="21"/>
  <c r="BX52" i="15" s="1"/>
  <c r="BR20" i="21"/>
  <c r="BR26" i="21"/>
  <c r="BX69" i="15" s="1"/>
  <c r="BR51" i="15"/>
  <c r="U107" i="6"/>
  <c r="BU51" i="15"/>
  <c r="BQ20" i="21"/>
  <c r="BQ26" i="21"/>
  <c r="BW69" i="15" s="1"/>
  <c r="BQ23" i="21"/>
  <c r="BW52" i="15" s="1"/>
  <c r="BQ51" i="15"/>
  <c r="BS51" i="15"/>
  <c r="V107" i="6"/>
  <c r="BT51" i="15"/>
  <c r="BS26" i="21" l="1"/>
  <c r="BY69" i="15" s="1"/>
  <c r="W107" i="6" s="1"/>
  <c r="BS20" i="21"/>
  <c r="BY51" i="15" s="1"/>
  <c r="W100" i="6" s="1"/>
  <c r="U100" i="6"/>
  <c r="V100" i="6"/>
  <c r="BX51" i="15"/>
  <c r="BV51" i="15"/>
  <c r="BW51" i="15"/>
  <c r="P106" i="6" l="1"/>
  <c r="Q106" i="6" l="1"/>
  <c r="R106" i="6" l="1"/>
  <c r="S106" i="6" l="1"/>
  <c r="T106" i="6" l="1"/>
  <c r="U106" i="6" l="1"/>
  <c r="V106" i="6" l="1"/>
  <c r="W106" i="6" l="1"/>
  <c r="Q207" i="18" l="1" a="1"/>
  <c r="S207" i="18" a="1"/>
  <c r="U207" i="18" a="1"/>
  <c r="T207" i="18" a="1"/>
  <c r="O207" i="18" a="1"/>
  <c r="N207" i="18" a="1"/>
  <c r="M207" i="18" a="1"/>
  <c r="P207" i="18" a="1"/>
  <c r="R207" i="18" a="1"/>
  <c r="R98" i="21" l="1"/>
  <c r="U98" i="21"/>
  <c r="P98" i="21"/>
  <c r="S98" i="21"/>
  <c r="V98" i="21"/>
  <c r="N98" i="21"/>
  <c r="Q98" i="21"/>
  <c r="T98" i="21"/>
  <c r="W98" i="21"/>
  <c r="O98" i="21"/>
  <c r="P130" i="21" l="1"/>
  <c r="P134" i="21"/>
  <c r="P131" i="21"/>
  <c r="O129" i="21"/>
  <c r="O128" i="21"/>
  <c r="N133" i="21"/>
  <c r="N132" i="21"/>
  <c r="P120" i="21" l="1"/>
  <c r="P129" i="21" s="1"/>
  <c r="Q120" i="21" s="1"/>
  <c r="Q129" i="21" s="1"/>
  <c r="Q121" i="21"/>
  <c r="Q130" i="21" s="1"/>
  <c r="R121" i="21" s="1"/>
  <c r="R130" i="21" s="1"/>
  <c r="N127" i="21"/>
  <c r="N100" i="21" s="1"/>
  <c r="P123" i="21"/>
  <c r="P132" i="21" s="1"/>
  <c r="Q123" i="21" s="1"/>
  <c r="Q132" i="21" s="1"/>
  <c r="O123" i="21"/>
  <c r="P124" i="21"/>
  <c r="P133" i="21" s="1"/>
  <c r="Q124" i="21" s="1"/>
  <c r="Q133" i="21" s="1"/>
  <c r="O124" i="21"/>
  <c r="Q122" i="21"/>
  <c r="Q131" i="21" s="1"/>
  <c r="R122" i="21" s="1"/>
  <c r="R131" i="21" s="1"/>
  <c r="P119" i="21"/>
  <c r="O136" i="21"/>
  <c r="O127" i="21"/>
  <c r="Q125" i="21"/>
  <c r="Q134" i="21" s="1"/>
  <c r="R125" i="21" s="1"/>
  <c r="R134" i="21" s="1"/>
  <c r="S121" i="21" l="1"/>
  <c r="S130" i="21" s="1"/>
  <c r="T121" i="21" s="1"/>
  <c r="T130" i="21" s="1"/>
  <c r="S125" i="21"/>
  <c r="S134" i="21" s="1"/>
  <c r="T125" i="21" s="1"/>
  <c r="T134" i="21" s="1"/>
  <c r="U125" i="21" s="1"/>
  <c r="U134" i="21" s="1"/>
  <c r="V125" i="21" s="1"/>
  <c r="V134" i="21" s="1"/>
  <c r="W125" i="21" s="1"/>
  <c r="W134" i="21" s="1"/>
  <c r="P118" i="21"/>
  <c r="P128" i="21"/>
  <c r="R124" i="21"/>
  <c r="R133" i="21" s="1"/>
  <c r="S124" i="21" s="1"/>
  <c r="S133" i="21" s="1"/>
  <c r="R123" i="21"/>
  <c r="R132" i="21" s="1"/>
  <c r="S123" i="21" s="1"/>
  <c r="S132" i="21" s="1"/>
  <c r="T123" i="21" s="1"/>
  <c r="T132" i="21" s="1"/>
  <c r="O149" i="21"/>
  <c r="O100" i="21"/>
  <c r="O146" i="21"/>
  <c r="O147" i="21" s="1"/>
  <c r="S122" i="21"/>
  <c r="S131" i="21" s="1"/>
  <c r="T122" i="21" s="1"/>
  <c r="T131" i="21" s="1"/>
  <c r="O118" i="21"/>
  <c r="R120" i="21"/>
  <c r="R129" i="21" s="1"/>
  <c r="S120" i="21" s="1"/>
  <c r="S129" i="21" s="1"/>
  <c r="T120" i="21" s="1"/>
  <c r="T129" i="21" s="1"/>
  <c r="U121" i="21" l="1"/>
  <c r="U130" i="21" s="1"/>
  <c r="V121" i="21" s="1"/>
  <c r="V130" i="21" s="1"/>
  <c r="T124" i="21"/>
  <c r="T133" i="21" s="1"/>
  <c r="U124" i="21" s="1"/>
  <c r="U133" i="21" s="1"/>
  <c r="V124" i="21" s="1"/>
  <c r="V133" i="21" s="1"/>
  <c r="W124" i="21" s="1"/>
  <c r="W133" i="21" s="1"/>
  <c r="O150" i="21"/>
  <c r="P127" i="21"/>
  <c r="P136" i="21" s="1"/>
  <c r="Q119" i="21"/>
  <c r="U120" i="21"/>
  <c r="U129" i="21" s="1"/>
  <c r="V120" i="21" s="1"/>
  <c r="V129" i="21" s="1"/>
  <c r="W120" i="21" s="1"/>
  <c r="W129" i="21" s="1"/>
  <c r="U122" i="21"/>
  <c r="U131" i="21" s="1"/>
  <c r="V122" i="21" s="1"/>
  <c r="V131" i="21" s="1"/>
  <c r="W122" i="21" s="1"/>
  <c r="W131" i="21" s="1"/>
  <c r="O157" i="21"/>
  <c r="O156" i="21" s="1"/>
  <c r="P145" i="21"/>
  <c r="U123" i="21"/>
  <c r="U132" i="21" s="1"/>
  <c r="V123" i="21" s="1"/>
  <c r="V132" i="21" s="1"/>
  <c r="W123" i="21" s="1"/>
  <c r="W132" i="21" s="1"/>
  <c r="W121" i="21" l="1"/>
  <c r="W130" i="21" s="1"/>
  <c r="Q118" i="21"/>
  <c r="Q128" i="21"/>
  <c r="P149" i="21"/>
  <c r="P150" i="21" s="1"/>
  <c r="P146" i="21"/>
  <c r="P147" i="21" s="1"/>
  <c r="Q145" i="21" l="1"/>
  <c r="P157" i="21"/>
  <c r="Q127" i="21"/>
  <c r="R119" i="21"/>
  <c r="R118" i="21" l="1"/>
  <c r="R128" i="21"/>
  <c r="Q149" i="21"/>
  <c r="Q146" i="21"/>
  <c r="Q147" i="21" s="1"/>
  <c r="Q136" i="21"/>
  <c r="P162" i="21"/>
  <c r="P163" i="21" s="1"/>
  <c r="P156" i="21"/>
  <c r="P96" i="21" s="1"/>
  <c r="AW84" i="15" s="1"/>
  <c r="AX84" i="15" s="1"/>
  <c r="AY84" i="15" s="1"/>
  <c r="AZ84" i="15" s="1"/>
  <c r="R145" i="21" l="1"/>
  <c r="Q157" i="21"/>
  <c r="Q150" i="21"/>
  <c r="P179" i="21"/>
  <c r="P84" i="6"/>
  <c r="Q160" i="21"/>
  <c r="R127" i="21"/>
  <c r="S119" i="21"/>
  <c r="AW105" i="15" l="1"/>
  <c r="Q156" i="21"/>
  <c r="Q96" i="21" s="1"/>
  <c r="BA84" i="15" s="1"/>
  <c r="BB84" i="15" s="1"/>
  <c r="BC84" i="15" s="1"/>
  <c r="BD84" i="15" s="1"/>
  <c r="Q162" i="21"/>
  <c r="Q163" i="21" s="1"/>
  <c r="S118" i="21"/>
  <c r="S128" i="21"/>
  <c r="R136" i="21"/>
  <c r="R146" i="21"/>
  <c r="R147" i="21" s="1"/>
  <c r="R149" i="21"/>
  <c r="S127" i="21" l="1"/>
  <c r="T119" i="21"/>
  <c r="R150" i="21"/>
  <c r="AX105" i="15"/>
  <c r="S145" i="21"/>
  <c r="R157" i="21"/>
  <c r="Q179" i="21"/>
  <c r="R160" i="21"/>
  <c r="Q84" i="6"/>
  <c r="P121" i="6"/>
  <c r="S136" i="21" l="1"/>
  <c r="S146" i="21"/>
  <c r="S147" i="21" s="1"/>
  <c r="S149" i="21"/>
  <c r="T118" i="21"/>
  <c r="T128" i="21"/>
  <c r="R162" i="21"/>
  <c r="R163" i="21" s="1"/>
  <c r="R156" i="21"/>
  <c r="R96" i="21" s="1"/>
  <c r="BE84" i="15" s="1"/>
  <c r="BF84" i="15" s="1"/>
  <c r="BG84" i="15" s="1"/>
  <c r="BH84" i="15" s="1"/>
  <c r="BA105" i="15"/>
  <c r="AY105" i="15"/>
  <c r="R179" i="21" l="1"/>
  <c r="S160" i="21"/>
  <c r="R84" i="6"/>
  <c r="T127" i="21"/>
  <c r="U119" i="21"/>
  <c r="AZ105" i="15"/>
  <c r="Q121" i="6" s="1"/>
  <c r="S150" i="21"/>
  <c r="V164" i="21"/>
  <c r="T164" i="21"/>
  <c r="Q164" i="21"/>
  <c r="W164" i="21"/>
  <c r="R164" i="21"/>
  <c r="R166" i="21" s="1"/>
  <c r="U164" i="21"/>
  <c r="S164" i="21"/>
  <c r="P164" i="21"/>
  <c r="BB105" i="15"/>
  <c r="T145" i="21"/>
  <c r="S157" i="21"/>
  <c r="R165" i="21" l="1"/>
  <c r="BE105" i="15"/>
  <c r="BC105" i="15"/>
  <c r="Q166" i="21"/>
  <c r="Q165" i="21"/>
  <c r="U118" i="21"/>
  <c r="U128" i="21"/>
  <c r="S162" i="21"/>
  <c r="S163" i="21" s="1"/>
  <c r="S156" i="21"/>
  <c r="S96" i="21" s="1"/>
  <c r="BI84" i="15" s="1"/>
  <c r="T136" i="21"/>
  <c r="T149" i="21"/>
  <c r="T146" i="21"/>
  <c r="T147" i="21" s="1"/>
  <c r="P166" i="21"/>
  <c r="P165" i="21"/>
  <c r="S166" i="21" l="1"/>
  <c r="S84" i="6"/>
  <c r="B15" i="66" s="1"/>
  <c r="T150" i="21"/>
  <c r="R85" i="6"/>
  <c r="R140" i="6" s="1"/>
  <c r="U127" i="21"/>
  <c r="V119" i="21"/>
  <c r="S165" i="21"/>
  <c r="S85" i="6" s="1"/>
  <c r="S179" i="21"/>
  <c r="T160" i="21"/>
  <c r="BF105" i="15"/>
  <c r="P85" i="6"/>
  <c r="Q85" i="6"/>
  <c r="U145" i="21"/>
  <c r="T157" i="21"/>
  <c r="BD105" i="15"/>
  <c r="R121" i="6" s="1"/>
  <c r="H27" i="12" l="1"/>
  <c r="H38" i="12" s="1"/>
  <c r="M24" i="61"/>
  <c r="S140" i="6"/>
  <c r="I27" i="12"/>
  <c r="N24" i="61"/>
  <c r="I33" i="74"/>
  <c r="F17" i="12" s="1"/>
  <c r="Q140" i="6"/>
  <c r="L24" i="61"/>
  <c r="G27" i="12"/>
  <c r="BG105" i="15"/>
  <c r="BI105" i="15"/>
  <c r="V118" i="21"/>
  <c r="V128" i="21"/>
  <c r="T162" i="21"/>
  <c r="T163" i="21" s="1"/>
  <c r="T156" i="21"/>
  <c r="T96" i="21" s="1"/>
  <c r="BJ84" i="15" s="1"/>
  <c r="P140" i="6"/>
  <c r="K24" i="61"/>
  <c r="F27" i="12"/>
  <c r="U146" i="21"/>
  <c r="U147" i="21" s="1"/>
  <c r="U136" i="21"/>
  <c r="U149" i="21"/>
  <c r="H32" i="12" l="1"/>
  <c r="U150" i="21"/>
  <c r="F38" i="12"/>
  <c r="F32" i="12"/>
  <c r="T179" i="21"/>
  <c r="T165" i="21"/>
  <c r="U160" i="21"/>
  <c r="T166" i="21"/>
  <c r="T84" i="6"/>
  <c r="G32" i="12"/>
  <c r="G38" i="12"/>
  <c r="V127" i="21"/>
  <c r="W119" i="21"/>
  <c r="I38" i="12"/>
  <c r="I32" i="12"/>
  <c r="BH105" i="15"/>
  <c r="V145" i="21"/>
  <c r="U157" i="21"/>
  <c r="G12" i="12"/>
  <c r="G10" i="12"/>
  <c r="G9" i="12"/>
  <c r="G11" i="12"/>
  <c r="G14" i="12"/>
  <c r="H9" i="12" l="1"/>
  <c r="H10" i="12"/>
  <c r="V136" i="21"/>
  <c r="V149" i="21"/>
  <c r="V146" i="21"/>
  <c r="V147" i="21" s="1"/>
  <c r="U162" i="21"/>
  <c r="U163" i="21" s="1"/>
  <c r="U156" i="21"/>
  <c r="U96" i="21" s="1"/>
  <c r="H12" i="12"/>
  <c r="BJ105" i="15"/>
  <c r="H11" i="12"/>
  <c r="T85" i="6"/>
  <c r="W118" i="21"/>
  <c r="W128" i="21"/>
  <c r="W127" i="21" s="1"/>
  <c r="S121" i="6"/>
  <c r="BK84" i="15" l="1"/>
  <c r="BN84" i="15"/>
  <c r="BO84" i="15" s="1"/>
  <c r="BP84" i="15" s="1"/>
  <c r="BQ84" i="15" s="1"/>
  <c r="H13" i="12"/>
  <c r="O145" i="6"/>
  <c r="M145" i="6"/>
  <c r="J145" i="6"/>
  <c r="G145" i="6"/>
  <c r="I145" i="6"/>
  <c r="H145" i="6"/>
  <c r="N145" i="6"/>
  <c r="E145" i="6"/>
  <c r="F145" i="6"/>
  <c r="L145" i="6"/>
  <c r="K145" i="6"/>
  <c r="W136" i="21"/>
  <c r="T140" i="6"/>
  <c r="O24" i="61"/>
  <c r="J27" i="12"/>
  <c r="W145" i="21"/>
  <c r="W149" i="21" s="1"/>
  <c r="V157" i="21"/>
  <c r="U165" i="21"/>
  <c r="U85" i="6" s="1"/>
  <c r="U179" i="21"/>
  <c r="V160" i="21"/>
  <c r="U166" i="21"/>
  <c r="U84" i="6"/>
  <c r="V150" i="21"/>
  <c r="I134" i="67" l="1"/>
  <c r="I133" i="67" s="1"/>
  <c r="I156" i="6"/>
  <c r="K146" i="6"/>
  <c r="K157" i="6" s="1"/>
  <c r="K156" i="6"/>
  <c r="L146" i="6"/>
  <c r="L157" i="6" s="1"/>
  <c r="L156" i="6"/>
  <c r="H146" i="6"/>
  <c r="H157" i="6" s="1"/>
  <c r="H156" i="6"/>
  <c r="M134" i="67"/>
  <c r="M133" i="67" s="1"/>
  <c r="M156" i="6"/>
  <c r="F134" i="67"/>
  <c r="F156" i="6"/>
  <c r="E146" i="6"/>
  <c r="E157" i="6" s="1"/>
  <c r="E156" i="6"/>
  <c r="G146" i="6"/>
  <c r="G157" i="6" s="1"/>
  <c r="G156" i="6"/>
  <c r="O5" i="12"/>
  <c r="O156" i="6"/>
  <c r="O6" i="12" s="1"/>
  <c r="N134" i="67"/>
  <c r="N135" i="67" s="1"/>
  <c r="N156" i="6"/>
  <c r="J134" i="67"/>
  <c r="J133" i="67" s="1"/>
  <c r="J156" i="6"/>
  <c r="J146" i="6"/>
  <c r="J157" i="6" s="1"/>
  <c r="F146" i="6"/>
  <c r="M135" i="67"/>
  <c r="G134" i="67"/>
  <c r="G135" i="67" s="1"/>
  <c r="L134" i="67"/>
  <c r="L135" i="67" s="1"/>
  <c r="K134" i="67"/>
  <c r="K135" i="67" s="1"/>
  <c r="W150" i="21"/>
  <c r="I146" i="6"/>
  <c r="H134" i="67"/>
  <c r="H135" i="67" s="1"/>
  <c r="F135" i="67"/>
  <c r="F133" i="67"/>
  <c r="V156" i="21"/>
  <c r="V96" i="21" s="1"/>
  <c r="V162" i="21"/>
  <c r="V163" i="21" s="1"/>
  <c r="F39" i="61"/>
  <c r="W146" i="21"/>
  <c r="W147" i="21" s="1"/>
  <c r="W157" i="21" s="1"/>
  <c r="K27" i="12"/>
  <c r="U140" i="6"/>
  <c r="P24" i="61"/>
  <c r="BK105" i="15"/>
  <c r="C39" i="61"/>
  <c r="I135" i="67"/>
  <c r="J38" i="12"/>
  <c r="J32" i="12"/>
  <c r="J135" i="67"/>
  <c r="G39" i="61" l="1"/>
  <c r="N133" i="67"/>
  <c r="F157" i="6"/>
  <c r="F159" i="67" s="1"/>
  <c r="I157" i="6"/>
  <c r="D47" i="61" s="1"/>
  <c r="BL84" i="15"/>
  <c r="BR84" i="15"/>
  <c r="BS84" i="15" s="1"/>
  <c r="BT84" i="15" s="1"/>
  <c r="BU84" i="15" s="1"/>
  <c r="E39" i="61"/>
  <c r="G133" i="67"/>
  <c r="H133" i="67"/>
  <c r="L133" i="67"/>
  <c r="K133" i="67"/>
  <c r="D39" i="61"/>
  <c r="G159" i="67"/>
  <c r="BO105" i="15"/>
  <c r="W156" i="21"/>
  <c r="W96" i="21" s="1"/>
  <c r="W162" i="21"/>
  <c r="J159" i="67"/>
  <c r="E47" i="61"/>
  <c r="W160" i="21"/>
  <c r="V165" i="21"/>
  <c r="V85" i="6" s="1"/>
  <c r="V179" i="21"/>
  <c r="V166" i="21"/>
  <c r="V84" i="6"/>
  <c r="G47" i="61"/>
  <c r="L159" i="67"/>
  <c r="H159" i="67"/>
  <c r="C47" i="61"/>
  <c r="K38" i="12"/>
  <c r="K32" i="12"/>
  <c r="K159" i="67"/>
  <c r="F47" i="61"/>
  <c r="BM84" i="15" l="1"/>
  <c r="BV84" i="15"/>
  <c r="BW84" i="15" s="1"/>
  <c r="BX84" i="15" s="1"/>
  <c r="BY84" i="15" s="1"/>
  <c r="I159" i="67"/>
  <c r="I158" i="67" s="1"/>
  <c r="L160" i="67"/>
  <c r="L158" i="67"/>
  <c r="F160" i="67"/>
  <c r="F158" i="67"/>
  <c r="BP105" i="15"/>
  <c r="BR105" i="15"/>
  <c r="BL105" i="15"/>
  <c r="K158" i="67"/>
  <c r="K160" i="67"/>
  <c r="Q24" i="61"/>
  <c r="L27" i="12"/>
  <c r="V140" i="6"/>
  <c r="G158" i="67"/>
  <c r="G160" i="67"/>
  <c r="H158" i="67"/>
  <c r="H160" i="67"/>
  <c r="J160" i="67"/>
  <c r="J158" i="67"/>
  <c r="W163" i="21"/>
  <c r="I160" i="67" l="1"/>
  <c r="BQ105" i="15"/>
  <c r="BS105" i="15"/>
  <c r="W179" i="21"/>
  <c r="W165" i="21"/>
  <c r="W85" i="6" s="1"/>
  <c r="W166" i="21"/>
  <c r="W84" i="6"/>
  <c r="L38" i="12"/>
  <c r="L32" i="12"/>
  <c r="BM105" i="15"/>
  <c r="BN105" i="15"/>
  <c r="M27" i="12" l="1"/>
  <c r="W140" i="6"/>
  <c r="R24" i="61"/>
  <c r="BT105" i="15"/>
  <c r="T121" i="6"/>
  <c r="BW105" i="15"/>
  <c r="U121" i="6"/>
  <c r="M38" i="12" l="1"/>
  <c r="M32" i="12"/>
  <c r="BX105" i="15"/>
  <c r="BU105" i="15"/>
  <c r="BV105" i="15"/>
  <c r="V121" i="6" l="1"/>
  <c r="BY105" i="15"/>
  <c r="W121" i="6" s="1"/>
  <c r="S191" i="67" l="1"/>
  <c r="T191" i="67" l="1"/>
  <c r="U191" i="67" l="1"/>
  <c r="V191" i="67" l="1"/>
  <c r="W191" i="67" l="1"/>
  <c r="I17" i="68" l="1"/>
  <c r="I16" i="68"/>
  <c r="I14" i="68" s="1"/>
  <c r="G64" i="18" s="1"/>
  <c r="G16" i="68"/>
  <c r="G17" i="68"/>
  <c r="G14" i="68" s="1"/>
  <c r="E64" i="18" s="1"/>
  <c r="M14" i="68"/>
  <c r="K64" i="18" s="1"/>
  <c r="M17" i="68"/>
  <c r="M16" i="68"/>
  <c r="F16" i="68"/>
  <c r="F14" i="68" s="1"/>
  <c r="D64" i="18" s="1"/>
  <c r="F16" i="6" s="1"/>
  <c r="F17" i="68"/>
  <c r="C16" i="68"/>
  <c r="C17" i="68"/>
  <c r="C14" i="68" s="1"/>
  <c r="N17" i="68" l="1"/>
  <c r="N16" i="68"/>
  <c r="N14" i="68" s="1"/>
  <c r="L64" i="18" s="1"/>
  <c r="J17" i="68"/>
  <c r="J16" i="68"/>
  <c r="J14" i="68" s="1"/>
  <c r="H64" i="18" s="1"/>
  <c r="F179" i="67"/>
  <c r="F293" i="67"/>
  <c r="F5" i="67"/>
  <c r="E65" i="18"/>
  <c r="G16" i="6"/>
  <c r="L17" i="68"/>
  <c r="L14" i="68" s="1"/>
  <c r="J64" i="18" s="1"/>
  <c r="L16" i="68"/>
  <c r="G65" i="18"/>
  <c r="I16" i="6"/>
  <c r="E16" i="68"/>
  <c r="E17" i="68"/>
  <c r="E14" i="68" s="1"/>
  <c r="C64" i="18" s="1"/>
  <c r="E16" i="6" s="1"/>
  <c r="H17" i="68"/>
  <c r="H14" i="68"/>
  <c r="F64" i="18" s="1"/>
  <c r="H16" i="68"/>
  <c r="K17" i="68"/>
  <c r="K14" i="68" s="1"/>
  <c r="I64" i="18" s="1"/>
  <c r="K16" i="68"/>
  <c r="D17" i="68"/>
  <c r="D16" i="68"/>
  <c r="D14" i="68"/>
  <c r="B64" i="18" s="1"/>
  <c r="D16" i="6" s="1"/>
  <c r="K65" i="18"/>
  <c r="M16" i="6"/>
  <c r="L16" i="6" l="1"/>
  <c r="J65" i="18"/>
  <c r="H65" i="18"/>
  <c r="H130" i="18" s="1"/>
  <c r="J16" i="6"/>
  <c r="M179" i="67"/>
  <c r="M5" i="67"/>
  <c r="M293" i="67"/>
  <c r="H13" i="61"/>
  <c r="F65" i="18"/>
  <c r="F130" i="18" s="1"/>
  <c r="H16" i="6"/>
  <c r="I5" i="67"/>
  <c r="I293" i="67"/>
  <c r="D13" i="61"/>
  <c r="I179" i="67"/>
  <c r="G179" i="67"/>
  <c r="G293" i="67"/>
  <c r="G5" i="67"/>
  <c r="F180" i="67"/>
  <c r="F178" i="67"/>
  <c r="L65" i="18"/>
  <c r="N16" i="6"/>
  <c r="D179" i="67"/>
  <c r="D293" i="67"/>
  <c r="D5" i="67"/>
  <c r="I65" i="18"/>
  <c r="K16" i="6"/>
  <c r="E5" i="67"/>
  <c r="E293" i="67"/>
  <c r="E179" i="67"/>
  <c r="I130" i="18" l="1"/>
  <c r="K5" i="67"/>
  <c r="K179" i="67"/>
  <c r="K293" i="67"/>
  <c r="F13" i="61"/>
  <c r="N5" i="67"/>
  <c r="I13" i="61"/>
  <c r="N179" i="67"/>
  <c r="N293" i="67"/>
  <c r="H179" i="67"/>
  <c r="H293" i="67"/>
  <c r="H5" i="67"/>
  <c r="Y16" i="6"/>
  <c r="C13" i="61"/>
  <c r="J293" i="67"/>
  <c r="E13" i="61"/>
  <c r="J179" i="67"/>
  <c r="J5" i="67"/>
  <c r="D180" i="67"/>
  <c r="D178" i="67"/>
  <c r="L130" i="18"/>
  <c r="M130" i="18"/>
  <c r="G178" i="67"/>
  <c r="G180" i="67"/>
  <c r="G130" i="18"/>
  <c r="I180" i="67"/>
  <c r="I178" i="67"/>
  <c r="K130" i="18"/>
  <c r="J130" i="18"/>
  <c r="E180" i="67"/>
  <c r="E178" i="67"/>
  <c r="M178" i="67"/>
  <c r="M180" i="67"/>
  <c r="L179" i="67"/>
  <c r="L5" i="67"/>
  <c r="G13" i="61"/>
  <c r="L293" i="67"/>
  <c r="J178" i="67" l="1"/>
  <c r="J180" i="67"/>
  <c r="N178" i="67"/>
  <c r="N180" i="67"/>
  <c r="L180" i="67"/>
  <c r="L178" i="67"/>
  <c r="H180" i="67"/>
  <c r="H178" i="67"/>
  <c r="K180" i="67"/>
  <c r="K178" i="67"/>
  <c r="V13" i="61" l="1"/>
  <c r="AS376" i="67"/>
  <c r="P19" i="68" l="1"/>
  <c r="N93" i="18" s="1"/>
  <c r="Q19" i="68" l="1"/>
  <c r="O93" i="18" s="1"/>
  <c r="P24" i="68"/>
  <c r="N89" i="18" s="1"/>
  <c r="N111" i="18"/>
  <c r="N94" i="18"/>
  <c r="N112" i="18" s="1"/>
  <c r="Q24" i="68" l="1"/>
  <c r="O89" i="18" s="1"/>
  <c r="BR112" i="18"/>
  <c r="BQ112" i="18"/>
  <c r="N109" i="18"/>
  <c r="N90" i="18"/>
  <c r="N110" i="18" s="1"/>
  <c r="N92" i="18"/>
  <c r="BR111" i="18"/>
  <c r="BQ111" i="18"/>
  <c r="O111" i="18"/>
  <c r="O94" i="18"/>
  <c r="O112" i="18" s="1"/>
  <c r="R19" i="68"/>
  <c r="P93" i="18" s="1"/>
  <c r="BS112" i="18" l="1"/>
  <c r="BQ92" i="18"/>
  <c r="BR110" i="18"/>
  <c r="BQ110" i="18"/>
  <c r="BR92" i="18"/>
  <c r="BR109" i="18"/>
  <c r="BQ109" i="18"/>
  <c r="N108" i="18"/>
  <c r="N88" i="18"/>
  <c r="S19" i="68"/>
  <c r="Q93" i="18" s="1"/>
  <c r="P111" i="18"/>
  <c r="P94" i="18"/>
  <c r="P112" i="18" s="1"/>
  <c r="BU112" i="18"/>
  <c r="BT112" i="18"/>
  <c r="BV112" i="18"/>
  <c r="O90" i="18"/>
  <c r="O110" i="18" s="1"/>
  <c r="O109" i="18"/>
  <c r="BV111" i="18"/>
  <c r="BU111" i="18"/>
  <c r="O92" i="18"/>
  <c r="BT111" i="18"/>
  <c r="BS111" i="18"/>
  <c r="R24" i="68"/>
  <c r="P89" i="18" s="1"/>
  <c r="BS110" i="18" l="1"/>
  <c r="P109" i="18"/>
  <c r="P90" i="18"/>
  <c r="P110" i="18" s="1"/>
  <c r="BU92" i="18"/>
  <c r="BU110" i="18"/>
  <c r="BT110" i="18"/>
  <c r="BV110" i="18"/>
  <c r="BY112" i="18"/>
  <c r="BZ112" i="18"/>
  <c r="BX112" i="18"/>
  <c r="BR88" i="18"/>
  <c r="BR108" i="18"/>
  <c r="BS92" i="18"/>
  <c r="BW111" i="18"/>
  <c r="BZ111" i="18"/>
  <c r="P92" i="18"/>
  <c r="BY111" i="18"/>
  <c r="BX111" i="18"/>
  <c r="P38" i="6"/>
  <c r="N104" i="18"/>
  <c r="N87" i="18"/>
  <c r="N140" i="18"/>
  <c r="BT92" i="18"/>
  <c r="BV92" i="18"/>
  <c r="BQ88" i="18"/>
  <c r="BQ108" i="18"/>
  <c r="T19" i="68"/>
  <c r="R93" i="18" s="1"/>
  <c r="BT109" i="18"/>
  <c r="O108" i="18"/>
  <c r="O88" i="18"/>
  <c r="BV109" i="18"/>
  <c r="BU109" i="18"/>
  <c r="BW112" i="18"/>
  <c r="Q94" i="18"/>
  <c r="Q112" i="18" s="1"/>
  <c r="Q111" i="18"/>
  <c r="BS109" i="18"/>
  <c r="S24" i="68"/>
  <c r="Q89" i="18" s="1"/>
  <c r="T24" i="68"/>
  <c r="R89" i="18" s="1"/>
  <c r="CA111" i="18" l="1"/>
  <c r="BW110" i="18"/>
  <c r="R109" i="18"/>
  <c r="R90" i="18"/>
  <c r="R110" i="18" s="1"/>
  <c r="BS108" i="18"/>
  <c r="BQ218" i="18" s="1"/>
  <c r="BS88" i="18"/>
  <c r="BW109" i="18"/>
  <c r="O140" i="18"/>
  <c r="Q38" i="6"/>
  <c r="O87" i="18"/>
  <c r="O104" i="18"/>
  <c r="R111" i="18"/>
  <c r="R94" i="18"/>
  <c r="R112" i="18" s="1"/>
  <c r="N166" i="18"/>
  <c r="N197" i="18"/>
  <c r="P84" i="21"/>
  <c r="BY92" i="18"/>
  <c r="AV399" i="67"/>
  <c r="AV397" i="67" s="1"/>
  <c r="BR87" i="18"/>
  <c r="AV393" i="67" s="1"/>
  <c r="BR104" i="18"/>
  <c r="BY110" i="18"/>
  <c r="BX110" i="18"/>
  <c r="BZ110" i="18"/>
  <c r="Q109" i="18"/>
  <c r="Q90" i="18"/>
  <c r="Q110" i="18" s="1"/>
  <c r="CB111" i="18"/>
  <c r="CD111" i="18"/>
  <c r="Q92" i="18"/>
  <c r="CC111" i="18"/>
  <c r="BU88" i="18"/>
  <c r="BU108" i="18"/>
  <c r="BT88" i="18"/>
  <c r="BT108" i="18"/>
  <c r="BQ104" i="18"/>
  <c r="AU399" i="67"/>
  <c r="AU397" i="67" s="1"/>
  <c r="BQ87" i="18"/>
  <c r="P36" i="6"/>
  <c r="P344" i="67" s="1"/>
  <c r="P343" i="67" s="1"/>
  <c r="P327" i="67"/>
  <c r="P348" i="67"/>
  <c r="P88" i="18"/>
  <c r="BY109" i="18"/>
  <c r="BX109" i="18"/>
  <c r="BZ109" i="18"/>
  <c r="P108" i="18"/>
  <c r="CD112" i="18"/>
  <c r="CB112" i="18"/>
  <c r="CC112" i="18"/>
  <c r="BV108" i="18"/>
  <c r="BV88" i="18"/>
  <c r="N179" i="18"/>
  <c r="N249" i="18" s="1"/>
  <c r="N247" i="18" s="1"/>
  <c r="N145" i="18"/>
  <c r="P46" i="6" s="1"/>
  <c r="P110" i="68" s="1"/>
  <c r="N138" i="18"/>
  <c r="BZ92" i="18"/>
  <c r="P22" i="6"/>
  <c r="BX92" i="18"/>
  <c r="BW92" i="18"/>
  <c r="CA112" i="18"/>
  <c r="CA92" i="18" s="1"/>
  <c r="U19" i="68"/>
  <c r="S93" i="18" s="1"/>
  <c r="V19" i="68"/>
  <c r="T93" i="18" s="1"/>
  <c r="BR218" i="18" l="1"/>
  <c r="BS218" i="18" s="1"/>
  <c r="BS240" i="18" s="1"/>
  <c r="CA109" i="18"/>
  <c r="T111" i="18"/>
  <c r="T94" i="18"/>
  <c r="T112" i="18" s="1"/>
  <c r="CE112" i="18"/>
  <c r="BX108" i="18"/>
  <c r="BX88" i="18"/>
  <c r="CC92" i="18"/>
  <c r="CB92" i="18"/>
  <c r="BJ154" i="18"/>
  <c r="AV403" i="67"/>
  <c r="BJ166" i="18"/>
  <c r="AV10" i="15"/>
  <c r="CF112" i="18"/>
  <c r="CG112" i="18"/>
  <c r="CH112" i="18"/>
  <c r="Q22" i="6"/>
  <c r="CF109" i="18"/>
  <c r="R88" i="18"/>
  <c r="CG109" i="18"/>
  <c r="R108" i="18"/>
  <c r="CH109" i="18"/>
  <c r="S111" i="18"/>
  <c r="S94" i="18"/>
  <c r="S112" i="18" s="1"/>
  <c r="P57" i="6"/>
  <c r="P283" i="67" s="1"/>
  <c r="N189" i="18"/>
  <c r="P64" i="6" s="1"/>
  <c r="P288" i="67" s="1"/>
  <c r="BQ179" i="18"/>
  <c r="N183" i="18"/>
  <c r="N177" i="18"/>
  <c r="N245" i="18" s="1"/>
  <c r="BR179" i="18"/>
  <c r="BV104" i="18"/>
  <c r="BV87" i="18"/>
  <c r="AZ393" i="67" s="1"/>
  <c r="AZ399" i="67"/>
  <c r="AZ397" i="67" s="1"/>
  <c r="BY108" i="18"/>
  <c r="BY88" i="18"/>
  <c r="BI166" i="18"/>
  <c r="BI154" i="18"/>
  <c r="AU403" i="67"/>
  <c r="AU10" i="15"/>
  <c r="BU104" i="18"/>
  <c r="BU87" i="18"/>
  <c r="AY393" i="67" s="1"/>
  <c r="AY399" i="67"/>
  <c r="AY397" i="67" s="1"/>
  <c r="CB110" i="18"/>
  <c r="CC110" i="18"/>
  <c r="CD110" i="18"/>
  <c r="P91" i="21"/>
  <c r="P334" i="67"/>
  <c r="CF111" i="18"/>
  <c r="R92" i="18"/>
  <c r="CG111" i="18"/>
  <c r="CG92" i="18" s="1"/>
  <c r="CH111" i="18"/>
  <c r="Q327" i="67"/>
  <c r="Q36" i="6"/>
  <c r="BS87" i="18"/>
  <c r="AW393" i="67" s="1"/>
  <c r="BS104" i="18"/>
  <c r="AW399" i="67"/>
  <c r="AW397" i="67" s="1"/>
  <c r="U24" i="68"/>
  <c r="S89" i="18" s="1"/>
  <c r="R38" i="6"/>
  <c r="P140" i="18"/>
  <c r="P104" i="18"/>
  <c r="P87" i="18"/>
  <c r="AX399" i="67"/>
  <c r="AX397" i="67" s="1"/>
  <c r="BT104" i="18"/>
  <c r="BT87" i="18"/>
  <c r="AX393" i="67" s="1"/>
  <c r="CE111" i="18"/>
  <c r="Q108" i="18"/>
  <c r="CC109" i="18"/>
  <c r="CD109" i="18"/>
  <c r="CB109" i="18"/>
  <c r="Q88" i="18"/>
  <c r="P67" i="6"/>
  <c r="N199" i="18"/>
  <c r="BQ197" i="18"/>
  <c r="AU26" i="15" s="1"/>
  <c r="AU95" i="15" s="1"/>
  <c r="BR197" i="18"/>
  <c r="AV26" i="15" s="1"/>
  <c r="AV95" i="15" s="1"/>
  <c r="O138" i="18"/>
  <c r="O179" i="18"/>
  <c r="O249" i="18" s="1"/>
  <c r="O247" i="18" s="1"/>
  <c r="O145" i="18"/>
  <c r="Q46" i="6" s="1"/>
  <c r="Q110" i="68" s="1"/>
  <c r="P328" i="67"/>
  <c r="P254" i="67"/>
  <c r="K15" i="61"/>
  <c r="P300" i="67"/>
  <c r="N143" i="18"/>
  <c r="BZ108" i="18"/>
  <c r="BZ88" i="18"/>
  <c r="N154" i="18"/>
  <c r="K19" i="61"/>
  <c r="N151" i="18"/>
  <c r="P301" i="67"/>
  <c r="AI11" i="60"/>
  <c r="P41" i="6"/>
  <c r="P176" i="6"/>
  <c r="P43" i="6"/>
  <c r="T15" i="60"/>
  <c r="F9" i="60" s="1"/>
  <c r="F47" i="60" s="1"/>
  <c r="N239" i="18"/>
  <c r="U15" i="61"/>
  <c r="W15" i="61" s="1"/>
  <c r="AU393" i="67"/>
  <c r="CD92" i="18"/>
  <c r="CA110" i="18"/>
  <c r="O197" i="18"/>
  <c r="O166" i="18"/>
  <c r="Q84" i="21"/>
  <c r="BW88" i="18"/>
  <c r="BW108" i="18"/>
  <c r="CH110" i="18"/>
  <c r="CF110" i="18"/>
  <c r="CG110" i="18"/>
  <c r="V24" i="68"/>
  <c r="T89" i="18" s="1"/>
  <c r="BS179" i="18" l="1"/>
  <c r="CE92" i="18"/>
  <c r="CH92" i="18"/>
  <c r="CF92" i="18"/>
  <c r="CI112" i="18"/>
  <c r="CE109" i="18"/>
  <c r="BS197" i="18"/>
  <c r="AW26" i="15" s="1"/>
  <c r="AW95" i="15" s="1"/>
  <c r="CI111" i="18"/>
  <c r="T109" i="18"/>
  <c r="T90" i="18"/>
  <c r="T110" i="18" s="1"/>
  <c r="BT197" i="18"/>
  <c r="AX26" i="15" s="1"/>
  <c r="AX95" i="15" s="1"/>
  <c r="BU197" i="18"/>
  <c r="AY26" i="15" s="1"/>
  <c r="AY95" i="15" s="1"/>
  <c r="Q67" i="6"/>
  <c r="BV197" i="18"/>
  <c r="AZ26" i="15" s="1"/>
  <c r="AZ95" i="15" s="1"/>
  <c r="BZ87" i="18"/>
  <c r="BD393" i="67" s="1"/>
  <c r="BD399" i="67"/>
  <c r="BD397" i="67" s="1"/>
  <c r="BZ104" i="18"/>
  <c r="CC108" i="18"/>
  <c r="CC88" i="18"/>
  <c r="R22" i="6"/>
  <c r="S109" i="18"/>
  <c r="S90" i="18"/>
  <c r="S110" i="18" s="1"/>
  <c r="AY403" i="67"/>
  <c r="BM166" i="18"/>
  <c r="AY10" i="15"/>
  <c r="BM154" i="18"/>
  <c r="BR189" i="18"/>
  <c r="BR177" i="18"/>
  <c r="AV22" i="15" s="1"/>
  <c r="BQ189" i="18"/>
  <c r="BQ177" i="18"/>
  <c r="AU22" i="15" s="1"/>
  <c r="S92" i="18"/>
  <c r="CK111" i="18"/>
  <c r="CL111" i="18"/>
  <c r="CJ111" i="18"/>
  <c r="Q328" i="67"/>
  <c r="Q300" i="67"/>
  <c r="L15" i="61"/>
  <c r="Q254" i="67"/>
  <c r="CI110" i="18"/>
  <c r="O143" i="18"/>
  <c r="Q140" i="18"/>
  <c r="Q87" i="18"/>
  <c r="Q104" i="18"/>
  <c r="S38" i="6"/>
  <c r="BL166" i="18"/>
  <c r="AX403" i="67"/>
  <c r="BL154" i="18"/>
  <c r="AX10" i="15"/>
  <c r="P197" i="18"/>
  <c r="P166" i="18"/>
  <c r="R84" i="21"/>
  <c r="O151" i="18"/>
  <c r="L19" i="61"/>
  <c r="Q41" i="6"/>
  <c r="Q301" i="67"/>
  <c r="U15" i="60"/>
  <c r="G9" i="60" s="1"/>
  <c r="G47" i="60" s="1"/>
  <c r="Q176" i="6"/>
  <c r="O239" i="18"/>
  <c r="O154" i="18"/>
  <c r="Q43" i="6"/>
  <c r="AJ11" i="60"/>
  <c r="AO43" i="21"/>
  <c r="AP43" i="21"/>
  <c r="P93" i="21"/>
  <c r="P92" i="21"/>
  <c r="AU9" i="15"/>
  <c r="AV9" i="15" s="1"/>
  <c r="AV7" i="15" s="1"/>
  <c r="AU11" i="15"/>
  <c r="AO6" i="21"/>
  <c r="BQ239" i="18"/>
  <c r="U19" i="61"/>
  <c r="AU357" i="67"/>
  <c r="AU13" i="15"/>
  <c r="N187" i="18"/>
  <c r="CH88" i="18"/>
  <c r="CH108" i="18"/>
  <c r="CI109" i="18"/>
  <c r="CF108" i="18"/>
  <c r="CF88" i="18"/>
  <c r="BX104" i="18"/>
  <c r="BX87" i="18"/>
  <c r="BB393" i="67" s="1"/>
  <c r="BB399" i="67"/>
  <c r="BB397" i="67" s="1"/>
  <c r="CO112" i="18"/>
  <c r="CP112" i="18"/>
  <c r="CN112" i="18"/>
  <c r="CA108" i="18"/>
  <c r="BZ218" i="18" s="1"/>
  <c r="Q334" i="67"/>
  <c r="Q91" i="21"/>
  <c r="AT32" i="60"/>
  <c r="AT34" i="60" s="1"/>
  <c r="AI49" i="60"/>
  <c r="P115" i="6"/>
  <c r="CB108" i="18"/>
  <c r="CB88" i="18"/>
  <c r="P138" i="18"/>
  <c r="P145" i="18"/>
  <c r="R46" i="6" s="1"/>
  <c r="R110" i="68" s="1"/>
  <c r="P179" i="18"/>
  <c r="P249" i="18" s="1"/>
  <c r="P247" i="18" s="1"/>
  <c r="AW403" i="67"/>
  <c r="BK166" i="18"/>
  <c r="BK154" i="18"/>
  <c r="AW10" i="15"/>
  <c r="AZ10" i="15"/>
  <c r="BN166" i="18"/>
  <c r="BN154" i="18"/>
  <c r="AZ403" i="67"/>
  <c r="N182" i="18"/>
  <c r="N192" i="18" s="1"/>
  <c r="N193" i="18"/>
  <c r="N202" i="18"/>
  <c r="N203" i="18" s="1"/>
  <c r="R140" i="18"/>
  <c r="R87" i="18"/>
  <c r="T38" i="6"/>
  <c r="R104" i="18"/>
  <c r="AV11" i="15"/>
  <c r="BR239" i="18"/>
  <c r="AP6" i="21"/>
  <c r="AV357" i="67"/>
  <c r="AV13" i="15"/>
  <c r="CN111" i="18"/>
  <c r="CP111" i="18"/>
  <c r="CO111" i="18"/>
  <c r="T92" i="18"/>
  <c r="CA88" i="18"/>
  <c r="BW104" i="18"/>
  <c r="BW87" i="18"/>
  <c r="BA393" i="67" s="1"/>
  <c r="BA399" i="67"/>
  <c r="BA397" i="67" s="1"/>
  <c r="P44" i="6"/>
  <c r="P61" i="6"/>
  <c r="P55" i="6"/>
  <c r="P177" i="6" s="1"/>
  <c r="P302" i="67"/>
  <c r="P311" i="67" s="1"/>
  <c r="N241" i="18"/>
  <c r="O177" i="18"/>
  <c r="O189" i="18"/>
  <c r="Q64" i="6" s="1"/>
  <c r="Q288" i="67" s="1"/>
  <c r="BV179" i="18"/>
  <c r="BT179" i="18"/>
  <c r="Q57" i="6"/>
  <c r="Q283" i="67" s="1"/>
  <c r="BU179" i="18"/>
  <c r="O183" i="18"/>
  <c r="CD108" i="18"/>
  <c r="CD88" i="18"/>
  <c r="BT218" i="18"/>
  <c r="R327" i="67"/>
  <c r="R36" i="6"/>
  <c r="CE110" i="18"/>
  <c r="BU218" i="18"/>
  <c r="BY104" i="18"/>
  <c r="BC399" i="67"/>
  <c r="BC397" i="67" s="1"/>
  <c r="BY87" i="18"/>
  <c r="BC393" i="67" s="1"/>
  <c r="BV218" i="18"/>
  <c r="BS189" i="18"/>
  <c r="BS177" i="18"/>
  <c r="AW22" i="15" s="1"/>
  <c r="CJ112" i="18"/>
  <c r="CK112" i="18"/>
  <c r="CL112" i="18"/>
  <c r="CG88" i="18"/>
  <c r="CG108" i="18"/>
  <c r="W19" i="68"/>
  <c r="U93" i="18" s="1"/>
  <c r="CI92" i="18" l="1"/>
  <c r="CE108" i="18"/>
  <c r="BI399" i="67" s="1"/>
  <c r="BI397" i="67" s="1"/>
  <c r="CQ111" i="18"/>
  <c r="BY218" i="18"/>
  <c r="CP92" i="18"/>
  <c r="BW179" i="18"/>
  <c r="BW189" i="18" s="1"/>
  <c r="AQ43" i="21"/>
  <c r="AQ46" i="21" s="1"/>
  <c r="AU7" i="15"/>
  <c r="AU356" i="67" s="1"/>
  <c r="AU358" i="67" s="1"/>
  <c r="BW197" i="18"/>
  <c r="BA26" i="15" s="1"/>
  <c r="BA95" i="15" s="1"/>
  <c r="CN92" i="18"/>
  <c r="CO92" i="18"/>
  <c r="BX218" i="18"/>
  <c r="CM111" i="18"/>
  <c r="CE104" i="18"/>
  <c r="U111" i="18"/>
  <c r="U94" i="18"/>
  <c r="U112" i="18" s="1"/>
  <c r="CG104" i="18"/>
  <c r="BK399" i="67"/>
  <c r="BK397" i="67" s="1"/>
  <c r="CG87" i="18"/>
  <c r="BK393" i="67" s="1"/>
  <c r="CM112" i="18"/>
  <c r="V15" i="60"/>
  <c r="H9" i="60" s="1"/>
  <c r="H47" i="60" s="1"/>
  <c r="P154" i="18"/>
  <c r="R41" i="6"/>
  <c r="P151" i="18"/>
  <c r="R43" i="6"/>
  <c r="AK11" i="60"/>
  <c r="P239" i="18"/>
  <c r="R176" i="6"/>
  <c r="Z36" i="6"/>
  <c r="M19" i="61"/>
  <c r="R301" i="67"/>
  <c r="BU177" i="18"/>
  <c r="AY22" i="15" s="1"/>
  <c r="BU189" i="18"/>
  <c r="K20" i="61"/>
  <c r="P303" i="67"/>
  <c r="P68" i="6"/>
  <c r="P62" i="6"/>
  <c r="BO154" i="18"/>
  <c r="BA10" i="15"/>
  <c r="BO166" i="18"/>
  <c r="BA403" i="67"/>
  <c r="AV377" i="67"/>
  <c r="AV8" i="15"/>
  <c r="AV356" i="67"/>
  <c r="AV358" i="67" s="1"/>
  <c r="T36" i="6"/>
  <c r="T327" i="67"/>
  <c r="BX179" i="18"/>
  <c r="P183" i="18"/>
  <c r="P189" i="18"/>
  <c r="R64" i="6" s="1"/>
  <c r="R288" i="67" s="1"/>
  <c r="R57" i="6"/>
  <c r="R283" i="67" s="1"/>
  <c r="BY179" i="18"/>
  <c r="P177" i="18"/>
  <c r="P245" i="18" s="1"/>
  <c r="BZ179" i="18"/>
  <c r="CQ112" i="18"/>
  <c r="BP154" i="18"/>
  <c r="BP166" i="18"/>
  <c r="BB403" i="67"/>
  <c r="BB10" i="15"/>
  <c r="BL399" i="67"/>
  <c r="BL397" i="67" s="1"/>
  <c r="CH104" i="18"/>
  <c r="CH87" i="18"/>
  <c r="BL393" i="67" s="1"/>
  <c r="AU435" i="67"/>
  <c r="AP14" i="21"/>
  <c r="AO32" i="21"/>
  <c r="AU73" i="15" s="1"/>
  <c r="AO17" i="21"/>
  <c r="AU50" i="15" s="1"/>
  <c r="AO14" i="21"/>
  <c r="AO29" i="21"/>
  <c r="AU70" i="15" s="1"/>
  <c r="BZ197" i="18"/>
  <c r="BD26" i="15" s="1"/>
  <c r="BD95" i="15" s="1"/>
  <c r="R67" i="6"/>
  <c r="BX197" i="18"/>
  <c r="BB26" i="15" s="1"/>
  <c r="BB95" i="15" s="1"/>
  <c r="BY197" i="18"/>
  <c r="BC26" i="15" s="1"/>
  <c r="BC95" i="15" s="1"/>
  <c r="Q166" i="18"/>
  <c r="S84" i="21"/>
  <c r="Q197" i="18"/>
  <c r="CL92" i="18"/>
  <c r="AV23" i="15"/>
  <c r="CJ110" i="18"/>
  <c r="CL110" i="18"/>
  <c r="CK110" i="18"/>
  <c r="CE88" i="18"/>
  <c r="AW23" i="15"/>
  <c r="BC10" i="15"/>
  <c r="BC403" i="67"/>
  <c r="CD218" i="18"/>
  <c r="CD104" i="18"/>
  <c r="BH399" i="67"/>
  <c r="BH397" i="67" s="1"/>
  <c r="CD87" i="18"/>
  <c r="BH393" i="67" s="1"/>
  <c r="O187" i="18"/>
  <c r="T16" i="60"/>
  <c r="AH35" i="60" s="1"/>
  <c r="AV435" i="67"/>
  <c r="T22" i="6"/>
  <c r="AZ357" i="67"/>
  <c r="AT6" i="21"/>
  <c r="BV239" i="18"/>
  <c r="AZ13" i="15"/>
  <c r="AZ11" i="15"/>
  <c r="BF399" i="67"/>
  <c r="BF397" i="67" s="1"/>
  <c r="CB87" i="18"/>
  <c r="BF393" i="67" s="1"/>
  <c r="CB104" i="18"/>
  <c r="CA104" i="18"/>
  <c r="CA87" i="18"/>
  <c r="BE393" i="67" s="1"/>
  <c r="CA218" i="18"/>
  <c r="BE399" i="67"/>
  <c r="BE397" i="67" s="1"/>
  <c r="AU8" i="15"/>
  <c r="AX13" i="15"/>
  <c r="AX11" i="15"/>
  <c r="BT239" i="18"/>
  <c r="AR6" i="21"/>
  <c r="AX357" i="67"/>
  <c r="S22" i="6"/>
  <c r="CK92" i="18"/>
  <c r="CJ109" i="18"/>
  <c r="CL109" i="18"/>
  <c r="S108" i="18"/>
  <c r="CK109" i="18"/>
  <c r="S88" i="18"/>
  <c r="CC87" i="18"/>
  <c r="BG393" i="67" s="1"/>
  <c r="BG399" i="67"/>
  <c r="BG397" i="67" s="1"/>
  <c r="CC104" i="18"/>
  <c r="Q115" i="6"/>
  <c r="BT177" i="18"/>
  <c r="AX22" i="15" s="1"/>
  <c r="BT189" i="18"/>
  <c r="CQ92" i="18"/>
  <c r="R145" i="18"/>
  <c r="T46" i="6" s="1"/>
  <c r="T110" i="68" s="1"/>
  <c r="R179" i="18"/>
  <c r="R249" i="18" s="1"/>
  <c r="R247" i="18" s="1"/>
  <c r="R138" i="18"/>
  <c r="H19" i="74"/>
  <c r="CF87" i="18"/>
  <c r="BJ393" i="67" s="1"/>
  <c r="BJ399" i="67"/>
  <c r="BJ397" i="67" s="1"/>
  <c r="CF104" i="18"/>
  <c r="AU24" i="15"/>
  <c r="AU14" i="15"/>
  <c r="AU15" i="15"/>
  <c r="AU359" i="67" s="1"/>
  <c r="W19" i="61"/>
  <c r="E65" i="60"/>
  <c r="AW9" i="15"/>
  <c r="AX9" i="15" s="1"/>
  <c r="AY9" i="15" s="1"/>
  <c r="AZ9" i="15" s="1"/>
  <c r="AP44" i="21"/>
  <c r="AJ49" i="60"/>
  <c r="AU32" i="60"/>
  <c r="AU34" i="60" s="1"/>
  <c r="R91" i="21"/>
  <c r="R334" i="67"/>
  <c r="Q145" i="18"/>
  <c r="S46" i="6" s="1"/>
  <c r="S110" i="68" s="1"/>
  <c r="Q179" i="18"/>
  <c r="Q249" i="18" s="1"/>
  <c r="Q247" i="18" s="1"/>
  <c r="Q138" i="18"/>
  <c r="R254" i="67"/>
  <c r="R300" i="67"/>
  <c r="Z22" i="6"/>
  <c r="M15" i="61"/>
  <c r="R328" i="67"/>
  <c r="BD10" i="15"/>
  <c r="BD403" i="67"/>
  <c r="CO110" i="18"/>
  <c r="CP110" i="18"/>
  <c r="CN110" i="18"/>
  <c r="BW218" i="18"/>
  <c r="BW240" i="18" s="1"/>
  <c r="O182" i="18"/>
  <c r="O192" i="18" s="1"/>
  <c r="O193" i="18"/>
  <c r="O202" i="18"/>
  <c r="O203" i="18" s="1"/>
  <c r="BV189" i="18"/>
  <c r="BV177" i="18"/>
  <c r="AZ22" i="15" s="1"/>
  <c r="K22" i="61"/>
  <c r="T17" i="60"/>
  <c r="F10" i="60" s="1"/>
  <c r="F48" i="60" s="1"/>
  <c r="P60" i="6"/>
  <c r="N246" i="18"/>
  <c r="AI12" i="60"/>
  <c r="AV15" i="15"/>
  <c r="AV359" i="67" s="1"/>
  <c r="AV14" i="15"/>
  <c r="AV24" i="15"/>
  <c r="AP29" i="21"/>
  <c r="AV70" i="15" s="1"/>
  <c r="AP32" i="21"/>
  <c r="AV73" i="15" s="1"/>
  <c r="AP17" i="21"/>
  <c r="AV50" i="15" s="1"/>
  <c r="R197" i="18"/>
  <c r="R166" i="18"/>
  <c r="T84" i="21"/>
  <c r="BS239" i="18"/>
  <c r="AW357" i="67"/>
  <c r="AW13" i="15"/>
  <c r="AW11" i="15"/>
  <c r="AQ6" i="21"/>
  <c r="AQ14" i="21" s="1"/>
  <c r="P143" i="18"/>
  <c r="AS43" i="21"/>
  <c r="Q92" i="21"/>
  <c r="AT43" i="21"/>
  <c r="AR43" i="21"/>
  <c r="CI108" i="18"/>
  <c r="CI88" i="18"/>
  <c r="AQ44" i="21"/>
  <c r="AU60" i="15"/>
  <c r="AO45" i="21"/>
  <c r="AO44" i="21"/>
  <c r="Q61" i="6"/>
  <c r="O241" i="18"/>
  <c r="Q55" i="6"/>
  <c r="Q44" i="6"/>
  <c r="Q302" i="67"/>
  <c r="Q311" i="67" s="1"/>
  <c r="S327" i="67"/>
  <c r="S36" i="6"/>
  <c r="O245" i="18"/>
  <c r="CJ92" i="18"/>
  <c r="AU23" i="15"/>
  <c r="U20" i="61"/>
  <c r="BU239" i="18"/>
  <c r="AS6" i="21"/>
  <c r="AY357" i="67"/>
  <c r="AY13" i="15"/>
  <c r="AY11" i="15"/>
  <c r="CN109" i="18"/>
  <c r="T108" i="18"/>
  <c r="CO109" i="18"/>
  <c r="T88" i="18"/>
  <c r="CP109" i="18"/>
  <c r="W24" i="68"/>
  <c r="U89" i="18" s="1"/>
  <c r="CE87" i="18" l="1"/>
  <c r="BI393" i="67" s="1"/>
  <c r="CC218" i="18"/>
  <c r="CB218" i="18"/>
  <c r="CE218" i="18"/>
  <c r="AS39" i="60"/>
  <c r="AS40" i="60" s="1"/>
  <c r="AH54" i="60"/>
  <c r="AY7" i="15"/>
  <c r="AY356" i="67" s="1"/>
  <c r="AY358" i="67" s="1"/>
  <c r="AU377" i="67"/>
  <c r="AU378" i="67" s="1"/>
  <c r="BA9" i="15"/>
  <c r="BB9" i="15" s="1"/>
  <c r="BC9" i="15" s="1"/>
  <c r="BD9" i="15" s="1"/>
  <c r="BD7" i="15" s="1"/>
  <c r="BW177" i="18"/>
  <c r="BA22" i="15" s="1"/>
  <c r="CA240" i="18"/>
  <c r="CM109" i="18"/>
  <c r="CM92" i="18"/>
  <c r="CM110" i="18"/>
  <c r="AW7" i="15"/>
  <c r="AW377" i="67" s="1"/>
  <c r="AW378" i="67" s="1"/>
  <c r="AV75" i="15"/>
  <c r="CQ110" i="18"/>
  <c r="AW48" i="15"/>
  <c r="AU100" i="15"/>
  <c r="AU63" i="15"/>
  <c r="AV60" i="15"/>
  <c r="CQ109" i="18"/>
  <c r="CO88" i="18"/>
  <c r="CO108" i="18"/>
  <c r="AY435" i="67"/>
  <c r="U21" i="61"/>
  <c r="S301" i="67"/>
  <c r="S176" i="6"/>
  <c r="Q154" i="18"/>
  <c r="Q151" i="18"/>
  <c r="AL11" i="60"/>
  <c r="AW32" i="60" s="1"/>
  <c r="AW34" i="60" s="1"/>
  <c r="Q239" i="18"/>
  <c r="S43" i="6"/>
  <c r="S41" i="6"/>
  <c r="W15" i="60"/>
  <c r="I9" i="60" s="1"/>
  <c r="I47" i="60" s="1"/>
  <c r="N19" i="61"/>
  <c r="U16" i="60"/>
  <c r="AI35" i="60" s="1"/>
  <c r="AT39" i="60" s="1"/>
  <c r="L20" i="61"/>
  <c r="Q68" i="6"/>
  <c r="Q69" i="6" s="1"/>
  <c r="Q303" i="67"/>
  <c r="Q62" i="6"/>
  <c r="CI87" i="18"/>
  <c r="BM393" i="67" s="1"/>
  <c r="CI104" i="18"/>
  <c r="BM399" i="67"/>
  <c r="BM397" i="67" s="1"/>
  <c r="AT44" i="21"/>
  <c r="AW435" i="67"/>
  <c r="AW439" i="67"/>
  <c r="AE21" i="87" s="1"/>
  <c r="AE40" i="87" s="1"/>
  <c r="T91" i="21"/>
  <c r="T334" i="67"/>
  <c r="AV361" i="67"/>
  <c r="AV25" i="15"/>
  <c r="AV27" i="15"/>
  <c r="AV28" i="15" s="1"/>
  <c r="AV360" i="67" s="1"/>
  <c r="Q143" i="18"/>
  <c r="AP45" i="21"/>
  <c r="CJ88" i="18"/>
  <c r="CJ108" i="18"/>
  <c r="AX7" i="15"/>
  <c r="AR14" i="21"/>
  <c r="AR32" i="21"/>
  <c r="AX73" i="15" s="1"/>
  <c r="AR17" i="21"/>
  <c r="AX50" i="15" s="1"/>
  <c r="AR29" i="21"/>
  <c r="AX70" i="15" s="1"/>
  <c r="BF403" i="67"/>
  <c r="BF10" i="15"/>
  <c r="AZ24" i="15"/>
  <c r="AZ14" i="15"/>
  <c r="AZ15" i="15"/>
  <c r="AZ359" i="67" s="1"/>
  <c r="AV439" i="67"/>
  <c r="AB21" i="87" s="1"/>
  <c r="AB40" i="87" s="1"/>
  <c r="CA197" i="18"/>
  <c r="BE26" i="15" s="1"/>
  <c r="BE95" i="15" s="1"/>
  <c r="AO10" i="21"/>
  <c r="AU48" i="15"/>
  <c r="AT439" i="67"/>
  <c r="BL10" i="15"/>
  <c r="BL403" i="67"/>
  <c r="BZ177" i="18"/>
  <c r="BD22" i="15" s="1"/>
  <c r="BZ189" i="18"/>
  <c r="AY23" i="15"/>
  <c r="BK403" i="67"/>
  <c r="BK10" i="15"/>
  <c r="AY8" i="15"/>
  <c r="AR44" i="21"/>
  <c r="U90" i="18"/>
  <c r="U110" i="18" s="1"/>
  <c r="U109" i="18"/>
  <c r="V38" i="6"/>
  <c r="T104" i="18"/>
  <c r="T87" i="18"/>
  <c r="T140" i="18"/>
  <c r="AY15" i="15"/>
  <c r="AY359" i="67" s="1"/>
  <c r="AY24" i="15"/>
  <c r="AY14" i="15"/>
  <c r="T18" i="60"/>
  <c r="F11" i="60" s="1"/>
  <c r="F49" i="60" s="1"/>
  <c r="AI13" i="60"/>
  <c r="AI51" i="60" s="1"/>
  <c r="BD13" i="15"/>
  <c r="AX6" i="21"/>
  <c r="BD357" i="67"/>
  <c r="BZ239" i="18"/>
  <c r="BD11" i="15"/>
  <c r="CC179" i="18"/>
  <c r="S57" i="6"/>
  <c r="S283" i="67" s="1"/>
  <c r="Q189" i="18"/>
  <c r="S64" i="6" s="1"/>
  <c r="S288" i="67" s="1"/>
  <c r="Q177" i="18"/>
  <c r="Q245" i="18" s="1"/>
  <c r="CB179" i="18"/>
  <c r="CD179" i="18"/>
  <c r="Q183" i="18"/>
  <c r="R92" i="21"/>
  <c r="AV43" i="21"/>
  <c r="AW43" i="21"/>
  <c r="AX43" i="21"/>
  <c r="AU361" i="67"/>
  <c r="AU27" i="15"/>
  <c r="AU25" i="15"/>
  <c r="AX23" i="15"/>
  <c r="CK108" i="18"/>
  <c r="CK88" i="18"/>
  <c r="AX14" i="15"/>
  <c r="AX15" i="15"/>
  <c r="AX359" i="67" s="1"/>
  <c r="AX24" i="15"/>
  <c r="AZ435" i="67"/>
  <c r="CB197" i="18"/>
  <c r="BF26" i="15" s="1"/>
  <c r="BF95" i="15" s="1"/>
  <c r="S67" i="6"/>
  <c r="CC197" i="18"/>
  <c r="BG26" i="15" s="1"/>
  <c r="BG95" i="15" s="1"/>
  <c r="CD197" i="18"/>
  <c r="BH26" i="15" s="1"/>
  <c r="BH95" i="15" s="1"/>
  <c r="AU439" i="67"/>
  <c r="Y21" i="87" s="1"/>
  <c r="Y40" i="87" s="1"/>
  <c r="P187" i="18"/>
  <c r="P182" i="18"/>
  <c r="P192" i="18" s="1"/>
  <c r="P193" i="18"/>
  <c r="P202" i="18"/>
  <c r="P203" i="18" s="1"/>
  <c r="AM11" i="60"/>
  <c r="O19" i="61"/>
  <c r="R154" i="18"/>
  <c r="R239" i="18"/>
  <c r="T301" i="67"/>
  <c r="T41" i="6"/>
  <c r="R151" i="18"/>
  <c r="T43" i="6"/>
  <c r="X15" i="60"/>
  <c r="J9" i="60" s="1"/>
  <c r="J47" i="60" s="1"/>
  <c r="T176" i="6"/>
  <c r="BA357" i="67"/>
  <c r="AY439" i="67" s="1"/>
  <c r="AK21" i="87" s="1"/>
  <c r="BA13" i="15"/>
  <c r="BW239" i="18"/>
  <c r="AU6" i="21"/>
  <c r="BA11" i="15"/>
  <c r="K21" i="61"/>
  <c r="AV32" i="60"/>
  <c r="AV34" i="60" s="1"/>
  <c r="AK49" i="60"/>
  <c r="CG218" i="18"/>
  <c r="CR112" i="18"/>
  <c r="CT112" i="18"/>
  <c r="CS112" i="18"/>
  <c r="CP108" i="18"/>
  <c r="CP88" i="18"/>
  <c r="CN108" i="18"/>
  <c r="CN88" i="18"/>
  <c r="AS29" i="21"/>
  <c r="AY70" i="15" s="1"/>
  <c r="AS17" i="21"/>
  <c r="AY50" i="15" s="1"/>
  <c r="AS32" i="21"/>
  <c r="AY73" i="15" s="1"/>
  <c r="E66" i="60"/>
  <c r="W20" i="61"/>
  <c r="U17" i="60"/>
  <c r="G10" i="60" s="1"/>
  <c r="O246" i="18"/>
  <c r="AJ12" i="60"/>
  <c r="L22" i="61"/>
  <c r="Q60" i="6"/>
  <c r="AU43" i="21"/>
  <c r="AS44" i="21"/>
  <c r="AQ29" i="21"/>
  <c r="AW70" i="15" s="1"/>
  <c r="AQ17" i="21"/>
  <c r="AW50" i="15" s="1"/>
  <c r="P99" i="6" s="1"/>
  <c r="AQ32" i="21"/>
  <c r="AW73" i="15" s="1"/>
  <c r="AT14" i="21"/>
  <c r="AW14" i="15"/>
  <c r="AW15" i="15"/>
  <c r="AW359" i="67" s="1"/>
  <c r="AW24" i="15"/>
  <c r="T67" i="6"/>
  <c r="CG197" i="18"/>
  <c r="BK26" i="15" s="1"/>
  <c r="BK95" i="15" s="1"/>
  <c r="CH197" i="18"/>
  <c r="BL26" i="15" s="1"/>
  <c r="BL95" i="15" s="1"/>
  <c r="CF197" i="18"/>
  <c r="BJ26" i="15" s="1"/>
  <c r="BJ95" i="15" s="1"/>
  <c r="AS14" i="21"/>
  <c r="AT35" i="60"/>
  <c r="AT37" i="60" s="1"/>
  <c r="AI50" i="60"/>
  <c r="AZ23" i="15"/>
  <c r="CF218" i="18"/>
  <c r="R143" i="18"/>
  <c r="I19" i="74"/>
  <c r="S140" i="18"/>
  <c r="S87" i="18"/>
  <c r="U38" i="6"/>
  <c r="S104" i="18"/>
  <c r="S328" i="67"/>
  <c r="S300" i="67"/>
  <c r="N15" i="61"/>
  <c r="S254" i="67"/>
  <c r="AX435" i="67"/>
  <c r="BE10" i="15"/>
  <c r="BE403" i="67"/>
  <c r="AT32" i="21"/>
  <c r="AZ73" i="15" s="1"/>
  <c r="AT29" i="21"/>
  <c r="AZ70" i="15" s="1"/>
  <c r="AT17" i="21"/>
  <c r="AZ50" i="15" s="1"/>
  <c r="T328" i="67"/>
  <c r="T254" i="67"/>
  <c r="O15" i="61"/>
  <c r="T300" i="67"/>
  <c r="Q177" i="6"/>
  <c r="BH403" i="67"/>
  <c r="BH10" i="15"/>
  <c r="BY239" i="18"/>
  <c r="BC13" i="15"/>
  <c r="BC357" i="67"/>
  <c r="AW6" i="21"/>
  <c r="BC11" i="15"/>
  <c r="S91" i="21"/>
  <c r="S334" i="67"/>
  <c r="BY177" i="18"/>
  <c r="BC22" i="15" s="1"/>
  <c r="BY189" i="18"/>
  <c r="CA179" i="18"/>
  <c r="BX177" i="18"/>
  <c r="BB22" i="15" s="1"/>
  <c r="BX189" i="18"/>
  <c r="H16" i="74"/>
  <c r="H18" i="74" s="1"/>
  <c r="P304" i="67"/>
  <c r="P312" i="67" s="1"/>
  <c r="AI14" i="60"/>
  <c r="AI52" i="60" s="1"/>
  <c r="P69" i="6"/>
  <c r="P70" i="6"/>
  <c r="P241" i="18"/>
  <c r="R55" i="6"/>
  <c r="R302" i="67"/>
  <c r="R311" i="67" s="1"/>
  <c r="R44" i="6"/>
  <c r="R61" i="6"/>
  <c r="CS111" i="18"/>
  <c r="CT111" i="18"/>
  <c r="U92" i="18"/>
  <c r="CR111" i="18"/>
  <c r="BJ10" i="15"/>
  <c r="BJ403" i="67"/>
  <c r="R177" i="18"/>
  <c r="CF179" i="18"/>
  <c r="T57" i="6"/>
  <c r="T283" i="67" s="1"/>
  <c r="R189" i="18"/>
  <c r="T64" i="6" s="1"/>
  <c r="T288" i="67" s="1"/>
  <c r="CG179" i="18"/>
  <c r="CH179" i="18"/>
  <c r="R183" i="18"/>
  <c r="BG403" i="67"/>
  <c r="BG10" i="15"/>
  <c r="CL108" i="18"/>
  <c r="CL88" i="18"/>
  <c r="AZ7" i="15"/>
  <c r="R115" i="6"/>
  <c r="AU75" i="15"/>
  <c r="AP10" i="21"/>
  <c r="AV48" i="15"/>
  <c r="CH218" i="18"/>
  <c r="AV6" i="21"/>
  <c r="BB11" i="15"/>
  <c r="BX239" i="18"/>
  <c r="BB13" i="15"/>
  <c r="BB357" i="67"/>
  <c r="BI10" i="15"/>
  <c r="BI403" i="67"/>
  <c r="CE240" i="18" l="1"/>
  <c r="AY377" i="67"/>
  <c r="BA23" i="15"/>
  <c r="AW8" i="15"/>
  <c r="BB7" i="15"/>
  <c r="BB8" i="15" s="1"/>
  <c r="BC7" i="15"/>
  <c r="BC377" i="67" s="1"/>
  <c r="BA7" i="15"/>
  <c r="BA356" i="67" s="1"/>
  <c r="AV378" i="67"/>
  <c r="CM88" i="18"/>
  <c r="AW356" i="67"/>
  <c r="AW358" i="67" s="1"/>
  <c r="CS92" i="18"/>
  <c r="CM108" i="18"/>
  <c r="CM87" i="18" s="1"/>
  <c r="BQ393" i="67" s="1"/>
  <c r="BE9" i="15"/>
  <c r="BE7" i="15" s="1"/>
  <c r="CT92" i="18"/>
  <c r="CE179" i="18"/>
  <c r="CE189" i="18" s="1"/>
  <c r="AX439" i="67"/>
  <c r="AH21" i="87" s="1"/>
  <c r="AZ75" i="15"/>
  <c r="AY75" i="15"/>
  <c r="AZ439" i="67"/>
  <c r="AN21" i="87" s="1"/>
  <c r="AN40" i="87" s="1"/>
  <c r="CI197" i="18"/>
  <c r="BM26" i="15" s="1"/>
  <c r="BM95" i="15" s="1"/>
  <c r="CU112" i="18"/>
  <c r="AX75" i="15"/>
  <c r="BI357" i="67"/>
  <c r="BI13" i="15"/>
  <c r="CE239" i="18"/>
  <c r="BC6" i="21"/>
  <c r="BI11" i="15"/>
  <c r="J19" i="74"/>
  <c r="CH177" i="18"/>
  <c r="BL22" i="15" s="1"/>
  <c r="BL23" i="15" s="1"/>
  <c r="CH189" i="18"/>
  <c r="CS110" i="18"/>
  <c r="CR110" i="18"/>
  <c r="CT110" i="18"/>
  <c r="AO11" i="21"/>
  <c r="AO12" i="21"/>
  <c r="AU373" i="67"/>
  <c r="AU98" i="15"/>
  <c r="BB435" i="67"/>
  <c r="CC239" i="18"/>
  <c r="BG357" i="67"/>
  <c r="BA6" i="21"/>
  <c r="BG11" i="15"/>
  <c r="BG13" i="15"/>
  <c r="CG177" i="18"/>
  <c r="BK22" i="15" s="1"/>
  <c r="BK23" i="15" s="1"/>
  <c r="CG189" i="18"/>
  <c r="R187" i="18"/>
  <c r="CU111" i="18"/>
  <c r="U327" i="67"/>
  <c r="U36" i="6"/>
  <c r="T115" i="6"/>
  <c r="AW75" i="15"/>
  <c r="P108" i="6"/>
  <c r="CP104" i="18"/>
  <c r="CP218" i="18"/>
  <c r="BT399" i="67"/>
  <c r="BT397" i="67" s="1"/>
  <c r="CP87" i="18"/>
  <c r="BT393" i="67" s="1"/>
  <c r="BA15" i="15"/>
  <c r="BA359" i="67" s="1"/>
  <c r="BA14" i="15"/>
  <c r="BA24" i="15"/>
  <c r="T44" i="6"/>
  <c r="R241" i="18"/>
  <c r="T55" i="6"/>
  <c r="T302" i="67"/>
  <c r="T311" i="67" s="1"/>
  <c r="T61" i="6"/>
  <c r="S115" i="6"/>
  <c r="AW44" i="21"/>
  <c r="Q182" i="18"/>
  <c r="Q192" i="18" s="1"/>
  <c r="Q193" i="18"/>
  <c r="Q202" i="18"/>
  <c r="Q203" i="18" s="1"/>
  <c r="AX29" i="21"/>
  <c r="BD70" i="15" s="1"/>
  <c r="AX17" i="21"/>
  <c r="BD50" i="15" s="1"/>
  <c r="AX32" i="21"/>
  <c r="BD73" i="15" s="1"/>
  <c r="V84" i="21"/>
  <c r="T166" i="18"/>
  <c r="T197" i="18"/>
  <c r="BL11" i="15"/>
  <c r="BL13" i="15"/>
  <c r="BL357" i="67"/>
  <c r="CH239" i="18"/>
  <c r="BF6" i="21"/>
  <c r="CJ218" i="18"/>
  <c r="BN399" i="67"/>
  <c r="BN397" i="67" s="1"/>
  <c r="CJ87" i="18"/>
  <c r="BN393" i="67" s="1"/>
  <c r="CJ104" i="18"/>
  <c r="BM403" i="67"/>
  <c r="BM10" i="15"/>
  <c r="AJ14" i="60"/>
  <c r="AJ52" i="60" s="1"/>
  <c r="Q304" i="67"/>
  <c r="Q312" i="67" s="1"/>
  <c r="Q70" i="6"/>
  <c r="I16" i="74"/>
  <c r="I18" i="74" s="1"/>
  <c r="E67" i="60"/>
  <c r="W21" i="61"/>
  <c r="AV63" i="15"/>
  <c r="AW60" i="15"/>
  <c r="AW100" i="15" s="1"/>
  <c r="AQ45" i="21"/>
  <c r="AQ10" i="21"/>
  <c r="BC14" i="15"/>
  <c r="BC24" i="15"/>
  <c r="BC15" i="15"/>
  <c r="BC359" i="67" s="1"/>
  <c r="BE11" i="15"/>
  <c r="BE13" i="15"/>
  <c r="CA239" i="18"/>
  <c r="BE357" i="67"/>
  <c r="BB439" i="67" s="1"/>
  <c r="AY6" i="21"/>
  <c r="AY14" i="21" s="1"/>
  <c r="CI218" i="18"/>
  <c r="CI240" i="18" s="1"/>
  <c r="AU44" i="21"/>
  <c r="AU46" i="21"/>
  <c r="AX44" i="21"/>
  <c r="BD435" i="67"/>
  <c r="AY27" i="15"/>
  <c r="AY28" i="15" s="1"/>
  <c r="AY360" i="67" s="1"/>
  <c r="AY361" i="67"/>
  <c r="AY25" i="15"/>
  <c r="V22" i="6"/>
  <c r="CQ88" i="18"/>
  <c r="CQ108" i="18"/>
  <c r="BB24" i="15"/>
  <c r="BB14" i="15"/>
  <c r="BB15" i="15"/>
  <c r="BB359" i="67" s="1"/>
  <c r="BB377" i="67"/>
  <c r="BB356" i="67"/>
  <c r="AV17" i="21"/>
  <c r="BB50" i="15" s="1"/>
  <c r="AV32" i="21"/>
  <c r="BB73" i="15" s="1"/>
  <c r="AV29" i="21"/>
  <c r="BB70" i="15" s="1"/>
  <c r="AP11" i="21"/>
  <c r="AP12" i="21"/>
  <c r="BP399" i="67"/>
  <c r="BP397" i="67" s="1"/>
  <c r="CL104" i="18"/>
  <c r="CL87" i="18"/>
  <c r="BP393" i="67" s="1"/>
  <c r="CL218" i="18"/>
  <c r="CR92" i="18"/>
  <c r="M20" i="61"/>
  <c r="R68" i="6"/>
  <c r="Z61" i="6"/>
  <c r="R62" i="6"/>
  <c r="R303" i="67"/>
  <c r="M22" i="61"/>
  <c r="P246" i="18"/>
  <c r="R60" i="6"/>
  <c r="V17" i="60"/>
  <c r="H10" i="60" s="1"/>
  <c r="H48" i="60" s="1"/>
  <c r="AK12" i="60"/>
  <c r="BC23" i="15"/>
  <c r="BB43" i="21"/>
  <c r="S92" i="21"/>
  <c r="BA43" i="21"/>
  <c r="AZ43" i="21"/>
  <c r="BB6" i="21"/>
  <c r="CD239" i="18"/>
  <c r="BH13" i="15"/>
  <c r="BH11" i="15"/>
  <c r="BH357" i="67"/>
  <c r="AW14" i="21"/>
  <c r="U22" i="6"/>
  <c r="R245" i="18"/>
  <c r="AW361" i="67"/>
  <c r="AW25" i="15"/>
  <c r="AW27" i="15"/>
  <c r="AW28" i="15" s="1"/>
  <c r="AW360" i="67" s="1"/>
  <c r="AZ48" i="15"/>
  <c r="AT10" i="21"/>
  <c r="U18" i="60"/>
  <c r="G11" i="60" s="1"/>
  <c r="G49" i="60" s="1"/>
  <c r="AJ13" i="60"/>
  <c r="AJ51" i="60" s="1"/>
  <c r="Q11" i="68"/>
  <c r="G48" i="60"/>
  <c r="AX14" i="21"/>
  <c r="AU32" i="21"/>
  <c r="BA73" i="15" s="1"/>
  <c r="AU17" i="21"/>
  <c r="BA50" i="15" s="1"/>
  <c r="Q99" i="6" s="1"/>
  <c r="AU29" i="21"/>
  <c r="BA70" i="15" s="1"/>
  <c r="BA8" i="15"/>
  <c r="R177" i="6"/>
  <c r="CE197" i="18"/>
  <c r="BI26" i="15" s="1"/>
  <c r="BI95" i="15" s="1"/>
  <c r="AU362" i="67"/>
  <c r="AV44" i="21"/>
  <c r="CD177" i="18"/>
  <c r="BH22" i="15" s="1"/>
  <c r="CD189" i="18"/>
  <c r="BD15" i="15"/>
  <c r="BD359" i="67" s="1"/>
  <c r="BD14" i="15"/>
  <c r="BD24" i="15"/>
  <c r="V36" i="6"/>
  <c r="V327" i="67"/>
  <c r="V21" i="87"/>
  <c r="CO87" i="18"/>
  <c r="BS393" i="67" s="1"/>
  <c r="CO218" i="18"/>
  <c r="BS399" i="67"/>
  <c r="BS397" i="67" s="1"/>
  <c r="CO104" i="18"/>
  <c r="CI179" i="18"/>
  <c r="CF177" i="18"/>
  <c r="BJ22" i="15" s="1"/>
  <c r="BJ23" i="15" s="1"/>
  <c r="CF189" i="18"/>
  <c r="CA189" i="18"/>
  <c r="CA177" i="18"/>
  <c r="BE22" i="15" s="1"/>
  <c r="AW17" i="21"/>
  <c r="BC50" i="15" s="1"/>
  <c r="AW32" i="21"/>
  <c r="BC73" i="15" s="1"/>
  <c r="AW29" i="21"/>
  <c r="BC70" i="15" s="1"/>
  <c r="S197" i="18"/>
  <c r="U84" i="21"/>
  <c r="S166" i="18"/>
  <c r="AU35" i="60"/>
  <c r="AU37" i="60" s="1"/>
  <c r="AJ50" i="60"/>
  <c r="Q187" i="18"/>
  <c r="BD377" i="67"/>
  <c r="BD8" i="15"/>
  <c r="BD356" i="67"/>
  <c r="BF11" i="15"/>
  <c r="BF13" i="15"/>
  <c r="BF357" i="67"/>
  <c r="AZ6" i="21"/>
  <c r="CB239" i="18"/>
  <c r="AX8" i="15"/>
  <c r="AX356" i="67"/>
  <c r="AX358" i="67" s="1"/>
  <c r="AX377" i="67"/>
  <c r="AX378" i="67" s="1"/>
  <c r="AV362" i="67"/>
  <c r="AK40" i="87"/>
  <c r="AZ8" i="15"/>
  <c r="AZ377" i="67"/>
  <c r="AZ378" i="67" s="1"/>
  <c r="AZ356" i="67"/>
  <c r="AZ358" i="67" s="1"/>
  <c r="BQ399" i="67"/>
  <c r="BQ397" i="67" s="1"/>
  <c r="R182" i="18"/>
  <c r="R192" i="18" s="1"/>
  <c r="R193" i="18"/>
  <c r="R202" i="18"/>
  <c r="R203" i="18" s="1"/>
  <c r="BJ357" i="67"/>
  <c r="BJ11" i="15"/>
  <c r="BJ13" i="15"/>
  <c r="BD6" i="21"/>
  <c r="CF239" i="18"/>
  <c r="V16" i="60"/>
  <c r="AJ35" i="60" s="1"/>
  <c r="AU39" i="60" s="1"/>
  <c r="BB23" i="15"/>
  <c r="BC8" i="15"/>
  <c r="BC435" i="67"/>
  <c r="BC439" i="67"/>
  <c r="S138" i="18"/>
  <c r="S145" i="18"/>
  <c r="U46" i="6" s="1"/>
  <c r="U110" i="68" s="1"/>
  <c r="S179" i="18"/>
  <c r="AY48" i="15"/>
  <c r="AS10" i="21"/>
  <c r="AV14" i="21"/>
  <c r="CN104" i="18"/>
  <c r="CN87" i="18"/>
  <c r="BR393" i="67" s="1"/>
  <c r="BR399" i="67"/>
  <c r="BR397" i="67" s="1"/>
  <c r="CN218" i="18"/>
  <c r="BA439" i="67"/>
  <c r="AQ21" i="87" s="1"/>
  <c r="AQ40" i="87" s="1"/>
  <c r="BA435" i="67"/>
  <c r="AX27" i="15"/>
  <c r="AX28" i="15" s="1"/>
  <c r="AX360" i="67" s="1"/>
  <c r="AX25" i="15"/>
  <c r="AX361" i="67"/>
  <c r="CK218" i="18"/>
  <c r="BO399" i="67"/>
  <c r="BO397" i="67" s="1"/>
  <c r="CK87" i="18"/>
  <c r="BO393" i="67" s="1"/>
  <c r="CK104" i="18"/>
  <c r="AU32" i="15"/>
  <c r="AU28" i="15"/>
  <c r="AU360" i="67" s="1"/>
  <c r="AY43" i="21"/>
  <c r="CB189" i="18"/>
  <c r="CB177" i="18"/>
  <c r="BF22" i="15" s="1"/>
  <c r="CC177" i="18"/>
  <c r="BG22" i="15" s="1"/>
  <c r="CC189" i="18"/>
  <c r="T179" i="18"/>
  <c r="T249" i="18" s="1"/>
  <c r="T247" i="18" s="1"/>
  <c r="T138" i="18"/>
  <c r="T145" i="18"/>
  <c r="V46" i="6" s="1"/>
  <c r="V110" i="68" s="1"/>
  <c r="CS109" i="18"/>
  <c r="CT109" i="18"/>
  <c r="U88" i="18"/>
  <c r="CR109" i="18"/>
  <c r="U108" i="18"/>
  <c r="CG239" i="18"/>
  <c r="BK357" i="67"/>
  <c r="BE6" i="21"/>
  <c r="BK13" i="15"/>
  <c r="BK11" i="15"/>
  <c r="BD23" i="15"/>
  <c r="AZ361" i="67"/>
  <c r="AZ27" i="15"/>
  <c r="AZ28" i="15" s="1"/>
  <c r="AZ360" i="67" s="1"/>
  <c r="AZ25" i="15"/>
  <c r="AU14" i="21"/>
  <c r="AX48" i="15"/>
  <c r="AR10" i="21"/>
  <c r="BD43" i="21"/>
  <c r="BF43" i="21"/>
  <c r="T92" i="21"/>
  <c r="BE43" i="21"/>
  <c r="L21" i="61"/>
  <c r="Q241" i="18"/>
  <c r="S302" i="67"/>
  <c r="S311" i="67" s="1"/>
  <c r="S61" i="6"/>
  <c r="S55" i="6"/>
  <c r="S44" i="6"/>
  <c r="AV100" i="15"/>
  <c r="BC356" i="67" l="1"/>
  <c r="BC358" i="67" s="1"/>
  <c r="CM104" i="18"/>
  <c r="BQ10" i="15" s="1"/>
  <c r="BA358" i="67"/>
  <c r="BA377" i="67"/>
  <c r="BB378" i="67" s="1"/>
  <c r="BF9" i="15"/>
  <c r="BF7" i="15" s="1"/>
  <c r="CE177" i="18"/>
  <c r="BI22" i="15" s="1"/>
  <c r="BI23" i="15" s="1"/>
  <c r="CQ218" i="18"/>
  <c r="CQ240" i="18" s="1"/>
  <c r="BC378" i="67"/>
  <c r="CU92" i="18"/>
  <c r="P118" i="6"/>
  <c r="P133" i="6" s="1"/>
  <c r="BB75" i="15"/>
  <c r="BD358" i="67"/>
  <c r="BA14" i="21"/>
  <c r="BG48" i="15" s="1"/>
  <c r="BG43" i="21"/>
  <c r="BG46" i="21" s="1"/>
  <c r="AL12" i="60"/>
  <c r="AW35" i="60" s="1"/>
  <c r="AW37" i="60" s="1"/>
  <c r="S60" i="6"/>
  <c r="W17" i="60"/>
  <c r="I10" i="60" s="1"/>
  <c r="I48" i="60" s="1"/>
  <c r="Q246" i="18"/>
  <c r="N22" i="61"/>
  <c r="BF44" i="21"/>
  <c r="BA48" i="15"/>
  <c r="AU10" i="21"/>
  <c r="BK435" i="67"/>
  <c r="T143" i="18"/>
  <c r="BG23" i="15"/>
  <c r="BB48" i="15"/>
  <c r="AV10" i="21"/>
  <c r="S143" i="18"/>
  <c r="BF24" i="15"/>
  <c r="BF14" i="15"/>
  <c r="BF15" i="15"/>
  <c r="BF359" i="67" s="1"/>
  <c r="AW440" i="67"/>
  <c r="AE22" i="87" s="1"/>
  <c r="AE41" i="87" s="1"/>
  <c r="BC48" i="15"/>
  <c r="AW10" i="21"/>
  <c r="BB44" i="21"/>
  <c r="BP403" i="67"/>
  <c r="BP10" i="15"/>
  <c r="CQ87" i="18"/>
  <c r="BU393" i="67" s="1"/>
  <c r="BU399" i="67"/>
  <c r="BU397" i="67" s="1"/>
  <c r="CQ104" i="18"/>
  <c r="P134" i="6"/>
  <c r="AQ11" i="21"/>
  <c r="AQ12" i="21"/>
  <c r="CN197" i="18"/>
  <c r="BR26" i="15" s="1"/>
  <c r="BR95" i="15" s="1"/>
  <c r="V67" i="6"/>
  <c r="CO197" i="18"/>
  <c r="BS26" i="15" s="1"/>
  <c r="BS95" i="15" s="1"/>
  <c r="CP197" i="18"/>
  <c r="BT26" i="15" s="1"/>
  <c r="BT95" i="15" s="1"/>
  <c r="R246" i="18"/>
  <c r="O22" i="61"/>
  <c r="AM12" i="60"/>
  <c r="T60" i="6"/>
  <c r="X17" i="60"/>
  <c r="J10" i="60" s="1"/>
  <c r="J48" i="60" s="1"/>
  <c r="BI15" i="15"/>
  <c r="BI359" i="67" s="1"/>
  <c r="BI24" i="15"/>
  <c r="BI14" i="15"/>
  <c r="S62" i="6"/>
  <c r="S303" i="67"/>
  <c r="N20" i="61"/>
  <c r="S68" i="6"/>
  <c r="S69" i="6" s="1"/>
  <c r="BD44" i="21"/>
  <c r="AZ362" i="67"/>
  <c r="BK24" i="15"/>
  <c r="BK15" i="15"/>
  <c r="BK359" i="67" s="1"/>
  <c r="BK14" i="15"/>
  <c r="CU109" i="18"/>
  <c r="CT108" i="18"/>
  <c r="CT88" i="18"/>
  <c r="BF23" i="15"/>
  <c r="AU33" i="15"/>
  <c r="AU35" i="15" s="1"/>
  <c r="AU37" i="15" s="1"/>
  <c r="AS11" i="21"/>
  <c r="AS12" i="21"/>
  <c r="S183" i="18"/>
  <c r="S177" i="18"/>
  <c r="CL179" i="18"/>
  <c r="CK179" i="18"/>
  <c r="S189" i="18"/>
  <c r="U64" i="6" s="1"/>
  <c r="U288" i="67" s="1"/>
  <c r="U57" i="6"/>
  <c r="U283" i="67" s="1"/>
  <c r="CJ179" i="18"/>
  <c r="BD17" i="21"/>
  <c r="BJ50" i="15" s="1"/>
  <c r="BD32" i="21"/>
  <c r="BJ73" i="15" s="1"/>
  <c r="BD29" i="21"/>
  <c r="BJ70" i="15" s="1"/>
  <c r="BJ435" i="67"/>
  <c r="BQ403" i="67"/>
  <c r="BF8" i="15"/>
  <c r="BF377" i="67"/>
  <c r="BF356" i="67"/>
  <c r="BF358" i="67" s="1"/>
  <c r="BC75" i="15"/>
  <c r="BE23" i="15"/>
  <c r="T154" i="18"/>
  <c r="T151" i="18"/>
  <c r="T239" i="18"/>
  <c r="V43" i="6"/>
  <c r="Q19" i="61"/>
  <c r="V176" i="6"/>
  <c r="V301" i="67"/>
  <c r="V41" i="6"/>
  <c r="Z15" i="60"/>
  <c r="L9" i="60" s="1"/>
  <c r="L47" i="60" s="1"/>
  <c r="BA378" i="67"/>
  <c r="BH439" i="67"/>
  <c r="BH435" i="67"/>
  <c r="BH15" i="15"/>
  <c r="BH359" i="67" s="1"/>
  <c r="BH24" i="15"/>
  <c r="BH14" i="15"/>
  <c r="BC43" i="21"/>
  <c r="AZ44" i="21"/>
  <c r="M21" i="61"/>
  <c r="BE48" i="15"/>
  <c r="V328" i="67"/>
  <c r="V300" i="67"/>
  <c r="V254" i="67"/>
  <c r="Q15" i="61"/>
  <c r="AV440" i="67"/>
  <c r="AB22" i="87" s="1"/>
  <c r="AB41" i="87" s="1"/>
  <c r="CM218" i="18"/>
  <c r="CM240" i="18" s="1"/>
  <c r="BL435" i="67"/>
  <c r="O20" i="61"/>
  <c r="T62" i="6"/>
  <c r="T68" i="6"/>
  <c r="T303" i="67"/>
  <c r="BT403" i="67"/>
  <c r="BT10" i="15"/>
  <c r="T177" i="6"/>
  <c r="BA32" i="21"/>
  <c r="BG73" i="15" s="1"/>
  <c r="BA29" i="21"/>
  <c r="BG70" i="15" s="1"/>
  <c r="BA17" i="21"/>
  <c r="BG50" i="15" s="1"/>
  <c r="BD14" i="21"/>
  <c r="AT440" i="67"/>
  <c r="BC14" i="21"/>
  <c r="BC32" i="21"/>
  <c r="BI73" i="15" s="1"/>
  <c r="BC17" i="21"/>
  <c r="BI50" i="15" s="1"/>
  <c r="S99" i="6" s="1"/>
  <c r="BF14" i="21"/>
  <c r="BC29" i="21"/>
  <c r="BI70" i="15" s="1"/>
  <c r="AV373" i="67"/>
  <c r="AV98" i="15"/>
  <c r="BE44" i="21"/>
  <c r="AR11" i="21"/>
  <c r="AR12" i="21"/>
  <c r="U87" i="18"/>
  <c r="W38" i="6"/>
  <c r="U140" i="18"/>
  <c r="CS88" i="18"/>
  <c r="CS108" i="18"/>
  <c r="V57" i="6"/>
  <c r="V283" i="67" s="1"/>
  <c r="CN179" i="18"/>
  <c r="T189" i="18"/>
  <c r="V64" i="6" s="1"/>
  <c r="V288" i="67" s="1"/>
  <c r="CO179" i="18"/>
  <c r="CP179" i="18"/>
  <c r="T183" i="18"/>
  <c r="T177" i="18"/>
  <c r="BO403" i="67"/>
  <c r="BO10" i="15"/>
  <c r="AZ17" i="21"/>
  <c r="BF50" i="15" s="1"/>
  <c r="AZ29" i="21"/>
  <c r="BF70" i="15" s="1"/>
  <c r="AZ32" i="21"/>
  <c r="BF73" i="15" s="1"/>
  <c r="BD378" i="67"/>
  <c r="U334" i="67"/>
  <c r="U91" i="21"/>
  <c r="V40" i="87"/>
  <c r="BD27" i="15"/>
  <c r="BD28" i="15" s="1"/>
  <c r="BD360" i="67" s="1"/>
  <c r="BD361" i="67"/>
  <c r="BD25" i="15"/>
  <c r="BH23" i="15"/>
  <c r="BD48" i="15"/>
  <c r="AX10" i="21"/>
  <c r="BA44" i="21"/>
  <c r="BB358" i="67"/>
  <c r="BE356" i="67"/>
  <c r="BE358" i="67" s="1"/>
  <c r="BE377" i="67"/>
  <c r="BE378" i="67" s="1"/>
  <c r="BE8" i="15"/>
  <c r="BE435" i="67"/>
  <c r="BE439" i="67"/>
  <c r="BE24" i="15"/>
  <c r="BE14" i="15"/>
  <c r="BE15" i="15"/>
  <c r="BE359" i="67" s="1"/>
  <c r="BC25" i="15"/>
  <c r="BC27" i="15"/>
  <c r="BC28" i="15" s="1"/>
  <c r="BC360" i="67" s="1"/>
  <c r="BC361" i="67"/>
  <c r="AW373" i="67"/>
  <c r="AW98" i="15"/>
  <c r="CI239" i="18"/>
  <c r="BM13" i="15"/>
  <c r="BM11" i="15"/>
  <c r="BG6" i="21"/>
  <c r="BM357" i="67"/>
  <c r="BN10" i="15"/>
  <c r="BN403" i="67"/>
  <c r="BF32" i="21"/>
  <c r="BL73" i="15" s="1"/>
  <c r="BF17" i="21"/>
  <c r="BL50" i="15" s="1"/>
  <c r="BF29" i="21"/>
  <c r="BL70" i="15" s="1"/>
  <c r="BL14" i="15"/>
  <c r="BL15" i="15"/>
  <c r="BL359" i="67" s="1"/>
  <c r="BL24" i="15"/>
  <c r="V91" i="21"/>
  <c r="V334" i="67"/>
  <c r="K19" i="74"/>
  <c r="X16" i="60"/>
  <c r="L19" i="74"/>
  <c r="BG14" i="15"/>
  <c r="BG24" i="15"/>
  <c r="BG15" i="15"/>
  <c r="BG359" i="67" s="1"/>
  <c r="BG435" i="67"/>
  <c r="BG439" i="67"/>
  <c r="AU440" i="67"/>
  <c r="Y22" i="87" s="1"/>
  <c r="Y41" i="87" s="1"/>
  <c r="BI435" i="67"/>
  <c r="BI439" i="67"/>
  <c r="W16" i="60"/>
  <c r="AK35" i="60" s="1"/>
  <c r="AV39" i="60" s="1"/>
  <c r="BE32" i="21"/>
  <c r="BK73" i="15" s="1"/>
  <c r="BE29" i="21"/>
  <c r="BK70" i="15" s="1"/>
  <c r="BE17" i="21"/>
  <c r="BK50" i="15" s="1"/>
  <c r="CR108" i="18"/>
  <c r="CR88" i="18"/>
  <c r="AY44" i="21"/>
  <c r="AY46" i="21"/>
  <c r="AX362" i="67"/>
  <c r="BR10" i="15"/>
  <c r="BR403" i="67"/>
  <c r="S249" i="18"/>
  <c r="S247" i="18" s="1"/>
  <c r="BJ14" i="15"/>
  <c r="BJ15" i="15"/>
  <c r="BJ359" i="67" s="1"/>
  <c r="BJ24" i="15"/>
  <c r="BF435" i="67"/>
  <c r="BF439" i="67"/>
  <c r="S177" i="6"/>
  <c r="CK197" i="18"/>
  <c r="BO26" i="15" s="1"/>
  <c r="BO95" i="15" s="1"/>
  <c r="CL197" i="18"/>
  <c r="BP26" i="15" s="1"/>
  <c r="BP95" i="15" s="1"/>
  <c r="CJ197" i="18"/>
  <c r="BN26" i="15" s="1"/>
  <c r="BN95" i="15" s="1"/>
  <c r="U67" i="6"/>
  <c r="AZ14" i="21"/>
  <c r="CI177" i="18"/>
  <c r="BM22" i="15" s="1"/>
  <c r="BM23" i="15" s="1"/>
  <c r="CI189" i="18"/>
  <c r="BS10" i="15"/>
  <c r="BS403" i="67"/>
  <c r="Q108" i="6"/>
  <c r="BA75" i="15"/>
  <c r="AT11" i="21"/>
  <c r="AT12" i="21"/>
  <c r="AW362" i="67"/>
  <c r="P15" i="61"/>
  <c r="U254" i="67"/>
  <c r="U328" i="67"/>
  <c r="U300" i="67"/>
  <c r="BB29" i="21"/>
  <c r="BH70" i="15" s="1"/>
  <c r="BB32" i="21"/>
  <c r="BH73" i="15" s="1"/>
  <c r="BB17" i="21"/>
  <c r="BH50" i="15" s="1"/>
  <c r="BE14" i="21"/>
  <c r="AV35" i="60"/>
  <c r="AV37" i="60" s="1"/>
  <c r="AK50" i="60"/>
  <c r="V18" i="60"/>
  <c r="H11" i="60" s="1"/>
  <c r="H49" i="60" s="1"/>
  <c r="AK13" i="60"/>
  <c r="AK51" i="60" s="1"/>
  <c r="AK14" i="60"/>
  <c r="AK52" i="60" s="1"/>
  <c r="R304" i="67"/>
  <c r="R312" i="67" s="1"/>
  <c r="R70" i="6"/>
  <c r="J16" i="74"/>
  <c r="J18" i="74" s="1"/>
  <c r="Z68" i="6"/>
  <c r="BB27" i="15"/>
  <c r="BB28" i="15" s="1"/>
  <c r="BB360" i="67" s="1"/>
  <c r="BB25" i="15"/>
  <c r="BB361" i="67"/>
  <c r="AY378" i="67"/>
  <c r="AY362" i="67"/>
  <c r="BD439" i="67"/>
  <c r="AY29" i="21"/>
  <c r="BE70" i="15" s="1"/>
  <c r="AY17" i="21"/>
  <c r="BE50" i="15" s="1"/>
  <c r="R99" i="6" s="1"/>
  <c r="AY32" i="21"/>
  <c r="BE73" i="15" s="1"/>
  <c r="BB14" i="21"/>
  <c r="P95" i="6"/>
  <c r="AX60" i="15"/>
  <c r="AW63" i="15"/>
  <c r="Q93" i="21"/>
  <c r="AR45" i="21"/>
  <c r="R69" i="6"/>
  <c r="BD75" i="15"/>
  <c r="BA361" i="67"/>
  <c r="BA27" i="15"/>
  <c r="BA28" i="15" s="1"/>
  <c r="BA360" i="67" s="1"/>
  <c r="BA25" i="15"/>
  <c r="U41" i="6"/>
  <c r="P19" i="61"/>
  <c r="S154" i="18"/>
  <c r="Y15" i="60"/>
  <c r="K9" i="60" s="1"/>
  <c r="K47" i="60" s="1"/>
  <c r="AN11" i="60"/>
  <c r="S239" i="18"/>
  <c r="U43" i="6"/>
  <c r="U176" i="6"/>
  <c r="U301" i="67"/>
  <c r="S151" i="18"/>
  <c r="AH40" i="87"/>
  <c r="CU110" i="18"/>
  <c r="BG9" i="15" l="1"/>
  <c r="BH9" i="15" s="1"/>
  <c r="BI9" i="15" s="1"/>
  <c r="BJ9" i="15" s="1"/>
  <c r="BK9" i="15" s="1"/>
  <c r="BL9" i="15" s="1"/>
  <c r="BL75" i="15"/>
  <c r="BJ75" i="15"/>
  <c r="F16" i="60"/>
  <c r="F54" i="60" s="1"/>
  <c r="H21" i="74"/>
  <c r="BF75" i="15"/>
  <c r="BK75" i="15"/>
  <c r="BG44" i="21"/>
  <c r="CM197" i="18"/>
  <c r="BQ26" i="15" s="1"/>
  <c r="BQ95" i="15" s="1"/>
  <c r="U55" i="6"/>
  <c r="U177" i="6" s="1"/>
  <c r="S241" i="18"/>
  <c r="U44" i="6"/>
  <c r="U302" i="67"/>
  <c r="U311" i="67" s="1"/>
  <c r="U61" i="6"/>
  <c r="AX100" i="15"/>
  <c r="AY60" i="15"/>
  <c r="AX63" i="15"/>
  <c r="AS45" i="21"/>
  <c r="BH75" i="15"/>
  <c r="BS357" i="67"/>
  <c r="BS13" i="15"/>
  <c r="BM6" i="21"/>
  <c r="BS11" i="15"/>
  <c r="CO239" i="18"/>
  <c r="BN43" i="21"/>
  <c r="BM43" i="21"/>
  <c r="V92" i="21"/>
  <c r="BL43" i="21"/>
  <c r="BM435" i="67"/>
  <c r="BM439" i="67"/>
  <c r="BD362" i="67"/>
  <c r="T187" i="18"/>
  <c r="BJ48" i="15"/>
  <c r="BD10" i="21"/>
  <c r="BQ11" i="15"/>
  <c r="BQ357" i="67"/>
  <c r="CM239" i="18"/>
  <c r="BK6" i="21"/>
  <c r="BQ13" i="15"/>
  <c r="S187" i="18"/>
  <c r="AU53" i="15"/>
  <c r="AU119" i="15"/>
  <c r="X18" i="60"/>
  <c r="J11" i="60" s="1"/>
  <c r="J49" i="60" s="1"/>
  <c r="AM13" i="60"/>
  <c r="BP11" i="15"/>
  <c r="BJ6" i="21"/>
  <c r="BP357" i="67"/>
  <c r="CL239" i="18"/>
  <c r="BP13" i="15"/>
  <c r="AW11" i="21"/>
  <c r="AW12" i="21"/>
  <c r="AV11" i="21"/>
  <c r="AV12" i="21"/>
  <c r="T245" i="18"/>
  <c r="AU11" i="21"/>
  <c r="Q134" i="6"/>
  <c r="AU12" i="21"/>
  <c r="AL13" i="60"/>
  <c r="W18" i="60"/>
  <c r="I11" i="60" s="1"/>
  <c r="I49" i="60" s="1"/>
  <c r="P97" i="6"/>
  <c r="O199" i="18"/>
  <c r="BB362" i="67"/>
  <c r="BK48" i="15"/>
  <c r="BE10" i="21"/>
  <c r="BJ25" i="15"/>
  <c r="BJ362" i="67" s="1"/>
  <c r="BJ361" i="67"/>
  <c r="BJ27" i="15"/>
  <c r="BJ28" i="15" s="1"/>
  <c r="BJ360" i="67" s="1"/>
  <c r="CR218" i="18"/>
  <c r="BV399" i="67"/>
  <c r="CR87" i="18"/>
  <c r="BV393" i="67" s="1"/>
  <c r="BL25" i="15"/>
  <c r="BL362" i="67" s="1"/>
  <c r="BL27" i="15"/>
  <c r="BL28" i="15" s="1"/>
  <c r="BL360" i="67" s="1"/>
  <c r="BL361" i="67"/>
  <c r="BG29" i="21"/>
  <c r="BM70" i="15" s="1"/>
  <c r="BG17" i="21"/>
  <c r="BM50" i="15" s="1"/>
  <c r="T99" i="6" s="1"/>
  <c r="BG32" i="21"/>
  <c r="BM73" i="15" s="1"/>
  <c r="T193" i="18"/>
  <c r="T182" i="18"/>
  <c r="T192" i="18" s="1"/>
  <c r="T202" i="18"/>
  <c r="T203" i="18" s="1"/>
  <c r="CQ179" i="18"/>
  <c r="CN189" i="18"/>
  <c r="CN177" i="18"/>
  <c r="BR22" i="15" s="1"/>
  <c r="BR23" i="15" s="1"/>
  <c r="U179" i="18"/>
  <c r="U249" i="18" s="1"/>
  <c r="U145" i="18"/>
  <c r="W46" i="6" s="1"/>
  <c r="W110" i="68" s="1"/>
  <c r="BI75" i="15"/>
  <c r="S108" i="6"/>
  <c r="BI48" i="15"/>
  <c r="BC10" i="21"/>
  <c r="BT357" i="67"/>
  <c r="BT13" i="15"/>
  <c r="BN6" i="21"/>
  <c r="BT11" i="15"/>
  <c r="CP239" i="18"/>
  <c r="T304" i="67"/>
  <c r="T312" i="67" s="1"/>
  <c r="T70" i="6"/>
  <c r="L16" i="74"/>
  <c r="L18" i="74" s="1"/>
  <c r="AM14" i="60"/>
  <c r="AY10" i="21"/>
  <c r="BH27" i="15"/>
  <c r="BH28" i="15" s="1"/>
  <c r="BH360" i="67" s="1"/>
  <c r="BH25" i="15"/>
  <c r="BH362" i="67" s="1"/>
  <c r="BH361" i="67"/>
  <c r="T241" i="18"/>
  <c r="V302" i="67"/>
  <c r="V311" i="67" s="1"/>
  <c r="V44" i="6"/>
  <c r="V61" i="6"/>
  <c r="V55" i="6"/>
  <c r="S182" i="18"/>
  <c r="S192" i="18" s="1"/>
  <c r="S193" i="18"/>
  <c r="S202" i="18"/>
  <c r="S203" i="18" s="1"/>
  <c r="AU374" i="67"/>
  <c r="AU363" i="67"/>
  <c r="AU94" i="15"/>
  <c r="AU43" i="15"/>
  <c r="AU39" i="15"/>
  <c r="AU88" i="15" s="1"/>
  <c r="U22" i="61"/>
  <c r="CT87" i="18"/>
  <c r="BX393" i="67" s="1"/>
  <c r="CT218" i="18"/>
  <c r="BX399" i="67"/>
  <c r="BK27" i="15"/>
  <c r="BK28" i="15" s="1"/>
  <c r="BK360" i="67" s="1"/>
  <c r="BK25" i="15"/>
  <c r="BK362" i="67" s="1"/>
  <c r="BK361" i="67"/>
  <c r="BI27" i="15"/>
  <c r="BI28" i="15" s="1"/>
  <c r="BI360" i="67" s="1"/>
  <c r="BI25" i="15"/>
  <c r="BI362" i="67" s="1"/>
  <c r="BI361" i="67"/>
  <c r="V115" i="6"/>
  <c r="BU10" i="15"/>
  <c r="BU403" i="67"/>
  <c r="BF27" i="15"/>
  <c r="BF28" i="15" s="1"/>
  <c r="BF360" i="67" s="1"/>
  <c r="BF361" i="67"/>
  <c r="BF25" i="15"/>
  <c r="BF362" i="67" s="1"/>
  <c r="AX440" i="67"/>
  <c r="BA440" i="67"/>
  <c r="AQ22" i="87" s="1"/>
  <c r="AQ41" i="87" s="1"/>
  <c r="R108" i="6"/>
  <c r="BE75" i="15"/>
  <c r="U115" i="6"/>
  <c r="BR11" i="15"/>
  <c r="BR13" i="15"/>
  <c r="BL6" i="21"/>
  <c r="BR357" i="67"/>
  <c r="CN239" i="18"/>
  <c r="BG27" i="15"/>
  <c r="BG28" i="15" s="1"/>
  <c r="BG360" i="67" s="1"/>
  <c r="BG361" i="67"/>
  <c r="BG25" i="15"/>
  <c r="BG362" i="67" s="1"/>
  <c r="BH6" i="21"/>
  <c r="CJ239" i="18"/>
  <c r="BN357" i="67"/>
  <c r="BN11" i="15"/>
  <c r="BN13" i="15"/>
  <c r="BC362" i="67"/>
  <c r="BE27" i="15"/>
  <c r="BE28" i="15" s="1"/>
  <c r="BE360" i="67" s="1"/>
  <c r="BE361" i="67"/>
  <c r="BD440" i="67" s="1"/>
  <c r="BE25" i="15"/>
  <c r="AX11" i="21"/>
  <c r="AX12" i="21"/>
  <c r="BI43" i="21"/>
  <c r="BJ43" i="21"/>
  <c r="U92" i="21"/>
  <c r="BH43" i="21"/>
  <c r="BO11" i="15"/>
  <c r="BI6" i="21"/>
  <c r="CK239" i="18"/>
  <c r="BO13" i="15"/>
  <c r="BO357" i="67"/>
  <c r="CP177" i="18"/>
  <c r="BT22" i="15" s="1"/>
  <c r="BT23" i="15" s="1"/>
  <c r="CP189" i="18"/>
  <c r="W327" i="67"/>
  <c r="BL48" i="15"/>
  <c r="BF10" i="21"/>
  <c r="V22" i="87"/>
  <c r="BG75" i="15"/>
  <c r="O21" i="61"/>
  <c r="BL439" i="67"/>
  <c r="BF378" i="67"/>
  <c r="BJ439" i="67"/>
  <c r="CK177" i="18"/>
  <c r="BO22" i="15" s="1"/>
  <c r="BO23" i="15" s="1"/>
  <c r="CK189" i="18"/>
  <c r="CU88" i="18"/>
  <c r="CU108" i="18"/>
  <c r="T69" i="6"/>
  <c r="S304" i="67"/>
  <c r="S312" i="67" s="1"/>
  <c r="K16" i="74"/>
  <c r="K18" i="74" s="1"/>
  <c r="S70" i="6"/>
  <c r="AL14" i="60"/>
  <c r="CQ197" i="18"/>
  <c r="BU26" i="15" s="1"/>
  <c r="BU95" i="15" s="1"/>
  <c r="P135" i="6"/>
  <c r="P318" i="67"/>
  <c r="S245" i="18"/>
  <c r="BK439" i="67"/>
  <c r="AZ440" i="67"/>
  <c r="AN22" i="87" s="1"/>
  <c r="AN41" i="87" s="1"/>
  <c r="BA10" i="21"/>
  <c r="BA362" i="67"/>
  <c r="BH48" i="15"/>
  <c r="BB10" i="21"/>
  <c r="BF48" i="15"/>
  <c r="AZ10" i="21"/>
  <c r="BM14" i="15"/>
  <c r="BM24" i="15"/>
  <c r="BM15" i="15"/>
  <c r="BM359" i="67" s="1"/>
  <c r="CO189" i="18"/>
  <c r="CO177" i="18"/>
  <c r="BS22" i="15" s="1"/>
  <c r="BS23" i="15" s="1"/>
  <c r="CS87" i="18"/>
  <c r="BW393" i="67" s="1"/>
  <c r="BW399" i="67"/>
  <c r="CS218" i="18"/>
  <c r="W22" i="6"/>
  <c r="BC44" i="21"/>
  <c r="BC46" i="21"/>
  <c r="BG14" i="21"/>
  <c r="CM179" i="18"/>
  <c r="CJ189" i="18"/>
  <c r="CJ177" i="18"/>
  <c r="BN22" i="15" s="1"/>
  <c r="BN23" i="15" s="1"/>
  <c r="CL177" i="18"/>
  <c r="BP22" i="15" s="1"/>
  <c r="BP23" i="15" s="1"/>
  <c r="CL189" i="18"/>
  <c r="N21" i="61"/>
  <c r="AY440" i="67"/>
  <c r="AK22" i="87" s="1"/>
  <c r="AK41" i="87" s="1"/>
  <c r="T21" i="60"/>
  <c r="K31" i="61"/>
  <c r="BG7" i="15" l="1"/>
  <c r="BJ7" i="15"/>
  <c r="BJ356" i="67" s="1"/>
  <c r="BJ358" i="67" s="1"/>
  <c r="BK7" i="15"/>
  <c r="BK377" i="67" s="1"/>
  <c r="BH7" i="15"/>
  <c r="BH8" i="15" s="1"/>
  <c r="BI7" i="15"/>
  <c r="BI8" i="15" s="1"/>
  <c r="BL7" i="15"/>
  <c r="BM9" i="15"/>
  <c r="BG356" i="67"/>
  <c r="BG358" i="67" s="1"/>
  <c r="BG8" i="15"/>
  <c r="BG377" i="67"/>
  <c r="BG378" i="67" s="1"/>
  <c r="BK356" i="67"/>
  <c r="BK358" i="67" s="1"/>
  <c r="BI14" i="21"/>
  <c r="BI356" i="67"/>
  <c r="BI358" i="67" s="1"/>
  <c r="BG440" i="67"/>
  <c r="BK43" i="21"/>
  <c r="BK46" i="21" s="1"/>
  <c r="W254" i="67"/>
  <c r="R15" i="61"/>
  <c r="W328" i="67"/>
  <c r="W300" i="67"/>
  <c r="AA22" i="6"/>
  <c r="BI44" i="21"/>
  <c r="BJ14" i="21"/>
  <c r="BH17" i="21"/>
  <c r="BN50" i="15" s="1"/>
  <c r="BH29" i="21"/>
  <c r="BN70" i="15" s="1"/>
  <c r="BH32" i="21"/>
  <c r="BN73" i="15" s="1"/>
  <c r="BK14" i="21"/>
  <c r="BH14" i="21"/>
  <c r="BR15" i="15"/>
  <c r="BR359" i="67" s="1"/>
  <c r="BR24" i="15"/>
  <c r="BR14" i="15"/>
  <c r="BI440" i="67"/>
  <c r="E68" i="60"/>
  <c r="W22" i="61"/>
  <c r="Z16" i="60"/>
  <c r="BC11" i="21"/>
  <c r="S134" i="6"/>
  <c r="BC12" i="21"/>
  <c r="BQ435" i="67"/>
  <c r="BQ439" i="67"/>
  <c r="BD11" i="21"/>
  <c r="BD12" i="21"/>
  <c r="BL44" i="21"/>
  <c r="BN44" i="21"/>
  <c r="BM29" i="21"/>
  <c r="BS70" i="15" s="1"/>
  <c r="BM17" i="21"/>
  <c r="BS50" i="15" s="1"/>
  <c r="BM32" i="21"/>
  <c r="BS73" i="15" s="1"/>
  <c r="AY100" i="15"/>
  <c r="AZ60" i="15"/>
  <c r="AZ100" i="15" s="1"/>
  <c r="AY63" i="15"/>
  <c r="AT45" i="21"/>
  <c r="CM177" i="18"/>
  <c r="BQ22" i="15" s="1"/>
  <c r="BQ23" i="15" s="1"/>
  <c r="CM189" i="18"/>
  <c r="BO48" i="15"/>
  <c r="BB11" i="21"/>
  <c r="BB12" i="21"/>
  <c r="K30" i="61"/>
  <c r="P313" i="67"/>
  <c r="V41" i="87"/>
  <c r="BI29" i="21"/>
  <c r="BO70" i="15" s="1"/>
  <c r="BI17" i="21"/>
  <c r="BO50" i="15" s="1"/>
  <c r="BL14" i="21"/>
  <c r="BI32" i="21"/>
  <c r="BO73" i="15" s="1"/>
  <c r="BH44" i="21"/>
  <c r="BE362" i="67"/>
  <c r="BF440" i="67"/>
  <c r="BU13" i="15"/>
  <c r="BU357" i="67"/>
  <c r="BS439" i="67" s="1"/>
  <c r="BO6" i="21"/>
  <c r="BO14" i="21" s="1"/>
  <c r="CQ239" i="18"/>
  <c r="BU11" i="15"/>
  <c r="AU89" i="15"/>
  <c r="AU109" i="15"/>
  <c r="Z17" i="60"/>
  <c r="L10" i="60" s="1"/>
  <c r="L48" i="60" s="1"/>
  <c r="T246" i="18"/>
  <c r="Q22" i="61"/>
  <c r="V60" i="6"/>
  <c r="Z18" i="60" s="1"/>
  <c r="L11" i="60" s="1"/>
  <c r="L49" i="60" s="1"/>
  <c r="BN17" i="21"/>
  <c r="BT50" i="15" s="1"/>
  <c r="BN32" i="21"/>
  <c r="BT73" i="15" s="1"/>
  <c r="BN29" i="21"/>
  <c r="BT70" i="15" s="1"/>
  <c r="CT179" i="18"/>
  <c r="CT189" i="18" s="1"/>
  <c r="CR179" i="18"/>
  <c r="CR189" i="18" s="1"/>
  <c r="W57" i="6"/>
  <c r="W283" i="67" s="1"/>
  <c r="U189" i="18"/>
  <c r="W64" i="6" s="1"/>
  <c r="W288" i="67" s="1"/>
  <c r="CS179" i="18"/>
  <c r="CS189" i="18" s="1"/>
  <c r="CQ189" i="18"/>
  <c r="CQ177" i="18"/>
  <c r="BU22" i="15" s="1"/>
  <c r="BU23" i="15" s="1"/>
  <c r="T108" i="6"/>
  <c r="BM75" i="15"/>
  <c r="CU218" i="18"/>
  <c r="BP435" i="67"/>
  <c r="BP439" i="67"/>
  <c r="AU96" i="15"/>
  <c r="BQ14" i="15"/>
  <c r="BQ24" i="15"/>
  <c r="BQ15" i="15"/>
  <c r="BQ359" i="67" s="1"/>
  <c r="BS15" i="15"/>
  <c r="BS359" i="67" s="1"/>
  <c r="BS24" i="15"/>
  <c r="BS14" i="15"/>
  <c r="BB440" i="67"/>
  <c r="AX373" i="67"/>
  <c r="AX98" i="15"/>
  <c r="Y16" i="60"/>
  <c r="BG10" i="21"/>
  <c r="BM48" i="15"/>
  <c r="BM361" i="67"/>
  <c r="BM440" i="67" s="1"/>
  <c r="BM27" i="15"/>
  <c r="BM28" i="15" s="1"/>
  <c r="BM360" i="67" s="1"/>
  <c r="BM25" i="15"/>
  <c r="BM362" i="67" s="1"/>
  <c r="BF11" i="21"/>
  <c r="BF12" i="21"/>
  <c r="BO435" i="67"/>
  <c r="BO439" i="67"/>
  <c r="BN439" i="67"/>
  <c r="BN435" i="67"/>
  <c r="BR435" i="67"/>
  <c r="U23" i="61"/>
  <c r="W23" i="61" s="1"/>
  <c r="AU364" i="67"/>
  <c r="AY11" i="21"/>
  <c r="R134" i="6"/>
  <c r="AY12" i="21"/>
  <c r="BT24" i="15"/>
  <c r="BT14" i="15"/>
  <c r="BT15" i="15"/>
  <c r="BT359" i="67" s="1"/>
  <c r="BE11" i="21"/>
  <c r="BE12" i="21"/>
  <c r="BM14" i="21"/>
  <c r="BJ29" i="21"/>
  <c r="BP70" i="15" s="1"/>
  <c r="BJ32" i="21"/>
  <c r="BP73" i="15" s="1"/>
  <c r="BJ17" i="21"/>
  <c r="BP50" i="15" s="1"/>
  <c r="BK29" i="21"/>
  <c r="BQ70" i="15" s="1"/>
  <c r="BK17" i="21"/>
  <c r="BQ50" i="15" s="1"/>
  <c r="U99" i="6" s="1"/>
  <c r="BN14" i="21"/>
  <c r="BK32" i="21"/>
  <c r="BQ73" i="15" s="1"/>
  <c r="V177" i="6"/>
  <c r="BO43" i="21"/>
  <c r="BS435" i="67"/>
  <c r="U68" i="6"/>
  <c r="P20" i="61"/>
  <c r="U303" i="67"/>
  <c r="U62" i="6"/>
  <c r="AZ11" i="21"/>
  <c r="AZ12" i="21"/>
  <c r="BA11" i="21"/>
  <c r="BA12" i="21"/>
  <c r="CU87" i="18"/>
  <c r="BY393" i="67" s="1"/>
  <c r="BY399" i="67"/>
  <c r="BO24" i="15"/>
  <c r="BO15" i="15"/>
  <c r="BO359" i="67" s="1"/>
  <c r="BO14" i="15"/>
  <c r="BJ44" i="21"/>
  <c r="BE440" i="67"/>
  <c r="BN14" i="15"/>
  <c r="BN15" i="15"/>
  <c r="BN359" i="67" s="1"/>
  <c r="BN24" i="15"/>
  <c r="BL32" i="21"/>
  <c r="BR73" i="15" s="1"/>
  <c r="BL29" i="21"/>
  <c r="BR70" i="15" s="1"/>
  <c r="BL17" i="21"/>
  <c r="BR50" i="15" s="1"/>
  <c r="M19" i="74"/>
  <c r="AH22" i="87"/>
  <c r="N19" i="74"/>
  <c r="Q20" i="61"/>
  <c r="V303" i="67"/>
  <c r="V68" i="6"/>
  <c r="V62" i="6"/>
  <c r="BH440" i="67"/>
  <c r="BT435" i="67"/>
  <c r="Q135" i="6"/>
  <c r="Q318" i="67"/>
  <c r="BP14" i="15"/>
  <c r="BP15" i="15"/>
  <c r="BP359" i="67" s="1"/>
  <c r="BP24" i="15"/>
  <c r="BC440" i="67"/>
  <c r="BM44" i="21"/>
  <c r="P22" i="61"/>
  <c r="U60" i="6"/>
  <c r="S246" i="18"/>
  <c r="Y17" i="60"/>
  <c r="K10" i="60" s="1"/>
  <c r="K48" i="60" s="1"/>
  <c r="AN12" i="60"/>
  <c r="BJ377" i="67" l="1"/>
  <c r="BK378" i="67" s="1"/>
  <c r="BJ8" i="15"/>
  <c r="BK8" i="15"/>
  <c r="BL8" i="15"/>
  <c r="BI377" i="67"/>
  <c r="BJ378" i="67" s="1"/>
  <c r="BH356" i="67"/>
  <c r="BH358" i="67" s="1"/>
  <c r="BH377" i="67"/>
  <c r="BH378" i="67" s="1"/>
  <c r="BN9" i="15"/>
  <c r="BM7" i="15"/>
  <c r="BL356" i="67"/>
  <c r="BL358" i="67" s="1"/>
  <c r="BL377" i="67"/>
  <c r="BL378" i="67" s="1"/>
  <c r="BL440" i="67"/>
  <c r="BK44" i="21"/>
  <c r="BJ440" i="67"/>
  <c r="BR439" i="67"/>
  <c r="BK440" i="67"/>
  <c r="BT439" i="67"/>
  <c r="BP75" i="15"/>
  <c r="CU179" i="18"/>
  <c r="CU189" i="18" s="1"/>
  <c r="BR75" i="15"/>
  <c r="BO75" i="15"/>
  <c r="AZ98" i="15"/>
  <c r="AZ373" i="67"/>
  <c r="Q21" i="61"/>
  <c r="BO25" i="15"/>
  <c r="BO362" i="67" s="1"/>
  <c r="BO27" i="15"/>
  <c r="BO28" i="15" s="1"/>
  <c r="BO360" i="67" s="1"/>
  <c r="BO361" i="67"/>
  <c r="BM10" i="21"/>
  <c r="BS48" i="15"/>
  <c r="BT27" i="15"/>
  <c r="BT28" i="15" s="1"/>
  <c r="BT360" i="67" s="1"/>
  <c r="BT25" i="15"/>
  <c r="BT362" i="67" s="1"/>
  <c r="BT361" i="67"/>
  <c r="BQ361" i="67"/>
  <c r="BQ27" i="15"/>
  <c r="BQ28" i="15" s="1"/>
  <c r="BQ360" i="67" s="1"/>
  <c r="BQ25" i="15"/>
  <c r="BQ362" i="67" s="1"/>
  <c r="AU90" i="15"/>
  <c r="AU375" i="67"/>
  <c r="BO29" i="21"/>
  <c r="BU70" i="15" s="1"/>
  <c r="BO17" i="21"/>
  <c r="BU50" i="15" s="1"/>
  <c r="V99" i="6" s="1"/>
  <c r="BO32" i="21"/>
  <c r="BU73" i="15" s="1"/>
  <c r="BI10" i="21"/>
  <c r="AY373" i="67"/>
  <c r="AY98" i="15"/>
  <c r="BR27" i="15"/>
  <c r="BR28" i="15" s="1"/>
  <c r="BR360" i="67" s="1"/>
  <c r="BR25" i="15"/>
  <c r="BR362" i="67" s="1"/>
  <c r="BR361" i="67"/>
  <c r="BQ48" i="15"/>
  <c r="BK10" i="21"/>
  <c r="BP48" i="15"/>
  <c r="BJ10" i="21"/>
  <c r="N16" i="74"/>
  <c r="N18" i="74" s="1"/>
  <c r="V70" i="6"/>
  <c r="V304" i="67"/>
  <c r="V312" i="67" s="1"/>
  <c r="P21" i="61"/>
  <c r="BO46" i="21"/>
  <c r="BO44" i="21"/>
  <c r="BT48" i="15"/>
  <c r="BN10" i="21"/>
  <c r="BS361" i="67"/>
  <c r="BS25" i="15"/>
  <c r="BS362" i="67" s="1"/>
  <c r="BS27" i="15"/>
  <c r="BS28" i="15" s="1"/>
  <c r="BS360" i="67" s="1"/>
  <c r="BU435" i="67"/>
  <c r="BU439" i="67"/>
  <c r="BS75" i="15"/>
  <c r="BP25" i="15"/>
  <c r="BP362" i="67" s="1"/>
  <c r="BP27" i="15"/>
  <c r="BP28" i="15" s="1"/>
  <c r="BP360" i="67" s="1"/>
  <c r="BP361" i="67"/>
  <c r="L30" i="61"/>
  <c r="Q313" i="67"/>
  <c r="AH41" i="87"/>
  <c r="BU48" i="15"/>
  <c r="U304" i="67"/>
  <c r="U312" i="67" s="1"/>
  <c r="V69" i="6"/>
  <c r="U70" i="6"/>
  <c r="M16" i="74"/>
  <c r="M18" i="74" s="1"/>
  <c r="AN14" i="60"/>
  <c r="B12" i="60" s="1"/>
  <c r="B50" i="60" s="1"/>
  <c r="U69" i="6"/>
  <c r="R318" i="67"/>
  <c r="R135" i="6"/>
  <c r="AU93" i="15"/>
  <c r="BT75" i="15"/>
  <c r="BU14" i="15"/>
  <c r="BU15" i="15"/>
  <c r="BU359" i="67" s="1"/>
  <c r="BU24" i="15"/>
  <c r="BL10" i="21"/>
  <c r="BR48" i="15"/>
  <c r="BH10" i="21"/>
  <c r="BN48" i="15"/>
  <c r="BN75" i="15"/>
  <c r="AN13" i="60"/>
  <c r="Y18" i="60"/>
  <c r="K11" i="60" s="1"/>
  <c r="K49" i="60" s="1"/>
  <c r="BN361" i="67"/>
  <c r="BN27" i="15"/>
  <c r="BN28" i="15" s="1"/>
  <c r="BN360" i="67" s="1"/>
  <c r="BN25" i="15"/>
  <c r="BN362" i="67" s="1"/>
  <c r="U108" i="6"/>
  <c r="BQ75" i="15"/>
  <c r="T134" i="6"/>
  <c r="BG11" i="21"/>
  <c r="BG12" i="21"/>
  <c r="AU103" i="15"/>
  <c r="BA60" i="15"/>
  <c r="AZ63" i="15"/>
  <c r="AU45" i="21"/>
  <c r="S318" i="67"/>
  <c r="S135" i="6"/>
  <c r="BI378" i="67" l="1"/>
  <c r="BM356" i="67"/>
  <c r="BM358" i="67" s="1"/>
  <c r="BM8" i="15"/>
  <c r="BM377" i="67"/>
  <c r="BM378" i="67" s="1"/>
  <c r="BN7" i="15"/>
  <c r="BO9" i="15"/>
  <c r="BN440" i="67"/>
  <c r="BO10" i="21"/>
  <c r="V134" i="6" s="1"/>
  <c r="BA63" i="15"/>
  <c r="BB60" i="15"/>
  <c r="BB100" i="15" s="1"/>
  <c r="Q95" i="6"/>
  <c r="R93" i="21"/>
  <c r="AV45" i="21"/>
  <c r="BN11" i="21"/>
  <c r="BN12" i="21"/>
  <c r="BI11" i="21"/>
  <c r="BI12" i="21"/>
  <c r="BQ440" i="67"/>
  <c r="BO440" i="67"/>
  <c r="AO50" i="21"/>
  <c r="AU366" i="67"/>
  <c r="AU368" i="67"/>
  <c r="AU110" i="15"/>
  <c r="M30" i="61"/>
  <c r="R313" i="67"/>
  <c r="BJ11" i="21"/>
  <c r="BJ12" i="21"/>
  <c r="S313" i="67"/>
  <c r="N30" i="61"/>
  <c r="BA100" i="15"/>
  <c r="BL11" i="21"/>
  <c r="BL12" i="21"/>
  <c r="BP440" i="67"/>
  <c r="BU75" i="15"/>
  <c r="V108" i="6"/>
  <c r="T318" i="67"/>
  <c r="T135" i="6"/>
  <c r="BH11" i="21"/>
  <c r="BH12" i="21"/>
  <c r="BU361" i="67"/>
  <c r="BU440" i="67" s="1"/>
  <c r="BU27" i="15"/>
  <c r="BU28" i="15" s="1"/>
  <c r="BU360" i="67" s="1"/>
  <c r="BU25" i="15"/>
  <c r="BU362" i="67" s="1"/>
  <c r="U134" i="6"/>
  <c r="BK11" i="21"/>
  <c r="BK12" i="21"/>
  <c r="BM11" i="21"/>
  <c r="BM12" i="21"/>
  <c r="BN8" i="15" l="1"/>
  <c r="BN377" i="67"/>
  <c r="BN378" i="67" s="1"/>
  <c r="BN356" i="67"/>
  <c r="BN358" i="67" s="1"/>
  <c r="BP9" i="15"/>
  <c r="BO7" i="15"/>
  <c r="BO12" i="21"/>
  <c r="BO11" i="21"/>
  <c r="BT440" i="67"/>
  <c r="BB98" i="15"/>
  <c r="BB373" i="67"/>
  <c r="U135" i="6"/>
  <c r="U318" i="67"/>
  <c r="BS440" i="67"/>
  <c r="BR440" i="67"/>
  <c r="BC60" i="15"/>
  <c r="BB63" i="15"/>
  <c r="AW45" i="21"/>
  <c r="V318" i="67"/>
  <c r="V135" i="6"/>
  <c r="O30" i="61"/>
  <c r="T313" i="67"/>
  <c r="BA373" i="67"/>
  <c r="BA98" i="15"/>
  <c r="Q118" i="6"/>
  <c r="AU112" i="15"/>
  <c r="Q97" i="6"/>
  <c r="P199" i="18"/>
  <c r="BQ9" i="15" l="1"/>
  <c r="BP7" i="15"/>
  <c r="BO8" i="15"/>
  <c r="BO377" i="67"/>
  <c r="BO378" i="67" s="1"/>
  <c r="BO356" i="67"/>
  <c r="BO358" i="67" s="1"/>
  <c r="AV111" i="15"/>
  <c r="AU49" i="15"/>
  <c r="G16" i="60"/>
  <c r="G54" i="60" s="1"/>
  <c r="Q133" i="6"/>
  <c r="I21" i="74"/>
  <c r="V313" i="67"/>
  <c r="Q30" i="61"/>
  <c r="BC100" i="15"/>
  <c r="BC63" i="15"/>
  <c r="BD60" i="15"/>
  <c r="BD100" i="15" s="1"/>
  <c r="AX45" i="21"/>
  <c r="U313" i="67"/>
  <c r="P30" i="61"/>
  <c r="BR9" i="15" l="1"/>
  <c r="BQ7" i="15"/>
  <c r="BP8" i="15"/>
  <c r="BP377" i="67"/>
  <c r="BP378" i="67" s="1"/>
  <c r="BP356" i="67"/>
  <c r="BP358" i="67" s="1"/>
  <c r="BD63" i="15"/>
  <c r="BE60" i="15"/>
  <c r="BE100" i="15" s="1"/>
  <c r="AY45" i="21"/>
  <c r="BC98" i="15"/>
  <c r="BC373" i="67"/>
  <c r="L31" i="61"/>
  <c r="U21" i="60"/>
  <c r="AU371" i="67"/>
  <c r="AU372" i="67" s="1"/>
  <c r="AO69" i="21"/>
  <c r="AO49" i="21"/>
  <c r="AU54" i="15"/>
  <c r="AO77" i="21"/>
  <c r="AP72" i="21"/>
  <c r="BR207" i="18" s="1"/>
  <c r="AO78" i="21"/>
  <c r="AU91" i="15"/>
  <c r="AU122" i="15"/>
  <c r="BD98" i="15"/>
  <c r="BD373" i="67"/>
  <c r="BQ8" i="15" l="1"/>
  <c r="BQ377" i="67"/>
  <c r="BQ378" i="67" s="1"/>
  <c r="BQ356" i="67"/>
  <c r="BQ358" i="67" s="1"/>
  <c r="BS9" i="15"/>
  <c r="BR7" i="15"/>
  <c r="R118" i="6"/>
  <c r="H16" i="60" s="1"/>
  <c r="H54" i="60" s="1"/>
  <c r="AV29" i="15"/>
  <c r="BE98" i="15"/>
  <c r="BE373" i="67"/>
  <c r="AU365" i="67"/>
  <c r="AU64" i="15"/>
  <c r="AU120" i="15" s="1"/>
  <c r="R95" i="6"/>
  <c r="BF60" i="15"/>
  <c r="BF100" i="15" s="1"/>
  <c r="BE63" i="15"/>
  <c r="S93" i="21"/>
  <c r="AZ45" i="21"/>
  <c r="J21" i="74" l="1"/>
  <c r="R133" i="6"/>
  <c r="V21" i="60" s="1"/>
  <c r="BT9" i="15"/>
  <c r="BS7" i="15"/>
  <c r="BR356" i="67"/>
  <c r="BR358" i="67" s="1"/>
  <c r="BR377" i="67"/>
  <c r="BR378" i="67" s="1"/>
  <c r="BR8" i="15"/>
  <c r="BF373" i="67"/>
  <c r="BF98" i="15"/>
  <c r="AU367" i="67"/>
  <c r="BF63" i="15"/>
  <c r="BG60" i="15"/>
  <c r="BA45" i="21"/>
  <c r="R97" i="6"/>
  <c r="Q199" i="18"/>
  <c r="AV32" i="15"/>
  <c r="M31" i="61" l="1"/>
  <c r="BS8" i="15"/>
  <c r="BS356" i="67"/>
  <c r="BS358" i="67" s="1"/>
  <c r="BS377" i="67"/>
  <c r="BS378" i="67" s="1"/>
  <c r="BT7" i="15"/>
  <c r="BU9" i="15"/>
  <c r="BU7" i="15" s="1"/>
  <c r="AV33" i="15"/>
  <c r="BG63" i="15"/>
  <c r="BH60" i="15"/>
  <c r="BB45" i="21"/>
  <c r="BG100" i="15"/>
  <c r="BT356" i="67" l="1"/>
  <c r="BT358" i="67" s="1"/>
  <c r="BT377" i="67"/>
  <c r="BT378" i="67" s="1"/>
  <c r="BT8" i="15"/>
  <c r="BU8" i="15"/>
  <c r="BU356" i="67"/>
  <c r="BU358" i="67" s="1"/>
  <c r="BU377" i="67"/>
  <c r="BU378" i="67" s="1"/>
  <c r="BH63" i="15"/>
  <c r="BI60" i="15"/>
  <c r="BC45" i="21"/>
  <c r="BG373" i="67"/>
  <c r="BG98" i="15"/>
  <c r="AV53" i="15"/>
  <c r="BH100" i="15"/>
  <c r="AV35" i="15"/>
  <c r="AV37" i="15" s="1"/>
  <c r="AV119" i="15" s="1"/>
  <c r="BH98" i="15" l="1"/>
  <c r="BH373" i="67"/>
  <c r="AV96" i="15"/>
  <c r="BI100" i="15"/>
  <c r="BI63" i="15"/>
  <c r="BJ60" i="15"/>
  <c r="S95" i="6"/>
  <c r="T93" i="21"/>
  <c r="BD45" i="21"/>
  <c r="AV363" i="67"/>
  <c r="AV94" i="15"/>
  <c r="AV39" i="15"/>
  <c r="AV88" i="15" s="1"/>
  <c r="AV374" i="67"/>
  <c r="AV43" i="15"/>
  <c r="AV364" i="67" s="1"/>
  <c r="AV89" i="15" l="1"/>
  <c r="AV109" i="15"/>
  <c r="BI98" i="15"/>
  <c r="BI373" i="67"/>
  <c r="AV93" i="15"/>
  <c r="S97" i="6"/>
  <c r="R199" i="18"/>
  <c r="S118" i="6"/>
  <c r="BJ100" i="15"/>
  <c r="BK60" i="15"/>
  <c r="BK100" i="15" s="1"/>
  <c r="BJ63" i="15"/>
  <c r="BE45" i="21"/>
  <c r="BL60" i="15" l="1"/>
  <c r="BL100" i="15" s="1"/>
  <c r="BK63" i="15"/>
  <c r="BF45" i="21"/>
  <c r="BK373" i="67"/>
  <c r="BK98" i="15"/>
  <c r="AV366" i="67"/>
  <c r="AV368" i="67"/>
  <c r="AP50" i="21"/>
  <c r="AV103" i="15"/>
  <c r="BJ98" i="15"/>
  <c r="BJ373" i="67"/>
  <c r="AV90" i="15"/>
  <c r="AV375" i="67"/>
  <c r="I16" i="60"/>
  <c r="I54" i="60" s="1"/>
  <c r="K21" i="74"/>
  <c r="S133" i="6"/>
  <c r="BL373" i="67" l="1"/>
  <c r="BL98" i="15"/>
  <c r="N31" i="61"/>
  <c r="W21" i="60"/>
  <c r="AV110" i="15"/>
  <c r="BM60" i="15"/>
  <c r="BM100" i="15" s="1"/>
  <c r="BL63" i="15"/>
  <c r="BG45" i="21"/>
  <c r="BM373" i="67" l="1"/>
  <c r="BM98" i="15"/>
  <c r="AV112" i="15"/>
  <c r="T95" i="6"/>
  <c r="BM63" i="15"/>
  <c r="BN60" i="15"/>
  <c r="BN100" i="15" s="1"/>
  <c r="U93" i="21"/>
  <c r="BH45" i="21"/>
  <c r="T118" i="6"/>
  <c r="BN98" i="15" l="1"/>
  <c r="BN373" i="67"/>
  <c r="J16" i="60"/>
  <c r="J54" i="60" s="1"/>
  <c r="L21" i="74"/>
  <c r="T133" i="6"/>
  <c r="BO60" i="15"/>
  <c r="BO100" i="15" s="1"/>
  <c r="BN63" i="15"/>
  <c r="BI45" i="21"/>
  <c r="AV49" i="15"/>
  <c r="AW111" i="15"/>
  <c r="T97" i="6"/>
  <c r="S199" i="18"/>
  <c r="O31" i="61" l="1"/>
  <c r="X21" i="60"/>
  <c r="BO373" i="67"/>
  <c r="BO98" i="15"/>
  <c r="AP49" i="21"/>
  <c r="AV91" i="15"/>
  <c r="AV54" i="15"/>
  <c r="AQ72" i="21"/>
  <c r="BS207" i="18" s="1"/>
  <c r="AV371" i="67"/>
  <c r="AP77" i="21"/>
  <c r="AP78" i="21"/>
  <c r="AP69" i="21"/>
  <c r="AV122" i="15"/>
  <c r="BP60" i="15"/>
  <c r="BP100" i="15" s="1"/>
  <c r="BO63" i="15"/>
  <c r="BJ45" i="21"/>
  <c r="BP373" i="67" l="1"/>
  <c r="BP98" i="15"/>
  <c r="AV372" i="67"/>
  <c r="BP63" i="15"/>
  <c r="BQ60" i="15"/>
  <c r="BQ100" i="15" s="1"/>
  <c r="U118" i="6" s="1"/>
  <c r="BK45" i="21"/>
  <c r="AW29" i="15"/>
  <c r="AV365" i="67"/>
  <c r="AV64" i="15"/>
  <c r="AV120" i="15" s="1"/>
  <c r="AV367" i="67" l="1"/>
  <c r="BQ98" i="15"/>
  <c r="BQ373" i="67"/>
  <c r="BR60" i="15"/>
  <c r="BR100" i="15" s="1"/>
  <c r="U95" i="6"/>
  <c r="BQ63" i="15"/>
  <c r="V93" i="21"/>
  <c r="BL45" i="21"/>
  <c r="K16" i="60"/>
  <c r="K54" i="60" s="1"/>
  <c r="M21" i="74"/>
  <c r="U133" i="6"/>
  <c r="AW32" i="15"/>
  <c r="P72" i="6"/>
  <c r="P71" i="6" s="1"/>
  <c r="AW33" i="15" l="1"/>
  <c r="AW35" i="15" s="1"/>
  <c r="AW37" i="15" s="1"/>
  <c r="BR98" i="15"/>
  <c r="BR373" i="67"/>
  <c r="P31" i="61"/>
  <c r="Y21" i="60"/>
  <c r="P319" i="67"/>
  <c r="P75" i="6"/>
  <c r="U97" i="6"/>
  <c r="T199" i="18"/>
  <c r="BR63" i="15"/>
  <c r="BS60" i="15"/>
  <c r="BS100" i="15" s="1"/>
  <c r="BM45" i="21"/>
  <c r="BS98" i="15" l="1"/>
  <c r="BS373" i="67"/>
  <c r="AW374" i="67"/>
  <c r="AW363" i="67"/>
  <c r="AW94" i="15"/>
  <c r="AW43" i="15"/>
  <c r="AW364" i="67" s="1"/>
  <c r="P172" i="21"/>
  <c r="AW38" i="15"/>
  <c r="P171" i="21" s="1"/>
  <c r="BS63" i="15"/>
  <c r="BT60" i="15"/>
  <c r="BT100" i="15" s="1"/>
  <c r="BN45" i="21"/>
  <c r="P76" i="6"/>
  <c r="AW53" i="15"/>
  <c r="AW119" i="15"/>
  <c r="P173" i="21" l="1"/>
  <c r="BT373" i="67"/>
  <c r="BT98" i="15"/>
  <c r="P102" i="6"/>
  <c r="AW96" i="15"/>
  <c r="AW93" i="15" s="1"/>
  <c r="BT63" i="15"/>
  <c r="BU60" i="15"/>
  <c r="BO45" i="21"/>
  <c r="P78" i="6"/>
  <c r="AW39" i="15"/>
  <c r="AW88" i="15" s="1"/>
  <c r="AW368" i="67" l="1"/>
  <c r="AW366" i="67"/>
  <c r="AW109" i="15"/>
  <c r="AQ50" i="21" s="1"/>
  <c r="AW89" i="15"/>
  <c r="BU63" i="15"/>
  <c r="V95" i="6"/>
  <c r="P116" i="6"/>
  <c r="BU100" i="15"/>
  <c r="P140" i="68"/>
  <c r="V97" i="6" l="1"/>
  <c r="P79" i="6"/>
  <c r="P109" i="6"/>
  <c r="AW90" i="15"/>
  <c r="AW375" i="67"/>
  <c r="AW441" i="67"/>
  <c r="AE23" i="87" s="1"/>
  <c r="AE42" i="87" s="1"/>
  <c r="AV441" i="67"/>
  <c r="AB23" i="87" s="1"/>
  <c r="AB42" i="87" s="1"/>
  <c r="AT441" i="67"/>
  <c r="AU441" i="67"/>
  <c r="Y23" i="87" s="1"/>
  <c r="Y42" i="87" s="1"/>
  <c r="H20" i="74"/>
  <c r="H23" i="74" s="1"/>
  <c r="P306" i="67"/>
  <c r="P132" i="6"/>
  <c r="AW103" i="15"/>
  <c r="P119" i="6"/>
  <c r="BU98" i="15"/>
  <c r="BU373" i="67"/>
  <c r="V118" i="6"/>
  <c r="L16" i="60" l="1"/>
  <c r="L54" i="60" s="1"/>
  <c r="N21" i="74"/>
  <c r="V133" i="6"/>
  <c r="H26" i="74"/>
  <c r="H24" i="74"/>
  <c r="V23" i="87"/>
  <c r="AW442" i="67"/>
  <c r="AW110" i="15"/>
  <c r="P144" i="6"/>
  <c r="P131" i="6"/>
  <c r="P111" i="6"/>
  <c r="AH17" i="60"/>
  <c r="AH55" i="60" s="1"/>
  <c r="P178" i="6"/>
  <c r="P147" i="6"/>
  <c r="K32" i="61"/>
  <c r="P80" i="6"/>
  <c r="P164" i="6" s="1"/>
  <c r="K44" i="61" l="1"/>
  <c r="V42" i="87"/>
  <c r="AE38" i="87"/>
  <c r="AW112" i="15"/>
  <c r="Z21" i="60"/>
  <c r="Q31" i="61"/>
  <c r="P86" i="6"/>
  <c r="P114" i="6"/>
  <c r="P88" i="6"/>
  <c r="P89" i="6" s="1"/>
  <c r="P130" i="6"/>
  <c r="P81" i="6"/>
  <c r="P82" i="6" s="1"/>
  <c r="P175" i="6"/>
  <c r="T20" i="60"/>
  <c r="F13" i="60" s="1"/>
  <c r="F51" i="60" s="1"/>
  <c r="P143" i="6"/>
  <c r="AI15" i="60"/>
  <c r="AI53" i="60" s="1"/>
  <c r="P87" i="6"/>
  <c r="K23" i="61"/>
  <c r="K34" i="61"/>
  <c r="P315" i="67"/>
  <c r="K43" i="61"/>
  <c r="AI16" i="60" l="1"/>
  <c r="K25" i="61"/>
  <c r="K26" i="61" s="1"/>
  <c r="P308" i="67"/>
  <c r="P117" i="6"/>
  <c r="H5" i="12"/>
  <c r="K6" i="74" s="1"/>
  <c r="K42" i="61"/>
  <c r="K33" i="61"/>
  <c r="P314" i="67"/>
  <c r="P148" i="6"/>
  <c r="AW49" i="15"/>
  <c r="AX111" i="15"/>
  <c r="AR72" i="21" l="1"/>
  <c r="BT207" i="18" s="1"/>
  <c r="AQ49" i="21"/>
  <c r="AW54" i="15"/>
  <c r="AW91" i="15"/>
  <c r="P98" i="6"/>
  <c r="AQ77" i="21"/>
  <c r="AW371" i="67"/>
  <c r="AQ78" i="21"/>
  <c r="AQ69" i="21"/>
  <c r="P136" i="6"/>
  <c r="AW122" i="15"/>
  <c r="P123" i="6"/>
  <c r="F15" i="60"/>
  <c r="P307" i="67"/>
  <c r="P305" i="67"/>
  <c r="AI54" i="60"/>
  <c r="AT38" i="60"/>
  <c r="AT40" i="60" s="1"/>
  <c r="AW372" i="67" l="1"/>
  <c r="AW365" i="67"/>
  <c r="AW64" i="15"/>
  <c r="AW120" i="15" s="1"/>
  <c r="P165" i="6"/>
  <c r="P126" i="6"/>
  <c r="P103" i="6"/>
  <c r="AX29" i="15"/>
  <c r="P128" i="6" l="1"/>
  <c r="AH18" i="60"/>
  <c r="AH56" i="60" s="1"/>
  <c r="P141" i="6"/>
  <c r="F29" i="12"/>
  <c r="P166" i="6"/>
  <c r="K28" i="61"/>
  <c r="P127" i="6"/>
  <c r="T22" i="60"/>
  <c r="F17" i="60" s="1"/>
  <c r="F55" i="60" s="1"/>
  <c r="AX32" i="15"/>
  <c r="AX33" i="15" s="1"/>
  <c r="AW367" i="67"/>
  <c r="P163" i="6"/>
  <c r="P129" i="6"/>
  <c r="F40" i="12" l="1"/>
  <c r="F33" i="12"/>
  <c r="F35" i="12" s="1"/>
  <c r="AX35" i="15"/>
  <c r="AX37" i="15" s="1"/>
  <c r="AX53" i="15"/>
  <c r="K40" i="61"/>
  <c r="P145" i="6"/>
  <c r="P5" i="12" s="1"/>
  <c r="P142" i="6"/>
  <c r="T23" i="60"/>
  <c r="F18" i="60" s="1"/>
  <c r="F56" i="60" s="1"/>
  <c r="AH19" i="60"/>
  <c r="AH57" i="60" s="1"/>
  <c r="K29" i="61"/>
  <c r="H50" i="74"/>
  <c r="D5" i="12" l="1"/>
  <c r="H6" i="74" s="1"/>
  <c r="K41" i="61"/>
  <c r="AX43" i="15"/>
  <c r="AX364" i="67" s="1"/>
  <c r="AX94" i="15"/>
  <c r="AX363" i="67"/>
  <c r="AX39" i="15"/>
  <c r="AX88" i="15" s="1"/>
  <c r="AX374" i="67"/>
  <c r="L5" i="12"/>
  <c r="N6" i="74" s="1"/>
  <c r="P146" i="6"/>
  <c r="AX96" i="15"/>
  <c r="AX119" i="15"/>
  <c r="K39" i="61" l="1"/>
  <c r="AX93" i="15"/>
  <c r="AX89" i="15"/>
  <c r="AX109" i="15"/>
  <c r="AX103" i="15" l="1"/>
  <c r="AX366" i="67"/>
  <c r="AX368" i="67"/>
  <c r="AR50" i="21"/>
  <c r="AX90" i="15"/>
  <c r="AX375" i="67"/>
  <c r="AX110" i="15" l="1"/>
  <c r="AX112" i="15" l="1"/>
  <c r="AX49" i="15" l="1"/>
  <c r="AY111" i="15"/>
  <c r="AX371" i="67" l="1"/>
  <c r="AX91" i="15"/>
  <c r="AR49" i="21"/>
  <c r="AR78" i="21"/>
  <c r="AS72" i="21"/>
  <c r="BU207" i="18" s="1"/>
  <c r="AR77" i="21"/>
  <c r="AX54" i="15"/>
  <c r="AR69" i="21"/>
  <c r="AX122" i="15"/>
  <c r="AY29" i="15" l="1"/>
  <c r="AX365" i="67"/>
  <c r="AX64" i="15"/>
  <c r="AX120" i="15" s="1"/>
  <c r="AX372" i="67"/>
  <c r="AX367" i="67" l="1"/>
  <c r="AY32" i="15"/>
  <c r="AY33" i="15" s="1"/>
  <c r="AY35" i="15" l="1"/>
  <c r="AY37" i="15" s="1"/>
  <c r="AY53" i="15"/>
  <c r="AY96" i="15" l="1"/>
  <c r="AY363" i="67"/>
  <c r="AY94" i="15"/>
  <c r="AY39" i="15"/>
  <c r="AY88" i="15" s="1"/>
  <c r="AY43" i="15"/>
  <c r="AY364" i="67" s="1"/>
  <c r="AY374" i="67"/>
  <c r="AY119" i="15"/>
  <c r="AY109" i="15" l="1"/>
  <c r="AY89" i="15"/>
  <c r="AY93" i="15"/>
  <c r="AY90" i="15" l="1"/>
  <c r="AY375" i="67"/>
  <c r="AY103" i="15"/>
  <c r="AY368" i="67"/>
  <c r="AS50" i="21"/>
  <c r="AY366" i="67"/>
  <c r="AY110" i="15" l="1"/>
  <c r="AY112" i="15" l="1"/>
  <c r="AY49" i="15" l="1"/>
  <c r="AZ111" i="15"/>
  <c r="AS77" i="21" l="1"/>
  <c r="AY91" i="15"/>
  <c r="AS78" i="21"/>
  <c r="AT72" i="21"/>
  <c r="BV207" i="18" s="1"/>
  <c r="AY54" i="15"/>
  <c r="AY371" i="67"/>
  <c r="AS49" i="21"/>
  <c r="AS69" i="21"/>
  <c r="AY122" i="15"/>
  <c r="AY372" i="67" l="1"/>
  <c r="AZ29" i="15"/>
  <c r="AY365" i="67"/>
  <c r="AY64" i="15"/>
  <c r="AY120" i="15" s="1"/>
  <c r="AZ32" i="15" l="1"/>
  <c r="AY367" i="67"/>
  <c r="AZ33" i="15" l="1"/>
  <c r="AZ53" i="15" l="1"/>
  <c r="AZ35" i="15"/>
  <c r="AZ37" i="15" s="1"/>
  <c r="AZ43" i="15" l="1"/>
  <c r="AZ364" i="67" s="1"/>
  <c r="AZ374" i="67"/>
  <c r="AZ94" i="15"/>
  <c r="AZ39" i="15"/>
  <c r="AZ88" i="15" s="1"/>
  <c r="AZ363" i="67"/>
  <c r="AZ119" i="15"/>
  <c r="AZ96" i="15"/>
  <c r="AZ93" i="15" l="1"/>
  <c r="AZ89" i="15"/>
  <c r="AZ109" i="15"/>
  <c r="AZ103" i="15" l="1"/>
  <c r="AZ90" i="15"/>
  <c r="AZ375" i="67"/>
  <c r="AT50" i="21"/>
  <c r="AZ366" i="67"/>
  <c r="AZ368" i="67"/>
  <c r="AZ110" i="15" l="1"/>
  <c r="AZ112" i="15" l="1"/>
  <c r="AZ49" i="15" l="1"/>
  <c r="BA111" i="15"/>
  <c r="AZ371" i="67" l="1"/>
  <c r="AZ54" i="15"/>
  <c r="AT49" i="21"/>
  <c r="AT78" i="21"/>
  <c r="AU72" i="21"/>
  <c r="BW207" i="18" s="1"/>
  <c r="AZ91" i="15"/>
  <c r="AT77" i="21"/>
  <c r="AT69" i="21"/>
  <c r="AZ122" i="15"/>
  <c r="BA29" i="15" l="1"/>
  <c r="AZ365" i="67"/>
  <c r="AZ64" i="15"/>
  <c r="AZ120" i="15" s="1"/>
  <c r="AZ372" i="67"/>
  <c r="AZ367" i="67" l="1"/>
  <c r="BA32" i="15"/>
  <c r="Q72" i="6"/>
  <c r="Q71" i="6" s="1"/>
  <c r="Q319" i="67" l="1"/>
  <c r="Q75" i="6"/>
  <c r="BA33" i="15"/>
  <c r="Q76" i="6" l="1"/>
  <c r="BA53" i="15"/>
  <c r="BA35" i="15"/>
  <c r="BA37" i="15" s="1"/>
  <c r="Q102" i="6" l="1"/>
  <c r="BA96" i="15"/>
  <c r="BA374" i="67"/>
  <c r="BA94" i="15"/>
  <c r="BA363" i="67"/>
  <c r="BA43" i="15"/>
  <c r="BA364" i="67" s="1"/>
  <c r="BA38" i="15"/>
  <c r="Q171" i="21" s="1"/>
  <c r="Q172" i="21"/>
  <c r="Q78" i="6"/>
  <c r="BA119" i="15"/>
  <c r="BA39" i="15" l="1"/>
  <c r="BA88" i="15" s="1"/>
  <c r="BA109" i="15" s="1"/>
  <c r="Q116" i="6"/>
  <c r="Q140" i="68"/>
  <c r="BA93" i="15"/>
  <c r="Q173" i="21"/>
  <c r="BA89" i="15" l="1"/>
  <c r="Q109" i="6" s="1"/>
  <c r="BA366" i="67"/>
  <c r="AU50" i="21"/>
  <c r="BA368" i="67"/>
  <c r="Q306" i="67"/>
  <c r="I20" i="74"/>
  <c r="I23" i="74" s="1"/>
  <c r="Q132" i="6"/>
  <c r="BA103" i="15"/>
  <c r="Q119" i="6"/>
  <c r="Q79" i="6"/>
  <c r="BA90" i="15" l="1"/>
  <c r="BA375" i="67"/>
  <c r="BA110" i="15"/>
  <c r="BA112" i="15" s="1"/>
  <c r="BA441" i="67"/>
  <c r="AQ23" i="87" s="1"/>
  <c r="AQ42" i="87" s="1"/>
  <c r="AZ441" i="67"/>
  <c r="AN23" i="87" s="1"/>
  <c r="AN42" i="87" s="1"/>
  <c r="AY441" i="67"/>
  <c r="AK23" i="87" s="1"/>
  <c r="AK42" i="87" s="1"/>
  <c r="AX441" i="67"/>
  <c r="I26" i="74"/>
  <c r="I24" i="74"/>
  <c r="Q144" i="6"/>
  <c r="Q131" i="6"/>
  <c r="Q111" i="6"/>
  <c r="Q80" i="6"/>
  <c r="Q164" i="6" s="1"/>
  <c r="L32" i="61"/>
  <c r="Q147" i="6"/>
  <c r="Q178" i="6"/>
  <c r="AI17" i="60"/>
  <c r="AI55" i="60" s="1"/>
  <c r="AH23" i="87" l="1"/>
  <c r="BA442" i="67"/>
  <c r="BB111" i="15"/>
  <c r="BA49" i="15"/>
  <c r="L23" i="61"/>
  <c r="Q86" i="6"/>
  <c r="Q88" i="6"/>
  <c r="Q89" i="6" s="1"/>
  <c r="Q114" i="6"/>
  <c r="Q130" i="6"/>
  <c r="U20" i="60"/>
  <c r="G13" i="60" s="1"/>
  <c r="G51" i="60" s="1"/>
  <c r="Q175" i="6"/>
  <c r="Q81" i="6"/>
  <c r="Q82" i="6" s="1"/>
  <c r="AJ15" i="60"/>
  <c r="AJ53" i="60" s="1"/>
  <c r="Q87" i="6"/>
  <c r="Q143" i="6"/>
  <c r="L44" i="61"/>
  <c r="L43" i="61"/>
  <c r="L34" i="61"/>
  <c r="Q315" i="67"/>
  <c r="I5" i="12" l="1"/>
  <c r="L6" i="74" s="1"/>
  <c r="L42" i="61"/>
  <c r="Q117" i="6"/>
  <c r="AV72" i="21"/>
  <c r="BX207" i="18" s="1"/>
  <c r="AU77" i="21"/>
  <c r="BA91" i="15"/>
  <c r="BA54" i="15"/>
  <c r="BA371" i="67"/>
  <c r="AU49" i="21"/>
  <c r="AU78" i="21"/>
  <c r="Q98" i="6"/>
  <c r="AU69" i="21"/>
  <c r="BA122" i="15"/>
  <c r="Q136" i="6"/>
  <c r="L25" i="61"/>
  <c r="L26" i="61" s="1"/>
  <c r="Q308" i="67"/>
  <c r="AJ16" i="60"/>
  <c r="Q148" i="6"/>
  <c r="Q314" i="67"/>
  <c r="L33" i="61"/>
  <c r="AH42" i="87"/>
  <c r="AQ38" i="87"/>
  <c r="Q126" i="6" l="1"/>
  <c r="Q103" i="6"/>
  <c r="BA372" i="67"/>
  <c r="Q123" i="6"/>
  <c r="G15" i="60"/>
  <c r="Q305" i="67"/>
  <c r="Q307" i="67"/>
  <c r="BA365" i="67"/>
  <c r="BA64" i="15"/>
  <c r="BA120" i="15" s="1"/>
  <c r="BB29" i="15"/>
  <c r="AU38" i="60"/>
  <c r="AU40" i="60" s="1"/>
  <c r="AJ54" i="60"/>
  <c r="BB32" i="15" l="1"/>
  <c r="Q165" i="6"/>
  <c r="Q163" i="6"/>
  <c r="Q129" i="6"/>
  <c r="BA367" i="67"/>
  <c r="F15" i="12"/>
  <c r="U22" i="60"/>
  <c r="G17" i="60" s="1"/>
  <c r="G55" i="60" s="1"/>
  <c r="Q127" i="6"/>
  <c r="G29" i="12"/>
  <c r="L28" i="61"/>
  <c r="Q141" i="6"/>
  <c r="AI18" i="60"/>
  <c r="AI56" i="60" s="1"/>
  <c r="Q166" i="6"/>
  <c r="Q128" i="6"/>
  <c r="U23" i="60" l="1"/>
  <c r="G18" i="60" s="1"/>
  <c r="G56" i="60" s="1"/>
  <c r="AI19" i="60"/>
  <c r="AI57" i="60" s="1"/>
  <c r="I50" i="74"/>
  <c r="L29" i="61"/>
  <c r="L40" i="61"/>
  <c r="Q145" i="6"/>
  <c r="Q5" i="12" s="1"/>
  <c r="Q142" i="6"/>
  <c r="G33" i="12"/>
  <c r="G35" i="12" s="1"/>
  <c r="G40" i="12"/>
  <c r="F16" i="12"/>
  <c r="G15" i="12"/>
  <c r="BB33" i="15"/>
  <c r="BB35" i="15" s="1"/>
  <c r="BB37" i="15" s="1"/>
  <c r="BB94" i="15" l="1"/>
  <c r="BB363" i="67"/>
  <c r="BB39" i="15"/>
  <c r="BB88" i="15" s="1"/>
  <c r="BB374" i="67"/>
  <c r="BB43" i="15"/>
  <c r="BB364" i="67" s="1"/>
  <c r="F18" i="12"/>
  <c r="G16" i="12"/>
  <c r="E5" i="12"/>
  <c r="I6" i="74" s="1"/>
  <c r="L41" i="61"/>
  <c r="BB53" i="15"/>
  <c r="BB119" i="15"/>
  <c r="Q146" i="6"/>
  <c r="M5" i="12"/>
  <c r="O6" i="74" s="1"/>
  <c r="L39" i="61" l="1"/>
  <c r="I39" i="12"/>
  <c r="I43" i="12" s="1"/>
  <c r="R34" i="74"/>
  <c r="R150" i="6"/>
  <c r="R151" i="6" s="1"/>
  <c r="F39" i="12"/>
  <c r="F43" i="12" s="1"/>
  <c r="F44" i="12" s="1"/>
  <c r="F46" i="12" s="1"/>
  <c r="C39" i="12"/>
  <c r="C43" i="12" s="1"/>
  <c r="C44" i="12" s="1"/>
  <c r="C46" i="12" s="1"/>
  <c r="W150" i="6"/>
  <c r="U150" i="6"/>
  <c r="U151" i="6" s="1"/>
  <c r="L39" i="12"/>
  <c r="L43" i="12" s="1"/>
  <c r="Q150" i="6"/>
  <c r="G39" i="12"/>
  <c r="G43" i="12" s="1"/>
  <c r="G44" i="12" s="1"/>
  <c r="G46" i="12" s="1"/>
  <c r="T150" i="6"/>
  <c r="T151" i="6" s="1"/>
  <c r="S150" i="6"/>
  <c r="S151" i="6" s="1"/>
  <c r="M39" i="12"/>
  <c r="M43" i="12" s="1"/>
  <c r="J39" i="12"/>
  <c r="J43" i="12" s="1"/>
  <c r="Q10" i="68"/>
  <c r="E39" i="12"/>
  <c r="E43" i="12" s="1"/>
  <c r="E44" i="12" s="1"/>
  <c r="E46" i="12" s="1"/>
  <c r="V150" i="6"/>
  <c r="V151" i="6" s="1"/>
  <c r="K39" i="12"/>
  <c r="K43" i="12" s="1"/>
  <c r="P150" i="6"/>
  <c r="K19" i="12"/>
  <c r="D39" i="12"/>
  <c r="D43" i="12" s="1"/>
  <c r="D44" i="12" s="1"/>
  <c r="D46" i="12" s="1"/>
  <c r="B6" i="12"/>
  <c r="AT29" i="60"/>
  <c r="AT31" i="60" s="1"/>
  <c r="F20" i="12"/>
  <c r="H39" i="12"/>
  <c r="H43" i="12" s="1"/>
  <c r="BB109" i="15"/>
  <c r="BB89" i="15"/>
  <c r="BB96" i="15"/>
  <c r="BB93" i="15" s="1"/>
  <c r="AV50" i="21" l="1"/>
  <c r="BB368" i="67"/>
  <c r="BB366" i="67"/>
  <c r="BB90" i="15"/>
  <c r="BB375" i="67"/>
  <c r="P151" i="6"/>
  <c r="P159" i="6"/>
  <c r="L6" i="12"/>
  <c r="N7" i="74" s="1"/>
  <c r="P157" i="6"/>
  <c r="P156" i="6" s="1"/>
  <c r="BB103" i="15"/>
  <c r="BB110" i="15" s="1"/>
  <c r="N159" i="67"/>
  <c r="I47" i="61"/>
  <c r="Q157" i="6"/>
  <c r="Q156" i="6" s="1"/>
  <c r="M6" i="12"/>
  <c r="O7" i="74" s="1"/>
  <c r="F8" i="60"/>
  <c r="W151" i="6"/>
  <c r="K6" i="12"/>
  <c r="M7" i="74" s="1"/>
  <c r="Q151" i="6"/>
  <c r="Q159" i="6"/>
  <c r="M159" i="67"/>
  <c r="H47" i="61"/>
  <c r="BB112" i="15" l="1"/>
  <c r="P155" i="6"/>
  <c r="P152" i="6"/>
  <c r="P158" i="6"/>
  <c r="K52" i="61" s="1"/>
  <c r="P154" i="6"/>
  <c r="F46" i="60"/>
  <c r="F7" i="60"/>
  <c r="N158" i="67"/>
  <c r="N160" i="67"/>
  <c r="Q152" i="6"/>
  <c r="Q155" i="6"/>
  <c r="Q158" i="6"/>
  <c r="L52" i="61" s="1"/>
  <c r="Q154" i="6"/>
  <c r="M160" i="67"/>
  <c r="M158" i="67"/>
  <c r="J47" i="61"/>
  <c r="K47" i="61"/>
  <c r="L47" i="61"/>
  <c r="L48" i="61" l="1"/>
  <c r="Q6" i="12"/>
  <c r="Q153" i="6"/>
  <c r="P6" i="12"/>
  <c r="K48" i="61"/>
  <c r="P153" i="6"/>
  <c r="I6" i="12"/>
  <c r="L7" i="74" s="1"/>
  <c r="L50" i="61"/>
  <c r="K51" i="61"/>
  <c r="K50" i="61"/>
  <c r="H6" i="12"/>
  <c r="K7" i="74" s="1"/>
  <c r="L51" i="61"/>
  <c r="BC111" i="15"/>
  <c r="BB49" i="15"/>
  <c r="AV78" i="21" l="1"/>
  <c r="AV49" i="21"/>
  <c r="AV77" i="21"/>
  <c r="BB371" i="67"/>
  <c r="AW72" i="21"/>
  <c r="BY207" i="18" s="1"/>
  <c r="BB54" i="15"/>
  <c r="BB91" i="15"/>
  <c r="AV69" i="21"/>
  <c r="BB122" i="15"/>
  <c r="D6" i="12"/>
  <c r="H7" i="74" s="1"/>
  <c r="K49" i="61"/>
  <c r="L49" i="61"/>
  <c r="E6" i="12"/>
  <c r="I7" i="74" s="1"/>
  <c r="BB365" i="67" l="1"/>
  <c r="BB64" i="15"/>
  <c r="BB120" i="15" s="1"/>
  <c r="BC29" i="15"/>
  <c r="BB372" i="67"/>
  <c r="BC32" i="15" l="1"/>
  <c r="BC33" i="15" s="1"/>
  <c r="BB367" i="67"/>
  <c r="BC35" i="15" l="1"/>
  <c r="BC37" i="15" s="1"/>
  <c r="BC53" i="15"/>
  <c r="BC96" i="15" l="1"/>
  <c r="BC39" i="15"/>
  <c r="BC88" i="15" s="1"/>
  <c r="BC94" i="15"/>
  <c r="BC363" i="67"/>
  <c r="BC374" i="67"/>
  <c r="BC43" i="15"/>
  <c r="BC364" i="67" s="1"/>
  <c r="BC119" i="15"/>
  <c r="BC89" i="15" l="1"/>
  <c r="BC109" i="15"/>
  <c r="BC93" i="15"/>
  <c r="BC103" i="15" l="1"/>
  <c r="BC110" i="15" s="1"/>
  <c r="BC366" i="67"/>
  <c r="AW50" i="21"/>
  <c r="BC368" i="67"/>
  <c r="BC90" i="15"/>
  <c r="BC375" i="67"/>
  <c r="BC112" i="15" l="1"/>
  <c r="BC49" i="15" l="1"/>
  <c r="BD111" i="15"/>
  <c r="AW78" i="21" l="1"/>
  <c r="BC54" i="15"/>
  <c r="AW49" i="21"/>
  <c r="AX72" i="21"/>
  <c r="BZ207" i="18" s="1"/>
  <c r="BC91" i="15"/>
  <c r="AW77" i="21"/>
  <c r="BC371" i="67"/>
  <c r="AW69" i="21"/>
  <c r="BC122" i="15"/>
  <c r="BC372" i="67" l="1"/>
  <c r="BC365" i="67"/>
  <c r="BC64" i="15"/>
  <c r="BC120" i="15" s="1"/>
  <c r="BD29" i="15"/>
  <c r="BC367" i="67" l="1"/>
  <c r="BD32" i="15"/>
  <c r="BD33" i="15" l="1"/>
  <c r="BD35" i="15" s="1"/>
  <c r="BD37" i="15" s="1"/>
  <c r="BD363" i="67" l="1"/>
  <c r="BD374" i="67"/>
  <c r="BD39" i="15"/>
  <c r="BD88" i="15" s="1"/>
  <c r="BD43" i="15"/>
  <c r="BD364" i="67" s="1"/>
  <c r="BD94" i="15"/>
  <c r="BD53" i="15"/>
  <c r="BD119" i="15"/>
  <c r="BD96" i="15" l="1"/>
  <c r="BD109" i="15"/>
  <c r="BD89" i="15"/>
  <c r="BD103" i="15" l="1"/>
  <c r="BD93" i="15"/>
  <c r="BD90" i="15"/>
  <c r="BD375" i="67"/>
  <c r="BD110" i="15" l="1"/>
  <c r="BD368" i="67"/>
  <c r="BD366" i="67"/>
  <c r="AX50" i="21"/>
  <c r="BD112" i="15" l="1"/>
  <c r="BD49" i="15" l="1"/>
  <c r="BE111" i="15"/>
  <c r="AX77" i="21" l="1"/>
  <c r="AY72" i="21"/>
  <c r="CA207" i="18" s="1"/>
  <c r="AX78" i="21"/>
  <c r="BD91" i="15"/>
  <c r="BD371" i="67"/>
  <c r="BD54" i="15"/>
  <c r="AX49" i="21"/>
  <c r="AX69" i="21"/>
  <c r="BD122" i="15"/>
  <c r="BE29" i="15" l="1"/>
  <c r="BD365" i="67"/>
  <c r="BD64" i="15"/>
  <c r="BD120" i="15" s="1"/>
  <c r="BD372" i="67"/>
  <c r="BD367" i="67" l="1"/>
  <c r="BE32" i="15"/>
  <c r="R72" i="6"/>
  <c r="R71" i="6" s="1"/>
  <c r="R75" i="6" l="1"/>
  <c r="R319" i="67"/>
  <c r="BE33" i="15"/>
  <c r="R76" i="6" l="1"/>
  <c r="R78" i="6" s="1"/>
  <c r="BE53" i="15"/>
  <c r="BE35" i="15"/>
  <c r="BE37" i="15" s="1"/>
  <c r="R140" i="68" l="1"/>
  <c r="R102" i="6"/>
  <c r="BE96" i="15"/>
  <c r="BE119" i="15"/>
  <c r="BE43" i="15"/>
  <c r="BE364" i="67" s="1"/>
  <c r="BE94" i="15"/>
  <c r="BE363" i="67"/>
  <c r="BE374" i="67"/>
  <c r="BE38" i="15"/>
  <c r="R171" i="21" s="1"/>
  <c r="R172" i="21"/>
  <c r="BE39" i="15" l="1"/>
  <c r="BE88" i="15" s="1"/>
  <c r="BE93" i="15"/>
  <c r="R116" i="6"/>
  <c r="R79" i="6"/>
  <c r="R173" i="21"/>
  <c r="R80" i="6" l="1"/>
  <c r="R164" i="6" s="1"/>
  <c r="BE368" i="67"/>
  <c r="BE366" i="67"/>
  <c r="BE89" i="15"/>
  <c r="BE109" i="15"/>
  <c r="AY50" i="21" s="1"/>
  <c r="J20" i="74"/>
  <c r="J23" i="74" s="1"/>
  <c r="R306" i="67"/>
  <c r="R132" i="6"/>
  <c r="J26" i="74" l="1"/>
  <c r="J24" i="74"/>
  <c r="AJ17" i="60"/>
  <c r="AJ55" i="60" s="1"/>
  <c r="M32" i="61"/>
  <c r="R178" i="6"/>
  <c r="R158" i="6"/>
  <c r="M52" i="61" s="1"/>
  <c r="R147" i="6"/>
  <c r="BE103" i="15"/>
  <c r="R119" i="6"/>
  <c r="R109" i="6"/>
  <c r="BE90" i="15"/>
  <c r="BE375" i="67"/>
  <c r="BE441" i="67"/>
  <c r="BD441" i="67"/>
  <c r="BC441" i="67"/>
  <c r="BB441" i="67"/>
  <c r="Z80" i="6"/>
  <c r="R81" i="6"/>
  <c r="R82" i="6" s="1"/>
  <c r="R114" i="6"/>
  <c r="R87" i="6"/>
  <c r="R130" i="6"/>
  <c r="R88" i="6"/>
  <c r="R89" i="6" s="1"/>
  <c r="R143" i="6"/>
  <c r="R175" i="6"/>
  <c r="R86" i="6"/>
  <c r="R154" i="6"/>
  <c r="V20" i="60"/>
  <c r="H13" i="60" s="1"/>
  <c r="H51" i="60" s="1"/>
  <c r="AK15" i="60"/>
  <c r="AK53" i="60" s="1"/>
  <c r="M23" i="61"/>
  <c r="BE442" i="67" l="1"/>
  <c r="M50" i="61"/>
  <c r="M42" i="61"/>
  <c r="R117" i="6"/>
  <c r="BE110" i="15"/>
  <c r="R148" i="6"/>
  <c r="R159" i="6"/>
  <c r="R144" i="6"/>
  <c r="R131" i="6"/>
  <c r="R111" i="6"/>
  <c r="R155" i="6"/>
  <c r="M44" i="61"/>
  <c r="M25" i="61"/>
  <c r="M26" i="61" s="1"/>
  <c r="Z87" i="6"/>
  <c r="AK16" i="60"/>
  <c r="R308" i="67"/>
  <c r="R314" i="67"/>
  <c r="M33" i="61"/>
  <c r="AK54" i="60" l="1"/>
  <c r="AV38" i="60"/>
  <c r="AV40" i="60" s="1"/>
  <c r="M34" i="61"/>
  <c r="R315" i="67"/>
  <c r="M51" i="61"/>
  <c r="R307" i="67"/>
  <c r="R305" i="67"/>
  <c r="H15" i="60"/>
  <c r="R123" i="6"/>
  <c r="M43" i="61"/>
  <c r="BE112" i="15"/>
  <c r="R165" i="6" l="1"/>
  <c r="BE49" i="15"/>
  <c r="BF111" i="15"/>
  <c r="AY78" i="21" l="1"/>
  <c r="R98" i="6"/>
  <c r="BE54" i="15"/>
  <c r="AY49" i="21"/>
  <c r="BE91" i="15"/>
  <c r="AZ72" i="21"/>
  <c r="CB207" i="18" s="1"/>
  <c r="AY77" i="21"/>
  <c r="BE371" i="67"/>
  <c r="AY69" i="21"/>
  <c r="R136" i="6"/>
  <c r="BE122" i="15"/>
  <c r="BF29" i="15" l="1"/>
  <c r="BE365" i="67"/>
  <c r="BE64" i="15"/>
  <c r="BE120" i="15" s="1"/>
  <c r="BE372" i="67"/>
  <c r="R126" i="6"/>
  <c r="R103" i="6"/>
  <c r="BE367" i="67" l="1"/>
  <c r="R163" i="6"/>
  <c r="R129" i="6"/>
  <c r="R141" i="6"/>
  <c r="V22" i="60"/>
  <c r="H17" i="60" s="1"/>
  <c r="H55" i="60" s="1"/>
  <c r="R128" i="6"/>
  <c r="AJ18" i="60"/>
  <c r="AJ56" i="60" s="1"/>
  <c r="H29" i="12"/>
  <c r="R127" i="6"/>
  <c r="R166" i="6"/>
  <c r="M28" i="61"/>
  <c r="R152" i="6"/>
  <c r="BF32" i="15"/>
  <c r="BF33" i="15" l="1"/>
  <c r="BF35" i="15" s="1"/>
  <c r="BF37" i="15" s="1"/>
  <c r="H40" i="12"/>
  <c r="H44" i="12" s="1"/>
  <c r="H46" i="12" s="1"/>
  <c r="R157" i="6" s="1"/>
  <c r="R156" i="6" s="1"/>
  <c r="H33" i="12"/>
  <c r="H35" i="12" s="1"/>
  <c r="R146" i="6" s="1"/>
  <c r="M48" i="61"/>
  <c r="R153" i="6"/>
  <c r="AJ19" i="60"/>
  <c r="AJ57" i="60" s="1"/>
  <c r="M29" i="61"/>
  <c r="V23" i="60"/>
  <c r="H18" i="60" s="1"/>
  <c r="H56" i="60" s="1"/>
  <c r="J50" i="74"/>
  <c r="R145" i="6"/>
  <c r="M40" i="61"/>
  <c r="R142" i="6"/>
  <c r="M41" i="61" l="1"/>
  <c r="M39" i="61"/>
  <c r="M47" i="61"/>
  <c r="M49" i="61"/>
  <c r="BF39" i="15"/>
  <c r="BF88" i="15" s="1"/>
  <c r="BF94" i="15"/>
  <c r="BF374" i="67"/>
  <c r="BF363" i="67"/>
  <c r="BF43" i="15"/>
  <c r="BF364" i="67" s="1"/>
  <c r="BF53" i="15"/>
  <c r="BF119" i="15"/>
  <c r="BF96" i="15" l="1"/>
  <c r="BF89" i="15"/>
  <c r="BF109" i="15"/>
  <c r="BF93" i="15" l="1"/>
  <c r="BF103" i="15"/>
  <c r="BF90" i="15"/>
  <c r="BF375" i="67"/>
  <c r="BF366" i="67" l="1"/>
  <c r="BF368" i="67"/>
  <c r="AZ50" i="21"/>
  <c r="BF110" i="15"/>
  <c r="BF112" i="15" l="1"/>
  <c r="BF49" i="15" l="1"/>
  <c r="BG111" i="15"/>
  <c r="AZ78" i="21" l="1"/>
  <c r="BF91" i="15"/>
  <c r="AZ77" i="21"/>
  <c r="BF54" i="15"/>
  <c r="BF371" i="67"/>
  <c r="BF372" i="67" s="1"/>
  <c r="AZ49" i="21"/>
  <c r="BA72" i="21"/>
  <c r="CC207" i="18" s="1"/>
  <c r="AZ69" i="21"/>
  <c r="BF122" i="15"/>
  <c r="BF365" i="67" l="1"/>
  <c r="BF64" i="15"/>
  <c r="BF120" i="15" s="1"/>
  <c r="BG29" i="15"/>
  <c r="BG32" i="15" l="1"/>
  <c r="BF367" i="67"/>
  <c r="BG33" i="15" l="1"/>
  <c r="BG35" i="15" s="1"/>
  <c r="BG37" i="15" s="1"/>
  <c r="BG94" i="15" l="1"/>
  <c r="BG374" i="67"/>
  <c r="BG39" i="15"/>
  <c r="BG88" i="15" s="1"/>
  <c r="BG43" i="15"/>
  <c r="BG364" i="67" s="1"/>
  <c r="BG363" i="67"/>
  <c r="BG53" i="15"/>
  <c r="BG119" i="15"/>
  <c r="BG109" i="15" l="1"/>
  <c r="BG89" i="15"/>
  <c r="BG96" i="15"/>
  <c r="BG93" i="15" s="1"/>
  <c r="BG366" i="67" l="1"/>
  <c r="BG368" i="67"/>
  <c r="BA50" i="21"/>
  <c r="BG90" i="15"/>
  <c r="BG375" i="67"/>
  <c r="BG103" i="15"/>
  <c r="BG110" i="15" s="1"/>
  <c r="BG112" i="15" l="1"/>
  <c r="X13" i="61" l="1"/>
  <c r="U13" i="61"/>
  <c r="W13" i="61" s="1"/>
  <c r="BG49" i="15"/>
  <c r="BH111" i="15"/>
  <c r="BA77" i="21" l="1"/>
  <c r="BG371" i="67"/>
  <c r="BG372" i="67" s="1"/>
  <c r="BB72" i="21"/>
  <c r="CD207" i="18" s="1"/>
  <c r="BA49" i="21"/>
  <c r="BG91" i="15"/>
  <c r="BA78" i="21"/>
  <c r="BG54" i="15"/>
  <c r="BA69" i="21"/>
  <c r="BG122" i="15"/>
  <c r="BG365" i="67" l="1"/>
  <c r="BG64" i="15"/>
  <c r="BG120" i="15" s="1"/>
  <c r="BH29" i="15"/>
  <c r="BH32" i="15" l="1"/>
  <c r="BG367" i="67"/>
  <c r="BH33" i="15" l="1"/>
  <c r="BH35" i="15" s="1"/>
  <c r="BH37" i="15" s="1"/>
  <c r="BH39" i="15" l="1"/>
  <c r="BH88" i="15" s="1"/>
  <c r="BH363" i="67"/>
  <c r="BH374" i="67"/>
  <c r="BH94" i="15"/>
  <c r="BH43" i="15"/>
  <c r="BH364" i="67" s="1"/>
  <c r="BH53" i="15"/>
  <c r="BH119" i="15"/>
  <c r="BH96" i="15" l="1"/>
  <c r="BH93" i="15" s="1"/>
  <c r="BH109" i="15"/>
  <c r="BH89" i="15"/>
  <c r="BB50" i="21" l="1"/>
  <c r="BH368" i="67"/>
  <c r="BH366" i="67"/>
  <c r="BH90" i="15"/>
  <c r="BH375" i="67"/>
  <c r="BH103" i="15"/>
  <c r="BH110" i="15" l="1"/>
  <c r="BH112" i="15" l="1"/>
  <c r="BH49" i="15" l="1"/>
  <c r="BI111" i="15"/>
  <c r="BH371" i="67" l="1"/>
  <c r="BH372" i="67" s="1"/>
  <c r="BB78" i="21"/>
  <c r="BH91" i="15"/>
  <c r="BH54" i="15"/>
  <c r="BC72" i="21"/>
  <c r="CE207" i="18" s="1"/>
  <c r="BB77" i="21"/>
  <c r="BB49" i="21"/>
  <c r="BB69" i="21"/>
  <c r="BH122" i="15"/>
  <c r="BI29" i="15" l="1"/>
  <c r="BH365" i="67"/>
  <c r="BH64" i="15"/>
  <c r="BH120" i="15" s="1"/>
  <c r="BH367" i="67" l="1"/>
  <c r="BI32" i="15"/>
  <c r="S72" i="6"/>
  <c r="S71" i="6" s="1"/>
  <c r="S75" i="6" l="1"/>
  <c r="S319" i="67"/>
  <c r="BI33" i="15"/>
  <c r="S76" i="6" l="1"/>
  <c r="S78" i="6" s="1"/>
  <c r="BI53" i="15"/>
  <c r="BI35" i="15"/>
  <c r="BI37" i="15" s="1"/>
  <c r="BI119" i="15" s="1"/>
  <c r="S140" i="68" l="1"/>
  <c r="S79" i="6" s="1"/>
  <c r="BI43" i="15"/>
  <c r="BI364" i="67" s="1"/>
  <c r="BI374" i="67"/>
  <c r="BI363" i="67"/>
  <c r="BI94" i="15"/>
  <c r="BI38" i="15"/>
  <c r="S171" i="21" s="1"/>
  <c r="S172" i="21"/>
  <c r="S102" i="6"/>
  <c r="BI96" i="15"/>
  <c r="BI39" i="15" l="1"/>
  <c r="BI88" i="15" s="1"/>
  <c r="BI109" i="15" s="1"/>
  <c r="S173" i="21"/>
  <c r="S116" i="6"/>
  <c r="BI93" i="15"/>
  <c r="S80" i="6"/>
  <c r="BI89" i="15" l="1"/>
  <c r="S306" i="67"/>
  <c r="K20" i="74"/>
  <c r="K23" i="74" s="1"/>
  <c r="S132" i="6"/>
  <c r="BI90" i="15"/>
  <c r="S109" i="6"/>
  <c r="BI375" i="67"/>
  <c r="S154" i="6"/>
  <c r="S81" i="6"/>
  <c r="S82" i="6" s="1"/>
  <c r="S175" i="6"/>
  <c r="S143" i="6"/>
  <c r="S86" i="6"/>
  <c r="N23" i="61"/>
  <c r="W20" i="60"/>
  <c r="I13" i="60" s="1"/>
  <c r="I51" i="60" s="1"/>
  <c r="S114" i="6"/>
  <c r="AL15" i="60"/>
  <c r="S130" i="6"/>
  <c r="S88" i="6"/>
  <c r="S89" i="6" s="1"/>
  <c r="S87" i="6"/>
  <c r="S164" i="6"/>
  <c r="BI103" i="15"/>
  <c r="S119" i="6"/>
  <c r="BI368" i="67"/>
  <c r="BI366" i="67"/>
  <c r="BC50" i="21"/>
  <c r="S148" i="6" l="1"/>
  <c r="S159" i="6"/>
  <c r="S117" i="6"/>
  <c r="K26" i="74"/>
  <c r="K24" i="74"/>
  <c r="N33" i="61"/>
  <c r="S314" i="67"/>
  <c r="S144" i="6"/>
  <c r="S131" i="6"/>
  <c r="S111" i="6"/>
  <c r="S155" i="6"/>
  <c r="BI441" i="67"/>
  <c r="BH441" i="67"/>
  <c r="BF441" i="67"/>
  <c r="BG441" i="67"/>
  <c r="BI110" i="15"/>
  <c r="N42" i="61"/>
  <c r="N25" i="61"/>
  <c r="N26" i="61" s="1"/>
  <c r="S308" i="67"/>
  <c r="AL16" i="60"/>
  <c r="AW38" i="60" s="1"/>
  <c r="AW40" i="60" s="1"/>
  <c r="N50" i="61"/>
  <c r="AK17" i="60"/>
  <c r="AK55" i="60" s="1"/>
  <c r="N32" i="61"/>
  <c r="S158" i="6"/>
  <c r="N52" i="61" s="1"/>
  <c r="S147" i="6"/>
  <c r="S178" i="6"/>
  <c r="BI112" i="15" l="1"/>
  <c r="N34" i="61"/>
  <c r="S315" i="67"/>
  <c r="N51" i="61"/>
  <c r="N44" i="61"/>
  <c r="BI442" i="67"/>
  <c r="N43" i="61"/>
  <c r="I15" i="60"/>
  <c r="S305" i="67"/>
  <c r="S123" i="6"/>
  <c r="S307" i="67"/>
  <c r="S165" i="6" l="1"/>
  <c r="BI49" i="15"/>
  <c r="BJ111" i="15"/>
  <c r="S98" i="6" l="1"/>
  <c r="BI371" i="67"/>
  <c r="BI372" i="67" s="1"/>
  <c r="BC78" i="21"/>
  <c r="BI91" i="15"/>
  <c r="BD72" i="21"/>
  <c r="CF207" i="18" s="1"/>
  <c r="BC49" i="21"/>
  <c r="BC77" i="21"/>
  <c r="BI54" i="15"/>
  <c r="BC69" i="21"/>
  <c r="S136" i="6"/>
  <c r="BI122" i="15"/>
  <c r="W14" i="68"/>
  <c r="U64" i="18" s="1"/>
  <c r="BJ29" i="15" l="1"/>
  <c r="BI365" i="67"/>
  <c r="BI64" i="15"/>
  <c r="BI120" i="15" s="1"/>
  <c r="W16" i="6"/>
  <c r="U75" i="18"/>
  <c r="U65" i="18"/>
  <c r="U130" i="18" s="1"/>
  <c r="S126" i="6"/>
  <c r="S103" i="6"/>
  <c r="AK18" i="60" l="1"/>
  <c r="AK56" i="60" s="1"/>
  <c r="I29" i="12"/>
  <c r="W22" i="60"/>
  <c r="I17" i="60" s="1"/>
  <c r="I55" i="60" s="1"/>
  <c r="S141" i="6"/>
  <c r="S127" i="6"/>
  <c r="S166" i="6"/>
  <c r="N28" i="61"/>
  <c r="S128" i="6"/>
  <c r="S152" i="6"/>
  <c r="U83" i="18"/>
  <c r="U107" i="18" s="1"/>
  <c r="U82" i="18"/>
  <c r="U106" i="18" s="1"/>
  <c r="S163" i="6"/>
  <c r="S129" i="6"/>
  <c r="BI367" i="67"/>
  <c r="AA16" i="6"/>
  <c r="W5" i="67"/>
  <c r="R13" i="61"/>
  <c r="W293" i="67"/>
  <c r="BJ32" i="15"/>
  <c r="BJ33" i="15" s="1"/>
  <c r="N29" i="61" l="1"/>
  <c r="AK19" i="60"/>
  <c r="AK57" i="60" s="1"/>
  <c r="W23" i="60"/>
  <c r="I18" i="60" s="1"/>
  <c r="I56" i="60" s="1"/>
  <c r="K50" i="74"/>
  <c r="P50" i="74" s="1"/>
  <c r="S145" i="6"/>
  <c r="N40" i="61"/>
  <c r="S142" i="6"/>
  <c r="I40" i="12"/>
  <c r="I44" i="12" s="1"/>
  <c r="I46" i="12" s="1"/>
  <c r="S157" i="6" s="1"/>
  <c r="S156" i="6" s="1"/>
  <c r="I33" i="12"/>
  <c r="I35" i="12" s="1"/>
  <c r="S146" i="6" s="1"/>
  <c r="CR106" i="18"/>
  <c r="CT106" i="18"/>
  <c r="CS106" i="18"/>
  <c r="U105" i="18"/>
  <c r="CS107" i="18"/>
  <c r="CT107" i="18"/>
  <c r="CR107" i="18"/>
  <c r="BJ35" i="15"/>
  <c r="BJ37" i="15" s="1"/>
  <c r="BJ53" i="15"/>
  <c r="N48" i="61"/>
  <c r="S153" i="6"/>
  <c r="CU107" i="18" l="1"/>
  <c r="CS105" i="18"/>
  <c r="CS81" i="18" s="1"/>
  <c r="BW391" i="67" s="1"/>
  <c r="U81" i="18"/>
  <c r="U86" i="18" s="1"/>
  <c r="U139" i="18"/>
  <c r="U104" i="18"/>
  <c r="W37" i="6"/>
  <c r="N39" i="61"/>
  <c r="N49" i="61"/>
  <c r="BW398" i="67"/>
  <c r="BW397" i="67" s="1"/>
  <c r="N47" i="61"/>
  <c r="BJ39" i="15"/>
  <c r="BJ88" i="15" s="1"/>
  <c r="BJ374" i="67"/>
  <c r="BJ43" i="15"/>
  <c r="BJ364" i="67" s="1"/>
  <c r="BJ363" i="67"/>
  <c r="BJ94" i="15"/>
  <c r="BJ119" i="15"/>
  <c r="CT105" i="18"/>
  <c r="N41" i="61"/>
  <c r="BJ96" i="15"/>
  <c r="CU106" i="18"/>
  <c r="CU105" i="18" s="1"/>
  <c r="CR105" i="18"/>
  <c r="CS104" i="18" l="1"/>
  <c r="CS215" i="18"/>
  <c r="BJ93" i="15"/>
  <c r="BJ366" i="67" s="1"/>
  <c r="BW403" i="67"/>
  <c r="BW10" i="15"/>
  <c r="W84" i="21"/>
  <c r="U197" i="18"/>
  <c r="U166" i="18"/>
  <c r="BX398" i="67"/>
  <c r="BX397" i="67" s="1"/>
  <c r="CT215" i="18"/>
  <c r="CT81" i="18"/>
  <c r="BX391" i="67" s="1"/>
  <c r="CT104" i="18"/>
  <c r="BV398" i="67"/>
  <c r="BV397" i="67" s="1"/>
  <c r="CR215" i="18"/>
  <c r="CU215" i="18" s="1"/>
  <c r="CU240" i="18" s="1"/>
  <c r="CR104" i="18"/>
  <c r="CR81" i="18"/>
  <c r="BV391" i="67" s="1"/>
  <c r="BJ109" i="15"/>
  <c r="BJ89" i="15"/>
  <c r="U144" i="18"/>
  <c r="W45" i="6" s="1"/>
  <c r="W109" i="68" s="1"/>
  <c r="U178" i="18"/>
  <c r="U138" i="18"/>
  <c r="U248" i="18"/>
  <c r="U247" i="18" s="1"/>
  <c r="CU104" i="18"/>
  <c r="BY398" i="67"/>
  <c r="BY397" i="67" s="1"/>
  <c r="CU81" i="18"/>
  <c r="BY391" i="67" s="1"/>
  <c r="W323" i="67"/>
  <c r="W36" i="6"/>
  <c r="W17" i="6"/>
  <c r="U85" i="18"/>
  <c r="BJ368" i="67" l="1"/>
  <c r="BD50" i="21"/>
  <c r="U239" i="18"/>
  <c r="R19" i="61"/>
  <c r="O12" i="74"/>
  <c r="U154" i="18"/>
  <c r="W41" i="6"/>
  <c r="AA15" i="60"/>
  <c r="M9" i="60" s="1"/>
  <c r="M47" i="60" s="1"/>
  <c r="W43" i="6"/>
  <c r="W301" i="67"/>
  <c r="AA36" i="6"/>
  <c r="U151" i="18"/>
  <c r="W176" i="6"/>
  <c r="U188" i="18"/>
  <c r="W63" i="6" s="1"/>
  <c r="W287" i="67" s="1"/>
  <c r="U183" i="18"/>
  <c r="CT178" i="18"/>
  <c r="CR178" i="18"/>
  <c r="W56" i="6"/>
  <c r="W282" i="67" s="1"/>
  <c r="U177" i="18"/>
  <c r="U245" i="18" s="1"/>
  <c r="CS178" i="18"/>
  <c r="BX403" i="67"/>
  <c r="BX10" i="15"/>
  <c r="BY10" i="15"/>
  <c r="BY403" i="67"/>
  <c r="BV10" i="15"/>
  <c r="BV403" i="67"/>
  <c r="CT197" i="18"/>
  <c r="BX26" i="15" s="1"/>
  <c r="BX95" i="15" s="1"/>
  <c r="U199" i="18"/>
  <c r="W67" i="6"/>
  <c r="CS197" i="18"/>
  <c r="BW26" i="15" s="1"/>
  <c r="BW95" i="15" s="1"/>
  <c r="CR197" i="18"/>
  <c r="BV26" i="15" s="1"/>
  <c r="BV95" i="15" s="1"/>
  <c r="BJ90" i="15"/>
  <c r="BJ375" i="67"/>
  <c r="W91" i="21"/>
  <c r="W334" i="67"/>
  <c r="W242" i="67"/>
  <c r="AA17" i="6"/>
  <c r="W299" i="67"/>
  <c r="R14" i="61"/>
  <c r="W324" i="67"/>
  <c r="U143" i="18"/>
  <c r="BJ103" i="15"/>
  <c r="BJ110" i="15" s="1"/>
  <c r="BW357" i="67"/>
  <c r="BW11" i="15"/>
  <c r="CS239" i="18"/>
  <c r="BW13" i="15"/>
  <c r="BQ6" i="21"/>
  <c r="CU178" i="18" l="1"/>
  <c r="CU188" i="18" s="1"/>
  <c r="BX13" i="15"/>
  <c r="BR6" i="21"/>
  <c r="BX357" i="67"/>
  <c r="BX11" i="15"/>
  <c r="CT239" i="18"/>
  <c r="W302" i="67"/>
  <c r="W311" i="67" s="1"/>
  <c r="W55" i="6"/>
  <c r="W177" i="6" s="1"/>
  <c r="W44" i="6"/>
  <c r="U241" i="18"/>
  <c r="W61" i="6"/>
  <c r="BQ17" i="21"/>
  <c r="BW50" i="15" s="1"/>
  <c r="BQ32" i="21"/>
  <c r="BW73" i="15" s="1"/>
  <c r="BQ29" i="21"/>
  <c r="BW70" i="15" s="1"/>
  <c r="BW435" i="67"/>
  <c r="BW14" i="15"/>
  <c r="BW15" i="15"/>
  <c r="BW359" i="67" s="1"/>
  <c r="BW24" i="15"/>
  <c r="W115" i="6"/>
  <c r="BV357" i="67"/>
  <c r="BV13" i="15"/>
  <c r="BV11" i="15"/>
  <c r="CR239" i="18"/>
  <c r="BP6" i="21"/>
  <c r="BV9" i="15"/>
  <c r="BW9" i="15" s="1"/>
  <c r="CR177" i="18"/>
  <c r="BV22" i="15" s="1"/>
  <c r="BV23" i="15" s="1"/>
  <c r="CR188" i="18"/>
  <c r="BJ112" i="15"/>
  <c r="CU197" i="18"/>
  <c r="BY26" i="15" s="1"/>
  <c r="BY95" i="15" s="1"/>
  <c r="CS177" i="18"/>
  <c r="BW22" i="15" s="1"/>
  <c r="BW23" i="15" s="1"/>
  <c r="CS188" i="18"/>
  <c r="CT177" i="18"/>
  <c r="BX22" i="15" s="1"/>
  <c r="BX23" i="15" s="1"/>
  <c r="CT188" i="18"/>
  <c r="W92" i="21"/>
  <c r="BQ43" i="21"/>
  <c r="BP43" i="21"/>
  <c r="W93" i="21"/>
  <c r="BR43" i="21"/>
  <c r="BY13" i="15"/>
  <c r="BS6" i="21"/>
  <c r="CU239" i="18"/>
  <c r="BY11" i="15"/>
  <c r="BY357" i="67"/>
  <c r="U187" i="18"/>
  <c r="U182" i="18"/>
  <c r="U192" i="18" s="1"/>
  <c r="U193" i="18"/>
  <c r="U202" i="18"/>
  <c r="U203" i="18" s="1"/>
  <c r="CU177" i="18" l="1"/>
  <c r="BY22" i="15" s="1"/>
  <c r="BY23" i="15" s="1"/>
  <c r="BS43" i="21"/>
  <c r="BS44" i="21" s="1"/>
  <c r="BW439" i="67"/>
  <c r="BW75" i="15"/>
  <c r="BY15" i="15"/>
  <c r="BY359" i="67" s="1"/>
  <c r="BY24" i="15"/>
  <c r="BY14" i="15"/>
  <c r="BR44" i="21"/>
  <c r="BQ44" i="21"/>
  <c r="BX9" i="15"/>
  <c r="BW7" i="15"/>
  <c r="O19" i="74"/>
  <c r="O15" i="74" s="1"/>
  <c r="BR29" i="21"/>
  <c r="BX70" i="15" s="1"/>
  <c r="BR17" i="21"/>
  <c r="BX50" i="15" s="1"/>
  <c r="BR32" i="21"/>
  <c r="BX73" i="15" s="1"/>
  <c r="BJ49" i="15"/>
  <c r="BK111" i="15"/>
  <c r="BV7" i="15"/>
  <c r="BV15" i="15"/>
  <c r="BV359" i="67" s="1"/>
  <c r="BV14" i="15"/>
  <c r="BV24" i="15"/>
  <c r="BW25" i="15"/>
  <c r="BW362" i="67" s="1"/>
  <c r="BW361" i="67"/>
  <c r="BW27" i="15"/>
  <c r="BW28" i="15" s="1"/>
  <c r="BW360" i="67" s="1"/>
  <c r="AA16" i="60"/>
  <c r="BX14" i="15"/>
  <c r="BX24" i="15"/>
  <c r="BX15" i="15"/>
  <c r="BX359" i="67" s="1"/>
  <c r="BS32" i="21"/>
  <c r="BY73" i="15" s="1"/>
  <c r="BS17" i="21"/>
  <c r="BY50" i="15" s="1"/>
  <c r="W99" i="6" s="1"/>
  <c r="BS29" i="21"/>
  <c r="BY70" i="15" s="1"/>
  <c r="BP29" i="21"/>
  <c r="BV70" i="15" s="1"/>
  <c r="BP17" i="21"/>
  <c r="BV50" i="15" s="1"/>
  <c r="BS14" i="21"/>
  <c r="BP32" i="21"/>
  <c r="BV73" i="15" s="1"/>
  <c r="BQ14" i="21"/>
  <c r="BP14" i="21"/>
  <c r="BR14" i="21"/>
  <c r="BV435" i="67"/>
  <c r="BV439" i="67"/>
  <c r="W303" i="67"/>
  <c r="AA61" i="6"/>
  <c r="R20" i="61"/>
  <c r="W62" i="6"/>
  <c r="W68" i="6"/>
  <c r="AA17" i="60"/>
  <c r="M10" i="60" s="1"/>
  <c r="M48" i="60" s="1"/>
  <c r="R22" i="61"/>
  <c r="W60" i="6"/>
  <c r="U246" i="18"/>
  <c r="BY439" i="67"/>
  <c r="BY435" i="67"/>
  <c r="BP44" i="21"/>
  <c r="BP45" i="21"/>
  <c r="BV60" i="15"/>
  <c r="BX435" i="67"/>
  <c r="BX439" i="67"/>
  <c r="BS46" i="21" l="1"/>
  <c r="BX75" i="15"/>
  <c r="R21" i="61"/>
  <c r="BX48" i="15"/>
  <c r="BR10" i="21"/>
  <c r="BV25" i="15"/>
  <c r="BV362" i="67" s="1"/>
  <c r="BV27" i="15"/>
  <c r="BV28" i="15" s="1"/>
  <c r="BV360" i="67" s="1"/>
  <c r="BV361" i="67"/>
  <c r="BW377" i="67"/>
  <c r="BW356" i="67"/>
  <c r="BW358" i="67" s="1"/>
  <c r="BW8" i="15"/>
  <c r="BP10" i="21"/>
  <c r="BV48" i="15"/>
  <c r="BS10" i="21"/>
  <c r="BY48" i="15"/>
  <c r="BY75" i="15"/>
  <c r="W108" i="6"/>
  <c r="BX27" i="15"/>
  <c r="BX28" i="15" s="1"/>
  <c r="BX360" i="67" s="1"/>
  <c r="BX25" i="15"/>
  <c r="BX362" i="67" s="1"/>
  <c r="BX361" i="67"/>
  <c r="BD78" i="21"/>
  <c r="BD49" i="21"/>
  <c r="BJ91" i="15"/>
  <c r="BJ371" i="67"/>
  <c r="BJ372" i="67" s="1"/>
  <c r="BD77" i="21"/>
  <c r="BE72" i="21"/>
  <c r="CG207" i="18" s="1"/>
  <c r="BJ54" i="15"/>
  <c r="BD69" i="21"/>
  <c r="BJ122" i="15"/>
  <c r="BY9" i="15"/>
  <c r="BY7" i="15" s="1"/>
  <c r="BX7" i="15"/>
  <c r="BW60" i="15"/>
  <c r="BV63" i="15"/>
  <c r="BV100" i="15"/>
  <c r="BW48" i="15"/>
  <c r="BQ10" i="21"/>
  <c r="BQ45" i="21"/>
  <c r="O13" i="74"/>
  <c r="O14" i="74" s="1"/>
  <c r="O16" i="74" s="1"/>
  <c r="AA18" i="60"/>
  <c r="M11" i="60" s="1"/>
  <c r="M49" i="60" s="1"/>
  <c r="AA68" i="6"/>
  <c r="W304" i="67"/>
  <c r="W312" i="67" s="1"/>
  <c r="W70" i="6"/>
  <c r="W69" i="6"/>
  <c r="BV75" i="15"/>
  <c r="BV356" i="67"/>
  <c r="BV358" i="67" s="1"/>
  <c r="BV377" i="67"/>
  <c r="BV378" i="67" s="1"/>
  <c r="BV8" i="15"/>
  <c r="BY27" i="15"/>
  <c r="BY28" i="15" s="1"/>
  <c r="BY360" i="67" s="1"/>
  <c r="BY25" i="15"/>
  <c r="BY362" i="67" s="1"/>
  <c r="BY361" i="67"/>
  <c r="BY440" i="67" l="1"/>
  <c r="BW440" i="67"/>
  <c r="BX8" i="15"/>
  <c r="BX356" i="67"/>
  <c r="BX358" i="67" s="1"/>
  <c r="BX377" i="67"/>
  <c r="BX378" i="67" s="1"/>
  <c r="BV98" i="15"/>
  <c r="BV373" i="67"/>
  <c r="BY356" i="67"/>
  <c r="BY358" i="67" s="1"/>
  <c r="BY377" i="67"/>
  <c r="BY8" i="15"/>
  <c r="BJ365" i="67"/>
  <c r="BJ64" i="15"/>
  <c r="BJ120" i="15" s="1"/>
  <c r="BX440" i="67"/>
  <c r="BP11" i="21"/>
  <c r="BP12" i="21"/>
  <c r="BW378" i="67"/>
  <c r="BR11" i="21"/>
  <c r="BR12" i="21"/>
  <c r="BQ11" i="21"/>
  <c r="BQ12" i="21"/>
  <c r="BK29" i="15"/>
  <c r="BV440" i="67"/>
  <c r="R16" i="74"/>
  <c r="O18" i="74"/>
  <c r="BW100" i="15"/>
  <c r="BX60" i="15"/>
  <c r="BW63" i="15"/>
  <c r="BR45" i="21"/>
  <c r="BS11" i="21"/>
  <c r="W134" i="6"/>
  <c r="BS12" i="21"/>
  <c r="BW373" i="67" l="1"/>
  <c r="BW98" i="15"/>
  <c r="W135" i="6"/>
  <c r="W318" i="67"/>
  <c r="BX63" i="15"/>
  <c r="BY60" i="15"/>
  <c r="BY100" i="15" s="1"/>
  <c r="BS45" i="21"/>
  <c r="BY378" i="67"/>
  <c r="BK32" i="15"/>
  <c r="BJ367" i="67"/>
  <c r="BX100" i="15"/>
  <c r="W118" i="6" l="1"/>
  <c r="W313" i="67"/>
  <c r="R30" i="61"/>
  <c r="BX373" i="67"/>
  <c r="BX98" i="15"/>
  <c r="BK33" i="15"/>
  <c r="BK35" i="15" s="1"/>
  <c r="BK37" i="15" s="1"/>
  <c r="BY98" i="15"/>
  <c r="BY373" i="67"/>
  <c r="W95" i="6"/>
  <c r="BY63" i="15"/>
  <c r="M16" i="60" l="1"/>
  <c r="M54" i="60" s="1"/>
  <c r="O21" i="74"/>
  <c r="W133" i="6"/>
  <c r="R31" i="61" s="1"/>
  <c r="W97" i="6"/>
  <c r="BK53" i="15"/>
  <c r="BK119" i="15"/>
  <c r="BK39" i="15"/>
  <c r="BK88" i="15" s="1"/>
  <c r="BK43" i="15"/>
  <c r="BK364" i="67" s="1"/>
  <c r="BK374" i="67"/>
  <c r="BK363" i="67"/>
  <c r="BK94" i="15"/>
  <c r="AA21" i="60" l="1"/>
  <c r="BK89" i="15"/>
  <c r="BK109" i="15"/>
  <c r="BK96" i="15"/>
  <c r="BK93" i="15" s="1"/>
  <c r="BK368" i="67" l="1"/>
  <c r="BE50" i="21"/>
  <c r="BK366" i="67"/>
  <c r="BK103" i="15"/>
  <c r="BK110" i="15" s="1"/>
  <c r="BK90" i="15"/>
  <c r="BK375" i="67"/>
  <c r="BK112" i="15" l="1"/>
  <c r="BK49" i="15" l="1"/>
  <c r="BL111" i="15"/>
  <c r="BK371" i="67" l="1"/>
  <c r="BK372" i="67" s="1"/>
  <c r="BE49" i="21"/>
  <c r="BF72" i="21"/>
  <c r="CH207" i="18" s="1"/>
  <c r="BK54" i="15"/>
  <c r="BK91" i="15"/>
  <c r="BE78" i="21"/>
  <c r="BE77" i="21"/>
  <c r="BE69" i="21"/>
  <c r="BK122" i="15"/>
  <c r="BL29" i="15" l="1"/>
  <c r="BK365" i="67"/>
  <c r="BK64" i="15"/>
  <c r="BK120" i="15" s="1"/>
  <c r="BK367" i="67" l="1"/>
  <c r="BL32" i="15"/>
  <c r="BL33" i="15" l="1"/>
  <c r="BL35" i="15" s="1"/>
  <c r="BL37" i="15" s="1"/>
  <c r="BL43" i="15" l="1"/>
  <c r="BL364" i="67" s="1"/>
  <c r="BL39" i="15"/>
  <c r="BL88" i="15" s="1"/>
  <c r="BL94" i="15"/>
  <c r="BL363" i="67"/>
  <c r="BL374" i="67"/>
  <c r="BL53" i="15"/>
  <c r="BL119" i="15"/>
  <c r="BL89" i="15" l="1"/>
  <c r="BL109" i="15"/>
  <c r="BL96" i="15"/>
  <c r="BL93" i="15" s="1"/>
  <c r="BL103" i="15" l="1"/>
  <c r="BL110" i="15" s="1"/>
  <c r="BF50" i="21"/>
  <c r="BL366" i="67"/>
  <c r="BL368" i="67"/>
  <c r="BL90" i="15"/>
  <c r="BL375" i="67"/>
  <c r="BL112" i="15" l="1"/>
  <c r="BL49" i="15" l="1"/>
  <c r="BM111" i="15"/>
  <c r="BL91" i="15" l="1"/>
  <c r="BL371" i="67"/>
  <c r="BL372" i="67" s="1"/>
  <c r="BL54" i="15"/>
  <c r="BF77" i="21"/>
  <c r="BF49" i="21"/>
  <c r="BF78" i="21"/>
  <c r="BG72" i="21"/>
  <c r="CI207" i="18" s="1"/>
  <c r="BF69" i="21"/>
  <c r="BL122" i="15"/>
  <c r="BM29" i="15" l="1"/>
  <c r="BL365" i="67"/>
  <c r="BL64" i="15"/>
  <c r="BL120" i="15" s="1"/>
  <c r="BL367" i="67" l="1"/>
  <c r="BM32" i="15"/>
  <c r="T72" i="6"/>
  <c r="T71" i="6" s="1"/>
  <c r="BM33" i="15" l="1"/>
  <c r="BM35" i="15" s="1"/>
  <c r="BM37" i="15" s="1"/>
  <c r="T75" i="6"/>
  <c r="T319" i="67"/>
  <c r="BM43" i="15" l="1"/>
  <c r="BM364" i="67" s="1"/>
  <c r="BM363" i="67"/>
  <c r="BM374" i="67"/>
  <c r="BM94" i="15"/>
  <c r="BM38" i="15"/>
  <c r="T171" i="21" s="1"/>
  <c r="T172" i="21"/>
  <c r="T76" i="6"/>
  <c r="BM53" i="15"/>
  <c r="BM119" i="15"/>
  <c r="T173" i="21" l="1"/>
  <c r="T102" i="6"/>
  <c r="BM96" i="15"/>
  <c r="T116" i="6" s="1"/>
  <c r="T132" i="6" s="1"/>
  <c r="T78" i="6"/>
  <c r="BM39" i="15"/>
  <c r="BM88" i="15" s="1"/>
  <c r="O32" i="61" l="1"/>
  <c r="T158" i="6"/>
  <c r="O52" i="61" s="1"/>
  <c r="T147" i="6"/>
  <c r="AL17" i="60"/>
  <c r="BM89" i="15"/>
  <c r="BM109" i="15"/>
  <c r="T80" i="6"/>
  <c r="T306" i="67"/>
  <c r="L20" i="74"/>
  <c r="L23" i="74" s="1"/>
  <c r="BM93" i="15"/>
  <c r="AM15" i="60" l="1"/>
  <c r="T86" i="6"/>
  <c r="T154" i="6"/>
  <c r="X20" i="60"/>
  <c r="J13" i="60" s="1"/>
  <c r="J51" i="60" s="1"/>
  <c r="T143" i="6"/>
  <c r="O42" i="61" s="1"/>
  <c r="T87" i="6"/>
  <c r="T175" i="6"/>
  <c r="T88" i="6"/>
  <c r="T89" i="6" s="1"/>
  <c r="T81" i="6"/>
  <c r="T82" i="6" s="1"/>
  <c r="O23" i="61"/>
  <c r="T130" i="6"/>
  <c r="T114" i="6"/>
  <c r="T164" i="6"/>
  <c r="BM103" i="15"/>
  <c r="BM110" i="15" s="1"/>
  <c r="T119" i="6"/>
  <c r="O44" i="61"/>
  <c r="BM368" i="67"/>
  <c r="BM366" i="67"/>
  <c r="BG50" i="21"/>
  <c r="T109" i="6"/>
  <c r="BM90" i="15"/>
  <c r="BM375" i="67"/>
  <c r="L24" i="74"/>
  <c r="L26" i="74"/>
  <c r="T178" i="6"/>
  <c r="T117" i="6" l="1"/>
  <c r="BM112" i="15"/>
  <c r="T314" i="67"/>
  <c r="O33" i="61"/>
  <c r="BM441" i="67"/>
  <c r="BL441" i="67"/>
  <c r="BJ441" i="67"/>
  <c r="BK441" i="67"/>
  <c r="T144" i="6"/>
  <c r="O43" i="61" s="1"/>
  <c r="T131" i="6"/>
  <c r="T111" i="6"/>
  <c r="T155" i="6"/>
  <c r="AM16" i="60"/>
  <c r="O25" i="61"/>
  <c r="O26" i="61" s="1"/>
  <c r="T308" i="67"/>
  <c r="O50" i="61"/>
  <c r="T159" i="6"/>
  <c r="T148" i="6"/>
  <c r="BM442" i="67" l="1"/>
  <c r="BN111" i="15"/>
  <c r="BM49" i="15"/>
  <c r="O51" i="61"/>
  <c r="T307" i="67"/>
  <c r="T123" i="6"/>
  <c r="J15" i="60"/>
  <c r="T305" i="67"/>
  <c r="T315" i="67"/>
  <c r="O34" i="61"/>
  <c r="BM54" i="15" l="1"/>
  <c r="BM91" i="15"/>
  <c r="T98" i="6"/>
  <c r="BM371" i="67"/>
  <c r="BM372" i="67" s="1"/>
  <c r="BG49" i="21"/>
  <c r="BG77" i="21"/>
  <c r="BG78" i="21"/>
  <c r="BH72" i="21"/>
  <c r="CJ207" i="18" s="1"/>
  <c r="BG69" i="21"/>
  <c r="BM122" i="15"/>
  <c r="T136" i="6"/>
  <c r="T165" i="6"/>
  <c r="T126" i="6" l="1"/>
  <c r="T103" i="6"/>
  <c r="BN29" i="15"/>
  <c r="BM365" i="67"/>
  <c r="BM367" i="67" s="1"/>
  <c r="BM64" i="15"/>
  <c r="BM120" i="15" s="1"/>
  <c r="T163" i="6" l="1"/>
  <c r="T129" i="6"/>
  <c r="BN32" i="15"/>
  <c r="J29" i="12"/>
  <c r="T127" i="6"/>
  <c r="O28" i="61"/>
  <c r="AL18" i="60"/>
  <c r="T128" i="6"/>
  <c r="T141" i="6"/>
  <c r="T166" i="6"/>
  <c r="X22" i="60"/>
  <c r="J17" i="60" s="1"/>
  <c r="J55" i="60" s="1"/>
  <c r="T152" i="6"/>
  <c r="BN33" i="15" l="1"/>
  <c r="BN35" i="15" s="1"/>
  <c r="BN37" i="15" s="1"/>
  <c r="T145" i="6"/>
  <c r="O40" i="61"/>
  <c r="T142" i="6"/>
  <c r="O41" i="61" s="1"/>
  <c r="O48" i="61"/>
  <c r="T153" i="6"/>
  <c r="AL19" i="60"/>
  <c r="L50" i="74"/>
  <c r="O29" i="61"/>
  <c r="X23" i="60"/>
  <c r="J18" i="60" s="1"/>
  <c r="J56" i="60" s="1"/>
  <c r="J33" i="12"/>
  <c r="J35" i="12" s="1"/>
  <c r="T146" i="6" s="1"/>
  <c r="J40" i="12"/>
  <c r="J44" i="12" s="1"/>
  <c r="J46" i="12" s="1"/>
  <c r="T157" i="6" s="1"/>
  <c r="T156" i="6" s="1"/>
  <c r="BN94" i="15" l="1"/>
  <c r="BN374" i="67"/>
  <c r="BN43" i="15"/>
  <c r="BN364" i="67" s="1"/>
  <c r="BN39" i="15"/>
  <c r="BN88" i="15" s="1"/>
  <c r="BN363" i="67"/>
  <c r="O47" i="61"/>
  <c r="O39" i="61"/>
  <c r="O49" i="61"/>
  <c r="BN53" i="15"/>
  <c r="BN119" i="15"/>
  <c r="BN89" i="15" l="1"/>
  <c r="BN109" i="15"/>
  <c r="BN96" i="15"/>
  <c r="BN93" i="15" s="1"/>
  <c r="BH50" i="21" l="1"/>
  <c r="BN368" i="67"/>
  <c r="BN366" i="67"/>
  <c r="BN103" i="15"/>
  <c r="BN110" i="15" s="1"/>
  <c r="BN90" i="15"/>
  <c r="BN375" i="67"/>
  <c r="BN112" i="15" l="1"/>
  <c r="BN49" i="15" l="1"/>
  <c r="BO111" i="15"/>
  <c r="BN54" i="15" l="1"/>
  <c r="BH77" i="21"/>
  <c r="BH78" i="21"/>
  <c r="BI72" i="21"/>
  <c r="CK207" i="18" s="1"/>
  <c r="BN371" i="67"/>
  <c r="BN372" i="67" s="1"/>
  <c r="BN91" i="15"/>
  <c r="BH49" i="21"/>
  <c r="BH69" i="21"/>
  <c r="BN122" i="15"/>
  <c r="BO29" i="15" l="1"/>
  <c r="BN365" i="67"/>
  <c r="BN367" i="67" s="1"/>
  <c r="BN64" i="15"/>
  <c r="BN120" i="15" s="1"/>
  <c r="BO32" i="15" l="1"/>
  <c r="BO33" i="15" s="1"/>
  <c r="BO35" i="15" l="1"/>
  <c r="BO37" i="15" s="1"/>
  <c r="BO53" i="15"/>
  <c r="BO96" i="15" l="1"/>
  <c r="BO94" i="15"/>
  <c r="BO363" i="67"/>
  <c r="BO39" i="15"/>
  <c r="BO88" i="15" s="1"/>
  <c r="BO43" i="15"/>
  <c r="BO364" i="67" s="1"/>
  <c r="BO374" i="67"/>
  <c r="BO119" i="15"/>
  <c r="BO93" i="15" l="1"/>
  <c r="BO368" i="67" s="1"/>
  <c r="BO109" i="15"/>
  <c r="BO89" i="15"/>
  <c r="BO366" i="67" l="1"/>
  <c r="BO103" i="15"/>
  <c r="BO110" i="15" s="1"/>
  <c r="BI50" i="21"/>
  <c r="BO90" i="15"/>
  <c r="BO375" i="67"/>
  <c r="BO112" i="15" l="1"/>
  <c r="BO49" i="15" l="1"/>
  <c r="BP111" i="15"/>
  <c r="BO91" i="15" l="1"/>
  <c r="BJ72" i="21"/>
  <c r="CL207" i="18" s="1"/>
  <c r="BI78" i="21"/>
  <c r="BI49" i="21"/>
  <c r="BI77" i="21"/>
  <c r="BO54" i="15"/>
  <c r="BO371" i="67"/>
  <c r="BO372" i="67" s="1"/>
  <c r="BI69" i="21"/>
  <c r="BO122" i="15"/>
  <c r="BP29" i="15" l="1"/>
  <c r="BO365" i="67"/>
  <c r="BO367" i="67" s="1"/>
  <c r="BO64" i="15"/>
  <c r="BO120" i="15" s="1"/>
  <c r="BP32" i="15" l="1"/>
  <c r="BP33" i="15" l="1"/>
  <c r="BP35" i="15" s="1"/>
  <c r="BP37" i="15" s="1"/>
  <c r="BP94" i="15" l="1"/>
  <c r="BP363" i="67"/>
  <c r="BP39" i="15"/>
  <c r="BP88" i="15" s="1"/>
  <c r="BP374" i="67"/>
  <c r="BP43" i="15"/>
  <c r="BP364" i="67" s="1"/>
  <c r="BP53" i="15"/>
  <c r="BP119" i="15"/>
  <c r="BP109" i="15" l="1"/>
  <c r="BP89" i="15"/>
  <c r="BQ53" i="15"/>
  <c r="BQ96" i="15" s="1"/>
  <c r="BP96" i="15"/>
  <c r="BP93" i="15" s="1"/>
  <c r="U116" i="6" l="1"/>
  <c r="M20" i="74" s="1"/>
  <c r="M23" i="74" s="1"/>
  <c r="BR53" i="15"/>
  <c r="BR96" i="15" s="1"/>
  <c r="U102" i="6"/>
  <c r="BP366" i="67"/>
  <c r="BP368" i="67"/>
  <c r="BJ50" i="21"/>
  <c r="BP90" i="15"/>
  <c r="BP375" i="67"/>
  <c r="BP103" i="15"/>
  <c r="BP110" i="15" s="1"/>
  <c r="U306" i="67" l="1"/>
  <c r="BP112" i="15"/>
  <c r="M24" i="74"/>
  <c r="M26" i="74"/>
  <c r="BS53" i="15"/>
  <c r="BS96" i="15" s="1"/>
  <c r="BT53" i="15" l="1"/>
  <c r="BT96" i="15" s="1"/>
  <c r="BP49" i="15"/>
  <c r="BQ111" i="15"/>
  <c r="BP54" i="15" l="1"/>
  <c r="BK72" i="21"/>
  <c r="CM207" i="18" s="1"/>
  <c r="BP91" i="15"/>
  <c r="BJ49" i="21"/>
  <c r="BJ78" i="21"/>
  <c r="BP371" i="67"/>
  <c r="BP372" i="67" s="1"/>
  <c r="BJ77" i="21"/>
  <c r="BJ69" i="21"/>
  <c r="BP122" i="15"/>
  <c r="BU53" i="15"/>
  <c r="BU96" i="15" s="1"/>
  <c r="V116" i="6" s="1"/>
  <c r="N20" i="74" l="1"/>
  <c r="N23" i="74" s="1"/>
  <c r="V306" i="67"/>
  <c r="V102" i="6"/>
  <c r="BV53" i="15"/>
  <c r="BV96" i="15" s="1"/>
  <c r="BQ29" i="15"/>
  <c r="BP365" i="67"/>
  <c r="BP367" i="67" s="1"/>
  <c r="BP64" i="15"/>
  <c r="BP120" i="15" s="1"/>
  <c r="BQ32" i="15" l="1"/>
  <c r="U72" i="6"/>
  <c r="U71" i="6" s="1"/>
  <c r="BW53" i="15"/>
  <c r="N24" i="74"/>
  <c r="N26" i="74"/>
  <c r="BX53" i="15" l="1"/>
  <c r="BX96" i="15" s="1"/>
  <c r="U319" i="67"/>
  <c r="U75" i="6"/>
  <c r="BW96" i="15"/>
  <c r="BQ33" i="15"/>
  <c r="BQ35" i="15" s="1"/>
  <c r="BQ37" i="15" s="1"/>
  <c r="BQ374" i="67" l="1"/>
  <c r="BQ43" i="15"/>
  <c r="BQ364" i="67" s="1"/>
  <c r="BQ94" i="15"/>
  <c r="BQ93" i="15" s="1"/>
  <c r="BQ363" i="67"/>
  <c r="U172" i="21"/>
  <c r="BQ38" i="15"/>
  <c r="U171" i="21" s="1"/>
  <c r="U76" i="6"/>
  <c r="BQ119" i="15"/>
  <c r="BY53" i="15"/>
  <c r="W102" i="6" s="1"/>
  <c r="BY96" i="15" l="1"/>
  <c r="W116" i="6" s="1"/>
  <c r="W306" i="67" s="1"/>
  <c r="U173" i="21"/>
  <c r="U132" i="6"/>
  <c r="BQ39" i="15"/>
  <c r="BQ88" i="15" s="1"/>
  <c r="U78" i="6"/>
  <c r="O20" i="74"/>
  <c r="O23" i="74" s="1"/>
  <c r="BQ366" i="67"/>
  <c r="BQ368" i="67"/>
  <c r="AM17" i="60" l="1"/>
  <c r="P32" i="61"/>
  <c r="U158" i="6"/>
  <c r="P52" i="61" s="1"/>
  <c r="U147" i="6"/>
  <c r="U178" i="6"/>
  <c r="BQ441" i="67"/>
  <c r="BO441" i="67"/>
  <c r="BP441" i="67"/>
  <c r="BN441" i="67"/>
  <c r="O26" i="74"/>
  <c r="P23" i="74"/>
  <c r="P26" i="74" s="1"/>
  <c r="O24" i="74"/>
  <c r="U80" i="6"/>
  <c r="BQ89" i="15"/>
  <c r="BQ109" i="15"/>
  <c r="BQ103" i="15" l="1"/>
  <c r="BQ110" i="15" s="1"/>
  <c r="U119" i="6"/>
  <c r="BK50" i="21"/>
  <c r="P44" i="61"/>
  <c r="U109" i="6"/>
  <c r="BQ90" i="15"/>
  <c r="BQ375" i="67"/>
  <c r="I29" i="74"/>
  <c r="I32" i="74" s="1"/>
  <c r="Y20" i="60"/>
  <c r="K13" i="60" s="1"/>
  <c r="K51" i="60" s="1"/>
  <c r="P23" i="61"/>
  <c r="U88" i="6"/>
  <c r="U89" i="6" s="1"/>
  <c r="AN15" i="60"/>
  <c r="U86" i="6"/>
  <c r="U143" i="6"/>
  <c r="P42" i="61" s="1"/>
  <c r="U154" i="6"/>
  <c r="U81" i="6"/>
  <c r="U82" i="6" s="1"/>
  <c r="U130" i="6"/>
  <c r="U175" i="6"/>
  <c r="U114" i="6"/>
  <c r="U87" i="6"/>
  <c r="U164" i="6"/>
  <c r="BQ442" i="67"/>
  <c r="P33" i="61" l="1"/>
  <c r="U314" i="67"/>
  <c r="P25" i="61"/>
  <c r="P26" i="61" s="1"/>
  <c r="AN16" i="60"/>
  <c r="B14" i="60" s="1"/>
  <c r="B52" i="60" s="1"/>
  <c r="U308" i="67"/>
  <c r="U117" i="6"/>
  <c r="P50" i="61"/>
  <c r="I49" i="74"/>
  <c r="I34" i="74"/>
  <c r="J49" i="74"/>
  <c r="H49" i="74"/>
  <c r="K49" i="74"/>
  <c r="P49" i="74" s="1"/>
  <c r="N49" i="74"/>
  <c r="O49" i="74"/>
  <c r="L49" i="74"/>
  <c r="M49" i="74"/>
  <c r="U144" i="6"/>
  <c r="P43" i="61" s="1"/>
  <c r="U131" i="6"/>
  <c r="U111" i="6"/>
  <c r="U155" i="6"/>
  <c r="U148" i="6"/>
  <c r="U159" i="6"/>
  <c r="P30" i="74"/>
  <c r="BQ112" i="15"/>
  <c r="K18" i="12" l="1"/>
  <c r="K20" i="12" s="1"/>
  <c r="K21" i="12" s="1"/>
  <c r="I35" i="74"/>
  <c r="K63" i="74" s="1"/>
  <c r="R58" i="74"/>
  <c r="B7" i="74"/>
  <c r="K55" i="74"/>
  <c r="S34" i="74"/>
  <c r="BQ49" i="15"/>
  <c r="BR111" i="15"/>
  <c r="P34" i="61"/>
  <c r="U315" i="67"/>
  <c r="U305" i="67"/>
  <c r="U307" i="67"/>
  <c r="K15" i="60"/>
  <c r="U123" i="6"/>
  <c r="P51" i="61"/>
  <c r="U98" i="6" l="1"/>
  <c r="BK49" i="21"/>
  <c r="BQ54" i="15"/>
  <c r="BK78" i="21"/>
  <c r="BK77" i="21"/>
  <c r="BQ91" i="15"/>
  <c r="BQ371" i="67"/>
  <c r="BQ372" i="67" s="1"/>
  <c r="BL72" i="21"/>
  <c r="CN207" i="18" s="1"/>
  <c r="BK69" i="21"/>
  <c r="U136" i="6"/>
  <c r="BQ122" i="15"/>
  <c r="U165" i="6"/>
  <c r="BR29" i="15" l="1"/>
  <c r="BQ365" i="67"/>
  <c r="BQ367" i="67" s="1"/>
  <c r="BQ64" i="15"/>
  <c r="BQ120" i="15" s="1"/>
  <c r="U126" i="6"/>
  <c r="U103" i="6"/>
  <c r="U163" i="6" l="1"/>
  <c r="U129" i="6"/>
  <c r="U166" i="6"/>
  <c r="U141" i="6"/>
  <c r="U128" i="6"/>
  <c r="U127" i="6"/>
  <c r="P28" i="61"/>
  <c r="AM18" i="60"/>
  <c r="K29" i="12"/>
  <c r="Y22" i="60"/>
  <c r="K17" i="60" s="1"/>
  <c r="K55" i="60" s="1"/>
  <c r="U152" i="6"/>
  <c r="BR32" i="15"/>
  <c r="AM19" i="60" l="1"/>
  <c r="M50" i="74"/>
  <c r="P29" i="61"/>
  <c r="Y23" i="60"/>
  <c r="K18" i="60" s="1"/>
  <c r="K56" i="60" s="1"/>
  <c r="P48" i="61"/>
  <c r="U153" i="6"/>
  <c r="K33" i="12"/>
  <c r="K35" i="12" s="1"/>
  <c r="U146" i="6" s="1"/>
  <c r="K40" i="12"/>
  <c r="K44" i="12" s="1"/>
  <c r="K46" i="12" s="1"/>
  <c r="U157" i="6" s="1"/>
  <c r="U156" i="6" s="1"/>
  <c r="BR33" i="15"/>
  <c r="BR35" i="15" s="1"/>
  <c r="BR37" i="15" s="1"/>
  <c r="U145" i="6"/>
  <c r="P40" i="61"/>
  <c r="U142" i="6"/>
  <c r="P41" i="61" s="1"/>
  <c r="P39" i="61" l="1"/>
  <c r="BR94" i="15"/>
  <c r="BR93" i="15" s="1"/>
  <c r="BR363" i="67"/>
  <c r="BR43" i="15"/>
  <c r="BR364" i="67" s="1"/>
  <c r="BR374" i="67"/>
  <c r="BR39" i="15"/>
  <c r="BR88" i="15" s="1"/>
  <c r="P49" i="61"/>
  <c r="BR119" i="15"/>
  <c r="P47" i="61"/>
  <c r="BR368" i="67" l="1"/>
  <c r="BR366" i="67"/>
  <c r="BR89" i="15"/>
  <c r="BR109" i="15"/>
  <c r="BL50" i="21" s="1"/>
  <c r="BR90" i="15" l="1"/>
  <c r="BR375" i="67"/>
  <c r="BR103" i="15"/>
  <c r="BR110" i="15" s="1"/>
  <c r="BR112" i="15" l="1"/>
  <c r="BR49" i="15" l="1"/>
  <c r="BS111" i="15"/>
  <c r="BL49" i="21" l="1"/>
  <c r="BL77" i="21"/>
  <c r="BM72" i="21"/>
  <c r="CO207" i="18" s="1"/>
  <c r="BR91" i="15"/>
  <c r="BR54" i="15"/>
  <c r="BR371" i="67"/>
  <c r="BR372" i="67" s="1"/>
  <c r="BL78" i="21"/>
  <c r="BL69" i="21"/>
  <c r="BR122" i="15"/>
  <c r="BS29" i="15" l="1"/>
  <c r="BR365" i="67"/>
  <c r="BR367" i="67" s="1"/>
  <c r="BR64" i="15"/>
  <c r="BR120" i="15" s="1"/>
  <c r="BS32" i="15" l="1"/>
  <c r="BS33" i="15" l="1"/>
  <c r="BS35" i="15" s="1"/>
  <c r="BS37" i="15" s="1"/>
  <c r="BS43" i="15" l="1"/>
  <c r="BS364" i="67" s="1"/>
  <c r="BS374" i="67"/>
  <c r="BS39" i="15"/>
  <c r="BS88" i="15" s="1"/>
  <c r="BS363" i="67"/>
  <c r="BS94" i="15"/>
  <c r="BS93" i="15" s="1"/>
  <c r="BS119" i="15"/>
  <c r="BS109" i="15" l="1"/>
  <c r="BS89" i="15"/>
  <c r="BS366" i="67"/>
  <c r="BS368" i="67"/>
  <c r="BM50" i="21"/>
  <c r="BS90" i="15" l="1"/>
  <c r="BS375" i="67"/>
  <c r="BS103" i="15"/>
  <c r="BS110" i="15" s="1"/>
  <c r="BS112" i="15" l="1"/>
  <c r="BS49" i="15" l="1"/>
  <c r="BT111" i="15"/>
  <c r="BM77" i="21" l="1"/>
  <c r="BM78" i="21"/>
  <c r="BS91" i="15"/>
  <c r="BM49" i="21"/>
  <c r="BS371" i="67"/>
  <c r="BS372" i="67" s="1"/>
  <c r="BS54" i="15"/>
  <c r="BN72" i="21"/>
  <c r="CP207" i="18" s="1"/>
  <c r="BM69" i="21"/>
  <c r="BS122" i="15"/>
  <c r="BT29" i="15" l="1"/>
  <c r="BS365" i="67"/>
  <c r="BS367" i="67" s="1"/>
  <c r="BS64" i="15"/>
  <c r="BS120" i="15" s="1"/>
  <c r="BT32" i="15" l="1"/>
  <c r="BT33" i="15" l="1"/>
  <c r="BT35" i="15" s="1"/>
  <c r="BT37" i="15" s="1"/>
  <c r="BT363" i="67" l="1"/>
  <c r="BT39" i="15"/>
  <c r="BT88" i="15" s="1"/>
  <c r="BT374" i="67"/>
  <c r="BT43" i="15"/>
  <c r="BT364" i="67" s="1"/>
  <c r="BT94" i="15"/>
  <c r="BT93" i="15" s="1"/>
  <c r="BT119" i="15"/>
  <c r="BT89" i="15" l="1"/>
  <c r="BT109" i="15"/>
  <c r="BN50" i="21" s="1"/>
  <c r="BT368" i="67"/>
  <c r="BT366" i="67"/>
  <c r="BT103" i="15" l="1"/>
  <c r="BT110" i="15" s="1"/>
  <c r="BT90" i="15"/>
  <c r="BT375" i="67"/>
  <c r="BT112" i="15" l="1"/>
  <c r="BT49" i="15" l="1"/>
  <c r="BU111" i="15"/>
  <c r="BN78" i="21" l="1"/>
  <c r="BT91" i="15"/>
  <c r="BN77" i="21"/>
  <c r="BN49" i="21"/>
  <c r="BO72" i="21"/>
  <c r="CQ207" i="18" s="1"/>
  <c r="BT371" i="67"/>
  <c r="BT372" i="67" s="1"/>
  <c r="BT54" i="15"/>
  <c r="BN69" i="21"/>
  <c r="BT122" i="15"/>
  <c r="BU29" i="15" l="1"/>
  <c r="BT365" i="67"/>
  <c r="BT367" i="67" s="1"/>
  <c r="BT64" i="15"/>
  <c r="BT120" i="15" s="1"/>
  <c r="BU32" i="15" l="1"/>
  <c r="V72" i="6"/>
  <c r="V71" i="6" s="1"/>
  <c r="V319" i="67" l="1"/>
  <c r="V75" i="6"/>
  <c r="BU33" i="15"/>
  <c r="BU35" i="15" s="1"/>
  <c r="BU37" i="15" s="1"/>
  <c r="BU374" i="67" l="1"/>
  <c r="BU363" i="67"/>
  <c r="BU43" i="15"/>
  <c r="BU364" i="67" s="1"/>
  <c r="BU94" i="15"/>
  <c r="BU93" i="15" s="1"/>
  <c r="BU38" i="15"/>
  <c r="V171" i="21" s="1"/>
  <c r="V172" i="21"/>
  <c r="V76" i="6"/>
  <c r="V78" i="6" s="1"/>
  <c r="BU119" i="15"/>
  <c r="V173" i="21" l="1"/>
  <c r="BU368" i="67"/>
  <c r="BU366" i="67"/>
  <c r="V80" i="6"/>
  <c r="V164" i="6" s="1"/>
  <c r="V132" i="6"/>
  <c r="BU39" i="15"/>
  <c r="BU88" i="15" s="1"/>
  <c r="BU89" i="15" l="1"/>
  <c r="BU109" i="15"/>
  <c r="BU441" i="67"/>
  <c r="BT441" i="67"/>
  <c r="BR441" i="67"/>
  <c r="BS441" i="67"/>
  <c r="V147" i="6"/>
  <c r="Q32" i="61"/>
  <c r="V158" i="6"/>
  <c r="Q52" i="61" s="1"/>
  <c r="V178" i="6"/>
  <c r="AN17" i="60"/>
  <c r="V154" i="6"/>
  <c r="V86" i="6"/>
  <c r="V175" i="6"/>
  <c r="Z20" i="60"/>
  <c r="L13" i="60" s="1"/>
  <c r="L51" i="60" s="1"/>
  <c r="V81" i="6"/>
  <c r="V82" i="6" s="1"/>
  <c r="V87" i="6"/>
  <c r="V130" i="6"/>
  <c r="Q23" i="61"/>
  <c r="V143" i="6"/>
  <c r="Q42" i="61" s="1"/>
  <c r="V88" i="6"/>
  <c r="V89" i="6" s="1"/>
  <c r="V114" i="6"/>
  <c r="Q50" i="61" l="1"/>
  <c r="V117" i="6"/>
  <c r="Q33" i="61"/>
  <c r="V314" i="67"/>
  <c r="Q44" i="61"/>
  <c r="V148" i="6"/>
  <c r="V159" i="6"/>
  <c r="V308" i="67"/>
  <c r="Q25" i="61"/>
  <c r="Q26" i="61" s="1"/>
  <c r="BU103" i="15"/>
  <c r="BU110" i="15" s="1"/>
  <c r="V119" i="6"/>
  <c r="BO50" i="21"/>
  <c r="BU442" i="67"/>
  <c r="BU90" i="15"/>
  <c r="V109" i="6"/>
  <c r="BU375" i="67"/>
  <c r="V123" i="6" l="1"/>
  <c r="V305" i="67"/>
  <c r="V307" i="67"/>
  <c r="L15" i="60"/>
  <c r="V144" i="6"/>
  <c r="Q43" i="61" s="1"/>
  <c r="V131" i="6"/>
  <c r="V111" i="6"/>
  <c r="V155" i="6"/>
  <c r="BU112" i="15"/>
  <c r="V165" i="6" l="1"/>
  <c r="Q34" i="61"/>
  <c r="V315" i="67"/>
  <c r="BU49" i="15"/>
  <c r="BV111" i="15"/>
  <c r="Q51" i="61"/>
  <c r="BO49" i="21" l="1"/>
  <c r="BU371" i="67"/>
  <c r="BU372" i="67" s="1"/>
  <c r="BU54" i="15"/>
  <c r="BO78" i="21"/>
  <c r="BP72" i="21"/>
  <c r="CR207" i="18" s="1"/>
  <c r="BU91" i="15"/>
  <c r="V98" i="6"/>
  <c r="BO77" i="21"/>
  <c r="BO69" i="21"/>
  <c r="V136" i="6"/>
  <c r="BU122" i="15"/>
  <c r="V126" i="6" l="1"/>
  <c r="V103" i="6"/>
  <c r="BU365" i="67"/>
  <c r="BU367" i="67" s="1"/>
  <c r="BU64" i="15"/>
  <c r="BU120" i="15" s="1"/>
  <c r="BV29" i="15"/>
  <c r="V163" i="6" l="1"/>
  <c r="V129" i="6"/>
  <c r="BV32" i="15"/>
  <c r="V127" i="6"/>
  <c r="V128" i="6"/>
  <c r="Z22" i="60"/>
  <c r="L17" i="60" s="1"/>
  <c r="L55" i="60" s="1"/>
  <c r="L29" i="12"/>
  <c r="Q28" i="61"/>
  <c r="V141" i="6"/>
  <c r="AN18" i="60"/>
  <c r="V166" i="6"/>
  <c r="V152" i="6"/>
  <c r="BV33" i="15" l="1"/>
  <c r="BV35" i="15" s="1"/>
  <c r="BV37" i="15" s="1"/>
  <c r="Q48" i="61"/>
  <c r="V153" i="6"/>
  <c r="AN19" i="60"/>
  <c r="Z23" i="60"/>
  <c r="L18" i="60" s="1"/>
  <c r="L56" i="60" s="1"/>
  <c r="Q29" i="61"/>
  <c r="N50" i="74"/>
  <c r="Q40" i="61"/>
  <c r="V145" i="6"/>
  <c r="V142" i="6"/>
  <c r="Q41" i="61" s="1"/>
  <c r="L33" i="12"/>
  <c r="L35" i="12" s="1"/>
  <c r="V146" i="6" s="1"/>
  <c r="L40" i="12"/>
  <c r="L44" i="12" s="1"/>
  <c r="L46" i="12" s="1"/>
  <c r="V157" i="6" s="1"/>
  <c r="V156" i="6" s="1"/>
  <c r="BV363" i="67" l="1"/>
  <c r="BV43" i="15"/>
  <c r="BV364" i="67" s="1"/>
  <c r="BV374" i="67"/>
  <c r="BV94" i="15"/>
  <c r="BV93" i="15" s="1"/>
  <c r="BV39" i="15"/>
  <c r="BV88" i="15" s="1"/>
  <c r="Q39" i="61"/>
  <c r="Q47" i="61"/>
  <c r="Q49" i="61"/>
  <c r="BV119" i="15"/>
  <c r="BV366" i="67" l="1"/>
  <c r="BV368" i="67"/>
  <c r="BV109" i="15"/>
  <c r="BP50" i="21" s="1"/>
  <c r="BV89" i="15"/>
  <c r="BV103" i="15" l="1"/>
  <c r="BV110" i="15" s="1"/>
  <c r="BV90" i="15"/>
  <c r="BV375" i="67"/>
  <c r="BV112" i="15" l="1"/>
  <c r="BV49" i="15" l="1"/>
  <c r="BW111" i="15"/>
  <c r="BP49" i="21" l="1"/>
  <c r="BQ72" i="21"/>
  <c r="CS207" i="18" s="1"/>
  <c r="BV91" i="15"/>
  <c r="BV371" i="67"/>
  <c r="BV372" i="67" s="1"/>
  <c r="BP78" i="21"/>
  <c r="BV54" i="15"/>
  <c r="BP77" i="21"/>
  <c r="BP69" i="21"/>
  <c r="BV122" i="15"/>
  <c r="BV365" i="67" l="1"/>
  <c r="BV367" i="67" s="1"/>
  <c r="BV64" i="15"/>
  <c r="BV120" i="15" s="1"/>
  <c r="BW29" i="15"/>
  <c r="BW32" i="15" l="1"/>
  <c r="BW33" i="15" l="1"/>
  <c r="BW35" i="15" s="1"/>
  <c r="BW37" i="15" s="1"/>
  <c r="BW363" i="67" l="1"/>
  <c r="BW39" i="15"/>
  <c r="BW88" i="15" s="1"/>
  <c r="BW94" i="15"/>
  <c r="BW93" i="15" s="1"/>
  <c r="BW43" i="15"/>
  <c r="BW364" i="67" s="1"/>
  <c r="BW374" i="67"/>
  <c r="BW119" i="15"/>
  <c r="BW368" i="67" l="1"/>
  <c r="BW366" i="67"/>
  <c r="BW89" i="15"/>
  <c r="BW109" i="15"/>
  <c r="BQ50" i="21" s="1"/>
  <c r="BW90" i="15" l="1"/>
  <c r="BW375" i="67"/>
  <c r="BW103" i="15"/>
  <c r="BW110" i="15" s="1"/>
  <c r="BW112" i="15" l="1"/>
  <c r="BW49" i="15" l="1"/>
  <c r="BX111" i="15"/>
  <c r="BW371" i="67" l="1"/>
  <c r="BW372" i="67" s="1"/>
  <c r="BW54" i="15"/>
  <c r="BQ49" i="21"/>
  <c r="BW91" i="15"/>
  <c r="BQ78" i="21"/>
  <c r="BQ77" i="21"/>
  <c r="BR72" i="21"/>
  <c r="CT207" i="18" s="1"/>
  <c r="BQ69" i="21"/>
  <c r="BW122" i="15"/>
  <c r="BX29" i="15" l="1"/>
  <c r="BW365" i="67"/>
  <c r="BW367" i="67" s="1"/>
  <c r="BW64" i="15"/>
  <c r="BW120" i="15" s="1"/>
  <c r="BX32" i="15" l="1"/>
  <c r="BX33" i="15" l="1"/>
  <c r="BX35" i="15" s="1"/>
  <c r="BX37" i="15" s="1"/>
  <c r="BX374" i="67" l="1"/>
  <c r="BX43" i="15"/>
  <c r="BX364" i="67" s="1"/>
  <c r="BX94" i="15"/>
  <c r="BX93" i="15" s="1"/>
  <c r="BX39" i="15"/>
  <c r="BX88" i="15" s="1"/>
  <c r="BX363" i="67"/>
  <c r="BX119" i="15"/>
  <c r="BX89" i="15" l="1"/>
  <c r="BX109" i="15"/>
  <c r="BR50" i="21" s="1"/>
  <c r="BX366" i="67"/>
  <c r="BX368" i="67"/>
  <c r="BX103" i="15" l="1"/>
  <c r="BX110" i="15" s="1"/>
  <c r="BX90" i="15"/>
  <c r="BX375" i="67"/>
  <c r="BX112" i="15" l="1"/>
  <c r="BX49" i="15" l="1"/>
  <c r="BY111" i="15"/>
  <c r="BX91" i="15" l="1"/>
  <c r="BR77" i="21"/>
  <c r="BX371" i="67"/>
  <c r="BX372" i="67" s="1"/>
  <c r="BX54" i="15"/>
  <c r="BR49" i="21"/>
  <c r="BR78" i="21"/>
  <c r="BS72" i="21"/>
  <c r="CU207" i="18" s="1"/>
  <c r="BR69" i="21"/>
  <c r="BX122" i="15"/>
  <c r="BY29" i="15" l="1"/>
  <c r="S207" i="18"/>
  <c r="S208" i="18" s="1"/>
  <c r="O207" i="18"/>
  <c r="O208" i="18" s="1"/>
  <c r="T207" i="18"/>
  <c r="T208" i="18" s="1"/>
  <c r="R207" i="18"/>
  <c r="R208" i="18" s="1"/>
  <c r="P207" i="18"/>
  <c r="P208" i="18" s="1"/>
  <c r="U207" i="18"/>
  <c r="U208" i="18" s="1"/>
  <c r="Q207" i="18"/>
  <c r="Q208" i="18" s="1"/>
  <c r="N207" i="18"/>
  <c r="N208" i="18" s="1"/>
  <c r="M207" i="18"/>
  <c r="M208" i="18" s="1"/>
  <c r="BX365" i="67"/>
  <c r="BX367" i="67" s="1"/>
  <c r="BX64" i="15"/>
  <c r="BX120" i="15" s="1"/>
  <c r="BY32" i="15" l="1"/>
  <c r="W72" i="6"/>
  <c r="W71" i="6" s="1"/>
  <c r="W75" i="6" l="1"/>
  <c r="W319" i="67"/>
  <c r="BY33" i="15"/>
  <c r="W76" i="6" l="1"/>
  <c r="W78" i="6" s="1"/>
  <c r="BY35" i="15"/>
  <c r="BY37" i="15" s="1"/>
  <c r="BY119" i="15" s="1"/>
  <c r="BY94" i="15" l="1"/>
  <c r="BY93" i="15" s="1"/>
  <c r="BY363" i="67"/>
  <c r="BY43" i="15"/>
  <c r="BY364" i="67" s="1"/>
  <c r="BY374" i="67"/>
  <c r="W172" i="21"/>
  <c r="BY38" i="15"/>
  <c r="W171" i="21" s="1"/>
  <c r="W80" i="6"/>
  <c r="W164" i="6" s="1"/>
  <c r="W132" i="6"/>
  <c r="W173" i="21" l="1"/>
  <c r="W178" i="6"/>
  <c r="W158" i="6"/>
  <c r="R52" i="61" s="1"/>
  <c r="W147" i="6"/>
  <c r="R32" i="61"/>
  <c r="W86" i="6"/>
  <c r="W88" i="6"/>
  <c r="W89" i="6" s="1"/>
  <c r="W114" i="6"/>
  <c r="W175" i="6"/>
  <c r="W87" i="6"/>
  <c r="W81" i="6"/>
  <c r="W82" i="6" s="1"/>
  <c r="R23" i="61"/>
  <c r="W130" i="6"/>
  <c r="AA80" i="6"/>
  <c r="AA20" i="60"/>
  <c r="M13" i="60" s="1"/>
  <c r="M51" i="60" s="1"/>
  <c r="W143" i="6"/>
  <c r="R42" i="61" s="1"/>
  <c r="W154" i="6"/>
  <c r="BY39" i="15"/>
  <c r="BY88" i="15" s="1"/>
  <c r="BY368" i="67"/>
  <c r="BY366" i="67"/>
  <c r="R33" i="61" l="1"/>
  <c r="W314" i="67"/>
  <c r="W117" i="6"/>
  <c r="R44" i="61"/>
  <c r="BY109" i="15"/>
  <c r="BY89" i="15"/>
  <c r="W159" i="6"/>
  <c r="W148" i="6"/>
  <c r="BY441" i="67"/>
  <c r="BX441" i="67"/>
  <c r="BW441" i="67"/>
  <c r="BV441" i="67"/>
  <c r="R50" i="61"/>
  <c r="AA87" i="6"/>
  <c r="R25" i="61"/>
  <c r="R26" i="61" s="1"/>
  <c r="W308" i="67"/>
  <c r="W109" i="6" l="1"/>
  <c r="BY90" i="15"/>
  <c r="BY375" i="67"/>
  <c r="BY442" i="67"/>
  <c r="BY103" i="15"/>
  <c r="BY110" i="15" s="1"/>
  <c r="W119" i="6"/>
  <c r="W123" i="6" s="1"/>
  <c r="BS50" i="21"/>
  <c r="W307" i="67"/>
  <c r="M15" i="60"/>
  <c r="W305" i="67"/>
  <c r="W165" i="6" l="1"/>
  <c r="BY112" i="15"/>
  <c r="BY49" i="15" s="1"/>
  <c r="BY122" i="15" s="1"/>
  <c r="W144" i="6"/>
  <c r="R43" i="61" s="1"/>
  <c r="W155" i="6"/>
  <c r="W131" i="6"/>
  <c r="W111" i="6"/>
  <c r="W315" i="67" l="1"/>
  <c r="R34" i="61"/>
  <c r="BY54" i="15"/>
  <c r="BY371" i="67"/>
  <c r="BY372" i="67" s="1"/>
  <c r="W98" i="6"/>
  <c r="BY91" i="15"/>
  <c r="BS77" i="21"/>
  <c r="BS49" i="21"/>
  <c r="BS78" i="21"/>
  <c r="BS69" i="21"/>
  <c r="R51" i="61"/>
  <c r="W136" i="6"/>
  <c r="W126" i="6" l="1"/>
  <c r="W103" i="6"/>
  <c r="BY365" i="67"/>
  <c r="BY367" i="67" s="1"/>
  <c r="BY64" i="15"/>
  <c r="BY120" i="15" s="1"/>
  <c r="W163" i="6" l="1"/>
  <c r="W129" i="6"/>
  <c r="M29" i="12"/>
  <c r="W127" i="6"/>
  <c r="W166" i="6"/>
  <c r="R28" i="61"/>
  <c r="AA22" i="60"/>
  <c r="M17" i="60" s="1"/>
  <c r="M55" i="60" s="1"/>
  <c r="W128" i="6"/>
  <c r="W141" i="6"/>
  <c r="W152" i="6"/>
  <c r="R29" i="61" l="1"/>
  <c r="O50" i="74"/>
  <c r="AA23" i="60"/>
  <c r="M18" i="60" s="1"/>
  <c r="M56" i="60" s="1"/>
  <c r="R40" i="61"/>
  <c r="W145" i="6"/>
  <c r="W142" i="6"/>
  <c r="R41" i="61" s="1"/>
  <c r="R48" i="61"/>
  <c r="W153" i="6"/>
  <c r="M40" i="12"/>
  <c r="M44" i="12" s="1"/>
  <c r="M46" i="12" s="1"/>
  <c r="W157" i="6" s="1"/>
  <c r="W156" i="6" s="1"/>
  <c r="M33" i="12"/>
  <c r="M35" i="12" s="1"/>
  <c r="W146" i="6" s="1"/>
  <c r="R39" i="61" l="1"/>
  <c r="R47" i="61"/>
  <c r="R49" i="61"/>
  <c r="E372" i="67" l="1"/>
  <c r="B22" i="15"/>
  <c r="B23" i="15"/>
  <c r="B116" i="15"/>
  <c r="X177" i="18"/>
  <c r="X187" i="18"/>
</calcChain>
</file>

<file path=xl/comments1.xml><?xml version="1.0" encoding="utf-8"?>
<comments xmlns="http://schemas.openxmlformats.org/spreadsheetml/2006/main">
  <authors>
    <author>Duran, Cristian (Research)</author>
  </authors>
  <commentList>
    <comment ref="M11" authorId="0">
      <text>
        <r>
          <rPr>
            <b/>
            <sz val="9"/>
            <color indexed="81"/>
            <rFont val="Tahoma"/>
            <family val="2"/>
          </rPr>
          <t>Duran, Cristian (Research):</t>
        </r>
        <r>
          <rPr>
            <sz val="9"/>
            <color indexed="81"/>
            <rFont val="Tahoma"/>
            <family val="2"/>
          </rPr>
          <t xml:space="preserve">
2017 ITR</t>
        </r>
      </text>
    </comment>
    <comment ref="M12" authorId="0">
      <text>
        <r>
          <rPr>
            <b/>
            <sz val="9"/>
            <color indexed="81"/>
            <rFont val="Tahoma"/>
            <family val="2"/>
          </rPr>
          <t>Duran, Cristian (Research):</t>
        </r>
        <r>
          <rPr>
            <sz val="9"/>
            <color indexed="81"/>
            <rFont val="Tahoma"/>
            <family val="2"/>
          </rPr>
          <t xml:space="preserve">
2017 ITR</t>
        </r>
      </text>
    </comment>
  </commentList>
</comments>
</file>

<file path=xl/comments2.xml><?xml version="1.0" encoding="utf-8"?>
<comments xmlns="http://schemas.openxmlformats.org/spreadsheetml/2006/main">
  <authors>
    <author>Valerio, Josue (Research)</author>
    <author>Martinez de Olcoz Cerdan, Javier (Research)</author>
    <author>Gopal, Shwetha (Research)</author>
    <author>ggregori</author>
  </authors>
  <commentList>
    <comment ref="D4" authorId="0">
      <text>
        <r>
          <rPr>
            <sz val="9"/>
            <color indexed="81"/>
            <rFont val="Tahoma"/>
            <family val="2"/>
          </rPr>
          <t>This is the first year with data currently available</t>
        </r>
      </text>
    </comment>
    <comment ref="L33" authorId="1">
      <text>
        <r>
          <rPr>
            <sz val="9"/>
            <color indexed="81"/>
            <rFont val="Tahoma"/>
            <family val="2"/>
          </rPr>
          <t xml:space="preserve">Given the adoption of the new accounting standard IFRS 11 (CPC 19) as of this fiscal year, São Martinho S.A. will no longer proportionally consolidate the results of its investees. In view of the materiality of the results of Nova Fronteira Bioenergia S.A. (50.95%) and Santa Cruz S.A. (32.18%) to the São Martinho Group, the Company decided to continue to present on a pro-forma basis its balance sheet, income statement and cash flow statement in the set of financial statements following the same consolidation criteria used prior to the adoption of said standard.
</t>
        </r>
      </text>
    </comment>
    <comment ref="L42" authorId="2">
      <text>
        <r>
          <rPr>
            <sz val="9"/>
            <color indexed="81"/>
            <rFont val="Tahoma"/>
            <family val="2"/>
          </rPr>
          <t>In our model we calculate Cash COGS as COGS Reported - Depreciation. The reported Cash COGS differs slighthly from that calculation</t>
        </r>
      </text>
    </comment>
    <comment ref="F76" authorId="3">
      <text>
        <r>
          <rPr>
            <sz val="10"/>
            <rFont val="Arial"/>
            <family val="2"/>
          </rPr>
          <t>ggregori:
21501</t>
        </r>
      </text>
    </comment>
    <comment ref="B84" authorId="1">
      <text>
        <r>
          <rPr>
            <b/>
            <sz val="9"/>
            <color indexed="81"/>
            <rFont val="Tahoma"/>
            <family val="2"/>
          </rPr>
          <t>adjusted by 3x1 split in Jan 2017</t>
        </r>
      </text>
    </comment>
    <comment ref="C84" authorId="1">
      <text>
        <r>
          <rPr>
            <b/>
            <sz val="9"/>
            <color indexed="81"/>
            <rFont val="Tahoma"/>
            <family val="2"/>
          </rPr>
          <t>adjusted by 3x1 split in Jan 2017</t>
        </r>
      </text>
    </comment>
    <comment ref="D84" authorId="1">
      <text>
        <r>
          <rPr>
            <b/>
            <sz val="9"/>
            <color indexed="81"/>
            <rFont val="Tahoma"/>
            <family val="2"/>
          </rPr>
          <t>adjusted by 3x1 split in Jan 2017</t>
        </r>
      </text>
    </comment>
    <comment ref="E84" authorId="1">
      <text>
        <r>
          <rPr>
            <b/>
            <sz val="9"/>
            <color indexed="81"/>
            <rFont val="Tahoma"/>
            <family val="2"/>
          </rPr>
          <t>adjusted by 3x1 split in Jan 2017</t>
        </r>
      </text>
    </comment>
    <comment ref="F84" authorId="1">
      <text>
        <r>
          <rPr>
            <b/>
            <sz val="9"/>
            <color indexed="81"/>
            <rFont val="Tahoma"/>
            <family val="2"/>
          </rPr>
          <t>adjusted by 3x1 split in Jan 2017</t>
        </r>
      </text>
    </comment>
    <comment ref="G84" authorId="1">
      <text>
        <r>
          <rPr>
            <b/>
            <sz val="9"/>
            <color indexed="81"/>
            <rFont val="Tahoma"/>
            <family val="2"/>
          </rPr>
          <t>adjusted by 3x1 split in Jan 2017</t>
        </r>
      </text>
    </comment>
    <comment ref="H84" authorId="1">
      <text>
        <r>
          <rPr>
            <b/>
            <sz val="9"/>
            <color indexed="81"/>
            <rFont val="Tahoma"/>
            <family val="2"/>
          </rPr>
          <t>adjusted by 3x1 split in Jan 2017</t>
        </r>
      </text>
    </comment>
    <comment ref="I84" authorId="1">
      <text>
        <r>
          <rPr>
            <b/>
            <sz val="9"/>
            <color indexed="81"/>
            <rFont val="Tahoma"/>
            <family val="2"/>
          </rPr>
          <t>adjusted by 3x1 split in Jan 2017</t>
        </r>
      </text>
    </comment>
    <comment ref="J84" authorId="1">
      <text>
        <r>
          <rPr>
            <b/>
            <sz val="9"/>
            <color indexed="81"/>
            <rFont val="Tahoma"/>
            <family val="2"/>
          </rPr>
          <t>adjusted by 3x1 split in Jan 2017</t>
        </r>
      </text>
    </comment>
    <comment ref="K84" authorId="1">
      <text>
        <r>
          <rPr>
            <b/>
            <sz val="9"/>
            <color indexed="81"/>
            <rFont val="Tahoma"/>
            <family val="2"/>
          </rPr>
          <t>adjusted by 3x1 split in Jan 2017</t>
        </r>
      </text>
    </comment>
    <comment ref="L84" authorId="1">
      <text>
        <r>
          <rPr>
            <b/>
            <sz val="9"/>
            <color indexed="81"/>
            <rFont val="Tahoma"/>
            <family val="2"/>
          </rPr>
          <t>adjusted by 3x1 split in Jan 2017</t>
        </r>
      </text>
    </comment>
    <comment ref="M84" authorId="1">
      <text>
        <r>
          <rPr>
            <b/>
            <sz val="9"/>
            <color indexed="81"/>
            <rFont val="Tahoma"/>
            <family val="2"/>
          </rPr>
          <t>adjusted by 3x1 split in Jan 2017</t>
        </r>
      </text>
    </comment>
    <comment ref="N84" authorId="1">
      <text>
        <r>
          <rPr>
            <b/>
            <sz val="9"/>
            <color indexed="81"/>
            <rFont val="Tahoma"/>
            <family val="2"/>
          </rPr>
          <t>adjusted by 3x1 split in Jan 2017</t>
        </r>
      </text>
    </comment>
    <comment ref="B85" authorId="1">
      <text>
        <r>
          <rPr>
            <b/>
            <sz val="9"/>
            <color indexed="81"/>
            <rFont val="Tahoma"/>
            <family val="2"/>
          </rPr>
          <t>adjusted by 3x1 split in Jan 2017</t>
        </r>
      </text>
    </comment>
    <comment ref="C85" authorId="1">
      <text>
        <r>
          <rPr>
            <b/>
            <sz val="9"/>
            <color indexed="81"/>
            <rFont val="Tahoma"/>
            <family val="2"/>
          </rPr>
          <t>adjusted by 3x1 split in Jan 2017</t>
        </r>
      </text>
    </comment>
    <comment ref="D85" authorId="1">
      <text>
        <r>
          <rPr>
            <b/>
            <sz val="9"/>
            <color indexed="81"/>
            <rFont val="Tahoma"/>
            <family val="2"/>
          </rPr>
          <t>adjusted by 3x1 split in Jan 2017</t>
        </r>
      </text>
    </comment>
    <comment ref="E85" authorId="1">
      <text>
        <r>
          <rPr>
            <b/>
            <sz val="9"/>
            <color indexed="81"/>
            <rFont val="Tahoma"/>
            <family val="2"/>
          </rPr>
          <t>adjusted by 3x1 split in Jan 2017</t>
        </r>
      </text>
    </comment>
    <comment ref="F85" authorId="1">
      <text>
        <r>
          <rPr>
            <b/>
            <sz val="9"/>
            <color indexed="81"/>
            <rFont val="Tahoma"/>
            <family val="2"/>
          </rPr>
          <t>adjusted by 3x1 split in Jan 2017</t>
        </r>
      </text>
    </comment>
    <comment ref="G85" authorId="1">
      <text>
        <r>
          <rPr>
            <b/>
            <sz val="9"/>
            <color indexed="81"/>
            <rFont val="Tahoma"/>
            <family val="2"/>
          </rPr>
          <t>adjusted by 3x1 split in Jan 2017</t>
        </r>
      </text>
    </comment>
    <comment ref="H85" authorId="1">
      <text>
        <r>
          <rPr>
            <b/>
            <sz val="9"/>
            <color indexed="81"/>
            <rFont val="Tahoma"/>
            <family val="2"/>
          </rPr>
          <t>adjusted by 3x1 split in Jan 2017</t>
        </r>
      </text>
    </comment>
    <comment ref="I85" authorId="1">
      <text>
        <r>
          <rPr>
            <b/>
            <sz val="9"/>
            <color indexed="81"/>
            <rFont val="Tahoma"/>
            <family val="2"/>
          </rPr>
          <t>adjusted by 3x1 split in Jan 2017</t>
        </r>
      </text>
    </comment>
    <comment ref="J85" authorId="1">
      <text>
        <r>
          <rPr>
            <b/>
            <sz val="9"/>
            <color indexed="81"/>
            <rFont val="Tahoma"/>
            <family val="2"/>
          </rPr>
          <t>adjusted by 3x1 split in Jan 2017</t>
        </r>
      </text>
    </comment>
    <comment ref="K85" authorId="1">
      <text>
        <r>
          <rPr>
            <b/>
            <sz val="9"/>
            <color indexed="81"/>
            <rFont val="Tahoma"/>
            <family val="2"/>
          </rPr>
          <t>adjusted by 3x1 split in Jan 2017</t>
        </r>
      </text>
    </comment>
    <comment ref="L85" authorId="1">
      <text>
        <r>
          <rPr>
            <b/>
            <sz val="9"/>
            <color indexed="81"/>
            <rFont val="Tahoma"/>
            <family val="2"/>
          </rPr>
          <t>adjusted by 3x1 split in Jan 2017</t>
        </r>
      </text>
    </comment>
    <comment ref="M85" authorId="1">
      <text>
        <r>
          <rPr>
            <b/>
            <sz val="9"/>
            <color indexed="81"/>
            <rFont val="Tahoma"/>
            <family val="2"/>
          </rPr>
          <t>adjusted by 3x1 split in Jan 2017</t>
        </r>
      </text>
    </comment>
    <comment ref="N85" authorId="1">
      <text>
        <r>
          <rPr>
            <b/>
            <sz val="9"/>
            <color indexed="81"/>
            <rFont val="Tahoma"/>
            <family val="2"/>
          </rPr>
          <t>adjusted by 3x1 split in Jan 2017</t>
        </r>
      </text>
    </comment>
    <comment ref="N116" authorId="1">
      <text>
        <r>
          <rPr>
            <b/>
            <sz val="9"/>
            <color indexed="81"/>
            <rFont val="Tahoma"/>
            <family val="2"/>
          </rPr>
          <t>Martinez de Olcoz Cerdan, Javier (Research):</t>
        </r>
        <r>
          <rPr>
            <sz val="9"/>
            <color indexed="81"/>
            <rFont val="Tahoma"/>
            <family val="2"/>
          </rPr>
          <t xml:space="preserve">
Since 1Q17 company included Biological Assets in Total Short-term Assets, 4Q16 is restated , however we don't have the restatement for 4Q15 making the comparison unviable.</t>
        </r>
      </text>
    </comment>
    <comment ref="G168" authorId="2">
      <text>
        <r>
          <rPr>
            <sz val="9"/>
            <color indexed="81"/>
            <rFont val="Tahoma"/>
            <family val="2"/>
          </rPr>
          <t xml:space="preserve">Hardcoded numbers indicate numbers published by the company
</t>
        </r>
      </text>
    </comment>
    <comment ref="H168" authorId="2">
      <text>
        <r>
          <rPr>
            <sz val="9"/>
            <color indexed="81"/>
            <rFont val="Tahoma"/>
            <family val="2"/>
          </rPr>
          <t xml:space="preserve">Hardcoded numbers indicate numbers published by the company
</t>
        </r>
      </text>
    </comment>
    <comment ref="I168" authorId="2">
      <text>
        <r>
          <rPr>
            <sz val="9"/>
            <color indexed="81"/>
            <rFont val="Tahoma"/>
            <family val="2"/>
          </rPr>
          <t xml:space="preserve">Hardcoded numbers indicate numbers published by the company
</t>
        </r>
      </text>
    </comment>
    <comment ref="J168" authorId="2">
      <text>
        <r>
          <rPr>
            <sz val="9"/>
            <color indexed="81"/>
            <rFont val="Tahoma"/>
            <family val="2"/>
          </rPr>
          <t xml:space="preserve">Hardcoded numbers indicate numbers published by the company
</t>
        </r>
      </text>
    </comment>
    <comment ref="K168" authorId="2">
      <text>
        <r>
          <rPr>
            <sz val="9"/>
            <color indexed="81"/>
            <rFont val="Tahoma"/>
            <family val="2"/>
          </rPr>
          <t xml:space="preserve">Hardcoded numbers indicate numbers published by the company
</t>
        </r>
      </text>
    </comment>
    <comment ref="L168" authorId="2">
      <text>
        <r>
          <rPr>
            <sz val="9"/>
            <color indexed="81"/>
            <rFont val="Tahoma"/>
            <family val="2"/>
          </rPr>
          <t xml:space="preserve">Hardcoded numbers indicate numbers published by the company
</t>
        </r>
      </text>
    </comment>
    <comment ref="G169" authorId="2">
      <text>
        <r>
          <rPr>
            <sz val="9"/>
            <color indexed="81"/>
            <rFont val="Tahoma"/>
            <family val="2"/>
          </rPr>
          <t xml:space="preserve">Hardcoded numbers indicate numbers published by the company
</t>
        </r>
      </text>
    </comment>
    <comment ref="H169" authorId="2">
      <text>
        <r>
          <rPr>
            <sz val="9"/>
            <color indexed="81"/>
            <rFont val="Tahoma"/>
            <family val="2"/>
          </rPr>
          <t xml:space="preserve">Hardcoded numbers indicate numbers published by the company
</t>
        </r>
      </text>
    </comment>
    <comment ref="I169" authorId="2">
      <text>
        <r>
          <rPr>
            <sz val="9"/>
            <color indexed="81"/>
            <rFont val="Tahoma"/>
            <family val="2"/>
          </rPr>
          <t xml:space="preserve">Hardcoded numbers indicate numbers published by the company
</t>
        </r>
      </text>
    </comment>
    <comment ref="J169" authorId="2">
      <text>
        <r>
          <rPr>
            <sz val="9"/>
            <color indexed="81"/>
            <rFont val="Tahoma"/>
            <family val="2"/>
          </rPr>
          <t xml:space="preserve">Hardcoded numbers indicate numbers published by the company
</t>
        </r>
      </text>
    </comment>
    <comment ref="K169" authorId="2">
      <text>
        <r>
          <rPr>
            <sz val="9"/>
            <color indexed="81"/>
            <rFont val="Tahoma"/>
            <family val="2"/>
          </rPr>
          <t xml:space="preserve">Hardcoded numbers indicate numbers published by the company
</t>
        </r>
      </text>
    </comment>
    <comment ref="L169" authorId="2">
      <text>
        <r>
          <rPr>
            <sz val="9"/>
            <color indexed="81"/>
            <rFont val="Tahoma"/>
            <family val="2"/>
          </rPr>
          <t xml:space="preserve">Hardcoded numbers indicate numbers published by the company
</t>
        </r>
      </text>
    </comment>
    <comment ref="G170" authorId="2">
      <text>
        <r>
          <rPr>
            <sz val="9"/>
            <color indexed="81"/>
            <rFont val="Tahoma"/>
            <family val="2"/>
          </rPr>
          <t xml:space="preserve">Hardcoded numbers indicate numbers published by the company
</t>
        </r>
      </text>
    </comment>
    <comment ref="H170" authorId="2">
      <text>
        <r>
          <rPr>
            <sz val="9"/>
            <color indexed="81"/>
            <rFont val="Tahoma"/>
            <family val="2"/>
          </rPr>
          <t xml:space="preserve">Hardcoded numbers indicate numbers published by the company
</t>
        </r>
      </text>
    </comment>
    <comment ref="I170" authorId="2">
      <text>
        <r>
          <rPr>
            <sz val="9"/>
            <color indexed="81"/>
            <rFont val="Tahoma"/>
            <family val="2"/>
          </rPr>
          <t xml:space="preserve">Hardcoded numbers indicate numbers published by the company
</t>
        </r>
      </text>
    </comment>
    <comment ref="J170" authorId="2">
      <text>
        <r>
          <rPr>
            <sz val="9"/>
            <color indexed="81"/>
            <rFont val="Tahoma"/>
            <family val="2"/>
          </rPr>
          <t xml:space="preserve">Hardcoded numbers indicate numbers published by the company
</t>
        </r>
      </text>
    </comment>
    <comment ref="K170" authorId="2">
      <text>
        <r>
          <rPr>
            <sz val="9"/>
            <color indexed="81"/>
            <rFont val="Tahoma"/>
            <family val="2"/>
          </rPr>
          <t xml:space="preserve">Hardcoded numbers indicate numbers published by the company
</t>
        </r>
      </text>
    </comment>
    <comment ref="L170" authorId="2">
      <text>
        <r>
          <rPr>
            <sz val="9"/>
            <color indexed="81"/>
            <rFont val="Tahoma"/>
            <family val="2"/>
          </rPr>
          <t xml:space="preserve">Hardcoded numbers indicate numbers published by the company
</t>
        </r>
      </text>
    </comment>
    <comment ref="D171" authorId="2">
      <text>
        <r>
          <rPr>
            <sz val="9"/>
            <color indexed="81"/>
            <rFont val="Tahoma"/>
            <family val="2"/>
          </rPr>
          <t xml:space="preserve">Hardcoded numbers indicate numbers published by the company
</t>
        </r>
      </text>
    </comment>
    <comment ref="E171" authorId="2">
      <text>
        <r>
          <rPr>
            <sz val="9"/>
            <color indexed="81"/>
            <rFont val="Tahoma"/>
            <family val="2"/>
          </rPr>
          <t xml:space="preserve">Hardcoded numbers indicate numbers published by the company
</t>
        </r>
      </text>
    </comment>
    <comment ref="F171" authorId="2">
      <text>
        <r>
          <rPr>
            <sz val="9"/>
            <color indexed="81"/>
            <rFont val="Tahoma"/>
            <family val="2"/>
          </rPr>
          <t xml:space="preserve">Hardcoded numbers indicate numbers published by the company
</t>
        </r>
      </text>
    </comment>
    <comment ref="G171" authorId="2">
      <text>
        <r>
          <rPr>
            <sz val="9"/>
            <color indexed="81"/>
            <rFont val="Tahoma"/>
            <family val="2"/>
          </rPr>
          <t xml:space="preserve">Hardcoded numbers indicate numbers published by the company
</t>
        </r>
      </text>
    </comment>
    <comment ref="H171" authorId="2">
      <text>
        <r>
          <rPr>
            <sz val="9"/>
            <color indexed="81"/>
            <rFont val="Tahoma"/>
            <family val="2"/>
          </rPr>
          <t xml:space="preserve">Hardcoded numbers indicate numbers published by the company
</t>
        </r>
      </text>
    </comment>
    <comment ref="I171" authorId="2">
      <text>
        <r>
          <rPr>
            <sz val="9"/>
            <color indexed="81"/>
            <rFont val="Tahoma"/>
            <family val="2"/>
          </rPr>
          <t xml:space="preserve">Hardcoded numbers indicate numbers published by the company
</t>
        </r>
      </text>
    </comment>
    <comment ref="J171" authorId="2">
      <text>
        <r>
          <rPr>
            <sz val="9"/>
            <color indexed="81"/>
            <rFont val="Tahoma"/>
            <family val="2"/>
          </rPr>
          <t xml:space="preserve">Hardcoded numbers indicate numbers published by the company
</t>
        </r>
      </text>
    </comment>
    <comment ref="K171" authorId="2">
      <text>
        <r>
          <rPr>
            <sz val="9"/>
            <color indexed="81"/>
            <rFont val="Tahoma"/>
            <family val="2"/>
          </rPr>
          <t xml:space="preserve">Hardcoded numbers indicate numbers published by the company
</t>
        </r>
      </text>
    </comment>
    <comment ref="L171" authorId="2">
      <text>
        <r>
          <rPr>
            <sz val="9"/>
            <color indexed="81"/>
            <rFont val="Tahoma"/>
            <family val="2"/>
          </rPr>
          <t xml:space="preserve">Hardcoded numbers indicate numbers published by the company
</t>
        </r>
      </text>
    </comment>
    <comment ref="E172" authorId="2">
      <text>
        <r>
          <rPr>
            <sz val="9"/>
            <color indexed="81"/>
            <rFont val="Tahoma"/>
            <family val="2"/>
          </rPr>
          <t xml:space="preserve">Hardcoded numbers indicate numbers published by the company
</t>
        </r>
      </text>
    </comment>
    <comment ref="F172" authorId="2">
      <text>
        <r>
          <rPr>
            <sz val="9"/>
            <color indexed="81"/>
            <rFont val="Tahoma"/>
            <family val="2"/>
          </rPr>
          <t xml:space="preserve">Hardcoded numbers indicate numbers published by the company
</t>
        </r>
      </text>
    </comment>
    <comment ref="G172" authorId="2">
      <text>
        <r>
          <rPr>
            <sz val="9"/>
            <color indexed="81"/>
            <rFont val="Tahoma"/>
            <family val="2"/>
          </rPr>
          <t xml:space="preserve">Hardcoded numbers indicate numbers published by the company
</t>
        </r>
      </text>
    </comment>
    <comment ref="H172" authorId="2">
      <text>
        <r>
          <rPr>
            <sz val="9"/>
            <color indexed="81"/>
            <rFont val="Tahoma"/>
            <family val="2"/>
          </rPr>
          <t xml:space="preserve">Hardcoded numbers indicate numbers published by the company
</t>
        </r>
      </text>
    </comment>
    <comment ref="I172" authorId="2">
      <text>
        <r>
          <rPr>
            <sz val="9"/>
            <color indexed="81"/>
            <rFont val="Tahoma"/>
            <family val="2"/>
          </rPr>
          <t xml:space="preserve">Hardcoded numbers indicate numbers published by the company
</t>
        </r>
      </text>
    </comment>
    <comment ref="J172" authorId="2">
      <text>
        <r>
          <rPr>
            <sz val="9"/>
            <color indexed="81"/>
            <rFont val="Tahoma"/>
            <family val="2"/>
          </rPr>
          <t xml:space="preserve">Hardcoded numbers indicate numbers published by the company
</t>
        </r>
      </text>
    </comment>
    <comment ref="K172" authorId="2">
      <text>
        <r>
          <rPr>
            <sz val="9"/>
            <color indexed="81"/>
            <rFont val="Tahoma"/>
            <family val="2"/>
          </rPr>
          <t xml:space="preserve">Hardcoded numbers indicate numbers published by the company
</t>
        </r>
      </text>
    </comment>
    <comment ref="L172" authorId="2">
      <text>
        <r>
          <rPr>
            <sz val="9"/>
            <color indexed="81"/>
            <rFont val="Tahoma"/>
            <family val="2"/>
          </rPr>
          <t xml:space="preserve">Hardcoded numbers indicate numbers published by the company
</t>
        </r>
      </text>
    </comment>
    <comment ref="G173" authorId="2">
      <text>
        <r>
          <rPr>
            <sz val="9"/>
            <color indexed="81"/>
            <rFont val="Tahoma"/>
            <family val="2"/>
          </rPr>
          <t xml:space="preserve">Hardcoded numbers indicate numbers published by the company
</t>
        </r>
      </text>
    </comment>
    <comment ref="H173" authorId="2">
      <text>
        <r>
          <rPr>
            <sz val="9"/>
            <color indexed="81"/>
            <rFont val="Tahoma"/>
            <family val="2"/>
          </rPr>
          <t xml:space="preserve">Hardcoded numbers indicate numbers published by the company
</t>
        </r>
      </text>
    </comment>
    <comment ref="I173" authorId="2">
      <text>
        <r>
          <rPr>
            <sz val="9"/>
            <color indexed="81"/>
            <rFont val="Tahoma"/>
            <family val="2"/>
          </rPr>
          <t xml:space="preserve">Hardcoded numbers indicate numbers published by the company
</t>
        </r>
      </text>
    </comment>
    <comment ref="J173" authorId="2">
      <text>
        <r>
          <rPr>
            <sz val="9"/>
            <color indexed="81"/>
            <rFont val="Tahoma"/>
            <family val="2"/>
          </rPr>
          <t xml:space="preserve">Hardcoded numbers indicate numbers published by the company
</t>
        </r>
      </text>
    </comment>
    <comment ref="K173" authorId="2">
      <text>
        <r>
          <rPr>
            <sz val="9"/>
            <color indexed="81"/>
            <rFont val="Tahoma"/>
            <family val="2"/>
          </rPr>
          <t xml:space="preserve">Hardcoded numbers indicate numbers published by the company
</t>
        </r>
      </text>
    </comment>
    <comment ref="L173" authorId="2">
      <text>
        <r>
          <rPr>
            <sz val="9"/>
            <color indexed="81"/>
            <rFont val="Tahoma"/>
            <family val="2"/>
          </rPr>
          <t xml:space="preserve">Hardcoded numbers indicate numbers published by the company
</t>
        </r>
      </text>
    </comment>
  </commentList>
</comments>
</file>

<file path=xl/comments3.xml><?xml version="1.0" encoding="utf-8"?>
<comments xmlns="http://schemas.openxmlformats.org/spreadsheetml/2006/main">
  <authors>
    <author>Duran, Cristian (Research)</author>
    <author>Martinez de Olcoz Cerdan, Javier (Research)</author>
    <author>Browne, Roberto (Research)</author>
  </authors>
  <commentList>
    <comment ref="T26" authorId="0">
      <text>
        <r>
          <rPr>
            <b/>
            <sz val="9"/>
            <color indexed="81"/>
            <rFont val="Tahoma"/>
            <family val="2"/>
          </rPr>
          <t>Duran, Cristian (Research):</t>
        </r>
        <r>
          <rPr>
            <sz val="9"/>
            <color indexed="81"/>
            <rFont val="Tahoma"/>
            <family val="2"/>
          </rPr>
          <t xml:space="preserve">
4Q17 ER Production Guidance- 2017/18 Crop Year</t>
        </r>
      </text>
    </comment>
    <comment ref="T30" authorId="1">
      <text>
        <r>
          <rPr>
            <b/>
            <sz val="9"/>
            <color indexed="81"/>
            <rFont val="Tahoma"/>
            <family val="2"/>
          </rPr>
          <t>Martinez de Olcoz Cerdan, Javier (Research):</t>
        </r>
        <r>
          <rPr>
            <sz val="9"/>
            <color indexed="81"/>
            <rFont val="Tahoma"/>
            <family val="2"/>
          </rPr>
          <t xml:space="preserve">
includes boa vista and santa cruz</t>
        </r>
      </text>
    </comment>
    <comment ref="T34" authorId="2">
      <text>
        <r>
          <rPr>
            <b/>
            <sz val="9"/>
            <color indexed="81"/>
            <rFont val="Tahoma"/>
            <family val="2"/>
          </rPr>
          <t>Browne, Roberto (Research):</t>
        </r>
        <r>
          <rPr>
            <sz val="9"/>
            <color indexed="81"/>
            <rFont val="Tahoma"/>
            <family val="2"/>
          </rPr>
          <t xml:space="preserve">
Call with Aline 2017/08/23:
Very soft guidance based on consensus estimates.</t>
        </r>
      </text>
    </comment>
    <comment ref="T35" authorId="2">
      <text>
        <r>
          <rPr>
            <b/>
            <sz val="9"/>
            <color indexed="81"/>
            <rFont val="Tahoma"/>
            <family val="2"/>
          </rPr>
          <t>Browne, Roberto (Research):</t>
        </r>
        <r>
          <rPr>
            <sz val="9"/>
            <color indexed="81"/>
            <rFont val="Tahoma"/>
            <family val="2"/>
          </rPr>
          <t xml:space="preserve">
Call with Aline 2017/08/23:
Very soft guidance based on consensus estimates.</t>
        </r>
      </text>
    </comment>
    <comment ref="T40" authorId="2">
      <text>
        <r>
          <rPr>
            <b/>
            <sz val="9"/>
            <color indexed="81"/>
            <rFont val="Tahoma"/>
            <family val="2"/>
          </rPr>
          <t>Browne, Roberto (Research):</t>
        </r>
        <r>
          <rPr>
            <sz val="9"/>
            <color indexed="81"/>
            <rFont val="Tahoma"/>
            <family val="2"/>
          </rPr>
          <t xml:space="preserve">
Call with Aline 2017/08/23:
R$900mn maintenance capex in 2018E</t>
        </r>
      </text>
    </comment>
  </commentList>
</comments>
</file>

<file path=xl/comments4.xml><?xml version="1.0" encoding="utf-8"?>
<comments xmlns="http://schemas.openxmlformats.org/spreadsheetml/2006/main">
  <authors>
    <author>Martinez de Olcoz Cerdan, Javier (Research)</author>
    <author>Browne, Roberto (Research)</author>
    <author>Gopal, Shwetha (Research)</author>
    <author>Mugaburu, Rodrigo (Research)</author>
  </authors>
  <commentList>
    <comment ref="A12" authorId="0">
      <text>
        <r>
          <rPr>
            <b/>
            <sz val="9"/>
            <color indexed="81"/>
            <rFont val="Tahoma"/>
            <family val="2"/>
          </rPr>
          <t xml:space="preserve">it has approved the formation of a real estate consortium with Alphaville Urbanismo S.A. ("Alphaville") for the development of real estate project in the interior region of the state of São Paulo.
Companies involved in the Transaction:
Alphaville: has over 40 years of experience in the development of horizontal projects, planned neighborhoods and urban centers and has operations in 21 states across Brazil.
Vale do Mogi Empreendimentos Imobiliários S/A ("Vale do Mogi"): a wholly-owned subsidiary of São Martinho whose strategic objective is managing and developing the 52,636 hectares of land owned by the Group in the regions of Ribeirão Preto, Limeira and Piracicaba, which include 2,002 hectares (20,025,400 square meters) situated near urban perimeters and with significant development potential. In addition to managing these assets, Vale do Mogi seeks to monetize the land located in urban centers through partnerships similar to the one announced in this Material Fact.
Transaction Details:
The partnership will be in the form of a real estate consortium in which Vale do Mogi will contribute 124.09 hectares (equivalent to 1,240,928.05 square meters) of undeveloped land and Alphaville will be responsible for preparation and approval of design, execution of the lot subdivision project as well as coordination, marketing and sales.
Project:
The project ("Alphaville Limeira Consortium") is located in Limeira, São Paulo at the intersection of Bandeirantes Highway (SP 348) with Highway SP 151 (Limeira/Iracemápolis) and is expected to be launched in three phases, with the first phase launched in 2016.
Based on the studies conducted by Alphaville, the project's potential sales are estimated to reach approximately R$277 million, which would represent net present value of R$67 million for Vale do Mogi. </t>
        </r>
        <r>
          <rPr>
            <sz val="9"/>
            <color indexed="81"/>
            <rFont val="Tahoma"/>
            <family val="2"/>
          </rPr>
          <t xml:space="preserve">
</t>
        </r>
      </text>
    </comment>
    <comment ref="L70" authorId="1">
      <text>
        <r>
          <rPr>
            <b/>
            <sz val="9"/>
            <color indexed="81"/>
            <rFont val="Tahoma"/>
            <family val="2"/>
          </rPr>
          <t>Browne, Roberto (Research):</t>
        </r>
        <r>
          <rPr>
            <sz val="9"/>
            <color indexed="81"/>
            <rFont val="Tahoma"/>
            <family val="2"/>
          </rPr>
          <t xml:space="preserve">
Assuming only inflation adjustment in tariffs, as no capex is considered to allow volume growth.</t>
        </r>
      </text>
    </comment>
    <comment ref="E73" authorId="2">
      <text>
        <r>
          <rPr>
            <sz val="9"/>
            <color indexed="81"/>
            <rFont val="Tahoma"/>
            <family val="2"/>
          </rPr>
          <t xml:space="preserve">Aline 14/March/17: ~900 MWh (720,000 + 150.000 added with the 50% incorporation of NF) 
</t>
        </r>
      </text>
    </comment>
    <comment ref="E74" authorId="0">
      <text>
        <r>
          <rPr>
            <b/>
            <sz val="9"/>
            <color indexed="81"/>
            <rFont val="Tahoma"/>
            <family val="2"/>
          </rPr>
          <t>Martinez de Olcoz Cerdan, Javier (Research):</t>
        </r>
        <r>
          <rPr>
            <sz val="9"/>
            <color indexed="81"/>
            <rFont val="Tahoma"/>
            <family val="2"/>
          </rPr>
          <t xml:space="preserve">
March/14/2017: Aline R$1500 mwh makes sense</t>
        </r>
      </text>
    </comment>
    <comment ref="B82" authorId="2">
      <text>
        <r>
          <rPr>
            <sz val="9"/>
            <color indexed="81"/>
            <rFont val="Tahoma"/>
            <family val="2"/>
          </rPr>
          <t>Land appraisal as per Deloitte report on Feb 28, 2014:
Source:
http://www.mzweb.com.br/saomartinho/web/conteudo_en.asp?idioma=1&amp;tipo=12639&amp;conta=44&amp;id=192147</t>
        </r>
      </text>
    </comment>
    <comment ref="D92" authorId="2">
      <text>
        <r>
          <rPr>
            <b/>
            <sz val="9"/>
            <color indexed="81"/>
            <rFont val="Tahoma"/>
            <family val="2"/>
          </rPr>
          <t xml:space="preserve">Gopal, Shwetha (Research):
</t>
        </r>
        <r>
          <rPr>
            <sz val="9"/>
            <color indexed="81"/>
            <rFont val="Tahoma"/>
            <family val="2"/>
          </rPr>
          <t>+</t>
        </r>
        <r>
          <rPr>
            <b/>
            <sz val="9"/>
            <color indexed="81"/>
            <rFont val="Tahoma"/>
            <family val="2"/>
          </rPr>
          <t xml:space="preserve"> </t>
        </r>
        <r>
          <rPr>
            <sz val="9"/>
            <color indexed="81"/>
            <rFont val="Tahoma"/>
            <family val="2"/>
          </rPr>
          <t xml:space="preserve">Land Appreciaiton in
the Period
</t>
        </r>
      </text>
    </comment>
    <comment ref="E92" authorId="2">
      <text>
        <r>
          <rPr>
            <b/>
            <sz val="9"/>
            <color indexed="81"/>
            <rFont val="Tahoma"/>
            <family val="2"/>
          </rPr>
          <t>Gopal, Shwetha (Research):</t>
        </r>
        <r>
          <rPr>
            <sz val="9"/>
            <color indexed="81"/>
            <rFont val="Tahoma"/>
            <family val="2"/>
          </rPr>
          <t xml:space="preserve">
+Land Acquisition
Santa Cruz + ABV</t>
        </r>
      </text>
    </comment>
    <comment ref="F92" authorId="0">
      <text>
        <r>
          <rPr>
            <sz val="9"/>
            <color indexed="81"/>
            <rFont val="Tahoma"/>
            <family val="2"/>
          </rPr>
          <t>published by the company 2,937 mn BRL), there was a slight adjustemt that they did after the transaction was closed:
+ABV 
+ Santa Cruz Land Appreciation in the Period
+ São Martinho Land Appreciation in the Period</t>
        </r>
      </text>
    </comment>
    <comment ref="G92" authorId="0">
      <text>
        <r>
          <rPr>
            <sz val="9"/>
            <color indexed="81"/>
            <rFont val="Tahoma"/>
            <family val="2"/>
          </rPr>
          <t>Source: Company presentation dated Feb 13, 2015
(The difference between the value of the land reported in Feb 2014 and Feb 2015 presentations is the land given to Santa Cruz shareholders)</t>
        </r>
      </text>
    </comment>
    <comment ref="G93" authorId="0">
      <text>
        <r>
          <rPr>
            <sz val="9"/>
            <color indexed="81"/>
            <rFont val="Tahoma"/>
            <family val="2"/>
          </rPr>
          <t>Source: Company presentation dated Feb 13, 2015
(The difference between the value of the land reported in Feb 2014 and Feb 2015 presentations is the land given to Santa Cruz shareholders)</t>
        </r>
      </text>
    </comment>
    <comment ref="G94" authorId="0">
      <text>
        <r>
          <rPr>
            <sz val="9"/>
            <color indexed="81"/>
            <rFont val="Tahoma"/>
            <family val="2"/>
          </rPr>
          <t>Source: Company presentation dated Feb 13, 2015
(The difference between the value of the land reported in Feb 2014 and Feb 2015 presentations is the land given to Santa Cruz shareholders)</t>
        </r>
      </text>
    </comment>
    <comment ref="I94" authorId="0">
      <text>
        <r>
          <rPr>
            <b/>
            <sz val="9"/>
            <color indexed="81"/>
            <rFont val="Tahoma"/>
            <family val="2"/>
          </rPr>
          <t>Martinez de Olcoz Cerdan, Javier (Research):</t>
        </r>
        <r>
          <rPr>
            <sz val="9"/>
            <color indexed="81"/>
            <rFont val="Tahoma"/>
            <family val="2"/>
          </rPr>
          <t xml:space="preserve">
Aline 14/Mar/17: the projects were delayed because of the crisis, value is basically the same now vs 2014 guidance</t>
        </r>
      </text>
    </comment>
    <comment ref="C114" authorId="3">
      <text>
        <r>
          <rPr>
            <b/>
            <sz val="9"/>
            <color indexed="81"/>
            <rFont val="Tahoma"/>
            <family val="2"/>
          </rPr>
          <t>Mugaburu, Rodrigo (Research):</t>
        </r>
        <r>
          <rPr>
            <sz val="9"/>
            <color indexed="81"/>
            <rFont val="Tahoma"/>
            <family val="2"/>
          </rPr>
          <t xml:space="preserve">
Company Guidance</t>
        </r>
      </text>
    </comment>
  </commentList>
</comments>
</file>

<file path=xl/comments5.xml><?xml version="1.0" encoding="utf-8"?>
<comments xmlns="http://schemas.openxmlformats.org/spreadsheetml/2006/main">
  <authors>
    <author>Mugaburu, Rodrigo (Research)</author>
    <author>Gopal, Shwetha (Research)</author>
    <author>Browne, Roberto (Research)</author>
  </authors>
  <commentList>
    <comment ref="G17" authorId="0">
      <text>
        <r>
          <rPr>
            <b/>
            <sz val="9"/>
            <color indexed="81"/>
            <rFont val="Tahoma"/>
            <family val="2"/>
          </rPr>
          <t xml:space="preserve">Mugaburu, Rodrigo (Research):
</t>
        </r>
        <r>
          <rPr>
            <sz val="9"/>
            <color indexed="81"/>
            <rFont val="Tahoma"/>
            <family val="2"/>
          </rPr>
          <t>accumulated loss generates tax credit for the next 4 years</t>
        </r>
      </text>
    </comment>
    <comment ref="H17" authorId="0">
      <text>
        <r>
          <rPr>
            <b/>
            <sz val="9"/>
            <color indexed="81"/>
            <rFont val="Tahoma"/>
            <family val="2"/>
          </rPr>
          <t xml:space="preserve">Mugaburu, Rodrigo (Research):
</t>
        </r>
        <r>
          <rPr>
            <sz val="9"/>
            <color indexed="81"/>
            <rFont val="Tahoma"/>
            <family val="2"/>
          </rPr>
          <t>accumulated loss generates tax credit for the next 4 years</t>
        </r>
      </text>
    </comment>
    <comment ref="I31" authorId="1">
      <text>
        <r>
          <rPr>
            <sz val="9"/>
            <color indexed="81"/>
            <rFont val="Tahoma"/>
            <family val="2"/>
          </rPr>
          <t xml:space="preserve">Urban Land
</t>
        </r>
      </text>
    </comment>
    <comment ref="C41" authorId="0">
      <text>
        <r>
          <rPr>
            <b/>
            <sz val="9"/>
            <color indexed="81"/>
            <rFont val="Tahoma"/>
            <family val="2"/>
          </rPr>
          <t>Mugaburu, Rodrigo (Research):</t>
        </r>
        <r>
          <rPr>
            <sz val="9"/>
            <color indexed="81"/>
            <rFont val="Tahoma"/>
            <family val="2"/>
          </rPr>
          <t xml:space="preserve">
Source: Thomson Reuters</t>
        </r>
      </text>
    </comment>
    <comment ref="C42" authorId="2">
      <text>
        <r>
          <rPr>
            <b/>
            <sz val="9"/>
            <color indexed="81"/>
            <rFont val="Tahoma"/>
            <family val="2"/>
          </rPr>
          <t>Browne, Roberto (Research):</t>
        </r>
        <r>
          <rPr>
            <sz val="9"/>
            <color indexed="81"/>
            <rFont val="Tahoma"/>
            <family val="2"/>
          </rPr>
          <t xml:space="preserve">
Yield on USA generic 10Y bond (Bloomberg)</t>
        </r>
      </text>
    </comment>
    <comment ref="C43" authorId="2">
      <text>
        <r>
          <rPr>
            <b/>
            <sz val="9"/>
            <color indexed="81"/>
            <rFont val="Tahoma"/>
            <family val="2"/>
          </rPr>
          <t>Browne, Roberto (Research):</t>
        </r>
        <r>
          <rPr>
            <sz val="9"/>
            <color indexed="81"/>
            <rFont val="Tahoma"/>
            <family val="2"/>
          </rPr>
          <t xml:space="preserve">
Based on Damodaran's 10Y average.</t>
        </r>
      </text>
    </comment>
  </commentList>
</comments>
</file>

<file path=xl/comments6.xml><?xml version="1.0" encoding="utf-8"?>
<comments xmlns="http://schemas.openxmlformats.org/spreadsheetml/2006/main">
  <authors>
    <author>Martinez de Olcoz Cerdan, Javier (Research)</author>
  </authors>
  <commentList>
    <comment ref="AV14" authorId="0">
      <text>
        <r>
          <rPr>
            <b/>
            <sz val="9"/>
            <color indexed="81"/>
            <rFont val="Tahoma"/>
            <family val="2"/>
          </rPr>
          <t xml:space="preserve">
1 US gal = 3.78541 liter
1 litre of anhydrous ethanol = 1.7651 kg TRS
1 kg sugar = 1.0495 ks of ATR (sucrose)</t>
        </r>
      </text>
    </comment>
    <comment ref="AV15" authorId="0">
      <text>
        <r>
          <rPr>
            <b/>
            <sz val="9"/>
            <color indexed="81"/>
            <rFont val="Tahoma"/>
            <family val="2"/>
          </rPr>
          <t xml:space="preserve">
1 US gal = 3.78541 liter
1 litre of hydrous ethanol = 1.6913 kg TRS
1 kg sugar = 1.0495 ks of ATR (sucrose)</t>
        </r>
      </text>
    </comment>
  </commentList>
</comments>
</file>

<file path=xl/comments7.xml><?xml version="1.0" encoding="utf-8"?>
<comments xmlns="http://schemas.openxmlformats.org/spreadsheetml/2006/main">
  <authors>
    <author>Browne, Roberto (Research)</author>
    <author>Duran, Cristian (Research)</author>
    <author>Martinez de Olcoz Cerdan, Javier (Research)</author>
    <author>Mugaburu, Rodrigo (Research)</author>
  </authors>
  <commentList>
    <comment ref="W15" authorId="0">
      <text>
        <r>
          <rPr>
            <b/>
            <sz val="9"/>
            <color indexed="81"/>
            <rFont val="Tahoma"/>
            <family val="2"/>
          </rPr>
          <t>Browne, Roberto (Research):</t>
        </r>
        <r>
          <rPr>
            <sz val="9"/>
            <color indexed="81"/>
            <rFont val="Tahoma"/>
            <family val="2"/>
          </rPr>
          <t xml:space="preserve">
Using LT mid-cycle prices for DCF purposes.</t>
        </r>
      </text>
    </comment>
    <comment ref="W20" authorId="0">
      <text>
        <r>
          <rPr>
            <b/>
            <sz val="9"/>
            <color indexed="81"/>
            <rFont val="Tahoma"/>
            <family val="2"/>
          </rPr>
          <t>Browne, Roberto (Research):</t>
        </r>
        <r>
          <rPr>
            <sz val="9"/>
            <color indexed="81"/>
            <rFont val="Tahoma"/>
            <family val="2"/>
          </rPr>
          <t xml:space="preserve">
Using LT mid-cycle prices for DCF purposes.</t>
        </r>
      </text>
    </comment>
    <comment ref="W25" authorId="0">
      <text>
        <r>
          <rPr>
            <b/>
            <sz val="9"/>
            <color indexed="81"/>
            <rFont val="Tahoma"/>
            <family val="2"/>
          </rPr>
          <t>Browne, Roberto (Research):</t>
        </r>
        <r>
          <rPr>
            <sz val="9"/>
            <color indexed="81"/>
            <rFont val="Tahoma"/>
            <family val="2"/>
          </rPr>
          <t xml:space="preserve">
Using LT mid-cycle prices for DCF purposes.</t>
        </r>
      </text>
    </comment>
    <comment ref="P35" authorId="0">
      <text>
        <r>
          <rPr>
            <b/>
            <sz val="9"/>
            <color indexed="81"/>
            <rFont val="Tahoma"/>
            <family val="2"/>
          </rPr>
          <t>Browne, Roberto (Research):</t>
        </r>
        <r>
          <rPr>
            <sz val="9"/>
            <color indexed="81"/>
            <rFont val="Tahoma"/>
            <family val="2"/>
          </rPr>
          <t xml:space="preserve">
Based on conversation with Aline on 2017/8/24.</t>
        </r>
      </text>
    </comment>
    <comment ref="P51" authorId="1">
      <text>
        <r>
          <rPr>
            <b/>
            <sz val="9"/>
            <color indexed="81"/>
            <rFont val="Tahoma"/>
            <family val="2"/>
          </rPr>
          <t>Duran, Cristian (Research):</t>
        </r>
        <r>
          <rPr>
            <sz val="9"/>
            <color indexed="81"/>
            <rFont val="Tahoma"/>
            <family val="2"/>
          </rPr>
          <t xml:space="preserve">
SÃO MARTINHO - São Martinho announced an expansion of 2% of its crushing capacity. The expansion of the Sta. Cruz mill, the second largest mill of the group, from 5.2 million tons to 5.6 million tons will cost BRL 44 million‎. The additional capacity will be already available for the next crushing season.
9/28/2016
On the other side Boa vista (ethanol only) incorporation adds ~200 k m3 </t>
        </r>
      </text>
    </comment>
    <comment ref="W51" authorId="0">
      <text>
        <r>
          <rPr>
            <b/>
            <sz val="9"/>
            <color indexed="81"/>
            <rFont val="Tahoma"/>
            <family val="2"/>
          </rPr>
          <t>Browne, Roberto (Research):</t>
        </r>
        <r>
          <rPr>
            <sz val="9"/>
            <color indexed="81"/>
            <rFont val="Tahoma"/>
            <family val="2"/>
          </rPr>
          <t xml:space="preserve">
To allow growth in perpetuity.</t>
        </r>
      </text>
    </comment>
    <comment ref="P56" authorId="0">
      <text>
        <r>
          <rPr>
            <b/>
            <sz val="9"/>
            <color indexed="81"/>
            <rFont val="Tahoma"/>
            <family val="2"/>
          </rPr>
          <t>Browne, Roberto (Research):</t>
        </r>
        <r>
          <rPr>
            <sz val="9"/>
            <color indexed="81"/>
            <rFont val="Tahoma"/>
            <family val="2"/>
          </rPr>
          <t xml:space="preserve">
Goal seek to reach guidance of 22.3k tons</t>
        </r>
      </text>
    </comment>
    <comment ref="Q56" authorId="0">
      <text>
        <r>
          <rPr>
            <b/>
            <sz val="9"/>
            <color indexed="81"/>
            <rFont val="Tahoma"/>
            <family val="2"/>
          </rPr>
          <t>Browne, Roberto (Research):</t>
        </r>
        <r>
          <rPr>
            <sz val="9"/>
            <color indexed="81"/>
            <rFont val="Tahoma"/>
            <family val="2"/>
          </rPr>
          <t xml:space="preserve">
Gradually decelerating as the company gets closer to its full capacity.</t>
        </r>
      </text>
    </comment>
    <comment ref="P61" authorId="0">
      <text>
        <r>
          <rPr>
            <b/>
            <sz val="9"/>
            <color indexed="81"/>
            <rFont val="Tahoma"/>
            <family val="2"/>
          </rPr>
          <t>Browne, Roberto (Research):</t>
        </r>
        <r>
          <rPr>
            <sz val="9"/>
            <color indexed="81"/>
            <rFont val="Tahoma"/>
            <family val="2"/>
          </rPr>
          <t xml:space="preserve">
Guidance provided in 4Q17</t>
        </r>
      </text>
    </comment>
    <comment ref="Y61" authorId="2">
      <text>
        <r>
          <rPr>
            <b/>
            <sz val="9"/>
            <color indexed="81"/>
            <rFont val="Tahoma"/>
            <family val="2"/>
          </rPr>
          <t>Company guidance: 135</t>
        </r>
      </text>
    </comment>
    <comment ref="Z61" authorId="0">
      <text>
        <r>
          <rPr>
            <b/>
            <sz val="9"/>
            <color indexed="81"/>
            <rFont val="Tahoma"/>
            <family val="2"/>
          </rPr>
          <t>Browne, Roberto (Research):</t>
        </r>
        <r>
          <rPr>
            <sz val="9"/>
            <color indexed="81"/>
            <rFont val="Tahoma"/>
            <family val="2"/>
          </rPr>
          <t xml:space="preserve">
Improving with MPB and new planting techniques.</t>
        </r>
      </text>
    </comment>
    <comment ref="P81" authorId="0">
      <text>
        <r>
          <rPr>
            <b/>
            <sz val="9"/>
            <color indexed="81"/>
            <rFont val="Tahoma"/>
            <family val="2"/>
          </rPr>
          <t>Browne, Roberto (Research):</t>
        </r>
        <r>
          <rPr>
            <sz val="9"/>
            <color indexed="81"/>
            <rFont val="Tahoma"/>
            <family val="2"/>
          </rPr>
          <t xml:space="preserve">
To reach guidance of 900k MWh.
Decline in sales volume as in 2017 they bought energy in the market to supply a client. Should not happen going forward. Athough it is a decline in sales volume, it is a 25% increase in prodution.</t>
        </r>
      </text>
    </comment>
    <comment ref="P87" authorId="0">
      <text>
        <r>
          <rPr>
            <b/>
            <sz val="9"/>
            <color indexed="81"/>
            <rFont val="Tahoma"/>
            <family val="2"/>
          </rPr>
          <t>Browne, Roberto (Research):</t>
        </r>
        <r>
          <rPr>
            <sz val="9"/>
            <color indexed="81"/>
            <rFont val="Tahoma"/>
            <family val="2"/>
          </rPr>
          <t xml:space="preserve">
Company's guidance.</t>
        </r>
      </text>
    </comment>
    <comment ref="P100" authorId="0">
      <text>
        <r>
          <rPr>
            <b/>
            <sz val="9"/>
            <color indexed="81"/>
            <rFont val="Tahoma"/>
            <family val="2"/>
          </rPr>
          <t>Browne, Roberto (Research):</t>
        </r>
        <r>
          <rPr>
            <sz val="9"/>
            <color indexed="81"/>
            <rFont val="Tahoma"/>
            <family val="2"/>
          </rPr>
          <t xml:space="preserve">
We are incorporating an annual reduction in costs of 5% in 17/18E ,18/19E and 19/20E related to new techniques.
</t>
        </r>
        <r>
          <rPr>
            <u/>
            <sz val="9"/>
            <color indexed="81"/>
            <rFont val="Tahoma"/>
            <family val="2"/>
          </rPr>
          <t>Call Aline 2017-8-28:</t>
        </r>
        <r>
          <rPr>
            <sz val="9"/>
            <color indexed="81"/>
            <rFont val="Tahoma"/>
            <family val="2"/>
          </rPr>
          <t xml:space="preserve">
Faz sentido usar 30% do scustos linkados a preço, relacionados a arrendamento e cana de terceiros.
Makes sense to consider a 20% reductoin in unitary costs related to new planting techniques (MPB and meiose); </t>
        </r>
      </text>
    </comment>
    <comment ref="W100" authorId="0">
      <text>
        <r>
          <rPr>
            <b/>
            <sz val="9"/>
            <color indexed="81"/>
            <rFont val="Tahoma"/>
            <family val="2"/>
          </rPr>
          <t>Browne, Roberto (Research):</t>
        </r>
        <r>
          <rPr>
            <sz val="9"/>
            <color indexed="81"/>
            <rFont val="Tahoma"/>
            <family val="2"/>
          </rPr>
          <t xml:space="preserve">
To reach a gross margin closer to the cyvle average in perpetuity.</t>
        </r>
      </text>
    </comment>
    <comment ref="W105" authorId="0">
      <text>
        <r>
          <rPr>
            <b/>
            <sz val="9"/>
            <color indexed="81"/>
            <rFont val="Tahoma"/>
            <family val="2"/>
          </rPr>
          <t>Browne, Roberto (Research):</t>
        </r>
        <r>
          <rPr>
            <sz val="9"/>
            <color indexed="81"/>
            <rFont val="Tahoma"/>
            <family val="2"/>
          </rPr>
          <t xml:space="preserve">
To reach a gross margin closer to the cyvle average in perpetuity.</t>
        </r>
      </text>
    </comment>
    <comment ref="P134" authorId="0">
      <text>
        <r>
          <rPr>
            <b/>
            <sz val="9"/>
            <color indexed="81"/>
            <rFont val="Tahoma"/>
            <family val="2"/>
          </rPr>
          <t>Browne, Roberto (Research):</t>
        </r>
        <r>
          <rPr>
            <sz val="9"/>
            <color indexed="81"/>
            <rFont val="Tahoma"/>
            <family val="2"/>
          </rPr>
          <t xml:space="preserve">
Call with Aline 2017/08/23:
R$900mn maintenance capex in 2018E</t>
        </r>
      </text>
    </comment>
    <comment ref="O139" authorId="3">
      <text>
        <r>
          <rPr>
            <b/>
            <sz val="9"/>
            <color indexed="81"/>
            <rFont val="Tahoma"/>
            <family val="2"/>
          </rPr>
          <t>Mugaburu, Rodrigo (Research):</t>
        </r>
        <r>
          <rPr>
            <sz val="9"/>
            <color indexed="81"/>
            <rFont val="Tahoma"/>
            <family val="2"/>
          </rPr>
          <t xml:space="preserve">
Lower effective tax rate due to accumulated loss in Santa Cruz that will be used after the acquisition. Company Guidance Feb 2015</t>
        </r>
      </text>
    </comment>
    <comment ref="P139" authorId="0">
      <text>
        <r>
          <rPr>
            <b/>
            <sz val="9"/>
            <color indexed="81"/>
            <rFont val="Tahoma"/>
            <family val="2"/>
          </rPr>
          <t>Browne, Roberto (Research):</t>
        </r>
        <r>
          <rPr>
            <sz val="9"/>
            <color indexed="81"/>
            <rFont val="Tahoma"/>
            <family val="2"/>
          </rPr>
          <t xml:space="preserve">
Benefits related to lucro presumido and equity income (see page 54 of 2017 DFP) led to a 17% tax rate in 2017.
On top of that, the company has benefits from accumulated losses of R$87mn in 2018E, R$40mn for both 2019/20E and R$10mn for 2021 and 2022.
Gradually converging to 34%.</t>
        </r>
      </text>
    </comment>
    <comment ref="S139" authorId="0">
      <text>
        <r>
          <rPr>
            <b/>
            <sz val="9"/>
            <color indexed="81"/>
            <rFont val="Tahoma"/>
            <family val="2"/>
          </rPr>
          <t>Browne, Roberto (Research):</t>
        </r>
        <r>
          <rPr>
            <sz val="9"/>
            <color indexed="81"/>
            <rFont val="Tahoma"/>
            <family val="2"/>
          </rPr>
          <t xml:space="preserve">
Benefits related to lucro presumido and equity income (see page 54 of 2017 DFP) led to a 17% tax rate in 2017.
On top of that, the company has benefits from accumulated losses of R$87mn in 2018E, R$40mn for both 2019/20E and R$10mn for 2021 and 2022.
Gradually converging to 34%.</t>
        </r>
      </text>
    </comment>
    <comment ref="P183" authorId="0">
      <text>
        <r>
          <rPr>
            <b/>
            <sz val="9"/>
            <color indexed="81"/>
            <rFont val="Tahoma"/>
            <family val="2"/>
          </rPr>
          <t>Browne, Roberto (Research):</t>
        </r>
        <r>
          <rPr>
            <sz val="9"/>
            <color indexed="81"/>
            <rFont val="Tahoma"/>
            <family val="2"/>
          </rPr>
          <t xml:space="preserve">
No significant investments to be made. Should increase payout, as mentioned in 1Q18 call.</t>
        </r>
      </text>
    </comment>
    <comment ref="A197" authorId="1">
      <text>
        <r>
          <rPr>
            <b/>
            <sz val="9"/>
            <color indexed="81"/>
            <rFont val="Tahoma"/>
            <family val="2"/>
          </rPr>
          <t>Duran, Cristian (Research):</t>
        </r>
        <r>
          <rPr>
            <sz val="9"/>
            <color indexed="81"/>
            <rFont val="Tahoma"/>
            <family val="2"/>
          </rPr>
          <t xml:space="preserve">
Days - % of net revenues
</t>
        </r>
      </text>
    </comment>
    <comment ref="A202" authorId="1">
      <text>
        <r>
          <rPr>
            <b/>
            <sz val="9"/>
            <color indexed="81"/>
            <rFont val="Tahoma"/>
            <family val="2"/>
          </rPr>
          <t>Duran, Cristian (Research):</t>
        </r>
        <r>
          <rPr>
            <sz val="9"/>
            <color indexed="81"/>
            <rFont val="Tahoma"/>
            <family val="2"/>
          </rPr>
          <t xml:space="preserve">
Days - % of COGS
</t>
        </r>
      </text>
    </comment>
    <comment ref="A207" authorId="1">
      <text>
        <r>
          <rPr>
            <b/>
            <sz val="9"/>
            <color indexed="81"/>
            <rFont val="Tahoma"/>
            <family val="2"/>
          </rPr>
          <t>Duran, Cristian (Research):</t>
        </r>
        <r>
          <rPr>
            <sz val="9"/>
            <color indexed="81"/>
            <rFont val="Tahoma"/>
            <family val="2"/>
          </rPr>
          <t xml:space="preserve">
Days - % of COGS
</t>
        </r>
      </text>
    </comment>
    <comment ref="C240" authorId="1">
      <text>
        <r>
          <rPr>
            <b/>
            <sz val="9"/>
            <color indexed="81"/>
            <rFont val="Tahoma"/>
            <family val="2"/>
          </rPr>
          <t>Duran, Cristian (Research):</t>
        </r>
        <r>
          <rPr>
            <sz val="9"/>
            <color indexed="81"/>
            <rFont val="Tahoma"/>
            <family val="2"/>
          </rPr>
          <t xml:space="preserve">
1Q18 ER
Debt Amortization Schedule</t>
        </r>
      </text>
    </comment>
  </commentList>
</comments>
</file>

<file path=xl/comments8.xml><?xml version="1.0" encoding="utf-8"?>
<comments xmlns="http://schemas.openxmlformats.org/spreadsheetml/2006/main">
  <authors>
    <author>Martinez de Olcoz Cerdan, Javier (Research)</author>
    <author>Gopal, Shwetha (Research)</author>
    <author>rodrim</author>
    <author>Browne, Roberto (Research)</author>
  </authors>
  <commentList>
    <comment ref="AD3" authorId="0">
      <text>
        <r>
          <rPr>
            <sz val="9"/>
            <color indexed="81"/>
            <rFont val="Tahoma"/>
            <family val="2"/>
          </rPr>
          <t xml:space="preserve">Given the adoption of the new accounting standard IFRS 11 (CPC 19) as of this fiscal year, São Martinho S.A. will no longer proportionally consolidate the results of its investees. In view of the materiality of the results of Nova Fronteira Bioenergia S.A. (50.95%) and Santa Cruz S.A. (32.18%) to the São Martinho Group, the Company decided to continue to present on a pro-forma basis its balance sheet, income statement and cash flow statement in the set of financial statements following the same consolidation criteria used prior to the adoption of said standard.
</t>
        </r>
      </text>
    </comment>
    <comment ref="AE3" authorId="0">
      <text>
        <r>
          <rPr>
            <sz val="9"/>
            <color indexed="81"/>
            <rFont val="Tahoma"/>
            <family val="2"/>
          </rPr>
          <t xml:space="preserve">Given the adoption of the new accounting standard IFRS 11 (CPC 19) as of this fiscal year, São Martinho S.A. will no longer proportionally consolidate the results of its investees. In view of the materiality of the results of Nova Fronteira Bioenergia S.A. (50.95%) and Santa Cruz S.A. (32.18%) to the São Martinho Group, the Company decided to continue to present on a pro-forma basis its balance sheet, income statement and cash flow statement in the set of financial statements following the same consolidation criteria used prior to the adoption of said standard.
</t>
        </r>
      </text>
    </comment>
    <comment ref="AF3" authorId="0">
      <text>
        <r>
          <rPr>
            <sz val="9"/>
            <color indexed="81"/>
            <rFont val="Tahoma"/>
            <family val="2"/>
          </rPr>
          <t xml:space="preserve">Given the adoption of the new accounting standard IFRS 11 (CPC 19) as of this fiscal year, São Martinho S.A. will no longer proportionally consolidate the results of its investees. In view of the materiality of the results of Nova Fronteira Bioenergia S.A. (50.95%) and Santa Cruz S.A. (32.18%) to the São Martinho Group, the Company decided to continue to present on a pro-forma basis its balance sheet, income statement and cash flow statement in the set of financial statements following the same consolidation criteria used prior to the adoption of said standard.
</t>
        </r>
      </text>
    </comment>
    <comment ref="AG3" authorId="0">
      <text>
        <r>
          <rPr>
            <sz val="9"/>
            <color indexed="81"/>
            <rFont val="Tahoma"/>
            <family val="2"/>
          </rPr>
          <t xml:space="preserve">Given the adoption of the new accounting standard IFRS 11 (CPC 19) as of this fiscal year, São Martinho S.A. will no longer proportionally consolidate the results of its investees. In view of the materiality of the results of Nova Fronteira Bioenergia S.A. (50.95%) and Santa Cruz S.A. (32.18%) to the São Martinho Group, the Company decided to continue to present on a pro-forma basis its balance sheet, income statement and cash flow statement in the set of financial statements following the same consolidation criteria used prior to the adoption of said standard.
</t>
        </r>
      </text>
    </comment>
    <comment ref="AH3" authorId="0">
      <text>
        <r>
          <rPr>
            <sz val="9"/>
            <color indexed="81"/>
            <rFont val="Tahoma"/>
            <family val="2"/>
          </rPr>
          <t xml:space="preserve">Given the adoption of the new accounting standard IFRS 11 (CPC 19) as of this fiscal year, São Martinho S.A. will no longer proportionally consolidate the results of its investees. In view of the materiality of the results of Nova Fronteira Bioenergia S.A. (50.95%) and Santa Cruz S.A. (32.18%) to the São Martinho Group, the Company decided to continue to present on a pro-forma basis its balance sheet, income statement and cash flow statement in the set of financial statements following the same consolidation criteria used prior to the adoption of said standard.
</t>
        </r>
      </text>
    </comment>
    <comment ref="AI3" authorId="0">
      <text>
        <r>
          <rPr>
            <sz val="9"/>
            <color indexed="81"/>
            <rFont val="Tahoma"/>
            <family val="2"/>
          </rPr>
          <t xml:space="preserve">Given the adoption of the new accounting standard IFRS 11 (CPC 19) as of this fiscal year, São Martinho S.A. will no longer proportionally consolidate the results of its investees. In view of the materiality of the results of Nova Fronteira Bioenergia S.A. (50.95%) and Santa Cruz S.A. (32.18%) to the São Martinho Group, the Company decided to continue to present on a pro-forma basis its balance sheet, income statement and cash flow statement in the set of financial statements following the same consolidation criteria used prior to the adoption of said standard.
</t>
        </r>
      </text>
    </comment>
    <comment ref="AJ3" authorId="0">
      <text>
        <r>
          <rPr>
            <sz val="9"/>
            <color indexed="81"/>
            <rFont val="Tahoma"/>
            <family val="2"/>
          </rPr>
          <t xml:space="preserve">Given the adoption of the new accounting standard IFRS 11 (CPC 19) as of this fiscal year, São Martinho S.A. will no longer proportionally consolidate the results of its investees. In view of the materiality of the results of Nova Fronteira Bioenergia S.A. (50.95%) and Santa Cruz S.A. (32.18%) to the São Martinho Group, the Company decided to continue to present on a pro-forma basis its balance sheet, income statement and cash flow statement in the set of financial statements following the same consolidation criteria used prior to the adoption of said standard.
</t>
        </r>
      </text>
    </comment>
    <comment ref="AI7" authorId="1">
      <text>
        <r>
          <rPr>
            <sz val="9"/>
            <color indexed="81"/>
            <rFont val="Tahoma"/>
            <family val="2"/>
          </rPr>
          <t xml:space="preserve">In accordance with accounting standard IFRS 11 (CPC 19), the result of Santa Cruz S.A. (USC) was 100% consolidated in the financial statements since August 2014.
</t>
        </r>
      </text>
    </comment>
    <comment ref="AJ22" authorId="1">
      <text>
        <r>
          <rPr>
            <sz val="9"/>
            <color indexed="81"/>
            <rFont val="Tahoma"/>
            <family val="2"/>
          </rPr>
          <t xml:space="preserve">Driven by i) higher price and volume of electricity cogeneration, and ii) higher sugar and ethanol sales volume in the period
</t>
        </r>
      </text>
    </comment>
    <comment ref="X29" authorId="2">
      <text>
        <r>
          <rPr>
            <sz val="10"/>
            <rFont val="Arial"/>
            <family val="2"/>
          </rPr>
          <t>Derivatives result 12 mn</t>
        </r>
      </text>
    </comment>
    <comment ref="AT31" authorId="3">
      <text>
        <r>
          <rPr>
            <b/>
            <sz val="9"/>
            <color indexed="81"/>
            <rFont val="Tahoma"/>
            <family val="2"/>
          </rPr>
          <t>Browne, Roberto (Research):</t>
        </r>
        <r>
          <rPr>
            <sz val="9"/>
            <color indexed="81"/>
            <rFont val="Tahoma"/>
            <family val="2"/>
          </rPr>
          <t xml:space="preserve">
FX and derivatives</t>
        </r>
      </text>
    </comment>
    <comment ref="AS56" authorId="0">
      <text>
        <r>
          <rPr>
            <b/>
            <sz val="9"/>
            <color indexed="81"/>
            <rFont val="Tahoma"/>
            <family val="2"/>
          </rPr>
          <t>Martinez de Olcoz Cerdan, Javier (Research):</t>
        </r>
        <r>
          <rPr>
            <sz val="9"/>
            <color indexed="81"/>
            <rFont val="Tahoma"/>
            <family val="2"/>
          </rPr>
          <t xml:space="preserve">
Incorporation of NF, I have not been able to find out the real figure, but the reference is that ND shuold close the year in 2.5-2.7bn</t>
        </r>
      </text>
    </comment>
  </commentList>
</comments>
</file>

<file path=xl/comments9.xml><?xml version="1.0" encoding="utf-8"?>
<comments xmlns="http://schemas.openxmlformats.org/spreadsheetml/2006/main">
  <authors>
    <author>Browne, Roberto (Research)</author>
    <author>Duran, Cristian (Research)</author>
    <author>Gopal, Shwetha (Research)</author>
    <author>Martinez de Olcoz Cerdan, Javier (Research)</author>
    <author>gabrielf</author>
    <author>Castellucci, Thyago M (Research)</author>
    <author>Valerio, Josue (Research)</author>
  </authors>
  <commentList>
    <comment ref="N6" authorId="0">
      <text>
        <r>
          <rPr>
            <b/>
            <sz val="9"/>
            <color indexed="81"/>
            <rFont val="Tahoma"/>
            <family val="2"/>
          </rPr>
          <t>Browne, Roberto (Research):</t>
        </r>
        <r>
          <rPr>
            <sz val="9"/>
            <color indexed="81"/>
            <rFont val="Tahoma"/>
            <family val="2"/>
          </rPr>
          <t xml:space="preserve">
From 4Q17 release:
A partir da safra 17/18, teremos 24 milhões de toneladas de capacidade industrial, resultado da conclusão dos investimentos da Santa Cruz e recente incorporação da Nova Fronteira;</t>
        </r>
      </text>
    </comment>
    <comment ref="N9" authorId="1">
      <text>
        <r>
          <rPr>
            <b/>
            <sz val="9"/>
            <color indexed="81"/>
            <rFont val="Tahoma"/>
            <family val="2"/>
          </rPr>
          <t>Duran, Cristian (Research):</t>
        </r>
        <r>
          <rPr>
            <sz val="9"/>
            <color indexed="81"/>
            <rFont val="Tahoma"/>
            <family val="2"/>
          </rPr>
          <t xml:space="preserve">
Company Guidance: 22,300</t>
        </r>
      </text>
    </comment>
    <comment ref="N12" authorId="1">
      <text>
        <r>
          <rPr>
            <b/>
            <sz val="9"/>
            <color indexed="81"/>
            <rFont val="Tahoma"/>
            <family val="2"/>
          </rPr>
          <t>Duran, Cristian (Research):</t>
        </r>
        <r>
          <rPr>
            <sz val="9"/>
            <color indexed="81"/>
            <rFont val="Tahoma"/>
            <family val="2"/>
          </rPr>
          <t xml:space="preserve">
This growth reflects the expectation of better weather conditions at our fields throughout the season, as well as the full consolidation of Boa Vista.</t>
        </r>
      </text>
    </comment>
    <comment ref="A15" authorId="2">
      <text>
        <r>
          <rPr>
            <sz val="9"/>
            <color indexed="81"/>
            <rFont val="Tahoma"/>
            <family val="2"/>
          </rPr>
          <t xml:space="preserve">Production in equivalent sugar ('000 tons of ATR)
</t>
        </r>
      </text>
    </comment>
    <comment ref="N18" authorId="0">
      <text>
        <r>
          <rPr>
            <b/>
            <sz val="9"/>
            <color indexed="81"/>
            <rFont val="Tahoma"/>
            <family val="2"/>
          </rPr>
          <t>Browne, Roberto (Research):</t>
        </r>
        <r>
          <rPr>
            <sz val="9"/>
            <color indexed="81"/>
            <rFont val="Tahoma"/>
            <family val="2"/>
          </rPr>
          <t xml:space="preserve">
Company guidance provided in 4Q17: 133.5</t>
        </r>
      </text>
    </comment>
    <comment ref="N19" authorId="0">
      <text>
        <r>
          <rPr>
            <b/>
            <sz val="9"/>
            <color indexed="81"/>
            <rFont val="Tahoma"/>
            <family val="2"/>
          </rPr>
          <t>Browne, Roberto (Research):</t>
        </r>
        <r>
          <rPr>
            <sz val="9"/>
            <color indexed="81"/>
            <rFont val="Tahoma"/>
            <family val="2"/>
          </rPr>
          <t xml:space="preserve">
Assuming that 23.6% of own cane from own land and that 27% of own land is legal reserve.</t>
        </r>
      </text>
    </comment>
    <comment ref="O19" authorId="0">
      <text>
        <r>
          <rPr>
            <b/>
            <sz val="9"/>
            <color indexed="81"/>
            <rFont val="Tahoma"/>
            <family val="2"/>
          </rPr>
          <t>Browne, Roberto (Research):</t>
        </r>
        <r>
          <rPr>
            <sz val="9"/>
            <color indexed="81"/>
            <rFont val="Tahoma"/>
            <family val="2"/>
          </rPr>
          <t xml:space="preserve">
Assuming that 23.6% of own cane from own land and that 27% of own land is legal reserve.</t>
        </r>
      </text>
    </comment>
    <comment ref="P19" authorId="0">
      <text>
        <r>
          <rPr>
            <b/>
            <sz val="9"/>
            <color indexed="81"/>
            <rFont val="Tahoma"/>
            <family val="2"/>
          </rPr>
          <t>Browne, Roberto (Research):</t>
        </r>
        <r>
          <rPr>
            <sz val="9"/>
            <color indexed="81"/>
            <rFont val="Tahoma"/>
            <family val="2"/>
          </rPr>
          <t xml:space="preserve">
Assuming that 23.6% of own cane from own land and that 27% of own land is legal reserve.</t>
        </r>
      </text>
    </comment>
    <comment ref="Q19" authorId="0">
      <text>
        <r>
          <rPr>
            <b/>
            <sz val="9"/>
            <color indexed="81"/>
            <rFont val="Tahoma"/>
            <family val="2"/>
          </rPr>
          <t>Browne, Roberto (Research):</t>
        </r>
        <r>
          <rPr>
            <sz val="9"/>
            <color indexed="81"/>
            <rFont val="Tahoma"/>
            <family val="2"/>
          </rPr>
          <t xml:space="preserve">
Assuming that 23.6% of own cane from own land and that 27% of own land is legal reserve.</t>
        </r>
      </text>
    </comment>
    <comment ref="R19" authorId="0">
      <text>
        <r>
          <rPr>
            <b/>
            <sz val="9"/>
            <color indexed="81"/>
            <rFont val="Tahoma"/>
            <family val="2"/>
          </rPr>
          <t>Browne, Roberto (Research):</t>
        </r>
        <r>
          <rPr>
            <sz val="9"/>
            <color indexed="81"/>
            <rFont val="Tahoma"/>
            <family val="2"/>
          </rPr>
          <t xml:space="preserve">
Assuming that 23.6% of own cane from own land and that 27% of own land is legal reserve.</t>
        </r>
      </text>
    </comment>
    <comment ref="S19" authorId="0">
      <text>
        <r>
          <rPr>
            <b/>
            <sz val="9"/>
            <color indexed="81"/>
            <rFont val="Tahoma"/>
            <family val="2"/>
          </rPr>
          <t>Browne, Roberto (Research):</t>
        </r>
        <r>
          <rPr>
            <sz val="9"/>
            <color indexed="81"/>
            <rFont val="Tahoma"/>
            <family val="2"/>
          </rPr>
          <t xml:space="preserve">
Assuming that 23.6% of own cane from own land and that 27% of own land is legal reserve.</t>
        </r>
      </text>
    </comment>
    <comment ref="T19" authorId="0">
      <text>
        <r>
          <rPr>
            <b/>
            <sz val="9"/>
            <color indexed="81"/>
            <rFont val="Tahoma"/>
            <family val="2"/>
          </rPr>
          <t>Browne, Roberto (Research):</t>
        </r>
        <r>
          <rPr>
            <sz val="9"/>
            <color indexed="81"/>
            <rFont val="Tahoma"/>
            <family val="2"/>
          </rPr>
          <t xml:space="preserve">
Assuming that 23.6% of own cane from own land and that 27% of own land is legal reserve.</t>
        </r>
      </text>
    </comment>
    <comment ref="U19" authorId="0">
      <text>
        <r>
          <rPr>
            <b/>
            <sz val="9"/>
            <color indexed="81"/>
            <rFont val="Tahoma"/>
            <family val="2"/>
          </rPr>
          <t>Browne, Roberto (Research):</t>
        </r>
        <r>
          <rPr>
            <sz val="9"/>
            <color indexed="81"/>
            <rFont val="Tahoma"/>
            <family val="2"/>
          </rPr>
          <t xml:space="preserve">
Assuming that 23.6% of own cane from own land and that 27% of own land is legal reserve.</t>
        </r>
      </text>
    </comment>
    <comment ref="A46" authorId="3">
      <text>
        <r>
          <rPr>
            <b/>
            <sz val="9"/>
            <color indexed="81"/>
            <rFont val="Tahoma"/>
            <family val="2"/>
          </rPr>
          <t>Martinez de Olcoz Cerdan, Javier (Research):</t>
        </r>
        <r>
          <rPr>
            <sz val="9"/>
            <color indexed="81"/>
            <rFont val="Tahoma"/>
            <family val="2"/>
          </rPr>
          <t xml:space="preserve">
'Es la proporción entre Volumen de Azucar Producido y el que se vende, lo utilizamos como Input para forecastear Volumen de Azucar Producido y Vendido</t>
        </r>
      </text>
    </comment>
    <comment ref="A53" authorId="4">
      <text>
        <r>
          <rPr>
            <sz val="10"/>
            <rFont val="Arial"/>
            <family val="2"/>
          </rPr>
          <t>assuming domestic is white and exports is VHP</t>
        </r>
      </text>
    </comment>
    <comment ref="M61" authorId="0">
      <text>
        <r>
          <rPr>
            <b/>
            <sz val="9"/>
            <color indexed="81"/>
            <rFont val="Tahoma"/>
            <family val="2"/>
          </rPr>
          <t>Browne, Roberto (Research):</t>
        </r>
        <r>
          <rPr>
            <sz val="9"/>
            <color indexed="81"/>
            <rFont val="Tahoma"/>
            <family val="2"/>
          </rPr>
          <t xml:space="preserve">
They bought energy in the market to complete a contract.</t>
        </r>
      </text>
    </comment>
    <comment ref="N61" authorId="3">
      <text>
        <r>
          <rPr>
            <b/>
            <sz val="9"/>
            <color indexed="81"/>
            <rFont val="Tahoma"/>
            <family val="2"/>
          </rPr>
          <t>Martinez de Olcoz Cerdan, Javier (Research):</t>
        </r>
        <r>
          <rPr>
            <sz val="9"/>
            <color indexed="81"/>
            <rFont val="Tahoma"/>
            <family val="2"/>
          </rPr>
          <t xml:space="preserve">
Includes Boa Vista and Santa Cruz</t>
        </r>
      </text>
    </comment>
    <comment ref="N68" authorId="0">
      <text>
        <r>
          <rPr>
            <b/>
            <sz val="9"/>
            <color indexed="81"/>
            <rFont val="Tahoma"/>
            <family val="2"/>
          </rPr>
          <t>Browne, Roberto (Research):</t>
        </r>
        <r>
          <rPr>
            <sz val="9"/>
            <color indexed="81"/>
            <rFont val="Tahoma"/>
            <family val="2"/>
          </rPr>
          <t xml:space="preserve">
From 1Q18 release; refers only to future volumes.</t>
        </r>
      </text>
    </comment>
    <comment ref="N69" authorId="0">
      <text>
        <r>
          <rPr>
            <b/>
            <sz val="9"/>
            <color indexed="81"/>
            <rFont val="Tahoma"/>
            <family val="2"/>
          </rPr>
          <t>Browne, Roberto (Research):</t>
        </r>
        <r>
          <rPr>
            <sz val="9"/>
            <color indexed="81"/>
            <rFont val="Tahoma"/>
            <family val="2"/>
          </rPr>
          <t xml:space="preserve">
From 1Q18 release</t>
        </r>
      </text>
    </comment>
    <comment ref="N71" authorId="0">
      <text>
        <r>
          <rPr>
            <b/>
            <sz val="9"/>
            <color indexed="81"/>
            <rFont val="Tahoma"/>
            <family val="2"/>
          </rPr>
          <t>Browne, Roberto (Research):</t>
        </r>
        <r>
          <rPr>
            <sz val="9"/>
            <color indexed="81"/>
            <rFont val="Tahoma"/>
            <family val="2"/>
          </rPr>
          <t xml:space="preserve">
From 1Q18 release</t>
        </r>
      </text>
    </comment>
    <comment ref="N72" authorId="0">
      <text>
        <r>
          <rPr>
            <b/>
            <sz val="9"/>
            <color indexed="81"/>
            <rFont val="Tahoma"/>
            <family val="2"/>
          </rPr>
          <t>Browne, Roberto (Research):</t>
        </r>
        <r>
          <rPr>
            <sz val="9"/>
            <color indexed="81"/>
            <rFont val="Tahoma"/>
            <family val="2"/>
          </rPr>
          <t xml:space="preserve">
From 1Q18 release</t>
        </r>
      </text>
    </comment>
    <comment ref="N75" authorId="0">
      <text>
        <r>
          <rPr>
            <b/>
            <sz val="9"/>
            <color indexed="81"/>
            <rFont val="Tahoma"/>
            <family val="2"/>
          </rPr>
          <t>Browne, Roberto (Research):</t>
        </r>
        <r>
          <rPr>
            <sz val="9"/>
            <color indexed="81"/>
            <rFont val="Tahoma"/>
            <family val="2"/>
          </rPr>
          <t xml:space="preserve">
Assuming sport price below the average price for the year.</t>
        </r>
      </text>
    </comment>
    <comment ref="N77" authorId="0">
      <text>
        <r>
          <rPr>
            <b/>
            <sz val="9"/>
            <color indexed="81"/>
            <rFont val="Tahoma"/>
            <family val="2"/>
          </rPr>
          <t>Browne, Roberto (Research):</t>
        </r>
        <r>
          <rPr>
            <sz val="9"/>
            <color indexed="81"/>
            <rFont val="Tahoma"/>
            <family val="2"/>
          </rPr>
          <t xml:space="preserve">
From 1Q18 release</t>
        </r>
      </text>
    </comment>
    <comment ref="N78" authorId="0">
      <text>
        <r>
          <rPr>
            <b/>
            <sz val="9"/>
            <color indexed="81"/>
            <rFont val="Tahoma"/>
            <family val="2"/>
          </rPr>
          <t>Browne, Roberto (Research):</t>
        </r>
        <r>
          <rPr>
            <sz val="9"/>
            <color indexed="81"/>
            <rFont val="Tahoma"/>
            <family val="2"/>
          </rPr>
          <t xml:space="preserve">
From 1Q18 release</t>
        </r>
      </text>
    </comment>
    <comment ref="N100" authorId="0">
      <text>
        <r>
          <rPr>
            <b/>
            <sz val="9"/>
            <color indexed="81"/>
            <rFont val="Tahoma"/>
            <family val="2"/>
          </rPr>
          <t>Browne, Roberto (Research):</t>
        </r>
        <r>
          <rPr>
            <sz val="9"/>
            <color indexed="81"/>
            <rFont val="Tahoma"/>
            <family val="2"/>
          </rPr>
          <t xml:space="preserve">
</t>
        </r>
      </text>
    </comment>
    <comment ref="O100" authorId="0">
      <text>
        <r>
          <rPr>
            <b/>
            <sz val="9"/>
            <color indexed="81"/>
            <rFont val="Tahoma"/>
            <family val="2"/>
          </rPr>
          <t>Browne, Roberto (Research):</t>
        </r>
        <r>
          <rPr>
            <sz val="9"/>
            <color indexed="81"/>
            <rFont val="Tahoma"/>
            <family val="2"/>
          </rPr>
          <t xml:space="preserve">
Call with Aline 2017/08/24:
570k MWh LT contract until 2025 at R$500/MWh.</t>
        </r>
      </text>
    </comment>
    <comment ref="N101" authorId="0">
      <text>
        <r>
          <rPr>
            <b/>
            <sz val="9"/>
            <color indexed="81"/>
            <rFont val="Tahoma"/>
            <family val="2"/>
          </rPr>
          <t>Browne, Roberto (Research):</t>
        </r>
        <r>
          <rPr>
            <sz val="9"/>
            <color indexed="81"/>
            <rFont val="Tahoma"/>
            <family val="2"/>
          </rPr>
          <t xml:space="preserve">
1Q18 price</t>
        </r>
      </text>
    </comment>
    <comment ref="X104" authorId="5">
      <text>
        <r>
          <rPr>
            <b/>
            <sz val="9"/>
            <color indexed="81"/>
            <rFont val="Tahoma"/>
            <family val="2"/>
          </rPr>
          <t>Castellucci, Thyago M (Research):</t>
        </r>
        <r>
          <rPr>
            <sz val="9"/>
            <color indexed="81"/>
            <rFont val="Tahoma"/>
            <family val="2"/>
          </rPr>
          <t xml:space="preserve">
This 31,999 is from the recognition of Etanol Participações SA Sales Revenue (acquired on April 2007)</t>
        </r>
      </text>
    </comment>
    <comment ref="BD116" authorId="5">
      <text>
        <r>
          <rPr>
            <b/>
            <sz val="9"/>
            <color indexed="81"/>
            <rFont val="Tahoma"/>
            <family val="2"/>
          </rPr>
          <t>Castellucci, Thyago M (Research):</t>
        </r>
        <r>
          <rPr>
            <sz val="9"/>
            <color indexed="81"/>
            <rFont val="Tahoma"/>
            <family val="2"/>
          </rPr>
          <t xml:space="preserve">
On 1Q15 Earnings Release (Hedge Section), the company started to adjust Net Revenue Breakdown to the effect of debt maturity hedge accounting, so in order to Sales match Net Revenues we included the hedge accounting effect back</t>
        </r>
      </text>
    </comment>
    <comment ref="BE116" authorId="5">
      <text>
        <r>
          <rPr>
            <b/>
            <sz val="9"/>
            <color indexed="81"/>
            <rFont val="Tahoma"/>
            <family val="2"/>
          </rPr>
          <t>Castellucci, Thyago M (Research):</t>
        </r>
        <r>
          <rPr>
            <sz val="9"/>
            <color indexed="81"/>
            <rFont val="Tahoma"/>
            <family val="2"/>
          </rPr>
          <t xml:space="preserve">
On 1Q15 Earnings Release (Hedge Section), the company started to adjust Net Revenue Breakdown to the effect of debt maturity hedge accounting, so in order to Sales match Net Revenues we included the hedge accounting effect back</t>
        </r>
      </text>
    </comment>
    <comment ref="BF116" authorId="5">
      <text>
        <r>
          <rPr>
            <b/>
            <sz val="9"/>
            <color indexed="81"/>
            <rFont val="Tahoma"/>
            <family val="2"/>
          </rPr>
          <t>Castellucci, Thyago M (Research):</t>
        </r>
        <r>
          <rPr>
            <sz val="9"/>
            <color indexed="81"/>
            <rFont val="Tahoma"/>
            <family val="2"/>
          </rPr>
          <t xml:space="preserve">
On 1Q15 Earnings Release (Hedge Section), the company started to adjust Net Revenue Breakdown to the effect of debt maturity hedge accounting, so in order to Sales match Net Revenues we included the hedge accounting effect back</t>
        </r>
      </text>
    </comment>
    <comment ref="BG116" authorId="5">
      <text>
        <r>
          <rPr>
            <sz val="9"/>
            <color indexed="81"/>
            <rFont val="Tahoma"/>
            <family val="2"/>
          </rPr>
          <t>Adjusted Net Revenue Breakdown to the effect of debt maturity hedge accounting, so in order to Sales match Net Revenues we included the hedge accounting effect back</t>
        </r>
      </text>
    </comment>
    <comment ref="BH116" authorId="5">
      <text>
        <r>
          <rPr>
            <sz val="9"/>
            <color indexed="81"/>
            <rFont val="Tahoma"/>
            <family val="2"/>
          </rPr>
          <t>Adjusted Net Revenue Breakdown to the effect of debt maturity hedge accounting, so in order to Sales match Net Revenues we included the hedge accounting effect back</t>
        </r>
      </text>
    </comment>
    <comment ref="N120" authorId="0">
      <text>
        <r>
          <rPr>
            <b/>
            <sz val="9"/>
            <color indexed="81"/>
            <rFont val="Tahoma"/>
            <family val="2"/>
          </rPr>
          <t>Browne, Roberto (Research):</t>
        </r>
        <r>
          <rPr>
            <sz val="9"/>
            <color indexed="81"/>
            <rFont val="Tahoma"/>
            <family val="2"/>
          </rPr>
          <t xml:space="preserve">
Not forecast.</t>
        </r>
      </text>
    </comment>
    <comment ref="N129" authorId="0">
      <text>
        <r>
          <rPr>
            <b/>
            <sz val="9"/>
            <color indexed="81"/>
            <rFont val="Tahoma"/>
            <family val="2"/>
          </rPr>
          <t>Browne, Roberto (Research):</t>
        </r>
        <r>
          <rPr>
            <sz val="9"/>
            <color indexed="81"/>
            <rFont val="Tahoma"/>
            <family val="2"/>
          </rPr>
          <t xml:space="preserve">
Not forecast. According to the company is best to forecast revenue and COGS only.</t>
        </r>
      </text>
    </comment>
    <comment ref="F135" authorId="2">
      <text>
        <r>
          <rPr>
            <sz val="9"/>
            <color indexed="81"/>
            <rFont val="Tahoma"/>
            <family val="2"/>
          </rPr>
          <t xml:space="preserve">Assumed
</t>
        </r>
      </text>
    </comment>
    <comment ref="N135" authorId="0">
      <text>
        <r>
          <rPr>
            <b/>
            <sz val="9"/>
            <color indexed="81"/>
            <rFont val="Tahoma"/>
            <family val="2"/>
          </rPr>
          <t>Browne, Roberto (Research):</t>
        </r>
        <r>
          <rPr>
            <sz val="9"/>
            <color indexed="81"/>
            <rFont val="Tahoma"/>
            <family val="2"/>
          </rPr>
          <t xml:space="preserve">
Based on Cosan's cogen gross margin</t>
        </r>
      </text>
    </comment>
    <comment ref="AJ135" authorId="2">
      <text>
        <r>
          <rPr>
            <sz val="9"/>
            <color indexed="81"/>
            <rFont val="Tahoma"/>
            <family val="2"/>
          </rPr>
          <t xml:space="preserve">Assumed
</t>
        </r>
      </text>
    </comment>
    <comment ref="M175" authorId="0">
      <text>
        <r>
          <rPr>
            <b/>
            <sz val="9"/>
            <color indexed="81"/>
            <rFont val="Tahoma"/>
            <family val="2"/>
          </rPr>
          <t>Browne, Roberto (Research):</t>
        </r>
        <r>
          <rPr>
            <sz val="9"/>
            <color indexed="81"/>
            <rFont val="Tahoma"/>
            <family val="2"/>
          </rPr>
          <t xml:space="preserve">
Receita de R$ 142,6 milhões não recorrente reconhecida no 4T17 e 12M17 oriunda da incorporação da Nova Fronteira. Concomitantemente ao reconhecimento dessa receita  extraordinária, foi dada a baixa em todo saldo de prejuízo fiscal da Boa Vista, conforme poderá ser visto no IR e CS diferidos nas demonstrações financeiras deste documento.</t>
        </r>
      </text>
    </comment>
    <comment ref="N175" authorId="0">
      <text>
        <r>
          <rPr>
            <b/>
            <sz val="9"/>
            <color indexed="81"/>
            <rFont val="Tahoma"/>
            <family val="2"/>
          </rPr>
          <t>Browne, Roberto (Research):</t>
        </r>
        <r>
          <rPr>
            <sz val="9"/>
            <color indexed="81"/>
            <rFont val="Tahoma"/>
            <family val="2"/>
          </rPr>
          <t xml:space="preserve">
Not forecast.</t>
        </r>
      </text>
    </comment>
    <comment ref="F177" authorId="2">
      <text>
        <r>
          <rPr>
            <sz val="9"/>
            <color indexed="81"/>
            <rFont val="Tahoma"/>
            <family val="2"/>
          </rPr>
          <t>For FY2010, the company reports EBITDA by product (not Adjusted EBITDA by product)</t>
        </r>
      </text>
    </comment>
    <comment ref="BD239" authorId="6">
      <text>
        <r>
          <rPr>
            <sz val="9"/>
            <color indexed="81"/>
            <rFont val="Tahoma"/>
            <family val="2"/>
          </rPr>
          <t>Excludes Hedge Accounting effect of foreign denominated debt (R$ 6.4 million). Source: 1Q15 Press Release</t>
        </r>
      </text>
    </comment>
    <comment ref="BE239" authorId="6">
      <text>
        <r>
          <rPr>
            <sz val="9"/>
            <color indexed="81"/>
            <rFont val="Tahoma"/>
            <family val="2"/>
          </rPr>
          <t>Excludes Hedge Accounting effect of foreign denominated debt (R$ 18.7 million). Source: 2Q15 Press Release</t>
        </r>
      </text>
    </comment>
    <comment ref="BF239" authorId="6">
      <text>
        <r>
          <rPr>
            <sz val="9"/>
            <color indexed="81"/>
            <rFont val="Tahoma"/>
            <family val="2"/>
          </rPr>
          <t>Excludes Hedge Accounting effect of foreign denominated debt (R$ 9.2 million). Source: 3Q15 Press Release</t>
        </r>
      </text>
    </comment>
    <comment ref="L245" authorId="6">
      <text>
        <r>
          <rPr>
            <b/>
            <sz val="9"/>
            <color indexed="81"/>
            <rFont val="Tahoma"/>
            <family val="2"/>
          </rPr>
          <t xml:space="preserve">12M16 number doesn’t match with the sum of the quarters. Waiting for 2017 data in order to make the restatement of the quarters. </t>
        </r>
        <r>
          <rPr>
            <sz val="9"/>
            <color indexed="81"/>
            <rFont val="Tahoma"/>
            <family val="2"/>
          </rPr>
          <t xml:space="preserve">
</t>
        </r>
      </text>
    </comment>
    <comment ref="H246" authorId="2">
      <text>
        <r>
          <rPr>
            <sz val="9"/>
            <color indexed="81"/>
            <rFont val="Tahoma"/>
            <family val="2"/>
          </rPr>
          <t>Thyago: "there seems to be a small difference between the sum of reported quarters and the reported annual, I've checked all inputs, but, when they close the year, restatements may have been done without reflecting on the reported numbers for the quarters"</t>
        </r>
      </text>
    </comment>
    <comment ref="I246" authorId="2">
      <text>
        <r>
          <rPr>
            <sz val="9"/>
            <color indexed="81"/>
            <rFont val="Tahoma"/>
            <family val="2"/>
          </rPr>
          <t>Thyago: "there seems to be a small difference between the sum of reported quarters and the reported annual, I've checked all inputs, but, when they close the year, restatements may have been done without reflecting on the reported numbers for the quarters"</t>
        </r>
      </text>
    </comment>
    <comment ref="L246" authorId="6">
      <text>
        <r>
          <rPr>
            <b/>
            <sz val="9"/>
            <color indexed="81"/>
            <rFont val="Tahoma"/>
            <family val="2"/>
          </rPr>
          <t xml:space="preserve">12M16 number doesn’t match with the sum of the quarters. Waiting for 2017 data in order to make the restatement of the quarters. </t>
        </r>
        <r>
          <rPr>
            <sz val="9"/>
            <color indexed="81"/>
            <rFont val="Tahoma"/>
            <family val="2"/>
          </rPr>
          <t xml:space="preserve">
</t>
        </r>
      </text>
    </comment>
    <comment ref="L250" authorId="6">
      <text>
        <r>
          <rPr>
            <b/>
            <sz val="9"/>
            <color indexed="81"/>
            <rFont val="Tahoma"/>
            <family val="2"/>
          </rPr>
          <t xml:space="preserve">12M16 number doesn’t match with the sum of the quarters. Waiting for 2017 data in order to make the restatement of the quarters. </t>
        </r>
        <r>
          <rPr>
            <sz val="9"/>
            <color indexed="81"/>
            <rFont val="Tahoma"/>
            <family val="2"/>
          </rPr>
          <t xml:space="preserve">
</t>
        </r>
      </text>
    </comment>
    <comment ref="J253" authorId="2">
      <text>
        <r>
          <rPr>
            <sz val="9"/>
            <color indexed="81"/>
            <rFont val="Tahoma"/>
            <family val="2"/>
          </rPr>
          <t xml:space="preserve">Difference between the TRS tons reported by company and the TRS tons that we calculate based on our conversion factors
</t>
        </r>
      </text>
    </comment>
    <comment ref="K253" authorId="2">
      <text>
        <r>
          <rPr>
            <sz val="9"/>
            <color indexed="81"/>
            <rFont val="Tahoma"/>
            <family val="2"/>
          </rPr>
          <t xml:space="preserve">Difference between the TRS tons reported by company and the TRS tons that we calculate based on our conversion factors
</t>
        </r>
      </text>
    </comment>
    <comment ref="L253" authorId="2">
      <text>
        <r>
          <rPr>
            <sz val="9"/>
            <color indexed="81"/>
            <rFont val="Tahoma"/>
            <family val="2"/>
          </rPr>
          <t xml:space="preserve">Difference between the TRS tons reported by company and the TRS tons that we calculate based on our conversion factors
</t>
        </r>
      </text>
    </comment>
    <comment ref="M253" authorId="2">
      <text>
        <r>
          <rPr>
            <sz val="9"/>
            <color indexed="81"/>
            <rFont val="Tahoma"/>
            <family val="2"/>
          </rPr>
          <t xml:space="preserve">Difference between the TRS tons reported by company and the TRS tons that we calculate based on our conversion factors
</t>
        </r>
      </text>
    </comment>
    <comment ref="BK253" authorId="2">
      <text>
        <r>
          <rPr>
            <sz val="9"/>
            <color indexed="81"/>
            <rFont val="Tahoma"/>
            <family val="2"/>
          </rPr>
          <t>This check fails validation since we are comparing tons sold with tons produced (on an annual basis there is no problem since the seasonality effect is mitigated, and total production ≈ total tons sold, but on a Quarterly basis is quite different).</t>
        </r>
      </text>
    </comment>
  </commentList>
</comments>
</file>

<file path=xl/comments10.xml><?xml version="1.0" encoding="utf-8"?>
<comments xmlns="http://schemas.openxmlformats.org/spreadsheetml/2006/main">
  <authors>
    <author>Browne, Roberto (Research)</author>
    <author>Duran, Cristian (Research)</author>
    <author>Gopal, Shwetha (Research)</author>
    <author>Martinez de Olcoz Cerdan, Javier (Research)</author>
    <author>Cerdas, Juan (Research)</author>
  </authors>
  <commentList>
    <comment ref="P84" authorId="0">
      <text>
        <r>
          <rPr>
            <b/>
            <sz val="9"/>
            <color indexed="81"/>
            <rFont val="Tahoma"/>
            <family val="2"/>
          </rPr>
          <t>Browne, Roberto (Research):</t>
        </r>
        <r>
          <rPr>
            <sz val="9"/>
            <color indexed="81"/>
            <rFont val="Tahoma"/>
            <family val="2"/>
          </rPr>
          <t xml:space="preserve">
Call with Aline 2017/08/23:
R$900mn maintenance capex in 2018E</t>
        </r>
      </text>
    </comment>
    <comment ref="O87" authorId="1">
      <text>
        <r>
          <rPr>
            <b/>
            <sz val="9"/>
            <color indexed="81"/>
            <rFont val="Tahoma"/>
            <family val="2"/>
          </rPr>
          <t>Duran, Cristian (Research):</t>
        </r>
        <r>
          <rPr>
            <sz val="9"/>
            <color indexed="81"/>
            <rFont val="Tahoma"/>
            <family val="2"/>
          </rPr>
          <t xml:space="preserve">
The Company’s Board of Directors
authorized investments in the aggregate amount of R$44 million to expand sugarcane
processing capacity at the Santa Cruz Mill from its current 5.2 million tons to 5.6 million tons.</t>
        </r>
      </text>
    </comment>
    <comment ref="L100" authorId="2">
      <text>
        <r>
          <rPr>
            <sz val="9"/>
            <color indexed="81"/>
            <rFont val="Tahoma"/>
            <family val="2"/>
          </rPr>
          <t xml:space="preserve">Stock options outstanding as of Mar 31, 2014 = 1,181,516
</t>
        </r>
      </text>
    </comment>
    <comment ref="J101" authorId="2">
      <text>
        <r>
          <rPr>
            <sz val="9"/>
            <color indexed="81"/>
            <rFont val="Tahoma"/>
            <family val="2"/>
          </rPr>
          <t>On November 28, 2011, purchase options of 140,400 Company shares were granted to certain directors. An exercise price of R$ 19.31 per share was attributed to these shares. The acquisition of the right of
exercise of the options will occur on three occasions, namely: i) 33.3% after the first year as from the grant date; ii) 33.3% after the second year as from the grand date; and iii) 33.3% after the third year as from the grant date. The maximum terms for the exercise of these stock options is 2018.
Source: Annual Report 2013 pg. no. 63</t>
        </r>
      </text>
    </comment>
    <comment ref="J102" authorId="2">
      <text>
        <r>
          <rPr>
            <sz val="9"/>
            <color indexed="81"/>
            <rFont val="Tahoma"/>
            <family val="2"/>
          </rPr>
          <t>On December 12, 2011, purchase options of 418,538 Company's shares were granted to certain directors. An exercise price of R$ 18.49 per share was attributed to these shares. The acquisition of the right of exercise of the options occur on three occasions, namely: i) 33.3% after the second year as from the grant date; ii) 33.3% after the third year as from the grand date; and iii) 33.3% after the fourth year as from the grant date. The maximum terms for the exercise of these stock options is 2018.
Source: Annual Report 2013 pg. no. 63</t>
        </r>
      </text>
    </comment>
    <comment ref="K103" authorId="1">
      <text>
        <r>
          <rPr>
            <b/>
            <sz val="9"/>
            <color indexed="81"/>
            <rFont val="Tahoma"/>
            <family val="2"/>
          </rPr>
          <t>Duran, Cristian (Research):</t>
        </r>
        <r>
          <rPr>
            <sz val="9"/>
            <color indexed="81"/>
            <rFont val="Tahoma"/>
            <family val="2"/>
          </rPr>
          <t xml:space="preserve">
1Q18 ITR pag 43</t>
        </r>
      </text>
    </comment>
    <comment ref="L104" authorId="1">
      <text>
        <r>
          <rPr>
            <b/>
            <sz val="9"/>
            <color indexed="81"/>
            <rFont val="Tahoma"/>
            <family val="2"/>
          </rPr>
          <t>Duran, Cristian (Research):</t>
        </r>
        <r>
          <rPr>
            <sz val="9"/>
            <color indexed="81"/>
            <rFont val="Tahoma"/>
            <family val="2"/>
          </rPr>
          <t xml:space="preserve">
1Q18 ITR pag 43</t>
        </r>
      </text>
    </comment>
    <comment ref="M105" authorId="1">
      <text>
        <r>
          <rPr>
            <b/>
            <sz val="9"/>
            <color indexed="81"/>
            <rFont val="Tahoma"/>
            <family val="2"/>
          </rPr>
          <t>Duran, Cristian (Research):</t>
        </r>
        <r>
          <rPr>
            <sz val="9"/>
            <color indexed="81"/>
            <rFont val="Tahoma"/>
            <family val="2"/>
          </rPr>
          <t xml:space="preserve">
1Q18 ITR pag 43</t>
        </r>
      </text>
    </comment>
    <comment ref="N106" authorId="1">
      <text>
        <r>
          <rPr>
            <b/>
            <sz val="9"/>
            <color indexed="81"/>
            <rFont val="Tahoma"/>
            <family val="2"/>
          </rPr>
          <t>Duran, Cristian (Research):</t>
        </r>
        <r>
          <rPr>
            <sz val="9"/>
            <color indexed="81"/>
            <rFont val="Tahoma"/>
            <family val="2"/>
          </rPr>
          <t xml:space="preserve">
1Q18 ITR pag 43</t>
        </r>
      </text>
    </comment>
    <comment ref="O107" authorId="1">
      <text>
        <r>
          <rPr>
            <b/>
            <sz val="9"/>
            <color indexed="81"/>
            <rFont val="Tahoma"/>
            <family val="2"/>
          </rPr>
          <t>Duran, Cristian (Research):</t>
        </r>
        <r>
          <rPr>
            <sz val="9"/>
            <color indexed="81"/>
            <rFont val="Tahoma"/>
            <family val="2"/>
          </rPr>
          <t xml:space="preserve">
1Q18 ITR pag 43</t>
        </r>
      </text>
    </comment>
    <comment ref="P110" authorId="2">
      <text>
        <r>
          <rPr>
            <sz val="9"/>
            <color indexed="81"/>
            <rFont val="Tahoma"/>
            <family val="2"/>
          </rPr>
          <t>Maturity upto 2018</t>
        </r>
      </text>
    </comment>
    <comment ref="P111" authorId="2">
      <text>
        <r>
          <rPr>
            <sz val="9"/>
            <color indexed="81"/>
            <rFont val="Tahoma"/>
            <family val="2"/>
          </rPr>
          <t>Maturity upto 2018</t>
        </r>
      </text>
    </comment>
    <comment ref="Q112" authorId="2">
      <text>
        <r>
          <rPr>
            <sz val="9"/>
            <color indexed="81"/>
            <rFont val="Tahoma"/>
            <family val="2"/>
          </rPr>
          <t>Maturity upto 2018</t>
        </r>
      </text>
    </comment>
    <comment ref="R113" authorId="2">
      <text>
        <r>
          <rPr>
            <sz val="9"/>
            <color indexed="81"/>
            <rFont val="Tahoma"/>
            <family val="2"/>
          </rPr>
          <t>Maturity upto 2018</t>
        </r>
      </text>
    </comment>
    <comment ref="O137" authorId="1">
      <text>
        <r>
          <rPr>
            <b/>
            <sz val="9"/>
            <color indexed="81"/>
            <rFont val="Tahoma"/>
            <family val="2"/>
          </rPr>
          <t>Duran, Cristian (Research):</t>
        </r>
        <r>
          <rPr>
            <sz val="9"/>
            <color indexed="81"/>
            <rFont val="Tahoma"/>
            <family val="2"/>
          </rPr>
          <t xml:space="preserve">
3Q17 ITR pag 46
adjusted by jan 2017 3x1 split</t>
        </r>
      </text>
    </comment>
    <comment ref="O138" authorId="3">
      <text>
        <r>
          <rPr>
            <b/>
            <sz val="9"/>
            <color indexed="81"/>
            <rFont val="Tahoma"/>
            <family val="2"/>
          </rPr>
          <t>Martinez de Olcoz Cerdan, Javier (Research):</t>
        </r>
        <r>
          <rPr>
            <sz val="9"/>
            <color indexed="81"/>
            <rFont val="Tahoma"/>
            <family val="2"/>
          </rPr>
          <t xml:space="preserve">
adjusted by jan 2017 3x1 split</t>
        </r>
      </text>
    </comment>
    <comment ref="O139" authorId="3">
      <text>
        <r>
          <rPr>
            <b/>
            <sz val="9"/>
            <color indexed="81"/>
            <rFont val="Tahoma"/>
            <family val="2"/>
          </rPr>
          <t>Martinez de Olcoz Cerdan, Javier (Research):</t>
        </r>
        <r>
          <rPr>
            <sz val="9"/>
            <color indexed="81"/>
            <rFont val="Tahoma"/>
            <family val="2"/>
          </rPr>
          <t xml:space="preserve">
adjusted by jan 2017 3x1 split</t>
        </r>
      </text>
    </comment>
    <comment ref="O140" authorId="3">
      <text>
        <r>
          <rPr>
            <b/>
            <sz val="9"/>
            <color indexed="81"/>
            <rFont val="Tahoma"/>
            <family val="2"/>
          </rPr>
          <t>Martinez de Olcoz Cerdan, Javier (Research):</t>
        </r>
        <r>
          <rPr>
            <sz val="9"/>
            <color indexed="81"/>
            <rFont val="Tahoma"/>
            <family val="2"/>
          </rPr>
          <t xml:space="preserve">
adjusted by jan 2017 3x1 split</t>
        </r>
      </text>
    </comment>
    <comment ref="O141" authorId="3">
      <text>
        <r>
          <rPr>
            <b/>
            <sz val="9"/>
            <color indexed="81"/>
            <rFont val="Tahoma"/>
            <family val="2"/>
          </rPr>
          <t>Martinez de Olcoz Cerdan, Javier (Research):</t>
        </r>
        <r>
          <rPr>
            <sz val="9"/>
            <color indexed="81"/>
            <rFont val="Tahoma"/>
            <family val="2"/>
          </rPr>
          <t xml:space="preserve">
adjusted by jan 2017 3x1 split</t>
        </r>
      </text>
    </comment>
    <comment ref="O142" authorId="3">
      <text>
        <r>
          <rPr>
            <b/>
            <sz val="9"/>
            <color indexed="81"/>
            <rFont val="Tahoma"/>
            <family val="2"/>
          </rPr>
          <t>Martinez de Olcoz Cerdan, Javier (Research):</t>
        </r>
        <r>
          <rPr>
            <sz val="9"/>
            <color indexed="81"/>
            <rFont val="Tahoma"/>
            <family val="2"/>
          </rPr>
          <t xml:space="preserve">
adjusted by jan 2017 3x1 split</t>
        </r>
      </text>
    </comment>
    <comment ref="O143" authorId="3">
      <text>
        <r>
          <rPr>
            <b/>
            <sz val="9"/>
            <color indexed="81"/>
            <rFont val="Tahoma"/>
            <family val="2"/>
          </rPr>
          <t>Martinez de Olcoz Cerdan, Javier (Research):</t>
        </r>
        <r>
          <rPr>
            <sz val="9"/>
            <color indexed="81"/>
            <rFont val="Tahoma"/>
            <family val="2"/>
          </rPr>
          <t xml:space="preserve">
adjusted by jan 2017 3x1 split</t>
        </r>
      </text>
    </comment>
    <comment ref="O147" authorId="1">
      <text>
        <r>
          <rPr>
            <b/>
            <sz val="9"/>
            <color indexed="81"/>
            <rFont val="Tahoma"/>
            <family val="2"/>
          </rPr>
          <t>Duran, Cristian (Research):</t>
        </r>
        <r>
          <rPr>
            <sz val="9"/>
            <color indexed="81"/>
            <rFont val="Tahoma"/>
            <family val="2"/>
          </rPr>
          <t xml:space="preserve">
For the period ended June 30, 2017, there were no changes in treasury shares, and the
number of shares remained at 5,431,517. </t>
        </r>
      </text>
    </comment>
    <comment ref="O152" authorId="1">
      <text>
        <r>
          <rPr>
            <b/>
            <sz val="9"/>
            <color indexed="81"/>
            <rFont val="Tahoma"/>
            <family val="2"/>
          </rPr>
          <t>Duran, Cristian (Research):</t>
        </r>
        <r>
          <rPr>
            <sz val="9"/>
            <color indexed="81"/>
            <rFont val="Tahoma"/>
            <family val="2"/>
          </rPr>
          <t xml:space="preserve">
At the Special General Meeting held on February 23, 2017, the shareholders approved the
issue of 24,023,708 new common registered book-entry shares, with no par value, to be
assigned to the shareholders of Nova Fronteira, replacing the shares held by it. In addition,
the merger of Nova Fronteira Bioenergia S.A. was approved.</t>
        </r>
      </text>
    </comment>
    <comment ref="E161" authorId="2">
      <text>
        <r>
          <rPr>
            <sz val="9"/>
            <color indexed="81"/>
            <rFont val="Tahoma"/>
            <family val="2"/>
          </rPr>
          <t xml:space="preserve">As the Company went public in February 2007, 13,000,000 registered common shares without par value were issued, increasing the number of outstanding shares to 113,000,000. 
Source: Annual Report 2007 pg. no. 43
</t>
        </r>
      </text>
    </comment>
    <comment ref="P161" authorId="4">
      <text>
        <r>
          <rPr>
            <b/>
            <sz val="9"/>
            <color indexed="81"/>
            <rFont val="Tahoma"/>
            <family val="2"/>
          </rPr>
          <t xml:space="preserve">Cerdas, Juan (Research):
1Q18 ITR page 39:
</t>
        </r>
        <r>
          <rPr>
            <sz val="9"/>
            <color indexed="81"/>
            <rFont val="Tahoma"/>
            <family val="2"/>
          </rPr>
          <t>At June 30, 2017 and March 31, 2017, capital amounted to R$1,494,334, comprising
364,011,329 common registered shares, with no par value</t>
        </r>
        <r>
          <rPr>
            <b/>
            <sz val="9"/>
            <color indexed="81"/>
            <rFont val="Tahoma"/>
            <family val="2"/>
          </rPr>
          <t xml:space="preserve">. 
</t>
        </r>
        <r>
          <rPr>
            <sz val="9"/>
            <color indexed="81"/>
            <rFont val="Tahoma"/>
            <family val="2"/>
          </rPr>
          <t xml:space="preserve">
"As a result of the merger, Nova Fronteira ceased to exist and the Company’s capital was
increased through issue of 24,023,708 new common registered book-entry shares, with no
par value, which were assigned to the shareholders of Nova Fronteira." </t>
        </r>
      </text>
    </comment>
  </commentList>
</comments>
</file>

<file path=xl/comments11.xml><?xml version="1.0" encoding="utf-8"?>
<comments xmlns="http://schemas.openxmlformats.org/spreadsheetml/2006/main">
  <authors>
    <author>Gopal, Shwetha (Research)</author>
    <author>Murillo, Mariana (Research)</author>
    <author>Duran, Cristian (Research)</author>
    <author>Valerio, Josue (Research)</author>
  </authors>
  <commentList>
    <comment ref="O7" authorId="0">
      <text>
        <r>
          <rPr>
            <sz val="9"/>
            <color indexed="81"/>
            <rFont val="Tahoma"/>
            <family val="2"/>
          </rPr>
          <t xml:space="preserve">Source: Compamny presentation dated Feb 13, 2015
(BTG Pactual XVI Brasil CEO Conference)
</t>
        </r>
      </text>
    </comment>
    <comment ref="Q7" authorId="1">
      <text>
        <r>
          <rPr>
            <b/>
            <sz val="9"/>
            <color indexed="81"/>
            <rFont val="Tahoma"/>
            <family val="2"/>
          </rPr>
          <t>Murillo, Mariana (Research):</t>
        </r>
        <r>
          <rPr>
            <sz val="9"/>
            <color indexed="81"/>
            <rFont val="Tahoma"/>
            <family val="2"/>
          </rPr>
          <t xml:space="preserve">
52,600 ha of owned land located in strategic areas and
with high agricultural yields.
Bradesco's 3rd Brazil Investment Forum Presentation slide 3</t>
        </r>
      </text>
    </comment>
    <comment ref="R7" authorId="2">
      <text>
        <r>
          <rPr>
            <b/>
            <sz val="9"/>
            <color indexed="81"/>
            <rFont val="Tahoma"/>
            <family val="2"/>
          </rPr>
          <t>Duran, Cristian (Research):</t>
        </r>
        <r>
          <rPr>
            <sz val="9"/>
            <color indexed="81"/>
            <rFont val="Tahoma"/>
            <family val="2"/>
          </rPr>
          <t xml:space="preserve">
Apresentacao Insitucional 2016/2017</t>
        </r>
      </text>
    </comment>
    <comment ref="P8" authorId="0">
      <text>
        <r>
          <rPr>
            <b/>
            <sz val="9"/>
            <color indexed="81"/>
            <rFont val="Tahoma"/>
            <family val="2"/>
          </rPr>
          <t>Gopal, Shwetha (Research):</t>
        </r>
        <r>
          <rPr>
            <sz val="9"/>
            <color indexed="81"/>
            <rFont val="Tahoma"/>
            <family val="2"/>
          </rPr>
          <t xml:space="preserve">
Source: 4Q15 Company presentation</t>
        </r>
      </text>
    </comment>
    <comment ref="R8" authorId="2">
      <text>
        <r>
          <rPr>
            <b/>
            <sz val="9"/>
            <color indexed="81"/>
            <rFont val="Tahoma"/>
            <family val="2"/>
          </rPr>
          <t>Duran, Cristian (Research):</t>
        </r>
        <r>
          <rPr>
            <sz val="9"/>
            <color indexed="81"/>
            <rFont val="Tahoma"/>
            <family val="2"/>
          </rPr>
          <t xml:space="preserve">
Apresentacao Insitucional, Expansao da Capacidade de Moagem</t>
        </r>
      </text>
    </comment>
    <comment ref="E9" authorId="0">
      <text>
        <r>
          <rPr>
            <sz val="9"/>
            <color indexed="81"/>
            <rFont val="Tahoma"/>
            <family val="2"/>
          </rPr>
          <t xml:space="preserve">
Source: Prospectus. Pg. no. 111</t>
        </r>
      </text>
    </comment>
    <comment ref="F9" authorId="0">
      <text>
        <r>
          <rPr>
            <sz val="9"/>
            <color indexed="81"/>
            <rFont val="Tahoma"/>
            <family val="2"/>
          </rPr>
          <t xml:space="preserve">
Source: Prospectus. Pg. no. 111</t>
        </r>
      </text>
    </comment>
    <comment ref="N21" authorId="0">
      <text>
        <r>
          <rPr>
            <sz val="9"/>
            <color indexed="81"/>
            <rFont val="Tahoma"/>
            <family val="2"/>
          </rPr>
          <t xml:space="preserve">rounding -off errors
</t>
        </r>
      </text>
    </comment>
    <comment ref="O41" authorId="3">
      <text>
        <r>
          <rPr>
            <sz val="9"/>
            <color indexed="81"/>
            <rFont val="Tahoma"/>
            <family val="2"/>
          </rPr>
          <t>Reported sales volume for 9M14 = 397 and 4Q14 = 8.2 (hence 12M is 405.2 ). However, FY14 is reported as 445.5. We have noted this as query to IR</t>
        </r>
      </text>
    </comment>
    <comment ref="P44" authorId="1">
      <text>
        <r>
          <rPr>
            <b/>
            <sz val="9"/>
            <color indexed="81"/>
            <rFont val="Tahoma"/>
            <family val="2"/>
          </rPr>
          <t>Murillo, Mariana (Research):</t>
        </r>
        <r>
          <rPr>
            <sz val="9"/>
            <color indexed="81"/>
            <rFont val="Tahoma"/>
            <family val="2"/>
          </rPr>
          <t xml:space="preserve">
Restatement with 4Q16</t>
        </r>
      </text>
    </comment>
    <comment ref="P45" authorId="1">
      <text>
        <r>
          <rPr>
            <b/>
            <sz val="9"/>
            <color indexed="81"/>
            <rFont val="Tahoma"/>
            <family val="2"/>
          </rPr>
          <t>Murillo, Mariana (Research):</t>
        </r>
        <r>
          <rPr>
            <sz val="9"/>
            <color indexed="81"/>
            <rFont val="Tahoma"/>
            <family val="2"/>
          </rPr>
          <t xml:space="preserve">
Restatement with 4Q16</t>
        </r>
      </text>
    </comment>
    <comment ref="Q60" authorId="1">
      <text>
        <r>
          <rPr>
            <b/>
            <sz val="9"/>
            <color indexed="81"/>
            <rFont val="Tahoma"/>
            <family val="2"/>
          </rPr>
          <t>Murillo, Mariana (Research):</t>
        </r>
        <r>
          <rPr>
            <sz val="9"/>
            <color indexed="81"/>
            <rFont val="Tahoma"/>
            <family val="2"/>
          </rPr>
          <t xml:space="preserve">
includes Real Estate</t>
        </r>
      </text>
    </comment>
    <comment ref="P65" authorId="0">
      <text>
        <r>
          <rPr>
            <sz val="9"/>
            <color indexed="81"/>
            <rFont val="Tahoma"/>
            <family val="2"/>
          </rPr>
          <t xml:space="preserve">Revenue breakdown shown in the below table excludes the effects from Hedge Accounting of debt denominated in foreign currencies
</t>
        </r>
      </text>
    </comment>
    <comment ref="E106" authorId="0">
      <text>
        <r>
          <rPr>
            <sz val="9"/>
            <color indexed="81"/>
            <rFont val="Tahoma"/>
            <family val="2"/>
          </rPr>
          <t>Retrospectively adjusted  for the stock split of 2007
(On November 24, 2006, the Company’s shareholders approved the split of
the Company’s shares in the ratio of 1 (one) common share for 1 (one) new common share, without change in the capital. Due to such split, the number of shares composing the capital was increased to 100,000,000 of common shares)</t>
        </r>
      </text>
    </comment>
    <comment ref="F106" authorId="0">
      <text>
        <r>
          <rPr>
            <sz val="9"/>
            <color indexed="81"/>
            <rFont val="Tahoma"/>
            <family val="2"/>
          </rPr>
          <t>Retrospectively adjusted  for the stock split of 2007
(On November 24, 2006, the Company’s shareholders approved the split of
the Company’s shares in the ratio of 1 (one) common share for 1 (one) new common share, without change in the capital. Due to such split, the number of shares composing the capital was increased to 100,000,000 of common shares)</t>
        </r>
      </text>
    </comment>
    <comment ref="G106" authorId="0">
      <text>
        <r>
          <rPr>
            <sz val="9"/>
            <color indexed="81"/>
            <rFont val="Tahoma"/>
            <family val="2"/>
          </rPr>
          <t>Retrospectively adjusted  for the stock split of 2007
(On November 24, 2006, the Company’s shareholders approved the split of
the Company’s shares in the ratio of 1 (one) common share for 1 (one) new common share, without change in the capital. Due to such split, the number of shares composing the capital was increased to 100,000,000 of common shares)</t>
        </r>
      </text>
    </comment>
    <comment ref="H106" authorId="0">
      <text>
        <r>
          <rPr>
            <sz val="9"/>
            <color indexed="81"/>
            <rFont val="Tahoma"/>
            <family val="2"/>
          </rPr>
          <t>On November 24, 2006, the Company’s shareholders approved: a) the split of the Company’s shares in the ratio of 1 (one) common share for 1 (one) new common share, without change in the capital.
Source: 2007 annual report pg 4</t>
        </r>
      </text>
    </comment>
    <comment ref="I106" authorId="2">
      <text>
        <r>
          <rPr>
            <b/>
            <sz val="9"/>
            <color indexed="81"/>
            <rFont val="Tahoma"/>
            <family val="2"/>
          </rPr>
          <t>Duran, Cristian (Research):</t>
        </r>
        <r>
          <rPr>
            <sz val="9"/>
            <color indexed="81"/>
            <rFont val="Tahoma"/>
            <family val="2"/>
          </rPr>
          <t xml:space="preserve">
Adjusted by 3x1 split in Jan 2017</t>
        </r>
      </text>
    </comment>
    <comment ref="J106" authorId="2">
      <text>
        <r>
          <rPr>
            <b/>
            <sz val="9"/>
            <color indexed="81"/>
            <rFont val="Tahoma"/>
            <family val="2"/>
          </rPr>
          <t>Duran, Cristian (Research):</t>
        </r>
        <r>
          <rPr>
            <sz val="9"/>
            <color indexed="81"/>
            <rFont val="Tahoma"/>
            <family val="2"/>
          </rPr>
          <t xml:space="preserve">
Adjusted by 3x1 split in Jan 2017</t>
        </r>
      </text>
    </comment>
    <comment ref="K106" authorId="2">
      <text>
        <r>
          <rPr>
            <b/>
            <sz val="9"/>
            <color indexed="81"/>
            <rFont val="Tahoma"/>
            <family val="2"/>
          </rPr>
          <t>Duran, Cristian (Research):</t>
        </r>
        <r>
          <rPr>
            <sz val="9"/>
            <color indexed="81"/>
            <rFont val="Tahoma"/>
            <family val="2"/>
          </rPr>
          <t xml:space="preserve">
Adjusted by 3x1 split in Jan 2017</t>
        </r>
      </text>
    </comment>
    <comment ref="L106" authorId="2">
      <text>
        <r>
          <rPr>
            <b/>
            <sz val="9"/>
            <color indexed="81"/>
            <rFont val="Tahoma"/>
            <family val="2"/>
          </rPr>
          <t>Duran, Cristian (Research):</t>
        </r>
        <r>
          <rPr>
            <sz val="9"/>
            <color indexed="81"/>
            <rFont val="Tahoma"/>
            <family val="2"/>
          </rPr>
          <t xml:space="preserve">
Adjusted by 3x1 split in Jan 2017</t>
        </r>
      </text>
    </comment>
    <comment ref="M106" authorId="2">
      <text>
        <r>
          <rPr>
            <b/>
            <sz val="9"/>
            <color indexed="81"/>
            <rFont val="Tahoma"/>
            <family val="2"/>
          </rPr>
          <t>Duran, Cristian (Research):</t>
        </r>
        <r>
          <rPr>
            <sz val="9"/>
            <color indexed="81"/>
            <rFont val="Tahoma"/>
            <family val="2"/>
          </rPr>
          <t xml:space="preserve">
Adjusted by 3x1 split in Jan 2017</t>
        </r>
      </text>
    </comment>
    <comment ref="N106" authorId="2">
      <text>
        <r>
          <rPr>
            <b/>
            <sz val="9"/>
            <color indexed="81"/>
            <rFont val="Tahoma"/>
            <family val="2"/>
          </rPr>
          <t>Duran, Cristian (Research):</t>
        </r>
        <r>
          <rPr>
            <sz val="9"/>
            <color indexed="81"/>
            <rFont val="Tahoma"/>
            <family val="2"/>
          </rPr>
          <t xml:space="preserve">
Adjusted by 3x1 split in Jan 2017</t>
        </r>
      </text>
    </comment>
    <comment ref="O106" authorId="2">
      <text>
        <r>
          <rPr>
            <b/>
            <sz val="9"/>
            <color indexed="81"/>
            <rFont val="Tahoma"/>
            <family val="2"/>
          </rPr>
          <t>Duran, Cristian (Research):</t>
        </r>
        <r>
          <rPr>
            <sz val="9"/>
            <color indexed="81"/>
            <rFont val="Tahoma"/>
            <family val="2"/>
          </rPr>
          <t xml:space="preserve">
Adjusted by 3x1 split in Jan 2017</t>
        </r>
      </text>
    </comment>
    <comment ref="P106" authorId="2">
      <text>
        <r>
          <rPr>
            <b/>
            <sz val="9"/>
            <color indexed="81"/>
            <rFont val="Tahoma"/>
            <family val="2"/>
          </rPr>
          <t>Duran, Cristian (Research):</t>
        </r>
        <r>
          <rPr>
            <sz val="9"/>
            <color indexed="81"/>
            <rFont val="Tahoma"/>
            <family val="2"/>
          </rPr>
          <t xml:space="preserve">
Adjusted by 3x1 split in Jan 2017</t>
        </r>
      </text>
    </comment>
    <comment ref="Q106" authorId="2">
      <text>
        <r>
          <rPr>
            <b/>
            <sz val="9"/>
            <color indexed="81"/>
            <rFont val="Tahoma"/>
            <family val="2"/>
          </rPr>
          <t>Duran, Cristian (Research):</t>
        </r>
        <r>
          <rPr>
            <sz val="9"/>
            <color indexed="81"/>
            <rFont val="Tahoma"/>
            <family val="2"/>
          </rPr>
          <t xml:space="preserve">
Restated in 2017 Financial Statements. </t>
        </r>
      </text>
    </comment>
    <comment ref="Q107" authorId="2">
      <text>
        <r>
          <rPr>
            <b/>
            <sz val="9"/>
            <color indexed="81"/>
            <rFont val="Tahoma"/>
            <family val="2"/>
          </rPr>
          <t>Duran, Cristian (Research):</t>
        </r>
        <r>
          <rPr>
            <sz val="9"/>
            <color indexed="81"/>
            <rFont val="Tahoma"/>
            <family val="2"/>
          </rPr>
          <t xml:space="preserve">
Restated in 2017 Financial Statements. </t>
        </r>
      </text>
    </comment>
    <comment ref="H112" authorId="0">
      <text>
        <r>
          <rPr>
            <sz val="9"/>
            <color indexed="81"/>
            <rFont val="Tahoma"/>
            <family val="2"/>
          </rPr>
          <t xml:space="preserve">As the Company went public in February 2007, 13,000,000 registered common shares without par value were issued, increasing the number of outstanding shares to 113,000,000. 
Source: Annual Report 2007 pg. no. 43
</t>
        </r>
      </text>
    </comment>
    <comment ref="A115" authorId="0">
      <text>
        <r>
          <rPr>
            <sz val="9"/>
            <color indexed="81"/>
            <rFont val="Tahoma"/>
            <family val="2"/>
          </rPr>
          <t>Source: http://ir.saomartinho.ind.br/saomartinho/web/conteudo_en.asp?idioma=1&amp;conta=44&amp;tipo=25207</t>
        </r>
      </text>
    </comment>
    <comment ref="K115" authorId="0">
      <text>
        <r>
          <rPr>
            <sz val="9"/>
            <color indexed="81"/>
            <rFont val="Tahoma"/>
            <family val="2"/>
          </rPr>
          <t>Stockholders are entitled to receive a minimum dividend of 25% of the profit for the year, after the deduction of any accumulated deficit and the appropriation to the legal reserve. The Annual General Meeting of stockholders held on July 30, 2010 approved an additional dividend
distribution of R$ 8,838 (R$ 0.0783 per share), totaling R$ 30,933 (R$ 0.2741 per share).
Source: 2012 Financial Statement - pg 63</t>
        </r>
      </text>
    </comment>
    <comment ref="O115" authorId="0">
      <text>
        <r>
          <rPr>
            <sz val="9"/>
            <color indexed="81"/>
            <rFont val="Tahoma"/>
            <family val="2"/>
          </rPr>
          <t>Source: http://ir.saomartinho.ind.br/saomartinho/web/conteudo_en.asp?idioma=1&amp;conta=44&amp;tipo=25207</t>
        </r>
      </text>
    </comment>
    <comment ref="L117" authorId="0">
      <text>
        <r>
          <rPr>
            <sz val="9"/>
            <color indexed="81"/>
            <rFont val="Tahoma"/>
            <family val="2"/>
          </rPr>
          <t xml:space="preserve">http://ir.saomartinho.ind.br/saomartinho/web/arquivos/SMTO_DFs_2011_eng.pdf
</t>
        </r>
      </text>
    </comment>
    <comment ref="P117" authorId="3">
      <text>
        <r>
          <rPr>
            <sz val="9"/>
            <color indexed="81"/>
            <rFont val="Tahoma"/>
            <family val="2"/>
          </rPr>
          <t xml:space="preserve">Mandatory Minimun Dividends, taken from 4Q15 Financial Statements pag 42.
</t>
        </r>
      </text>
    </comment>
    <comment ref="Q117" authorId="3">
      <text>
        <r>
          <rPr>
            <sz val="9"/>
            <color indexed="81"/>
            <rFont val="Tahoma"/>
            <family val="2"/>
          </rPr>
          <t xml:space="preserve">Mandatory Minimun Dividends + Realization of reserve for unearned income, taken from 4Q16 Financial Statements pag 38.
</t>
        </r>
      </text>
    </comment>
  </commentList>
</comments>
</file>

<file path=xl/comments12.xml><?xml version="1.0" encoding="utf-8"?>
<comments xmlns="http://schemas.openxmlformats.org/spreadsheetml/2006/main">
  <authors>
    <author>Gopal, Shwetha (Research)</author>
    <author>Furlanetto, Mateus M (Research)</author>
    <author>Murillo, Mariana (Research)</author>
    <author>Duran, Cristian (Research)</author>
    <author>Castellucci, Thyago M (Research)</author>
    <author>Valerio, Josue (Research)</author>
    <author>Lira, Sergio (Research)</author>
  </authors>
  <commentList>
    <comment ref="O11" authorId="0">
      <text>
        <r>
          <rPr>
            <b/>
            <sz val="9"/>
            <color indexed="81"/>
            <rFont val="Tahoma"/>
            <family val="2"/>
          </rPr>
          <t>Gopal, Shwetha (Research):</t>
        </r>
        <r>
          <rPr>
            <sz val="9"/>
            <color indexed="81"/>
            <rFont val="Tahoma"/>
            <family val="2"/>
          </rPr>
          <t xml:space="preserve">
Source: 2Q11 presentation</t>
        </r>
      </text>
    </comment>
    <comment ref="S11" authorId="0">
      <text>
        <r>
          <rPr>
            <b/>
            <sz val="9"/>
            <color indexed="81"/>
            <rFont val="Tahoma"/>
            <family val="2"/>
          </rPr>
          <t>Gopal, Shwetha (Research):</t>
        </r>
        <r>
          <rPr>
            <sz val="9"/>
            <color indexed="81"/>
            <rFont val="Tahoma"/>
            <family val="2"/>
          </rPr>
          <t xml:space="preserve">
Source: 2Q11 presentation</t>
        </r>
      </text>
    </comment>
    <comment ref="Z11" authorId="0">
      <text>
        <r>
          <rPr>
            <b/>
            <sz val="9"/>
            <color indexed="81"/>
            <rFont val="Tahoma"/>
            <family val="2"/>
          </rPr>
          <t>Gopal, Shwetha (Research):</t>
        </r>
        <r>
          <rPr>
            <sz val="9"/>
            <color indexed="81"/>
            <rFont val="Tahoma"/>
            <family val="2"/>
          </rPr>
          <t xml:space="preserve">
Company does not report this in filing. Hence, calculated</t>
        </r>
      </text>
    </comment>
    <comment ref="AG17" authorId="0">
      <text>
        <r>
          <rPr>
            <b/>
            <sz val="9"/>
            <color indexed="81"/>
            <rFont val="Tahoma"/>
            <family val="2"/>
          </rPr>
          <t>Gopal, Shwetha (Research):</t>
        </r>
        <r>
          <rPr>
            <sz val="9"/>
            <color indexed="81"/>
            <rFont val="Tahoma"/>
            <family val="2"/>
          </rPr>
          <t xml:space="preserve">
Adjusted 1 here so that 4Q does not turn to -1, which is not meaningful</t>
        </r>
      </text>
    </comment>
    <comment ref="AK40" authorId="0">
      <text>
        <r>
          <rPr>
            <b/>
            <sz val="9"/>
            <color indexed="81"/>
            <rFont val="Tahoma"/>
            <family val="2"/>
          </rPr>
          <t>Gopal, Shwetha (Research):</t>
        </r>
        <r>
          <rPr>
            <sz val="9"/>
            <color indexed="81"/>
            <rFont val="Tahoma"/>
            <family val="2"/>
          </rPr>
          <t xml:space="preserve">
Source: 4Q15 release pg 15</t>
        </r>
      </text>
    </comment>
    <comment ref="AL40" authorId="1">
      <text>
        <r>
          <rPr>
            <b/>
            <sz val="9"/>
            <color indexed="81"/>
            <rFont val="Tahoma"/>
            <family val="2"/>
          </rPr>
          <t>Furlanetto, Mateus M (Research):</t>
        </r>
        <r>
          <rPr>
            <sz val="9"/>
            <color indexed="81"/>
            <rFont val="Tahoma"/>
            <family val="2"/>
          </rPr>
          <t xml:space="preserve">
1Q16 Report, page 14.</t>
        </r>
      </text>
    </comment>
    <comment ref="AM40" authorId="2">
      <text>
        <r>
          <rPr>
            <b/>
            <sz val="9"/>
            <color indexed="81"/>
            <rFont val="Tahoma"/>
            <family val="2"/>
          </rPr>
          <t>Murillo, Mariana (Research):</t>
        </r>
        <r>
          <rPr>
            <sz val="9"/>
            <color indexed="81"/>
            <rFont val="Tahoma"/>
            <family val="2"/>
          </rPr>
          <t xml:space="preserve">
2Q16 ER pg. 16</t>
        </r>
      </text>
    </comment>
    <comment ref="AN40" authorId="2">
      <text>
        <r>
          <rPr>
            <b/>
            <sz val="9"/>
            <color indexed="81"/>
            <rFont val="Tahoma"/>
            <family val="2"/>
          </rPr>
          <t>Murillo, Mariana (Research):</t>
        </r>
        <r>
          <rPr>
            <sz val="9"/>
            <color indexed="81"/>
            <rFont val="Tahoma"/>
            <family val="2"/>
          </rPr>
          <t xml:space="preserve">
ER 3Q16  pg 16
</t>
        </r>
      </text>
    </comment>
    <comment ref="AO40" authorId="2">
      <text>
        <r>
          <rPr>
            <b/>
            <sz val="9"/>
            <color indexed="81"/>
            <rFont val="Tahoma"/>
            <family val="2"/>
          </rPr>
          <t>Murillo, Mariana (Research):</t>
        </r>
        <r>
          <rPr>
            <sz val="9"/>
            <color indexed="81"/>
            <rFont val="Tahoma"/>
            <family val="2"/>
          </rPr>
          <t xml:space="preserve">
ER 4Q16 pg 16
</t>
        </r>
      </text>
    </comment>
    <comment ref="AP40" authorId="2">
      <text>
        <r>
          <rPr>
            <b/>
            <sz val="9"/>
            <color indexed="81"/>
            <rFont val="Tahoma"/>
            <family val="2"/>
          </rPr>
          <t>Murillo, Mariana (Research):</t>
        </r>
        <r>
          <rPr>
            <sz val="9"/>
            <color indexed="81"/>
            <rFont val="Tahoma"/>
            <family val="2"/>
          </rPr>
          <t xml:space="preserve">
ER pg 13 - COGS section</t>
        </r>
      </text>
    </comment>
    <comment ref="AQ40" authorId="3">
      <text>
        <r>
          <rPr>
            <b/>
            <sz val="9"/>
            <color indexed="81"/>
            <rFont val="Tahoma"/>
            <family val="2"/>
          </rPr>
          <t>Duran, Cristian (Research):</t>
        </r>
        <r>
          <rPr>
            <sz val="9"/>
            <color indexed="81"/>
            <rFont val="Tahoma"/>
            <family val="2"/>
          </rPr>
          <t xml:space="preserve">
2Q17 ER, COGS Section pag 16
</t>
        </r>
      </text>
    </comment>
    <comment ref="AR40" authorId="3">
      <text>
        <r>
          <rPr>
            <b/>
            <sz val="9"/>
            <color indexed="81"/>
            <rFont val="Tahoma"/>
            <family val="2"/>
          </rPr>
          <t>Duran, Cristian (Research):</t>
        </r>
        <r>
          <rPr>
            <sz val="9"/>
            <color indexed="81"/>
            <rFont val="Tahoma"/>
            <family val="2"/>
          </rPr>
          <t xml:space="preserve">
3Q17 ER, Selliong Expenses Section pag 18
</t>
        </r>
      </text>
    </comment>
    <comment ref="AS40" authorId="3">
      <text>
        <r>
          <rPr>
            <b/>
            <sz val="9"/>
            <color indexed="81"/>
            <rFont val="Tahoma"/>
            <family val="2"/>
          </rPr>
          <t>Duran, Cristian (Research):</t>
        </r>
        <r>
          <rPr>
            <sz val="9"/>
            <color indexed="81"/>
            <rFont val="Tahoma"/>
            <family val="2"/>
          </rPr>
          <t xml:space="preserve">
4Q17 ER, Selliong Expenses Section pag 18
</t>
        </r>
      </text>
    </comment>
    <comment ref="AT40" authorId="3">
      <text>
        <r>
          <rPr>
            <b/>
            <sz val="9"/>
            <color indexed="81"/>
            <rFont val="Tahoma"/>
            <family val="2"/>
          </rPr>
          <t>Duran, Cristian (Research):</t>
        </r>
        <r>
          <rPr>
            <sz val="9"/>
            <color indexed="81"/>
            <rFont val="Tahoma"/>
            <family val="2"/>
          </rPr>
          <t xml:space="preserve">
ER 1Q18, selling expenses section</t>
        </r>
      </text>
    </comment>
    <comment ref="S42" authorId="0">
      <text>
        <r>
          <rPr>
            <b/>
            <sz val="9"/>
            <color indexed="81"/>
            <rFont val="Tahoma"/>
            <family val="2"/>
          </rPr>
          <t>Gopal, Shwetha (Research):</t>
        </r>
        <r>
          <rPr>
            <sz val="9"/>
            <color indexed="81"/>
            <rFont val="Tahoma"/>
            <family val="2"/>
          </rPr>
          <t xml:space="preserve">
Source: 2Q11 presentation</t>
        </r>
      </text>
    </comment>
    <comment ref="AD50" authorId="0">
      <text>
        <r>
          <rPr>
            <sz val="9"/>
            <color indexed="81"/>
            <rFont val="Tahoma"/>
            <family val="2"/>
          </rPr>
          <t xml:space="preserve">As per company guidance, we have used FY14 number (since sum of 4 qtrs does not match FY)
</t>
        </r>
      </text>
    </comment>
    <comment ref="M58" authorId="0">
      <text>
        <r>
          <rPr>
            <b/>
            <sz val="9"/>
            <color indexed="81"/>
            <rFont val="Tahoma"/>
            <family val="2"/>
          </rPr>
          <t>Gopal, Shwetha (Research):</t>
        </r>
        <r>
          <rPr>
            <sz val="9"/>
            <color indexed="81"/>
            <rFont val="Tahoma"/>
            <family val="2"/>
          </rPr>
          <t xml:space="preserve">
Source: 4Q09 ifling</t>
        </r>
      </text>
    </comment>
    <comment ref="Q58" authorId="0">
      <text>
        <r>
          <rPr>
            <b/>
            <sz val="9"/>
            <color indexed="81"/>
            <rFont val="Tahoma"/>
            <family val="2"/>
          </rPr>
          <t>Gopal, Shwetha (Research):</t>
        </r>
        <r>
          <rPr>
            <sz val="9"/>
            <color indexed="81"/>
            <rFont val="Tahoma"/>
            <family val="2"/>
          </rPr>
          <t xml:space="preserve">
production volume and sales reenues from cogen is zero in 4Q10</t>
        </r>
      </text>
    </comment>
    <comment ref="AD58" authorId="0">
      <text>
        <r>
          <rPr>
            <sz val="9"/>
            <color indexed="81"/>
            <rFont val="Tahoma"/>
            <family val="2"/>
          </rPr>
          <t xml:space="preserve">Reported in quarterly filing = 52.9
</t>
        </r>
      </text>
    </comment>
    <comment ref="AL97" authorId="1">
      <text>
        <r>
          <rPr>
            <b/>
            <sz val="9"/>
            <color indexed="81"/>
            <rFont val="Tahoma"/>
            <family val="2"/>
          </rPr>
          <t>Furlanetto, Mateus M (Research):</t>
        </r>
        <r>
          <rPr>
            <sz val="9"/>
            <color indexed="81"/>
            <rFont val="Tahoma"/>
            <family val="2"/>
          </rPr>
          <t xml:space="preserve">
Total COGS R$ 207.664 mn
as reported in 1Q16 Earnings Report, page 13.</t>
        </r>
      </text>
    </comment>
    <comment ref="AH99" authorId="0">
      <text>
        <r>
          <rPr>
            <sz val="9"/>
            <color indexed="81"/>
            <rFont val="Tahoma"/>
            <family val="2"/>
          </rPr>
          <t xml:space="preserve">Numbers on non-cumulative basis are available from 1Q15. Hence, we have not shown the accumulated data
</t>
        </r>
      </text>
    </comment>
    <comment ref="AH104" authorId="0">
      <text>
        <r>
          <rPr>
            <sz val="9"/>
            <color indexed="81"/>
            <rFont val="Tahoma"/>
            <family val="2"/>
          </rPr>
          <t xml:space="preserve">Numbers on non-cumulative basis are available from 1Q15. Hence, we have not shown the accumulated data
</t>
        </r>
      </text>
    </comment>
    <comment ref="AH109" authorId="0">
      <text>
        <r>
          <rPr>
            <sz val="9"/>
            <color indexed="81"/>
            <rFont val="Tahoma"/>
            <family val="2"/>
          </rPr>
          <t xml:space="preserve">Numbers on non-cumulative basis are available from 1Q15. Hence, we have not shown the accumulated data
</t>
        </r>
      </text>
    </comment>
    <comment ref="AH114" authorId="0">
      <text>
        <r>
          <rPr>
            <sz val="9"/>
            <color indexed="81"/>
            <rFont val="Tahoma"/>
            <family val="2"/>
          </rPr>
          <t xml:space="preserve">Numbers on non-cumulative basis are available from 1Q15. Hence, we have not shown the accumulated data
</t>
        </r>
      </text>
    </comment>
    <comment ref="AQ139" authorId="3">
      <text>
        <r>
          <rPr>
            <b/>
            <sz val="9"/>
            <color indexed="81"/>
            <rFont val="Tahoma"/>
            <family val="2"/>
          </rPr>
          <t>Duran, Cristian (Research):</t>
        </r>
        <r>
          <rPr>
            <sz val="9"/>
            <color indexed="81"/>
            <rFont val="Tahoma"/>
            <family val="2"/>
          </rPr>
          <t xml:space="preserve">
Company stop detailing Adj Ebitda by Business line, so it's estimated based on 1Q17.
</t>
        </r>
      </text>
    </comment>
    <comment ref="AR139" authorId="3">
      <text>
        <r>
          <rPr>
            <b/>
            <sz val="9"/>
            <color indexed="81"/>
            <rFont val="Tahoma"/>
            <family val="2"/>
          </rPr>
          <t>Duran, Cristian (Research):</t>
        </r>
        <r>
          <rPr>
            <sz val="9"/>
            <color indexed="81"/>
            <rFont val="Tahoma"/>
            <family val="2"/>
          </rPr>
          <t xml:space="preserve">
Company stop detailing Adj Ebitda by Business line, so it's estimated based on 1Q17.
</t>
        </r>
      </text>
    </comment>
    <comment ref="AS139" authorId="3">
      <text>
        <r>
          <rPr>
            <b/>
            <sz val="9"/>
            <color indexed="81"/>
            <rFont val="Tahoma"/>
            <family val="2"/>
          </rPr>
          <t>Duran, Cristian (Research):</t>
        </r>
        <r>
          <rPr>
            <sz val="9"/>
            <color indexed="81"/>
            <rFont val="Tahoma"/>
            <family val="2"/>
          </rPr>
          <t xml:space="preserve">
Company stop detailing Adj Ebitda by Business line, so it's estimated based on 1Q17.
</t>
        </r>
      </text>
    </comment>
    <comment ref="AT139" authorId="3">
      <text>
        <r>
          <rPr>
            <b/>
            <sz val="9"/>
            <color indexed="81"/>
            <rFont val="Tahoma"/>
            <family val="2"/>
          </rPr>
          <t>Duran, Cristian (Research):</t>
        </r>
        <r>
          <rPr>
            <sz val="9"/>
            <color indexed="81"/>
            <rFont val="Tahoma"/>
            <family val="2"/>
          </rPr>
          <t xml:space="preserve">
Company stop detailing Adj Ebitda by Business line, so it's estimated based on 1Q17.
</t>
        </r>
      </text>
    </comment>
    <comment ref="Q148" authorId="0">
      <text>
        <r>
          <rPr>
            <sz val="9"/>
            <color indexed="81"/>
            <rFont val="Tahoma"/>
            <family val="2"/>
          </rPr>
          <t xml:space="preserve">sum of 4 qtrs does not match FY. Hence calculated 4Q as bal fig. 
</t>
        </r>
      </text>
    </comment>
    <comment ref="B153" authorId="4">
      <text>
        <r>
          <rPr>
            <b/>
            <sz val="9"/>
            <color indexed="81"/>
            <rFont val="Tahoma"/>
            <family val="2"/>
          </rPr>
          <t>Castellucci, Thyago M (Research):</t>
        </r>
        <r>
          <rPr>
            <sz val="9"/>
            <color indexed="81"/>
            <rFont val="Tahoma"/>
            <family val="2"/>
          </rPr>
          <t xml:space="preserve">
This 31,999 is from the recognition of Etanol Participações SA Sales Revenue (acquired on April 2007)</t>
        </r>
      </text>
    </comment>
    <comment ref="AI153" authorId="3">
      <text>
        <r>
          <rPr>
            <b/>
            <sz val="9"/>
            <color indexed="81"/>
            <rFont val="Tahoma"/>
            <family val="2"/>
          </rPr>
          <t>Duran, Cristian (Research):</t>
        </r>
        <r>
          <rPr>
            <sz val="9"/>
            <color indexed="81"/>
            <rFont val="Tahoma"/>
            <family val="2"/>
          </rPr>
          <t xml:space="preserve">
Difference due to the incorporation of the Real Estate Development Segment</t>
        </r>
      </text>
    </comment>
    <comment ref="AJ153" authorId="3">
      <text>
        <r>
          <rPr>
            <b/>
            <sz val="9"/>
            <color indexed="81"/>
            <rFont val="Tahoma"/>
            <family val="2"/>
          </rPr>
          <t>Duran, Cristian (Research):</t>
        </r>
        <r>
          <rPr>
            <sz val="9"/>
            <color indexed="81"/>
            <rFont val="Tahoma"/>
            <family val="2"/>
          </rPr>
          <t xml:space="preserve">
Difference due to the incorporation of the Real Estate Development Segment</t>
        </r>
      </text>
    </comment>
    <comment ref="I171" authorId="0">
      <text>
        <r>
          <rPr>
            <sz val="9"/>
            <color indexed="81"/>
            <rFont val="Tahoma"/>
            <family val="2"/>
          </rPr>
          <t xml:space="preserve">Goodwill amortization
</t>
        </r>
      </text>
    </comment>
    <comment ref="AH171" authorId="5">
      <text>
        <r>
          <rPr>
            <b/>
            <sz val="9"/>
            <color indexed="81"/>
            <rFont val="Tahoma"/>
            <family val="2"/>
          </rPr>
          <t xml:space="preserve">Valerio, Josue: </t>
        </r>
        <r>
          <rPr>
            <sz val="9"/>
            <color indexed="81"/>
            <rFont val="Tahoma"/>
            <family val="2"/>
          </rPr>
          <t>Monetary and Exchange Variations</t>
        </r>
      </text>
    </comment>
    <comment ref="AI171" authorId="0">
      <text>
        <r>
          <rPr>
            <b/>
            <sz val="9"/>
            <color indexed="81"/>
            <rFont val="Tahoma"/>
            <family val="2"/>
          </rPr>
          <t>Gopal, Shwetha (Research):</t>
        </r>
        <r>
          <rPr>
            <sz val="9"/>
            <color indexed="81"/>
            <rFont val="Tahoma"/>
            <family val="2"/>
          </rPr>
          <t xml:space="preserve">
Monetary and Exchange Variations - Net + Derivative Income (Loss)</t>
        </r>
      </text>
    </comment>
    <comment ref="Q184" authorId="0">
      <text>
        <r>
          <rPr>
            <sz val="9"/>
            <color indexed="81"/>
            <rFont val="Tahoma"/>
            <family val="2"/>
          </rPr>
          <t xml:space="preserve">sum of 4 qtrs does not match FY. Hence calculated 4Q as bal fig. 
</t>
        </r>
      </text>
    </comment>
    <comment ref="AO185" authorId="5">
      <text>
        <r>
          <rPr>
            <b/>
            <sz val="9"/>
            <color indexed="81"/>
            <rFont val="Tahoma"/>
            <family val="2"/>
          </rPr>
          <t xml:space="preserve">12M16 number doesn’t match with the sum of the quarters. Waiting for 2017 data in order to make the restatement of the quarters. </t>
        </r>
        <r>
          <rPr>
            <sz val="9"/>
            <color indexed="81"/>
            <rFont val="Tahoma"/>
            <family val="2"/>
          </rPr>
          <t xml:space="preserve">
</t>
        </r>
      </text>
    </comment>
    <comment ref="B190" authorId="6">
      <text>
        <r>
          <rPr>
            <sz val="9"/>
            <color indexed="81"/>
            <rFont val="Tahoma"/>
            <family val="2"/>
          </rPr>
          <t>Pricing adjustment Net Revenue</t>
        </r>
      </text>
    </comment>
    <comment ref="AC190" authorId="0">
      <text>
        <r>
          <rPr>
            <sz val="9"/>
            <color indexed="81"/>
            <rFont val="Tahoma"/>
            <family val="2"/>
          </rPr>
          <t xml:space="preserve">Non Cash Items Recorded as COGS
</t>
        </r>
      </text>
    </comment>
    <comment ref="AH191" authorId="4">
      <text>
        <r>
          <rPr>
            <b/>
            <sz val="9"/>
            <color indexed="81"/>
            <rFont val="Tahoma"/>
            <family val="2"/>
          </rPr>
          <t>Castellucci, Thyago M (Research):</t>
        </r>
        <r>
          <rPr>
            <sz val="9"/>
            <color indexed="81"/>
            <rFont val="Tahoma"/>
            <family val="2"/>
          </rPr>
          <t xml:space="preserve">
Adjustment to Maturity of Hedge Accounting Debt</t>
        </r>
      </text>
    </comment>
    <comment ref="AI191" authorId="4">
      <text>
        <r>
          <rPr>
            <b/>
            <sz val="9"/>
            <color indexed="81"/>
            <rFont val="Tahoma"/>
            <family val="2"/>
          </rPr>
          <t>Castellucci, Thyago M (Research):</t>
        </r>
        <r>
          <rPr>
            <sz val="9"/>
            <color indexed="81"/>
            <rFont val="Tahoma"/>
            <family val="2"/>
          </rPr>
          <t xml:space="preserve">
Adjustment to Maturity of Hedge Accounting Debt</t>
        </r>
      </text>
    </comment>
    <comment ref="AJ191" authorId="0">
      <text>
        <r>
          <rPr>
            <b/>
            <sz val="9"/>
            <color indexed="81"/>
            <rFont val="Tahoma"/>
            <family val="2"/>
          </rPr>
          <t>Gopal, Shwetha (Research):</t>
        </r>
        <r>
          <rPr>
            <sz val="9"/>
            <color indexed="81"/>
            <rFont val="Tahoma"/>
            <family val="2"/>
          </rPr>
          <t xml:space="preserve">
Adjustment to Maturity of Hedge Accounting Debt</t>
        </r>
      </text>
    </comment>
    <comment ref="AL191" authorId="1">
      <text>
        <r>
          <rPr>
            <b/>
            <sz val="9"/>
            <color indexed="81"/>
            <rFont val="Tahoma"/>
            <family val="2"/>
          </rPr>
          <t>Furlanetto, Mateus M (Research):</t>
        </r>
        <r>
          <rPr>
            <sz val="9"/>
            <color indexed="81"/>
            <rFont val="Tahoma"/>
            <family val="2"/>
          </rPr>
          <t xml:space="preserve">
Adjustment to Maturity of Hedge Accounting Debt</t>
        </r>
      </text>
    </comment>
    <comment ref="AM191" authorId="1">
      <text>
        <r>
          <rPr>
            <b/>
            <sz val="9"/>
            <color indexed="81"/>
            <rFont val="Tahoma"/>
            <family val="2"/>
          </rPr>
          <t>Murillo, Mariana (Research):</t>
        </r>
        <r>
          <rPr>
            <sz val="9"/>
            <color indexed="81"/>
            <rFont val="Tahoma"/>
            <family val="2"/>
          </rPr>
          <t xml:space="preserve">
Adjustment to Maturity of Hedge Accounting Debt
2Q16 ER pg 18</t>
        </r>
      </text>
    </comment>
    <comment ref="U200" authorId="3">
      <text>
        <r>
          <rPr>
            <b/>
            <sz val="9"/>
            <color indexed="81"/>
            <rFont val="Tahoma"/>
            <family val="2"/>
          </rPr>
          <t>Duran, Cristian (Research):</t>
        </r>
        <r>
          <rPr>
            <sz val="9"/>
            <color indexed="81"/>
            <rFont val="Tahoma"/>
            <family val="2"/>
          </rPr>
          <t xml:space="preserve">
Reconciliation, 44.4% used as proxy of % of Biological Assets located in Property, plant and equipment.
4Q16 used as basis to calculate the % of Biological Assets located in Other ST non op assets and PP&amp;E. (44.4% and 55.6% respectively)</t>
        </r>
      </text>
    </comment>
    <comment ref="V200" authorId="3">
      <text>
        <r>
          <rPr>
            <b/>
            <sz val="9"/>
            <color indexed="81"/>
            <rFont val="Tahoma"/>
            <family val="2"/>
          </rPr>
          <t>Duran, Cristian (Research):</t>
        </r>
        <r>
          <rPr>
            <sz val="9"/>
            <color indexed="81"/>
            <rFont val="Tahoma"/>
            <family val="2"/>
          </rPr>
          <t xml:space="preserve">
Reconciliation, 44.4% used as proxy of % of Biological Assets located in Property, plant and equipment.
4Q16 used as basis to calculate the % of Biological Assets located in Other ST non op assets and PP&amp;E. (44.4% and 55.6% respectively)</t>
        </r>
      </text>
    </comment>
    <comment ref="W200" authorId="3">
      <text>
        <r>
          <rPr>
            <b/>
            <sz val="9"/>
            <color indexed="81"/>
            <rFont val="Tahoma"/>
            <family val="2"/>
          </rPr>
          <t>Duran, Cristian (Research):</t>
        </r>
        <r>
          <rPr>
            <sz val="9"/>
            <color indexed="81"/>
            <rFont val="Tahoma"/>
            <family val="2"/>
          </rPr>
          <t xml:space="preserve">
Reconciliation, 44.4% used as proxy of % of Biological Assets located in Property, plant and equipment.
4Q16 used as basis to calculate the % of Biological Assets located in Other ST non op assets and PP&amp;E. (44.4% and 55.6% respectively)</t>
        </r>
      </text>
    </comment>
    <comment ref="X200" authorId="3">
      <text>
        <r>
          <rPr>
            <b/>
            <sz val="9"/>
            <color indexed="81"/>
            <rFont val="Tahoma"/>
            <family val="2"/>
          </rPr>
          <t>Duran, Cristian (Research):</t>
        </r>
        <r>
          <rPr>
            <sz val="9"/>
            <color indexed="81"/>
            <rFont val="Tahoma"/>
            <family val="2"/>
          </rPr>
          <t xml:space="preserve">
Reconciliation, 44.4% used as proxy of % of Biological Assets located in Property, plant and equipment.
4Q16 used as basis to calculate the % of Biological Assets located in Other ST non op assets and PP&amp;E. (44.4% and 55.6% respectively)</t>
        </r>
      </text>
    </comment>
    <comment ref="Y200" authorId="3">
      <text>
        <r>
          <rPr>
            <b/>
            <sz val="9"/>
            <color indexed="81"/>
            <rFont val="Tahoma"/>
            <family val="2"/>
          </rPr>
          <t>Duran, Cristian (Research):</t>
        </r>
        <r>
          <rPr>
            <sz val="9"/>
            <color indexed="81"/>
            <rFont val="Tahoma"/>
            <family val="2"/>
          </rPr>
          <t xml:space="preserve">
Reconciliation, 44.4% used as proxy of % of Biological Assets located in Property, plant and equipment.
4Q16 used as basis to calculate the % of Biological Assets located in Other ST non op assets and PP&amp;E. (44.4% and 55.6% respectively)</t>
        </r>
      </text>
    </comment>
    <comment ref="Z200" authorId="3">
      <text>
        <r>
          <rPr>
            <b/>
            <sz val="9"/>
            <color indexed="81"/>
            <rFont val="Tahoma"/>
            <family val="2"/>
          </rPr>
          <t>Duran, Cristian (Research):</t>
        </r>
        <r>
          <rPr>
            <sz val="9"/>
            <color indexed="81"/>
            <rFont val="Tahoma"/>
            <family val="2"/>
          </rPr>
          <t xml:space="preserve">
Reconciliation, 44.4% used as proxy of % of Biological Assets located in Property, plant and equipment.
4Q16 used as basis to calculate the % of Biological Assets located in Other ST non op assets and PP&amp;E. (44.4% and 55.6% respectively)</t>
        </r>
      </text>
    </comment>
    <comment ref="AA200" authorId="3">
      <text>
        <r>
          <rPr>
            <b/>
            <sz val="9"/>
            <color indexed="81"/>
            <rFont val="Tahoma"/>
            <family val="2"/>
          </rPr>
          <t>Duran, Cristian (Research):</t>
        </r>
        <r>
          <rPr>
            <sz val="9"/>
            <color indexed="81"/>
            <rFont val="Tahoma"/>
            <family val="2"/>
          </rPr>
          <t xml:space="preserve">
Reconciliation, 44.4% used as proxy of % of Biological Assets located in Property, plant and equipment.
4Q16 used as basis to calculate the % of Biological Assets located in Other ST non op assets and PP&amp;E. (44.4% and 55.6% respectively)</t>
        </r>
      </text>
    </comment>
    <comment ref="AB200" authorId="3">
      <text>
        <r>
          <rPr>
            <b/>
            <sz val="9"/>
            <color indexed="81"/>
            <rFont val="Tahoma"/>
            <family val="2"/>
          </rPr>
          <t>Duran, Cristian (Research):</t>
        </r>
        <r>
          <rPr>
            <sz val="9"/>
            <color indexed="81"/>
            <rFont val="Tahoma"/>
            <family val="2"/>
          </rPr>
          <t xml:space="preserve">
Reconciliation, 44.4% used as proxy of % of Biological Assets located in Property, plant and equipment.
4Q16 used as basis to calculate the % of Biological Assets located in Other ST non op assets and PP&amp;E. (44.4% and 55.6% respectively)</t>
        </r>
      </text>
    </comment>
    <comment ref="AC200" authorId="3">
      <text>
        <r>
          <rPr>
            <b/>
            <sz val="9"/>
            <color indexed="81"/>
            <rFont val="Tahoma"/>
            <family val="2"/>
          </rPr>
          <t>Duran, Cristian (Research):</t>
        </r>
        <r>
          <rPr>
            <sz val="9"/>
            <color indexed="81"/>
            <rFont val="Tahoma"/>
            <family val="2"/>
          </rPr>
          <t xml:space="preserve">
Reconciliation, 44.4% used as proxy of % of Biological Assets located in Property, plant and equipment.
4Q16 used as basis to calculate the % of Biological Assets located in Other ST non op assets and PP&amp;E. (44.4% and 55.6% respectively)</t>
        </r>
      </text>
    </comment>
    <comment ref="AD200" authorId="3">
      <text>
        <r>
          <rPr>
            <b/>
            <sz val="9"/>
            <color indexed="81"/>
            <rFont val="Tahoma"/>
            <family val="2"/>
          </rPr>
          <t>Duran, Cristian (Research):</t>
        </r>
        <r>
          <rPr>
            <sz val="9"/>
            <color indexed="81"/>
            <rFont val="Tahoma"/>
            <family val="2"/>
          </rPr>
          <t xml:space="preserve">
Reconciliation, 44.4% used as proxy of % of Biological Assets located in Property, plant and equipment.
4Q16 used as basis to calculate the % of Biological Assets located in Other ST non op assets and PP&amp;E. (44.4% and 55.6% respectively)</t>
        </r>
      </text>
    </comment>
    <comment ref="AE200" authorId="3">
      <text>
        <r>
          <rPr>
            <b/>
            <sz val="9"/>
            <color indexed="81"/>
            <rFont val="Tahoma"/>
            <family val="2"/>
          </rPr>
          <t>Duran, Cristian (Research):</t>
        </r>
        <r>
          <rPr>
            <sz val="9"/>
            <color indexed="81"/>
            <rFont val="Tahoma"/>
            <family val="2"/>
          </rPr>
          <t xml:space="preserve">
Reconciliation, 44.4% used as proxy of % of Biological Assets located in Property, plant and equipment.
4Q16 used as basis to calculate the % of Biological Assets located in Other ST non op assets and PP&amp;E. (44.4% and 55.6% respectively)</t>
        </r>
      </text>
    </comment>
    <comment ref="AF200" authorId="3">
      <text>
        <r>
          <rPr>
            <b/>
            <sz val="9"/>
            <color indexed="81"/>
            <rFont val="Tahoma"/>
            <family val="2"/>
          </rPr>
          <t>Duran, Cristian (Research):</t>
        </r>
        <r>
          <rPr>
            <sz val="9"/>
            <color indexed="81"/>
            <rFont val="Tahoma"/>
            <family val="2"/>
          </rPr>
          <t xml:space="preserve">
Reconciliation, 44.4% used as proxy of % of Biological Assets located in Property, plant and equipment.
4Q16 used as basis to calculate the % of Biological Assets located in Other ST non op assets and PP&amp;E. (44.4% and 55.6% respectively)</t>
        </r>
      </text>
    </comment>
    <comment ref="AG200" authorId="3">
      <text>
        <r>
          <rPr>
            <b/>
            <sz val="9"/>
            <color indexed="81"/>
            <rFont val="Tahoma"/>
            <family val="2"/>
          </rPr>
          <t>Duran, Cristian (Research):</t>
        </r>
        <r>
          <rPr>
            <sz val="9"/>
            <color indexed="81"/>
            <rFont val="Tahoma"/>
            <family val="2"/>
          </rPr>
          <t xml:space="preserve">
Reconciliation, 44.4% used as proxy of % of Biological Assets located in Property, plant and equipment.
4Q16 used as basis to calculate the % of Biological Assets located in Other ST non op assets and PP&amp;E. (44.4% and 55.6% respectively)</t>
        </r>
      </text>
    </comment>
    <comment ref="AH200" authorId="3">
      <text>
        <r>
          <rPr>
            <b/>
            <sz val="9"/>
            <color indexed="81"/>
            <rFont val="Tahoma"/>
            <family val="2"/>
          </rPr>
          <t>Duran, Cristian (Research):</t>
        </r>
        <r>
          <rPr>
            <sz val="9"/>
            <color indexed="81"/>
            <rFont val="Tahoma"/>
            <family val="2"/>
          </rPr>
          <t xml:space="preserve">
Reconciliation, 44.4% used as proxy of % of Biological Assets located in Property, plant and equipment.
4Q16 used as basis to calculate the % of Biological Assets located in Other ST non op assets and PP&amp;E. (44.4% and 55.6% respectively)</t>
        </r>
      </text>
    </comment>
    <comment ref="AI200" authorId="3">
      <text>
        <r>
          <rPr>
            <b/>
            <sz val="9"/>
            <color indexed="81"/>
            <rFont val="Tahoma"/>
            <family val="2"/>
          </rPr>
          <t>Duran, Cristian (Research):</t>
        </r>
        <r>
          <rPr>
            <sz val="9"/>
            <color indexed="81"/>
            <rFont val="Tahoma"/>
            <family val="2"/>
          </rPr>
          <t xml:space="preserve">
Reconciliation, 44.4% used as proxy of % of Biological Assets located in Property, plant and equipment.
4Q16 used as basis to calculate the % of Biological Assets located in Other ST non op assets and PP&amp;E. (44.4% and 55.6% respectively)</t>
        </r>
      </text>
    </comment>
    <comment ref="AJ200" authorId="3">
      <text>
        <r>
          <rPr>
            <b/>
            <sz val="9"/>
            <color indexed="81"/>
            <rFont val="Tahoma"/>
            <family val="2"/>
          </rPr>
          <t>Duran, Cristian (Research):</t>
        </r>
        <r>
          <rPr>
            <sz val="9"/>
            <color indexed="81"/>
            <rFont val="Tahoma"/>
            <family val="2"/>
          </rPr>
          <t xml:space="preserve">
Reconciliation, 44.4% used as proxy of % of Biological Assets located in Property, plant and equipment.
4Q16 used as basis to calculate the % of Biological Assets located in Other ST non op assets and PP&amp;E. (44.4% and 55.6% respectively)</t>
        </r>
      </text>
    </comment>
    <comment ref="AK200" authorId="3">
      <text>
        <r>
          <rPr>
            <b/>
            <sz val="9"/>
            <color indexed="81"/>
            <rFont val="Tahoma"/>
            <family val="2"/>
          </rPr>
          <t>Duran, Cristian (Research):</t>
        </r>
        <r>
          <rPr>
            <sz val="9"/>
            <color indexed="81"/>
            <rFont val="Tahoma"/>
            <family val="2"/>
          </rPr>
          <t xml:space="preserve">
Reconciliation, 44.4% used as proxy of % of Biological Assets located in Property, plant and equipment.
4Q16 used as basis to calculate the % of Biological Assets located in Other ST non op assets and PP&amp;E. (44.4% and 55.6% respectively)</t>
        </r>
      </text>
    </comment>
    <comment ref="AL200" authorId="3">
      <text>
        <r>
          <rPr>
            <b/>
            <sz val="9"/>
            <color indexed="81"/>
            <rFont val="Tahoma"/>
            <family val="2"/>
          </rPr>
          <t>Duran, Cristian (Research):</t>
        </r>
        <r>
          <rPr>
            <sz val="9"/>
            <color indexed="81"/>
            <rFont val="Tahoma"/>
            <family val="2"/>
          </rPr>
          <t xml:space="preserve">
Reconciliation, 44.4% used as proxy of % of Biological Assets located in Property, plant and equipment.
4Q16 used as basis to calculate the % of Biological Assets located in Other ST non op assets and PP&amp;E. (44.4% and 55.6% respectively)</t>
        </r>
      </text>
    </comment>
    <comment ref="AM200" authorId="3">
      <text>
        <r>
          <rPr>
            <b/>
            <sz val="9"/>
            <color indexed="81"/>
            <rFont val="Tahoma"/>
            <family val="2"/>
          </rPr>
          <t>Duran, Cristian (Research):</t>
        </r>
        <r>
          <rPr>
            <sz val="9"/>
            <color indexed="81"/>
            <rFont val="Tahoma"/>
            <family val="2"/>
          </rPr>
          <t xml:space="preserve">
Reconciliation, 44.4% used as proxy of % of Biological Assets located in Property, plant and equipment.
4Q16 used as basis to calculate the % of Biological Assets located in Other ST non op assets and PP&amp;E. (44.4% and 55.6% respectively)</t>
        </r>
      </text>
    </comment>
    <comment ref="AN200" authorId="3">
      <text>
        <r>
          <rPr>
            <b/>
            <sz val="9"/>
            <color indexed="81"/>
            <rFont val="Tahoma"/>
            <family val="2"/>
          </rPr>
          <t>Duran, Cristian (Research):</t>
        </r>
        <r>
          <rPr>
            <sz val="9"/>
            <color indexed="81"/>
            <rFont val="Tahoma"/>
            <family val="2"/>
          </rPr>
          <t xml:space="preserve">
Reconciliation, 44.4% used as proxy of % of Biological Assets located in Property, plant and equipment.
4Q16 used as basis to calculate the % of Biological Assets located in Other ST non op assets and PP&amp;E. (44.4% and 55.6% respectively)</t>
        </r>
      </text>
    </comment>
    <comment ref="A208" authorId="3">
      <text>
        <r>
          <rPr>
            <b/>
            <sz val="9"/>
            <color indexed="81"/>
            <rFont val="Tahoma"/>
            <family val="2"/>
          </rPr>
          <t>Duran, Cristian (Research):</t>
        </r>
        <r>
          <rPr>
            <sz val="9"/>
            <color indexed="81"/>
            <rFont val="Tahoma"/>
            <family val="2"/>
          </rPr>
          <t xml:space="preserve">
Line created for restatement porpuse.
</t>
        </r>
      </text>
    </comment>
    <comment ref="U210" authorId="3">
      <text>
        <r>
          <rPr>
            <b/>
            <sz val="9"/>
            <color indexed="81"/>
            <rFont val="Tahoma"/>
            <family val="2"/>
          </rPr>
          <t>Duran, Cristian (Research):</t>
        </r>
        <r>
          <rPr>
            <sz val="9"/>
            <color indexed="81"/>
            <rFont val="Tahoma"/>
            <family val="2"/>
          </rPr>
          <t xml:space="preserve">
Reconciliation, 55.6% used as proxy of % of Biological Assets located in Property, plant and equipment.
4Q16 used as basis to calculate the % of Biological Assets located in Other ST non op assets and PP&amp;E. (44.4% and 55.6% respectively)</t>
        </r>
      </text>
    </comment>
    <comment ref="V210" authorId="3">
      <text>
        <r>
          <rPr>
            <b/>
            <sz val="9"/>
            <color indexed="81"/>
            <rFont val="Tahoma"/>
            <family val="2"/>
          </rPr>
          <t>Duran, Cristian (Research):</t>
        </r>
        <r>
          <rPr>
            <sz val="9"/>
            <color indexed="81"/>
            <rFont val="Tahoma"/>
            <family val="2"/>
          </rPr>
          <t xml:space="preserve">
Reconciliation, 55.6% used as proxy of % of Biological Assets located in Property, plant and equipment.
4Q16 used as basis to calculate the % of Biological Assets located in Other ST non op assets and PP&amp;E. (44.4% and 55.6% respectively)</t>
        </r>
      </text>
    </comment>
    <comment ref="W210" authorId="3">
      <text>
        <r>
          <rPr>
            <b/>
            <sz val="9"/>
            <color indexed="81"/>
            <rFont val="Tahoma"/>
            <family val="2"/>
          </rPr>
          <t>Duran, Cristian (Research):</t>
        </r>
        <r>
          <rPr>
            <sz val="9"/>
            <color indexed="81"/>
            <rFont val="Tahoma"/>
            <family val="2"/>
          </rPr>
          <t xml:space="preserve">
Reconciliation, 55.6% used as proxy of % of Biological Assets located in Property, plant and equipment.
4Q16 used as basis to calculate the % of Biological Assets located in Other ST non op assets and PP&amp;E. (44.4% and 55.6% respectively)</t>
        </r>
      </text>
    </comment>
    <comment ref="X210" authorId="3">
      <text>
        <r>
          <rPr>
            <b/>
            <sz val="9"/>
            <color indexed="81"/>
            <rFont val="Tahoma"/>
            <family val="2"/>
          </rPr>
          <t>Duran, Cristian (Research):</t>
        </r>
        <r>
          <rPr>
            <sz val="9"/>
            <color indexed="81"/>
            <rFont val="Tahoma"/>
            <family val="2"/>
          </rPr>
          <t xml:space="preserve">
Reconciliation, 55.6% used as proxy of % of Biological Assets located in Property, plant and equipment.
4Q16 used as basis to calculate the % of Biological Assets located in Other ST non op assets and PP&amp;E. (44.4% and 55.6% respectively)</t>
        </r>
      </text>
    </comment>
    <comment ref="Y210" authorId="3">
      <text>
        <r>
          <rPr>
            <b/>
            <sz val="9"/>
            <color indexed="81"/>
            <rFont val="Tahoma"/>
            <family val="2"/>
          </rPr>
          <t>Duran, Cristian (Research):</t>
        </r>
        <r>
          <rPr>
            <sz val="9"/>
            <color indexed="81"/>
            <rFont val="Tahoma"/>
            <family val="2"/>
          </rPr>
          <t xml:space="preserve">
Reconciliation, 55.6% used as proxy of % of Biological Assets located in Property, plant and equipment.
4Q16 used as basis to calculate the % of Biological Assets located in Other ST non op assets and PP&amp;E. (44.4% and 55.6% respectively)</t>
        </r>
      </text>
    </comment>
    <comment ref="Z210" authorId="3">
      <text>
        <r>
          <rPr>
            <b/>
            <sz val="9"/>
            <color indexed="81"/>
            <rFont val="Tahoma"/>
            <family val="2"/>
          </rPr>
          <t>Duran, Cristian (Research):</t>
        </r>
        <r>
          <rPr>
            <sz val="9"/>
            <color indexed="81"/>
            <rFont val="Tahoma"/>
            <family val="2"/>
          </rPr>
          <t xml:space="preserve">
Reconciliation, 55.6% used as proxy of % of Biological Assets located in Property, plant and equipment.
4Q16 used as basis to calculate the % of Biological Assets located in Other ST non op assets and PP&amp;E. (44.4% and 55.6% respectively)</t>
        </r>
      </text>
    </comment>
    <comment ref="AA210" authorId="3">
      <text>
        <r>
          <rPr>
            <b/>
            <sz val="9"/>
            <color indexed="81"/>
            <rFont val="Tahoma"/>
            <family val="2"/>
          </rPr>
          <t>Duran, Cristian (Research):</t>
        </r>
        <r>
          <rPr>
            <sz val="9"/>
            <color indexed="81"/>
            <rFont val="Tahoma"/>
            <family val="2"/>
          </rPr>
          <t xml:space="preserve">
Reconciliation, 55.6% used as proxy of % of Biological Assets located in Property, plant and equipment.
4Q16 used as basis to calculate the % of Biological Assets located in Other ST non op assets and PP&amp;E. (44.4% and 55.6% respectively)</t>
        </r>
      </text>
    </comment>
    <comment ref="AB210" authorId="3">
      <text>
        <r>
          <rPr>
            <b/>
            <sz val="9"/>
            <color indexed="81"/>
            <rFont val="Tahoma"/>
            <family val="2"/>
          </rPr>
          <t>Duran, Cristian (Research):</t>
        </r>
        <r>
          <rPr>
            <sz val="9"/>
            <color indexed="81"/>
            <rFont val="Tahoma"/>
            <family val="2"/>
          </rPr>
          <t xml:space="preserve">
Reconciliation, 55.6% used as proxy of % of Biological Assets located in Property, plant and equipment.
4Q16 used as basis to calculate the % of Biological Assets located in Other ST non op assets and PP&amp;E. (44.4% and 55.6% respectively)</t>
        </r>
      </text>
    </comment>
    <comment ref="AC210" authorId="3">
      <text>
        <r>
          <rPr>
            <b/>
            <sz val="9"/>
            <color indexed="81"/>
            <rFont val="Tahoma"/>
            <family val="2"/>
          </rPr>
          <t>Duran, Cristian (Research):</t>
        </r>
        <r>
          <rPr>
            <sz val="9"/>
            <color indexed="81"/>
            <rFont val="Tahoma"/>
            <family val="2"/>
          </rPr>
          <t xml:space="preserve">
Reconciliation, 55.6% used as proxy of % of Biological Assets located in Property, plant and equipment.
4Q16 used as basis to calculate the % of Biological Assets located in Other ST non op assets and PP&amp;E. (44.4% and 55.6% respectively)</t>
        </r>
      </text>
    </comment>
    <comment ref="AD210" authorId="3">
      <text>
        <r>
          <rPr>
            <b/>
            <sz val="9"/>
            <color indexed="81"/>
            <rFont val="Tahoma"/>
            <family val="2"/>
          </rPr>
          <t>Duran, Cristian (Research):</t>
        </r>
        <r>
          <rPr>
            <sz val="9"/>
            <color indexed="81"/>
            <rFont val="Tahoma"/>
            <family val="2"/>
          </rPr>
          <t xml:space="preserve">
Reconciliation, 55.6% used as proxy of % of Biological Assets located in Property, plant and equipment.
4Q16 used as basis to calculate the % of Biological Assets located in Other ST non op assets and PP&amp;E. (44.4% and 55.6% respectively)</t>
        </r>
      </text>
    </comment>
    <comment ref="AE210" authorId="3">
      <text>
        <r>
          <rPr>
            <b/>
            <sz val="9"/>
            <color indexed="81"/>
            <rFont val="Tahoma"/>
            <family val="2"/>
          </rPr>
          <t>Duran, Cristian (Research):</t>
        </r>
        <r>
          <rPr>
            <sz val="9"/>
            <color indexed="81"/>
            <rFont val="Tahoma"/>
            <family val="2"/>
          </rPr>
          <t xml:space="preserve">
Reconciliation, 55.6% used as proxy of % of Biological Assets located in Property, plant and equipment.
4Q16 used as basis to calculate the % of Biological Assets located in Other ST non op assets and PP&amp;E. (44.4% and 55.6% respectively)</t>
        </r>
      </text>
    </comment>
    <comment ref="AF210" authorId="3">
      <text>
        <r>
          <rPr>
            <b/>
            <sz val="9"/>
            <color indexed="81"/>
            <rFont val="Tahoma"/>
            <family val="2"/>
          </rPr>
          <t>Duran, Cristian (Research):</t>
        </r>
        <r>
          <rPr>
            <sz val="9"/>
            <color indexed="81"/>
            <rFont val="Tahoma"/>
            <family val="2"/>
          </rPr>
          <t xml:space="preserve">
Reconciliation, 55.6% used as proxy of % of Biological Assets located in Property, plant and equipment.
4Q16 used as basis to calculate the % of Biological Assets located in Other ST non op assets and PP&amp;E. (44.4% and 55.6% respectively)</t>
        </r>
      </text>
    </comment>
    <comment ref="AG210" authorId="3">
      <text>
        <r>
          <rPr>
            <b/>
            <sz val="9"/>
            <color indexed="81"/>
            <rFont val="Tahoma"/>
            <family val="2"/>
          </rPr>
          <t>Duran, Cristian (Research):</t>
        </r>
        <r>
          <rPr>
            <sz val="9"/>
            <color indexed="81"/>
            <rFont val="Tahoma"/>
            <family val="2"/>
          </rPr>
          <t xml:space="preserve">
Reconciliation, 55.6% used as proxy of % of Biological Assets located in Property, plant and equipment.
4Q16 used as basis to calculate the % of Biological Assets located in Other ST non op assets and PP&amp;E. (44.4% and 55.6% respectively)</t>
        </r>
      </text>
    </comment>
    <comment ref="AH210" authorId="3">
      <text>
        <r>
          <rPr>
            <b/>
            <sz val="9"/>
            <color indexed="81"/>
            <rFont val="Tahoma"/>
            <family val="2"/>
          </rPr>
          <t>Duran, Cristian (Research):</t>
        </r>
        <r>
          <rPr>
            <sz val="9"/>
            <color indexed="81"/>
            <rFont val="Tahoma"/>
            <family val="2"/>
          </rPr>
          <t xml:space="preserve">
Reconciliation, 55.6% used as proxy of % of Biological Assets located in Property, plant and equipment.
4Q16 used as basis to calculate the % of Biological Assets located in Other ST non op assets and PP&amp;E. (44.4% and 55.6% respectively)</t>
        </r>
      </text>
    </comment>
    <comment ref="AI210" authorId="3">
      <text>
        <r>
          <rPr>
            <b/>
            <sz val="9"/>
            <color indexed="81"/>
            <rFont val="Tahoma"/>
            <family val="2"/>
          </rPr>
          <t>Duran, Cristian (Research):</t>
        </r>
        <r>
          <rPr>
            <sz val="9"/>
            <color indexed="81"/>
            <rFont val="Tahoma"/>
            <family val="2"/>
          </rPr>
          <t xml:space="preserve">
Reconciliation, 55.6% used as proxy of % of Biological Assets located in Property, plant and equipment.
4Q16 used as basis to calculate the % of Biological Assets located in Other ST non op assets and PP&amp;E. (44.4% and 55.6% respectively)</t>
        </r>
      </text>
    </comment>
    <comment ref="AJ210" authorId="3">
      <text>
        <r>
          <rPr>
            <b/>
            <sz val="9"/>
            <color indexed="81"/>
            <rFont val="Tahoma"/>
            <family val="2"/>
          </rPr>
          <t>Duran, Cristian (Research):</t>
        </r>
        <r>
          <rPr>
            <sz val="9"/>
            <color indexed="81"/>
            <rFont val="Tahoma"/>
            <family val="2"/>
          </rPr>
          <t xml:space="preserve">
Reconciliation, 55.6% used as proxy of % of Biological Assets located in Property, plant and equipment.
4Q16 used as basis to calculate the % of Biological Assets located in Other ST non op assets and PP&amp;E. (44.4% and 55.6% respectively)</t>
        </r>
      </text>
    </comment>
    <comment ref="AK210" authorId="3">
      <text>
        <r>
          <rPr>
            <b/>
            <sz val="9"/>
            <color indexed="81"/>
            <rFont val="Tahoma"/>
            <family val="2"/>
          </rPr>
          <t>Duran, Cristian (Research):</t>
        </r>
        <r>
          <rPr>
            <sz val="9"/>
            <color indexed="81"/>
            <rFont val="Tahoma"/>
            <family val="2"/>
          </rPr>
          <t xml:space="preserve">
Reconciliation, 55.6% used as proxy of % of Biological Assets located in Property, plant and equipment.
4Q16 used as basis to calculate the % of Biological Assets located in Other ST non op assets and PP&amp;E. (44.4% and 55.6% respectively)</t>
        </r>
      </text>
    </comment>
    <comment ref="AL210" authorId="3">
      <text>
        <r>
          <rPr>
            <b/>
            <sz val="9"/>
            <color indexed="81"/>
            <rFont val="Tahoma"/>
            <family val="2"/>
          </rPr>
          <t>Duran, Cristian (Research):</t>
        </r>
        <r>
          <rPr>
            <sz val="9"/>
            <color indexed="81"/>
            <rFont val="Tahoma"/>
            <family val="2"/>
          </rPr>
          <t xml:space="preserve">
Reconciliation, 55.6% used as proxy of % of Biological Assets located in Property, plant and equipment.
4Q16 used as basis to calculate the % of Biological Assets located in Other ST non op assets and PP&amp;E. (44.4% and 55.6% respectively)</t>
        </r>
      </text>
    </comment>
    <comment ref="AM210" authorId="3">
      <text>
        <r>
          <rPr>
            <b/>
            <sz val="9"/>
            <color indexed="81"/>
            <rFont val="Tahoma"/>
            <family val="2"/>
          </rPr>
          <t>Duran, Cristian (Research):</t>
        </r>
        <r>
          <rPr>
            <sz val="9"/>
            <color indexed="81"/>
            <rFont val="Tahoma"/>
            <family val="2"/>
          </rPr>
          <t xml:space="preserve">
Reconciliation, 55.6% used as proxy of % of Biological Assets located in Property, plant and equipment.
4Q16 used as basis to calculate the % of Biological Assets located in Other ST non op assets and PP&amp;E. (44.4% and 55.6% respectively)</t>
        </r>
      </text>
    </comment>
    <comment ref="AN210" authorId="3">
      <text>
        <r>
          <rPr>
            <b/>
            <sz val="9"/>
            <color indexed="81"/>
            <rFont val="Tahoma"/>
            <family val="2"/>
          </rPr>
          <t>Duran, Cristian (Research):</t>
        </r>
        <r>
          <rPr>
            <sz val="9"/>
            <color indexed="81"/>
            <rFont val="Tahoma"/>
            <family val="2"/>
          </rPr>
          <t xml:space="preserve">
Reconciliation, 55.6% used as proxy of % of Biological Assets located in Property, plant and equipment.
4Q16 used as basis to calculate the % of Biological Assets located in Other ST non op assets and PP&amp;E. (44.4% and 55.6% respectively)</t>
        </r>
      </text>
    </comment>
    <comment ref="AK232" authorId="0">
      <text>
        <r>
          <rPr>
            <sz val="9"/>
            <color indexed="81"/>
            <rFont val="Tahoma"/>
            <family val="2"/>
          </rPr>
          <t xml:space="preserve">Share capital
+ Capital reserves
</t>
        </r>
      </text>
    </comment>
    <comment ref="AO237" authorId="3">
      <text>
        <r>
          <rPr>
            <b/>
            <sz val="9"/>
            <color indexed="81"/>
            <rFont val="Tahoma"/>
            <family val="2"/>
          </rPr>
          <t>Duran, Cristian (Research):</t>
        </r>
        <r>
          <rPr>
            <sz val="9"/>
            <color indexed="81"/>
            <rFont val="Tahoma"/>
            <family val="2"/>
          </rPr>
          <t xml:space="preserve">
Profit Reserves + Retained Earnings.</t>
        </r>
      </text>
    </comment>
    <comment ref="AP237" authorId="3">
      <text>
        <r>
          <rPr>
            <b/>
            <sz val="9"/>
            <color indexed="81"/>
            <rFont val="Tahoma"/>
            <family val="2"/>
          </rPr>
          <t>Duran, Cristian (Research):</t>
        </r>
        <r>
          <rPr>
            <sz val="9"/>
            <color indexed="81"/>
            <rFont val="Tahoma"/>
            <family val="2"/>
          </rPr>
          <t xml:space="preserve">
Profit Reserves + Retained Earnings.</t>
        </r>
      </text>
    </comment>
    <comment ref="AB246" authorId="4">
      <text>
        <r>
          <rPr>
            <b/>
            <sz val="9"/>
            <color indexed="81"/>
            <rFont val="Tahoma"/>
            <family val="2"/>
          </rPr>
          <t>Castellucci, Thyago M (Research):</t>
        </r>
        <r>
          <rPr>
            <sz val="9"/>
            <color indexed="81"/>
            <rFont val="Tahoma"/>
            <family val="2"/>
          </rPr>
          <t xml:space="preserve">
At this time Operational Improvements were summed up with Off-Season Maintenance/Industrial/Agricultural</t>
        </r>
      </text>
    </comment>
    <comment ref="AL256" authorId="1">
      <text>
        <r>
          <rPr>
            <b/>
            <sz val="9"/>
            <color indexed="81"/>
            <rFont val="Tahoma"/>
            <family val="2"/>
          </rPr>
          <t>Furlanetto, Mateus M (Research):</t>
        </r>
        <r>
          <rPr>
            <sz val="9"/>
            <color indexed="81"/>
            <rFont val="Tahoma"/>
            <family val="2"/>
          </rPr>
          <t xml:space="preserve">
Source: 1Q16 ITR, page 66</t>
        </r>
      </text>
    </comment>
    <comment ref="AM256" authorId="2">
      <text>
        <r>
          <rPr>
            <b/>
            <sz val="9"/>
            <color indexed="81"/>
            <rFont val="Tahoma"/>
            <family val="2"/>
          </rPr>
          <t>Murillo, Mariana (Research):</t>
        </r>
        <r>
          <rPr>
            <sz val="9"/>
            <color indexed="81"/>
            <rFont val="Tahoma"/>
            <family val="2"/>
          </rPr>
          <t xml:space="preserve">
2Q16 ITR pg 70</t>
        </r>
      </text>
    </comment>
    <comment ref="AP256" authorId="3">
      <text>
        <r>
          <rPr>
            <b/>
            <sz val="9"/>
            <color indexed="81"/>
            <rFont val="Tahoma"/>
            <family val="2"/>
          </rPr>
          <t>Duran, Cristian (Research):</t>
        </r>
        <r>
          <rPr>
            <sz val="9"/>
            <color indexed="81"/>
            <rFont val="Tahoma"/>
            <family val="2"/>
          </rPr>
          <t xml:space="preserve">
Restated with 2Q17</t>
        </r>
      </text>
    </comment>
    <comment ref="AR256" authorId="3">
      <text>
        <r>
          <rPr>
            <b/>
            <sz val="9"/>
            <color indexed="81"/>
            <rFont val="Tahoma"/>
            <family val="2"/>
          </rPr>
          <t>Duran, Cristian (Research):
3Q17 ITR pag 72-73</t>
        </r>
      </text>
    </comment>
    <comment ref="AS256" authorId="3">
      <text>
        <r>
          <rPr>
            <b/>
            <sz val="9"/>
            <color indexed="81"/>
            <rFont val="Tahoma"/>
            <family val="2"/>
          </rPr>
          <t>Duran, Cristian (Research):</t>
        </r>
        <r>
          <rPr>
            <sz val="9"/>
            <color indexed="81"/>
            <rFont val="Tahoma"/>
            <family val="2"/>
          </rPr>
          <t xml:space="preserve">
ITR 4Q16</t>
        </r>
      </text>
    </comment>
    <comment ref="AT256" authorId="3">
      <text>
        <r>
          <rPr>
            <b/>
            <sz val="9"/>
            <color indexed="81"/>
            <rFont val="Tahoma"/>
            <family val="2"/>
          </rPr>
          <t>Duran, Cristian (Research):</t>
        </r>
        <r>
          <rPr>
            <sz val="9"/>
            <color indexed="81"/>
            <rFont val="Tahoma"/>
            <family val="2"/>
          </rPr>
          <t xml:space="preserve">
ITR pag 69</t>
        </r>
      </text>
    </comment>
    <comment ref="AM257" authorId="2">
      <text>
        <r>
          <rPr>
            <b/>
            <sz val="9"/>
            <color indexed="81"/>
            <rFont val="Tahoma"/>
            <family val="2"/>
          </rPr>
          <t>Murillo, Mariana (Research):</t>
        </r>
        <r>
          <rPr>
            <sz val="9"/>
            <color indexed="81"/>
            <rFont val="Tahoma"/>
            <family val="2"/>
          </rPr>
          <t xml:space="preserve">
2Q16 ITR pg 71</t>
        </r>
      </text>
    </comment>
  </commentList>
</comments>
</file>

<file path=xl/comments13.xml><?xml version="1.0" encoding="utf-8"?>
<comments xmlns="http://schemas.openxmlformats.org/spreadsheetml/2006/main">
  <authors>
    <author>Valerio, Josue (Research)</author>
    <author>Martinez de Olcoz Cerdan, Javier (Research)</author>
    <author>Cerdas, Juan (Research)</author>
    <author>Gopal, Shwetha (Research)</author>
    <author>Duran, Cristian (Research)</author>
    <author>Pastrana, Erick (Research)</author>
  </authors>
  <commentList>
    <comment ref="F6" authorId="0">
      <text>
        <r>
          <rPr>
            <sz val="9"/>
            <color indexed="81"/>
            <rFont val="Tahoma"/>
            <family val="2"/>
          </rPr>
          <t>Holds a bachelor’s degree in mechanical engineering from the University of São Paulo - São Carlos (1963). He began his career as a partner at Tropisuco - Indústria de Suco de Laranja, and worked as the Managing Director of the Association of Parents and Friends of the Disabled (APAE) of Santa Bárbara D’Oeste. He founded Brastoft - Indústria de Máquinas Agrícolas, jointly with Case Corporation, when he was a member of the Fiscal Council of Indústrias Romi. He was also Managing Director of the Association of Sugar and Alcohol Technicians of Brazil (STAB) from 1981 to 1987, and President of the Associación Civil de Técnicos Azucareros de América Latina y del Caribe from 1983 to 1986. He was a member of the Board of Trustees - International Society of Sugar Cane Technologists from 1983 to 1989, and President of the Brazilian Sugarcane Industry Association (UNICA) from 1998 to 2000. From 1991 to 1997, he served as President of the cooperative Copersucar, where he was also a member of the Board of Directors from 1997 to 2001. In addition, he served as Executive Officer, Vice-CEO and CEO of São Martinho, Usina São Martinho and Omtek - Indústria e Comércio. Besides serving as Vice-Chairman of the Board of Directors of São Martinho, he is the CEO of Mogi Agrícola, Imobiliária Paramirim, Duas Matas Agrícola and João Ometto Participações and Vice-CEO of Agropecuária Caieira do Norte, SM Participações, Agro Pecuária Vale do Corumbataí and Monte Sereno Agrícola. He is also the Second Vice-President of the São Paulo state industry federation (FIESP), coordinator of the São Paulo state sugar industry union (SIAESP); coordinator of the São Paulo state ethanol industry union (SIFAESP), and Advisory member of the Commercial Association of São Paulo, the Business-School Integration Center (CIEE) and the Brazilian Foreign Trade Association</t>
        </r>
      </text>
    </comment>
    <comment ref="F7" authorId="0">
      <text>
        <r>
          <rPr>
            <sz val="9"/>
            <color indexed="81"/>
            <rFont val="Tahoma"/>
            <family val="2"/>
          </rPr>
          <t>Mr. Ometto earned a bachelor’s degree in business administration from the University of Ribeirão Preto (1988) and holds a specialization in business administration from the Getúlio Vargas Foundation - São Paulo (1990), with a focus on agribusiness. He began his career at Usina São Martinho S/A - Açúcar e Álcool, serving as Executive Manager from 1984 to 1997. From 1997 to 1998 he was Executive Manager at Usina São Martinho S/A, and as of October 15, 1999 he served as Agriculture Officer, Business Unit Officer and Agroindustrial Officer. In 1986, he was elected Executive Officer at Luiz Ometto Participações S/A, and in 1987 he became Vice-CEO. In 2006, he became CEO of Dimas Ometto Participações S/A., and from 2001 to 2004 he was a member of the Advisory Board of the Technology Center at Copersucar. 
Since 2001, he has served as a member of the Board of Directors of the Brazilian Agribusiness Association for the Ribeirão Preto Region of São Paulo (ABAG). He is President of the Union of sugar producers in the State of São Paulo, Board of Directors of FIESP (Federação das Indústrias do Estado de São Paulo) for agribusiness issues and Director of UNICA (União da Indústria de Cana de açúcar).</t>
        </r>
      </text>
    </comment>
    <comment ref="F8" authorId="0">
      <text>
        <r>
          <rPr>
            <sz val="9"/>
            <color indexed="81"/>
            <rFont val="Tahoma"/>
            <family val="2"/>
          </rPr>
          <t>Guilherme Fontes Ribeiro completed a degree in Business Administration from Fundação Armando Alvares Penteado (FAAP) in 2000, an executive program on Strategy from the GE Management Development Institute at Crotonville, New York, in 2015, a program for the Board of Directors from the Brazilian Corporate Governance Institute (IBGC), São Paulo, in 2010, a professional certificate in Asset Management from the New York Institute of Finance, New York (2009), and non-degree programs in Strategy and Innovation from the Wharton School, Pennsylvania in 2007, and in Finance from the Fundação Instituto de Administração (FIA), São Paulo, in 2003. He worked as Credit Officer at BankBoston Banco Múltiplo (1998/2004), where he was responsible for the analysis, structuring and approval of credit facilities in the Middle Market and Corporate Banking segments. Later he worked as Portfolio Manager at BankBoston Asset Management (2004/2006) and Portfolio Manager at Itaú Asset Management (2004/2007), in both roles responsible for the analysis, management and trading in fixed-income funds exposed to private assets. Later, he worked as Investment Manager at Itaú Asset Management (2007/2008), being responsible for the analysis and valuation of companies in the mining, construction, logistics and transportation sectors and for the strategic allocation of these assets in recommended portfolios. In 2008, he was appointed Executive Officer at João Ometto Participações S.A., Jottapar Participações S.A. and Instituto João e Belinha Ometto S.A. He is a director on the Boards of Vale do Mogi Empreendimentos Imobiliários S.A and LandCo Empreendimentos e Participações S.A.</t>
        </r>
      </text>
    </comment>
    <comment ref="F9" authorId="0">
      <text>
        <r>
          <rPr>
            <sz val="9"/>
            <color indexed="81"/>
            <rFont val="Tahoma"/>
            <family val="2"/>
          </rPr>
          <t>Mr. Passos graduated in chemical engineering from the Federal University of Rio de Janeiro in 1971. He began his career at the Ministry of Industry and Trade and later served as advisor to the Minister in the Industrial Development Council (CDI), Executive Secretary of the Executive Commission for Paper and Pulp, and as coordinator of sectoral groups of the Industrial Development Council (CDI) from 1971 to 1977. In addition, he served at Companhia Vale do Rio Doce as the Director of the Wood, Pulp and Environment Department, Wood and Pulp Superintendent, manager of the Studies and Projects Department, advisory manager of the Vice-President and Executive board from 1977 to 1989, and Director of Forestry Products, Environment and Metallurgy (steel and aluminum) from 1990 to 1993. While serving as Director at Companhia Vale do Rio Doce, he also served on the Board of Florestas Rio Doce S.A., Alunorte - Alumina do Norte do Brasil S.A., Aluvale - Vale do Rio Doce Alumínio S.A., Itabira Internacional Co. Ltda, Bahia Sul Celulose S.A., Celma S.A. Indústria de Celulose e Papel, Mineração Rio do Norte S.A.;, Rio Capim Química S.A., Usiminas S.A. and Companhia Siderúrgica de Tubarão. He also served as Advisory Council member at Celulose Nipo-Brasileira S.A. - Cenibra e Cenibra Florestal S.A., Albrás - Alumínio Brasileiro S.A., Companhia Docas do Espírito Santo S.A. - Codesa, Rio Doce Geologia S.A. - Dcegeo and Portocel - Terminal de Exportação de Porto do Riacho S.A. At Celulose Nipo-Brasileira S.A. and Cenibra Florestas do Rio Doce S.A., he also served as the CEO from 1989 to 1990. From 1993 to 2001, he worked as Managing Director of Bahia Sul Celulose S.A. Currently, he is a member of the Board of São Martinho and Usina São Martinho, member of the Governing Council of the National Quality Awards Foundation and member of the Board of PROGESA/FIA, which is affiliated to the University of São Paulo (FEA/USP). In addition, he has been the Managing Director of Suzano Bahia Sul Papel e Celulose S.A. since 2001.</t>
        </r>
      </text>
    </comment>
    <comment ref="F10" authorId="0">
      <text>
        <r>
          <rPr>
            <sz val="9"/>
            <color indexed="81"/>
            <rFont val="Tahoma"/>
            <family val="2"/>
          </rPr>
          <t>Maurício Krug Ometto obtained a degree in Business Administration School of São Paulo of the Getulio Vargas Foundation (1993) and a non-degree program specialization degree in Strategic Management, Total Quality Management and Human Resources Management through the Certificate of Special Studies in Administration and Management program at the Harvard Extension School - Harvard University (1994). He started his career at Santa Cruz S.A. Açúcar e Álcool in 1995 and was elected Executive Officer in 1996, a position he held until 2014. He is also Executive Officer at Agro Pecuária Boa Vista S.A., Cia Agrícola Debelma and Debelma Participações S.A. and Luiz Ometto Participações S.A., Vice Executive Officer at Luiz Ometto Participações S.A.; and Director of Vale do Mogi Empreendimentos Imobiliários S.A. and LandCo Empreendimentos e Participações S.A.</t>
        </r>
      </text>
    </comment>
    <comment ref="F11" authorId="0">
      <text>
        <r>
          <rPr>
            <sz val="9"/>
            <color indexed="81"/>
            <rFont val="Tahoma"/>
            <family val="2"/>
          </rPr>
          <t>Holds a bachelor´s degree in Business Administration from the Higher Institute of Applied Sciences Education Association from Limeira and participated in the Successors Training Project of Oliveira and Bernhoeft Associates. In 1987, he began his professional career in São Martinho (Iracema), where he served until 1999 in different roles in the administrative area, as a member of the Management Committee and Advisory Board. He was an Officer at Valbras Tratores e Peças Ltda from 1994 to 1999. Currently he is engaged in the management of his own affairs and is an Officer at Nelson Ometto Participações Ltda.</t>
        </r>
      </text>
    </comment>
    <comment ref="F12" authorId="0">
      <text>
        <r>
          <rPr>
            <sz val="9"/>
            <color indexed="81"/>
            <rFont val="Tahoma"/>
            <family val="2"/>
          </rPr>
          <t>Senior partner of L. O. Baptista Advogados, where he works in the Corporate Law and Arbitration areas. He holds a doctorate in international law from the University of Paris II and is Full Professor of International Business Law at the University of São Paulo Law School. Since 2001, he has been member of the Appellate Body at the World Trade Organization. He has also been member of the International Court of Arbitration and the Commission on International Commercial Practices of the International Commerce Chamber (ICC) since 1999, and Arbiter of the Brasília Protocol for Mercosur since 1993. He presided over the E4A panel of the United Nations Compensation Commission (UNCC), where he resolved over 5,000 cases from Kuwait. He is a member of the Board of Vallourec S/A, a publicly-held company headquartered in France.</t>
        </r>
      </text>
    </comment>
    <comment ref="D13" authorId="1">
      <text>
        <r>
          <rPr>
            <b/>
            <sz val="9"/>
            <color indexed="81"/>
            <rFont val="Tahoma"/>
            <family val="2"/>
          </rPr>
          <t>Martinez de Olcoz Cerdan, Javier (Research):</t>
        </r>
        <r>
          <rPr>
            <sz val="9"/>
            <color indexed="81"/>
            <rFont val="Tahoma"/>
            <family val="2"/>
          </rPr>
          <t xml:space="preserve">
24,000,000 shares attributed to
Petrobras Biocombustível S.A. (“PBIO”).
The Company’s shares attributed to PBIO are not subject to any type of lock-up and shall be sold
in an organized manner, with the Company's collaboration for up to four (4) years.</t>
        </r>
      </text>
    </comment>
    <comment ref="B15" authorId="2">
      <text>
        <r>
          <rPr>
            <b/>
            <sz val="9"/>
            <color indexed="81"/>
            <rFont val="Tahoma"/>
            <family val="2"/>
          </rPr>
          <t xml:space="preserve">Cerdas, Juan (Research):
1Q18 ITR page 39:
</t>
        </r>
        <r>
          <rPr>
            <sz val="9"/>
            <color indexed="81"/>
            <rFont val="Tahoma"/>
            <family val="2"/>
          </rPr>
          <t>At June 30, 2017 and March 31, 2017, capital amounted to R$1,494,334, comprising
364,011,329 common registered shares, with no par value</t>
        </r>
        <r>
          <rPr>
            <b/>
            <sz val="9"/>
            <color indexed="81"/>
            <rFont val="Tahoma"/>
            <family val="2"/>
          </rPr>
          <t xml:space="preserve">. 
</t>
        </r>
        <r>
          <rPr>
            <sz val="9"/>
            <color indexed="81"/>
            <rFont val="Tahoma"/>
            <family val="2"/>
          </rPr>
          <t xml:space="preserve">
"As a result of the merger, Nova Fronteira ceased to exist and the Company’s capital was
increased through issue of 24,023,708 new common registered book-entry shares, with no
par value, which were assigned to the shareholders of Nova Fronteira." </t>
        </r>
      </text>
    </comment>
    <comment ref="B16" authorId="3">
      <text>
        <r>
          <rPr>
            <sz val="9"/>
            <color indexed="81"/>
            <rFont val="Tahoma"/>
            <family val="2"/>
          </rPr>
          <t xml:space="preserve">Source: http://ir.saomartinho.ind.br/saomartinho/web/conteudo_en.asp?idioma=1&amp;conta=44&amp;tipo=25199
</t>
        </r>
      </text>
    </comment>
    <comment ref="F18" authorId="0">
      <text>
        <r>
          <rPr>
            <sz val="9"/>
            <color indexed="81"/>
            <rFont val="Tahoma"/>
            <family val="2"/>
          </rPr>
          <t>Fabio Venturelli - CEO - Diretor Presidente: has a degree in Production Engineering from the University of São Paulo - USP (1988), an MBA from FIA/FEA In-house - (1991) and has completed a Young Management Program (YMP) from INSEAD, France. He has more than 25 years of experience in Corporate Management, Global Business Management and Commercial Management, with vast experience in managing brazilian and international companies. He started his career at Dow Chemical, where he worked from 1989 to 2007 occupying positions in Brazil and the United States, including as Executive Officer - Global Business and Corporate Officer for Strategic Development. In 2007, he took on the challenge of leading the São Martinho Group as CEO, and also as CEO of Nova Fronteira Bioenergia S.A., a joint venture between the São Martinho Group and Petrobras Biocombustível in the state of Goiás. He is also a member of the Boards of Directors of SMA (a joint venture between São Martinho Group and Amyris Biotech Inc.), Vale do Mogi Empreendimentos Imobiliários S.A., Nova Fronteira Bioenergia S.A. and CTC - Centro de Tecnologia Canavieira S.A.</t>
        </r>
      </text>
    </comment>
    <comment ref="F19" authorId="0">
      <text>
        <r>
          <rPr>
            <sz val="9"/>
            <color indexed="81"/>
            <rFont val="Tahoma"/>
            <family val="2"/>
          </rPr>
          <t>He holds a degree in Chemical Production from Faculdade Engenharia Industrial (FEI) (1986). He specialized in Sugar and Alcohol Engineering from Centro de Tecnologia da Copersucar (1987). He also holds Business Administration (2000) and International Executive (2002) MBAs from Fundação Getúlio Vargas (FGV) in Ribeirão Preto and Ohio University. He began his career in the company as Production Technical Assistant, Production Manager, Executive Manager (Member of the "Projeto Novos Rumos" Turnaround Committee), Industrial Manager and Agroindustrial Director of the São Martinho Unit. He currently acts as the Group’s Agroindustrial Executive Officer.</t>
        </r>
      </text>
    </comment>
    <comment ref="F20" authorId="0">
      <text>
        <r>
          <rPr>
            <sz val="9"/>
            <color indexed="81"/>
            <rFont val="Tahoma"/>
            <family val="2"/>
          </rPr>
          <t>Graduated in Agronomic Engineering from the Faculty of Agronomy and Animal Science of Espírito Santo do Pinhal - SP and Work Safety Engineering at the University of Moura Lacerda in Ribeirão Preto - SP, with a Postgraduate Degree in Business Management in Agribusiness from Fundação Getúlio Vargas de Ribeirão Preto . Ricardo consolidated his career in the São Martinho Group, where he has been working for 26 years. He joined São Martinho Mill, a unit of the group located in Pradópolis - SP in 1988 as Trainee and served as an Agroindustrial Director of the Boa Vista Plant - Nova Fronteira Bioenergia, located in Quirinópolis - GO for seven years and now he is the Agroindustrial Director of São Martinho Mill.</t>
        </r>
      </text>
    </comment>
    <comment ref="F21" authorId="4">
      <text>
        <r>
          <rPr>
            <b/>
            <sz val="9"/>
            <color indexed="81"/>
            <rFont val="Tahoma"/>
            <family val="2"/>
          </rPr>
          <t>Duran, Cristian (Research):</t>
        </r>
        <r>
          <rPr>
            <sz val="9"/>
            <color indexed="81"/>
            <rFont val="Tahoma"/>
            <family val="2"/>
          </rPr>
          <t xml:space="preserve">
An agronomist, Mr. de Andrade graduated from the Agricultural and Veterinary University of Jaboticabal (FCAVJ) in 1987) and completed a specialist course in Workplace Safety Engineering at the Pirassununga University of Geodesic Engineering (FEAP) in 1994. He also concluded post-graduate studies in Strategic Marketing at the University of Ribeirão Preto (UNAERP) in 1998 and Business Administration, Marketing and Financial Management and Controllership at the Getúlio Vargas Foundation (FGV) in 1999, 2000 and 2003, respectively. Mr. Andrade began his career at Usina São Martinho where he worked as an agronomist, crop care supervisor, internal development coordinator, human resources manager and Agroindustrial Officer at the Boa Vista unit. He is currently Agroindustrial Officer at the Iracema unit, located in Iracemápolis, São Paulo.</t>
        </r>
      </text>
    </comment>
    <comment ref="F22" authorId="4">
      <text>
        <r>
          <rPr>
            <b/>
            <sz val="9"/>
            <color indexed="81"/>
            <rFont val="Tahoma"/>
            <family val="2"/>
          </rPr>
          <t>Duran, Cristian (Research):</t>
        </r>
        <r>
          <rPr>
            <sz val="9"/>
            <color indexed="81"/>
            <rFont val="Tahoma"/>
            <family val="2"/>
          </rPr>
          <t xml:space="preserve">
Graduated in Chemical Engineering from FEI, with specialization in sugar engineering by COPERSUCAR -SP and MBA in production management at UFSCAR - SP, Monaco has experience of over 29 years in the management of sugarcane production chain, with extensive knowledge in the production of sugar, ethanol, energy and support of the industry system. He began his career in Santa Cruz, working in engineering and Industrial Management. Monaco is currently agroindustrial officer at the Santa Cruz Mill.</t>
        </r>
      </text>
    </comment>
    <comment ref="F23" authorId="5">
      <text>
        <r>
          <rPr>
            <sz val="9"/>
            <color indexed="81"/>
            <rFont val="Tahoma"/>
            <family val="2"/>
          </rPr>
          <t xml:space="preserve">Graduated in Business Administration from FAAP with an MBA in Finance from IBMEC - SP, Felipe has over 19 years of experience in the financial industry and vast knowledge in the fields of Controllership, Treasury, Investor Relations and M&amp;A. He began his career at Arthur Andersen and later worked at Banco Bilbao Vizcaya and Banco Bradesco, where he served in the Risk and Corporate Banking areas. Since 2006 in the São Martinho Group, participated in the company´s IPO and has played a key role in important financial and strategic decisions that have supported the company in the execution of its growth plan. He currently holds the position of Financial and Investor Relations Officer in São Martinho Group.
</t>
        </r>
      </text>
    </comment>
    <comment ref="F24" authorId="0">
      <text>
        <r>
          <rPr>
            <sz val="9"/>
            <color indexed="81"/>
            <rFont val="Tahoma"/>
            <family val="2"/>
          </rPr>
          <t>Born on August 19, 1966, Helder Gosling earned a bachelor’s degree in mechanical production engineering from Universidade Paulista (UNIP) in 1988, a post-graduate degree in business administration also from UNIP in 1991, and an Executive MBA from the COPPEAD School at the Federal University of Rio de Janeiro (UFRJ) in 2002. He holds more than 16 years of experience in the entire logistics chain at companies in the chemicals, commodities and food (sugar, ethanol and coffee) industries as well as at companies involved in import, export and national distribution activities. He has solid experience in the logistics areas of the companies where he has worked, such as Copersucar, Solvay, Ipiranga and ED&amp;F Man. Mr. Gosling applies his vast expertise in the areas of logistics, new business and the installation and feasibility of lucrative projects to fulfill the Group’s mission, vision and values. He is currently Commercial and Logistics Officer of São Martinho.</t>
        </r>
      </text>
    </comment>
    <comment ref="F25" authorId="0">
      <text>
        <r>
          <rPr>
            <sz val="9"/>
            <color indexed="81"/>
            <rFont val="Tahoma"/>
            <family val="2"/>
          </rPr>
          <t>Graduated in Business Administration from Fundação Getúlio Vargas (EAESP), specialized in Supply Chain Management by APICS (USA) and attended an MBA from Fundação Getúlio Vargas (EAESP). Rodrigo has a consolidated experience in the sugar and ethanol industry (18 years), with full knowledge of the market and the business, involving all commercial, administrative and operational processes. He served for seven years as a consultant for PricewaterhouseCoopers, leading restructuring projects and implementation of best management practices in large companies of S&amp;E sector. From 2003 to 2014 he worked in Santa Cruz S/A Açúcar e Álcool, one of the largest companies in the industry, having held the position of Executive Director being responsible for operational and administrative processes, accounting for the overall results of the company. He is currently Administrative Officer of the São Martinho Group.</t>
        </r>
      </text>
    </comment>
  </commentList>
</comments>
</file>

<file path=xl/comments14.xml><?xml version="1.0" encoding="utf-8"?>
<comments xmlns="http://schemas.openxmlformats.org/spreadsheetml/2006/main">
  <authors>
    <author>Browne, Roberto (Research)</author>
  </authors>
  <commentList>
    <comment ref="D4" authorId="0">
      <text>
        <r>
          <rPr>
            <b/>
            <sz val="9"/>
            <color indexed="81"/>
            <rFont val="Tahoma"/>
            <family val="2"/>
          </rPr>
          <t>Browne, Roberto (Research):</t>
        </r>
        <r>
          <rPr>
            <sz val="9"/>
            <color indexed="81"/>
            <rFont val="Tahoma"/>
            <family val="2"/>
          </rPr>
          <t xml:space="preserve">
According to IR, the breakdown of crushed cane is:
30% cana terceiros 
50% arrendamento
20% terra propria
</t>
        </r>
      </text>
    </comment>
    <comment ref="D30" authorId="0">
      <text>
        <r>
          <rPr>
            <b/>
            <sz val="9"/>
            <color indexed="81"/>
            <rFont val="Tahoma"/>
            <family val="2"/>
          </rPr>
          <t>Browne, Roberto (Research):</t>
        </r>
        <r>
          <rPr>
            <sz val="9"/>
            <color indexed="81"/>
            <rFont val="Tahoma"/>
            <family val="2"/>
          </rPr>
          <t xml:space="preserve">
From 4Q17 DFP pg 49:
O valor do incentivo que impactou o resultado da controlada UBV no exercício findo em 31 de março de 2017 foi de R$ 34.679.
</t>
        </r>
      </text>
    </comment>
    <comment ref="C42" authorId="0">
      <text>
        <r>
          <rPr>
            <b/>
            <sz val="9"/>
            <color indexed="81"/>
            <rFont val="Tahoma"/>
            <family val="2"/>
          </rPr>
          <t>Browne, Roberto (Research):</t>
        </r>
        <r>
          <rPr>
            <sz val="9"/>
            <color indexed="81"/>
            <rFont val="Tahoma"/>
            <family val="2"/>
          </rPr>
          <t xml:space="preserve">
Assuming 27% of land are reserves, according to IR.</t>
        </r>
      </text>
    </comment>
    <comment ref="D42" authorId="0">
      <text>
        <r>
          <rPr>
            <b/>
            <sz val="9"/>
            <color indexed="81"/>
            <rFont val="Tahoma"/>
            <family val="2"/>
          </rPr>
          <t>Browne, Roberto (Research):</t>
        </r>
        <r>
          <rPr>
            <sz val="9"/>
            <color indexed="81"/>
            <rFont val="Tahoma"/>
            <family val="2"/>
          </rPr>
          <t xml:space="preserve">
Assuming 27% of land are reserves, according to IR.</t>
        </r>
      </text>
    </comment>
    <comment ref="D46" authorId="0">
      <text>
        <r>
          <rPr>
            <b/>
            <sz val="9"/>
            <color indexed="81"/>
            <rFont val="Tahoma"/>
            <family val="2"/>
          </rPr>
          <t>Browne, Roberto (Research):</t>
        </r>
        <r>
          <rPr>
            <sz val="9"/>
            <color indexed="81"/>
            <rFont val="Tahoma"/>
            <family val="2"/>
          </rPr>
          <t xml:space="preserve">
http://www.udop.com.br/cana/tabela_consecana_saopaulo.pdf</t>
        </r>
      </text>
    </comment>
  </commentList>
</comments>
</file>

<file path=xl/comments15.xml><?xml version="1.0" encoding="utf-8"?>
<comments xmlns="http://schemas.openxmlformats.org/spreadsheetml/2006/main">
  <authors>
    <author>Gopal, Shwetha (Research)</author>
  </authors>
  <commentList>
    <comment ref="A380" authorId="0">
      <text>
        <r>
          <rPr>
            <b/>
            <sz val="9"/>
            <color indexed="81"/>
            <rFont val="Tahoma"/>
            <family val="2"/>
          </rPr>
          <t>Gopal, Shwetha (Research):</t>
        </r>
        <r>
          <rPr>
            <sz val="9"/>
            <color indexed="81"/>
            <rFont val="Tahoma"/>
            <family val="2"/>
          </rPr>
          <t xml:space="preserve">
Source: 3Q17 Company Presentation</t>
        </r>
      </text>
    </comment>
  </commentList>
</comments>
</file>

<file path=xl/sharedStrings.xml><?xml version="1.0" encoding="utf-8"?>
<sst xmlns="http://schemas.openxmlformats.org/spreadsheetml/2006/main" count="6392" uniqueCount="2170">
  <si>
    <t>Stock</t>
  </si>
  <si>
    <t>Gross revenues (R$ mn)</t>
  </si>
  <si>
    <t>% of Net revenues</t>
  </si>
  <si>
    <t>Selling Expenses</t>
  </si>
  <si>
    <t>% of Net Revenues</t>
  </si>
  <si>
    <t>G&amp;A Expenses</t>
  </si>
  <si>
    <t>Days in the Period</t>
  </si>
  <si>
    <t>Total Working Capital</t>
  </si>
  <si>
    <t>% of net revenues</t>
  </si>
  <si>
    <t>Days of Working Capital</t>
  </si>
  <si>
    <t>Operating Cash</t>
  </si>
  <si>
    <t>Accounts receivable</t>
  </si>
  <si>
    <t>Days - % of net revenues</t>
  </si>
  <si>
    <t>Days - % of COGS</t>
  </si>
  <si>
    <t>Accounts Payable</t>
  </si>
  <si>
    <t>Sugar Prices NY11 (US$c/lb)</t>
  </si>
  <si>
    <t>Revenue Growth</t>
  </si>
  <si>
    <t>Operating CF / revenue</t>
  </si>
  <si>
    <t>TP</t>
  </si>
  <si>
    <t>Sugar Prices (R$/ton)</t>
  </si>
  <si>
    <t>Ethanol Prices (R$/cbm)</t>
  </si>
  <si>
    <t>SMTO3.SA</t>
  </si>
  <si>
    <t>Sao Martinho SA</t>
  </si>
  <si>
    <t>BRL</t>
  </si>
  <si>
    <t>Comment</t>
  </si>
  <si>
    <t>São Martinho</t>
  </si>
  <si>
    <t>* Primary coverage</t>
  </si>
  <si>
    <t>Morgan Stanley Equity Research</t>
  </si>
  <si>
    <t>Valuation</t>
  </si>
  <si>
    <t>Model Inputs</t>
  </si>
  <si>
    <t>Sales volume</t>
  </si>
  <si>
    <t>Net Revenue</t>
  </si>
  <si>
    <t>EBITDA margin</t>
  </si>
  <si>
    <t>Sugar Prices</t>
  </si>
  <si>
    <t>NP</t>
  </si>
  <si>
    <t>EPS growth</t>
  </si>
  <si>
    <t>NM</t>
  </si>
  <si>
    <t>Operating CF</t>
  </si>
  <si>
    <t>WC requirement (R$ mn)</t>
  </si>
  <si>
    <t>FCF yield</t>
  </si>
  <si>
    <t>EV/Ton (R$/ton)</t>
  </si>
  <si>
    <t>Data for the Charts</t>
  </si>
  <si>
    <t>Ethanol</t>
  </si>
  <si>
    <t>Export</t>
  </si>
  <si>
    <t>R$ mn</t>
  </si>
  <si>
    <t>Third party</t>
  </si>
  <si>
    <t>Other</t>
  </si>
  <si>
    <t>Cost</t>
  </si>
  <si>
    <t>Price</t>
  </si>
  <si>
    <t>Revenue</t>
  </si>
  <si>
    <t>G&amp;A</t>
  </si>
  <si>
    <t>Sales mix</t>
  </si>
  <si>
    <t>Local</t>
  </si>
  <si>
    <t>Check</t>
  </si>
  <si>
    <t>Sugar</t>
  </si>
  <si>
    <t>Brazil</t>
  </si>
  <si>
    <t>Main Figures</t>
  </si>
  <si>
    <t>Margin evolution (% / sales) vs sugar price</t>
  </si>
  <si>
    <t>ROE, ROCE evolution (%) vs sugar price</t>
  </si>
  <si>
    <t>CF generation vs sugar price</t>
  </si>
  <si>
    <t>Avg unit value (R$/ha)</t>
  </si>
  <si>
    <t>Sao Martinho mill region</t>
  </si>
  <si>
    <t>Regions near urgan centers</t>
  </si>
  <si>
    <t>Iracema mil region</t>
  </si>
  <si>
    <t>Usina Santa Cruz SA Acucar e Alcool</t>
  </si>
  <si>
    <t>Area appraised (ha)</t>
  </si>
  <si>
    <t>Market value (R$ '000)</t>
  </si>
  <si>
    <t>Rating</t>
  </si>
  <si>
    <t>Dividends</t>
  </si>
  <si>
    <t>Period end diluted shares</t>
  </si>
  <si>
    <t>Change in minority interest</t>
  </si>
  <si>
    <t>Change in deferred income</t>
  </si>
  <si>
    <t>Net change in cash and cash equivalents</t>
  </si>
  <si>
    <t>Scenario</t>
  </si>
  <si>
    <t>Bull Case</t>
  </si>
  <si>
    <t>Base Case</t>
  </si>
  <si>
    <t>Bear Case</t>
  </si>
  <si>
    <t>Base</t>
  </si>
  <si>
    <t>Bull</t>
  </si>
  <si>
    <t>Bear</t>
  </si>
  <si>
    <t>FCF</t>
  </si>
  <si>
    <t>Equity Value</t>
  </si>
  <si>
    <t>Crop Treatment</t>
  </si>
  <si>
    <t>Non operating income (expenses)</t>
  </si>
  <si>
    <t>Post-tax Dividends</t>
  </si>
  <si>
    <t>Number of Shares (Basic)</t>
  </si>
  <si>
    <t>Average shares</t>
  </si>
  <si>
    <t xml:space="preserve">  EPS</t>
  </si>
  <si>
    <t>Net debt/Ebitda</t>
  </si>
  <si>
    <t>2. BALANCE SHEET</t>
  </si>
  <si>
    <t>ASSETS</t>
  </si>
  <si>
    <t>Trade accounts receivable</t>
  </si>
  <si>
    <t>Other ST op. assets</t>
  </si>
  <si>
    <t>Other ST non op. assets</t>
  </si>
  <si>
    <t>LT op. assets</t>
  </si>
  <si>
    <t>LT non op. assets</t>
  </si>
  <si>
    <t>Non-Current Assets</t>
  </si>
  <si>
    <t>Permanent assets</t>
  </si>
  <si>
    <t>Property, plant and equipment, net + farming</t>
  </si>
  <si>
    <t>Intangible, net</t>
  </si>
  <si>
    <t>Deferred, net</t>
  </si>
  <si>
    <t>Loans and financing</t>
  </si>
  <si>
    <t>Trade accounts payable</t>
  </si>
  <si>
    <t>Taxes, fees and sundry contributions</t>
  </si>
  <si>
    <t>Advances from customers</t>
  </si>
  <si>
    <t>Other ST op. liabilities</t>
  </si>
  <si>
    <t>Other ST non op. liabilities</t>
  </si>
  <si>
    <t>Other LT op. liabilities</t>
  </si>
  <si>
    <t>Other LT non op. liabilities</t>
  </si>
  <si>
    <t>Paid-in capital</t>
  </si>
  <si>
    <t>Legal Reserves</t>
  </si>
  <si>
    <t>Revaluation Reserves</t>
  </si>
  <si>
    <t>Profit reserves</t>
  </si>
  <si>
    <t>NPV</t>
  </si>
  <si>
    <t>SOP valuation</t>
  </si>
  <si>
    <t>FX</t>
  </si>
  <si>
    <t>Unit</t>
  </si>
  <si>
    <t>Stake</t>
  </si>
  <si>
    <t>Multiple</t>
  </si>
  <si>
    <t>R$/share</t>
  </si>
  <si>
    <t>%</t>
  </si>
  <si>
    <t>#Shares</t>
  </si>
  <si>
    <t>Sugar/Ethanol</t>
  </si>
  <si>
    <t>MW/w</t>
  </si>
  <si>
    <t>Cogeneration</t>
  </si>
  <si>
    <t>Price R$ MW/h</t>
  </si>
  <si>
    <t>Crushing Capacity</t>
  </si>
  <si>
    <t>EV</t>
  </si>
  <si>
    <t>Mkt Cap</t>
  </si>
  <si>
    <t>Non S&amp;E Business</t>
  </si>
  <si>
    <t>Disc Rate</t>
  </si>
  <si>
    <t>PV CF</t>
  </si>
  <si>
    <t>Growth Rate</t>
  </si>
  <si>
    <t>Current price</t>
  </si>
  <si>
    <t>TV</t>
  </si>
  <si>
    <t>Upside</t>
  </si>
  <si>
    <t>Mn Tns</t>
  </si>
  <si>
    <t>% SMTO</t>
  </si>
  <si>
    <t>Total</t>
  </si>
  <si>
    <t>DCF vs SOP</t>
  </si>
  <si>
    <t>SOP</t>
  </si>
  <si>
    <t xml:space="preserve">Dif </t>
  </si>
  <si>
    <t>Dif in %</t>
  </si>
  <si>
    <t>PE</t>
  </si>
  <si>
    <t>Current Price</t>
  </si>
  <si>
    <t>Target Price</t>
  </si>
  <si>
    <t>Total Assets</t>
  </si>
  <si>
    <t>1. PROFIT &amp; LOSS STATEMENT</t>
  </si>
  <si>
    <t>Gross revenues</t>
  </si>
  <si>
    <t>Deductions</t>
  </si>
  <si>
    <t>A</t>
  </si>
  <si>
    <t>Total Debt</t>
  </si>
  <si>
    <t>ROIC</t>
  </si>
  <si>
    <t>Date</t>
  </si>
  <si>
    <t>Count</t>
  </si>
  <si>
    <t>R$</t>
  </si>
  <si>
    <t>Sugar (White) - domestic market</t>
  </si>
  <si>
    <t>Sugar (VHP) - exports</t>
  </si>
  <si>
    <t>Hydrated - domestic market</t>
  </si>
  <si>
    <t>Hydrated - exports</t>
  </si>
  <si>
    <t>Anhydrous - domestic market</t>
  </si>
  <si>
    <t>Anhydrous - exports</t>
  </si>
  <si>
    <t>RNA - exports</t>
  </si>
  <si>
    <t>Others - domestic market</t>
  </si>
  <si>
    <t>Others - exports</t>
  </si>
  <si>
    <t>Total sugar (R$/ton)</t>
  </si>
  <si>
    <t>Gross Operating Revenue</t>
  </si>
  <si>
    <t>Net Revenues</t>
  </si>
  <si>
    <t>Selling, Adm. &amp; General Expenses</t>
  </si>
  <si>
    <t>Selling</t>
  </si>
  <si>
    <t>General &amp; Administrative (excluding extraordinary items)</t>
  </si>
  <si>
    <t>Depreciation/Amortization</t>
  </si>
  <si>
    <t>Financial income (expenses)</t>
  </si>
  <si>
    <t>Financial income</t>
  </si>
  <si>
    <t>Financial expenses</t>
  </si>
  <si>
    <t>Equity income</t>
  </si>
  <si>
    <t>Expenses</t>
  </si>
  <si>
    <t>Income Tax &amp; Social Contribution</t>
  </si>
  <si>
    <t>Deferred Income Tax &amp; Social Contribution</t>
  </si>
  <si>
    <t>SMTO3.SA,mscalc:targetPrice</t>
  </si>
  <si>
    <t>SMTO3.SA,mscalc:sedolCodeCalc</t>
  </si>
  <si>
    <t>B1P3R43</t>
  </si>
  <si>
    <t>SMTO3.SA,mscalc:targetPrice,,,,BRL</t>
  </si>
  <si>
    <t/>
  </si>
  <si>
    <t xml:space="preserve"> - Price (R$ m3)</t>
  </si>
  <si>
    <t>Cogeneration and other Revenues</t>
  </si>
  <si>
    <t>Cane bought from suppliers</t>
  </si>
  <si>
    <t>Sugar and ethanol</t>
  </si>
  <si>
    <t>White - domestic market</t>
  </si>
  <si>
    <t>VHP - exports</t>
  </si>
  <si>
    <t>Sugar Revenues</t>
  </si>
  <si>
    <t xml:space="preserve"> - Price (R$ / Ton)</t>
  </si>
  <si>
    <t>% Exports</t>
  </si>
  <si>
    <t>Ethanol Revenues</t>
  </si>
  <si>
    <t>March</t>
  </si>
  <si>
    <t>June</t>
  </si>
  <si>
    <t>September</t>
  </si>
  <si>
    <t>Production Mix (%)</t>
  </si>
  <si>
    <t>Sugar Sales (Tons mn, exports weight in  %)</t>
  </si>
  <si>
    <t>Value by division (SOP)</t>
  </si>
  <si>
    <t>e = Morgan Stanley Reseach estimates</t>
  </si>
  <si>
    <t>Source: Company data, Morgan Stanley Research</t>
  </si>
  <si>
    <t>Main Drivers</t>
  </si>
  <si>
    <t>Sugar cane crushing - Mn tn</t>
  </si>
  <si>
    <t>Own cane</t>
  </si>
  <si>
    <t>Third Party</t>
  </si>
  <si>
    <t>Volume Sold</t>
  </si>
  <si>
    <t>Sugar (Tn mn)</t>
  </si>
  <si>
    <t>Ethanol (cbm mn)</t>
  </si>
  <si>
    <t>Average Prices</t>
  </si>
  <si>
    <t>Sugar Nybot prices (US$ cents/lb)</t>
  </si>
  <si>
    <t>BRGAAP</t>
  </si>
  <si>
    <t>IFRS</t>
  </si>
  <si>
    <t>P&amp;L (R$ mn)</t>
  </si>
  <si>
    <t>Energy</t>
  </si>
  <si>
    <t>Growth in %</t>
  </si>
  <si>
    <t>Gross Profit</t>
  </si>
  <si>
    <t>Gross margin</t>
  </si>
  <si>
    <t>Operating Expense</t>
  </si>
  <si>
    <t>EBITDA</t>
  </si>
  <si>
    <t>EBIT</t>
  </si>
  <si>
    <t>EBIT Margin (%)</t>
  </si>
  <si>
    <t>Others</t>
  </si>
  <si>
    <t>Net Interest</t>
  </si>
  <si>
    <t xml:space="preserve">Profit Before Tax </t>
  </si>
  <si>
    <t>Tax</t>
  </si>
  <si>
    <t>Tax Rate (%)</t>
  </si>
  <si>
    <t>Board of Directors </t>
  </si>
  <si>
    <t>Chairman</t>
  </si>
  <si>
    <t>João Guilherme Sabino Ometto</t>
  </si>
  <si>
    <t>Member</t>
  </si>
  <si>
    <t>Inflation</t>
  </si>
  <si>
    <t>Marcelo Campos Ometto</t>
  </si>
  <si>
    <t>Luiz Olavo Baptista</t>
  </si>
  <si>
    <t>Board of Executive Officer</t>
  </si>
  <si>
    <t>CEO</t>
  </si>
  <si>
    <t>Fábio Venturelli</t>
  </si>
  <si>
    <t>Agenor Cunha Pavan</t>
  </si>
  <si>
    <t>Helder Luiz Gosling</t>
  </si>
  <si>
    <t>Ownership Structure</t>
  </si>
  <si>
    <t>Corporate Structure</t>
  </si>
  <si>
    <t>Investments</t>
  </si>
  <si>
    <t>Total Other Assets</t>
  </si>
  <si>
    <t>TOTAL ASSETS</t>
  </si>
  <si>
    <t>LIABILITIES AND EQUITY</t>
  </si>
  <si>
    <t>Current Liabilities</t>
  </si>
  <si>
    <t>Dividends payable</t>
  </si>
  <si>
    <t>Total Current Liabilities</t>
  </si>
  <si>
    <t>Noncurrent Liabilities</t>
  </si>
  <si>
    <t>Long-term debt</t>
  </si>
  <si>
    <t>Total Noncurrent Liabilities</t>
  </si>
  <si>
    <t>Deferred income</t>
  </si>
  <si>
    <t>Minority shareholders</t>
  </si>
  <si>
    <t xml:space="preserve">Equity </t>
  </si>
  <si>
    <t>Capital</t>
  </si>
  <si>
    <t>Retained earnings</t>
  </si>
  <si>
    <t>Total Equity</t>
  </si>
  <si>
    <t>TOTAL LIABILITIES &amp; EQUITY</t>
  </si>
  <si>
    <t>EV/Ton (US$/ton)</t>
  </si>
  <si>
    <t>Net debt/EBITDA</t>
  </si>
  <si>
    <t>NOPLAT</t>
  </si>
  <si>
    <t>WACC</t>
  </si>
  <si>
    <t>Net Debt (Cash)</t>
  </si>
  <si>
    <t>Current Multiples</t>
  </si>
  <si>
    <t>Net Debt</t>
  </si>
  <si>
    <t>EV/EBITDA</t>
  </si>
  <si>
    <t>P/E</t>
  </si>
  <si>
    <t>P/BV</t>
  </si>
  <si>
    <t>Dividend yield</t>
  </si>
  <si>
    <t>From Operations</t>
  </si>
  <si>
    <t>Net income</t>
  </si>
  <si>
    <t>Change in working capital</t>
  </si>
  <si>
    <t>From Inv. Activity</t>
  </si>
  <si>
    <t>Permanent investments</t>
  </si>
  <si>
    <t>Change in net other assets</t>
  </si>
  <si>
    <t>From Fin. Activity</t>
  </si>
  <si>
    <t>Net borrowings</t>
  </si>
  <si>
    <t>Net capital increase</t>
  </si>
  <si>
    <t>Change in reserves</t>
  </si>
  <si>
    <t>Market Cap</t>
  </si>
  <si>
    <t>Agricultural costs</t>
  </si>
  <si>
    <t>Working Capital</t>
  </si>
  <si>
    <t>G</t>
  </si>
  <si>
    <t>Ke</t>
  </si>
  <si>
    <t>Kd</t>
  </si>
  <si>
    <t>Company</t>
  </si>
  <si>
    <t>PT</t>
  </si>
  <si>
    <t>EW</t>
  </si>
  <si>
    <t>Dividend Yield</t>
  </si>
  <si>
    <t>Interest Income</t>
  </si>
  <si>
    <t>Sugar Cane for Crushing (Tn mn)</t>
  </si>
  <si>
    <t>Agricultural Yield (tons/ha)</t>
  </si>
  <si>
    <t>Ethanol Sales (Lts mn, exports weight in  %)</t>
  </si>
  <si>
    <t>Sugar Average Price (R$ / Tn)</t>
  </si>
  <si>
    <t>Sugar Average Price (US$c/lb)</t>
  </si>
  <si>
    <t>Revenues</t>
  </si>
  <si>
    <t>Share Value</t>
  </si>
  <si>
    <t>Seasonality - Net Revenue (R$ mn)</t>
  </si>
  <si>
    <t>Margins</t>
  </si>
  <si>
    <t>Margin summary (R$ mn)</t>
  </si>
  <si>
    <t>Seasonality - Gross Margin (%)</t>
  </si>
  <si>
    <t>EBITDA (R$ mn)</t>
  </si>
  <si>
    <t>EBIT (R$ mn)</t>
  </si>
  <si>
    <t>Seasonality - Ebitda Margin (%)</t>
  </si>
  <si>
    <t>EPS</t>
  </si>
  <si>
    <t>NP (R$ mn)</t>
  </si>
  <si>
    <t>EPS (R$)</t>
  </si>
  <si>
    <t>EPS growth (%)</t>
  </si>
  <si>
    <t>Seasonality - EPS (R$)</t>
  </si>
  <si>
    <t>CASH FLOW</t>
  </si>
  <si>
    <t>Operating CF (R$ mn)</t>
  </si>
  <si>
    <t>Operating CF / Revenues (%)</t>
  </si>
  <si>
    <t>Seasonality - FCF (R$ mn)</t>
  </si>
  <si>
    <t>CAPEX</t>
  </si>
  <si>
    <t>Total CAPEX (R$ mn)</t>
  </si>
  <si>
    <t>CAPEX vs Net Debt</t>
  </si>
  <si>
    <t>Seasonality - Capex (R$ mn)</t>
  </si>
  <si>
    <t xml:space="preserve">Working Capital </t>
  </si>
  <si>
    <t>WC (R$ mn)</t>
  </si>
  <si>
    <t>WC (R$ mn) vs Sugar prices</t>
  </si>
  <si>
    <t>WC change (R$ mn) (Neg = need financiation)</t>
  </si>
  <si>
    <t>Seasonality - WC (R$ mn)</t>
  </si>
  <si>
    <t>Leverage</t>
  </si>
  <si>
    <t>Net Debt (NEG = cash, R$ mn)</t>
  </si>
  <si>
    <t>Interest coverage</t>
  </si>
  <si>
    <t>Cost of the debt</t>
  </si>
  <si>
    <t>Seasonality - Net Debt (R$ mn)</t>
  </si>
  <si>
    <t>Profitability</t>
  </si>
  <si>
    <t xml:space="preserve">Profitability vs Sugar prices </t>
  </si>
  <si>
    <t>ROE (%)</t>
  </si>
  <si>
    <t>ROA (%)</t>
  </si>
  <si>
    <t>Seasonality - ROE (%)</t>
  </si>
  <si>
    <t>PER</t>
  </si>
  <si>
    <t>PBV</t>
  </si>
  <si>
    <t>EV / EBITDA</t>
  </si>
  <si>
    <t xml:space="preserve"> </t>
  </si>
  <si>
    <t>EV / Ton (R$)</t>
  </si>
  <si>
    <t>FCF yield (%)</t>
  </si>
  <si>
    <t>Dividend yield (%)</t>
  </si>
  <si>
    <t>EV / Ton (US$)</t>
  </si>
  <si>
    <t>CAGR</t>
  </si>
  <si>
    <t>Agricultural yields (Ton of cane / planted hectare)</t>
  </si>
  <si>
    <t>Production Mix</t>
  </si>
  <si>
    <t>Average Sugar price (R$ / Tn)</t>
  </si>
  <si>
    <t>Average Ethanol price (R$ / cbm)</t>
  </si>
  <si>
    <t>Working Capital Change</t>
  </si>
  <si>
    <t>Profitability (%)</t>
  </si>
  <si>
    <t>Working Capital (R$ mn)</t>
  </si>
  <si>
    <t>Interest Coverage</t>
  </si>
  <si>
    <t>IPC-A</t>
  </si>
  <si>
    <t>Exchange rate (R$/US$)</t>
  </si>
  <si>
    <t>End-of-Period</t>
  </si>
  <si>
    <t>Average</t>
  </si>
  <si>
    <t>Revenue growth</t>
  </si>
  <si>
    <t>Profit After Tax</t>
  </si>
  <si>
    <t>Minorities</t>
  </si>
  <si>
    <t>Net Profit</t>
  </si>
  <si>
    <t>Net Margin</t>
  </si>
  <si>
    <t>Basic shares in issue (mn)</t>
  </si>
  <si>
    <t>Diluted shares in issue (mn)</t>
  </si>
  <si>
    <t>Diluted EPS (R$)</t>
  </si>
  <si>
    <t>Div. per share (R$)</t>
  </si>
  <si>
    <t>e = Morgan Stanley Research estimates</t>
  </si>
  <si>
    <t>Balance sheet (R$ mn)</t>
  </si>
  <si>
    <t>Assets</t>
  </si>
  <si>
    <t>Intangible Assets</t>
  </si>
  <si>
    <t>Tangible Assets</t>
  </si>
  <si>
    <t>Investments and other assets</t>
  </si>
  <si>
    <t>Total fixed assets</t>
  </si>
  <si>
    <t>Inventory</t>
  </si>
  <si>
    <t>Accounts Receivable</t>
  </si>
  <si>
    <t>Cash and Cash Equivalents</t>
  </si>
  <si>
    <t>Total assets</t>
  </si>
  <si>
    <t>Liabilities</t>
  </si>
  <si>
    <t>Total Paid in Capital</t>
  </si>
  <si>
    <t>Other Equity</t>
  </si>
  <si>
    <t>Minority Interest</t>
  </si>
  <si>
    <t>Shareholders' funds</t>
  </si>
  <si>
    <t>Gross borrowings</t>
  </si>
  <si>
    <t>Other liabilities</t>
  </si>
  <si>
    <t>Total liabilities</t>
  </si>
  <si>
    <t>CF statement (R$ mn)</t>
  </si>
  <si>
    <t>Depreciation &amp; Amortization</t>
  </si>
  <si>
    <t>Working capital movement</t>
  </si>
  <si>
    <t>Dividends paid</t>
  </si>
  <si>
    <t>CAPEX/acquisitions</t>
  </si>
  <si>
    <t>Movement in (net debt)/net cash</t>
  </si>
  <si>
    <t>Net Debt (cash)</t>
  </si>
  <si>
    <t>ROA</t>
  </si>
  <si>
    <t>ROE</t>
  </si>
  <si>
    <t>ROCE</t>
  </si>
  <si>
    <t>Capex / sales</t>
  </si>
  <si>
    <t>Working Capital / sales</t>
  </si>
  <si>
    <t>DCF</t>
  </si>
  <si>
    <t>Net revenues</t>
  </si>
  <si>
    <t>COGS</t>
  </si>
  <si>
    <t>Gross Margin</t>
  </si>
  <si>
    <t>SG&amp;A</t>
  </si>
  <si>
    <t>Depreciation</t>
  </si>
  <si>
    <t>EBITDA Margin</t>
  </si>
  <si>
    <t>Pretax Profit</t>
  </si>
  <si>
    <t>Income taxes</t>
  </si>
  <si>
    <t>Net Income</t>
  </si>
  <si>
    <t>Current Assets</t>
  </si>
  <si>
    <t>Operating cash</t>
  </si>
  <si>
    <t>Excess cash and marketable securities</t>
  </si>
  <si>
    <t>Inventories</t>
  </si>
  <si>
    <t>Total Current Assets</t>
  </si>
  <si>
    <t>check</t>
  </si>
  <si>
    <t>Capex (R$m)</t>
  </si>
  <si>
    <t>Sugar - domestic market</t>
  </si>
  <si>
    <t>Total Sugar</t>
  </si>
  <si>
    <t>Total Ethanol</t>
  </si>
  <si>
    <t>Anhydrous - domestic</t>
  </si>
  <si>
    <t>Own</t>
  </si>
  <si>
    <t>USD</t>
  </si>
  <si>
    <t>Adjusted EBITDA</t>
  </si>
  <si>
    <t>Capex</t>
  </si>
  <si>
    <t>Sugar Nybot (US$ cents/lb)</t>
  </si>
  <si>
    <t>Conversion factors</t>
  </si>
  <si>
    <t>1 kg of VHP sugar &gt; 1kg of ATR</t>
  </si>
  <si>
    <t>1 kg of white sugar &gt; 1 kg of ATR</t>
  </si>
  <si>
    <t>1 liter of anhydrous alcohol &gt; 1 kg of ATR</t>
  </si>
  <si>
    <t>1 liter of hydrated alcohol &gt; 1 kg of ATR</t>
  </si>
  <si>
    <t>Sugar - exports</t>
  </si>
  <si>
    <t>Cash, bank and investments</t>
  </si>
  <si>
    <t>Trade Accounts Receivable</t>
  </si>
  <si>
    <t>Accounts receivable long term</t>
  </si>
  <si>
    <t>Property, plant and equipment, net</t>
  </si>
  <si>
    <t>Non-Current Liabilities</t>
  </si>
  <si>
    <t>Shareholders Equity</t>
  </si>
  <si>
    <t>Legal reserves</t>
  </si>
  <si>
    <t>Total Liabilities + Equity</t>
  </si>
  <si>
    <t>SMTO3.SA,mscalc:closePriceCurrencyCalc</t>
  </si>
  <si>
    <t>CAPEX / sales</t>
  </si>
  <si>
    <t xml:space="preserve">Table of contents / Research team contact </t>
  </si>
  <si>
    <t>Model Overview</t>
  </si>
  <si>
    <t>Model Details</t>
  </si>
  <si>
    <t>Link (where to do it)</t>
  </si>
  <si>
    <t>1- Change key model inputs here --------------------------------------------------------------------------------------&gt;</t>
  </si>
  <si>
    <t>2- Update share price here ----------------------------------------------------------------------------------------------------&gt;</t>
  </si>
  <si>
    <t>Thomson:</t>
  </si>
  <si>
    <t>3- Choose an Scenario just changing the figure here --------------------------------------------------------------&gt;</t>
  </si>
  <si>
    <t xml:space="preserve"> (1= Base, 2= Bull, 3= Bear)</t>
  </si>
  <si>
    <t>4- Run the macro (to update the scenario financials and the charts) ------------------------------------------------------------------------------&gt;</t>
  </si>
  <si>
    <t>5- Current quarter (to update red lines in charts):</t>
  </si>
  <si>
    <t>2Q14</t>
  </si>
  <si>
    <t>Latin America Small &amp; Mid Cap Research Team</t>
  </si>
  <si>
    <t xml:space="preserve"> +55 (11) 3048-6039</t>
  </si>
  <si>
    <t>SMTO3-BR</t>
  </si>
  <si>
    <t>Morgan Stanley Forecasts</t>
  </si>
  <si>
    <t>Consensus Estimates</t>
  </si>
  <si>
    <t>N/A</t>
  </si>
  <si>
    <t>Previous Estimates</t>
  </si>
  <si>
    <t>Model summary</t>
  </si>
  <si>
    <t>YoY</t>
  </si>
  <si>
    <t>Consensus</t>
  </si>
  <si>
    <t>MS vs C</t>
  </si>
  <si>
    <t># shares (diluted)</t>
  </si>
  <si>
    <t>EPS (diluted, R$)</t>
  </si>
  <si>
    <t>Net debt (cash)</t>
  </si>
  <si>
    <t>WC / Revenue</t>
  </si>
  <si>
    <t>Capex / Revenue</t>
  </si>
  <si>
    <t>ROIC (%)</t>
  </si>
  <si>
    <t>EV / Revenue</t>
  </si>
  <si>
    <t>Price Target Implicit Multiples</t>
  </si>
  <si>
    <t>R$/Sh.</t>
  </si>
  <si>
    <t>2Q13</t>
  </si>
  <si>
    <t>SMTO3.SA,mstag:revenueNet,2014FY,,FYR</t>
  </si>
  <si>
    <t>SMTO3.SA,mscalc:netIncome,2014FY,,FYR</t>
  </si>
  <si>
    <t>SMTO3.SA,mstag:revenueNet,2016FY,,FYR</t>
  </si>
  <si>
    <t>SMTO3.SA,mscalc:ebitda,2016FY,,FYR</t>
  </si>
  <si>
    <t>SMTO3.SA,mstag:revenueNet,2015FY,,FYR</t>
  </si>
  <si>
    <t>SMTO3.SA,mscalc:ebitda,2014FY,,FYR</t>
  </si>
  <si>
    <t>SMTO3.SA,mscalc:ebitda,2015FY,,FYR</t>
  </si>
  <si>
    <t>SMTO3.SA,mscalc:netIncome,2016FY,,FYR</t>
  </si>
  <si>
    <t>SMTO3.SA,mscalc:netIncome,2015FY,,FYR</t>
  </si>
  <si>
    <t>DCF Valuation</t>
  </si>
  <si>
    <t>+ Depreciation</t>
  </si>
  <si>
    <t>- Capex</t>
  </si>
  <si>
    <t>FCF Growth</t>
  </si>
  <si>
    <t>Discounted FCF</t>
  </si>
  <si>
    <t>Period</t>
  </si>
  <si>
    <t>Terminal Growth Rate</t>
  </si>
  <si>
    <t>Tax Rate</t>
  </si>
  <si>
    <t>Beta</t>
  </si>
  <si>
    <t>Rf</t>
  </si>
  <si>
    <t>Rm - Rf</t>
  </si>
  <si>
    <t>Kd (1-t)</t>
  </si>
  <si>
    <t>Sensitivity analysis (G, EBITDA margin in terminal value)</t>
  </si>
  <si>
    <t>Shareholders' Structure</t>
  </si>
  <si>
    <t>Mn Shares</t>
  </si>
  <si>
    <t>Since</t>
  </si>
  <si>
    <t>Title </t>
  </si>
  <si>
    <t>Position </t>
  </si>
  <si>
    <t>LJN Participações S.A.</t>
  </si>
  <si>
    <t>Indirect Controllers</t>
  </si>
  <si>
    <t>Administration</t>
  </si>
  <si>
    <t>Treasury shares</t>
  </si>
  <si>
    <t>João Ometto Participações S.A.</t>
  </si>
  <si>
    <t>Luiz Ometto Participações S.A.</t>
  </si>
  <si>
    <t>Nelson Ometto Participações Ltda</t>
  </si>
  <si>
    <t>Nelson Marques Ferreira Ometto</t>
  </si>
  <si>
    <t>Murilo César Lemos dos Santos Passos</t>
  </si>
  <si>
    <t>Vice-Chairman</t>
  </si>
  <si>
    <t>Independent Member</t>
  </si>
  <si>
    <t>Agroindustrial Executive Officer</t>
  </si>
  <si>
    <t>CFO and IRO</t>
  </si>
  <si>
    <t>Administrative Officer</t>
  </si>
  <si>
    <t>Agroindustrial Officer - Iracema</t>
  </si>
  <si>
    <t>Commercial and Logistics Officer</t>
  </si>
  <si>
    <t>http://ir.saomartinho.ind.br/saomartinho/web/conteudo_en.asp?idioma=1&amp;conta=44&amp;tipo=25201</t>
  </si>
  <si>
    <t>Model inputs</t>
  </si>
  <si>
    <t>Previous</t>
  </si>
  <si>
    <t>Change</t>
  </si>
  <si>
    <t>SCENARIOS - MASTER SWITCH</t>
  </si>
  <si>
    <t>PT:</t>
  </si>
  <si>
    <t>3Q11</t>
  </si>
  <si>
    <t>4Q11</t>
  </si>
  <si>
    <t>1Q12</t>
  </si>
  <si>
    <t>2Q12</t>
  </si>
  <si>
    <t>3Q12</t>
  </si>
  <si>
    <t>4Q12</t>
  </si>
  <si>
    <t>1Q13</t>
  </si>
  <si>
    <t>3Q13</t>
  </si>
  <si>
    <t>4Q13</t>
  </si>
  <si>
    <t>1Q14</t>
  </si>
  <si>
    <t>Hardcoded:</t>
  </si>
  <si>
    <t>Javier.Martinez.Olcoz@morganstanley.com</t>
  </si>
  <si>
    <t>* Javier Martinez de Olcoz Cerdan</t>
  </si>
  <si>
    <t>MODEL CONTENT</t>
  </si>
  <si>
    <t>PRICE SOURCE</t>
  </si>
  <si>
    <t>COLOR CODE</t>
  </si>
  <si>
    <t>SECTION</t>
  </si>
  <si>
    <t>Actual</t>
  </si>
  <si>
    <t>Estimated</t>
  </si>
  <si>
    <t xml:space="preserve"> Model Input</t>
  </si>
  <si>
    <t>Alternative Model Input</t>
  </si>
  <si>
    <t>Linked to Input</t>
  </si>
  <si>
    <t>Highlight</t>
  </si>
  <si>
    <t>Doubts / Problems</t>
  </si>
  <si>
    <t>Model Control</t>
  </si>
  <si>
    <t>Felipe Vicchiato</t>
  </si>
  <si>
    <t>MS vs. Consensus Estimates</t>
  </si>
  <si>
    <t>MS vs. Consensus</t>
  </si>
  <si>
    <t>MS vs. Guidance</t>
  </si>
  <si>
    <t>Estimates Review</t>
  </si>
  <si>
    <t>2014FY</t>
  </si>
  <si>
    <t>2015FY</t>
  </si>
  <si>
    <t>2016FY</t>
  </si>
  <si>
    <t>2017FY</t>
  </si>
  <si>
    <t>New Estimates</t>
  </si>
  <si>
    <t>CAPEX / Net Revenues</t>
  </si>
  <si>
    <t>Net Debt / EBITDA</t>
  </si>
  <si>
    <t>Company Guidance</t>
  </si>
  <si>
    <t>New vs Previous Estimates</t>
  </si>
  <si>
    <t>Source: Company Data, Morgan Stanley Research.</t>
  </si>
  <si>
    <t>e = Morgan Stanley Research Estimates.</t>
  </si>
  <si>
    <t>Controls</t>
  </si>
  <si>
    <t>Balance Sheet (Assets = Liabilities)</t>
  </si>
  <si>
    <t>Profit and Loss Statement (Add Up)</t>
  </si>
  <si>
    <t>Cash Flow (Add Up)</t>
  </si>
  <si>
    <t>Net Debt (Add Up from Cash Flow)</t>
  </si>
  <si>
    <t>EBITDA (Model = Release)</t>
  </si>
  <si>
    <t>Net Income (Model = Released)</t>
  </si>
  <si>
    <t>Balance Sheet (Model = Released)</t>
  </si>
  <si>
    <t>Dividend per share (Model = Released)</t>
  </si>
  <si>
    <t>Ratios - Using Current Price</t>
  </si>
  <si>
    <t>Share Price (end of year)</t>
  </si>
  <si>
    <t>Enterprise Value</t>
  </si>
  <si>
    <t>P/E (effective tax rate)</t>
  </si>
  <si>
    <t>FCF Yield</t>
  </si>
  <si>
    <t>Share Price</t>
  </si>
  <si>
    <t>Operating Working Capital</t>
  </si>
  <si>
    <t>Increase in Working Capital</t>
  </si>
  <si>
    <t>Operating Cash Flow</t>
  </si>
  <si>
    <t>Seasonality Charts</t>
  </si>
  <si>
    <t xml:space="preserve">Income, CF (R$ mn) vs sugar price </t>
  </si>
  <si>
    <t>1Q07</t>
  </si>
  <si>
    <t>2Q08</t>
  </si>
  <si>
    <t>2Q07</t>
  </si>
  <si>
    <t>3Q07</t>
  </si>
  <si>
    <t>4Q07</t>
  </si>
  <si>
    <t>1Q08</t>
  </si>
  <si>
    <t>3Q08</t>
  </si>
  <si>
    <t>4Q08</t>
  </si>
  <si>
    <t>1Q09</t>
  </si>
  <si>
    <t>2Q09</t>
  </si>
  <si>
    <t>3Q09</t>
  </si>
  <si>
    <t>4Q09</t>
  </si>
  <si>
    <t>1Q10</t>
  </si>
  <si>
    <t>2Q10</t>
  </si>
  <si>
    <t>3Q10</t>
  </si>
  <si>
    <t>4Q10</t>
  </si>
  <si>
    <t>1Q11</t>
  </si>
  <si>
    <t>2Q11</t>
  </si>
  <si>
    <t>3Q14</t>
  </si>
  <si>
    <t>4Q14</t>
  </si>
  <si>
    <t>Red Lines (do not delete)</t>
  </si>
  <si>
    <t>1st Line</t>
  </si>
  <si>
    <t>2nd Line</t>
  </si>
  <si>
    <t>3rd Line</t>
  </si>
  <si>
    <t>Mesure (high)</t>
  </si>
  <si>
    <t>2Q15e</t>
  </si>
  <si>
    <t>3Q15e</t>
  </si>
  <si>
    <t>4Q15e</t>
  </si>
  <si>
    <t>1Q16e</t>
  </si>
  <si>
    <t>2Q16e</t>
  </si>
  <si>
    <t>3Q16e</t>
  </si>
  <si>
    <t>4Q16e</t>
  </si>
  <si>
    <t>1Q17e</t>
  </si>
  <si>
    <t>2Q17e</t>
  </si>
  <si>
    <t>3Q17e</t>
  </si>
  <si>
    <t>4Q17e</t>
  </si>
  <si>
    <t>1Q18e</t>
  </si>
  <si>
    <t>2Q18e</t>
  </si>
  <si>
    <t>3Q18e</t>
  </si>
  <si>
    <t>4Q18e</t>
  </si>
  <si>
    <t>1Q19e</t>
  </si>
  <si>
    <t>2Q19e</t>
  </si>
  <si>
    <t>3Q19e</t>
  </si>
  <si>
    <t>4Q19e</t>
  </si>
  <si>
    <t>1Q20e</t>
  </si>
  <si>
    <t>2Q20e</t>
  </si>
  <si>
    <t>3Q20e</t>
  </si>
  <si>
    <t>4Q20e</t>
  </si>
  <si>
    <t>1Q21e</t>
  </si>
  <si>
    <t>2Q21e</t>
  </si>
  <si>
    <t>3Q21e</t>
  </si>
  <si>
    <t>4Q21e</t>
  </si>
  <si>
    <t>INSTRUCTIONS TO UPDATE THE MODEL</t>
  </si>
  <si>
    <t>QUARTERLY ESTIMATES</t>
  </si>
  <si>
    <t>SCENARIOS (Key Debates Highlighted)</t>
  </si>
  <si>
    <t>Comments</t>
  </si>
  <si>
    <t>Current Price:</t>
  </si>
  <si>
    <t>Price Target:</t>
  </si>
  <si>
    <t>Alternative Source</t>
  </si>
  <si>
    <t>MORGAN STANLEY RESEARCH TEAM</t>
  </si>
  <si>
    <t>2. QUARTERLY PROFIT &amp; LOSS STATEMENT - R$ Mn (excel linked)</t>
  </si>
  <si>
    <t>Crushing ('000 tons)</t>
  </si>
  <si>
    <t>Sugar ('000 tons)</t>
  </si>
  <si>
    <t>Ethanol ('000 m³)</t>
  </si>
  <si>
    <t>Cogeneration ('000 MWh)</t>
  </si>
  <si>
    <t>Mix Sugar/Ethanol</t>
  </si>
  <si>
    <t>Mix Anhydrous/Hydrous</t>
  </si>
  <si>
    <t>Crushed Sugarcane (000 tn)</t>
  </si>
  <si>
    <t>Average TRS (kg/tn)</t>
  </si>
  <si>
    <t>Ethanol (Anhydrous and Hydrous, 000 m3)</t>
  </si>
  <si>
    <t>Cogeneration (000 MWh)</t>
  </si>
  <si>
    <t>Growth%</t>
  </si>
  <si>
    <t>1Q15</t>
  </si>
  <si>
    <t>Weight</t>
  </si>
  <si>
    <t>Land Valuation</t>
  </si>
  <si>
    <t xml:space="preserve">Current Multple EV/Tn </t>
  </si>
  <si>
    <t>Crushing capacity - Mn tn</t>
  </si>
  <si>
    <t>Cogeneration (MWh)</t>
  </si>
  <si>
    <t>Cogen price</t>
  </si>
  <si>
    <t>Ethanol price</t>
  </si>
  <si>
    <t>2007 (IPO)</t>
  </si>
  <si>
    <t>Land value</t>
  </si>
  <si>
    <t>EV/Ton of cane - capacity (R$/ton)</t>
  </si>
  <si>
    <t>EV/Ton of cane - capacity (US$/ton)</t>
  </si>
  <si>
    <t>Cogeneration (R$/MWh))</t>
  </si>
  <si>
    <t>EBITDA Check</t>
  </si>
  <si>
    <t>Net Income Check</t>
  </si>
  <si>
    <t>Charts Support</t>
  </si>
  <si>
    <t>3. CASH FLOW</t>
  </si>
  <si>
    <t>Crushed Sugarcane (‘000 tons)</t>
  </si>
  <si>
    <t>Third Parties</t>
  </si>
  <si>
    <t>Mechanized Harvest</t>
  </si>
  <si>
    <t>Agricultural Yield (ton/ha)</t>
  </si>
  <si>
    <t>Average TRS (kg/ton)</t>
  </si>
  <si>
    <t>Anhydrous Ethanol ('000 m3)</t>
  </si>
  <si>
    <t>Hydrous Ethanol ('000 m3)</t>
  </si>
  <si>
    <t>Ribonucleic Acid (RNA) Sodium Salt ('000 Kg)</t>
  </si>
  <si>
    <t>TRS Produced</t>
  </si>
  <si>
    <t>Book EBITDA</t>
  </si>
  <si>
    <t>Non Recurring Operating Income (Expense)</t>
  </si>
  <si>
    <t>Biological Assets</t>
  </si>
  <si>
    <t>Equity Income</t>
  </si>
  <si>
    <t>Adj, EBITDA</t>
  </si>
  <si>
    <t>Adj. EBITDA</t>
  </si>
  <si>
    <t>Adj. EBITDA (Model = Release)</t>
  </si>
  <si>
    <t>Adj. EBITDA Margin</t>
  </si>
  <si>
    <t>Additional Disclaimers, Footnotes and Foreign Exchange Rates (if applicable)</t>
  </si>
  <si>
    <t>Pricing and index data provided by Reuters</t>
  </si>
  <si>
    <t>e = Morgan Stanley Estimates. All other values are actual.</t>
  </si>
  <si>
    <t>p = proforma</t>
  </si>
  <si>
    <t>NA = Not Available, NM = Not Meaningful, ND = Not Disclosed</t>
  </si>
  <si>
    <t>Ratios for companies are based on the currency reported by the companies unless explicitly noted.</t>
  </si>
  <si>
    <t>If, for any period selected, there is no data available for all companies in the results set, this column will not be displayed.</t>
  </si>
  <si>
    <t>The companies surveyed in response to your request are limited to those covered by Morgan Stanley Research.</t>
  </si>
  <si>
    <t>Although the information provided to you on this site is obtained or compiled from sources we believe to be reliable, Morgan Stanley cannot and does not guarantee the accuracy, validity, timeliness or completeness of any information or data made available to you for any particular purpose.</t>
  </si>
  <si>
    <t>If applicable, ModelWare data, Consensus data, or other third party data (e.g. Share price, Foreign Ownership) have been converted based on the exchange rates listed above.</t>
  </si>
  <si>
    <t>The Global Industry Classification Standard ("GICS") was developed by and is the exclusive property of Morgan Stanley Capital International Inc. ("MSCI") and Standard &amp; Poor's ("S&amp;P"). GICS is a service mark of MSCI and S&amp;P and has been licensed for use by Morgan Stanley.</t>
  </si>
  <si>
    <t>The research and other information provided on this site speaks only as of its date. We have not undertaken, and will not undertake, any duty to update the research or information contained on this site or otherwise advise you of changes in our opinion or in the research or information. Continued access to the research and other information is provided for your convenience only, and is not a republication or reconfirmation of the opinions or information contained therein.</t>
  </si>
  <si>
    <t>Morgan Stanley does and seeks to do business with companies covered in its research reports. As a result, investors should be aware that the firm may have a conflict of interest that could affect the objectivity of this report. Investors should consider this report as only a single factor in making their investment decision.</t>
  </si>
  <si>
    <t>For important disclosure information related to any of the companies mentioned on this page, please refer to the latest research report or visit the Morgan Stanley disclosures website at www.morganstanley.com/researchdisclosures.</t>
  </si>
  <si>
    <t>Morgan Stanley does and seeks to do business with companies covered in Morgan Stanley Research. As a result, investors should be aware that the firm may have a conflict of interest that could affect the objectivity of Morgan Stanley Research. Investors should consider Morgan Stanley Research as only a single factor in making their investment decision.</t>
  </si>
  <si>
    <t>For important disclosures, stock price charts and equity rating histories regarding companies that are the subject of this report, please see the Morgan Stanley Research Disclosure Website at www.morganstanley.com/researchdisclosures, or contact your investment representative or Morgan Stanley Research at 1585 Broadway, (Attention: Research Management), New York, NY, 10036 USA.</t>
  </si>
  <si>
    <t>Analyst Certification</t>
  </si>
  <si>
    <t>The following analysts hereby certify that their views about the companies and their securities discussed in this report are accurately expressed and that they have not received and will not receive direct or indirect compensation in exchange for expressing specific recommendations or views in this report: Javier Martinez de Olcoz Cerdan.</t>
  </si>
  <si>
    <t>Unless otherwise stated, the individuals listed on the cover page of this report are research analysts.</t>
  </si>
  <si>
    <t>Global Research Conflict Management Policy</t>
  </si>
  <si>
    <t>Morgan Stanley Research has been published in accordance with our conflict management policy, which is available at www.morganstanley.com/institutional/research/conflictpolicies.</t>
  </si>
  <si>
    <t>Important US Regulatory Disclosures on Subject Companies</t>
  </si>
  <si>
    <t>In the next 3 months, Morgan Stanley expects to receive or intends to seek compensation for investment banking services from Sao Martinho SA.</t>
  </si>
  <si>
    <t>Within the last 12 months, Morgan Stanley has received compensation for products and services other than investment banking services from Sao Martinho SA.</t>
  </si>
  <si>
    <t>Within the last 12 months, Morgan Stanley has provided or is providing investment banking services to, or has an investment banking client relationship with, the following company: Sao Martinho SA.</t>
  </si>
  <si>
    <t>Within the last 12 months, Morgan Stanley has either provided or is providing non-investment banking, securities-related services to and/or in the past has entered into an agreement to provide services or has a client relationship with the following company: Sao Martinho SA.</t>
  </si>
  <si>
    <t>Certain disclosures listed above are also for compliance with applicable regulations in non-US jurisdictions.</t>
  </si>
  <si>
    <t>STOCK RATINGS</t>
  </si>
  <si>
    <t>Morgan Stanley uses a relative rating system using terms such as Overweight, Equal-weight, Not-Rated or Underweight (see definitions below). Morgan Stanley does not assign ratings of Buy, Hold or Sell to the stocks we cover. Overweight, Equal-weight, Not-Rated and Underweight are not the equivalent of buy, hold and sell. Investors should carefully read the definitions of all ratings used in Morgan Stanley Research. In addition, since Morgan Stanley Research contains more complete information concerning the analyst's views, investors should carefully read Morgan Stanley Research, in its entirety, and not infer the contents from the rating alone. In any case, ratings (or research) should not be used or relied upon as investment advice. An investor's decision to buy or sell a stock should depend on individual circumstances (such as the investor's existing holdings) and other considerations.</t>
  </si>
  <si>
    <t>Global Stock Ratings Distribution</t>
  </si>
  <si>
    <t>For disclosure purposes only (in accordance with NASD and NYSE requirements), we include the category headings of Buy, Hold, and Sell alongside our ratings of Overweight, Equal-weight, Not-Rated and Underweight. Morgan Stanley does not assign ratings of Buy, Hold or Sell to the stocks we cover. Overweight, Equal-weight, Not-Rated and Underweight are not the equivalent of buy, hold, and sell but represent recommended relative weightings (see definitions below). To satisfy regulatory requirements, we correspond Overweight, our most positive stock rating, with a buy recommendation; we correspond Equal-weight and Not-Rated to hold and Underweight to sell recommendations, respectively.</t>
  </si>
  <si>
    <t>Coverage Universe</t>
  </si>
  <si>
    <t>Investment Banking Clients (IBC)</t>
  </si>
  <si>
    <t>Stock Rating Category</t>
  </si>
  <si>
    <t>% of Total</t>
  </si>
  <si>
    <t>% of Total IBC</t>
  </si>
  <si>
    <t>% of Rating Category</t>
  </si>
  <si>
    <t>Overweight/Buy</t>
  </si>
  <si>
    <t>Equal-weight/Hold</t>
  </si>
  <si>
    <t>Not-Rated/Hold</t>
  </si>
  <si>
    <t>Underweight/Sell</t>
  </si>
  <si>
    <t>Analyst Stock Ratings</t>
  </si>
  <si>
    <t>Overweight (O or Over) - The stock's total return is expected to exceed the total return of the relevant country MSCI Index or the average total return of the analyst's industry (or industry team's) coverage universe, on a risk-adjusted basis over the next 12-18 months.</t>
  </si>
  <si>
    <t>Equal-weight (E or Equal) - The stock's total return is expected to be in line with the total return of the relevant country MSCI Index or the average total return of the analyst's industry (or industry team's) coverage universe, on a risk-adjusted basis over the next 12-18 months.</t>
  </si>
  <si>
    <t>Not-Rated (NR) - Currently the analyst does not have adequate conviction about the stock's total return relative to the relevant country MSCI Index or the average total return of the analyst's industry (or industry team's) coverage universe, on a risk-adjusted basis, over the next 12-18 months.</t>
  </si>
  <si>
    <t>Underweight (U or Under) - The stock's total return is expected to be below the total return of the relevant country MSCI Index or the average total return of the analyst's industry (or industry team's) coverage universe, on a risk-adjusted basis, over the next 12-18 months.</t>
  </si>
  <si>
    <t>Unless otherwise specified, the time frame for price targets included in Morgan Stanley Research is 12 to 18 months.</t>
  </si>
  <si>
    <t>Analyst Industry Views</t>
  </si>
  <si>
    <t>Attractive (A): The analyst expects the performance of his or her industry coverage universe over the next 12-18 months to be attractive vs. the relevant broad market benchmark, as indicated below.</t>
  </si>
  <si>
    <t>In-Line (I): The analyst expects the performance of his or her industry coverage universe over the next 12-18 months to be in line with the relevant broad market benchmark, as indicated below.</t>
  </si>
  <si>
    <t>Cautious (C): The analyst views the performance of his or her industry coverage universe over the next 12-18 months with caution vs. the relevant broad market benchmark, as indicated below.</t>
  </si>
  <si>
    <t>Benchmarks for each region are as follows: North America - S&amp;P 500; Latin America - relevant MSCI country index or MSCI Latin America Index; Europe - MSCI Europe; Japan - TOPIX; Asia - relevant MSCI country index or MSCI sub-regional index or MSCI AC Asia Pacific ex Japan Index.</t>
  </si>
  <si>
    <t>.</t>
  </si>
  <si>
    <t>Stock Price, Price Target and Rating History (See Rating Definitions)</t>
  </si>
  <si>
    <t>Important Disclosures for Morgan Stanley Smith Barney LLC Customers</t>
  </si>
  <si>
    <t>Important disclosures regarding the relationship between the companies that are the subject of Morgan Stanley Research and Morgan Stanley Smith Barney LLC or Morgan Stanley or any of their affiliates, are available on the Morgan Stanley Wealth Management disclosure website at www.morganstanley.com/online/researchdisclosures. For Morgan Stanley specific disclosures, you may refer to www.morganstanley.com/researchdisclosures.</t>
  </si>
  <si>
    <t>Each Morgan Stanley Equity Research report is reviewed and approved on behalf of Morgan Stanley Smith Barney LLC. This review and approval is conducted by the same person who reviews the Equity Research report on behalf of Morgan Stanley. This could create a conflict of interest.</t>
  </si>
  <si>
    <t>Other Important Disclosures</t>
  </si>
  <si>
    <t>Morgan Stanley is not acting as a municipal advisor and the opinions or views contained herein are not intended to be, and do not constitute, advice within the meaning of Section 975 of the Dodd-Frank Wall Street Reform and Consumer Protection Act.</t>
  </si>
  <si>
    <t>Morgan Stanley produces an equity research product called a "Tactical Idea." Views contained in a "Tactical Idea" on a particular stock may be contrary to the recommendations or views expressed in research on the same stock. This may be the result of differing time horizons, methodologies, market events, or other factors. For all research available on a particular stock, please contact your sales representative or go to Matrix at http://www.morganstanley.com/matrix.</t>
  </si>
  <si>
    <t>Morgan Stanley Research is provided to our clients through our proprietary research portal on Matrix and also distributed electronically by Morgan Stanley to clients. Certain, but not all, Morgan Stanley Research products are also made available to clients through third-party vendors or redistributed to clients through alternate electronic means as a convenience. For access to all available Morgan Stanley Research, please contact your sales representative or go to Matrix at http://www.morganstanley.com/matrix.</t>
  </si>
  <si>
    <t>Any access and/or use of Morgan Stanley Research is subject to Morgan Stanley's Terms of Use (http://www.morganstanley.com/terms.html). By accessing and/or using Morgan Stanley Research, you are indicating that you have read and agree to be bound by our Terms of Use (http://www.morganstanley.com/terms.html). In addition you consent to Morgan Stanley processing your personal data and using cookies in accordance with our Privacy Policy and our Global Cookies Policy (http://www.morganstanley.com/privacy_pledge.html), including for the purposes of setting your preferences and to collect readership data so that we can deliver better and more personalized service and products to you. To find out more information about how Morgan Stanley processes personal data, how we use cookies and how to reject cookies see our Privacy Policy and our Global Cookies Policy (http://www.morganstanley.com/privacy_pledge.html).</t>
  </si>
  <si>
    <t>If you do not agree to our Terms of Use and/or if you do not wish to provide your consent to Morgan Stanley processing your personal data or using cookies please do not access our research.</t>
  </si>
  <si>
    <t>Morgan Stanley Research does not provide individually tailored investment advice. Morgan Stanley Research has been prepared without regard to the circumstances and objectives of those who receive it. Morgan Stanley recommends that investors independently evaluate particular investments and strategies, and encourages investors to seek the advice of a financial adviser. The appropriateness of an investment or strategy will depend on an investor's circumstances and objectives. The securities, instruments, or strategies discussed in Morgan Stanley Research may not be suitable for all investors, and certain investors may not be eligible to purchase or participate in some or all of them. Morgan Stanley Research is not an offer to buy or sell or the solicitation of an offer to buy or sell any security/instrument or to participate in any particular trading strategy. The value of and income from your investments may vary because of changes in interest rates, foreign exchange rates, default rates, prepayment rates, securities/instruments prices, market indexes, operational or financial conditions of companies or other factors. There may be time limitations on the exercise of options or other rights in securities/instruments transactions. Past performance is not necessarily a guide to future performance. Estimates of future performance are based on assumptions that may not be realized. If provided, and unless otherwise stated, the closing price on the cover page is that of the primary exchange for the subject company's securities/instruments.</t>
  </si>
  <si>
    <t>The fixed income research analysts, strategists or economists principally responsible for the preparation of Morgan Stanley Research have received compensation based upon various factors, including quality, accuracy and value of research, firm profitability or revenues (which include fixed income trading and capital markets profitability or revenues), client feedback and competitive factors. Fixed Income Research analysts', strategists' or economists' compensation is not linked to investment banking or capital markets transactions performed by Morgan Stanley or the profitability or revenues of particular trading desks.</t>
  </si>
  <si>
    <t>The "Important US Regulatory Disclosures on Subject Companies" section in Morgan Stanley Research lists all companies mentioned where Morgan Stanley owns 1% or more of a class of common equity securities of the companies. For all other companies mentioned in Morgan Stanley Research, Morgan Stanley may have an investment of less than 1% in securities/instruments or derivatives of securities/instruments of companies and may trade them in ways different from those discussed in Morgan Stanley Research. Employees of Morgan Stanley not involved in the preparation of Morgan Stanley Research may have investments in securities/instruments or derivatives of securities/instruments of companies mentioned and may trade them in ways different from those discussed in Morgan Stanley Research. Derivatives may be issued by Morgan Stanley or associated persons.</t>
  </si>
  <si>
    <t>With the exception of information regarding Morgan Stanley, Morgan Stanley Research is based on public information. Morgan Stanley makes every effort to use reliable, comprehensive information, but we make no representation that it is accurate or complete. We have no obligation to tell you when opinions or information in Morgan Stanley Research change apart from when we intend to discontinue equity research coverage of a subject company. Facts and views presented in Morgan Stanley Research have not been reviewed by, and may not reflect information known to, professionals in other Morgan Stanley business areas, including investment banking personnel.</t>
  </si>
  <si>
    <t>Morgan Stanley Research personnel may participate in company events such as site visits and are generally prohibited from accepting payment by the company of associated expenses unless pre-approved by authorized members of Research management.</t>
  </si>
  <si>
    <t>Certain information in Morgan Stanley Research was sourced by employees of the Shanghai Representative Office of Morgan Stanley Asia Limited for the use of Morgan Stanley Asia Limited.</t>
  </si>
  <si>
    <t>The information in Morgan Stanley Research is being communicated by Morgan Stanley &amp; Co. International plc (DIFC Branch), regulated by the Dubai Financial Services Authority (the DFSA), and is directed at Professional Clients only, as defined by the DFSA. The financial products or financial services to which this research relates will only be made available to a customer who we are satisfied meets the regulatory criteria to be a Professional Client.</t>
  </si>
  <si>
    <t>The information in Morgan Stanley Research is being communicated by Morgan Stanley &amp; Co. International plc (QFC Branch), regulated by the Qatar Financial Centre Regulatory Authority (the QFCRA), and is directed at business customers and market counterparties only and is not intended for Retail Customers as defined by the QFCRA.</t>
  </si>
  <si>
    <t>As required by the Capital Markets Board of Turkey, investment information, comments and recommendations stated here, are not within the scope of investment advisory activity. Investment advisory service is provided exclusively to persons based on their risk and income preferences by the authorized firms. Comments and recommendations stated here are general in nature. These opinions may not fit to your financial status, risk and return preferences. For this reason, to make an investment decision by relying solely to this information stated here may not bring about outcomes that fit your expectations.</t>
  </si>
  <si>
    <t>Morgan Stanley Research, or any portion thereof may not be reprinted, sold or redistributed without the written consent of Morgan Stanley.</t>
  </si>
  <si>
    <t>R$ / share</t>
  </si>
  <si>
    <t>+/- Change in WK</t>
  </si>
  <si>
    <t>+/- Others</t>
  </si>
  <si>
    <t>TV contribution to Base Case</t>
  </si>
  <si>
    <t>Wacc</t>
  </si>
  <si>
    <t>WACC calculation</t>
  </si>
  <si>
    <t>Current</t>
  </si>
  <si>
    <t>Dif %</t>
  </si>
  <si>
    <t>Control</t>
  </si>
  <si>
    <t>Annual = sum (quarters)</t>
  </si>
  <si>
    <t>Rodrigo Tetti Garcia</t>
  </si>
  <si>
    <t>Quaterly Charts</t>
  </si>
  <si>
    <t>For chart support (do not delete)</t>
  </si>
  <si>
    <t>Forecast Results</t>
  </si>
  <si>
    <t>Macroeconomic Assumptions</t>
  </si>
  <si>
    <t>1. OPERATING INDICATORS QUARTERLY ($R mn)</t>
  </si>
  <si>
    <t>Annual Historical Performance</t>
  </si>
  <si>
    <t>Quaterly Historical Performance</t>
  </si>
  <si>
    <t>EV / Tn (US$)</t>
  </si>
  <si>
    <t>CPI - US</t>
  </si>
  <si>
    <t>2Q15</t>
  </si>
  <si>
    <t>3Q15</t>
  </si>
  <si>
    <t>4Q15</t>
  </si>
  <si>
    <t>1Q16</t>
  </si>
  <si>
    <t>2Q16</t>
  </si>
  <si>
    <t>3Q16</t>
  </si>
  <si>
    <t>4Q16</t>
  </si>
  <si>
    <t>Stock rating</t>
  </si>
  <si>
    <t>1Q17</t>
  </si>
  <si>
    <t>2Q17</t>
  </si>
  <si>
    <t>3Q17</t>
  </si>
  <si>
    <t>4Q17</t>
  </si>
  <si>
    <t>1Q18</t>
  </si>
  <si>
    <t>2Q18</t>
  </si>
  <si>
    <t>3Q18</t>
  </si>
  <si>
    <t>4Q18</t>
  </si>
  <si>
    <t>1Q19</t>
  </si>
  <si>
    <t>2Q19</t>
  </si>
  <si>
    <t>3Q19</t>
  </si>
  <si>
    <t>4Q19</t>
  </si>
  <si>
    <t>1Q20</t>
  </si>
  <si>
    <t>2Q20</t>
  </si>
  <si>
    <t>3Q20</t>
  </si>
  <si>
    <t>4Q20</t>
  </si>
  <si>
    <t>1Q21</t>
  </si>
  <si>
    <t>2Q21</t>
  </si>
  <si>
    <t>3Q21</t>
  </si>
  <si>
    <t>4Q21</t>
  </si>
  <si>
    <t>1Q22</t>
  </si>
  <si>
    <t>2Q22</t>
  </si>
  <si>
    <t>3Q22</t>
  </si>
  <si>
    <t>Other financials results</t>
  </si>
  <si>
    <t>Stock options granted</t>
  </si>
  <si>
    <t>Production volume</t>
  </si>
  <si>
    <t>- Domestic</t>
  </si>
  <si>
    <t>- Exports</t>
  </si>
  <si>
    <t>Average price</t>
  </si>
  <si>
    <t>Sugar (R$/ton)</t>
  </si>
  <si>
    <t>Hydrous ethanol ('000 m3)</t>
  </si>
  <si>
    <t>Hydrous ethanol (R$/m3)</t>
  </si>
  <si>
    <t>Anhydrous ethanol (R$/m3)</t>
  </si>
  <si>
    <t>Cogeneration (R$/MWh)</t>
  </si>
  <si>
    <r>
      <t>Anhydrous ethanol ('000 m</t>
    </r>
    <r>
      <rPr>
        <vertAlign val="superscript"/>
        <sz val="8"/>
        <rFont val="Arial"/>
        <family val="2"/>
      </rPr>
      <t>3</t>
    </r>
    <r>
      <rPr>
        <sz val="8"/>
        <rFont val="Arial"/>
        <family val="2"/>
      </rPr>
      <t>)</t>
    </r>
  </si>
  <si>
    <t>Gross margin (%)</t>
  </si>
  <si>
    <t>Other operating (expense)/ income, Net</t>
  </si>
  <si>
    <t>Fully dedicated to ethanol and energy production</t>
  </si>
  <si>
    <t>Other comments</t>
  </si>
  <si>
    <t>OPERATING METRICS</t>
  </si>
  <si>
    <t>Mix:</t>
  </si>
  <si>
    <t>Anhydrous ethanol</t>
  </si>
  <si>
    <t>Hydrous ethanol</t>
  </si>
  <si>
    <t>Average prices</t>
  </si>
  <si>
    <t>- Domestic (White)</t>
  </si>
  <si>
    <t>- Exports (VHP)</t>
  </si>
  <si>
    <t>Sales (R$ mn)</t>
  </si>
  <si>
    <t xml:space="preserve">Total sugar </t>
  </si>
  <si>
    <t xml:space="preserve">Others </t>
  </si>
  <si>
    <t>Other adjustments</t>
  </si>
  <si>
    <t>Investments and biological assets</t>
  </si>
  <si>
    <t>Intangible assets</t>
  </si>
  <si>
    <t>Ethanol ('000 cbm)</t>
  </si>
  <si>
    <t>TRS ('000 tons) - calculated</t>
  </si>
  <si>
    <t>TRS ('000 tons) - reported</t>
  </si>
  <si>
    <t>Growth (%)</t>
  </si>
  <si>
    <t>Sugar ('000 tons of ATR)</t>
  </si>
  <si>
    <t>Ethanol ('000 tons of ATR)</t>
  </si>
  <si>
    <t>DO NOT CHANGE ROWS HERE [MACRO PASTES THIS TAB FOR BULL/BEAR/BASE TABS]</t>
  </si>
  <si>
    <t>1. PRICES</t>
  </si>
  <si>
    <t>Sugar  (US$cents/lb)</t>
  </si>
  <si>
    <t>Anhydrous Ethanol (R$/ltr)</t>
  </si>
  <si>
    <t>Energy (Cogen) (R$/MW)</t>
  </si>
  <si>
    <t>TRS (kg/ton)</t>
  </si>
  <si>
    <t>6. MACROECONOMICS</t>
  </si>
  <si>
    <t>7. TERMINAL GROWTH RATE (DCF)</t>
  </si>
  <si>
    <t>G in DCF</t>
  </si>
  <si>
    <t>8. SOP Valuation Assumptions</t>
  </si>
  <si>
    <t>9. DIVIDENDS</t>
  </si>
  <si>
    <t>Dividend pay out</t>
  </si>
  <si>
    <t>Hydrated Ethanol (R$/cbm)</t>
  </si>
  <si>
    <t>* Acumulated Own</t>
  </si>
  <si>
    <t>* Acumulated Crushed Cane ('000 tons)</t>
  </si>
  <si>
    <t>* Acumulated Third Parties</t>
  </si>
  <si>
    <t>Mechanized Harvest (%)</t>
  </si>
  <si>
    <t>* Mechanized Harvest (%) Acumulated Average</t>
  </si>
  <si>
    <t>* Acumulated Average Agricultural Yield (ton/ha)</t>
  </si>
  <si>
    <t>* Acumulated Average TRS (kg/ton)</t>
  </si>
  <si>
    <t>* Acumulated Sugar ('000 tons)</t>
  </si>
  <si>
    <t>* Acumulated Anhydrous Ethanol ('000 m3)</t>
  </si>
  <si>
    <t>* Acumulated Hydrous Ethanol ('000 m3)</t>
  </si>
  <si>
    <t>* Acumulated Ribonucleic Acid (RNA) Sodium Salt ('000 Kg)</t>
  </si>
  <si>
    <t>* Acumulated Cogeneration ('000 MWh)</t>
  </si>
  <si>
    <t>* Acumulated TRS Produced</t>
  </si>
  <si>
    <t>* Acumulated Avg. Sugar</t>
  </si>
  <si>
    <t>*Acumulated Avg. Ethanol</t>
  </si>
  <si>
    <t>* Acumulated Avg. Anhydrous ethanol</t>
  </si>
  <si>
    <t>* Acumulated Avg. Hydrous ethanol</t>
  </si>
  <si>
    <t>Net revenues breakdown (R$m)</t>
  </si>
  <si>
    <t>Cogeneration (domestic)</t>
  </si>
  <si>
    <t xml:space="preserve">Sugar - domestic </t>
  </si>
  <si>
    <t>Hydrated - domestic</t>
  </si>
  <si>
    <r>
      <t xml:space="preserve">Cogeneration </t>
    </r>
    <r>
      <rPr>
        <sz val="8"/>
        <rFont val="Arial"/>
        <family val="2"/>
      </rPr>
      <t>(domestic)</t>
    </r>
  </si>
  <si>
    <t>Ribonucleic Acid (RNA) Sodium Salt</t>
  </si>
  <si>
    <t>Sugar - domestic price</t>
  </si>
  <si>
    <t>Sugar - export price</t>
  </si>
  <si>
    <t>VHP Premium</t>
  </si>
  <si>
    <t>Average Sugar Price (R$/ton)</t>
  </si>
  <si>
    <t>NY#11 Brazil Crop Year (USD/lb)-Nominal</t>
  </si>
  <si>
    <t>USD/lb</t>
  </si>
  <si>
    <t>% of total estimated production</t>
  </si>
  <si>
    <t>Pound Conversion</t>
  </si>
  <si>
    <t>Export premium (%)</t>
  </si>
  <si>
    <t>Crushed sugarcane ('000 tons)</t>
  </si>
  <si>
    <t>Quarter Seasonality (%)</t>
  </si>
  <si>
    <t>SMTO avg ethanol price (R$/cbm)</t>
  </si>
  <si>
    <t>SMTO avg sugar price (R$/Tn)</t>
  </si>
  <si>
    <t>Total Ethanol (R$/cbm)</t>
  </si>
  <si>
    <t>Ethanol (R$/cbm)</t>
  </si>
  <si>
    <t>Sugar COGS growth (%)</t>
  </si>
  <si>
    <t>Ethanol COGS growth (%)</t>
  </si>
  <si>
    <t>Gross profit (R$mn)</t>
  </si>
  <si>
    <t>Ethanol ('000 m3)</t>
  </si>
  <si>
    <t>% of sales volume</t>
  </si>
  <si>
    <t>Cash cost per unit (reported)</t>
  </si>
  <si>
    <t>Cash cost per unit (calculated on sales vol)</t>
  </si>
  <si>
    <t>Cash cost per unit (calculated on production  vol)</t>
  </si>
  <si>
    <r>
      <t>Anhydrous ethanol ('000 m</t>
    </r>
    <r>
      <rPr>
        <b/>
        <vertAlign val="superscript"/>
        <sz val="8"/>
        <color indexed="8"/>
        <rFont val="Arial"/>
        <family val="2"/>
      </rPr>
      <t>3</t>
    </r>
    <r>
      <rPr>
        <b/>
        <sz val="8"/>
        <color indexed="8"/>
        <rFont val="Arial"/>
        <family val="2"/>
      </rPr>
      <t>)</t>
    </r>
  </si>
  <si>
    <t>COGS (excl. dep)</t>
  </si>
  <si>
    <t>Cost of Goods Sold (Incl dep)</t>
  </si>
  <si>
    <t>COGS seasonality (%)</t>
  </si>
  <si>
    <t>Capex (R$ mn)</t>
  </si>
  <si>
    <t>Maintenance</t>
  </si>
  <si>
    <t>Upgrading/Expansion</t>
  </si>
  <si>
    <t>Operational Improvements</t>
  </si>
  <si>
    <t>% of revenue</t>
  </si>
  <si>
    <t>% of BoP PPE</t>
  </si>
  <si>
    <t>Depreciation (R$ mn)</t>
  </si>
  <si>
    <t>Operating income/ (expenses)</t>
  </si>
  <si>
    <t>Other non-operating income/ (expense)</t>
  </si>
  <si>
    <t>Effective financial income rate (%)</t>
  </si>
  <si>
    <t>Effective financial expense rate (%)</t>
  </si>
  <si>
    <t>Net financial expense (R$mn)</t>
  </si>
  <si>
    <t>Cash cost per unit produced</t>
  </si>
  <si>
    <t>Total hydrous ethanol</t>
  </si>
  <si>
    <t>Total anhydrous ethanol</t>
  </si>
  <si>
    <t>Total Cogen</t>
  </si>
  <si>
    <t>Sugarcane Planting</t>
  </si>
  <si>
    <t>Off-Season Maintenance/ Industrial/ Agricultural</t>
  </si>
  <si>
    <t>Equipaments/ Projects/ Replacements</t>
  </si>
  <si>
    <t>Upgrading/ Expansion</t>
  </si>
  <si>
    <t>Industrial/ Agricultural</t>
  </si>
  <si>
    <t>OPERATING METRICS (Cumulative basis)</t>
  </si>
  <si>
    <t>9M07</t>
  </si>
  <si>
    <t>9M08</t>
  </si>
  <si>
    <t>9M09</t>
  </si>
  <si>
    <t>9M10</t>
  </si>
  <si>
    <t>9M11</t>
  </si>
  <si>
    <t>9M12</t>
  </si>
  <si>
    <t>9M13</t>
  </si>
  <si>
    <t>9M14</t>
  </si>
  <si>
    <t>9M15</t>
  </si>
  <si>
    <t>12M07</t>
  </si>
  <si>
    <t>12M08</t>
  </si>
  <si>
    <t>12M09</t>
  </si>
  <si>
    <t>12M10</t>
  </si>
  <si>
    <t>12M11</t>
  </si>
  <si>
    <t>12M12</t>
  </si>
  <si>
    <t>12M13</t>
  </si>
  <si>
    <t>12M14</t>
  </si>
  <si>
    <t>3M07</t>
  </si>
  <si>
    <t>3M08</t>
  </si>
  <si>
    <t>3M09</t>
  </si>
  <si>
    <t>3M10</t>
  </si>
  <si>
    <t>3M11</t>
  </si>
  <si>
    <t>3M12</t>
  </si>
  <si>
    <t>3M13</t>
  </si>
  <si>
    <t>3M14</t>
  </si>
  <si>
    <t>3M15</t>
  </si>
  <si>
    <t>6M07</t>
  </si>
  <si>
    <t>6M08</t>
  </si>
  <si>
    <t>6M09</t>
  </si>
  <si>
    <t>6M10</t>
  </si>
  <si>
    <t>6M11</t>
  </si>
  <si>
    <t>6M12</t>
  </si>
  <si>
    <t>6M13</t>
  </si>
  <si>
    <t>6M14</t>
  </si>
  <si>
    <t>6M15</t>
  </si>
  <si>
    <t>ND</t>
  </si>
  <si>
    <t>RNA - only exports ('000 tons)</t>
  </si>
  <si>
    <t>Sugar cane crushing - '000 tn</t>
  </si>
  <si>
    <t>Agricultural Yield</t>
  </si>
  <si>
    <t>Basic EPS (R$)</t>
  </si>
  <si>
    <t>Current share price</t>
  </si>
  <si>
    <t>Target price</t>
  </si>
  <si>
    <t xml:space="preserve">Target Multple EV/Tn </t>
  </si>
  <si>
    <t>Formulas have been modified such that they reflect SMTO's fiscal period April to March. Hence, pls do not drag the formulas from one period to another.</t>
  </si>
  <si>
    <t>NA</t>
  </si>
  <si>
    <t>Capacity ('000 ton)</t>
  </si>
  <si>
    <t>Crushing capacity - '000 tn</t>
  </si>
  <si>
    <t>Crushing capacity ('000 ton)</t>
  </si>
  <si>
    <t>Stock Options Program</t>
  </si>
  <si>
    <t>2nd Plan</t>
  </si>
  <si>
    <t>3rd Plan</t>
  </si>
  <si>
    <t>4th Plan</t>
  </si>
  <si>
    <t>5th Plan</t>
  </si>
  <si>
    <t>Max. stock options available to be exercised</t>
  </si>
  <si>
    <t>Options exercised</t>
  </si>
  <si>
    <t>Average Strike Price (R$)</t>
  </si>
  <si>
    <t>Treasury Stocks</t>
  </si>
  <si>
    <t>Used</t>
  </si>
  <si>
    <t>New shares from exercised options</t>
  </si>
  <si>
    <t>Net Proceeds from Options (R$ mn)</t>
  </si>
  <si>
    <t>Other New Shares Issued</t>
  </si>
  <si>
    <t>Average issuance price</t>
  </si>
  <si>
    <t>Net Proceeds from Other Shares Issued</t>
  </si>
  <si>
    <t>Repurchase of shares</t>
  </si>
  <si>
    <t>Average number of shares repurchased</t>
  </si>
  <si>
    <t>Average repurchase price</t>
  </si>
  <si>
    <t>Beginning of Period Basic Shares</t>
  </si>
  <si>
    <t>New shares issued</t>
  </si>
  <si>
    <t>Shares Repurchased</t>
  </si>
  <si>
    <t>Potential dilution</t>
  </si>
  <si>
    <t>Potential Dilution</t>
  </si>
  <si>
    <t>Sugar ('000 Tn)</t>
  </si>
  <si>
    <t>Period end basic shares (excl. treasury)</t>
  </si>
  <si>
    <t>Average basic shares in issue (mn)</t>
  </si>
  <si>
    <t>Average diluted shares in issue (mn)</t>
  </si>
  <si>
    <t xml:space="preserve">Net Debt </t>
  </si>
  <si>
    <t>Vesting schedule</t>
  </si>
  <si>
    <t>Agroindustrial Officer - Santa Cruz</t>
  </si>
  <si>
    <t>Dividend per Share</t>
  </si>
  <si>
    <t>US$/ R$</t>
  </si>
  <si>
    <t>% hedged</t>
  </si>
  <si>
    <t>Average FX (MS+hedged)</t>
  </si>
  <si>
    <t>Qtrly dep as % of annual dep.</t>
  </si>
  <si>
    <t xml:space="preserve">Crushed sugarcane </t>
  </si>
  <si>
    <t>(+) Options outstanding</t>
  </si>
  <si>
    <t>(-) Treasury shares</t>
  </si>
  <si>
    <t xml:space="preserve">Beginning cash </t>
  </si>
  <si>
    <t>Ending cash</t>
  </si>
  <si>
    <t>Change in biological assets</t>
  </si>
  <si>
    <t>Other (incl. bio. assets)</t>
  </si>
  <si>
    <t>Dividend payout ratio (%)</t>
  </si>
  <si>
    <t>COGS excl. dep (R$mn)</t>
  </si>
  <si>
    <t>% growth in sugar price</t>
  </si>
  <si>
    <t>Dividends (R$ mn)</t>
  </si>
  <si>
    <t>Dividends (R$mn)</t>
  </si>
  <si>
    <t>Reported Div. per share (R$)</t>
  </si>
  <si>
    <t>Calculated Div. per share (R$)</t>
  </si>
  <si>
    <t>EBITDA margin (%)</t>
  </si>
  <si>
    <t>Others revenue Chge</t>
  </si>
  <si>
    <t>Cogen sales volume growth (%)</t>
  </si>
  <si>
    <t xml:space="preserve">Total area (ha) </t>
  </si>
  <si>
    <t>Capacity expansion capex (US$/ton)</t>
  </si>
  <si>
    <t>Capacity expansion capex (R$/ton)</t>
  </si>
  <si>
    <t>Increase in capacity ('000 tons)</t>
  </si>
  <si>
    <t>Hedged %</t>
  </si>
  <si>
    <t>MS estimate (R$/MWh)</t>
  </si>
  <si>
    <t>Average price R$/MWh (mkt+hedged)</t>
  </si>
  <si>
    <t>Contracted price (R$/MWh)</t>
  </si>
  <si>
    <t>Sugar/Ethanol Re rating</t>
  </si>
  <si>
    <t>EV/tn (USD)</t>
  </si>
  <si>
    <t xml:space="preserve">Adjusted NP </t>
  </si>
  <si>
    <t xml:space="preserve">Ratios </t>
  </si>
  <si>
    <t>Net debt/ EBITDA</t>
  </si>
  <si>
    <t>Free Cash Flow to equity</t>
  </si>
  <si>
    <t>FCFE yield</t>
  </si>
  <si>
    <t>SMTO</t>
  </si>
  <si>
    <t>Selling expenses (R$mn)</t>
  </si>
  <si>
    <t>G&amp;A expenses (R$mn)</t>
  </si>
  <si>
    <t>Other revenues (R$mn)</t>
  </si>
  <si>
    <t>R$/ton</t>
  </si>
  <si>
    <t>R$/cbm</t>
  </si>
  <si>
    <t>Non-cash G&amp;A expense</t>
  </si>
  <si>
    <t>Non-recurring items</t>
  </si>
  <si>
    <t>S&amp;E</t>
  </si>
  <si>
    <t>Cogen</t>
  </si>
  <si>
    <t>Adj. EBITDA by product (R$mn)</t>
  </si>
  <si>
    <t>Adj. EBITDA by business line (R$mn)</t>
  </si>
  <si>
    <t>Adj. EBITDA margin by product (%)</t>
  </si>
  <si>
    <t>Adj. EBITDA margin by business line (%)</t>
  </si>
  <si>
    <t>Breakdown by product:</t>
  </si>
  <si>
    <t>CAPEX breakdown (R$ mn)</t>
  </si>
  <si>
    <t>* Acumulated Selling expenses (R$ mn)</t>
  </si>
  <si>
    <t>* Sugar</t>
  </si>
  <si>
    <t>* Ethanol</t>
  </si>
  <si>
    <t>* Other</t>
  </si>
  <si>
    <t>G&amp;A expenses (R$ mn)</t>
  </si>
  <si>
    <t>Hydrous - domestic</t>
  </si>
  <si>
    <t>Hydrous - exports</t>
  </si>
  <si>
    <t>TRS Sold</t>
  </si>
  <si>
    <t>SMTO3.SA,mstag:met_12monthIntrinsicValueEstimate</t>
  </si>
  <si>
    <t>SMTO3.SA,mstag:bullCaseValueEstimatePerShare</t>
  </si>
  <si>
    <t>SMTO3.SA,mstag:bearCaseValueEstimatePerShare</t>
  </si>
  <si>
    <t>Control (Overview tab - Adj. Ebitda)</t>
  </si>
  <si>
    <t>Control (sum of line items -Adj. Ebitda)</t>
  </si>
  <si>
    <t>Control (segmental level Adj. Ebitda control)</t>
  </si>
  <si>
    <t>* Acumulated G&amp;A expenses (R$ mn)</t>
  </si>
  <si>
    <t>* Acumulated Other revenues (R$ mn)</t>
  </si>
  <si>
    <t>* Acumulated Adj. EBITDA (R$ mn)</t>
  </si>
  <si>
    <t>Other revenues/ (expense) (R$ mn)</t>
  </si>
  <si>
    <t>Price target (SoP)</t>
  </si>
  <si>
    <t>as % of Other Revenue (incl. Cogen)</t>
  </si>
  <si>
    <t>As % of revenues</t>
  </si>
  <si>
    <t>Cogen cost (as % of Cogen revenue)</t>
  </si>
  <si>
    <t>Other cost (as % of Other revenue)</t>
  </si>
  <si>
    <t>Adj. EBITDA by segment (R$mn)</t>
  </si>
  <si>
    <t>Other (Cogen + Real Estate + Others)</t>
  </si>
  <si>
    <t>EBIT margin</t>
  </si>
  <si>
    <t>Crushed Sugarcane ('000 tons)</t>
  </si>
  <si>
    <t>Sugar sales ('000 tons)</t>
  </si>
  <si>
    <t>Ethanol sales ('000 cbm)</t>
  </si>
  <si>
    <t>Total revenue</t>
  </si>
  <si>
    <t xml:space="preserve">Gross Margin </t>
  </si>
  <si>
    <t>Free Cash Flow to Firm</t>
  </si>
  <si>
    <t>Sugar Sold (Tn '000\)</t>
  </si>
  <si>
    <t>Ethanol sold (Cbm '000)</t>
  </si>
  <si>
    <t>Rural</t>
  </si>
  <si>
    <t>Urban</t>
  </si>
  <si>
    <t>SMTO3.SA,mscalc:ebitda,2017FY,,FYR</t>
  </si>
  <si>
    <t>SMTO3.SA,mstag:revenueNet,2017FY,,FYR</t>
  </si>
  <si>
    <t>SMTO3.SA,mscalc:netIncome,2017FY,,FYR</t>
  </si>
  <si>
    <t>SMTO3.SA,mscalc:dateReleasedFromHoldinLookup</t>
  </si>
  <si>
    <t xml:space="preserve">Last upload: </t>
  </si>
  <si>
    <t>Crushing Capacity Expansion</t>
  </si>
  <si>
    <t>Graphical summary of the company</t>
  </si>
  <si>
    <t xml:space="preserve"> - Total Volume (Tn mn)</t>
  </si>
  <si>
    <t xml:space="preserve"> - Total Volume (cbm mn)</t>
  </si>
  <si>
    <t>Sugar Sales (000 tn)</t>
  </si>
  <si>
    <t>Ethanol Price (R$ / cbm)</t>
  </si>
  <si>
    <t>Cogen price (R$/MWh)</t>
  </si>
  <si>
    <t>Gross profit (R$ mn)</t>
  </si>
  <si>
    <t>Gross Margin (%)</t>
  </si>
  <si>
    <t>Margins (%)</t>
  </si>
  <si>
    <t>EBIT margin (%)</t>
  </si>
  <si>
    <t>Net income (R$ mn)</t>
  </si>
  <si>
    <t xml:space="preserve">Net Debt / Equity </t>
  </si>
  <si>
    <t>Sugar Volume Sales (Tons '000)</t>
  </si>
  <si>
    <t>Ethanol Volume Sales (cbm '000)</t>
  </si>
  <si>
    <t>1Q</t>
  </si>
  <si>
    <t>2Q</t>
  </si>
  <si>
    <t>3Q</t>
  </si>
  <si>
    <t>4Q</t>
  </si>
  <si>
    <t>Cogen Prices R$/MWh)</t>
  </si>
  <si>
    <t>ND / E</t>
  </si>
  <si>
    <t xml:space="preserve">Net Debt / EBITDA </t>
  </si>
  <si>
    <t>ND/EBITDA</t>
  </si>
  <si>
    <t>Sugar/Ethanol Re rating (EV/tn USD)</t>
  </si>
  <si>
    <t>Discount for land (%)</t>
  </si>
  <si>
    <t>Land Urban</t>
  </si>
  <si>
    <t>EV / Tn (R$)</t>
  </si>
  <si>
    <t xml:space="preserve">Implicit EV/ton </t>
  </si>
  <si>
    <t>TV Disc Rate</t>
  </si>
  <si>
    <t>R$/MWh</t>
  </si>
  <si>
    <t>Non S/E</t>
  </si>
  <si>
    <t>Gross Debt/ Value</t>
  </si>
  <si>
    <t>End of Period Basic Shares (excl. treasury)</t>
  </si>
  <si>
    <t>End of Period Diluted Shares  (excl. treasury)</t>
  </si>
  <si>
    <t>CAPEX / Revenue</t>
  </si>
  <si>
    <t>Adecoagro</t>
  </si>
  <si>
    <t>Cosan</t>
  </si>
  <si>
    <t>Capacity ('000 MWh)</t>
  </si>
  <si>
    <t>Sector references (R$/MWh)</t>
  </si>
  <si>
    <t>Ratios - Using TP (SoP)</t>
  </si>
  <si>
    <t>EBITDA by division</t>
  </si>
  <si>
    <t>TRS yield (kg/ton)</t>
  </si>
  <si>
    <t>Agricultural yield (ton/ha)</t>
  </si>
  <si>
    <t>Average Ethanol Price (R$/cbm)</t>
  </si>
  <si>
    <t xml:space="preserve">Sugar </t>
  </si>
  <si>
    <t>Revenue by division (R$mn)</t>
  </si>
  <si>
    <t>EBITDA by division (R$mn)</t>
  </si>
  <si>
    <t>Revenues by division (R$mn)</t>
  </si>
  <si>
    <t>Net Debt/EBITDA</t>
  </si>
  <si>
    <t>Avg basic shares</t>
  </si>
  <si>
    <t>As of Dec, 2014</t>
  </si>
  <si>
    <t>Current Stake</t>
  </si>
  <si>
    <t>Pro-forma</t>
  </si>
  <si>
    <t>CVM 527</t>
  </si>
  <si>
    <t>CVM 524</t>
  </si>
  <si>
    <t>CVM 525</t>
  </si>
  <si>
    <t>CVM 526</t>
  </si>
  <si>
    <t>Proforma</t>
  </si>
  <si>
    <t>Sugar Production ('000 tons)</t>
  </si>
  <si>
    <t>Ethanol Production ('000 cbm)</t>
  </si>
  <si>
    <t>Cogeneration Production ('000 MWh)</t>
  </si>
  <si>
    <t>Gross revenues Growth (%, YoY)</t>
  </si>
  <si>
    <t>Income attributable to minority interest</t>
  </si>
  <si>
    <t>Gross revenues growth (%)</t>
  </si>
  <si>
    <t>Shares (diluted, mn #)</t>
  </si>
  <si>
    <t>Adj EBITDA</t>
  </si>
  <si>
    <t>Sugar Nybot prices (US$ c/lb)</t>
  </si>
  <si>
    <t>Sugar cane crushing - mn tn</t>
  </si>
  <si>
    <t>1,971.69</t>
  </si>
  <si>
    <t>751.203</t>
  </si>
  <si>
    <t>135.002</t>
  </si>
  <si>
    <t>302.918</t>
  </si>
  <si>
    <t>2018FY</t>
  </si>
  <si>
    <t>2019FY</t>
  </si>
  <si>
    <t>2020FY</t>
  </si>
  <si>
    <t>SMTO3.SA,mstag:revenueNet,2020FY,,FYR</t>
  </si>
  <si>
    <t>SMTO3.SA,mscalc:ebitda,2018FY,,FYR</t>
  </si>
  <si>
    <t>SMTO3.SA,mstag:revenueNet,2019FY,,FYR</t>
  </si>
  <si>
    <t>SMTO3.SA,mscalc:ebitda,2019FY,,FYR</t>
  </si>
  <si>
    <t>SMTO3.SA,mstag:revenueNet,2018FY,,FYR</t>
  </si>
  <si>
    <t>SMTO3.SA,mscalc:ebitda,2020FY,,FYR</t>
  </si>
  <si>
    <t>SMTO3.SA,mscalc:netIncome,2020FY,,FYR</t>
  </si>
  <si>
    <t>SMTO3.SA,mscalc:netIncome,2019FY,,FYR</t>
  </si>
  <si>
    <t>SMTO3.SA,mscalc:netIncome,2018FY,,FYR</t>
  </si>
  <si>
    <t>Costs</t>
  </si>
  <si>
    <t>Cash</t>
  </si>
  <si>
    <t>Debt</t>
  </si>
  <si>
    <t>Benefits when USD:</t>
  </si>
  <si>
    <t xml:space="preserve"> Appreciates</t>
  </si>
  <si>
    <t>12M15</t>
  </si>
  <si>
    <t>Sales expenses (R$ mn)</t>
  </si>
  <si>
    <t>Others (incl. Real Estate)</t>
  </si>
  <si>
    <t>Adj. to book value</t>
  </si>
  <si>
    <t xml:space="preserve">Mix of commercialization </t>
  </si>
  <si>
    <t>Cost of Goods (excl. dep)</t>
  </si>
  <si>
    <t>6th Plan</t>
  </si>
  <si>
    <t>Hedge Accounting of debt denominated in foreign currencies</t>
  </si>
  <si>
    <t>x</t>
  </si>
  <si>
    <t>Agricultural Yield (tn/ha)</t>
  </si>
  <si>
    <t>Usina Boa Vista Cogen Valuation</t>
  </si>
  <si>
    <t>Cogen EV</t>
  </si>
  <si>
    <t>Origin of Processed cane</t>
  </si>
  <si>
    <t>Trade payables</t>
  </si>
  <si>
    <t>Average basic shares (mn)</t>
  </si>
  <si>
    <t>Average diluted shares (mn)</t>
  </si>
  <si>
    <t>Adj. EBITDA margin</t>
  </si>
  <si>
    <t>Controlling family</t>
  </si>
  <si>
    <t>Summary (R$ mn)</t>
  </si>
  <si>
    <t>1,100.538</t>
  </si>
  <si>
    <t>2,293.985</t>
  </si>
  <si>
    <t>501.509</t>
  </si>
  <si>
    <t>286.061</t>
  </si>
  <si>
    <t>3M16</t>
  </si>
  <si>
    <t>6M16</t>
  </si>
  <si>
    <t>USD Exposure</t>
  </si>
  <si>
    <t>Base PT</t>
  </si>
  <si>
    <t>Bull PT</t>
  </si>
  <si>
    <t>Bear PT</t>
  </si>
  <si>
    <t>SMTO3.SA,mscalc:netDebtToEbitda,2014FY,,FYR</t>
  </si>
  <si>
    <t>SMTO3.SA,mscalc:DebtNet,2019FY,,FYR</t>
  </si>
  <si>
    <t>SMTO3.SA,mscalc:epsForConsensusForThomsonFeed,2017FY,,FYR</t>
  </si>
  <si>
    <t>SMTO3.SA,mscalc:DebtNet,2020FY,,FYR</t>
  </si>
  <si>
    <t>SMTO3.SA,mscalc:netDebtToEbitda,2015FY,,FYR</t>
  </si>
  <si>
    <t>SMTO3.SA,mscalc:DebtNet,2014FY,,FYR</t>
  </si>
  <si>
    <t>SMTO3.SA,mscalc:epsForConsensusForThomsonFeed,2014FY,,FYR</t>
  </si>
  <si>
    <t>SMTO3.SA,mscalc:DebtNet,2016FY,,FYR</t>
  </si>
  <si>
    <t>SMTO3.SA,mscalc:netDebtToEbitda,2018FY,,FYR</t>
  </si>
  <si>
    <t>SMTO3.SA,mscalc:operatingIncome,2017FY,,FYR</t>
  </si>
  <si>
    <t>SMTO3.SA,mscalc:ebitdaMargin,2014FY,,FYR</t>
  </si>
  <si>
    <t>SMTO3.SA,mscalc:fcffyAOnly,2018FY,,FYR</t>
  </si>
  <si>
    <t>SMTO3.SA,mscalc:epsForConsensusForThomsonFeed,2016FY,,FYR</t>
  </si>
  <si>
    <t>SMTO3.SA,mscalc:ebitdaMargin,2016FY,,FYR</t>
  </si>
  <si>
    <t>SMTO3.SA,mscalc:fcffyAOnly,2020FY,,FYR</t>
  </si>
  <si>
    <t>SMTO3.SA,mscalc:operatingIncome,2016FY,,FYR</t>
  </si>
  <si>
    <t>SMTO3.SA,mscalc:operatingIncome,2014FY,,FYR</t>
  </si>
  <si>
    <t>SMTO3.SA,mscalc:ebitdaMargin,2019FY,,FYR</t>
  </si>
  <si>
    <t>SMTO3.SA,mscalc:netDebtToEbitda,2020FY,,FYR</t>
  </si>
  <si>
    <t>SMTO3.SA,mscalc:operatingIncome,2020FY,,FYR</t>
  </si>
  <si>
    <t>SMTO3.SA,mscalc:fcffyAOnly,2017FY,,FYR</t>
  </si>
  <si>
    <t>SMTO3.SA,mscalc:DebtNet,2015FY,,FYR</t>
  </si>
  <si>
    <t>SMTO3.SA,mscalc:operatingIncome,2019FY,,FYR</t>
  </si>
  <si>
    <t>SMTO3.SA,mscalc:epsForConsensusForThomsonFeed,2019FY,,FYR</t>
  </si>
  <si>
    <t>SMTO3.SA,mscalc:epsForConsensusForThomsonFeed,2020FY,,FYR</t>
  </si>
  <si>
    <t>SMTO3.SA,mscalc:DebtNet,2018FY,,FYR</t>
  </si>
  <si>
    <t>SMTO3.SA,mscalc:ebitdaMargin,2015FY,,FYR</t>
  </si>
  <si>
    <t>SMTO3.SA,mscalc:fcffyAOnly,2016FY,,FYR</t>
  </si>
  <si>
    <t>SMTO3.SA,mscalc:operatingIncome,2018FY,,FYR</t>
  </si>
  <si>
    <t>SMTO3.SA,mscalc:epsForConsensusForThomsonFeed,2018FY,,FYR</t>
  </si>
  <si>
    <t>SMTO3.SA,mscalc:fcffyAOnly,2014FY,,FYR</t>
  </si>
  <si>
    <t>SMTO3.SA,mscalc:netDebtToEbitda,2019FY,,FYR</t>
  </si>
  <si>
    <t>SMTO3.SA,mscalc:ebitdaMargin,2018FY,,FYR</t>
  </si>
  <si>
    <t>SMTO3.SA,mscalc:netDebtToEbitda,2016FY,,FYR</t>
  </si>
  <si>
    <t>SMTO3.SA,mscalc:DebtNet,2017FY,,FYR</t>
  </si>
  <si>
    <t>SMTO3.SA,mscalc:operatingIncome,2015FY,,FYR</t>
  </si>
  <si>
    <t>SMTO3.SA,mscalc:fcffyAOnly,2019FY,,FYR</t>
  </si>
  <si>
    <t>SMTO3.SA,mscalc:ebitdaMargin,2020FY,,FYR</t>
  </si>
  <si>
    <t>SMTO3.SA,mscalc:fcffyAOnly,2015FY,,FYR</t>
  </si>
  <si>
    <t>SMTO3.SA,mscalc:netDebtToEbitda,2017FY,,FYR</t>
  </si>
  <si>
    <t>SMTO3.SA,mscalc:ebitdaMargin,2017FY,,FYR</t>
  </si>
  <si>
    <t>SMTO3.SA,mscalc:epsForConsensusForThomsonFeed,2015FY,,FYR</t>
  </si>
  <si>
    <t>0.380994476819378</t>
  </si>
  <si>
    <t>(360.428)</t>
  </si>
  <si>
    <t>2,487.084</t>
  </si>
  <si>
    <t>0.479749431665857</t>
  </si>
  <si>
    <t>2.2598801676998</t>
  </si>
  <si>
    <t>(312.899)</t>
  </si>
  <si>
    <t>2.04802297115427</t>
  </si>
  <si>
    <t>1,538.481</t>
  </si>
  <si>
    <t>1Q15e</t>
  </si>
  <si>
    <t>1Q22e</t>
  </si>
  <si>
    <t>2Q22e</t>
  </si>
  <si>
    <t>3Q22e</t>
  </si>
  <si>
    <t>4Q22e</t>
  </si>
  <si>
    <t>1Q23e</t>
  </si>
  <si>
    <t>2Q23e</t>
  </si>
  <si>
    <t>3Q23e</t>
  </si>
  <si>
    <t>4Q23e</t>
  </si>
  <si>
    <t>1Q24e</t>
  </si>
  <si>
    <t>2Q24e</t>
  </si>
  <si>
    <t>3Q24e</t>
  </si>
  <si>
    <t>4Q24e</t>
  </si>
  <si>
    <t>1Q25e</t>
  </si>
  <si>
    <t>2Q25e</t>
  </si>
  <si>
    <t>3Q25e</t>
  </si>
  <si>
    <t>4Q25e</t>
  </si>
  <si>
    <t>1Q26e</t>
  </si>
  <si>
    <t>2Q26e</t>
  </si>
  <si>
    <t>3Q26e</t>
  </si>
  <si>
    <t>4Q26e</t>
  </si>
  <si>
    <t>1Q27e</t>
  </si>
  <si>
    <t>2Q27e</t>
  </si>
  <si>
    <t>3Q27e</t>
  </si>
  <si>
    <t>4Q27e</t>
  </si>
  <si>
    <t>1Q28e</t>
  </si>
  <si>
    <t>2Q28e</t>
  </si>
  <si>
    <t>3Q28e</t>
  </si>
  <si>
    <t>4Q28e</t>
  </si>
  <si>
    <t>1Q29e</t>
  </si>
  <si>
    <t>2Q29e</t>
  </si>
  <si>
    <t>3Q29e</t>
  </si>
  <si>
    <t>4Q29e</t>
  </si>
  <si>
    <t>1Q30e</t>
  </si>
  <si>
    <t>2Q30e</t>
  </si>
  <si>
    <t>3Q30e</t>
  </si>
  <si>
    <t>4Q30e</t>
  </si>
  <si>
    <t>US$ mn</t>
  </si>
  <si>
    <t>9M16</t>
  </si>
  <si>
    <t>2016/17</t>
  </si>
  <si>
    <t>-</t>
  </si>
  <si>
    <t>Currency</t>
  </si>
  <si>
    <t>Current Stock Price</t>
  </si>
  <si>
    <t>Monthly:</t>
  </si>
  <si>
    <t>Higher prices and volumes</t>
  </si>
  <si>
    <t>12M16</t>
  </si>
  <si>
    <t>Marketable Securities</t>
  </si>
  <si>
    <t>7th Plan</t>
  </si>
  <si>
    <t>2017e</t>
  </si>
  <si>
    <t>Beginning in 2Q13</t>
  </si>
  <si>
    <t>Beginning in 1Q13</t>
  </si>
  <si>
    <t>Beginning in 1Q09</t>
  </si>
  <si>
    <t>Beginning in 1Q14</t>
  </si>
  <si>
    <t>Beginning in 1Q08</t>
  </si>
  <si>
    <t>3,464.80611781881</t>
  </si>
  <si>
    <t>1,560.95149281425</t>
  </si>
  <si>
    <t>4,006.41710484482</t>
  </si>
  <si>
    <t>2,659.13411516964</t>
  </si>
  <si>
    <t>1,220.75685857024</t>
  </si>
  <si>
    <t>1,621.75207525619</t>
  </si>
  <si>
    <t>362.857369294362</t>
  </si>
  <si>
    <t>1.9444000278109</t>
  </si>
  <si>
    <t>875.839316536219</t>
  </si>
  <si>
    <t>930.72034761174</t>
  </si>
  <si>
    <t>1,645.08876305179</t>
  </si>
  <si>
    <t>284.568343204985</t>
  </si>
  <si>
    <t>2,879.32498711439</t>
  </si>
  <si>
    <t>(685.580506929024)</t>
  </si>
  <si>
    <t>425.280381541063</t>
  </si>
  <si>
    <t>2.80125589032016</t>
  </si>
  <si>
    <t>519.542101472912</t>
  </si>
  <si>
    <t>1,691.46253539955</t>
  </si>
  <si>
    <t>558.087786177386</t>
  </si>
  <si>
    <t>824.396651969081</t>
  </si>
  <si>
    <t>0.404788626050708</t>
  </si>
  <si>
    <t>0.38801333979111</t>
  </si>
  <si>
    <t>1.77544091420974</t>
  </si>
  <si>
    <t>435.386197862953</t>
  </si>
  <si>
    <t>282.773051227412</t>
  </si>
  <si>
    <t>2,659.82253632986</t>
  </si>
  <si>
    <t>536.521896341009</t>
  </si>
  <si>
    <t>1.52746614179993</t>
  </si>
  <si>
    <t>4,498.36314269546</t>
  </si>
  <si>
    <t>217.905277648344</t>
  </si>
  <si>
    <t>865.378145372779</t>
  </si>
  <si>
    <t>3,419.65234071863</t>
  </si>
  <si>
    <t>3,035.11412603948</t>
  </si>
  <si>
    <t>0.365708305636267</t>
  </si>
  <si>
    <t>0.459080590033483</t>
  </si>
  <si>
    <t>4,359.28964790273</t>
  </si>
  <si>
    <t>1.5724986398836</t>
  </si>
  <si>
    <t>468.256792455019</t>
  </si>
  <si>
    <t>2,512.81738581713</t>
  </si>
  <si>
    <t>0.450516259708324</t>
  </si>
  <si>
    <t>2/24/2016 9:31:48</t>
  </si>
  <si>
    <t>2017/18</t>
  </si>
  <si>
    <t xml:space="preserve">Annual Data </t>
  </si>
  <si>
    <t>Quarterly Data</t>
  </si>
  <si>
    <t xml:space="preserve">Sugar and Ethanol </t>
  </si>
  <si>
    <t xml:space="preserve">Ethanol </t>
  </si>
  <si>
    <t>White-domestic market</t>
  </si>
  <si>
    <t>VHP-exports</t>
  </si>
  <si>
    <t xml:space="preserve">3. Production Volume </t>
  </si>
  <si>
    <t>Sugar ('000 tons) % of sales volume</t>
  </si>
  <si>
    <t>Ethanol ('000 m3) % of sales volume</t>
  </si>
  <si>
    <t>Cogeneration ('000 MWh) % of sales volume</t>
  </si>
  <si>
    <t>ANNUAL ESTIMATES</t>
  </si>
  <si>
    <t>Operational Assumptions</t>
  </si>
  <si>
    <t>Financial Summary</t>
  </si>
  <si>
    <t>Valuation Summary</t>
  </si>
  <si>
    <t>Anhydrous - Export premium (%)</t>
  </si>
  <si>
    <t>Hydrated- Export premium (%)</t>
  </si>
  <si>
    <t>2018E-2021E</t>
  </si>
  <si>
    <t>2022E-2025E</t>
  </si>
  <si>
    <t>2017E</t>
  </si>
  <si>
    <t xml:space="preserve">Accounts Receivable </t>
  </si>
  <si>
    <t xml:space="preserve">Inventories </t>
  </si>
  <si>
    <t xml:space="preserve">Quarterly Data </t>
  </si>
  <si>
    <t xml:space="preserve">Old Historical Data </t>
  </si>
  <si>
    <t xml:space="preserve">TRS ('000 tons) </t>
  </si>
  <si>
    <t xml:space="preserve">Balance Sheet Control </t>
  </si>
  <si>
    <t xml:space="preserve">Liabilities &amp; Equity vs Harcoded figures </t>
  </si>
  <si>
    <t>Net Cash</t>
  </si>
  <si>
    <t xml:space="preserve">Net Revenue Breakdown </t>
  </si>
  <si>
    <t xml:space="preserve">Gross Profit </t>
  </si>
  <si>
    <t>Adj. Ebitda Sugar</t>
  </si>
  <si>
    <t>Adj. Ebitda Ethanol</t>
  </si>
  <si>
    <t>Adj. Ebitda Other</t>
  </si>
  <si>
    <t>End of Period Basic Shares</t>
  </si>
  <si>
    <t>3. Quarterly BALANCE SHEET - R$ Mn</t>
  </si>
  <si>
    <t>1. OPERATING INDICATORS QUARTERLY  -$R mn</t>
  </si>
  <si>
    <t xml:space="preserve">Quarterly estimates: </t>
  </si>
  <si>
    <t xml:space="preserve">Net Income </t>
  </si>
  <si>
    <t>4Q22</t>
  </si>
  <si>
    <t>1Q23</t>
  </si>
  <si>
    <t>2Q23</t>
  </si>
  <si>
    <t>3Q23</t>
  </si>
  <si>
    <t>4Q23</t>
  </si>
  <si>
    <t>1Q24</t>
  </si>
  <si>
    <t>2Q24</t>
  </si>
  <si>
    <t>3Q24</t>
  </si>
  <si>
    <t>4Q24</t>
  </si>
  <si>
    <t>1Q25</t>
  </si>
  <si>
    <t>2Q25</t>
  </si>
  <si>
    <t>3Q25</t>
  </si>
  <si>
    <t>4Q25</t>
  </si>
  <si>
    <t>Cogen-Adj. EBITDA margin</t>
  </si>
  <si>
    <t xml:space="preserve">COGS </t>
  </si>
  <si>
    <t>Financials</t>
  </si>
  <si>
    <t xml:space="preserve">Revenue &amp; Expenses </t>
  </si>
  <si>
    <t xml:space="preserve">Total Equity </t>
  </si>
  <si>
    <t xml:space="preserve">Control </t>
  </si>
  <si>
    <t xml:space="preserve">Adjusted EBITDA Check </t>
  </si>
  <si>
    <t>Beginning in 3Q13</t>
  </si>
  <si>
    <t xml:space="preserve">Gross Revenue &amp; Ebitda Margin </t>
  </si>
  <si>
    <t xml:space="preserve">1. Working Capital Drivers </t>
  </si>
  <si>
    <t>% Ebit Margin</t>
  </si>
  <si>
    <t>Adj. EBITDA Margin (%)</t>
  </si>
  <si>
    <t>EBITDA Margin (%)</t>
  </si>
  <si>
    <t>Net Debt (cash) (R$ mn)</t>
  </si>
  <si>
    <t>Net Debt/ Equity</t>
  </si>
  <si>
    <t>Net Income (loss)</t>
  </si>
  <si>
    <t>Total Cash from Operation</t>
  </si>
  <si>
    <t>Change in Reserves</t>
  </si>
  <si>
    <t>Model Structure &amp; Technical Measures</t>
  </si>
  <si>
    <t xml:space="preserve">Model Structure </t>
  </si>
  <si>
    <t>S</t>
  </si>
  <si>
    <t>O</t>
  </si>
  <si>
    <t>N</t>
  </si>
  <si>
    <t>D</t>
  </si>
  <si>
    <t>J</t>
  </si>
  <si>
    <t>F</t>
  </si>
  <si>
    <t>M</t>
  </si>
  <si>
    <t>Harvest Year (current)</t>
  </si>
  <si>
    <t>Harvest Year (t-1)</t>
  </si>
  <si>
    <t>Harvest Year (t+1)</t>
  </si>
  <si>
    <t>Q4</t>
  </si>
  <si>
    <t>Q1</t>
  </si>
  <si>
    <t>Q2</t>
  </si>
  <si>
    <t>Q3</t>
  </si>
  <si>
    <t>Fiscal year (t-1)</t>
  </si>
  <si>
    <t>Fiscal year (current)</t>
  </si>
  <si>
    <t>Fiscal year (t+1)</t>
  </si>
  <si>
    <t>Agricultural Weights and Measures</t>
  </si>
  <si>
    <t>Shares issued/ buyback</t>
  </si>
  <si>
    <t xml:space="preserve">Net revenues </t>
  </si>
  <si>
    <t xml:space="preserve">EPS </t>
  </si>
  <si>
    <t>% growth yoy</t>
  </si>
  <si>
    <t xml:space="preserve">Free Cash Flow </t>
  </si>
  <si>
    <t>Fundamentals map (growth x margins)</t>
  </si>
  <si>
    <t>Harvest</t>
  </si>
  <si>
    <t>Brazil (C/S)</t>
  </si>
  <si>
    <t>Australia</t>
  </si>
  <si>
    <t>1. Capital Expenditures</t>
  </si>
  <si>
    <t>2. Shares Calculation</t>
  </si>
  <si>
    <t>2. Capital Expenditures</t>
  </si>
  <si>
    <t>1. Working Capital</t>
  </si>
  <si>
    <t>3. Debt Schedule</t>
  </si>
  <si>
    <t>Movement in (net debt)/cash</t>
  </si>
  <si>
    <t>Minimum Cash Balance</t>
  </si>
  <si>
    <t>(+) Additions</t>
  </si>
  <si>
    <t>(-) Amortization</t>
  </si>
  <si>
    <t>% of Total Debt</t>
  </si>
  <si>
    <t>(-) Transfer to ST balance</t>
  </si>
  <si>
    <t>Average Debt Balance</t>
  </si>
  <si>
    <t>Interest Rate</t>
  </si>
  <si>
    <t>Spread/Discount to SELIC rate</t>
  </si>
  <si>
    <t>Interest Expense</t>
  </si>
  <si>
    <t>Average Cash Balance</t>
  </si>
  <si>
    <t>Selic</t>
  </si>
  <si>
    <t xml:space="preserve">Covenants </t>
  </si>
  <si>
    <t>3. Quarter Seasonality (%)</t>
  </si>
  <si>
    <t xml:space="preserve">Debt amortization schedule(R$ mn) </t>
  </si>
  <si>
    <t xml:space="preserve">4. Debt Schedule </t>
  </si>
  <si>
    <t xml:space="preserve">2. Other Balance Sheet Drivers </t>
  </si>
  <si>
    <t xml:space="preserve">Minimum Cash </t>
  </si>
  <si>
    <t xml:space="preserve">Debt Issuance </t>
  </si>
  <si>
    <t>SWITCH</t>
  </si>
  <si>
    <t xml:space="preserve">If 1, iteration in on, if 2 iteration is off </t>
  </si>
  <si>
    <t xml:space="preserve">Selic Rate </t>
  </si>
  <si>
    <t>Net income (last 12M)</t>
  </si>
  <si>
    <t xml:space="preserve">Dividend Payout ratio </t>
  </si>
  <si>
    <t>Average TRS yield (kg/ton)</t>
  </si>
  <si>
    <t>Mix of commercialization (%)</t>
  </si>
  <si>
    <t>Mix of commercialization ('000 tons)</t>
  </si>
  <si>
    <t>4. Costs</t>
  </si>
  <si>
    <t>2. Prices</t>
  </si>
  <si>
    <t>1. Volumes</t>
  </si>
  <si>
    <t>3. Revenues</t>
  </si>
  <si>
    <t>Crushed sugarcane (YoY Growth %)</t>
  </si>
  <si>
    <t xml:space="preserve">Total Area </t>
  </si>
  <si>
    <t xml:space="preserve">Anhydrous Ethanol </t>
  </si>
  <si>
    <t>Beginning in 1Q10</t>
  </si>
  <si>
    <t xml:space="preserve">Real Estate Development </t>
  </si>
  <si>
    <t>Real Estate Development</t>
  </si>
  <si>
    <t>3M17</t>
  </si>
  <si>
    <t xml:space="preserve">Hydrated Ethanol </t>
  </si>
  <si>
    <t>Sugar Adj. EBITDA seasonality (%)</t>
  </si>
  <si>
    <t>Ethanol Adj. EBITDA seasonality (%)</t>
  </si>
  <si>
    <t>Other Adj. EBITDA seasonality (%)</t>
  </si>
  <si>
    <r>
      <t xml:space="preserve">This workbook contains formulas which </t>
    </r>
    <r>
      <rPr>
        <u/>
        <sz val="10"/>
        <rFont val="Arial"/>
        <family val="2"/>
      </rPr>
      <t>intentionally</t>
    </r>
    <r>
      <rPr>
        <sz val="10"/>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</si>
  <si>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0"/>
        <rFont val="Arial"/>
        <family val="2"/>
      </rPr>
      <t>intentionally</t>
    </r>
    <r>
      <rPr>
        <sz val="10"/>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</si>
  <si>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</si>
  <si>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</si>
  <si>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2) Set Maximum Iterations = 100</t>
  </si>
  <si>
    <t>3) Set Maximum Change = 0.001</t>
  </si>
  <si>
    <t>Failure to apply these settings can result in incorrect calculation or unexpected termination of your Microsoft Excel session.</t>
  </si>
  <si>
    <t>Net Revenue Growth (YoY)</t>
  </si>
  <si>
    <t>Beginning in 1Q07</t>
  </si>
  <si>
    <t>India</t>
  </si>
  <si>
    <t>2018e</t>
  </si>
  <si>
    <t>Sugar Harvest schedule</t>
  </si>
  <si>
    <t>Europe (Beet)</t>
  </si>
  <si>
    <t>South Hemisphere</t>
  </si>
  <si>
    <t>North Hemisphere</t>
  </si>
  <si>
    <t>Seasonality</t>
  </si>
  <si>
    <t>Calendar year</t>
  </si>
  <si>
    <t>Agri year</t>
  </si>
  <si>
    <t>Accounting Seasonality</t>
  </si>
  <si>
    <t>Fiscal year</t>
  </si>
  <si>
    <t>Operating C-F</t>
  </si>
  <si>
    <t xml:space="preserve">1 ton = </t>
  </si>
  <si>
    <t>lb</t>
  </si>
  <si>
    <t>Cash cost</t>
  </si>
  <si>
    <t>Usc/lb</t>
  </si>
  <si>
    <t>6M17</t>
  </si>
  <si>
    <t>6/31/2016</t>
  </si>
  <si>
    <t>9/31/2016</t>
  </si>
  <si>
    <t>9M17</t>
  </si>
  <si>
    <t>8th Plan</t>
  </si>
  <si>
    <t>2011-17</t>
  </si>
  <si>
    <t>Guilherme Fontes Ribeiro</t>
  </si>
  <si>
    <t>Mauricio Krug Ometto</t>
  </si>
  <si>
    <t>Carlos Fernando Zaneti di Andrade</t>
  </si>
  <si>
    <t>15.9666509628296</t>
  </si>
  <si>
    <t>Difference vs previous year</t>
  </si>
  <si>
    <t>Crushing Capacity (000 tn)</t>
  </si>
  <si>
    <t>Crushing Capacity vs Crushed cane (000 tn)</t>
  </si>
  <si>
    <t>Crushing Capacity (000 tn) vs Cane area (ha)</t>
  </si>
  <si>
    <t>Crushing Capacity ('000 tons)</t>
  </si>
  <si>
    <t>Free Float / Petrobras</t>
  </si>
  <si>
    <t>Free Float (Petrobras 24 mn shares)</t>
  </si>
  <si>
    <t>Santa Cruz expansion</t>
  </si>
  <si>
    <t>Nova Fronteira incorporation</t>
  </si>
  <si>
    <t>Crushing</t>
  </si>
  <si>
    <t xml:space="preserve">3. Mix of Commercialization </t>
  </si>
  <si>
    <t>4. COGS</t>
  </si>
  <si>
    <t>5. Other items</t>
  </si>
  <si>
    <t>TRS (000 Tn)</t>
  </si>
  <si>
    <t>TRS (000 tn)</t>
  </si>
  <si>
    <t>TRS (000 ton)</t>
  </si>
  <si>
    <t>TRS reported vs calculated (000 Tn)</t>
  </si>
  <si>
    <t>Calculated</t>
  </si>
  <si>
    <t>Total ATR</t>
  </si>
  <si>
    <t>Production</t>
  </si>
  <si>
    <t>Production (000 Tn / m3 / MWh)</t>
  </si>
  <si>
    <t xml:space="preserve">Cogeneration </t>
  </si>
  <si>
    <t>Price (R$ / Ton)</t>
  </si>
  <si>
    <t>Mix (Sugar)</t>
  </si>
  <si>
    <t>Mix (Ethanol)</t>
  </si>
  <si>
    <t>Volume ('000 mn)</t>
  </si>
  <si>
    <t>Price (R$ m3)</t>
  </si>
  <si>
    <t>Volume ('000 cbm)</t>
  </si>
  <si>
    <t>Mix (Anhydrous)</t>
  </si>
  <si>
    <t>Mix (Hydrous)</t>
  </si>
  <si>
    <t>Price (R$ / MWh)</t>
  </si>
  <si>
    <t>Volume ('000 MWh)</t>
  </si>
  <si>
    <t>Revenue (Model = Release)</t>
  </si>
  <si>
    <t>EBITDA By Product (R$ mn)</t>
  </si>
  <si>
    <t>EBITDA margin by product (%)</t>
  </si>
  <si>
    <t>Sugar Prices and Cash Cost (R$ / Tn)</t>
  </si>
  <si>
    <t>Sugar gross margin</t>
  </si>
  <si>
    <t>Ethanol gross margin</t>
  </si>
  <si>
    <t>Cash cost (R$/ton)</t>
  </si>
  <si>
    <t>Cash cost (R$/cbm)</t>
  </si>
  <si>
    <t>Sugar Cash cost (R$/ton)</t>
  </si>
  <si>
    <t>Ethanol Cash cost (R$/cbm)</t>
  </si>
  <si>
    <t>Sugar Gross Margin (%)</t>
  </si>
  <si>
    <t>Ethanol Gross Margin (%)</t>
  </si>
  <si>
    <t>Cogen Gross Margin (%)</t>
  </si>
  <si>
    <t>Others Gross Margin (%)</t>
  </si>
  <si>
    <t>Cogeneration Gross Margin (%)</t>
  </si>
  <si>
    <t>"Others" Gross Margin (%)</t>
  </si>
  <si>
    <t>SG&amp;A / Revenue (%)</t>
  </si>
  <si>
    <t>SG&amp;A (% / Net Revenue)</t>
  </si>
  <si>
    <t>Revenue vs released</t>
  </si>
  <si>
    <t>Adj EBITDA vs released</t>
  </si>
  <si>
    <t>NI vs released</t>
  </si>
  <si>
    <t>Balance Sheet vs Released</t>
  </si>
  <si>
    <t>EBITDA by product (R$mn)</t>
  </si>
  <si>
    <t>EBITDA Margin by product (%)</t>
  </si>
  <si>
    <t>2018/19</t>
  </si>
  <si>
    <t>2019/20</t>
  </si>
  <si>
    <t xml:space="preserve">1 m3 = </t>
  </si>
  <si>
    <t>Anhydrous</t>
  </si>
  <si>
    <t>Hydrous</t>
  </si>
  <si>
    <t>Revenue (R$ mn)</t>
  </si>
  <si>
    <t>Revenue  growth (%)</t>
  </si>
  <si>
    <t>Revenue  Mix (R$ mn)</t>
  </si>
  <si>
    <t>Revenue  (%)</t>
  </si>
  <si>
    <t>SOP reference</t>
  </si>
  <si>
    <t>BRL/sh</t>
  </si>
  <si>
    <t>Dif</t>
  </si>
  <si>
    <t>&lt;- Criteria: keep it low until D/EBITDA = 1.5x, then M&amp;A (if not options: dividend)</t>
  </si>
  <si>
    <t>Target</t>
  </si>
  <si>
    <t xml:space="preserve">Sugar/Ethanol </t>
  </si>
  <si>
    <t>Other Adj. (Land)</t>
  </si>
  <si>
    <t>Cogen costs (%)</t>
  </si>
  <si>
    <t>25e</t>
  </si>
  <si>
    <t>Beginning IN 1Q07</t>
  </si>
  <si>
    <t>12M17</t>
  </si>
  <si>
    <t>2019e</t>
  </si>
  <si>
    <t>3M18</t>
  </si>
  <si>
    <t>Depreciation (% of Revenue)</t>
  </si>
  <si>
    <t>Net Income Breakdown</t>
  </si>
  <si>
    <t>Last update on company website: Last Update on April 11, 2017.</t>
  </si>
  <si>
    <t>Last update on company website: Last Update on April 11, 2017</t>
  </si>
  <si>
    <t>Corporate Structure (after Boa Vista incorporation)</t>
  </si>
  <si>
    <t>Pre Boa Vista Incorporation</t>
  </si>
  <si>
    <t>CPI - US (average)</t>
  </si>
  <si>
    <t>yoy growth</t>
  </si>
  <si>
    <t>yoy</t>
  </si>
  <si>
    <t>5. SG&amp;A Expenses</t>
  </si>
  <si>
    <t>6. Financial Expenses</t>
  </si>
  <si>
    <t>Sugar Hedging  (future sales)</t>
  </si>
  <si>
    <t>Volume hedged (''000 tons)</t>
  </si>
  <si>
    <t>Volume sold YTD (''000 tons)</t>
  </si>
  <si>
    <t>Average price for the year (mkt+hedged)</t>
  </si>
  <si>
    <t>Maintenance capex as a % of revenue</t>
  </si>
  <si>
    <t>Additions</t>
  </si>
  <si>
    <t>Capacity addition</t>
  </si>
  <si>
    <t>10. CONVERSION FACTORS</t>
  </si>
  <si>
    <t>Capacity utilization (%)</t>
  </si>
  <si>
    <t>ST Debt (BoP)</t>
  </si>
  <si>
    <t>ST Debt (EoP)</t>
  </si>
  <si>
    <t>LT Debt (BoP)</t>
  </si>
  <si>
    <t>LT Debt (EoP)</t>
  </si>
  <si>
    <t>Cash spread vs. SELIC</t>
  </si>
  <si>
    <t>3. Dividens assumptions</t>
  </si>
  <si>
    <t>Selling, general &amp; administrative exp.</t>
  </si>
  <si>
    <t>2021FY</t>
  </si>
  <si>
    <t>2023FY</t>
  </si>
  <si>
    <t>2022FY</t>
  </si>
  <si>
    <t>SMTO3.SA,mscalc:epsForConsensusForThomsonFeed,2023FY,,FYR</t>
  </si>
  <si>
    <t>SMTO3.SA,mscalc:ebitda,2021FY,,FYR</t>
  </si>
  <si>
    <t>SMTO3.SA,mstag:revenueNet,2023FY,,FYR</t>
  </si>
  <si>
    <t>SMTO3.SA,mstag:revenueNet,2022FY,,FYR</t>
  </si>
  <si>
    <t>SMTO3.SA,mscalc:ebitda,2022FY,,FYR</t>
  </si>
  <si>
    <t>SMTO3.SA,mscalc:epsForConsensusForThomsonFeed,2022FY,,FYR</t>
  </si>
  <si>
    <t>SMTO3.SA,mscalc:epsForConsensusForThomsonFeed,2021FY,,FYR</t>
  </si>
  <si>
    <t>SMTO3.SA,mscalc:ebitda,2023FY,,FYR</t>
  </si>
  <si>
    <t>SMTO3.SA,mstag:revenueNet,2021FY,,FYR</t>
  </si>
  <si>
    <t>1,826.45712137278</t>
  </si>
  <si>
    <t>4,744.0178787323</t>
  </si>
  <si>
    <t>SMTO3.SA,mscalc:DebtNet,2023FY,,FYR</t>
  </si>
  <si>
    <t>SMTO3.SA,mscalc:fcffyAOnly,2023FY,,FYR</t>
  </si>
  <si>
    <t>SMTO3.SA,mscalc:netDebtToEbitda,2022FY,,FYR</t>
  </si>
  <si>
    <t>SMTO3.SA,mscalc:netIncome,2023FY,,FYR</t>
  </si>
  <si>
    <t>SMTO3.SA,mscalc:ebitdaMargin,2022FY,,FYR</t>
  </si>
  <si>
    <t>SMTO3.SA,mscalc:ebitdaMargin,2023FY,,FYR</t>
  </si>
  <si>
    <t>SMTO3.SA,mscalc:DebtNet,2022FY,,FYR</t>
  </si>
  <si>
    <t>SMTO3.SA,mscalc:netDebtToEbitda,2021FY,,FYR</t>
  </si>
  <si>
    <t>SMTO3.SA,mscalc:operatingIncome,2023FY,,FYR</t>
  </si>
  <si>
    <t>SMTO3.SA,mscalc:netDebtToEbitda,2023FY,,FYR</t>
  </si>
  <si>
    <t>SMTO3.SA,mscalc:ebitdaMargin,2021FY,,FYR</t>
  </si>
  <si>
    <t>SMTO3.SA,mscalc:operatingIncome,2022FY,,FYR</t>
  </si>
  <si>
    <t>SMTO3.SA,mscalc:netIncome,2021FY,,FYR</t>
  </si>
  <si>
    <t>SMTO3.SA,mscalc:operatingIncome,2021FY,,FYR</t>
  </si>
  <si>
    <t>SMTO3.SA,mscalc:fcffyAOnly,2022FY,,FYR</t>
  </si>
  <si>
    <t>SMTO3.SA,mscalc:fcffyAOnly,2021FY,,FYR</t>
  </si>
  <si>
    <t>SMTO3.SA,mscalc:DebtNet,2021FY,,FYR</t>
  </si>
  <si>
    <t>SMTO3.SA,mscalc:netIncome,2022FY,,FYR</t>
  </si>
  <si>
    <t>1.22625727126036</t>
  </si>
  <si>
    <t>0.385002158099128</t>
  </si>
  <si>
    <t>545.914667312728</t>
  </si>
  <si>
    <t>1,024.02510978504</t>
  </si>
  <si>
    <t>443.8327930861</t>
  </si>
  <si>
    <t>2,239.70632572864</t>
  </si>
  <si>
    <t>$GN$3</t>
  </si>
  <si>
    <t>2010-17</t>
  </si>
  <si>
    <t>2021E-25E</t>
  </si>
  <si>
    <t>Cash SG&amp;A (R$ Mn)</t>
  </si>
  <si>
    <t>Cash G&amp;A Expenses</t>
  </si>
  <si>
    <t>In R$ per ton</t>
  </si>
  <si>
    <t>At this point we have good visibility on 17/18E figures and we do not expect significant surprises there. However, consensus seems overly optimistic on the EBITDA margin for 18/19E, considering that sugar sales prices should be lower than in 17/18E (which was supported by hedges at US$19c/lb.). I also believe consensus is not factoring in an expected increase in depreciation that will impact net income (not a big driver though). In the outer years, differences relate mainly to our sugar price forecast.</t>
  </si>
  <si>
    <t>Summary of changes</t>
  </si>
  <si>
    <t>Working capital / revenue (neg = consumes cash)</t>
  </si>
  <si>
    <t>Ricardo Azevedo Goncalves</t>
  </si>
  <si>
    <t>Agroindustrial Officer- Sao Martinho</t>
  </si>
  <si>
    <t>Marcos Helder Pavan Monaco</t>
  </si>
  <si>
    <t>Sugar Prices (US$c/lb)</t>
  </si>
  <si>
    <t>Sugar Cash cost (US$c/lb)</t>
  </si>
  <si>
    <t>Sugar Prices and Cash Cost (US$c/lb)</t>
  </si>
  <si>
    <t>(As of March 31, 2017 i.e. 4Q2017)</t>
  </si>
  <si>
    <t>Last Update: Sep 5, 2017</t>
  </si>
  <si>
    <t>Real GDP</t>
  </si>
  <si>
    <t>Capacity Expansion capex per ton</t>
  </si>
  <si>
    <t>Roberto Browne</t>
  </si>
  <si>
    <t xml:space="preserve"> +55 (11) 3048-6114</t>
  </si>
  <si>
    <t>Roberto.Browne@morganstanley.com</t>
  </si>
  <si>
    <t>Brent Prices (R$/bbl)</t>
  </si>
  <si>
    <t>Indexed Brent Prices (Index, 2006=100)</t>
  </si>
  <si>
    <t>Total value</t>
  </si>
  <si>
    <t>Discount period</t>
  </si>
  <si>
    <t>Unitary costs (R$/ton)</t>
  </si>
  <si>
    <t>Unitary costs ($c/lb)</t>
  </si>
  <si>
    <t>Table for the Monthly</t>
  </si>
  <si>
    <t>Adj. EBITDA margin (%)</t>
  </si>
  <si>
    <t>Fx (BRL / USD)</t>
  </si>
  <si>
    <t>2018E-20E</t>
  </si>
  <si>
    <t>Fx (BRL / US)</t>
  </si>
  <si>
    <t>ESP growth</t>
  </si>
  <si>
    <t>Net debt / EBITDA</t>
  </si>
  <si>
    <t>Ref AGRO</t>
  </si>
  <si>
    <t>Ref CSAN</t>
  </si>
  <si>
    <t>FY2019</t>
  </si>
  <si>
    <t xml:space="preserve">Nova Fronteira </t>
  </si>
  <si>
    <t>US$c/lb</t>
  </si>
  <si>
    <t>Source</t>
  </si>
  <si>
    <t>Cane from 3rd parties</t>
  </si>
  <si>
    <t>Implied cost of owned land</t>
  </si>
  <si>
    <t>Calculated below</t>
  </si>
  <si>
    <t>Industrial costs</t>
  </si>
  <si>
    <t>Cogeneration revenues</t>
  </si>
  <si>
    <t>TRS produced ('000 tons)</t>
  </si>
  <si>
    <t>Productive owned area ('000 ha)</t>
  </si>
  <si>
    <t>Model</t>
  </si>
  <si>
    <t>Rental fee (R$ per ha)</t>
  </si>
  <si>
    <t>Cane per ha (tons)</t>
  </si>
  <si>
    <t>CONSECANA (R$/kg of ATR)</t>
  </si>
  <si>
    <t>CONSECANA</t>
  </si>
  <si>
    <t>Annual rental cost (R$ mn)</t>
  </si>
  <si>
    <t>Pg 17 4Q17 release</t>
  </si>
  <si>
    <t>Partnerships</t>
  </si>
  <si>
    <t>Capex - Planting maintenance</t>
  </si>
  <si>
    <t>Pg 25 4Q17 release</t>
  </si>
  <si>
    <t>Capex - Crop treatment</t>
  </si>
  <si>
    <t>Cogen costs</t>
  </si>
  <si>
    <t>Capex - Interharvest maintenance</t>
  </si>
  <si>
    <t>Pg 30 4Q17 release</t>
  </si>
  <si>
    <t>Depreciation add back</t>
  </si>
  <si>
    <t>Tax credits</t>
  </si>
  <si>
    <t>Reintegra</t>
  </si>
  <si>
    <t>ICMS Boa Vista</t>
  </si>
  <si>
    <t>US$ per ton (ex. owned land)</t>
  </si>
  <si>
    <t>R$/ton (ex. owned land)</t>
  </si>
  <si>
    <t>$c per lb (ex. owned land)</t>
  </si>
  <si>
    <t>Average FX 2016/17</t>
  </si>
  <si>
    <t>Provided by IR; in their contracts</t>
  </si>
  <si>
    <t>Assuming 27% of land are reserves, according to IR</t>
  </si>
  <si>
    <t>Pg 45 4Q17 DFP</t>
  </si>
  <si>
    <t>R$/m3</t>
  </si>
  <si>
    <t>Suppliers</t>
  </si>
  <si>
    <t>Own sugar cane</t>
  </si>
  <si>
    <t>Industrial</t>
  </si>
  <si>
    <t>Other products</t>
  </si>
  <si>
    <t>Ethanol imported</t>
  </si>
  <si>
    <t>Total COGS</t>
  </si>
  <si>
    <t>Off-Season Maintenance / Industrial / Agricultural</t>
  </si>
  <si>
    <t>Crop Treatament</t>
  </si>
  <si>
    <t>Total owned area ('000 ha)</t>
  </si>
  <si>
    <t>% of productive area</t>
  </si>
  <si>
    <t>Calculation of implied cost of owned land</t>
  </si>
  <si>
    <t>Origin of Processed cane (2018e, % of total)</t>
  </si>
  <si>
    <t>Sales mix (2018e, %)</t>
  </si>
  <si>
    <t>Sales mix (2017, %)</t>
  </si>
  <si>
    <t>Mix of sales (2018e, Brazil vs Exports, %)</t>
  </si>
  <si>
    <t>Cost of production</t>
  </si>
  <si>
    <t>Third-party cane</t>
  </si>
  <si>
    <t>% produced on own area</t>
  </si>
  <si>
    <t>% produced on leased area</t>
  </si>
  <si>
    <t>Cogen Valuation (includes Boa Vista)</t>
  </si>
  <si>
    <t>The trademarks and service marks contained in Morgan Stanley Research are the property of their respective owners. Third-party data providers make no warranties or representations relating to the accuracy, completeness, or timeliness of the data they provide and shall not have liability for any damages relating to such data. The Global Industry Classification Standard (GICS) was developed by and is the exclusive property of MSCI and S&amp;P.</t>
  </si>
  <si>
    <t>Morgan Stanley Research is disseminated in Brazil by Morgan Stanley C.T.V.M. S.A.; in Mexico by Morgan Stanley México, Casa de Bolsa, S.A. de C.V which is regulated by Comision Nacional Bancaria y de Valores. Paseo de los Tamarindos 90, Torre 1, Col. Bosques de las Lomas Floor 29, 05120 Mexico City; in Japan by Morgan Stanley MUFG Securities Co., Ltd. and, for Commodities related research reports only, Morgan Stanley Capital Group Japan Co., Ltd; in Hong Kong by Morgan Stanley Asia Limited (which accepts responsibility for its contents) and by Morgan Stanley Asia International Limited, Hong Kong Branch; in Singapore by Morgan Stanley Asia (Singapore) Pte. (Registration number 199206298Z) and/or Morgan Stanley Asia (Singapore) Securities Pte Ltd (Registration number 200008434H), regulated by the Monetary Authority of Singapore (which accepts legal responsibility for its contents and should be contacted with respect to any matters arising from, or in connection with, Morgan Stanley Research) and by Morgan Stanley Asia International Limited, Singapore Branch (Registration number T11FC0207F); in Australia to "wholesale clients" within the meaning of the Australian Corporations Act by Morgan Stanley Australia Limited A.B.N. 67 003 734 576, holder of Australian financial services license No. 233742, which accepts responsibility for its contents; in Australia to "wholesale clients" and "retail clients" within the meaning of the Australian Corporations Act by Morgan Stanley Wealth Management Australia Pty Ltd (A.B.N. 19 009 145 555, holder of Australian financial services license No. 240813, which accepts responsibility for its contents; in Korea by Morgan Stanley &amp; Co International plc, Seoul Branch; in India by Morgan Stanley India Company Private Limited; in Indonesia by PT. Morgan Stanley Sekuritas Indonesia; in Canada by Morgan Stanley Canada Limited, which has approved of and takes responsibility for its contents in Canada; in Germany by Morgan Stanley Bank AG, Frankfurt am Main and Morgan Stanley Private Wealth Management Limited, Niederlassung Deutschland, regulated by Bundesanstalt fuer Finanzdienstleistungsaufsicht (BaFin); in Spain by Morgan Stanley, S.V., S.A., a Morgan Stanley group company, which is supervised by the Spanish Securities Markets Commission (CNMV) and states that Morgan Stanley Research has been written and distributed in accordance with the rules of conduct applicable to financial research as established under Spanish regulations; in the US by Morgan Stanley &amp; Co. LLC, which accepts responsibility for its contents. Morgan Stanley &amp; Co. International plc, authorized by the Prudential Regulatory Authority and regulated by the Financial Conduct Authority and the Prudential Regulatory Authority, disseminates in the UK research that it has prepared, and approves solely for the purposes of section 21 of the Financial Services and Markets Act 2000, research which has been prepared by any of its affiliates. RMB Morgan Stanley Proprietary Limited is a member of the JSE Limited and regulated by the Financial Services Board in South Africa. RMB Morgan Stanley Proprietary Limited is a joint venture owned equally by Morgan Stanley International Holdings Inc. and RMB Investment Advisory (Proprietary) Limited, which is wholly owned by FirstRand Limited. The information in Morgan Stanley Research is being disseminated by Morgan Stanley Saudi Arabia, regulated by the Capital Market Authority in the Kingdom of Saudi Arabia , and is directed at Sophisticated investors only.</t>
  </si>
  <si>
    <t>Morgan Stanley is not incorporated under PRC law and the research in relation to this report is conducted outside the PRC. Morgan Stanley Research does not constitute an offer to sell or the solicitation of an offer to buy any securities in the PRC. PRC investors shall have the relevant qualifications to invest in such securities and shall be responsible for obtaining all relevant approvals, licenses, verifications and/or registrations from the relevant governmental authorities themselves. Neither this report nor any part of it is intended as, or shall constitute, provision of any consultancy or advisory service of securities investment as defined under PRC law. Such information is provided for your reference only.</t>
  </si>
  <si>
    <t>To our readers based in Taiwan or trading in Taiwan securities/instruments: Information on securities/instruments that trade in Taiwan is distributed by Morgan Stanley Taiwan Limited ("MSTL"). Such information is for your reference only. The reader should independently evaluate the investment risks and is solely responsible for their investment decisions. Morgan Stanley Research may not be distributed to the public media or quoted or used by the public media without the express written consent of Morgan Stanley. Any non-customer reader within the scope of Article 7-1 of the Taiwan Stock Exchange Recommendation Regulations accessing and/or receiving Morgan Stanley Research is not permitted to provide Morgan Stanley Research to any third party (including but not limited to related parties, affiliated companies and any other third parties) or engage in any activities regarding Morgan Stanley Research which may create or give the appearance of creating a conflict of interest. Information on securities/instruments that do not trade in Taiwan is for informational purposes only and is not to be construed as a recommendation or a solicitation to trade in such securities/instruments. MSTL may not execute transactions for clients in these securities/instruments.</t>
  </si>
  <si>
    <t>Morgan Stanley may make investment decisions that are inconsistent with the recommendations or views in this report.</t>
  </si>
  <si>
    <t>Morgan Stanley Research policy is to update research reports as and when the Research Analyst and Research Management deem appropriate, based on developments with the issuer, the sector, or the market that may have a material impact on the research views or opinions stated therein. In addition, certain Research publications are intended to be updated on a regular periodic basis (weekly/monthly/quarterly/annual) and will ordinarily be updated with that frequency, unless the Research Analyst and Research Management determine that a different publication schedule is appropriate based on current conditions.</t>
  </si>
  <si>
    <t>Data include common stock and ADRs currently assigned ratings. Investment Banking Clients are companies from whom Morgan Stanley received investment banking compensation in the last 12 months. Due to rounding off of decimals, the percentages provided in the "% of total" column may not add up to exactly 100 percent.</t>
  </si>
  <si>
    <t>% of Total Other MISC</t>
  </si>
  <si>
    <t>Other Material Investment Services Clients (MISC)</t>
  </si>
  <si>
    <t>The Stock Ratings described below apply to Morgan Stanley's Fundamental Equity Research and do not apply to Debt Research produced by the Firm.</t>
  </si>
  <si>
    <t>(as of September 30, 2017)</t>
  </si>
  <si>
    <t>Morgan Stanley and its affiliates do business that relates to companies/instruments covered in Morgan Stanley Research, including market making, providing liquidity, fund management, commercial banking, extension of credit, investment services and investment banking. Morgan Stanley sells to and buys from customers the securities/instruments of companies covered in Morgan Stanley Research on a principal basis. Morgan Stanley may have a position in the debt of the Company or instruments discussed in this report. Morgan Stanley trades or may trade as principal in the debt securities (or in related derivatives) that are the subject of the debt research report.</t>
  </si>
  <si>
    <t>The equity research analysts or strategists principally responsible for the preparation of Morgan Stanley Research have received compensation based upon various factors, including quality of research, investor client feedback, stock picking, competitive factors, firm revenues and overall investment banking revenues. Equity Research analysts' or strategists' compensation is not linked to investment banking or capital markets transactions performed by Morgan Stanley or the profitability or revenues of particular trading desks.</t>
  </si>
  <si>
    <t>For valuation methodology and risks associated with any recommendation, rating or price target referenced in this research report, please contact the Client Support Team as follows: US/Canada +1 800 303-2495; Hong Kong +852 2848-5999; Latin America +1 718 754-5444 (U.S.); London +44 (0)20-7425-8169; Singapore +65 6834-6860; Sydney +61 (0)2-9770-1505; Tokyo +81 (0)3-6836-9000. Alternatively you may contact your investment representative or Morgan Stanley Research at 1585 Broadway, (Attention: Research Management), New York, NY 10036 USA.</t>
  </si>
  <si>
    <t>The information and opinions in Morgan Stanley Research were prepared or are disseminated by Morgan Stanley &amp; Co. LLC and/or Morgan Stanley C.T.V.M. S.A. and/or Morgan Stanley México, Casa de Bolsa, S.A. de C.V. and/or Morgan Stanley Canada Limited and/or Morgan Stanley &amp; Co. International plc and/or RMB Morgan Stanley Proprietary Limited and/or Morgan Stanley MUFG Securities Co., Ltd. and/or Morgan Stanley Capital Group Japan Co., Ltd. and/or Morgan Stanley Asia Limited and/or Morgan Stanley Asia (Singapore) Pte. (Registration number 199206298Z) and/or Morgan Stanley Asia (Singapore) Securities Pte Ltd (Registration number 200008434H), regulated by the Monetary Authority of Singapore (which accepts legal responsibility for its contents and should be contacted with respect to any matters arising from, or in connection with, Morgan Stanley Research) and/or Morgan Stanley Taiwan Limited and/or Morgan Stanley &amp; Co International plc, Seoul Branch, and/or Morgan Stanley Australia Limited (A.B.N. 67 003 734 576, holder of Australian financial services license No. 233742, which accepts responsibility for its contents), and/or Morgan Stanley Wealth Management Australia Pty Ltd (A.B.N. 19 009 145 555, holder of Australian financial services license No. 240813, which accepts responsibility for its contents), and/or Morgan Stanley India Company Private Limited, regulated by the Securities and Exchange Board of India (“SEBI”) and holder of licenses as a Research Analyst (SEBI Registration No. INH000001105), Stock Broker (BSE Registration No. INB011054237 and NSE Registration No. INB/INF231054231), Merchant Banker (SEBI Registration No. INM000011203), and depository participant with National Securities Depository Limited (SEBI Registration No. IN-DP-NSDL-372-2014) which accepts the responsibility for its contents and should be contacted with respect to any matters arising from, or in connection with, Morgan Stanley Research, and/or PT. Morgan Stanley Sekuritas Indonesia and their affiliates (collectively, "Morgan Stanley").</t>
  </si>
  <si>
    <t>© 2017 Morgan Stanley. The content of this site may not be reprinted, sold or redistributed in whole or in part without prior written consent from Morgan Stanley.</t>
  </si>
  <si>
    <t>SMTO3.SA - Share related metrics are temporarily unavailable due to a recent stock split or other share adjustment.</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</si>
  <si>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</si>
  <si>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</si>
  <si>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</si>
  <si>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</si>
  <si>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</si>
  <si>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</si>
  <si>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</si>
  <si>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</si>
  <si>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Javier Martinez de Olcoz Cerdan, Roberto Browne</t>
  </si>
  <si>
    <t>Date: 10 Oct 2017</t>
  </si>
  <si>
    <t>Ticker: SMTO3.SA</t>
  </si>
  <si>
    <t>Stock Rating: Equal-Weight</t>
  </si>
  <si>
    <t>Industry: LatAm Agribusiness</t>
  </si>
  <si>
    <t>Industry View: In-Line</t>
  </si>
  <si>
    <t>Price as of 10 Oct 2017: 18.62</t>
  </si>
  <si>
    <t>Target Price: 16.3999996185303</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</si>
  <si>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</si>
  <si>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</si>
  <si>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</si>
  <si>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</si>
  <si>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</si>
  <si>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</si>
  <si>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</si>
  <si>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</si>
  <si>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</si>
  <si>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</si>
  <si>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</si>
  <si>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</si>
  <si>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</si>
  <si>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</si>
  <si>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</si>
  <si>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</si>
  <si>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</si>
  <si>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</si>
  <si>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</si>
  <si>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</si>
  <si>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</si>
  <si>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</si>
  <si>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</si>
  <si>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</si>
  <si>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</si>
  <si>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</si>
  <si>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</si>
  <si>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</si>
  <si>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</si>
  <si>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</si>
  <si>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</si>
  <si>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</si>
  <si>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</si>
  <si>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</si>
  <si>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</si>
  <si>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</si>
  <si>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</si>
  <si>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</si>
  <si>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</si>
  <si>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</si>
  <si>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</si>
  <si>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</si>
  <si>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</si>
  <si>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</si>
  <si>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</si>
  <si>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</si>
  <si>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</si>
  <si>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</si>
  <si>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</si>
  <si>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</si>
  <si>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</si>
  <si>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</si>
  <si>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</si>
  <si>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</si>
  <si>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</si>
  <si>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</si>
  <si>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</si>
  <si>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</si>
  <si>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</si>
  <si>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</si>
  <si>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</si>
  <si>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</si>
  <si>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</si>
  <si>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</si>
  <si>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</si>
  <si>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</si>
  <si>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</si>
  <si>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</si>
  <si>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</si>
  <si>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</si>
  <si>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</si>
  <si>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</si>
  <si>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</si>
  <si>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</si>
  <si>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</si>
  <si>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</si>
  <si>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</si>
  <si>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</si>
  <si>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</si>
  <si>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</si>
  <si>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</si>
  <si>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</si>
  <si>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</si>
  <si>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</si>
  <si>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</si>
  <si>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</si>
  <si>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</si>
  <si>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</si>
  <si>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</si>
  <si>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</si>
  <si>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</si>
  <si>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</si>
  <si>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</si>
  <si>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</si>
  <si>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</si>
  <si>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</si>
  <si>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</si>
  <si>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</si>
  <si>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</si>
  <si>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</si>
  <si>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</si>
  <si>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</si>
  <si>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</si>
  <si>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</si>
  <si>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</si>
  <si>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</si>
  <si>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</si>
  <si>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</si>
  <si>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</si>
  <si>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</si>
  <si>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</si>
  <si>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</si>
  <si>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</si>
  <si>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</si>
  <si>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</si>
  <si>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</si>
  <si>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</si>
  <si>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</si>
  <si>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</si>
  <si>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</si>
  <si>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</si>
  <si>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The recommendations of Javier Martinez de Olcoz Cerdan in this report reflect solely and exclusively the</t>
  </si>
  <si>
    <t>analyst's personal views and have been developed independently, including from the institution for which</t>
  </si>
  <si>
    <t>the analyst works.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</si>
  <si>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</si>
  <si>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</si>
  <si>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</si>
  <si>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</si>
  <si>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</si>
  <si>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</si>
  <si>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</si>
  <si>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</si>
  <si>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</si>
  <si>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</si>
  <si>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</si>
  <si>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</si>
  <si>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</si>
  <si>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</si>
  <si>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</si>
  <si>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</si>
  <si>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</si>
  <si>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</si>
  <si>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</si>
  <si>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</si>
  <si>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</si>
  <si>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</si>
  <si>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</si>
  <si>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</si>
  <si>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</si>
  <si>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</si>
  <si>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</si>
  <si>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</si>
  <si>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</si>
  <si>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</si>
  <si>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</si>
  <si>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</si>
  <si>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</si>
  <si>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</si>
  <si>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</si>
  <si>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</si>
  <si>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</si>
  <si>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</si>
  <si>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</si>
  <si>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</si>
  <si>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</si>
  <si>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</si>
  <si>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</si>
  <si>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</si>
  <si>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</si>
  <si>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</si>
  <si>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</si>
  <si>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</si>
  <si>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</si>
  <si>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</si>
  <si>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</si>
  <si>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</si>
  <si>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</si>
  <si>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</si>
  <si>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</si>
  <si>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</si>
  <si>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</si>
  <si>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</si>
  <si>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</si>
  <si>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</si>
  <si>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</si>
  <si>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</si>
  <si>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</si>
  <si>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</si>
  <si>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</si>
  <si>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</si>
  <si>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</si>
  <si>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</si>
  <si>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</si>
  <si>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</si>
  <si>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</si>
  <si>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</si>
  <si>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</si>
  <si>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</si>
  <si>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</si>
  <si>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</si>
  <si>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</si>
  <si>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</si>
  <si>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</si>
  <si>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</si>
  <si>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</si>
  <si>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</si>
  <si>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</si>
  <si>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</si>
  <si>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</si>
  <si>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</si>
  <si>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</si>
  <si>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</si>
  <si>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</si>
  <si>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</si>
  <si>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</si>
  <si>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</si>
  <si>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</si>
  <si>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</si>
  <si>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</si>
  <si>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</si>
  <si>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</si>
  <si>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</si>
  <si>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</si>
  <si>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</si>
  <si>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</si>
  <si>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Sao Martinho SA.</t>
  </si>
  <si>
    <t>Within the last 12 months, Morgan Stanley has provided or is providing investment banking services to,</t>
  </si>
  <si>
    <t>or has an investment banking client relationship with, the following company: Sao Martinho SA.</t>
  </si>
  <si>
    <t>Within the last 12 months, Morgan Stanley has received compensation for products and services other than</t>
  </si>
  <si>
    <t>investment banking services from Sao Martinho SA.</t>
  </si>
  <si>
    <t>In the next 3 months, Morgan Stanley expects to receive or intends to seek compensation for investment</t>
  </si>
  <si>
    <t>banking services from Sao Martinho SA.</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</si>
  <si>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</si>
  <si>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</si>
  <si>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</si>
  <si>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</si>
  <si>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</si>
  <si>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Javier Martinez de Olcoz Cerdan.</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</si>
  <si>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</si>
  <si>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</si>
  <si>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</si>
  <si>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</si>
  <si>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</si>
  <si>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</si>
  <si>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</si>
  <si>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</si>
  <si>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</si>
  <si>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</si>
  <si>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</si>
  <si>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</si>
  <si>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</si>
  <si>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</si>
  <si>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</si>
  <si>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</si>
  <si>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</si>
  <si>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</si>
  <si>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</si>
  <si>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2017 Morgan Stanley</t>
  </si>
  <si>
    <t>MacroVersion</t>
  </si>
  <si>
    <t>PublishDate</t>
  </si>
  <si>
    <t>Discipline</t>
  </si>
  <si>
    <t>ResearchTopic</t>
  </si>
  <si>
    <t>DocType</t>
  </si>
  <si>
    <t>SubjectCode</t>
  </si>
  <si>
    <t>Description</t>
  </si>
  <si>
    <t>KeepVersions</t>
  </si>
  <si>
    <t>All</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</si>
  <si>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</si>
  <si>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</si>
  <si>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</si>
  <si>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</si>
  <si>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</si>
  <si>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</si>
  <si>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</si>
  <si>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</si>
  <si>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</si>
  <si>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</si>
  <si>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</si>
  <si>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</si>
  <si>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</si>
  <si>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</si>
  <si>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</si>
  <si>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</si>
  <si>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</si>
  <si>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</si>
  <si>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</si>
  <si>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</si>
  <si>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</si>
  <si>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</si>
  <si>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</si>
  <si>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</si>
  <si>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</si>
  <si>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</si>
  <si>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</si>
  <si>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</si>
  <si>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</si>
  <si>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</si>
  <si>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</si>
  <si>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</si>
  <si>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</si>
  <si>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</si>
  <si>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</si>
  <si>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</si>
  <si>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In-Line</t>
  </si>
  <si>
    <t>Regular Update</t>
  </si>
  <si>
    <t>NorthAmerica</t>
  </si>
  <si>
    <t>mateusb</t>
  </si>
  <si>
    <t>MSA51777, MSA07PVN</t>
  </si>
  <si>
    <t>\\spn3f2\u_t1157462713\mateusb\My Documents\Request\SMTO3Model.xlsm</t>
  </si>
  <si>
    <t>[BRO MSA]</t>
  </si>
  <si>
    <t>[PRODUCT MODEL]</t>
  </si>
  <si>
    <t>[EMAIL_ALERT YES]</t>
  </si>
  <si>
    <t>[DISCIPLINE Company]</t>
  </si>
  <si>
    <t>[SUPPRESSED NO]</t>
  </si>
  <si>
    <t>[DOCDAT 2017-10-10]</t>
  </si>
  <si>
    <t>[DOCTIME 13:54]</t>
  </si>
  <si>
    <t>[PSYM SMTO3.SA(S&amp;P) (None)]</t>
  </si>
  <si>
    <t>[COU 7]</t>
  </si>
  <si>
    <t>[ANA MSA07PVN]</t>
  </si>
  <si>
    <t>[HL SMTO3.SA Model]</t>
  </si>
  <si>
    <t>[IND ]</t>
  </si>
  <si>
    <t>[PANA MSA51777]</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</si>
  <si>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</si>
  <si>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</si>
  <si>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Sheet Name</t>
  </si>
  <si>
    <t>Visible Status</t>
  </si>
  <si>
    <t>ImportantDisclosures</t>
  </si>
  <si>
    <t>SheetVisibilityStatus</t>
  </si>
  <si>
    <t>CircularReferenceAlert</t>
  </si>
  <si>
    <t>Circular Reference</t>
  </si>
  <si>
    <t>Index</t>
  </si>
  <si>
    <t>Overview--&gt;</t>
  </si>
  <si>
    <t>Summary</t>
  </si>
  <si>
    <t>Charts</t>
  </si>
  <si>
    <t>MSvsConsensus</t>
  </si>
  <si>
    <t>Valuation--&gt;</t>
  </si>
  <si>
    <t>Model--&gt;</t>
  </si>
  <si>
    <t>Structure</t>
  </si>
  <si>
    <t>Inputs</t>
  </si>
  <si>
    <t>Q_Financials</t>
  </si>
  <si>
    <t>Q_IS</t>
  </si>
  <si>
    <t>Q_BS</t>
  </si>
  <si>
    <t>CompanyData--&gt;</t>
  </si>
  <si>
    <t>Annual historicals</t>
  </si>
  <si>
    <t>Quarterly historicals</t>
  </si>
  <si>
    <t>Scenarios--&gt;</t>
  </si>
  <si>
    <t>Other--&gt;</t>
  </si>
  <si>
    <t>Ownership</t>
  </si>
  <si>
    <t>Macroeconomic</t>
  </si>
  <si>
    <t>MW-Cache</t>
  </si>
  <si>
    <t>Cost analysis</t>
  </si>
  <si>
    <t>ChartSupport</t>
  </si>
  <si>
    <t>Legal--&gt;</t>
  </si>
  <si>
    <t>Disclosures</t>
  </si>
  <si>
    <t>Disclaimers</t>
  </si>
  <si>
    <t>IndexInformation</t>
  </si>
  <si>
    <t>ModPubIndex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</si>
</sst>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73">
    <numFmt numFmtId="6" formatCode="&quot;$&quot;#,##0_);[Red]\(&quot;$&quot;#,##0\)"/>
    <numFmt numFmtId="41" formatCode="_(* #,##0_);_(* \(#,##0\);_(* &quot;-&quot;_);_(@_)"/>
    <numFmt numFmtId="44" formatCode="_(&quot;$&quot;* #,##0.00_);_(&quot;$&quot;* \(#,##0.00\);_(&quot;$&quot;* &quot;-&quot;??_);_(@_)"/>
    <numFmt numFmtId="43" formatCode="_(* #,##0.00_);_(* \(#,##0.00\);_(* &quot;-&quot;??_);_(@_)"/>
    <numFmt numFmtId="164" formatCode="_-* #,##0.00_-;\-* #,##0.00_-;_-* &quot;-&quot;??_-;_-@_-"/>
    <numFmt numFmtId="165" formatCode="0_)"/>
    <numFmt numFmtId="166" formatCode="#,##0.0_);\(#,##0.0\)"/>
    <numFmt numFmtId="167" formatCode="#,##0.0;\(#,##0.0\);0.0"/>
    <numFmt numFmtId="168" formatCode="0.0"/>
    <numFmt numFmtId="169" formatCode="_(* #,##0_);_(* \(#,##0\);_(* &quot;-&quot;??_);_(@_)"/>
    <numFmt numFmtId="171" formatCode="_(* #,##0.0_);_(* \(#,##0.0\);_(* &quot;-&quot;??_);_(@_)"/>
    <numFmt numFmtId="172" formatCode="#,##0.0"/>
    <numFmt numFmtId="173" formatCode="0.0%"/>
    <numFmt numFmtId="174" formatCode="_(* #,##0.000_);_(* \(#,##0.000\);_(* &quot;-&quot;??_);_(@_)"/>
    <numFmt numFmtId="175" formatCode="[$-409]mmm\-yy;@"/>
    <numFmt numFmtId="176" formatCode="0.000_)"/>
    <numFmt numFmtId="177" formatCode="0.0\x"/>
    <numFmt numFmtId="178" formatCode="#,##0.00&quot;&quot;;\(#,##0.00\)&quot;&quot;"/>
    <numFmt numFmtId="179" formatCode="#,##0.00&quot; e&quot;;\(#,##0.00\)&quot; e&quot;"/>
    <numFmt numFmtId="180" formatCode="[$-416]mmm\-yy;@"/>
    <numFmt numFmtId="181" formatCode="_(* #,##0.0000_);_(* \(#,##0.0000\);_(* &quot;-&quot;??_);_(@_)"/>
    <numFmt numFmtId="182" formatCode="0.0000_)"/>
    <numFmt numFmtId="183" formatCode="#,##0.0000_);\(#,##0.0000\)"/>
    <numFmt numFmtId="184" formatCode="_(* #,##0.0_);_(* \(#,##0.0\);_(* &quot;-&quot;?_);_(@_)"/>
    <numFmt numFmtId="185" formatCode="#,##0.000_);\(#,##0.000\)"/>
    <numFmt numFmtId="186" formatCode="0.0_)"/>
    <numFmt numFmtId="189" formatCode="_ * #,##0_ ;_ * \-#,##0_ ;_ * &quot;-&quot;_ ;_ @_ "/>
    <numFmt numFmtId="190" formatCode="_(&quot;$&quot;* #,##0.000_);_(&quot;$&quot;* \(#,##0.000\);_(&quot;$&quot;* &quot;-&quot;??_);_(@_)"/>
    <numFmt numFmtId="191" formatCode="_ * #,##0.00_ ;_ * \-#,##0.00_ ;_ * &quot;-&quot;??_ ;_ @_ "/>
    <numFmt numFmtId="192" formatCode="#,##0.0%;[Red]\(#,##0.0%\)"/>
    <numFmt numFmtId="193" formatCode="#,##0.0%_);\(#,##0.0%\)"/>
    <numFmt numFmtId="194" formatCode="#,##0&quot; e&quot;;\(#,##0\)&quot; e&quot;"/>
    <numFmt numFmtId="195" formatCode="General&quot;E&quot;"/>
    <numFmt numFmtId="196" formatCode="#,##0;\(#,##0\);0"/>
    <numFmt numFmtId="197" formatCode="###0&quot;E&quot;"/>
    <numFmt numFmtId="198" formatCode="#,##0.0\x"/>
    <numFmt numFmtId="199" formatCode="#,##0%_);\(#,##0%\)"/>
    <numFmt numFmtId="200" formatCode="#,##0&quot; bp&quot;;\-#,##0&quot; bp&quot;"/>
    <numFmt numFmtId="201" formatCode="0.0&quot;x&quot;"/>
    <numFmt numFmtId="202" formatCode="mm/dd/yy;@"/>
    <numFmt numFmtId="203" formatCode="d/m/yy;@"/>
    <numFmt numFmtId="204" formatCode="m/d/yy;@"/>
    <numFmt numFmtId="205" formatCode="General&quot;e&quot;"/>
    <numFmt numFmtId="206" formatCode="0.0000"/>
    <numFmt numFmtId="207" formatCode="0&quot;E&quot;"/>
    <numFmt numFmtId="208" formatCode="_(* #,##0.00_);\(* #,##0.00\);_(* &quot;-&quot;??_);_(@_)"/>
    <numFmt numFmtId="209" formatCode="_([$€-2]* #,##0.00_);_([$€-2]* \(#,##0.00\);_([$€-2]* &quot;-&quot;??_)"/>
    <numFmt numFmtId="210" formatCode="[$-816]mmm\'yy;@"/>
    <numFmt numFmtId="211" formatCode="General_)"/>
    <numFmt numFmtId="212" formatCode="_([$€]* #,##0.00_);_([$€]* \(#,##0.00\);_([$€]* &quot;-&quot;??_);_(@_)"/>
    <numFmt numFmtId="213" formatCode="\+#,##0.0_);\(#,##0.0\)"/>
    <numFmt numFmtId="214" formatCode="_(&quot;Cr$&quot;* #,##0_);_(&quot;Cr$&quot;* \(#,##0\);_(&quot;Cr$&quot;* &quot;-&quot;_);_(@_)"/>
    <numFmt numFmtId="215" formatCode="#,##0\ ;\(#,##0\);\-\ \ \ \ \ "/>
    <numFmt numFmtId="216" formatCode="#,##0\ ;\(#,##0\);\–\ \ \ \ \ "/>
    <numFmt numFmtId="217" formatCode="#,##0.00\ &quot;m³/d&quot;"/>
    <numFmt numFmtId="218" formatCode="_(&quot;R$ &quot;* #,##0.00_);_(&quot;R$ &quot;* \(#,##0.00\);_(&quot;R$ &quot;* &quot;-&quot;??_);_(@_)"/>
    <numFmt numFmtId="219" formatCode="0.0000_ ;[Red]\-0.0000\ "/>
    <numFmt numFmtId="220" formatCode="#,##0\ \ \ ;[Red]\(#,##0\)\ \ ;\—\ \ \ \ "/>
    <numFmt numFmtId="221" formatCode="#0.0%_);\(#0.0%\)"/>
    <numFmt numFmtId="222" formatCode="_(* #,##0.0_);_(* \(#,##0.0\);_(* &quot;-&quot;_);_(@_)"/>
    <numFmt numFmtId="223" formatCode="_(* #,##0.000000_);_(* \(#,##0.000000\);_(* &quot;-&quot;??_);_(@_)"/>
    <numFmt numFmtId="224" formatCode="#,##0&quot;&quot;;\(#,##0\)&quot;&quot;"/>
    <numFmt numFmtId="227" formatCode="\+#,##0&quot;bps&quot;;\-#,##0&quot;bps&quot;"/>
    <numFmt numFmtId="228" formatCode="0_);\(0\)"/>
    <numFmt numFmtId="230" formatCode="#,##0\x"/>
    <numFmt numFmtId="231" formatCode="#,##0.0%&quot;&quot;;\(#,##0.0%\)&quot;&quot;"/>
    <numFmt numFmtId="232" formatCode="#,##0.0%&quot; e&quot;;\(#,##0.0%\)&quot; e&quot;"/>
    <numFmt numFmtId="233" formatCode="#,##0.0&quot;&quot;;\(#,##0.0\)&quot;&quot;"/>
    <numFmt numFmtId="234" formatCode="#,##0.0&quot; e&quot;;\(#,##0.0\)&quot; e&quot;"/>
    <numFmt numFmtId="235" formatCode="m/d/yyyy\ h:mm:ss"/>
    <numFmt numFmtId="241" formatCode="[$-409]d\-mmm\-yy;@"/>
    <numFmt numFmtId="242" formatCode="_(* #,##0.000_);_(* \(#,##0.000\);_(* &quot;-&quot;_);_(@_)"/>
    <numFmt numFmtId="250" formatCode="mm/dd/yy\ hh:mm"/>
  </numFmts>
  <fonts count="21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u/>
      <sz val="10"/>
      <color indexed="12"/>
      <name val="Arial"/>
      <family val="2"/>
    </font>
    <font>
      <sz val="10"/>
      <name val="Courier"/>
      <family val="3"/>
    </font>
    <font>
      <sz val="8"/>
      <name val="Arial"/>
      <family val="2"/>
    </font>
    <font>
      <sz val="10"/>
      <name val="Arial"/>
      <family val="2"/>
    </font>
    <font>
      <sz val="8"/>
      <color indexed="22"/>
      <name val="Arial"/>
      <family val="2"/>
    </font>
    <font>
      <sz val="10"/>
      <name val="Times New Roman"/>
      <family val="1"/>
    </font>
    <font>
      <b/>
      <sz val="10"/>
      <color indexed="9"/>
      <name val="Arial"/>
      <family val="2"/>
    </font>
    <font>
      <sz val="10"/>
      <color indexed="9"/>
      <name val="Arial"/>
      <family val="2"/>
    </font>
    <font>
      <b/>
      <sz val="8"/>
      <name val="Arial"/>
      <family val="2"/>
    </font>
    <font>
      <b/>
      <sz val="10"/>
      <name val="Arial"/>
      <family val="2"/>
    </font>
    <font>
      <b/>
      <u/>
      <sz val="10"/>
      <name val="Arial"/>
      <family val="2"/>
    </font>
    <font>
      <b/>
      <sz val="14"/>
      <color indexed="9"/>
      <name val="Arial"/>
      <family val="2"/>
    </font>
    <font>
      <i/>
      <sz val="10"/>
      <name val="Arial"/>
      <family val="2"/>
    </font>
    <font>
      <b/>
      <sz val="12"/>
      <color indexed="9"/>
      <name val="Arial"/>
      <family val="2"/>
    </font>
    <font>
      <b/>
      <sz val="12"/>
      <name val="Arial"/>
      <family val="2"/>
    </font>
    <font>
      <sz val="10"/>
      <color indexed="12"/>
      <name val="Arial"/>
      <family val="2"/>
    </font>
    <font>
      <sz val="10"/>
      <color indexed="10"/>
      <name val="Arial"/>
      <family val="2"/>
    </font>
    <font>
      <sz val="10"/>
      <color indexed="9"/>
      <name val="Arial"/>
      <family val="2"/>
    </font>
    <font>
      <sz val="8"/>
      <color indexed="9"/>
      <name val="Arial"/>
      <family val="2"/>
    </font>
    <font>
      <b/>
      <sz val="8"/>
      <color indexed="9"/>
      <name val="Arial"/>
      <family val="2"/>
    </font>
    <font>
      <b/>
      <sz val="9"/>
      <name val="Arial"/>
      <family val="2"/>
    </font>
    <font>
      <sz val="12"/>
      <name val="Arial"/>
      <family val="2"/>
    </font>
    <font>
      <i/>
      <sz val="8"/>
      <name val="Arial"/>
      <family val="2"/>
    </font>
    <font>
      <b/>
      <i/>
      <sz val="8"/>
      <name val="Arial"/>
      <family val="2"/>
    </font>
    <font>
      <sz val="8"/>
      <color indexed="12"/>
      <name val="Arial"/>
      <family val="2"/>
    </font>
    <font>
      <sz val="10"/>
      <color indexed="22"/>
      <name val="Arial"/>
      <family val="2"/>
    </font>
    <font>
      <sz val="12"/>
      <name val="???"/>
      <family val="1"/>
      <charset val="129"/>
    </font>
    <font>
      <sz val="10"/>
      <name val="Geneva"/>
    </font>
    <font>
      <sz val="12"/>
      <name val="Times New Roman"/>
      <family val="1"/>
    </font>
    <font>
      <sz val="8"/>
      <name val="Frutiger 55"/>
      <family val="2"/>
    </font>
    <font>
      <sz val="10"/>
      <name val="Courier"/>
      <family val="3"/>
    </font>
    <font>
      <sz val="11"/>
      <color indexed="8"/>
      <name val="Calibri"/>
      <family val="2"/>
    </font>
    <font>
      <sz val="12"/>
      <name val="바탕체"/>
      <family val="1"/>
      <charset val="129"/>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16"/>
      <name val="Arial"/>
      <family val="2"/>
    </font>
    <font>
      <b/>
      <sz val="11"/>
      <color indexed="9"/>
      <name val="Arial"/>
      <family val="2"/>
    </font>
    <font>
      <i/>
      <sz val="9"/>
      <name val="Arial"/>
      <family val="2"/>
    </font>
    <font>
      <sz val="9"/>
      <color indexed="81"/>
      <name val="Tahoma"/>
      <family val="2"/>
    </font>
    <font>
      <sz val="8"/>
      <color indexed="23"/>
      <name val="Arial"/>
      <family val="2"/>
    </font>
    <font>
      <b/>
      <sz val="14"/>
      <name val="Arial"/>
      <family val="2"/>
    </font>
    <font>
      <sz val="8"/>
      <color indexed="10"/>
      <name val="Arial"/>
      <family val="2"/>
    </font>
    <font>
      <sz val="8"/>
      <color indexed="8"/>
      <name val="Arial"/>
      <family val="2"/>
    </font>
    <font>
      <b/>
      <sz val="8"/>
      <color indexed="8"/>
      <name val="Arial"/>
      <family val="2"/>
    </font>
    <font>
      <i/>
      <sz val="8"/>
      <color indexed="12"/>
      <name val="Arial"/>
      <family val="2"/>
    </font>
    <font>
      <b/>
      <sz val="9"/>
      <color indexed="81"/>
      <name val="Tahoma"/>
      <family val="2"/>
    </font>
    <font>
      <sz val="9"/>
      <color theme="3" tint="-0.249977111117893"/>
      <name val="Arial"/>
      <family val="2"/>
    </font>
    <font>
      <sz val="8"/>
      <color theme="0" tint="-0.499984740745262"/>
      <name val="Arial"/>
      <family val="2"/>
    </font>
    <font>
      <sz val="8"/>
      <color theme="3" tint="0.39997558519241921"/>
      <name val="Arial"/>
      <family val="2"/>
    </font>
    <font>
      <sz val="8"/>
      <color rgb="FF0070C0"/>
      <name val="Arial"/>
      <family val="2"/>
    </font>
    <font>
      <sz val="8"/>
      <color theme="1"/>
      <name val="Arial"/>
      <family val="2"/>
    </font>
    <font>
      <sz val="10"/>
      <color theme="0"/>
      <name val="Arial"/>
      <family val="2"/>
    </font>
    <font>
      <b/>
      <sz val="14"/>
      <color theme="0"/>
      <name val="Arial"/>
      <family val="2"/>
    </font>
    <font>
      <b/>
      <sz val="10"/>
      <color theme="0"/>
      <name val="Arial"/>
      <family val="2"/>
    </font>
    <font>
      <b/>
      <sz val="8"/>
      <color theme="0" tint="-0.499984740745262"/>
      <name val="Arial"/>
      <family val="2"/>
    </font>
    <font>
      <u/>
      <sz val="8"/>
      <color theme="3" tint="-0.249977111117893"/>
      <name val="Arial"/>
      <family val="2"/>
    </font>
    <font>
      <b/>
      <sz val="8"/>
      <color theme="3" tint="0.39997558519241921"/>
      <name val="Arial"/>
      <family val="2"/>
    </font>
    <font>
      <b/>
      <sz val="12"/>
      <color theme="0"/>
      <name val="Arial"/>
      <family val="2"/>
    </font>
    <font>
      <sz val="8"/>
      <color theme="4"/>
      <name val="Arial"/>
      <family val="2"/>
    </font>
    <font>
      <sz val="8"/>
      <color rgb="FFFF0000"/>
      <name val="Wingdings"/>
      <charset val="2"/>
    </font>
    <font>
      <b/>
      <sz val="12"/>
      <color rgb="FF000080"/>
      <name val="Arial"/>
      <family val="2"/>
    </font>
    <font>
      <sz val="10"/>
      <color rgb="FF000000"/>
      <name val="Arial"/>
      <family val="2"/>
    </font>
    <font>
      <b/>
      <sz val="8"/>
      <color indexed="17"/>
      <name val="Arial"/>
      <family val="2"/>
    </font>
    <font>
      <i/>
      <sz val="8"/>
      <color theme="3" tint="0.39997558519241921"/>
      <name val="Arial"/>
      <family val="2"/>
    </font>
    <font>
      <sz val="8"/>
      <color theme="4" tint="-0.249977111117893"/>
      <name val="Arial"/>
      <family val="2"/>
    </font>
    <font>
      <sz val="8"/>
      <color rgb="FFFF0000"/>
      <name val="Arial"/>
      <family val="2"/>
    </font>
    <font>
      <b/>
      <sz val="8"/>
      <color indexed="22"/>
      <name val="Arial"/>
      <family val="2"/>
    </font>
    <font>
      <b/>
      <sz val="8"/>
      <color indexed="23"/>
      <name val="Arial"/>
      <family val="2"/>
    </font>
    <font>
      <i/>
      <sz val="8"/>
      <color theme="4" tint="-0.249977111117893"/>
      <name val="Arial"/>
      <family val="2"/>
    </font>
    <font>
      <b/>
      <sz val="8"/>
      <color theme="0"/>
      <name val="Arial"/>
      <family val="2"/>
    </font>
    <font>
      <b/>
      <u/>
      <sz val="8"/>
      <name val="Arial"/>
      <family val="2"/>
    </font>
    <font>
      <u/>
      <sz val="8"/>
      <color indexed="12"/>
      <name val="Arial"/>
      <family val="2"/>
    </font>
    <font>
      <b/>
      <sz val="8"/>
      <color theme="1"/>
      <name val="Arial"/>
      <family val="2"/>
    </font>
    <font>
      <sz val="8"/>
      <color indexed="46"/>
      <name val="Arial"/>
      <family val="2"/>
    </font>
    <font>
      <sz val="8"/>
      <color indexed="48"/>
      <name val="Arial"/>
      <family val="2"/>
    </font>
    <font>
      <i/>
      <sz val="8"/>
      <color theme="0" tint="-0.499984740745262"/>
      <name val="Arial"/>
      <family val="2"/>
    </font>
    <font>
      <i/>
      <sz val="8"/>
      <color rgb="FFFF0000"/>
      <name val="Arial"/>
      <family val="2"/>
    </font>
    <font>
      <sz val="9"/>
      <name val="Arial"/>
      <family val="2"/>
    </font>
    <font>
      <sz val="8"/>
      <color indexed="56"/>
      <name val="Arial"/>
      <family val="2"/>
    </font>
    <font>
      <b/>
      <sz val="8"/>
      <color theme="4" tint="-0.249977111117893"/>
      <name val="Arial"/>
      <family val="2"/>
    </font>
    <font>
      <i/>
      <sz val="11"/>
      <name val="Arial"/>
      <family val="2"/>
    </font>
    <font>
      <b/>
      <sz val="8"/>
      <color rgb="FFFF0000"/>
      <name val="Arial"/>
      <family val="2"/>
    </font>
    <font>
      <b/>
      <sz val="18"/>
      <color indexed="9"/>
      <name val="Arial"/>
      <family val="2"/>
    </font>
    <font>
      <vertAlign val="superscript"/>
      <sz val="8"/>
      <name val="Arial"/>
      <family val="2"/>
    </font>
    <font>
      <b/>
      <u/>
      <sz val="8"/>
      <color rgb="FFFF0000"/>
      <name val="Arial"/>
      <family val="2"/>
    </font>
    <font>
      <sz val="8"/>
      <color theme="3" tint="-0.249977111117893"/>
      <name val="Arial"/>
      <family val="2"/>
    </font>
    <font>
      <b/>
      <sz val="8"/>
      <color rgb="FF808080"/>
      <name val="Arial"/>
      <family val="2"/>
    </font>
    <font>
      <sz val="8"/>
      <color rgb="FF808080"/>
      <name val="Arial"/>
      <family val="2"/>
    </font>
    <font>
      <sz val="8"/>
      <color indexed="62"/>
      <name val="Arial"/>
      <family val="2"/>
    </font>
    <font>
      <b/>
      <sz val="8"/>
      <color indexed="12"/>
      <name val="Arial"/>
      <family val="2"/>
    </font>
    <font>
      <sz val="10"/>
      <color indexed="8"/>
      <name val="Arial"/>
      <family val="2"/>
    </font>
    <font>
      <sz val="10"/>
      <color theme="1"/>
      <name val="Arial"/>
      <family val="2"/>
    </font>
    <font>
      <sz val="10"/>
      <name val="Helv"/>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b/>
      <sz val="10"/>
      <color indexed="8"/>
      <name val="Arial"/>
      <family val="2"/>
    </font>
    <font>
      <b/>
      <sz val="11"/>
      <name val="Arial"/>
      <family val="2"/>
    </font>
    <font>
      <sz val="11"/>
      <color rgb="FF9C0006"/>
      <name val="Calibri"/>
      <family val="2"/>
      <scheme val="minor"/>
    </font>
    <font>
      <b/>
      <sz val="11"/>
      <color theme="3"/>
      <name val="Calibri"/>
      <family val="2"/>
      <scheme val="minor"/>
    </font>
    <font>
      <sz val="11"/>
      <color rgb="FFFF000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000000"/>
      <name val="Calibri"/>
      <family val="2"/>
      <scheme val="minor"/>
    </font>
    <font>
      <sz val="10"/>
      <name val="Geneva"/>
      <family val="2"/>
    </font>
    <font>
      <b/>
      <sz val="12"/>
      <color indexed="8"/>
      <name val="Arial"/>
      <family val="2"/>
    </font>
    <font>
      <sz val="8"/>
      <name val="Times New Roman"/>
      <family val="1"/>
    </font>
    <font>
      <sz val="8"/>
      <color indexed="12"/>
      <name val="Helv"/>
    </font>
    <font>
      <sz val="12"/>
      <name val="Tms Rmn"/>
    </font>
    <font>
      <b/>
      <sz val="12"/>
      <name val="Times New Roman"/>
      <family val="1"/>
    </font>
    <font>
      <sz val="7"/>
      <name val="Times New Roman"/>
      <family val="1"/>
    </font>
    <font>
      <sz val="11"/>
      <name val="Times New Roman"/>
      <family val="1"/>
    </font>
    <font>
      <b/>
      <sz val="11"/>
      <color indexed="10"/>
      <name val="Calibri"/>
      <family val="2"/>
    </font>
    <font>
      <b/>
      <sz val="11"/>
      <name val="System"/>
      <family val="2"/>
    </font>
    <font>
      <b/>
      <sz val="10"/>
      <name val="Helv"/>
    </font>
    <font>
      <sz val="11"/>
      <name val="Tms Rmn"/>
      <family val="1"/>
    </font>
    <font>
      <sz val="8"/>
      <color indexed="8"/>
      <name val="Calibri"/>
      <family val="2"/>
    </font>
    <font>
      <sz val="10"/>
      <name val="BERNHARD"/>
    </font>
    <font>
      <sz val="10"/>
      <name val="Helv"/>
    </font>
    <font>
      <b/>
      <sz val="11"/>
      <name val="Times New Roman"/>
      <family val="1"/>
    </font>
    <font>
      <sz val="1"/>
      <color indexed="8"/>
      <name val="Courier"/>
      <family val="3"/>
    </font>
    <font>
      <b/>
      <sz val="1"/>
      <color indexed="8"/>
      <name val="Courier"/>
      <family val="3"/>
    </font>
    <font>
      <sz val="6"/>
      <color indexed="16"/>
      <name val="Palatino"/>
      <family val="1"/>
    </font>
    <font>
      <b/>
      <sz val="15"/>
      <color indexed="56"/>
      <name val="Calibri"/>
      <family val="2"/>
    </font>
    <font>
      <b/>
      <sz val="13"/>
      <color indexed="56"/>
      <name val="Calibri"/>
      <family val="2"/>
    </font>
    <font>
      <b/>
      <sz val="11"/>
      <color indexed="56"/>
      <name val="Calibri"/>
      <family val="2"/>
    </font>
    <font>
      <sz val="10"/>
      <color indexed="39"/>
      <name val="Arial"/>
      <family val="2"/>
    </font>
    <font>
      <b/>
      <sz val="16"/>
      <color indexed="23"/>
      <name val="Arial"/>
      <family val="2"/>
    </font>
    <font>
      <b/>
      <sz val="9"/>
      <name val="Palatino"/>
      <family val="1"/>
    </font>
    <font>
      <sz val="9"/>
      <name val="Helvetica-Black"/>
    </font>
    <font>
      <sz val="8"/>
      <color rgb="FF969696"/>
      <name val="Arial"/>
      <family val="2"/>
    </font>
    <font>
      <b/>
      <vertAlign val="superscript"/>
      <sz val="8"/>
      <color indexed="8"/>
      <name val="Arial"/>
      <family val="2"/>
    </font>
    <font>
      <i/>
      <sz val="8"/>
      <color theme="1"/>
      <name val="Arial"/>
      <family val="2"/>
    </font>
    <font>
      <b/>
      <i/>
      <sz val="8"/>
      <color indexed="55"/>
      <name val="Arial"/>
      <family val="2"/>
    </font>
    <font>
      <sz val="10"/>
      <name val="Frutiger 45 Light"/>
      <family val="2"/>
    </font>
    <font>
      <sz val="10"/>
      <color theme="4" tint="-0.249977111117893"/>
      <name val="Arial"/>
      <family val="2"/>
    </font>
    <font>
      <sz val="10"/>
      <color rgb="FFFF0000"/>
      <name val="Arial"/>
      <family val="2"/>
    </font>
    <font>
      <sz val="8"/>
      <color theme="0" tint="-0.249977111117893"/>
      <name val="Arial"/>
      <family val="2"/>
    </font>
    <font>
      <i/>
      <sz val="8"/>
      <color indexed="8"/>
      <name val="Arial"/>
      <family val="2"/>
    </font>
    <font>
      <b/>
      <sz val="9"/>
      <color theme="0"/>
      <name val="Arial"/>
      <family val="2"/>
    </font>
    <font>
      <sz val="9"/>
      <color theme="0"/>
      <name val="Arial"/>
      <family val="2"/>
    </font>
    <font>
      <b/>
      <sz val="9"/>
      <color indexed="9"/>
      <name val="Arial"/>
      <family val="2"/>
    </font>
    <font>
      <sz val="10"/>
      <color theme="3"/>
      <name val="Arial"/>
      <family val="2"/>
    </font>
    <font>
      <sz val="11"/>
      <name val="Arial"/>
      <family val="2"/>
    </font>
    <font>
      <b/>
      <sz val="7"/>
      <name val="Arial"/>
      <family val="2"/>
    </font>
    <font>
      <b/>
      <sz val="10"/>
      <color rgb="FFFF0000"/>
      <name val="Arial"/>
      <family val="2"/>
    </font>
    <font>
      <sz val="10"/>
      <color indexed="17"/>
      <name val="Arial"/>
      <family val="2"/>
    </font>
    <font>
      <b/>
      <sz val="10"/>
      <color indexed="52"/>
      <name val="Arial"/>
      <family val="2"/>
    </font>
    <font>
      <sz val="10"/>
      <color indexed="52"/>
      <name val="Arial"/>
      <family val="2"/>
    </font>
    <font>
      <sz val="10"/>
      <color indexed="62"/>
      <name val="Arial"/>
      <family val="2"/>
    </font>
    <font>
      <sz val="10"/>
      <color indexed="20"/>
      <name val="Arial"/>
      <family val="2"/>
    </font>
    <font>
      <b/>
      <sz val="10"/>
      <color indexed="63"/>
      <name val="Arial"/>
      <family val="2"/>
    </font>
    <font>
      <i/>
      <sz val="10"/>
      <color indexed="23"/>
      <name val="Arial"/>
      <family val="2"/>
    </font>
    <font>
      <sz val="10"/>
      <color indexed="60"/>
      <name val="Arial"/>
      <family val="2"/>
    </font>
    <font>
      <b/>
      <sz val="18"/>
      <color indexed="56"/>
      <name val="Cambria"/>
      <family val="2"/>
    </font>
    <font>
      <b/>
      <sz val="15"/>
      <color indexed="56"/>
      <name val="Arial"/>
      <family val="2"/>
    </font>
    <font>
      <b/>
      <sz val="13"/>
      <color indexed="56"/>
      <name val="Arial"/>
      <family val="2"/>
    </font>
    <font>
      <b/>
      <sz val="11"/>
      <color indexed="56"/>
      <name val="Arial"/>
      <family val="2"/>
    </font>
    <font>
      <b/>
      <sz val="8"/>
      <color rgb="FF969696"/>
      <name val="Arial"/>
      <family val="2"/>
    </font>
    <font>
      <sz val="10"/>
      <color theme="0" tint="-0.499984740745262"/>
      <name val="Arial"/>
      <family val="2"/>
    </font>
    <font>
      <b/>
      <sz val="8"/>
      <color theme="3" tint="-0.249977111117893"/>
      <name val="Arial"/>
      <family val="2"/>
    </font>
    <font>
      <b/>
      <sz val="8"/>
      <color theme="6" tint="-0.249977111117893"/>
      <name val="Arial"/>
      <family val="2"/>
    </font>
    <font>
      <sz val="8"/>
      <color theme="6" tint="-0.249977111117893"/>
      <name val="Arial"/>
      <family val="2"/>
    </font>
    <font>
      <sz val="8"/>
      <color indexed="55"/>
      <name val="Arial"/>
      <family val="2"/>
    </font>
    <font>
      <b/>
      <sz val="8"/>
      <color indexed="55"/>
      <name val="Arial"/>
      <family val="2"/>
    </font>
    <font>
      <u/>
      <sz val="10"/>
      <name val="Arial"/>
      <family val="2"/>
    </font>
    <font>
      <b/>
      <u/>
      <sz val="10"/>
      <color rgb="FFFF0000"/>
      <name val="Arial"/>
      <family val="2"/>
    </font>
    <font>
      <sz val="10"/>
      <color rgb="FF0070C0"/>
      <name val="Arial"/>
      <family val="2"/>
    </font>
    <font>
      <b/>
      <sz val="10"/>
      <color rgb="FF0070C0"/>
      <name val="Arial"/>
      <family val="2"/>
    </font>
    <font>
      <sz val="8"/>
      <color theme="9" tint="-0.499984740745262"/>
      <name val="Arial"/>
      <family val="2"/>
    </font>
    <font>
      <u/>
      <sz val="9"/>
      <color indexed="81"/>
      <name val="Tahoma"/>
      <family val="2"/>
    </font>
    <font>
      <sz val="8"/>
      <color theme="6"/>
      <name val="Arial"/>
      <family val="2"/>
    </font>
    <font>
      <sz val="8"/>
      <color theme="1"/>
      <name val="Calibri"/>
      <family val="2"/>
      <scheme val="minor"/>
    </font>
    <font>
      <b/>
      <sz val="8"/>
      <color theme="1"/>
      <name val="Calibri"/>
      <family val="2"/>
      <scheme val="minor"/>
    </font>
    <font>
      <i/>
      <sz val="8"/>
      <color theme="1"/>
      <name val="Calibri"/>
      <family val="2"/>
      <scheme val="minor"/>
    </font>
    <font>
      <sz val="14"/>
      <name val="Arial"/>
      <family val="2"/>
    </font>
    <font>
      <u/>
      <sz val="14"/>
      <name val="Arial"/>
      <family val="2"/>
    </font>
    <font>
      <b/>
      <u/>
      <sz val="14"/>
      <color indexed="10"/>
      <name val="Arial"/>
      <family val="2"/>
    </font>
    <font>
      <b/>
      <sz val="18"/>
      <name val="Arial"/>
      <family val="2"/>
    </font>
  </fonts>
  <fills count="114">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indexed="9"/>
        <bgColor indexed="64"/>
      </patternFill>
    </fill>
    <fill>
      <patternFill patternType="solid">
        <fgColor indexed="43"/>
        <bgColor indexed="64"/>
      </patternFill>
    </fill>
    <fill>
      <patternFill patternType="solid">
        <fgColor indexed="31"/>
        <bgColor indexed="31"/>
      </patternFill>
    </fill>
    <fill>
      <patternFill patternType="solid">
        <fgColor indexed="55"/>
        <bgColor indexed="64"/>
      </patternFill>
    </fill>
    <fill>
      <patternFill patternType="solid">
        <fgColor indexed="22"/>
        <bgColor indexed="64"/>
      </patternFill>
    </fill>
    <fill>
      <patternFill patternType="solid">
        <fgColor rgb="FFFFFF00"/>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indexed="64"/>
      </patternFill>
    </fill>
    <fill>
      <patternFill patternType="solid">
        <fgColor theme="2"/>
        <bgColor indexed="64"/>
      </patternFill>
    </fill>
    <fill>
      <patternFill patternType="solid">
        <fgColor theme="0" tint="-4.9989318521683403E-2"/>
        <bgColor indexed="64"/>
      </patternFill>
    </fill>
    <fill>
      <patternFill patternType="solid">
        <fgColor rgb="FF969696"/>
        <bgColor indexed="64"/>
      </patternFill>
    </fill>
    <fill>
      <patternFill patternType="solid">
        <fgColor indexed="23"/>
        <bgColor indexed="64"/>
      </patternFill>
    </fill>
    <fill>
      <patternFill patternType="solid">
        <fgColor indexed="52"/>
        <bgColor indexed="64"/>
      </patternFill>
    </fill>
    <fill>
      <patternFill patternType="solid">
        <fgColor indexed="53"/>
        <bgColor indexed="64"/>
      </patternFill>
    </fill>
    <fill>
      <patternFill patternType="solid">
        <fgColor indexed="42"/>
        <bgColor indexed="64"/>
      </patternFill>
    </fill>
    <fill>
      <patternFill patternType="solid">
        <fgColor rgb="FFFFC7CE"/>
      </patternFill>
    </fill>
    <fill>
      <patternFill patternType="solid">
        <fgColor rgb="FFC6EF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4"/>
        <bgColor indexed="64"/>
      </patternFill>
    </fill>
    <fill>
      <patternFill patternType="solid">
        <fgColor indexed="31"/>
      </patternFill>
    </fill>
    <fill>
      <patternFill patternType="solid">
        <fgColor indexed="31"/>
        <bgColor indexed="64"/>
      </patternFill>
    </fill>
    <fill>
      <patternFill patternType="solid">
        <fgColor indexed="29"/>
        <bgColor indexed="64"/>
      </patternFill>
    </fill>
    <fill>
      <patternFill patternType="solid">
        <fgColor indexed="45"/>
        <bgColor indexed="64"/>
      </patternFill>
    </fill>
    <fill>
      <patternFill patternType="solid">
        <fgColor indexed="26"/>
        <bgColor indexed="64"/>
      </patternFill>
    </fill>
    <fill>
      <patternFill patternType="solid">
        <fgColor indexed="47"/>
        <bgColor indexed="64"/>
      </patternFill>
    </fill>
    <fill>
      <patternFill patternType="solid">
        <fgColor indexed="46"/>
      </patternFill>
    </fill>
    <fill>
      <patternFill patternType="solid">
        <fgColor indexed="46"/>
        <bgColor indexed="64"/>
      </patternFill>
    </fill>
    <fill>
      <patternFill patternType="solid">
        <fgColor indexed="27"/>
        <bgColor indexed="64"/>
      </patternFill>
    </fill>
    <fill>
      <patternFill patternType="solid">
        <fgColor indexed="11"/>
      </patternFill>
    </fill>
    <fill>
      <patternFill patternType="solid">
        <fgColor indexed="11"/>
        <bgColor indexed="64"/>
      </patternFill>
    </fill>
    <fill>
      <patternFill patternType="solid">
        <fgColor indexed="51"/>
      </patternFill>
    </fill>
    <fill>
      <patternFill patternType="solid">
        <fgColor indexed="51"/>
        <bgColor indexed="64"/>
      </patternFill>
    </fill>
    <fill>
      <patternFill patternType="solid">
        <fgColor indexed="30"/>
        <bgColor indexed="64"/>
      </patternFill>
    </fill>
    <fill>
      <patternFill patternType="solid">
        <fgColor indexed="30"/>
      </patternFill>
    </fill>
    <fill>
      <patternFill patternType="solid">
        <fgColor indexed="53"/>
      </patternFill>
    </fill>
    <fill>
      <patternFill patternType="solid">
        <fgColor indexed="36"/>
        <bgColor indexed="64"/>
      </patternFill>
    </fill>
    <fill>
      <patternFill patternType="solid">
        <fgColor indexed="36"/>
      </patternFill>
    </fill>
    <fill>
      <patternFill patternType="solid">
        <fgColor indexed="49"/>
        <bgColor indexed="64"/>
      </patternFill>
    </fill>
    <fill>
      <patternFill patternType="solid">
        <fgColor indexed="52"/>
      </patternFill>
    </fill>
    <fill>
      <patternFill patternType="solid">
        <fgColor indexed="56"/>
        <bgColor indexed="64"/>
      </patternFill>
    </fill>
    <fill>
      <patternFill patternType="solid">
        <fgColor indexed="56"/>
      </patternFill>
    </fill>
    <fill>
      <patternFill patternType="solid">
        <fgColor indexed="62"/>
        <bgColor indexed="64"/>
      </patternFill>
    </fill>
    <fill>
      <patternFill patternType="solid">
        <fgColor indexed="62"/>
      </patternFill>
    </fill>
    <fill>
      <patternFill patternType="solid">
        <fgColor indexed="10"/>
        <bgColor indexed="64"/>
      </patternFill>
    </fill>
    <fill>
      <patternFill patternType="solid">
        <fgColor indexed="10"/>
      </patternFill>
    </fill>
    <fill>
      <patternFill patternType="solid">
        <fgColor indexed="57"/>
        <bgColor indexed="64"/>
      </patternFill>
    </fill>
    <fill>
      <patternFill patternType="solid">
        <fgColor indexed="57"/>
      </patternFill>
    </fill>
    <fill>
      <patternFill patternType="solid">
        <fgColor indexed="54"/>
        <bgColor indexed="64"/>
      </patternFill>
    </fill>
    <fill>
      <patternFill patternType="solid">
        <fgColor indexed="32"/>
      </patternFill>
    </fill>
    <fill>
      <patternFill patternType="solid">
        <fgColor indexed="50"/>
        <bgColor indexed="64"/>
      </patternFill>
    </fill>
    <fill>
      <patternFill patternType="lightUp">
        <fgColor indexed="22"/>
        <bgColor indexed="35"/>
      </patternFill>
    </fill>
    <fill>
      <patternFill patternType="solid">
        <fgColor indexed="35"/>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9" tint="-0.249977111117893"/>
        <bgColor indexed="64"/>
      </patternFill>
    </fill>
    <fill>
      <patternFill patternType="solid">
        <fgColor theme="7" tint="0.59999389629810485"/>
        <bgColor indexed="64"/>
      </patternFill>
    </fill>
    <fill>
      <patternFill patternType="solid">
        <fgColor rgb="FFE4F3DA"/>
        <bgColor indexed="64"/>
      </patternFill>
    </fill>
    <fill>
      <patternFill patternType="solid">
        <fgColor theme="8" tint="0.79998168889431442"/>
        <bgColor indexed="64"/>
      </patternFill>
    </fill>
    <fill>
      <patternFill patternType="solid">
        <fgColor rgb="FFFF0000"/>
        <bgColor indexed="64"/>
      </patternFill>
    </fill>
    <fill>
      <patternFill patternType="solid">
        <fgColor theme="7" tint="-0.249977111117893"/>
        <bgColor indexed="64"/>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indexed="65"/>
        <bgColor indexed="64"/>
      </patternFill>
    </fill>
  </fills>
  <borders count="16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right/>
      <top style="medium">
        <color indexed="64"/>
      </top>
      <bottom style="medium">
        <color indexed="64"/>
      </bottom>
      <diagonal/>
    </border>
    <border>
      <left/>
      <right/>
      <top/>
      <bottom style="medium">
        <color indexed="64"/>
      </bottom>
      <diagonal/>
    </border>
    <border>
      <left/>
      <right/>
      <top style="thin">
        <color indexed="55"/>
      </top>
      <bottom style="thin">
        <color indexed="55"/>
      </bottom>
      <diagonal/>
    </border>
    <border>
      <left/>
      <right/>
      <top style="thin">
        <color indexed="64"/>
      </top>
      <bottom/>
      <diagonal/>
    </border>
    <border>
      <left/>
      <right/>
      <top/>
      <bottom style="thin">
        <color indexed="64"/>
      </bottom>
      <diagonal/>
    </border>
    <border>
      <left style="thin">
        <color indexed="64"/>
      </left>
      <right/>
      <top/>
      <bottom/>
      <diagonal/>
    </border>
    <border>
      <left/>
      <right/>
      <top/>
      <bottom style="thin">
        <color indexed="23"/>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style="hair">
        <color indexed="64"/>
      </right>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top style="thin">
        <color indexed="55"/>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ck">
        <color indexed="9"/>
      </left>
      <right/>
      <top/>
      <bottom/>
      <diagonal/>
    </border>
    <border>
      <left/>
      <right/>
      <top style="dashed">
        <color indexed="64"/>
      </top>
      <bottom/>
      <diagonal/>
    </border>
    <border>
      <left/>
      <right/>
      <top/>
      <bottom style="dashed">
        <color indexed="64"/>
      </bottom>
      <diagonal/>
    </border>
    <border>
      <left/>
      <right/>
      <top style="thin">
        <color indexed="23"/>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dotted">
        <color rgb="FFFF0000"/>
      </right>
      <top/>
      <bottom/>
      <diagonal/>
    </border>
    <border>
      <left/>
      <right/>
      <top/>
      <bottom style="thin">
        <color theme="0" tint="-0.499984740745262"/>
      </bottom>
      <diagonal/>
    </border>
    <border>
      <left style="medium">
        <color theme="0"/>
      </left>
      <right style="medium">
        <color theme="0"/>
      </right>
      <top style="medium">
        <color theme="0"/>
      </top>
      <bottom/>
      <diagonal/>
    </border>
    <border>
      <left style="medium">
        <color theme="0"/>
      </left>
      <right style="medium">
        <color theme="0"/>
      </right>
      <top/>
      <bottom/>
      <diagonal/>
    </border>
    <border>
      <left style="medium">
        <color theme="0"/>
      </left>
      <right style="medium">
        <color theme="0"/>
      </right>
      <top/>
      <bottom style="medium">
        <color theme="0"/>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medium">
        <color theme="0"/>
      </left>
      <right/>
      <top style="medium">
        <color theme="0"/>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style="thick">
        <color indexed="9"/>
      </left>
      <right style="thick">
        <color indexed="9"/>
      </right>
      <top style="thin">
        <color theme="0" tint="-0.499984740745262"/>
      </top>
      <bottom/>
      <diagonal/>
    </border>
    <border>
      <left style="thin">
        <color indexed="23"/>
      </left>
      <right style="thin">
        <color indexed="23"/>
      </right>
      <top/>
      <bottom style="thin">
        <color indexed="23"/>
      </bottom>
      <diagonal/>
    </border>
    <border>
      <left style="thin">
        <color indexed="64"/>
      </left>
      <right style="thin">
        <color theme="0" tint="-0.499984740745262"/>
      </right>
      <top style="thin">
        <color indexed="64"/>
      </top>
      <bottom style="thin">
        <color indexed="64"/>
      </bottom>
      <diagonal/>
    </border>
    <border>
      <left style="thin">
        <color theme="0" tint="-0.499984740745262"/>
      </left>
      <right style="thin">
        <color theme="0" tint="-0.499984740745262"/>
      </right>
      <top style="thin">
        <color indexed="64"/>
      </top>
      <bottom style="thin">
        <color indexed="64"/>
      </bottom>
      <diagonal/>
    </border>
    <border>
      <left style="thin">
        <color indexed="64"/>
      </left>
      <right style="thin">
        <color indexed="64"/>
      </right>
      <top style="thin">
        <color indexed="64"/>
      </top>
      <bottom style="thin">
        <color theme="0" tint="-0.499984740745262"/>
      </bottom>
      <diagonal/>
    </border>
    <border>
      <left style="thin">
        <color indexed="64"/>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indexed="64"/>
      </top>
      <bottom style="thin">
        <color theme="0" tint="-0.499984740745262"/>
      </bottom>
      <diagonal/>
    </border>
    <border>
      <left style="thin">
        <color indexed="64"/>
      </left>
      <right style="thin">
        <color indexed="64"/>
      </right>
      <top/>
      <bottom style="thin">
        <color theme="0" tint="-0.499984740745262"/>
      </bottom>
      <diagonal/>
    </border>
    <border>
      <left style="thin">
        <color indexed="64"/>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indexed="64"/>
      </top>
      <bottom style="medium">
        <color indexed="64"/>
      </bottom>
      <diagonal/>
    </border>
    <border>
      <left/>
      <right style="thin">
        <color indexed="8"/>
      </right>
      <top/>
      <bottom/>
      <diagonal/>
    </border>
    <border>
      <left/>
      <right/>
      <top/>
      <bottom style="thick">
        <color indexed="62"/>
      </bottom>
      <diagonal/>
    </border>
    <border>
      <left/>
      <right/>
      <top/>
      <bottom style="medium">
        <color indexed="30"/>
      </bottom>
      <diagonal/>
    </border>
    <border>
      <left style="thin">
        <color indexed="63"/>
      </left>
      <right style="thin">
        <color indexed="63"/>
      </right>
      <top style="thin">
        <color indexed="64"/>
      </top>
      <bottom style="thin">
        <color indexed="63"/>
      </bottom>
      <diagonal/>
    </border>
    <border>
      <left/>
      <right style="hair">
        <color rgb="FFFF0000"/>
      </right>
      <top/>
      <bottom/>
      <diagonal/>
    </border>
    <border>
      <left/>
      <right style="thick">
        <color theme="0"/>
      </right>
      <top/>
      <bottom/>
      <diagonal/>
    </border>
    <border>
      <left/>
      <right style="thick">
        <color theme="0"/>
      </right>
      <top/>
      <bottom style="thin">
        <color theme="0" tint="-0.499984740745262"/>
      </bottom>
      <diagonal/>
    </border>
    <border>
      <left style="thick">
        <color indexed="9"/>
      </left>
      <right style="thick">
        <color theme="0"/>
      </right>
      <top style="thin">
        <color theme="0" tint="-0.499984740745262"/>
      </top>
      <bottom/>
      <diagonal/>
    </border>
    <border>
      <left style="thin">
        <color theme="0" tint="-0.24994659260841701"/>
      </left>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right/>
      <top/>
      <bottom style="thin">
        <color theme="0" tint="-0.1499679555650502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bottom style="thin">
        <color indexed="55"/>
      </bottom>
      <diagonal/>
    </border>
    <border>
      <left/>
      <right style="dotted">
        <color rgb="FFFF0000"/>
      </right>
      <top/>
      <bottom style="thin">
        <color theme="0" tint="-0.499984740745262"/>
      </bottom>
      <diagonal/>
    </border>
    <border>
      <left/>
      <right style="dotted">
        <color rgb="FFFF0000"/>
      </right>
      <top style="thin">
        <color indexed="64"/>
      </top>
      <bottom style="thin">
        <color indexed="64"/>
      </bottom>
      <diagonal/>
    </border>
    <border>
      <left/>
      <right style="dotted">
        <color rgb="FFFF0000"/>
      </right>
      <top/>
      <bottom style="thin">
        <color indexed="55"/>
      </bottom>
      <diagonal/>
    </border>
    <border>
      <left style="medium">
        <color indexed="64"/>
      </left>
      <right/>
      <top style="medium">
        <color indexed="64"/>
      </top>
      <bottom style="medium">
        <color indexed="64"/>
      </bottom>
      <diagonal/>
    </border>
    <border>
      <left/>
      <right/>
      <top style="medium">
        <color indexed="64"/>
      </top>
      <bottom/>
      <diagonal/>
    </border>
    <border>
      <left/>
      <right/>
      <top style="thin">
        <color indexed="62"/>
      </top>
      <bottom style="double">
        <color indexed="62"/>
      </bottom>
      <diagonal/>
    </border>
    <border>
      <left/>
      <right style="thin">
        <color theme="0" tint="-0.499984740745262"/>
      </right>
      <top/>
      <bottom/>
      <diagonal/>
    </border>
    <border>
      <left/>
      <right style="thin">
        <color theme="0" tint="-0.499984740745262"/>
      </right>
      <top style="thin">
        <color indexed="64"/>
      </top>
      <bottom style="thin">
        <color indexed="64"/>
      </bottom>
      <diagonal/>
    </border>
    <border>
      <left/>
      <right/>
      <top style="medium">
        <color indexed="64"/>
      </top>
      <bottom style="thin">
        <color theme="0" tint="-0.499984740745262"/>
      </bottom>
      <diagonal/>
    </border>
    <border>
      <left/>
      <right style="medium">
        <color indexed="64"/>
      </right>
      <top style="medium">
        <color indexed="64"/>
      </top>
      <bottom style="thin">
        <color theme="0" tint="-0.499984740745262"/>
      </bottom>
      <diagonal/>
    </border>
    <border>
      <left style="medium">
        <color indexed="64"/>
      </left>
      <right/>
      <top style="medium">
        <color indexed="64"/>
      </top>
      <bottom style="thin">
        <color theme="0" tint="-0.499984740745262"/>
      </bottom>
      <diagonal/>
    </border>
    <border>
      <left style="thin">
        <color theme="0" tint="-0.24994659260841701"/>
      </left>
      <right style="thin">
        <color theme="0" tint="-0.24994659260841701"/>
      </right>
      <top/>
      <bottom style="medium">
        <color indexed="64"/>
      </bottom>
      <diagonal/>
    </border>
    <border>
      <left style="thin">
        <color theme="0" tint="-0.24994659260841701"/>
      </left>
      <right style="medium">
        <color indexed="64"/>
      </right>
      <top/>
      <bottom style="medium">
        <color indexed="64"/>
      </bottom>
      <diagonal/>
    </border>
    <border>
      <left style="medium">
        <color indexed="64"/>
      </left>
      <right style="thin">
        <color theme="0" tint="-0.24994659260841701"/>
      </right>
      <top/>
      <bottom style="medium">
        <color indexed="64"/>
      </bottom>
      <diagonal/>
    </border>
    <border>
      <left/>
      <right style="thin">
        <color theme="0" tint="-0.24994659260841701"/>
      </right>
      <top/>
      <bottom style="medium">
        <color indexed="64"/>
      </bottom>
      <diagonal/>
    </border>
    <border>
      <left style="thin">
        <color theme="0" tint="-0.24994659260841701"/>
      </left>
      <right/>
      <top/>
      <bottom style="medium">
        <color indexed="64"/>
      </bottom>
      <diagonal/>
    </border>
    <border>
      <left style="thin">
        <color theme="0" tint="-0.499984740745262"/>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theme="0" tint="-0.499984740745262"/>
      </right>
      <top style="medium">
        <color indexed="64"/>
      </top>
      <bottom style="medium">
        <color indexed="64"/>
      </bottom>
      <diagonal/>
    </border>
    <border>
      <left style="dotted">
        <color indexed="64"/>
      </left>
      <right/>
      <top/>
      <bottom/>
      <diagonal/>
    </border>
    <border>
      <left/>
      <right style="dotted">
        <color indexed="64"/>
      </right>
      <top/>
      <bottom/>
      <diagonal/>
    </border>
    <border>
      <left style="dotted">
        <color indexed="64"/>
      </left>
      <right/>
      <top style="medium">
        <color indexed="64"/>
      </top>
      <bottom/>
      <diagonal/>
    </border>
    <border>
      <left/>
      <right style="dotted">
        <color indexed="64"/>
      </right>
      <top style="medium">
        <color indexed="64"/>
      </top>
      <bottom/>
      <diagonal/>
    </border>
    <border>
      <left style="dotted">
        <color theme="0" tint="-0.499984740745262"/>
      </left>
      <right/>
      <top/>
      <bottom/>
      <diagonal/>
    </border>
    <border>
      <left style="dotted">
        <color theme="0" tint="-0.499984740745262"/>
      </left>
      <right/>
      <top style="thin">
        <color theme="0" tint="-0.499984740745262"/>
      </top>
      <bottom/>
      <diagonal/>
    </border>
    <border>
      <left/>
      <right style="dotted">
        <color theme="0" tint="-0.499984740745262"/>
      </right>
      <top style="thin">
        <color theme="0" tint="-0.499984740745262"/>
      </top>
      <bottom/>
      <diagonal/>
    </border>
    <border>
      <left/>
      <right style="dotted">
        <color theme="0" tint="-0.499984740745262"/>
      </right>
      <top/>
      <bottom/>
      <diagonal/>
    </border>
    <border>
      <left style="dotted">
        <color indexed="64"/>
      </left>
      <right/>
      <top style="thin">
        <color indexed="64"/>
      </top>
      <bottom/>
      <diagonal/>
    </border>
    <border>
      <left/>
      <right style="dotted">
        <color indexed="64"/>
      </right>
      <top style="thin">
        <color indexed="64"/>
      </top>
      <bottom/>
      <diagonal/>
    </border>
    <border>
      <left style="dotted">
        <color indexed="64"/>
      </left>
      <right/>
      <top/>
      <bottom style="thin">
        <color indexed="64"/>
      </bottom>
      <diagonal/>
    </border>
    <border>
      <left/>
      <right style="dotted">
        <color indexed="64"/>
      </right>
      <top/>
      <bottom style="thin">
        <color indexed="64"/>
      </bottom>
      <diagonal/>
    </border>
    <border>
      <left style="dotted">
        <color indexed="64"/>
      </left>
      <right/>
      <top/>
      <bottom style="medium">
        <color indexed="64"/>
      </bottom>
      <diagonal/>
    </border>
    <border>
      <left/>
      <right style="dotted">
        <color indexed="64"/>
      </right>
      <top/>
      <bottom style="medium">
        <color indexed="64"/>
      </bottom>
      <diagonal/>
    </border>
    <border>
      <left style="thin">
        <color indexed="64"/>
      </left>
      <right/>
      <top/>
      <bottom style="thin">
        <color theme="0" tint="-0.499984740745262"/>
      </bottom>
      <diagonal/>
    </border>
    <border>
      <left/>
      <right style="thin">
        <color indexed="64"/>
      </right>
      <top/>
      <bottom style="thin">
        <color theme="0" tint="-0.499984740745262"/>
      </bottom>
      <diagonal/>
    </border>
    <border>
      <left style="thin">
        <color theme="0" tint="-0.499984740745262"/>
      </left>
      <right/>
      <top style="thin">
        <color theme="0" tint="-0.499984740745262"/>
      </top>
      <bottom/>
      <diagonal/>
    </border>
    <border>
      <left style="thin">
        <color indexed="55"/>
      </left>
      <right/>
      <top/>
      <bottom style="thin">
        <color indexed="55"/>
      </bottom>
      <diagonal/>
    </border>
    <border>
      <left style="dotted">
        <color theme="0" tint="-0.499984740745262"/>
      </left>
      <right/>
      <top/>
      <bottom style="thin">
        <color indexed="55"/>
      </bottom>
      <diagonal/>
    </border>
    <border>
      <left/>
      <right style="dotted">
        <color theme="0" tint="-0.499984740745262"/>
      </right>
      <top/>
      <bottom style="thin">
        <color indexed="55"/>
      </bottom>
      <diagonal/>
    </border>
    <border>
      <left/>
      <right style="thin">
        <color indexed="55"/>
      </right>
      <top/>
      <bottom style="thin">
        <color indexed="55"/>
      </bottom>
      <diagonal/>
    </border>
    <border>
      <left/>
      <right style="thin">
        <color indexed="55"/>
      </right>
      <top style="thin">
        <color indexed="55"/>
      </top>
      <bottom/>
      <diagonal/>
    </border>
    <border>
      <left style="dotted">
        <color theme="0" tint="-0.499984740745262"/>
      </left>
      <right/>
      <top style="thin">
        <color indexed="55"/>
      </top>
      <bottom style="thin">
        <color indexed="55"/>
      </bottom>
      <diagonal/>
    </border>
    <border>
      <left/>
      <right style="dotted">
        <color theme="0" tint="-0.499984740745262"/>
      </right>
      <top style="thin">
        <color indexed="55"/>
      </top>
      <bottom style="thin">
        <color indexed="5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indexed="64"/>
      </right>
      <top/>
      <bottom style="thin">
        <color indexed="64"/>
      </bottom>
      <diagonal/>
    </border>
    <border>
      <left/>
      <right style="dotted">
        <color rgb="FFFF0000"/>
      </right>
      <top style="thin">
        <color indexed="55"/>
      </top>
      <bottom/>
      <diagonal/>
    </border>
    <border>
      <left style="thin">
        <color indexed="64"/>
      </left>
      <right/>
      <top style="thin">
        <color theme="0" tint="-0.499984740745262"/>
      </top>
      <bottom/>
      <diagonal/>
    </border>
    <border>
      <left/>
      <right style="thin">
        <color indexed="64"/>
      </right>
      <top style="thin">
        <color theme="0" tint="-0.499984740745262"/>
      </top>
      <bottom/>
      <diagonal/>
    </border>
    <border>
      <left style="thin">
        <color indexed="64"/>
      </left>
      <right style="dotted">
        <color rgb="FFFF0000"/>
      </right>
      <top style="thin">
        <color indexed="64"/>
      </top>
      <bottom style="thin">
        <color indexed="64"/>
      </bottom>
      <diagonal/>
    </border>
    <border>
      <left style="dotted">
        <color rgb="FFFF0000"/>
      </left>
      <right/>
      <top/>
      <bottom style="thin">
        <color indexed="64"/>
      </bottom>
      <diagonal/>
    </border>
    <border>
      <left style="dotted">
        <color rgb="FFFF0000"/>
      </left>
      <right/>
      <top style="thin">
        <color auto="1"/>
      </top>
      <bottom/>
      <diagonal/>
    </border>
    <border>
      <left/>
      <right/>
      <top style="thin">
        <color auto="1"/>
      </top>
      <bottom/>
      <diagonal/>
    </border>
    <border>
      <left/>
      <right style="thin">
        <color indexed="64"/>
      </right>
      <top style="thin">
        <color auto="1"/>
      </top>
      <bottom/>
      <diagonal/>
    </border>
    <border>
      <left style="thin">
        <color indexed="64"/>
      </left>
      <right/>
      <top style="thin">
        <color auto="1"/>
      </top>
      <bottom/>
      <diagonal/>
    </border>
    <border>
      <left style="dotted">
        <color rgb="FFFF0000"/>
      </left>
      <right/>
      <top/>
      <bottom/>
      <diagonal/>
    </border>
    <border>
      <left/>
      <right/>
      <top style="dashed">
        <color auto="1"/>
      </top>
      <bottom style="dashed">
        <color auto="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21563">
    <xf numFmtId="0" fontId="0" fillId="0" borderId="0"/>
    <xf numFmtId="0" fontId="7" fillId="0" borderId="0"/>
    <xf numFmtId="189" fontId="35" fillId="0" borderId="0" applyFont="0" applyFill="0" applyBorder="0" applyAlignment="0" applyProtection="0"/>
    <xf numFmtId="0" fontId="35" fillId="0" borderId="0" applyFon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7" fillId="0" borderId="0"/>
    <xf numFmtId="0" fontId="7" fillId="0" borderId="0"/>
    <xf numFmtId="0" fontId="7" fillId="0" borderId="0"/>
    <xf numFmtId="0" fontId="40" fillId="2" borderId="0" applyNumberFormat="0" applyBorder="0" applyAlignment="0" applyProtection="0"/>
    <xf numFmtId="0" fontId="40" fillId="3" borderId="0" applyNumberFormat="0" applyBorder="0" applyAlignment="0" applyProtection="0"/>
    <xf numFmtId="0" fontId="40" fillId="4" borderId="0" applyNumberFormat="0" applyBorder="0" applyAlignment="0" applyProtection="0"/>
    <xf numFmtId="0" fontId="40" fillId="2" borderId="0" applyNumberFormat="0" applyBorder="0" applyAlignment="0" applyProtection="0"/>
    <xf numFmtId="0" fontId="40" fillId="5" borderId="0" applyNumberFormat="0" applyBorder="0" applyAlignment="0" applyProtection="0"/>
    <xf numFmtId="0" fontId="40" fillId="4" borderId="0" applyNumberFormat="0" applyBorder="0" applyAlignment="0" applyProtection="0"/>
    <xf numFmtId="0" fontId="40" fillId="6" borderId="0" applyNumberFormat="0" applyBorder="0" applyAlignment="0" applyProtection="0"/>
    <xf numFmtId="0" fontId="40" fillId="3" borderId="0" applyNumberFormat="0" applyBorder="0" applyAlignment="0" applyProtection="0"/>
    <xf numFmtId="0" fontId="40" fillId="4" borderId="0" applyNumberFormat="0" applyBorder="0" applyAlignment="0" applyProtection="0"/>
    <xf numFmtId="0" fontId="40" fillId="6" borderId="0" applyNumberFormat="0" applyBorder="0" applyAlignment="0" applyProtection="0"/>
    <xf numFmtId="0" fontId="40" fillId="7" borderId="0" applyNumberFormat="0" applyBorder="0" applyAlignment="0" applyProtection="0"/>
    <xf numFmtId="0" fontId="40" fillId="4" borderId="0" applyNumberFormat="0" applyBorder="0" applyAlignment="0" applyProtection="0"/>
    <xf numFmtId="0" fontId="42" fillId="8" borderId="0" applyNumberFormat="0" applyBorder="0" applyAlignment="0" applyProtection="0"/>
    <xf numFmtId="0" fontId="42" fillId="3" borderId="0" applyNumberFormat="0" applyBorder="0" applyAlignment="0" applyProtection="0"/>
    <xf numFmtId="0" fontId="42" fillId="9" borderId="0" applyNumberFormat="0" applyBorder="0" applyAlignment="0" applyProtection="0"/>
    <xf numFmtId="0" fontId="42" fillId="6" borderId="0" applyNumberFormat="0" applyBorder="0" applyAlignment="0" applyProtection="0"/>
    <xf numFmtId="0" fontId="42" fillId="8" borderId="0" applyNumberFormat="0" applyBorder="0" applyAlignment="0" applyProtection="0"/>
    <xf numFmtId="0" fontId="42" fillId="4" borderId="0" applyNumberFormat="0" applyBorder="0" applyAlignment="0" applyProtection="0"/>
    <xf numFmtId="0" fontId="42" fillId="8" borderId="0" applyNumberFormat="0" applyBorder="0" applyAlignment="0" applyProtection="0"/>
    <xf numFmtId="0" fontId="42" fillId="3" borderId="0" applyNumberFormat="0" applyBorder="0" applyAlignment="0" applyProtection="0"/>
    <xf numFmtId="0" fontId="42" fillId="9" borderId="0" applyNumberFormat="0" applyBorder="0" applyAlignment="0" applyProtection="0"/>
    <xf numFmtId="0" fontId="42" fillId="10" borderId="0" applyNumberFormat="0" applyBorder="0" applyAlignment="0" applyProtection="0"/>
    <xf numFmtId="0" fontId="42" fillId="8" borderId="0" applyNumberFormat="0" applyBorder="0" applyAlignment="0" applyProtection="0"/>
    <xf numFmtId="0" fontId="42" fillId="3" borderId="0" applyNumberFormat="0" applyBorder="0" applyAlignment="0" applyProtection="0"/>
    <xf numFmtId="0" fontId="43" fillId="11" borderId="0" applyNumberFormat="0" applyBorder="0" applyAlignment="0" applyProtection="0"/>
    <xf numFmtId="0" fontId="7" fillId="0" borderId="0"/>
    <xf numFmtId="0" fontId="44" fillId="12" borderId="1" applyNumberFormat="0" applyAlignment="0" applyProtection="0"/>
    <xf numFmtId="0" fontId="45" fillId="13" borderId="2" applyNumberFormat="0" applyAlignment="0" applyProtection="0"/>
    <xf numFmtId="43" fontId="8" fillId="0" borderId="0" applyFont="0" applyFill="0" applyBorder="0" applyAlignment="0" applyProtection="0"/>
    <xf numFmtId="43" fontId="12" fillId="0" borderId="0" applyFont="0" applyFill="0" applyBorder="0" applyAlignment="0" applyProtection="0"/>
    <xf numFmtId="44" fontId="8" fillId="0" borderId="0" applyFont="0" applyFill="0" applyBorder="0" applyAlignment="0" applyProtection="0"/>
    <xf numFmtId="0" fontId="46" fillId="0" borderId="0" applyNumberFormat="0" applyFill="0" applyBorder="0" applyAlignment="0" applyProtection="0"/>
    <xf numFmtId="0" fontId="47" fillId="14" borderId="0" applyNumberFormat="0" applyBorder="0" applyAlignment="0" applyProtection="0"/>
    <xf numFmtId="0" fontId="48" fillId="0" borderId="3" applyNumberFormat="0" applyFill="0" applyAlignment="0" applyProtection="0"/>
    <xf numFmtId="0" fontId="49" fillId="0" borderId="4" applyNumberFormat="0" applyFill="0" applyAlignment="0" applyProtection="0"/>
    <xf numFmtId="0" fontId="50" fillId="0" borderId="5" applyNumberFormat="0" applyFill="0" applyAlignment="0" applyProtection="0"/>
    <xf numFmtId="0" fontId="50" fillId="0" borderId="0" applyNumberFormat="0" applyFill="0" applyBorder="0" applyAlignment="0" applyProtection="0"/>
    <xf numFmtId="0" fontId="9" fillId="0" borderId="0" applyNumberFormat="0" applyFill="0" applyBorder="0" applyAlignment="0" applyProtection="0"/>
    <xf numFmtId="0" fontId="51" fillId="4" borderId="1" applyNumberFormat="0" applyAlignment="0" applyProtection="0"/>
    <xf numFmtId="0" fontId="52" fillId="0" borderId="6" applyNumberFormat="0" applyFill="0" applyAlignment="0" applyProtection="0"/>
    <xf numFmtId="181" fontId="12" fillId="0" borderId="0">
      <alignment horizontal="right"/>
    </xf>
    <xf numFmtId="181" fontId="12" fillId="0" borderId="0">
      <alignment horizontal="right"/>
    </xf>
    <xf numFmtId="181" fontId="12" fillId="0" borderId="0">
      <alignment horizontal="right"/>
    </xf>
    <xf numFmtId="0" fontId="36" fillId="0" borderId="0"/>
    <xf numFmtId="0" fontId="36" fillId="0" borderId="0"/>
    <xf numFmtId="190" fontId="12" fillId="0" borderId="0"/>
    <xf numFmtId="0" fontId="36" fillId="0" borderId="0"/>
    <xf numFmtId="0" fontId="37" fillId="0" borderId="0"/>
    <xf numFmtId="181" fontId="12" fillId="0" borderId="0">
      <alignment horizontal="right"/>
    </xf>
    <xf numFmtId="181" fontId="12" fillId="0" borderId="0">
      <alignment horizontal="right"/>
    </xf>
    <xf numFmtId="181" fontId="12" fillId="0" borderId="0">
      <alignment horizontal="right"/>
    </xf>
    <xf numFmtId="0" fontId="36" fillId="0" borderId="0"/>
    <xf numFmtId="0" fontId="36" fillId="0" borderId="0"/>
    <xf numFmtId="190" fontId="12" fillId="0" borderId="0"/>
    <xf numFmtId="0" fontId="36" fillId="0" borderId="0"/>
    <xf numFmtId="0" fontId="37" fillId="0" borderId="0"/>
    <xf numFmtId="181" fontId="12" fillId="0" borderId="0">
      <alignment horizontal="right"/>
    </xf>
    <xf numFmtId="181" fontId="12" fillId="0" borderId="0">
      <alignment horizontal="right"/>
    </xf>
    <xf numFmtId="181" fontId="12" fillId="0" borderId="0">
      <alignment horizontal="right"/>
    </xf>
    <xf numFmtId="0" fontId="36" fillId="0" borderId="0"/>
    <xf numFmtId="0" fontId="36" fillId="0" borderId="0"/>
    <xf numFmtId="0" fontId="36" fillId="0" borderId="0"/>
    <xf numFmtId="0" fontId="38" fillId="15" borderId="0">
      <alignment horizontal="right"/>
    </xf>
    <xf numFmtId="191" fontId="38" fillId="15" borderId="0">
      <alignment horizontal="right"/>
    </xf>
    <xf numFmtId="0" fontId="36" fillId="0" borderId="0"/>
    <xf numFmtId="192" fontId="36" fillId="0" borderId="0"/>
    <xf numFmtId="0" fontId="36" fillId="0" borderId="0"/>
    <xf numFmtId="0" fontId="36" fillId="0" borderId="0"/>
    <xf numFmtId="192" fontId="36" fillId="0" borderId="0"/>
    <xf numFmtId="0" fontId="36" fillId="0" borderId="0"/>
    <xf numFmtId="0" fontId="36" fillId="0" borderId="0"/>
    <xf numFmtId="0" fontId="36" fillId="0" borderId="0"/>
    <xf numFmtId="0" fontId="36" fillId="0" borderId="0"/>
    <xf numFmtId="0" fontId="37" fillId="0" borderId="0"/>
    <xf numFmtId="0" fontId="36" fillId="0" borderId="0"/>
    <xf numFmtId="191" fontId="38" fillId="15" borderId="0">
      <alignment horizontal="right"/>
    </xf>
    <xf numFmtId="190" fontId="12" fillId="0" borderId="0"/>
    <xf numFmtId="0" fontId="36" fillId="0" borderId="0"/>
    <xf numFmtId="0" fontId="37" fillId="0" borderId="0"/>
    <xf numFmtId="0" fontId="53" fillId="4" borderId="0" applyNumberFormat="0" applyBorder="0" applyAlignment="0" applyProtection="0"/>
    <xf numFmtId="0" fontId="12" fillId="0" borderId="0"/>
    <xf numFmtId="0" fontId="12" fillId="0" borderId="0"/>
    <xf numFmtId="165" fontId="10" fillId="0" borderId="0"/>
    <xf numFmtId="0" fontId="8" fillId="0" borderId="0"/>
    <xf numFmtId="0" fontId="8" fillId="0" borderId="0"/>
    <xf numFmtId="0" fontId="11" fillId="0" borderId="0" applyNumberFormat="0" applyFill="0" applyBorder="0" applyAlignment="0"/>
    <xf numFmtId="0" fontId="12" fillId="0" borderId="0"/>
    <xf numFmtId="165" fontId="10" fillId="0" borderId="0"/>
    <xf numFmtId="0" fontId="12" fillId="0" borderId="0"/>
    <xf numFmtId="0" fontId="8" fillId="0" borderId="0"/>
    <xf numFmtId="0" fontId="13" fillId="0" borderId="0"/>
    <xf numFmtId="0" fontId="14" fillId="0" borderId="0"/>
    <xf numFmtId="0" fontId="7" fillId="4" borderId="7" applyNumberFormat="0" applyFont="0" applyAlignment="0" applyProtection="0"/>
    <xf numFmtId="0" fontId="54" fillId="12" borderId="8" applyNumberFormat="0" applyAlignment="0" applyProtection="0"/>
    <xf numFmtId="0" fontId="7" fillId="0" borderId="0">
      <alignment vertical="center"/>
    </xf>
    <xf numFmtId="9" fontId="8" fillId="0" borderId="0" applyFont="0" applyFill="0" applyBorder="0" applyAlignment="0" applyProtection="0"/>
    <xf numFmtId="0" fontId="12" fillId="16" borderId="0" applyNumberFormat="0" applyFont="0" applyBorder="0" applyAlignment="0" applyProtection="0"/>
    <xf numFmtId="0" fontId="7" fillId="0" borderId="0"/>
    <xf numFmtId="0" fontId="7" fillId="0" borderId="9">
      <alignment horizontal="centerContinuous"/>
    </xf>
    <xf numFmtId="0" fontId="7" fillId="0" borderId="9"/>
    <xf numFmtId="0" fontId="55" fillId="0" borderId="0" applyNumberFormat="0" applyFill="0" applyBorder="0" applyAlignment="0" applyProtection="0"/>
    <xf numFmtId="0" fontId="12" fillId="0" borderId="0" applyBorder="0"/>
    <xf numFmtId="0" fontId="56" fillId="0" borderId="10" applyNumberFormat="0" applyFill="0" applyAlignment="0" applyProtection="0"/>
    <xf numFmtId="39" fontId="39" fillId="17" borderId="0"/>
    <xf numFmtId="0" fontId="57" fillId="0" borderId="0" applyNumberFormat="0" applyFill="0" applyBorder="0" applyAlignment="0" applyProtection="0"/>
    <xf numFmtId="189" fontId="41" fillId="0" borderId="0" applyFont="0" applyFill="0" applyBorder="0" applyAlignment="0" applyProtection="0"/>
    <xf numFmtId="0" fontId="41"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9" fillId="0" borderId="0" applyNumberFormat="0" applyFill="0" applyBorder="0" applyAlignment="0" applyProtection="0">
      <alignment vertical="top"/>
      <protection locked="0"/>
    </xf>
    <xf numFmtId="0" fontId="7" fillId="0" borderId="0" applyNumberFormat="0" applyFill="0" applyBorder="0" applyAlignment="0" applyProtection="0"/>
    <xf numFmtId="0" fontId="7" fillId="0" borderId="0"/>
    <xf numFmtId="0" fontId="7" fillId="0" borderId="0"/>
    <xf numFmtId="0" fontId="7" fillId="0" borderId="0"/>
    <xf numFmtId="0" fontId="7" fillId="0" borderId="0" applyNumberFormat="0" applyFill="0" applyBorder="0" applyAlignment="0" applyProtection="0"/>
    <xf numFmtId="0" fontId="7" fillId="0" borderId="0" applyNumberFormat="0" applyFill="0" applyBorder="0" applyAlignment="0" applyProtection="0"/>
    <xf numFmtId="0" fontId="7" fillId="0" borderId="0"/>
    <xf numFmtId="0" fontId="7" fillId="0" borderId="0"/>
    <xf numFmtId="0" fontId="7"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7" fillId="0" borderId="0"/>
    <xf numFmtId="0" fontId="123" fillId="33" borderId="0" applyNumberFormat="0" applyBorder="0" applyAlignment="0" applyProtection="0"/>
    <xf numFmtId="0" fontId="117" fillId="0" borderId="0"/>
    <xf numFmtId="0" fontId="117" fillId="0" borderId="0"/>
    <xf numFmtId="0" fontId="117" fillId="0" borderId="0"/>
    <xf numFmtId="208" fontId="18" fillId="0" borderId="0" applyFont="0" applyFill="0" applyBorder="0" applyAlignment="0" applyProtection="0"/>
    <xf numFmtId="43" fontId="7" fillId="0" borderId="0" applyFont="0" applyFill="0" applyBorder="0" applyAlignment="0" applyProtection="0"/>
    <xf numFmtId="43" fontId="6" fillId="0" borderId="0" applyFont="0" applyFill="0" applyBorder="0" applyAlignment="0" applyProtection="0"/>
    <xf numFmtId="6" fontId="116" fillId="0" borderId="0" applyFont="0" applyFill="0" applyBorder="0" applyAlignment="0" applyProtection="0"/>
    <xf numFmtId="44" fontId="7" fillId="0" borderId="0" applyFont="0" applyFill="0" applyBorder="0" applyAlignment="0" applyProtection="0"/>
    <xf numFmtId="181" fontId="7" fillId="0" borderId="0">
      <alignment horizontal="right"/>
    </xf>
    <xf numFmtId="181" fontId="7" fillId="0" borderId="0">
      <alignment horizontal="right"/>
    </xf>
    <xf numFmtId="181" fontId="7" fillId="0" borderId="0">
      <alignment horizontal="right"/>
    </xf>
    <xf numFmtId="190" fontId="7" fillId="0" borderId="0"/>
    <xf numFmtId="181" fontId="7" fillId="0" borderId="0">
      <alignment horizontal="right"/>
    </xf>
    <xf numFmtId="181" fontId="7" fillId="0" borderId="0">
      <alignment horizontal="right"/>
    </xf>
    <xf numFmtId="181" fontId="7" fillId="0" borderId="0">
      <alignment horizontal="right"/>
    </xf>
    <xf numFmtId="190" fontId="7" fillId="0" borderId="0"/>
    <xf numFmtId="181" fontId="7" fillId="0" borderId="0">
      <alignment horizontal="right"/>
    </xf>
    <xf numFmtId="181" fontId="7" fillId="0" borderId="0">
      <alignment horizontal="right"/>
    </xf>
    <xf numFmtId="181" fontId="7" fillId="0" borderId="0">
      <alignment horizontal="right"/>
    </xf>
    <xf numFmtId="37" fontId="7" fillId="0" borderId="0" applyFont="0" applyFill="0" applyBorder="0" applyAlignment="0" applyProtection="0"/>
    <xf numFmtId="190" fontId="7" fillId="0" borderId="0"/>
    <xf numFmtId="0" fontId="7" fillId="0" borderId="0"/>
    <xf numFmtId="0" fontId="7" fillId="0" borderId="0"/>
    <xf numFmtId="0" fontId="6" fillId="0" borderId="0"/>
    <xf numFmtId="0" fontId="118" fillId="0" borderId="0">
      <alignment vertical="center"/>
    </xf>
    <xf numFmtId="9" fontId="7" fillId="0" borderId="0" applyFont="0" applyFill="0" applyBorder="0" applyAlignment="0" applyProtection="0"/>
    <xf numFmtId="9" fontId="6" fillId="0" borderId="0" applyFont="0" applyFill="0" applyBorder="0" applyAlignment="0" applyProtection="0"/>
    <xf numFmtId="0" fontId="7" fillId="16" borderId="0" applyNumberFormat="0" applyFont="0" applyBorder="0" applyAlignment="0" applyProtection="0"/>
    <xf numFmtId="0" fontId="119" fillId="0" borderId="0"/>
    <xf numFmtId="0" fontId="119" fillId="0" borderId="0"/>
    <xf numFmtId="0" fontId="119" fillId="0" borderId="0"/>
    <xf numFmtId="0" fontId="119" fillId="0" borderId="9">
      <alignment horizontal="centerContinuous"/>
    </xf>
    <xf numFmtId="0" fontId="119" fillId="0" borderId="9">
      <alignment horizontal="centerContinuous"/>
    </xf>
    <xf numFmtId="0" fontId="119" fillId="0" borderId="9">
      <alignment horizontal="centerContinuous"/>
    </xf>
    <xf numFmtId="0" fontId="120" fillId="0" borderId="9"/>
    <xf numFmtId="0" fontId="115" fillId="0" borderId="0"/>
    <xf numFmtId="0" fontId="7" fillId="0" borderId="0">
      <alignment vertical="top"/>
    </xf>
    <xf numFmtId="0" fontId="100" fillId="0" borderId="0">
      <alignment vertical="top"/>
    </xf>
    <xf numFmtId="0" fontId="100" fillId="0" borderId="0">
      <alignment vertical="top"/>
    </xf>
    <xf numFmtId="0" fontId="100" fillId="0" borderId="0">
      <alignment vertical="top"/>
    </xf>
    <xf numFmtId="0" fontId="7" fillId="15" borderId="0"/>
    <xf numFmtId="39" fontId="10" fillId="17" borderId="0"/>
    <xf numFmtId="0" fontId="7" fillId="16" borderId="0" applyNumberFormat="0" applyFont="0" applyBorder="0" applyAlignment="0" applyProtection="0"/>
    <xf numFmtId="44" fontId="7" fillId="0" borderId="0" applyFont="0" applyFill="0" applyBorder="0" applyAlignment="0" applyProtection="0"/>
    <xf numFmtId="0" fontId="138" fillId="0" borderId="0"/>
    <xf numFmtId="43" fontId="40" fillId="0" borderId="0" applyFont="0" applyFill="0" applyBorder="0" applyAlignment="0" applyProtection="0"/>
    <xf numFmtId="0" fontId="7" fillId="0" borderId="0" applyNumberFormat="0" applyFill="0" applyBorder="0" applyAlignment="0" applyProtection="0"/>
    <xf numFmtId="209" fontId="7" fillId="0" borderId="0"/>
    <xf numFmtId="210" fontId="7" fillId="0" borderId="0"/>
    <xf numFmtId="0" fontId="7" fillId="0" borderId="0"/>
    <xf numFmtId="210" fontId="7" fillId="0" borderId="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7" fillId="0" borderId="0" applyNumberFormat="0" applyFill="0" applyBorder="0" applyAlignment="0" applyProtection="0"/>
    <xf numFmtId="209" fontId="7" fillId="0" borderId="0" applyNumberFormat="0" applyFill="0" applyBorder="0" applyAlignment="0" applyProtection="0"/>
    <xf numFmtId="210" fontId="7" fillId="0" borderId="0" applyNumberFormat="0" applyFill="0" applyBorder="0" applyAlignment="0" applyProtection="0"/>
    <xf numFmtId="0" fontId="7" fillId="0" borderId="0" applyNumberFormat="0" applyFill="0" applyBorder="0" applyAlignment="0" applyProtection="0"/>
    <xf numFmtId="0" fontId="36" fillId="0" borderId="0" applyNumberFormat="0" applyFill="0" applyBorder="0" applyAlignment="0" applyProtection="0"/>
    <xf numFmtId="209" fontId="139" fillId="0" borderId="0" applyNumberFormat="0" applyFill="0" applyBorder="0" applyAlignment="0" applyProtection="0"/>
    <xf numFmtId="210" fontId="139" fillId="0" borderId="0" applyNumberFormat="0" applyFill="0" applyBorder="0" applyAlignment="0" applyProtection="0"/>
    <xf numFmtId="209" fontId="139" fillId="0" borderId="0" applyNumberFormat="0" applyFill="0" applyBorder="0" applyAlignment="0" applyProtection="0"/>
    <xf numFmtId="209" fontId="139" fillId="0" borderId="0" applyNumberFormat="0" applyFill="0" applyBorder="0" applyAlignment="0" applyProtection="0"/>
    <xf numFmtId="209" fontId="139" fillId="0" borderId="0" applyNumberFormat="0" applyFill="0" applyBorder="0" applyAlignment="0" applyProtection="0"/>
    <xf numFmtId="209" fontId="139" fillId="0" borderId="0" applyNumberFormat="0" applyFill="0" applyBorder="0" applyAlignment="0" applyProtection="0"/>
    <xf numFmtId="0" fontId="7" fillId="0" borderId="0"/>
    <xf numFmtId="211" fontId="7" fillId="0" borderId="0"/>
    <xf numFmtId="211" fontId="7" fillId="0" borderId="0"/>
    <xf numFmtId="209" fontId="7" fillId="0" borderId="0"/>
    <xf numFmtId="210" fontId="7" fillId="0" borderId="0"/>
    <xf numFmtId="0" fontId="7" fillId="0" borderId="0"/>
    <xf numFmtId="210" fontId="7" fillId="0" borderId="0"/>
    <xf numFmtId="0" fontId="113" fillId="0" borderId="0">
      <alignment vertical="top"/>
    </xf>
    <xf numFmtId="0" fontId="113" fillId="0" borderId="0">
      <alignment vertical="top"/>
    </xf>
    <xf numFmtId="212" fontId="113" fillId="0" borderId="0">
      <alignment vertical="top"/>
    </xf>
    <xf numFmtId="0" fontId="113" fillId="0" borderId="0">
      <alignment vertical="top"/>
    </xf>
    <xf numFmtId="0" fontId="113" fillId="0" borderId="0">
      <alignment vertical="top"/>
    </xf>
    <xf numFmtId="212" fontId="113" fillId="0" borderId="0">
      <alignment vertical="top"/>
    </xf>
    <xf numFmtId="0" fontId="113" fillId="0" borderId="0">
      <alignment vertical="top"/>
    </xf>
    <xf numFmtId="0" fontId="113" fillId="0" borderId="0">
      <alignment vertical="top"/>
    </xf>
    <xf numFmtId="212" fontId="113" fillId="0" borderId="0">
      <alignment vertical="top"/>
    </xf>
    <xf numFmtId="0" fontId="113" fillId="0" borderId="0">
      <alignment vertical="top"/>
    </xf>
    <xf numFmtId="0" fontId="113" fillId="0" borderId="0">
      <alignment vertical="top"/>
    </xf>
    <xf numFmtId="212" fontId="113" fillId="0" borderId="0">
      <alignment vertical="top"/>
    </xf>
    <xf numFmtId="0" fontId="113" fillId="0" borderId="0">
      <alignment vertical="top"/>
    </xf>
    <xf numFmtId="0" fontId="113" fillId="0" borderId="0">
      <alignment vertical="top"/>
    </xf>
    <xf numFmtId="212" fontId="113" fillId="0" borderId="0">
      <alignment vertical="top"/>
    </xf>
    <xf numFmtId="0" fontId="113" fillId="0" borderId="0">
      <alignment vertical="top"/>
    </xf>
    <xf numFmtId="0" fontId="113" fillId="0" borderId="0">
      <alignment vertical="top"/>
    </xf>
    <xf numFmtId="212" fontId="113" fillId="0" borderId="0">
      <alignment vertical="top"/>
    </xf>
    <xf numFmtId="0" fontId="113" fillId="0" borderId="0">
      <alignment vertical="top"/>
    </xf>
    <xf numFmtId="0" fontId="113" fillId="0" borderId="0">
      <alignment vertical="top"/>
    </xf>
    <xf numFmtId="212" fontId="113" fillId="0" borderId="0">
      <alignment vertical="top"/>
    </xf>
    <xf numFmtId="0" fontId="113" fillId="0" borderId="0">
      <alignment vertical="top"/>
    </xf>
    <xf numFmtId="0" fontId="113" fillId="0" borderId="0">
      <alignment vertical="top"/>
    </xf>
    <xf numFmtId="212" fontId="113" fillId="0" borderId="0">
      <alignment vertical="top"/>
    </xf>
    <xf numFmtId="0" fontId="113" fillId="0" borderId="0">
      <alignment vertical="top"/>
    </xf>
    <xf numFmtId="0" fontId="113" fillId="0" borderId="0">
      <alignment vertical="top"/>
    </xf>
    <xf numFmtId="212" fontId="113" fillId="0" borderId="0">
      <alignment vertical="top"/>
    </xf>
    <xf numFmtId="0" fontId="113" fillId="0" borderId="0">
      <alignment vertical="top"/>
    </xf>
    <xf numFmtId="0" fontId="113" fillId="0" borderId="0">
      <alignment vertical="top"/>
    </xf>
    <xf numFmtId="212" fontId="113" fillId="0" borderId="0">
      <alignment vertical="top"/>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25" fillId="0" borderId="0">
      <alignment vertical="top"/>
    </xf>
    <xf numFmtId="0" fontId="25" fillId="0" borderId="0">
      <alignment vertical="top"/>
    </xf>
    <xf numFmtId="0" fontId="25" fillId="0" borderId="0">
      <alignment vertical="top"/>
    </xf>
    <xf numFmtId="212" fontId="25" fillId="0" borderId="0">
      <alignment vertical="top"/>
    </xf>
    <xf numFmtId="0" fontId="25" fillId="0" borderId="0">
      <alignment vertical="top"/>
    </xf>
    <xf numFmtId="0" fontId="25" fillId="0" borderId="0">
      <alignment vertical="top"/>
    </xf>
    <xf numFmtId="212" fontId="25" fillId="0" borderId="0">
      <alignment vertical="top"/>
    </xf>
    <xf numFmtId="0" fontId="25" fillId="0" borderId="0">
      <alignment vertical="top"/>
    </xf>
    <xf numFmtId="212" fontId="25" fillId="0" borderId="0">
      <alignment vertical="top"/>
    </xf>
    <xf numFmtId="0" fontId="25" fillId="0" borderId="0">
      <alignment vertical="top"/>
    </xf>
    <xf numFmtId="0" fontId="25" fillId="0" borderId="0">
      <alignment vertical="top"/>
    </xf>
    <xf numFmtId="212" fontId="25" fillId="0" borderId="0">
      <alignment vertical="top"/>
    </xf>
    <xf numFmtId="0" fontId="25" fillId="0" borderId="0">
      <alignment vertical="top"/>
    </xf>
    <xf numFmtId="0" fontId="25" fillId="0" borderId="0">
      <alignment vertical="top"/>
    </xf>
    <xf numFmtId="212" fontId="25" fillId="0" borderId="0">
      <alignment vertical="top"/>
    </xf>
    <xf numFmtId="0" fontId="25" fillId="0" borderId="0">
      <alignment vertical="top"/>
    </xf>
    <xf numFmtId="0" fontId="25" fillId="0" borderId="0">
      <alignment vertical="top"/>
    </xf>
    <xf numFmtId="212" fontId="25" fillId="0" borderId="0">
      <alignment vertical="top"/>
    </xf>
    <xf numFmtId="0" fontId="113" fillId="0" borderId="0">
      <alignment vertical="top"/>
    </xf>
    <xf numFmtId="0" fontId="113" fillId="0" borderId="0">
      <alignment vertical="top"/>
    </xf>
    <xf numFmtId="212" fontId="113" fillId="0" borderId="0">
      <alignment vertical="top"/>
    </xf>
    <xf numFmtId="0" fontId="113" fillId="0" borderId="0">
      <alignment vertical="top"/>
    </xf>
    <xf numFmtId="0" fontId="113" fillId="0" borderId="0">
      <alignment vertical="top"/>
    </xf>
    <xf numFmtId="212" fontId="113" fillId="0" borderId="0">
      <alignment vertical="top"/>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113" fillId="0" borderId="0">
      <alignment vertical="top"/>
    </xf>
    <xf numFmtId="0" fontId="113" fillId="0" borderId="0">
      <alignment vertical="top"/>
    </xf>
    <xf numFmtId="212" fontId="113" fillId="0" borderId="0">
      <alignment vertical="top"/>
    </xf>
    <xf numFmtId="0" fontId="113" fillId="0" borderId="0">
      <alignment vertical="top"/>
    </xf>
    <xf numFmtId="0" fontId="113" fillId="0" borderId="0">
      <alignment vertical="top"/>
    </xf>
    <xf numFmtId="212" fontId="113" fillId="0" borderId="0">
      <alignment vertical="top"/>
    </xf>
    <xf numFmtId="0" fontId="37" fillId="0" borderId="0" applyFont="0" applyFill="0" applyBorder="0" applyAlignment="0" applyProtection="0"/>
    <xf numFmtId="0" fontId="37" fillId="0" borderId="0" applyFont="0" applyFill="0" applyBorder="0" applyAlignment="0" applyProtection="0"/>
    <xf numFmtId="210" fontId="7" fillId="0" borderId="0" applyFont="0" applyFill="0" applyBorder="0" applyAlignment="0" applyProtection="0"/>
    <xf numFmtId="0" fontId="7" fillId="0" borderId="0" applyFont="0" applyFill="0" applyBorder="0" applyAlignment="0" applyProtection="0"/>
    <xf numFmtId="210" fontId="7" fillId="0" borderId="0" applyFont="0" applyFill="0" applyBorder="0" applyAlignment="0" applyProtection="0"/>
    <xf numFmtId="0" fontId="37" fillId="0" borderId="0" applyFont="0" applyFill="0" applyBorder="0" applyAlignment="0" applyProtection="0"/>
    <xf numFmtId="0" fontId="37" fillId="0" borderId="0" applyFont="0" applyFill="0" applyBorder="0" applyAlignment="0" applyProtection="0"/>
    <xf numFmtId="210" fontId="7" fillId="0" borderId="0" applyFont="0" applyFill="0" applyBorder="0" applyAlignment="0" applyProtection="0"/>
    <xf numFmtId="0" fontId="7" fillId="0" borderId="0" applyFont="0" applyFill="0" applyBorder="0" applyAlignment="0" applyProtection="0"/>
    <xf numFmtId="210" fontId="7" fillId="0" borderId="0" applyFont="0" applyFill="0" applyBorder="0" applyAlignment="0" applyProtection="0"/>
    <xf numFmtId="213" fontId="7" fillId="0" borderId="0" applyFont="0" applyFill="0" applyBorder="0" applyAlignment="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5" borderId="0" applyNumberFormat="0" applyBorder="0" applyAlignment="0" applyProtection="0"/>
    <xf numFmtId="0" fontId="40" fillId="66" borderId="0" applyNumberFormat="0" applyBorder="0" applyAlignment="0" applyProtection="0"/>
    <xf numFmtId="210" fontId="40" fillId="66" borderId="0" applyNumberFormat="0" applyBorder="0" applyAlignment="0" applyProtection="0"/>
    <xf numFmtId="0" fontId="40" fillId="65"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209"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210" fontId="40" fillId="66" borderId="0" applyNumberFormat="0" applyBorder="0" applyAlignment="0" applyProtection="0"/>
    <xf numFmtId="210" fontId="40" fillId="66" borderId="0" applyNumberFormat="0" applyBorder="0" applyAlignment="0" applyProtection="0"/>
    <xf numFmtId="0" fontId="40" fillId="65" borderId="0" applyNumberFormat="0" applyBorder="0" applyAlignment="0" applyProtection="0"/>
    <xf numFmtId="0" fontId="6" fillId="41" borderId="0" applyNumberFormat="0" applyBorder="0" applyAlignment="0" applyProtection="0"/>
    <xf numFmtId="0" fontId="40" fillId="66" borderId="0" applyNumberFormat="0" applyBorder="0" applyAlignment="0" applyProtection="0"/>
    <xf numFmtId="209"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11" borderId="0" applyNumberFormat="0" applyBorder="0" applyAlignment="0" applyProtection="0"/>
    <xf numFmtId="0" fontId="40" fillId="68" borderId="0" applyNumberFormat="0" applyBorder="0" applyAlignment="0" applyProtection="0"/>
    <xf numFmtId="210" fontId="40" fillId="68" borderId="0" applyNumberFormat="0" applyBorder="0" applyAlignment="0" applyProtection="0"/>
    <xf numFmtId="0" fontId="40" fillId="11"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209"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210" fontId="40" fillId="68" borderId="0" applyNumberFormat="0" applyBorder="0" applyAlignment="0" applyProtection="0"/>
    <xf numFmtId="210" fontId="40" fillId="68" borderId="0" applyNumberFormat="0" applyBorder="0" applyAlignment="0" applyProtection="0"/>
    <xf numFmtId="0" fontId="40" fillId="11" borderId="0" applyNumberFormat="0" applyBorder="0" applyAlignment="0" applyProtection="0"/>
    <xf numFmtId="0" fontId="6" fillId="45" borderId="0" applyNumberFormat="0" applyBorder="0" applyAlignment="0" applyProtection="0"/>
    <xf numFmtId="0" fontId="40" fillId="68" borderId="0" applyNumberFormat="0" applyBorder="0" applyAlignment="0" applyProtection="0"/>
    <xf numFmtId="209"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14" borderId="0" applyNumberFormat="0" applyBorder="0" applyAlignment="0" applyProtection="0"/>
    <xf numFmtId="0" fontId="40" fillId="32" borderId="0" applyNumberFormat="0" applyBorder="0" applyAlignment="0" applyProtection="0"/>
    <xf numFmtId="210" fontId="40" fillId="32" borderId="0" applyNumberFormat="0" applyBorder="0" applyAlignment="0" applyProtection="0"/>
    <xf numFmtId="0" fontId="40" fillId="14"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209"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210" fontId="40" fillId="32" borderId="0" applyNumberFormat="0" applyBorder="0" applyAlignment="0" applyProtection="0"/>
    <xf numFmtId="210" fontId="40" fillId="32" borderId="0" applyNumberFormat="0" applyBorder="0" applyAlignment="0" applyProtection="0"/>
    <xf numFmtId="0" fontId="40" fillId="14" borderId="0" applyNumberFormat="0" applyBorder="0" applyAlignment="0" applyProtection="0"/>
    <xf numFmtId="0" fontId="6" fillId="49" borderId="0" applyNumberFormat="0" applyBorder="0" applyAlignment="0" applyProtection="0"/>
    <xf numFmtId="0" fontId="40" fillId="32" borderId="0" applyNumberFormat="0" applyBorder="0" applyAlignment="0" applyProtection="0"/>
    <xf numFmtId="209"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1" borderId="0" applyNumberFormat="0" applyBorder="0" applyAlignment="0" applyProtection="0"/>
    <xf numFmtId="0" fontId="40" fillId="72"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209"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210" fontId="40" fillId="72"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0" fontId="6" fillId="53" borderId="0" applyNumberFormat="0" applyBorder="0" applyAlignment="0" applyProtection="0"/>
    <xf numFmtId="0" fontId="40" fillId="72" borderId="0" applyNumberFormat="0" applyBorder="0" applyAlignment="0" applyProtection="0"/>
    <xf numFmtId="209"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5" borderId="0" applyNumberFormat="0" applyBorder="0" applyAlignment="0" applyProtection="0"/>
    <xf numFmtId="0" fontId="40" fillId="73" borderId="0" applyNumberFormat="0" applyBorder="0" applyAlignment="0" applyProtection="0"/>
    <xf numFmtId="210" fontId="40" fillId="73" borderId="0" applyNumberFormat="0" applyBorder="0" applyAlignment="0" applyProtection="0"/>
    <xf numFmtId="0" fontId="40" fillId="5"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209"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210" fontId="40" fillId="73" borderId="0" applyNumberFormat="0" applyBorder="0" applyAlignment="0" applyProtection="0"/>
    <xf numFmtId="210" fontId="40" fillId="73" borderId="0" applyNumberFormat="0" applyBorder="0" applyAlignment="0" applyProtection="0"/>
    <xf numFmtId="0" fontId="40" fillId="5" borderId="0" applyNumberFormat="0" applyBorder="0" applyAlignment="0" applyProtection="0"/>
    <xf numFmtId="0" fontId="6" fillId="57" borderId="0" applyNumberFormat="0" applyBorder="0" applyAlignment="0" applyProtection="0"/>
    <xf numFmtId="0" fontId="40" fillId="73" borderId="0" applyNumberFormat="0" applyBorder="0" applyAlignment="0" applyProtection="0"/>
    <xf numFmtId="209"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2" borderId="0" applyNumberFormat="0" applyBorder="0" applyAlignment="0" applyProtection="0"/>
    <xf numFmtId="0" fontId="40" fillId="70" borderId="0" applyNumberFormat="0" applyBorder="0" applyAlignment="0" applyProtection="0"/>
    <xf numFmtId="210" fontId="40" fillId="70" borderId="0" applyNumberFormat="0" applyBorder="0" applyAlignment="0" applyProtection="0"/>
    <xf numFmtId="0" fontId="40" fillId="2"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209"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210" fontId="40" fillId="70" borderId="0" applyNumberFormat="0" applyBorder="0" applyAlignment="0" applyProtection="0"/>
    <xf numFmtId="210" fontId="40" fillId="70" borderId="0" applyNumberFormat="0" applyBorder="0" applyAlignment="0" applyProtection="0"/>
    <xf numFmtId="0" fontId="40" fillId="2" borderId="0" applyNumberFormat="0" applyBorder="0" applyAlignment="0" applyProtection="0"/>
    <xf numFmtId="0" fontId="6" fillId="61" borderId="0" applyNumberFormat="0" applyBorder="0" applyAlignment="0" applyProtection="0"/>
    <xf numFmtId="0" fontId="40" fillId="70" borderId="0" applyNumberFormat="0" applyBorder="0" applyAlignment="0" applyProtection="0"/>
    <xf numFmtId="209"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209" fontId="40" fillId="66" borderId="0" applyNumberFormat="0" applyBorder="0" applyAlignment="0" applyProtection="0"/>
    <xf numFmtId="210" fontId="40" fillId="66" borderId="0" applyNumberFormat="0" applyBorder="0" applyAlignment="0" applyProtection="0"/>
    <xf numFmtId="0" fontId="40" fillId="65" borderId="0" applyNumberFormat="0" applyBorder="0" applyAlignment="0" applyProtection="0"/>
    <xf numFmtId="210" fontId="40" fillId="66" borderId="0" applyNumberFormat="0" applyBorder="0" applyAlignment="0" applyProtection="0"/>
    <xf numFmtId="0" fontId="40" fillId="66" borderId="0" applyNumberFormat="0" applyBorder="0" applyAlignment="0" applyProtection="0"/>
    <xf numFmtId="21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209" fontId="40" fillId="66" borderId="0" applyNumberFormat="0" applyBorder="0" applyAlignment="0" applyProtection="0"/>
    <xf numFmtId="0" fontId="40" fillId="65" borderId="0" applyNumberFormat="0" applyBorder="0" applyAlignment="0" applyProtection="0"/>
    <xf numFmtId="0" fontId="40" fillId="66"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209" fontId="40" fillId="66" borderId="0" applyNumberFormat="0" applyBorder="0" applyAlignment="0" applyProtection="0"/>
    <xf numFmtId="210" fontId="40" fillId="66" borderId="0" applyNumberFormat="0" applyBorder="0" applyAlignment="0" applyProtection="0"/>
    <xf numFmtId="0" fontId="40" fillId="65" borderId="0" applyNumberFormat="0" applyBorder="0" applyAlignment="0" applyProtection="0"/>
    <xf numFmtId="210" fontId="40" fillId="66" borderId="0" applyNumberFormat="0" applyBorder="0" applyAlignment="0" applyProtection="0"/>
    <xf numFmtId="209" fontId="40" fillId="66" borderId="0" applyNumberFormat="0" applyBorder="0" applyAlignment="0" applyProtection="0"/>
    <xf numFmtId="210" fontId="40" fillId="66" borderId="0" applyNumberFormat="0" applyBorder="0" applyAlignment="0" applyProtection="0"/>
    <xf numFmtId="0" fontId="40" fillId="65" borderId="0" applyNumberFormat="0" applyBorder="0" applyAlignment="0" applyProtection="0"/>
    <xf numFmtId="210" fontId="40" fillId="66"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209" fontId="40" fillId="66" borderId="0" applyNumberFormat="0" applyBorder="0" applyAlignment="0" applyProtection="0"/>
    <xf numFmtId="210" fontId="40" fillId="66" borderId="0" applyNumberFormat="0" applyBorder="0" applyAlignment="0" applyProtection="0"/>
    <xf numFmtId="0" fontId="40" fillId="65" borderId="0" applyNumberFormat="0" applyBorder="0" applyAlignment="0" applyProtection="0"/>
    <xf numFmtId="210" fontId="40" fillId="66" borderId="0" applyNumberFormat="0" applyBorder="0" applyAlignment="0" applyProtection="0"/>
    <xf numFmtId="209" fontId="40" fillId="66" borderId="0" applyNumberFormat="0" applyBorder="0" applyAlignment="0" applyProtection="0"/>
    <xf numFmtId="210" fontId="40" fillId="66" borderId="0" applyNumberFormat="0" applyBorder="0" applyAlignment="0" applyProtection="0"/>
    <xf numFmtId="0" fontId="40" fillId="65" borderId="0" applyNumberFormat="0" applyBorder="0" applyAlignment="0" applyProtection="0"/>
    <xf numFmtId="210" fontId="40" fillId="66"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209" fontId="40" fillId="66" borderId="0" applyNumberFormat="0" applyBorder="0" applyAlignment="0" applyProtection="0"/>
    <xf numFmtId="210" fontId="40" fillId="66" borderId="0" applyNumberFormat="0" applyBorder="0" applyAlignment="0" applyProtection="0"/>
    <xf numFmtId="0" fontId="40" fillId="65" borderId="0" applyNumberFormat="0" applyBorder="0" applyAlignment="0" applyProtection="0"/>
    <xf numFmtId="210" fontId="40" fillId="66" borderId="0" applyNumberFormat="0" applyBorder="0" applyAlignment="0" applyProtection="0"/>
    <xf numFmtId="209" fontId="40" fillId="66" borderId="0" applyNumberFormat="0" applyBorder="0" applyAlignment="0" applyProtection="0"/>
    <xf numFmtId="210" fontId="40" fillId="66" borderId="0" applyNumberFormat="0" applyBorder="0" applyAlignment="0" applyProtection="0"/>
    <xf numFmtId="0" fontId="40" fillId="65" borderId="0" applyNumberFormat="0" applyBorder="0" applyAlignment="0" applyProtection="0"/>
    <xf numFmtId="210" fontId="40" fillId="66"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209" fontId="40" fillId="66" borderId="0" applyNumberFormat="0" applyBorder="0" applyAlignment="0" applyProtection="0"/>
    <xf numFmtId="210" fontId="40" fillId="66" borderId="0" applyNumberFormat="0" applyBorder="0" applyAlignment="0" applyProtection="0"/>
    <xf numFmtId="0" fontId="40" fillId="65" borderId="0" applyNumberFormat="0" applyBorder="0" applyAlignment="0" applyProtection="0"/>
    <xf numFmtId="210" fontId="40" fillId="66" borderId="0" applyNumberFormat="0" applyBorder="0" applyAlignment="0" applyProtection="0"/>
    <xf numFmtId="209" fontId="40" fillId="66" borderId="0" applyNumberFormat="0" applyBorder="0" applyAlignment="0" applyProtection="0"/>
    <xf numFmtId="210" fontId="40" fillId="66" borderId="0" applyNumberFormat="0" applyBorder="0" applyAlignment="0" applyProtection="0"/>
    <xf numFmtId="0" fontId="40" fillId="65" borderId="0" applyNumberFormat="0" applyBorder="0" applyAlignment="0" applyProtection="0"/>
    <xf numFmtId="210" fontId="40" fillId="66" borderId="0" applyNumberFormat="0" applyBorder="0" applyAlignment="0" applyProtection="0"/>
    <xf numFmtId="209" fontId="40" fillId="65" borderId="0" applyNumberFormat="0" applyBorder="0" applyAlignment="0" applyProtection="0"/>
    <xf numFmtId="209" fontId="40" fillId="66" borderId="0" applyNumberFormat="0" applyBorder="0" applyAlignment="0" applyProtection="0"/>
    <xf numFmtId="210" fontId="40" fillId="66" borderId="0" applyNumberFormat="0" applyBorder="0" applyAlignment="0" applyProtection="0"/>
    <xf numFmtId="0" fontId="40" fillId="65" borderId="0" applyNumberFormat="0" applyBorder="0" applyAlignment="0" applyProtection="0"/>
    <xf numFmtId="210" fontId="40" fillId="66"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11" borderId="0" applyNumberFormat="0" applyBorder="0" applyAlignment="0" applyProtection="0"/>
    <xf numFmtId="0" fontId="40" fillId="11" borderId="0" applyNumberFormat="0" applyBorder="0" applyAlignment="0" applyProtection="0"/>
    <xf numFmtId="0" fontId="40" fillId="11" borderId="0" applyNumberFormat="0" applyBorder="0" applyAlignment="0" applyProtection="0"/>
    <xf numFmtId="209" fontId="40" fillId="68" borderId="0" applyNumberFormat="0" applyBorder="0" applyAlignment="0" applyProtection="0"/>
    <xf numFmtId="210" fontId="40" fillId="68" borderId="0" applyNumberFormat="0" applyBorder="0" applyAlignment="0" applyProtection="0"/>
    <xf numFmtId="0" fontId="40" fillId="11" borderId="0" applyNumberFormat="0" applyBorder="0" applyAlignment="0" applyProtection="0"/>
    <xf numFmtId="210" fontId="40" fillId="68" borderId="0" applyNumberFormat="0" applyBorder="0" applyAlignment="0" applyProtection="0"/>
    <xf numFmtId="0" fontId="40" fillId="68" borderId="0" applyNumberFormat="0" applyBorder="0" applyAlignment="0" applyProtection="0"/>
    <xf numFmtId="21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209" fontId="40" fillId="68" borderId="0" applyNumberFormat="0" applyBorder="0" applyAlignment="0" applyProtection="0"/>
    <xf numFmtId="0" fontId="40" fillId="11" borderId="0" applyNumberFormat="0" applyBorder="0" applyAlignment="0" applyProtection="0"/>
    <xf numFmtId="0" fontId="40" fillId="68" borderId="0" applyNumberFormat="0" applyBorder="0" applyAlignment="0" applyProtection="0"/>
    <xf numFmtId="0" fontId="40" fillId="11" borderId="0" applyNumberFormat="0" applyBorder="0" applyAlignment="0" applyProtection="0"/>
    <xf numFmtId="0" fontId="40" fillId="11" borderId="0" applyNumberFormat="0" applyBorder="0" applyAlignment="0" applyProtection="0"/>
    <xf numFmtId="209" fontId="40" fillId="68" borderId="0" applyNumberFormat="0" applyBorder="0" applyAlignment="0" applyProtection="0"/>
    <xf numFmtId="210" fontId="40" fillId="68" borderId="0" applyNumberFormat="0" applyBorder="0" applyAlignment="0" applyProtection="0"/>
    <xf numFmtId="0" fontId="40" fillId="11" borderId="0" applyNumberFormat="0" applyBorder="0" applyAlignment="0" applyProtection="0"/>
    <xf numFmtId="210" fontId="40" fillId="68" borderId="0" applyNumberFormat="0" applyBorder="0" applyAlignment="0" applyProtection="0"/>
    <xf numFmtId="209" fontId="40" fillId="68" borderId="0" applyNumberFormat="0" applyBorder="0" applyAlignment="0" applyProtection="0"/>
    <xf numFmtId="210" fontId="40" fillId="68" borderId="0" applyNumberFormat="0" applyBorder="0" applyAlignment="0" applyProtection="0"/>
    <xf numFmtId="0" fontId="40" fillId="11" borderId="0" applyNumberFormat="0" applyBorder="0" applyAlignment="0" applyProtection="0"/>
    <xf numFmtId="210" fontId="40" fillId="68" borderId="0" applyNumberFormat="0" applyBorder="0" applyAlignment="0" applyProtection="0"/>
    <xf numFmtId="0" fontId="40" fillId="11" borderId="0" applyNumberFormat="0" applyBorder="0" applyAlignment="0" applyProtection="0"/>
    <xf numFmtId="0" fontId="40" fillId="11" borderId="0" applyNumberFormat="0" applyBorder="0" applyAlignment="0" applyProtection="0"/>
    <xf numFmtId="209" fontId="40" fillId="68" borderId="0" applyNumberFormat="0" applyBorder="0" applyAlignment="0" applyProtection="0"/>
    <xf numFmtId="210" fontId="40" fillId="68" borderId="0" applyNumberFormat="0" applyBorder="0" applyAlignment="0" applyProtection="0"/>
    <xf numFmtId="0" fontId="40" fillId="11" borderId="0" applyNumberFormat="0" applyBorder="0" applyAlignment="0" applyProtection="0"/>
    <xf numFmtId="210" fontId="40" fillId="68" borderId="0" applyNumberFormat="0" applyBorder="0" applyAlignment="0" applyProtection="0"/>
    <xf numFmtId="209" fontId="40" fillId="68" borderId="0" applyNumberFormat="0" applyBorder="0" applyAlignment="0" applyProtection="0"/>
    <xf numFmtId="210" fontId="40" fillId="68" borderId="0" applyNumberFormat="0" applyBorder="0" applyAlignment="0" applyProtection="0"/>
    <xf numFmtId="0" fontId="40" fillId="11" borderId="0" applyNumberFormat="0" applyBorder="0" applyAlignment="0" applyProtection="0"/>
    <xf numFmtId="210" fontId="40" fillId="68" borderId="0" applyNumberFormat="0" applyBorder="0" applyAlignment="0" applyProtection="0"/>
    <xf numFmtId="0" fontId="40" fillId="11" borderId="0" applyNumberFormat="0" applyBorder="0" applyAlignment="0" applyProtection="0"/>
    <xf numFmtId="0" fontId="40" fillId="11" borderId="0" applyNumberFormat="0" applyBorder="0" applyAlignment="0" applyProtection="0"/>
    <xf numFmtId="209" fontId="40" fillId="68" borderId="0" applyNumberFormat="0" applyBorder="0" applyAlignment="0" applyProtection="0"/>
    <xf numFmtId="210" fontId="40" fillId="68" borderId="0" applyNumberFormat="0" applyBorder="0" applyAlignment="0" applyProtection="0"/>
    <xf numFmtId="0" fontId="40" fillId="11" borderId="0" applyNumberFormat="0" applyBorder="0" applyAlignment="0" applyProtection="0"/>
    <xf numFmtId="210" fontId="40" fillId="68" borderId="0" applyNumberFormat="0" applyBorder="0" applyAlignment="0" applyProtection="0"/>
    <xf numFmtId="209" fontId="40" fillId="68" borderId="0" applyNumberFormat="0" applyBorder="0" applyAlignment="0" applyProtection="0"/>
    <xf numFmtId="210" fontId="40" fillId="68" borderId="0" applyNumberFormat="0" applyBorder="0" applyAlignment="0" applyProtection="0"/>
    <xf numFmtId="0" fontId="40" fillId="11" borderId="0" applyNumberFormat="0" applyBorder="0" applyAlignment="0" applyProtection="0"/>
    <xf numFmtId="210" fontId="40" fillId="68" borderId="0" applyNumberFormat="0" applyBorder="0" applyAlignment="0" applyProtection="0"/>
    <xf numFmtId="0" fontId="40" fillId="11" borderId="0" applyNumberFormat="0" applyBorder="0" applyAlignment="0" applyProtection="0"/>
    <xf numFmtId="0" fontId="40" fillId="11" borderId="0" applyNumberFormat="0" applyBorder="0" applyAlignment="0" applyProtection="0"/>
    <xf numFmtId="209" fontId="40" fillId="68" borderId="0" applyNumberFormat="0" applyBorder="0" applyAlignment="0" applyProtection="0"/>
    <xf numFmtId="210" fontId="40" fillId="68" borderId="0" applyNumberFormat="0" applyBorder="0" applyAlignment="0" applyProtection="0"/>
    <xf numFmtId="0" fontId="40" fillId="11" borderId="0" applyNumberFormat="0" applyBorder="0" applyAlignment="0" applyProtection="0"/>
    <xf numFmtId="210" fontId="40" fillId="68" borderId="0" applyNumberFormat="0" applyBorder="0" applyAlignment="0" applyProtection="0"/>
    <xf numFmtId="209" fontId="40" fillId="68" borderId="0" applyNumberFormat="0" applyBorder="0" applyAlignment="0" applyProtection="0"/>
    <xf numFmtId="210" fontId="40" fillId="68" borderId="0" applyNumberFormat="0" applyBorder="0" applyAlignment="0" applyProtection="0"/>
    <xf numFmtId="0" fontId="40" fillId="11" borderId="0" applyNumberFormat="0" applyBorder="0" applyAlignment="0" applyProtection="0"/>
    <xf numFmtId="210" fontId="40" fillId="68" borderId="0" applyNumberFormat="0" applyBorder="0" applyAlignment="0" applyProtection="0"/>
    <xf numFmtId="209" fontId="40" fillId="11" borderId="0" applyNumberFormat="0" applyBorder="0" applyAlignment="0" applyProtection="0"/>
    <xf numFmtId="209" fontId="40" fillId="68" borderId="0" applyNumberFormat="0" applyBorder="0" applyAlignment="0" applyProtection="0"/>
    <xf numFmtId="210" fontId="40" fillId="68" borderId="0" applyNumberFormat="0" applyBorder="0" applyAlignment="0" applyProtection="0"/>
    <xf numFmtId="0" fontId="40" fillId="11" borderId="0" applyNumberFormat="0" applyBorder="0" applyAlignment="0" applyProtection="0"/>
    <xf numFmtId="210" fontId="40" fillId="68" borderId="0" applyNumberFormat="0" applyBorder="0" applyAlignment="0" applyProtection="0"/>
    <xf numFmtId="0" fontId="40" fillId="11" borderId="0" applyNumberFormat="0" applyBorder="0" applyAlignment="0" applyProtection="0"/>
    <xf numFmtId="0" fontId="40" fillId="11" borderId="0" applyNumberFormat="0" applyBorder="0" applyAlignment="0" applyProtection="0"/>
    <xf numFmtId="0" fontId="40" fillId="14" borderId="0" applyNumberFormat="0" applyBorder="0" applyAlignment="0" applyProtection="0"/>
    <xf numFmtId="0" fontId="40" fillId="14" borderId="0" applyNumberFormat="0" applyBorder="0" applyAlignment="0" applyProtection="0"/>
    <xf numFmtId="0" fontId="40" fillId="14" borderId="0" applyNumberFormat="0" applyBorder="0" applyAlignment="0" applyProtection="0"/>
    <xf numFmtId="209" fontId="40" fillId="32" borderId="0" applyNumberFormat="0" applyBorder="0" applyAlignment="0" applyProtection="0"/>
    <xf numFmtId="210" fontId="40" fillId="32" borderId="0" applyNumberFormat="0" applyBorder="0" applyAlignment="0" applyProtection="0"/>
    <xf numFmtId="0" fontId="40" fillId="14" borderId="0" applyNumberFormat="0" applyBorder="0" applyAlignment="0" applyProtection="0"/>
    <xf numFmtId="210" fontId="40" fillId="32" borderId="0" applyNumberFormat="0" applyBorder="0" applyAlignment="0" applyProtection="0"/>
    <xf numFmtId="0" fontId="40" fillId="32" borderId="0" applyNumberFormat="0" applyBorder="0" applyAlignment="0" applyProtection="0"/>
    <xf numFmtId="210" fontId="40" fillId="32" borderId="0" applyNumberFormat="0" applyBorder="0" applyAlignment="0" applyProtection="0"/>
    <xf numFmtId="0" fontId="40" fillId="32" borderId="0" applyNumberFormat="0" applyBorder="0" applyAlignment="0" applyProtection="0"/>
    <xf numFmtId="0" fontId="40" fillId="32" borderId="0" applyNumberFormat="0" applyBorder="0" applyAlignment="0" applyProtection="0"/>
    <xf numFmtId="209" fontId="40" fillId="32" borderId="0" applyNumberFormat="0" applyBorder="0" applyAlignment="0" applyProtection="0"/>
    <xf numFmtId="0" fontId="40" fillId="14" borderId="0" applyNumberFormat="0" applyBorder="0" applyAlignment="0" applyProtection="0"/>
    <xf numFmtId="0" fontId="40" fillId="32" borderId="0" applyNumberFormat="0" applyBorder="0" applyAlignment="0" applyProtection="0"/>
    <xf numFmtId="0" fontId="40" fillId="14" borderId="0" applyNumberFormat="0" applyBorder="0" applyAlignment="0" applyProtection="0"/>
    <xf numFmtId="0" fontId="40" fillId="14" borderId="0" applyNumberFormat="0" applyBorder="0" applyAlignment="0" applyProtection="0"/>
    <xf numFmtId="209" fontId="40" fillId="32" borderId="0" applyNumberFormat="0" applyBorder="0" applyAlignment="0" applyProtection="0"/>
    <xf numFmtId="210" fontId="40" fillId="32" borderId="0" applyNumberFormat="0" applyBorder="0" applyAlignment="0" applyProtection="0"/>
    <xf numFmtId="0" fontId="40" fillId="14" borderId="0" applyNumberFormat="0" applyBorder="0" applyAlignment="0" applyProtection="0"/>
    <xf numFmtId="210" fontId="40" fillId="32" borderId="0" applyNumberFormat="0" applyBorder="0" applyAlignment="0" applyProtection="0"/>
    <xf numFmtId="209" fontId="40" fillId="32" borderId="0" applyNumberFormat="0" applyBorder="0" applyAlignment="0" applyProtection="0"/>
    <xf numFmtId="210" fontId="40" fillId="32" borderId="0" applyNumberFormat="0" applyBorder="0" applyAlignment="0" applyProtection="0"/>
    <xf numFmtId="0" fontId="40" fillId="14" borderId="0" applyNumberFormat="0" applyBorder="0" applyAlignment="0" applyProtection="0"/>
    <xf numFmtId="210" fontId="40" fillId="32" borderId="0" applyNumberFormat="0" applyBorder="0" applyAlignment="0" applyProtection="0"/>
    <xf numFmtId="0" fontId="40" fillId="14" borderId="0" applyNumberFormat="0" applyBorder="0" applyAlignment="0" applyProtection="0"/>
    <xf numFmtId="0" fontId="40" fillId="14" borderId="0" applyNumberFormat="0" applyBorder="0" applyAlignment="0" applyProtection="0"/>
    <xf numFmtId="209" fontId="40" fillId="32" borderId="0" applyNumberFormat="0" applyBorder="0" applyAlignment="0" applyProtection="0"/>
    <xf numFmtId="210" fontId="40" fillId="32" borderId="0" applyNumberFormat="0" applyBorder="0" applyAlignment="0" applyProtection="0"/>
    <xf numFmtId="0" fontId="40" fillId="14" borderId="0" applyNumberFormat="0" applyBorder="0" applyAlignment="0" applyProtection="0"/>
    <xf numFmtId="210" fontId="40" fillId="32" borderId="0" applyNumberFormat="0" applyBorder="0" applyAlignment="0" applyProtection="0"/>
    <xf numFmtId="209" fontId="40" fillId="32" borderId="0" applyNumberFormat="0" applyBorder="0" applyAlignment="0" applyProtection="0"/>
    <xf numFmtId="210" fontId="40" fillId="32" borderId="0" applyNumberFormat="0" applyBorder="0" applyAlignment="0" applyProtection="0"/>
    <xf numFmtId="0" fontId="40" fillId="14" borderId="0" applyNumberFormat="0" applyBorder="0" applyAlignment="0" applyProtection="0"/>
    <xf numFmtId="210" fontId="40" fillId="32" borderId="0" applyNumberFormat="0" applyBorder="0" applyAlignment="0" applyProtection="0"/>
    <xf numFmtId="0" fontId="40" fillId="14" borderId="0" applyNumberFormat="0" applyBorder="0" applyAlignment="0" applyProtection="0"/>
    <xf numFmtId="0" fontId="40" fillId="14" borderId="0" applyNumberFormat="0" applyBorder="0" applyAlignment="0" applyProtection="0"/>
    <xf numFmtId="209" fontId="40" fillId="32" borderId="0" applyNumberFormat="0" applyBorder="0" applyAlignment="0" applyProtection="0"/>
    <xf numFmtId="210" fontId="40" fillId="32" borderId="0" applyNumberFormat="0" applyBorder="0" applyAlignment="0" applyProtection="0"/>
    <xf numFmtId="0" fontId="40" fillId="14" borderId="0" applyNumberFormat="0" applyBorder="0" applyAlignment="0" applyProtection="0"/>
    <xf numFmtId="210" fontId="40" fillId="32" borderId="0" applyNumberFormat="0" applyBorder="0" applyAlignment="0" applyProtection="0"/>
    <xf numFmtId="209" fontId="40" fillId="32" borderId="0" applyNumberFormat="0" applyBorder="0" applyAlignment="0" applyProtection="0"/>
    <xf numFmtId="210" fontId="40" fillId="32" borderId="0" applyNumberFormat="0" applyBorder="0" applyAlignment="0" applyProtection="0"/>
    <xf numFmtId="0" fontId="40" fillId="14" borderId="0" applyNumberFormat="0" applyBorder="0" applyAlignment="0" applyProtection="0"/>
    <xf numFmtId="210" fontId="40" fillId="32" borderId="0" applyNumberFormat="0" applyBorder="0" applyAlignment="0" applyProtection="0"/>
    <xf numFmtId="0" fontId="40" fillId="14" borderId="0" applyNumberFormat="0" applyBorder="0" applyAlignment="0" applyProtection="0"/>
    <xf numFmtId="0" fontId="40" fillId="14" borderId="0" applyNumberFormat="0" applyBorder="0" applyAlignment="0" applyProtection="0"/>
    <xf numFmtId="209" fontId="40" fillId="32" borderId="0" applyNumberFormat="0" applyBorder="0" applyAlignment="0" applyProtection="0"/>
    <xf numFmtId="210" fontId="40" fillId="32" borderId="0" applyNumberFormat="0" applyBorder="0" applyAlignment="0" applyProtection="0"/>
    <xf numFmtId="0" fontId="40" fillId="14" borderId="0" applyNumberFormat="0" applyBorder="0" applyAlignment="0" applyProtection="0"/>
    <xf numFmtId="210" fontId="40" fillId="32" borderId="0" applyNumberFormat="0" applyBorder="0" applyAlignment="0" applyProtection="0"/>
    <xf numFmtId="209" fontId="40" fillId="32" borderId="0" applyNumberFormat="0" applyBorder="0" applyAlignment="0" applyProtection="0"/>
    <xf numFmtId="210" fontId="40" fillId="32" borderId="0" applyNumberFormat="0" applyBorder="0" applyAlignment="0" applyProtection="0"/>
    <xf numFmtId="0" fontId="40" fillId="14" borderId="0" applyNumberFormat="0" applyBorder="0" applyAlignment="0" applyProtection="0"/>
    <xf numFmtId="210" fontId="40" fillId="32" borderId="0" applyNumberFormat="0" applyBorder="0" applyAlignment="0" applyProtection="0"/>
    <xf numFmtId="209" fontId="40" fillId="14" borderId="0" applyNumberFormat="0" applyBorder="0" applyAlignment="0" applyProtection="0"/>
    <xf numFmtId="209" fontId="40" fillId="32" borderId="0" applyNumberFormat="0" applyBorder="0" applyAlignment="0" applyProtection="0"/>
    <xf numFmtId="210" fontId="40" fillId="32" borderId="0" applyNumberFormat="0" applyBorder="0" applyAlignment="0" applyProtection="0"/>
    <xf numFmtId="0" fontId="40" fillId="14" borderId="0" applyNumberFormat="0" applyBorder="0" applyAlignment="0" applyProtection="0"/>
    <xf numFmtId="210" fontId="40" fillId="32" borderId="0" applyNumberFormat="0" applyBorder="0" applyAlignment="0" applyProtection="0"/>
    <xf numFmtId="0" fontId="40" fillId="14" borderId="0" applyNumberFormat="0" applyBorder="0" applyAlignment="0" applyProtection="0"/>
    <xf numFmtId="0" fontId="40" fillId="14" borderId="0" applyNumberFormat="0" applyBorder="0" applyAlignment="0" applyProtection="0"/>
    <xf numFmtId="0" fontId="40" fillId="71" borderId="0" applyNumberFormat="0" applyBorder="0" applyAlignment="0" applyProtection="0"/>
    <xf numFmtId="0" fontId="40" fillId="71" borderId="0" applyNumberFormat="0" applyBorder="0" applyAlignment="0" applyProtection="0"/>
    <xf numFmtId="0" fontId="40" fillId="71" borderId="0" applyNumberFormat="0" applyBorder="0" applyAlignment="0" applyProtection="0"/>
    <xf numFmtId="209" fontId="40" fillId="72"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210" fontId="40" fillId="72" borderId="0" applyNumberFormat="0" applyBorder="0" applyAlignment="0" applyProtection="0"/>
    <xf numFmtId="0" fontId="40" fillId="72" borderId="0" applyNumberFormat="0" applyBorder="0" applyAlignment="0" applyProtection="0"/>
    <xf numFmtId="21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209" fontId="40" fillId="72" borderId="0" applyNumberFormat="0" applyBorder="0" applyAlignment="0" applyProtection="0"/>
    <xf numFmtId="0" fontId="40" fillId="71" borderId="0" applyNumberFormat="0" applyBorder="0" applyAlignment="0" applyProtection="0"/>
    <xf numFmtId="0" fontId="40" fillId="72" borderId="0" applyNumberFormat="0" applyBorder="0" applyAlignment="0" applyProtection="0"/>
    <xf numFmtId="0" fontId="40" fillId="71" borderId="0" applyNumberFormat="0" applyBorder="0" applyAlignment="0" applyProtection="0"/>
    <xf numFmtId="0" fontId="40" fillId="71" borderId="0" applyNumberFormat="0" applyBorder="0" applyAlignment="0" applyProtection="0"/>
    <xf numFmtId="209" fontId="40" fillId="72"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210" fontId="40" fillId="72" borderId="0" applyNumberFormat="0" applyBorder="0" applyAlignment="0" applyProtection="0"/>
    <xf numFmtId="209" fontId="40" fillId="72"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0" fontId="40" fillId="71" borderId="0" applyNumberFormat="0" applyBorder="0" applyAlignment="0" applyProtection="0"/>
    <xf numFmtId="209" fontId="40" fillId="72"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210" fontId="40" fillId="72" borderId="0" applyNumberFormat="0" applyBorder="0" applyAlignment="0" applyProtection="0"/>
    <xf numFmtId="209" fontId="40" fillId="72"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0" fontId="40" fillId="71" borderId="0" applyNumberFormat="0" applyBorder="0" applyAlignment="0" applyProtection="0"/>
    <xf numFmtId="209" fontId="40" fillId="72"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210" fontId="40" fillId="72" borderId="0" applyNumberFormat="0" applyBorder="0" applyAlignment="0" applyProtection="0"/>
    <xf numFmtId="209" fontId="40" fillId="72"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0" fontId="40" fillId="71" borderId="0" applyNumberFormat="0" applyBorder="0" applyAlignment="0" applyProtection="0"/>
    <xf numFmtId="209" fontId="40" fillId="72"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210" fontId="40" fillId="72" borderId="0" applyNumberFormat="0" applyBorder="0" applyAlignment="0" applyProtection="0"/>
    <xf numFmtId="209" fontId="40" fillId="72"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210" fontId="40" fillId="72" borderId="0" applyNumberFormat="0" applyBorder="0" applyAlignment="0" applyProtection="0"/>
    <xf numFmtId="209" fontId="40" fillId="71" borderId="0" applyNumberFormat="0" applyBorder="0" applyAlignment="0" applyProtection="0"/>
    <xf numFmtId="209" fontId="40" fillId="72"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0" fontId="40" fillId="71"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209" fontId="40" fillId="73" borderId="0" applyNumberFormat="0" applyBorder="0" applyAlignment="0" applyProtection="0"/>
    <xf numFmtId="210" fontId="40" fillId="73" borderId="0" applyNumberFormat="0" applyBorder="0" applyAlignment="0" applyProtection="0"/>
    <xf numFmtId="0" fontId="40" fillId="5" borderId="0" applyNumberFormat="0" applyBorder="0" applyAlignment="0" applyProtection="0"/>
    <xf numFmtId="210" fontId="40" fillId="73" borderId="0" applyNumberFormat="0" applyBorder="0" applyAlignment="0" applyProtection="0"/>
    <xf numFmtId="0" fontId="40" fillId="73" borderId="0" applyNumberFormat="0" applyBorder="0" applyAlignment="0" applyProtection="0"/>
    <xf numFmtId="21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209" fontId="40" fillId="73" borderId="0" applyNumberFormat="0" applyBorder="0" applyAlignment="0" applyProtection="0"/>
    <xf numFmtId="0" fontId="40" fillId="5" borderId="0" applyNumberFormat="0" applyBorder="0" applyAlignment="0" applyProtection="0"/>
    <xf numFmtId="0" fontId="40" fillId="73"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209" fontId="40" fillId="73" borderId="0" applyNumberFormat="0" applyBorder="0" applyAlignment="0" applyProtection="0"/>
    <xf numFmtId="210" fontId="40" fillId="73" borderId="0" applyNumberFormat="0" applyBorder="0" applyAlignment="0" applyProtection="0"/>
    <xf numFmtId="0" fontId="40" fillId="5" borderId="0" applyNumberFormat="0" applyBorder="0" applyAlignment="0" applyProtection="0"/>
    <xf numFmtId="210" fontId="40" fillId="73" borderId="0" applyNumberFormat="0" applyBorder="0" applyAlignment="0" applyProtection="0"/>
    <xf numFmtId="209" fontId="40" fillId="73" borderId="0" applyNumberFormat="0" applyBorder="0" applyAlignment="0" applyProtection="0"/>
    <xf numFmtId="210" fontId="40" fillId="73" borderId="0" applyNumberFormat="0" applyBorder="0" applyAlignment="0" applyProtection="0"/>
    <xf numFmtId="0" fontId="40" fillId="5" borderId="0" applyNumberFormat="0" applyBorder="0" applyAlignment="0" applyProtection="0"/>
    <xf numFmtId="210" fontId="40" fillId="73"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209" fontId="40" fillId="73" borderId="0" applyNumberFormat="0" applyBorder="0" applyAlignment="0" applyProtection="0"/>
    <xf numFmtId="210" fontId="40" fillId="73" borderId="0" applyNumberFormat="0" applyBorder="0" applyAlignment="0" applyProtection="0"/>
    <xf numFmtId="0" fontId="40" fillId="5" borderId="0" applyNumberFormat="0" applyBorder="0" applyAlignment="0" applyProtection="0"/>
    <xf numFmtId="210" fontId="40" fillId="73" borderId="0" applyNumberFormat="0" applyBorder="0" applyAlignment="0" applyProtection="0"/>
    <xf numFmtId="209" fontId="40" fillId="73" borderId="0" applyNumberFormat="0" applyBorder="0" applyAlignment="0" applyProtection="0"/>
    <xf numFmtId="210" fontId="40" fillId="73" borderId="0" applyNumberFormat="0" applyBorder="0" applyAlignment="0" applyProtection="0"/>
    <xf numFmtId="0" fontId="40" fillId="5" borderId="0" applyNumberFormat="0" applyBorder="0" applyAlignment="0" applyProtection="0"/>
    <xf numFmtId="210" fontId="40" fillId="73"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209" fontId="40" fillId="73" borderId="0" applyNumberFormat="0" applyBorder="0" applyAlignment="0" applyProtection="0"/>
    <xf numFmtId="210" fontId="40" fillId="73" borderId="0" applyNumberFormat="0" applyBorder="0" applyAlignment="0" applyProtection="0"/>
    <xf numFmtId="0" fontId="40" fillId="5" borderId="0" applyNumberFormat="0" applyBorder="0" applyAlignment="0" applyProtection="0"/>
    <xf numFmtId="210" fontId="40" fillId="73" borderId="0" applyNumberFormat="0" applyBorder="0" applyAlignment="0" applyProtection="0"/>
    <xf numFmtId="209" fontId="40" fillId="73" borderId="0" applyNumberFormat="0" applyBorder="0" applyAlignment="0" applyProtection="0"/>
    <xf numFmtId="210" fontId="40" fillId="73" borderId="0" applyNumberFormat="0" applyBorder="0" applyAlignment="0" applyProtection="0"/>
    <xf numFmtId="0" fontId="40" fillId="5" borderId="0" applyNumberFormat="0" applyBorder="0" applyAlignment="0" applyProtection="0"/>
    <xf numFmtId="210" fontId="40" fillId="73"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209" fontId="40" fillId="73" borderId="0" applyNumberFormat="0" applyBorder="0" applyAlignment="0" applyProtection="0"/>
    <xf numFmtId="210" fontId="40" fillId="73" borderId="0" applyNumberFormat="0" applyBorder="0" applyAlignment="0" applyProtection="0"/>
    <xf numFmtId="0" fontId="40" fillId="5" borderId="0" applyNumberFormat="0" applyBorder="0" applyAlignment="0" applyProtection="0"/>
    <xf numFmtId="210" fontId="40" fillId="73" borderId="0" applyNumberFormat="0" applyBorder="0" applyAlignment="0" applyProtection="0"/>
    <xf numFmtId="209" fontId="40" fillId="73" borderId="0" applyNumberFormat="0" applyBorder="0" applyAlignment="0" applyProtection="0"/>
    <xf numFmtId="210" fontId="40" fillId="73" borderId="0" applyNumberFormat="0" applyBorder="0" applyAlignment="0" applyProtection="0"/>
    <xf numFmtId="0" fontId="40" fillId="5" borderId="0" applyNumberFormat="0" applyBorder="0" applyAlignment="0" applyProtection="0"/>
    <xf numFmtId="210" fontId="40" fillId="73" borderId="0" applyNumberFormat="0" applyBorder="0" applyAlignment="0" applyProtection="0"/>
    <xf numFmtId="209" fontId="40" fillId="5" borderId="0" applyNumberFormat="0" applyBorder="0" applyAlignment="0" applyProtection="0"/>
    <xf numFmtId="209" fontId="40" fillId="73" borderId="0" applyNumberFormat="0" applyBorder="0" applyAlignment="0" applyProtection="0"/>
    <xf numFmtId="210" fontId="40" fillId="73" borderId="0" applyNumberFormat="0" applyBorder="0" applyAlignment="0" applyProtection="0"/>
    <xf numFmtId="0" fontId="40" fillId="5" borderId="0" applyNumberFormat="0" applyBorder="0" applyAlignment="0" applyProtection="0"/>
    <xf numFmtId="210" fontId="40" fillId="73"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209" fontId="40" fillId="70" borderId="0" applyNumberFormat="0" applyBorder="0" applyAlignment="0" applyProtection="0"/>
    <xf numFmtId="210" fontId="40" fillId="70" borderId="0" applyNumberFormat="0" applyBorder="0" applyAlignment="0" applyProtection="0"/>
    <xf numFmtId="0" fontId="40" fillId="2" borderId="0" applyNumberFormat="0" applyBorder="0" applyAlignment="0" applyProtection="0"/>
    <xf numFmtId="210" fontId="40" fillId="70" borderId="0" applyNumberFormat="0" applyBorder="0" applyAlignment="0" applyProtection="0"/>
    <xf numFmtId="0" fontId="40" fillId="70" borderId="0" applyNumberFormat="0" applyBorder="0" applyAlignment="0" applyProtection="0"/>
    <xf numFmtId="210" fontId="40" fillId="70" borderId="0" applyNumberFormat="0" applyBorder="0" applyAlignment="0" applyProtection="0"/>
    <xf numFmtId="0" fontId="40" fillId="70" borderId="0" applyNumberFormat="0" applyBorder="0" applyAlignment="0" applyProtection="0"/>
    <xf numFmtId="0" fontId="40" fillId="70" borderId="0" applyNumberFormat="0" applyBorder="0" applyAlignment="0" applyProtection="0"/>
    <xf numFmtId="209" fontId="40" fillId="70" borderId="0" applyNumberFormat="0" applyBorder="0" applyAlignment="0" applyProtection="0"/>
    <xf numFmtId="0" fontId="40" fillId="2" borderId="0" applyNumberFormat="0" applyBorder="0" applyAlignment="0" applyProtection="0"/>
    <xf numFmtId="0" fontId="40" fillId="70"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209" fontId="40" fillId="70" borderId="0" applyNumberFormat="0" applyBorder="0" applyAlignment="0" applyProtection="0"/>
    <xf numFmtId="210" fontId="40" fillId="70" borderId="0" applyNumberFormat="0" applyBorder="0" applyAlignment="0" applyProtection="0"/>
    <xf numFmtId="0" fontId="40" fillId="2" borderId="0" applyNumberFormat="0" applyBorder="0" applyAlignment="0" applyProtection="0"/>
    <xf numFmtId="210" fontId="40" fillId="70" borderId="0" applyNumberFormat="0" applyBorder="0" applyAlignment="0" applyProtection="0"/>
    <xf numFmtId="209" fontId="40" fillId="70" borderId="0" applyNumberFormat="0" applyBorder="0" applyAlignment="0" applyProtection="0"/>
    <xf numFmtId="210" fontId="40" fillId="70" borderId="0" applyNumberFormat="0" applyBorder="0" applyAlignment="0" applyProtection="0"/>
    <xf numFmtId="0" fontId="40" fillId="2" borderId="0" applyNumberFormat="0" applyBorder="0" applyAlignment="0" applyProtection="0"/>
    <xf numFmtId="210" fontId="40" fillId="70"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209" fontId="40" fillId="70" borderId="0" applyNumberFormat="0" applyBorder="0" applyAlignment="0" applyProtection="0"/>
    <xf numFmtId="210" fontId="40" fillId="70" borderId="0" applyNumberFormat="0" applyBorder="0" applyAlignment="0" applyProtection="0"/>
    <xf numFmtId="0" fontId="40" fillId="2" borderId="0" applyNumberFormat="0" applyBorder="0" applyAlignment="0" applyProtection="0"/>
    <xf numFmtId="210" fontId="40" fillId="70" borderId="0" applyNumberFormat="0" applyBorder="0" applyAlignment="0" applyProtection="0"/>
    <xf numFmtId="209" fontId="40" fillId="70" borderId="0" applyNumberFormat="0" applyBorder="0" applyAlignment="0" applyProtection="0"/>
    <xf numFmtId="210" fontId="40" fillId="70" borderId="0" applyNumberFormat="0" applyBorder="0" applyAlignment="0" applyProtection="0"/>
    <xf numFmtId="0" fontId="40" fillId="2" borderId="0" applyNumberFormat="0" applyBorder="0" applyAlignment="0" applyProtection="0"/>
    <xf numFmtId="210" fontId="40" fillId="70"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209" fontId="40" fillId="70" borderId="0" applyNumberFormat="0" applyBorder="0" applyAlignment="0" applyProtection="0"/>
    <xf numFmtId="210" fontId="40" fillId="70" borderId="0" applyNumberFormat="0" applyBorder="0" applyAlignment="0" applyProtection="0"/>
    <xf numFmtId="0" fontId="40" fillId="2" borderId="0" applyNumberFormat="0" applyBorder="0" applyAlignment="0" applyProtection="0"/>
    <xf numFmtId="210" fontId="40" fillId="70" borderId="0" applyNumberFormat="0" applyBorder="0" applyAlignment="0" applyProtection="0"/>
    <xf numFmtId="209" fontId="40" fillId="70" borderId="0" applyNumberFormat="0" applyBorder="0" applyAlignment="0" applyProtection="0"/>
    <xf numFmtId="210" fontId="40" fillId="70" borderId="0" applyNumberFormat="0" applyBorder="0" applyAlignment="0" applyProtection="0"/>
    <xf numFmtId="0" fontId="40" fillId="2" borderId="0" applyNumberFormat="0" applyBorder="0" applyAlignment="0" applyProtection="0"/>
    <xf numFmtId="210" fontId="40" fillId="70"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209" fontId="40" fillId="70" borderId="0" applyNumberFormat="0" applyBorder="0" applyAlignment="0" applyProtection="0"/>
    <xf numFmtId="210" fontId="40" fillId="70" borderId="0" applyNumberFormat="0" applyBorder="0" applyAlignment="0" applyProtection="0"/>
    <xf numFmtId="0" fontId="40" fillId="2" borderId="0" applyNumberFormat="0" applyBorder="0" applyAlignment="0" applyProtection="0"/>
    <xf numFmtId="210" fontId="40" fillId="70" borderId="0" applyNumberFormat="0" applyBorder="0" applyAlignment="0" applyProtection="0"/>
    <xf numFmtId="209" fontId="40" fillId="70" borderId="0" applyNumberFormat="0" applyBorder="0" applyAlignment="0" applyProtection="0"/>
    <xf numFmtId="210" fontId="40" fillId="70" borderId="0" applyNumberFormat="0" applyBorder="0" applyAlignment="0" applyProtection="0"/>
    <xf numFmtId="0" fontId="40" fillId="2" borderId="0" applyNumberFormat="0" applyBorder="0" applyAlignment="0" applyProtection="0"/>
    <xf numFmtId="210" fontId="40" fillId="70" borderId="0" applyNumberFormat="0" applyBorder="0" applyAlignment="0" applyProtection="0"/>
    <xf numFmtId="209" fontId="40" fillId="2" borderId="0" applyNumberFormat="0" applyBorder="0" applyAlignment="0" applyProtection="0"/>
    <xf numFmtId="209" fontId="40" fillId="70" borderId="0" applyNumberFormat="0" applyBorder="0" applyAlignment="0" applyProtection="0"/>
    <xf numFmtId="210" fontId="40" fillId="70" borderId="0" applyNumberFormat="0" applyBorder="0" applyAlignment="0" applyProtection="0"/>
    <xf numFmtId="0" fontId="40" fillId="2" borderId="0" applyNumberFormat="0" applyBorder="0" applyAlignment="0" applyProtection="0"/>
    <xf numFmtId="210" fontId="40" fillId="70"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214" fontId="7" fillId="0" borderId="0" applyFont="0" applyFill="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 borderId="0" applyNumberFormat="0" applyBorder="0" applyAlignment="0" applyProtection="0"/>
    <xf numFmtId="0" fontId="40" fillId="64"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209"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210" fontId="40" fillId="64"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0" fontId="6" fillId="42" borderId="0" applyNumberFormat="0" applyBorder="0" applyAlignment="0" applyProtection="0"/>
    <xf numFmtId="0" fontId="40" fillId="64" borderId="0" applyNumberFormat="0" applyBorder="0" applyAlignment="0" applyProtection="0"/>
    <xf numFmtId="209"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3" borderId="0" applyNumberFormat="0" applyBorder="0" applyAlignment="0" applyProtection="0"/>
    <xf numFmtId="0" fontId="40" fillId="67" borderId="0" applyNumberFormat="0" applyBorder="0" applyAlignment="0" applyProtection="0"/>
    <xf numFmtId="210" fontId="40" fillId="67" borderId="0" applyNumberFormat="0" applyBorder="0" applyAlignment="0" applyProtection="0"/>
    <xf numFmtId="0" fontId="40" fillId="3"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209"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210" fontId="40" fillId="67" borderId="0" applyNumberFormat="0" applyBorder="0" applyAlignment="0" applyProtection="0"/>
    <xf numFmtId="210" fontId="40" fillId="67" borderId="0" applyNumberFormat="0" applyBorder="0" applyAlignment="0" applyProtection="0"/>
    <xf numFmtId="0" fontId="40" fillId="3" borderId="0" applyNumberFormat="0" applyBorder="0" applyAlignment="0" applyProtection="0"/>
    <xf numFmtId="0" fontId="6" fillId="46" borderId="0" applyNumberFormat="0" applyBorder="0" applyAlignment="0" applyProtection="0"/>
    <xf numFmtId="0" fontId="40" fillId="67" borderId="0" applyNumberFormat="0" applyBorder="0" applyAlignment="0" applyProtection="0"/>
    <xf numFmtId="209"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0" fontId="40" fillId="16" borderId="0" applyNumberFormat="0" applyBorder="0" applyAlignment="0" applyProtection="0"/>
    <xf numFmtId="0" fontId="40" fillId="16" borderId="0" applyNumberFormat="0" applyBorder="0" applyAlignment="0" applyProtection="0"/>
    <xf numFmtId="0" fontId="40" fillId="16" borderId="0" applyNumberFormat="0" applyBorder="0" applyAlignment="0" applyProtection="0"/>
    <xf numFmtId="0" fontId="40" fillId="16" borderId="0" applyNumberFormat="0" applyBorder="0" applyAlignment="0" applyProtection="0"/>
    <xf numFmtId="0" fontId="40" fillId="16" borderId="0" applyNumberFormat="0" applyBorder="0" applyAlignment="0" applyProtection="0"/>
    <xf numFmtId="0" fontId="40" fillId="16" borderId="0" applyNumberFormat="0" applyBorder="0" applyAlignment="0" applyProtection="0"/>
    <xf numFmtId="0" fontId="40" fillId="16" borderId="0" applyNumberFormat="0" applyBorder="0" applyAlignment="0" applyProtection="0"/>
    <xf numFmtId="0" fontId="40" fillId="16" borderId="0" applyNumberFormat="0" applyBorder="0" applyAlignment="0" applyProtection="0"/>
    <xf numFmtId="0" fontId="40" fillId="16" borderId="0" applyNumberFormat="0" applyBorder="0" applyAlignment="0" applyProtection="0"/>
    <xf numFmtId="0" fontId="40" fillId="16" borderId="0" applyNumberFormat="0" applyBorder="0" applyAlignment="0" applyProtection="0"/>
    <xf numFmtId="0" fontId="40" fillId="74" borderId="0" applyNumberFormat="0" applyBorder="0" applyAlignment="0" applyProtection="0"/>
    <xf numFmtId="0" fontId="40" fillId="75" borderId="0" applyNumberFormat="0" applyBorder="0" applyAlignment="0" applyProtection="0"/>
    <xf numFmtId="210" fontId="40" fillId="75" borderId="0" applyNumberFormat="0" applyBorder="0" applyAlignment="0" applyProtection="0"/>
    <xf numFmtId="0" fontId="40" fillId="74"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209"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210" fontId="40" fillId="75" borderId="0" applyNumberFormat="0" applyBorder="0" applyAlignment="0" applyProtection="0"/>
    <xf numFmtId="210" fontId="40" fillId="75" borderId="0" applyNumberFormat="0" applyBorder="0" applyAlignment="0" applyProtection="0"/>
    <xf numFmtId="0" fontId="40" fillId="74" borderId="0" applyNumberFormat="0" applyBorder="0" applyAlignment="0" applyProtection="0"/>
    <xf numFmtId="0" fontId="6" fillId="50" borderId="0" applyNumberFormat="0" applyBorder="0" applyAlignment="0" applyProtection="0"/>
    <xf numFmtId="0" fontId="40" fillId="75" borderId="0" applyNumberFormat="0" applyBorder="0" applyAlignment="0" applyProtection="0"/>
    <xf numFmtId="209"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0" fontId="40" fillId="16" borderId="0" applyNumberFormat="0" applyBorder="0" applyAlignment="0" applyProtection="0"/>
    <xf numFmtId="0" fontId="40" fillId="16" borderId="0" applyNumberFormat="0" applyBorder="0" applyAlignment="0" applyProtection="0"/>
    <xf numFmtId="0" fontId="40" fillId="16" borderId="0" applyNumberFormat="0" applyBorder="0" applyAlignment="0" applyProtection="0"/>
    <xf numFmtId="0" fontId="40" fillId="16" borderId="0" applyNumberFormat="0" applyBorder="0" applyAlignment="0" applyProtection="0"/>
    <xf numFmtId="0" fontId="40" fillId="16" borderId="0" applyNumberFormat="0" applyBorder="0" applyAlignment="0" applyProtection="0"/>
    <xf numFmtId="0" fontId="40" fillId="16"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71" borderId="0" applyNumberFormat="0" applyBorder="0" applyAlignment="0" applyProtection="0"/>
    <xf numFmtId="0" fontId="40" fillId="72"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209"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210" fontId="40" fillId="72"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0" fontId="6" fillId="54" borderId="0" applyNumberFormat="0" applyBorder="0" applyAlignment="0" applyProtection="0"/>
    <xf numFmtId="0" fontId="40" fillId="72" borderId="0" applyNumberFormat="0" applyBorder="0" applyAlignment="0" applyProtection="0"/>
    <xf numFmtId="209"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68"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 borderId="0" applyNumberFormat="0" applyBorder="0" applyAlignment="0" applyProtection="0"/>
    <xf numFmtId="0" fontId="40" fillId="64"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209"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210" fontId="40" fillId="64"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0" fontId="6" fillId="58" borderId="0" applyNumberFormat="0" applyBorder="0" applyAlignment="0" applyProtection="0"/>
    <xf numFmtId="0" fontId="40" fillId="64" borderId="0" applyNumberFormat="0" applyBorder="0" applyAlignment="0" applyProtection="0"/>
    <xf numFmtId="209"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76" borderId="0" applyNumberFormat="0" applyBorder="0" applyAlignment="0" applyProtection="0"/>
    <xf numFmtId="0" fontId="40" fillId="77" borderId="0" applyNumberFormat="0" applyBorder="0" applyAlignment="0" applyProtection="0"/>
    <xf numFmtId="210" fontId="40" fillId="77" borderId="0" applyNumberFormat="0" applyBorder="0" applyAlignment="0" applyProtection="0"/>
    <xf numFmtId="0" fontId="40" fillId="76"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209"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210" fontId="40" fillId="77" borderId="0" applyNumberFormat="0" applyBorder="0" applyAlignment="0" applyProtection="0"/>
    <xf numFmtId="210" fontId="40" fillId="77" borderId="0" applyNumberFormat="0" applyBorder="0" applyAlignment="0" applyProtection="0"/>
    <xf numFmtId="0" fontId="40" fillId="76" borderId="0" applyNumberFormat="0" applyBorder="0" applyAlignment="0" applyProtection="0"/>
    <xf numFmtId="0" fontId="6" fillId="62" borderId="0" applyNumberFormat="0" applyBorder="0" applyAlignment="0" applyProtection="0"/>
    <xf numFmtId="0" fontId="40" fillId="77" borderId="0" applyNumberFormat="0" applyBorder="0" applyAlignment="0" applyProtection="0"/>
    <xf numFmtId="209"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69"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209" fontId="40" fillId="64"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210" fontId="40" fillId="64" borderId="0" applyNumberFormat="0" applyBorder="0" applyAlignment="0" applyProtection="0"/>
    <xf numFmtId="0" fontId="40" fillId="64" borderId="0" applyNumberFormat="0" applyBorder="0" applyAlignment="0" applyProtection="0"/>
    <xf numFmtId="21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209" fontId="40" fillId="64" borderId="0" applyNumberFormat="0" applyBorder="0" applyAlignment="0" applyProtection="0"/>
    <xf numFmtId="0" fontId="40" fillId="7" borderId="0" applyNumberFormat="0" applyBorder="0" applyAlignment="0" applyProtection="0"/>
    <xf numFmtId="0" fontId="40" fillId="64"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209" fontId="40" fillId="64"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210" fontId="40" fillId="64" borderId="0" applyNumberFormat="0" applyBorder="0" applyAlignment="0" applyProtection="0"/>
    <xf numFmtId="209" fontId="40" fillId="64"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0" fontId="40" fillId="64"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209" fontId="40" fillId="64"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210" fontId="40" fillId="64" borderId="0" applyNumberFormat="0" applyBorder="0" applyAlignment="0" applyProtection="0"/>
    <xf numFmtId="209" fontId="40" fillId="64"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209" fontId="40" fillId="64"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210" fontId="40" fillId="64" borderId="0" applyNumberFormat="0" applyBorder="0" applyAlignment="0" applyProtection="0"/>
    <xf numFmtId="209" fontId="40" fillId="64"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209" fontId="40" fillId="64"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210" fontId="40" fillId="64" borderId="0" applyNumberFormat="0" applyBorder="0" applyAlignment="0" applyProtection="0"/>
    <xf numFmtId="209" fontId="40" fillId="64"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210" fontId="40" fillId="64" borderId="0" applyNumberFormat="0" applyBorder="0" applyAlignment="0" applyProtection="0"/>
    <xf numFmtId="209" fontId="40" fillId="7" borderId="0" applyNumberFormat="0" applyBorder="0" applyAlignment="0" applyProtection="0"/>
    <xf numFmtId="209" fontId="40" fillId="64"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0" fontId="40" fillId="3" borderId="0" applyNumberFormat="0" applyBorder="0" applyAlignment="0" applyProtection="0"/>
    <xf numFmtId="0" fontId="40" fillId="3" borderId="0" applyNumberFormat="0" applyBorder="0" applyAlignment="0" applyProtection="0"/>
    <xf numFmtId="0" fontId="40" fillId="3" borderId="0" applyNumberFormat="0" applyBorder="0" applyAlignment="0" applyProtection="0"/>
    <xf numFmtId="209" fontId="40" fillId="67" borderId="0" applyNumberFormat="0" applyBorder="0" applyAlignment="0" applyProtection="0"/>
    <xf numFmtId="210" fontId="40" fillId="67" borderId="0" applyNumberFormat="0" applyBorder="0" applyAlignment="0" applyProtection="0"/>
    <xf numFmtId="0" fontId="40" fillId="3" borderId="0" applyNumberFormat="0" applyBorder="0" applyAlignment="0" applyProtection="0"/>
    <xf numFmtId="210" fontId="40" fillId="67" borderId="0" applyNumberFormat="0" applyBorder="0" applyAlignment="0" applyProtection="0"/>
    <xf numFmtId="0" fontId="40" fillId="67" borderId="0" applyNumberFormat="0" applyBorder="0" applyAlignment="0" applyProtection="0"/>
    <xf numFmtId="210" fontId="40" fillId="67" borderId="0" applyNumberFormat="0" applyBorder="0" applyAlignment="0" applyProtection="0"/>
    <xf numFmtId="0" fontId="40" fillId="67" borderId="0" applyNumberFormat="0" applyBorder="0" applyAlignment="0" applyProtection="0"/>
    <xf numFmtId="0" fontId="40" fillId="67" borderId="0" applyNumberFormat="0" applyBorder="0" applyAlignment="0" applyProtection="0"/>
    <xf numFmtId="209" fontId="40" fillId="67" borderId="0" applyNumberFormat="0" applyBorder="0" applyAlignment="0" applyProtection="0"/>
    <xf numFmtId="0" fontId="40" fillId="3" borderId="0" applyNumberFormat="0" applyBorder="0" applyAlignment="0" applyProtection="0"/>
    <xf numFmtId="0" fontId="40" fillId="67" borderId="0" applyNumberFormat="0" applyBorder="0" applyAlignment="0" applyProtection="0"/>
    <xf numFmtId="0" fontId="40" fillId="3" borderId="0" applyNumberFormat="0" applyBorder="0" applyAlignment="0" applyProtection="0"/>
    <xf numFmtId="0" fontId="40" fillId="3" borderId="0" applyNumberFormat="0" applyBorder="0" applyAlignment="0" applyProtection="0"/>
    <xf numFmtId="209" fontId="40" fillId="67" borderId="0" applyNumberFormat="0" applyBorder="0" applyAlignment="0" applyProtection="0"/>
    <xf numFmtId="210" fontId="40" fillId="67" borderId="0" applyNumberFormat="0" applyBorder="0" applyAlignment="0" applyProtection="0"/>
    <xf numFmtId="0" fontId="40" fillId="3" borderId="0" applyNumberFormat="0" applyBorder="0" applyAlignment="0" applyProtection="0"/>
    <xf numFmtId="210" fontId="40" fillId="67" borderId="0" applyNumberFormat="0" applyBorder="0" applyAlignment="0" applyProtection="0"/>
    <xf numFmtId="209" fontId="40" fillId="67" borderId="0" applyNumberFormat="0" applyBorder="0" applyAlignment="0" applyProtection="0"/>
    <xf numFmtId="210" fontId="40" fillId="67" borderId="0" applyNumberFormat="0" applyBorder="0" applyAlignment="0" applyProtection="0"/>
    <xf numFmtId="0" fontId="40" fillId="3" borderId="0" applyNumberFormat="0" applyBorder="0" applyAlignment="0" applyProtection="0"/>
    <xf numFmtId="0" fontId="40" fillId="67" borderId="0" applyNumberFormat="0" applyBorder="0" applyAlignment="0" applyProtection="0"/>
    <xf numFmtId="0" fontId="40" fillId="3" borderId="0" applyNumberFormat="0" applyBorder="0" applyAlignment="0" applyProtection="0"/>
    <xf numFmtId="0" fontId="40" fillId="3" borderId="0" applyNumberFormat="0" applyBorder="0" applyAlignment="0" applyProtection="0"/>
    <xf numFmtId="209" fontId="40" fillId="67" borderId="0" applyNumberFormat="0" applyBorder="0" applyAlignment="0" applyProtection="0"/>
    <xf numFmtId="210" fontId="40" fillId="67" borderId="0" applyNumberFormat="0" applyBorder="0" applyAlignment="0" applyProtection="0"/>
    <xf numFmtId="0" fontId="40" fillId="3" borderId="0" applyNumberFormat="0" applyBorder="0" applyAlignment="0" applyProtection="0"/>
    <xf numFmtId="210" fontId="40" fillId="67" borderId="0" applyNumberFormat="0" applyBorder="0" applyAlignment="0" applyProtection="0"/>
    <xf numFmtId="209" fontId="40" fillId="67" borderId="0" applyNumberFormat="0" applyBorder="0" applyAlignment="0" applyProtection="0"/>
    <xf numFmtId="210" fontId="40" fillId="67" borderId="0" applyNumberFormat="0" applyBorder="0" applyAlignment="0" applyProtection="0"/>
    <xf numFmtId="0" fontId="40" fillId="3" borderId="0" applyNumberFormat="0" applyBorder="0" applyAlignment="0" applyProtection="0"/>
    <xf numFmtId="210" fontId="40" fillId="67" borderId="0" applyNumberFormat="0" applyBorder="0" applyAlignment="0" applyProtection="0"/>
    <xf numFmtId="0" fontId="40" fillId="3" borderId="0" applyNumberFormat="0" applyBorder="0" applyAlignment="0" applyProtection="0"/>
    <xf numFmtId="0" fontId="40" fillId="3" borderId="0" applyNumberFormat="0" applyBorder="0" applyAlignment="0" applyProtection="0"/>
    <xf numFmtId="209" fontId="40" fillId="67" borderId="0" applyNumberFormat="0" applyBorder="0" applyAlignment="0" applyProtection="0"/>
    <xf numFmtId="210" fontId="40" fillId="67" borderId="0" applyNumberFormat="0" applyBorder="0" applyAlignment="0" applyProtection="0"/>
    <xf numFmtId="0" fontId="40" fillId="3" borderId="0" applyNumberFormat="0" applyBorder="0" applyAlignment="0" applyProtection="0"/>
    <xf numFmtId="210" fontId="40" fillId="67" borderId="0" applyNumberFormat="0" applyBorder="0" applyAlignment="0" applyProtection="0"/>
    <xf numFmtId="209" fontId="40" fillId="67" borderId="0" applyNumberFormat="0" applyBorder="0" applyAlignment="0" applyProtection="0"/>
    <xf numFmtId="210" fontId="40" fillId="67" borderId="0" applyNumberFormat="0" applyBorder="0" applyAlignment="0" applyProtection="0"/>
    <xf numFmtId="0" fontId="40" fillId="3" borderId="0" applyNumberFormat="0" applyBorder="0" applyAlignment="0" applyProtection="0"/>
    <xf numFmtId="210" fontId="40" fillId="67" borderId="0" applyNumberFormat="0" applyBorder="0" applyAlignment="0" applyProtection="0"/>
    <xf numFmtId="0" fontId="40" fillId="3" borderId="0" applyNumberFormat="0" applyBorder="0" applyAlignment="0" applyProtection="0"/>
    <xf numFmtId="0" fontId="40" fillId="3" borderId="0" applyNumberFormat="0" applyBorder="0" applyAlignment="0" applyProtection="0"/>
    <xf numFmtId="209" fontId="40" fillId="67" borderId="0" applyNumberFormat="0" applyBorder="0" applyAlignment="0" applyProtection="0"/>
    <xf numFmtId="210" fontId="40" fillId="67" borderId="0" applyNumberFormat="0" applyBorder="0" applyAlignment="0" applyProtection="0"/>
    <xf numFmtId="0" fontId="40" fillId="3" borderId="0" applyNumberFormat="0" applyBorder="0" applyAlignment="0" applyProtection="0"/>
    <xf numFmtId="210" fontId="40" fillId="67" borderId="0" applyNumberFormat="0" applyBorder="0" applyAlignment="0" applyProtection="0"/>
    <xf numFmtId="209" fontId="40" fillId="67" borderId="0" applyNumberFormat="0" applyBorder="0" applyAlignment="0" applyProtection="0"/>
    <xf numFmtId="210" fontId="40" fillId="67" borderId="0" applyNumberFormat="0" applyBorder="0" applyAlignment="0" applyProtection="0"/>
    <xf numFmtId="0" fontId="40" fillId="3" borderId="0" applyNumberFormat="0" applyBorder="0" applyAlignment="0" applyProtection="0"/>
    <xf numFmtId="210" fontId="40" fillId="67" borderId="0" applyNumberFormat="0" applyBorder="0" applyAlignment="0" applyProtection="0"/>
    <xf numFmtId="209" fontId="40" fillId="3" borderId="0" applyNumberFormat="0" applyBorder="0" applyAlignment="0" applyProtection="0"/>
    <xf numFmtId="209" fontId="40" fillId="67" borderId="0" applyNumberFormat="0" applyBorder="0" applyAlignment="0" applyProtection="0"/>
    <xf numFmtId="210" fontId="40" fillId="67" borderId="0" applyNumberFormat="0" applyBorder="0" applyAlignment="0" applyProtection="0"/>
    <xf numFmtId="0" fontId="40" fillId="3" borderId="0" applyNumberFormat="0" applyBorder="0" applyAlignment="0" applyProtection="0"/>
    <xf numFmtId="210" fontId="40" fillId="67" borderId="0" applyNumberFormat="0" applyBorder="0" applyAlignment="0" applyProtection="0"/>
    <xf numFmtId="0" fontId="40" fillId="3" borderId="0" applyNumberFormat="0" applyBorder="0" applyAlignment="0" applyProtection="0"/>
    <xf numFmtId="0" fontId="40" fillId="3" borderId="0" applyNumberFormat="0" applyBorder="0" applyAlignment="0" applyProtection="0"/>
    <xf numFmtId="0" fontId="40" fillId="74" borderId="0" applyNumberFormat="0" applyBorder="0" applyAlignment="0" applyProtection="0"/>
    <xf numFmtId="0" fontId="40" fillId="74" borderId="0" applyNumberFormat="0" applyBorder="0" applyAlignment="0" applyProtection="0"/>
    <xf numFmtId="0" fontId="40" fillId="74" borderId="0" applyNumberFormat="0" applyBorder="0" applyAlignment="0" applyProtection="0"/>
    <xf numFmtId="209" fontId="40" fillId="75" borderId="0" applyNumberFormat="0" applyBorder="0" applyAlignment="0" applyProtection="0"/>
    <xf numFmtId="210" fontId="40" fillId="75" borderId="0" applyNumberFormat="0" applyBorder="0" applyAlignment="0" applyProtection="0"/>
    <xf numFmtId="0" fontId="40" fillId="74" borderId="0" applyNumberFormat="0" applyBorder="0" applyAlignment="0" applyProtection="0"/>
    <xf numFmtId="210" fontId="40" fillId="75" borderId="0" applyNumberFormat="0" applyBorder="0" applyAlignment="0" applyProtection="0"/>
    <xf numFmtId="0" fontId="40" fillId="75" borderId="0" applyNumberFormat="0" applyBorder="0" applyAlignment="0" applyProtection="0"/>
    <xf numFmtId="210" fontId="40" fillId="75" borderId="0" applyNumberFormat="0" applyBorder="0" applyAlignment="0" applyProtection="0"/>
    <xf numFmtId="0" fontId="40" fillId="75" borderId="0" applyNumberFormat="0" applyBorder="0" applyAlignment="0" applyProtection="0"/>
    <xf numFmtId="0" fontId="40" fillId="75" borderId="0" applyNumberFormat="0" applyBorder="0" applyAlignment="0" applyProtection="0"/>
    <xf numFmtId="209" fontId="40" fillId="75" borderId="0" applyNumberFormat="0" applyBorder="0" applyAlignment="0" applyProtection="0"/>
    <xf numFmtId="0" fontId="40" fillId="74" borderId="0" applyNumberFormat="0" applyBorder="0" applyAlignment="0" applyProtection="0"/>
    <xf numFmtId="0" fontId="40" fillId="75" borderId="0" applyNumberFormat="0" applyBorder="0" applyAlignment="0" applyProtection="0"/>
    <xf numFmtId="0" fontId="40" fillId="74" borderId="0" applyNumberFormat="0" applyBorder="0" applyAlignment="0" applyProtection="0"/>
    <xf numFmtId="0" fontId="40" fillId="74" borderId="0" applyNumberFormat="0" applyBorder="0" applyAlignment="0" applyProtection="0"/>
    <xf numFmtId="209" fontId="40" fillId="75" borderId="0" applyNumberFormat="0" applyBorder="0" applyAlignment="0" applyProtection="0"/>
    <xf numFmtId="210" fontId="40" fillId="75" borderId="0" applyNumberFormat="0" applyBorder="0" applyAlignment="0" applyProtection="0"/>
    <xf numFmtId="0" fontId="40" fillId="74" borderId="0" applyNumberFormat="0" applyBorder="0" applyAlignment="0" applyProtection="0"/>
    <xf numFmtId="210" fontId="40" fillId="75" borderId="0" applyNumberFormat="0" applyBorder="0" applyAlignment="0" applyProtection="0"/>
    <xf numFmtId="209" fontId="40" fillId="75" borderId="0" applyNumberFormat="0" applyBorder="0" applyAlignment="0" applyProtection="0"/>
    <xf numFmtId="210" fontId="40" fillId="75" borderId="0" applyNumberFormat="0" applyBorder="0" applyAlignment="0" applyProtection="0"/>
    <xf numFmtId="0" fontId="40" fillId="74" borderId="0" applyNumberFormat="0" applyBorder="0" applyAlignment="0" applyProtection="0"/>
    <xf numFmtId="0" fontId="40" fillId="75" borderId="0" applyNumberFormat="0" applyBorder="0" applyAlignment="0" applyProtection="0"/>
    <xf numFmtId="0" fontId="40" fillId="74" borderId="0" applyNumberFormat="0" applyBorder="0" applyAlignment="0" applyProtection="0"/>
    <xf numFmtId="0" fontId="40" fillId="74" borderId="0" applyNumberFormat="0" applyBorder="0" applyAlignment="0" applyProtection="0"/>
    <xf numFmtId="209" fontId="40" fillId="75" borderId="0" applyNumberFormat="0" applyBorder="0" applyAlignment="0" applyProtection="0"/>
    <xf numFmtId="210" fontId="40" fillId="75" borderId="0" applyNumberFormat="0" applyBorder="0" applyAlignment="0" applyProtection="0"/>
    <xf numFmtId="0" fontId="40" fillId="74" borderId="0" applyNumberFormat="0" applyBorder="0" applyAlignment="0" applyProtection="0"/>
    <xf numFmtId="210" fontId="40" fillId="75" borderId="0" applyNumberFormat="0" applyBorder="0" applyAlignment="0" applyProtection="0"/>
    <xf numFmtId="209" fontId="40" fillId="75" borderId="0" applyNumberFormat="0" applyBorder="0" applyAlignment="0" applyProtection="0"/>
    <xf numFmtId="210" fontId="40" fillId="75" borderId="0" applyNumberFormat="0" applyBorder="0" applyAlignment="0" applyProtection="0"/>
    <xf numFmtId="0" fontId="40" fillId="74" borderId="0" applyNumberFormat="0" applyBorder="0" applyAlignment="0" applyProtection="0"/>
    <xf numFmtId="210" fontId="40" fillId="75" borderId="0" applyNumberFormat="0" applyBorder="0" applyAlignment="0" applyProtection="0"/>
    <xf numFmtId="0" fontId="40" fillId="74" borderId="0" applyNumberFormat="0" applyBorder="0" applyAlignment="0" applyProtection="0"/>
    <xf numFmtId="0" fontId="40" fillId="74" borderId="0" applyNumberFormat="0" applyBorder="0" applyAlignment="0" applyProtection="0"/>
    <xf numFmtId="209" fontId="40" fillId="75" borderId="0" applyNumberFormat="0" applyBorder="0" applyAlignment="0" applyProtection="0"/>
    <xf numFmtId="210" fontId="40" fillId="75" borderId="0" applyNumberFormat="0" applyBorder="0" applyAlignment="0" applyProtection="0"/>
    <xf numFmtId="0" fontId="40" fillId="74" borderId="0" applyNumberFormat="0" applyBorder="0" applyAlignment="0" applyProtection="0"/>
    <xf numFmtId="210" fontId="40" fillId="75" borderId="0" applyNumberFormat="0" applyBorder="0" applyAlignment="0" applyProtection="0"/>
    <xf numFmtId="209" fontId="40" fillId="75" borderId="0" applyNumberFormat="0" applyBorder="0" applyAlignment="0" applyProtection="0"/>
    <xf numFmtId="210" fontId="40" fillId="75" borderId="0" applyNumberFormat="0" applyBorder="0" applyAlignment="0" applyProtection="0"/>
    <xf numFmtId="0" fontId="40" fillId="74" borderId="0" applyNumberFormat="0" applyBorder="0" applyAlignment="0" applyProtection="0"/>
    <xf numFmtId="210" fontId="40" fillId="75" borderId="0" applyNumberFormat="0" applyBorder="0" applyAlignment="0" applyProtection="0"/>
    <xf numFmtId="0" fontId="40" fillId="74" borderId="0" applyNumberFormat="0" applyBorder="0" applyAlignment="0" applyProtection="0"/>
    <xf numFmtId="0" fontId="40" fillId="74" borderId="0" applyNumberFormat="0" applyBorder="0" applyAlignment="0" applyProtection="0"/>
    <xf numFmtId="209" fontId="40" fillId="75" borderId="0" applyNumberFormat="0" applyBorder="0" applyAlignment="0" applyProtection="0"/>
    <xf numFmtId="210" fontId="40" fillId="75" borderId="0" applyNumberFormat="0" applyBorder="0" applyAlignment="0" applyProtection="0"/>
    <xf numFmtId="0" fontId="40" fillId="74" borderId="0" applyNumberFormat="0" applyBorder="0" applyAlignment="0" applyProtection="0"/>
    <xf numFmtId="210" fontId="40" fillId="75" borderId="0" applyNumberFormat="0" applyBorder="0" applyAlignment="0" applyProtection="0"/>
    <xf numFmtId="209" fontId="40" fillId="75" borderId="0" applyNumberFormat="0" applyBorder="0" applyAlignment="0" applyProtection="0"/>
    <xf numFmtId="210" fontId="40" fillId="75" borderId="0" applyNumberFormat="0" applyBorder="0" applyAlignment="0" applyProtection="0"/>
    <xf numFmtId="0" fontId="40" fillId="74" borderId="0" applyNumberFormat="0" applyBorder="0" applyAlignment="0" applyProtection="0"/>
    <xf numFmtId="210" fontId="40" fillId="75" borderId="0" applyNumberFormat="0" applyBorder="0" applyAlignment="0" applyProtection="0"/>
    <xf numFmtId="209" fontId="40" fillId="74" borderId="0" applyNumberFormat="0" applyBorder="0" applyAlignment="0" applyProtection="0"/>
    <xf numFmtId="209" fontId="40" fillId="75" borderId="0" applyNumberFormat="0" applyBorder="0" applyAlignment="0" applyProtection="0"/>
    <xf numFmtId="210" fontId="40" fillId="75" borderId="0" applyNumberFormat="0" applyBorder="0" applyAlignment="0" applyProtection="0"/>
    <xf numFmtId="0" fontId="40" fillId="74" borderId="0" applyNumberFormat="0" applyBorder="0" applyAlignment="0" applyProtection="0"/>
    <xf numFmtId="210" fontId="40" fillId="75" borderId="0" applyNumberFormat="0" applyBorder="0" applyAlignment="0" applyProtection="0"/>
    <xf numFmtId="0" fontId="40" fillId="74" borderId="0" applyNumberFormat="0" applyBorder="0" applyAlignment="0" applyProtection="0"/>
    <xf numFmtId="0" fontId="40" fillId="74" borderId="0" applyNumberFormat="0" applyBorder="0" applyAlignment="0" applyProtection="0"/>
    <xf numFmtId="0" fontId="40" fillId="71" borderId="0" applyNumberFormat="0" applyBorder="0" applyAlignment="0" applyProtection="0"/>
    <xf numFmtId="0" fontId="40" fillId="71" borderId="0" applyNumberFormat="0" applyBorder="0" applyAlignment="0" applyProtection="0"/>
    <xf numFmtId="0" fontId="40" fillId="71" borderId="0" applyNumberFormat="0" applyBorder="0" applyAlignment="0" applyProtection="0"/>
    <xf numFmtId="209" fontId="40" fillId="72"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210" fontId="40" fillId="72" borderId="0" applyNumberFormat="0" applyBorder="0" applyAlignment="0" applyProtection="0"/>
    <xf numFmtId="0" fontId="40" fillId="72" borderId="0" applyNumberFormat="0" applyBorder="0" applyAlignment="0" applyProtection="0"/>
    <xf numFmtId="21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209" fontId="40" fillId="72" borderId="0" applyNumberFormat="0" applyBorder="0" applyAlignment="0" applyProtection="0"/>
    <xf numFmtId="0" fontId="40" fillId="71" borderId="0" applyNumberFormat="0" applyBorder="0" applyAlignment="0" applyProtection="0"/>
    <xf numFmtId="0" fontId="40" fillId="72" borderId="0" applyNumberFormat="0" applyBorder="0" applyAlignment="0" applyProtection="0"/>
    <xf numFmtId="0" fontId="40" fillId="71" borderId="0" applyNumberFormat="0" applyBorder="0" applyAlignment="0" applyProtection="0"/>
    <xf numFmtId="0" fontId="40" fillId="71" borderId="0" applyNumberFormat="0" applyBorder="0" applyAlignment="0" applyProtection="0"/>
    <xf numFmtId="209" fontId="40" fillId="72"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210" fontId="40" fillId="72" borderId="0" applyNumberFormat="0" applyBorder="0" applyAlignment="0" applyProtection="0"/>
    <xf numFmtId="209" fontId="40" fillId="72"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0" fontId="40" fillId="72" borderId="0" applyNumberFormat="0" applyBorder="0" applyAlignment="0" applyProtection="0"/>
    <xf numFmtId="0" fontId="40" fillId="71" borderId="0" applyNumberFormat="0" applyBorder="0" applyAlignment="0" applyProtection="0"/>
    <xf numFmtId="0" fontId="40" fillId="71" borderId="0" applyNumberFormat="0" applyBorder="0" applyAlignment="0" applyProtection="0"/>
    <xf numFmtId="209" fontId="40" fillId="72"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210" fontId="40" fillId="72" borderId="0" applyNumberFormat="0" applyBorder="0" applyAlignment="0" applyProtection="0"/>
    <xf numFmtId="209" fontId="40" fillId="72"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0" fontId="40" fillId="71" borderId="0" applyNumberFormat="0" applyBorder="0" applyAlignment="0" applyProtection="0"/>
    <xf numFmtId="209" fontId="40" fillId="72"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210" fontId="40" fillId="72" borderId="0" applyNumberFormat="0" applyBorder="0" applyAlignment="0" applyProtection="0"/>
    <xf numFmtId="209" fontId="40" fillId="72"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0" fontId="40" fillId="71" borderId="0" applyNumberFormat="0" applyBorder="0" applyAlignment="0" applyProtection="0"/>
    <xf numFmtId="209" fontId="40" fillId="72"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210" fontId="40" fillId="72" borderId="0" applyNumberFormat="0" applyBorder="0" applyAlignment="0" applyProtection="0"/>
    <xf numFmtId="209" fontId="40" fillId="72"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210" fontId="40" fillId="72" borderId="0" applyNumberFormat="0" applyBorder="0" applyAlignment="0" applyProtection="0"/>
    <xf numFmtId="209" fontId="40" fillId="71" borderId="0" applyNumberFormat="0" applyBorder="0" applyAlignment="0" applyProtection="0"/>
    <xf numFmtId="209" fontId="40" fillId="72"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210" fontId="40" fillId="72" borderId="0" applyNumberFormat="0" applyBorder="0" applyAlignment="0" applyProtection="0"/>
    <xf numFmtId="0" fontId="40" fillId="71" borderId="0" applyNumberFormat="0" applyBorder="0" applyAlignment="0" applyProtection="0"/>
    <xf numFmtId="0" fontId="40" fillId="71"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209" fontId="40" fillId="64"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210" fontId="40" fillId="64" borderId="0" applyNumberFormat="0" applyBorder="0" applyAlignment="0" applyProtection="0"/>
    <xf numFmtId="0" fontId="40" fillId="64" borderId="0" applyNumberFormat="0" applyBorder="0" applyAlignment="0" applyProtection="0"/>
    <xf numFmtId="210" fontId="40" fillId="64" borderId="0" applyNumberFormat="0" applyBorder="0" applyAlignment="0" applyProtection="0"/>
    <xf numFmtId="0" fontId="40" fillId="64" borderId="0" applyNumberFormat="0" applyBorder="0" applyAlignment="0" applyProtection="0"/>
    <xf numFmtId="0" fontId="40" fillId="64" borderId="0" applyNumberFormat="0" applyBorder="0" applyAlignment="0" applyProtection="0"/>
    <xf numFmtId="209" fontId="40" fillId="64" borderId="0" applyNumberFormat="0" applyBorder="0" applyAlignment="0" applyProtection="0"/>
    <xf numFmtId="0" fontId="40" fillId="7" borderId="0" applyNumberFormat="0" applyBorder="0" applyAlignment="0" applyProtection="0"/>
    <xf numFmtId="0" fontId="40" fillId="64"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209" fontId="40" fillId="64"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210" fontId="40" fillId="64" borderId="0" applyNumberFormat="0" applyBorder="0" applyAlignment="0" applyProtection="0"/>
    <xf numFmtId="209" fontId="40" fillId="64"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0" fontId="40" fillId="64"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209" fontId="40" fillId="64"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210" fontId="40" fillId="64" borderId="0" applyNumberFormat="0" applyBorder="0" applyAlignment="0" applyProtection="0"/>
    <xf numFmtId="209" fontId="40" fillId="64"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209" fontId="40" fillId="64"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210" fontId="40" fillId="64" borderId="0" applyNumberFormat="0" applyBorder="0" applyAlignment="0" applyProtection="0"/>
    <xf numFmtId="209" fontId="40" fillId="64"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209" fontId="40" fillId="64"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210" fontId="40" fillId="64" borderId="0" applyNumberFormat="0" applyBorder="0" applyAlignment="0" applyProtection="0"/>
    <xf numFmtId="209" fontId="40" fillId="64"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210" fontId="40" fillId="64" borderId="0" applyNumberFormat="0" applyBorder="0" applyAlignment="0" applyProtection="0"/>
    <xf numFmtId="209" fontId="40" fillId="7" borderId="0" applyNumberFormat="0" applyBorder="0" applyAlignment="0" applyProtection="0"/>
    <xf numFmtId="209" fontId="40" fillId="64"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210" fontId="40" fillId="64"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0" fontId="40" fillId="76" borderId="0" applyNumberFormat="0" applyBorder="0" applyAlignment="0" applyProtection="0"/>
    <xf numFmtId="0" fontId="40" fillId="76" borderId="0" applyNumberFormat="0" applyBorder="0" applyAlignment="0" applyProtection="0"/>
    <xf numFmtId="0" fontId="40" fillId="76" borderId="0" applyNumberFormat="0" applyBorder="0" applyAlignment="0" applyProtection="0"/>
    <xf numFmtId="209" fontId="40" fillId="77" borderId="0" applyNumberFormat="0" applyBorder="0" applyAlignment="0" applyProtection="0"/>
    <xf numFmtId="210" fontId="40" fillId="77" borderId="0" applyNumberFormat="0" applyBorder="0" applyAlignment="0" applyProtection="0"/>
    <xf numFmtId="0" fontId="40" fillId="76" borderId="0" applyNumberFormat="0" applyBorder="0" applyAlignment="0" applyProtection="0"/>
    <xf numFmtId="210" fontId="40" fillId="77" borderId="0" applyNumberFormat="0" applyBorder="0" applyAlignment="0" applyProtection="0"/>
    <xf numFmtId="0" fontId="40" fillId="77" borderId="0" applyNumberFormat="0" applyBorder="0" applyAlignment="0" applyProtection="0"/>
    <xf numFmtId="210" fontId="40" fillId="77" borderId="0" applyNumberFormat="0" applyBorder="0" applyAlignment="0" applyProtection="0"/>
    <xf numFmtId="0" fontId="40" fillId="77" borderId="0" applyNumberFormat="0" applyBorder="0" applyAlignment="0" applyProtection="0"/>
    <xf numFmtId="0" fontId="40" fillId="77" borderId="0" applyNumberFormat="0" applyBorder="0" applyAlignment="0" applyProtection="0"/>
    <xf numFmtId="209" fontId="40" fillId="77" borderId="0" applyNumberFormat="0" applyBorder="0" applyAlignment="0" applyProtection="0"/>
    <xf numFmtId="0" fontId="40" fillId="76" borderId="0" applyNumberFormat="0" applyBorder="0" applyAlignment="0" applyProtection="0"/>
    <xf numFmtId="0" fontId="40" fillId="77" borderId="0" applyNumberFormat="0" applyBorder="0" applyAlignment="0" applyProtection="0"/>
    <xf numFmtId="0" fontId="40" fillId="76" borderId="0" applyNumberFormat="0" applyBorder="0" applyAlignment="0" applyProtection="0"/>
    <xf numFmtId="0" fontId="40" fillId="76" borderId="0" applyNumberFormat="0" applyBorder="0" applyAlignment="0" applyProtection="0"/>
    <xf numFmtId="209" fontId="40" fillId="77" borderId="0" applyNumberFormat="0" applyBorder="0" applyAlignment="0" applyProtection="0"/>
    <xf numFmtId="210" fontId="40" fillId="77" borderId="0" applyNumberFormat="0" applyBorder="0" applyAlignment="0" applyProtection="0"/>
    <xf numFmtId="0" fontId="40" fillId="76" borderId="0" applyNumberFormat="0" applyBorder="0" applyAlignment="0" applyProtection="0"/>
    <xf numFmtId="210" fontId="40" fillId="77" borderId="0" applyNumberFormat="0" applyBorder="0" applyAlignment="0" applyProtection="0"/>
    <xf numFmtId="209" fontId="40" fillId="77" borderId="0" applyNumberFormat="0" applyBorder="0" applyAlignment="0" applyProtection="0"/>
    <xf numFmtId="210" fontId="40" fillId="77" borderId="0" applyNumberFormat="0" applyBorder="0" applyAlignment="0" applyProtection="0"/>
    <xf numFmtId="0" fontId="40" fillId="76" borderId="0" applyNumberFormat="0" applyBorder="0" applyAlignment="0" applyProtection="0"/>
    <xf numFmtId="0" fontId="40" fillId="77" borderId="0" applyNumberFormat="0" applyBorder="0" applyAlignment="0" applyProtection="0"/>
    <xf numFmtId="0" fontId="40" fillId="76" borderId="0" applyNumberFormat="0" applyBorder="0" applyAlignment="0" applyProtection="0"/>
    <xf numFmtId="0" fontId="40" fillId="76" borderId="0" applyNumberFormat="0" applyBorder="0" applyAlignment="0" applyProtection="0"/>
    <xf numFmtId="209" fontId="40" fillId="77" borderId="0" applyNumberFormat="0" applyBorder="0" applyAlignment="0" applyProtection="0"/>
    <xf numFmtId="210" fontId="40" fillId="77" borderId="0" applyNumberFormat="0" applyBorder="0" applyAlignment="0" applyProtection="0"/>
    <xf numFmtId="0" fontId="40" fillId="76" borderId="0" applyNumberFormat="0" applyBorder="0" applyAlignment="0" applyProtection="0"/>
    <xf numFmtId="210" fontId="40" fillId="77" borderId="0" applyNumberFormat="0" applyBorder="0" applyAlignment="0" applyProtection="0"/>
    <xf numFmtId="209" fontId="40" fillId="77" borderId="0" applyNumberFormat="0" applyBorder="0" applyAlignment="0" applyProtection="0"/>
    <xf numFmtId="210" fontId="40" fillId="77" borderId="0" applyNumberFormat="0" applyBorder="0" applyAlignment="0" applyProtection="0"/>
    <xf numFmtId="0" fontId="40" fillId="76" borderId="0" applyNumberFormat="0" applyBorder="0" applyAlignment="0" applyProtection="0"/>
    <xf numFmtId="210" fontId="40" fillId="77" borderId="0" applyNumberFormat="0" applyBorder="0" applyAlignment="0" applyProtection="0"/>
    <xf numFmtId="0" fontId="40" fillId="76" borderId="0" applyNumberFormat="0" applyBorder="0" applyAlignment="0" applyProtection="0"/>
    <xf numFmtId="0" fontId="40" fillId="76" borderId="0" applyNumberFormat="0" applyBorder="0" applyAlignment="0" applyProtection="0"/>
    <xf numFmtId="209" fontId="40" fillId="77" borderId="0" applyNumberFormat="0" applyBorder="0" applyAlignment="0" applyProtection="0"/>
    <xf numFmtId="210" fontId="40" fillId="77" borderId="0" applyNumberFormat="0" applyBorder="0" applyAlignment="0" applyProtection="0"/>
    <xf numFmtId="0" fontId="40" fillId="76" borderId="0" applyNumberFormat="0" applyBorder="0" applyAlignment="0" applyProtection="0"/>
    <xf numFmtId="210" fontId="40" fillId="77" borderId="0" applyNumberFormat="0" applyBorder="0" applyAlignment="0" applyProtection="0"/>
    <xf numFmtId="209" fontId="40" fillId="77" borderId="0" applyNumberFormat="0" applyBorder="0" applyAlignment="0" applyProtection="0"/>
    <xf numFmtId="210" fontId="40" fillId="77" borderId="0" applyNumberFormat="0" applyBorder="0" applyAlignment="0" applyProtection="0"/>
    <xf numFmtId="0" fontId="40" fillId="76" borderId="0" applyNumberFormat="0" applyBorder="0" applyAlignment="0" applyProtection="0"/>
    <xf numFmtId="210" fontId="40" fillId="77" borderId="0" applyNumberFormat="0" applyBorder="0" applyAlignment="0" applyProtection="0"/>
    <xf numFmtId="0" fontId="40" fillId="76" borderId="0" applyNumberFormat="0" applyBorder="0" applyAlignment="0" applyProtection="0"/>
    <xf numFmtId="0" fontId="40" fillId="76" borderId="0" applyNumberFormat="0" applyBorder="0" applyAlignment="0" applyProtection="0"/>
    <xf numFmtId="209" fontId="40" fillId="77" borderId="0" applyNumberFormat="0" applyBorder="0" applyAlignment="0" applyProtection="0"/>
    <xf numFmtId="210" fontId="40" fillId="77" borderId="0" applyNumberFormat="0" applyBorder="0" applyAlignment="0" applyProtection="0"/>
    <xf numFmtId="0" fontId="40" fillId="76" borderId="0" applyNumberFormat="0" applyBorder="0" applyAlignment="0" applyProtection="0"/>
    <xf numFmtId="210" fontId="40" fillId="77" borderId="0" applyNumberFormat="0" applyBorder="0" applyAlignment="0" applyProtection="0"/>
    <xf numFmtId="209" fontId="40" fillId="77" borderId="0" applyNumberFormat="0" applyBorder="0" applyAlignment="0" applyProtection="0"/>
    <xf numFmtId="210" fontId="40" fillId="77" borderId="0" applyNumberFormat="0" applyBorder="0" applyAlignment="0" applyProtection="0"/>
    <xf numFmtId="0" fontId="40" fillId="76" borderId="0" applyNumberFormat="0" applyBorder="0" applyAlignment="0" applyProtection="0"/>
    <xf numFmtId="210" fontId="40" fillId="77" borderId="0" applyNumberFormat="0" applyBorder="0" applyAlignment="0" applyProtection="0"/>
    <xf numFmtId="209" fontId="40" fillId="76" borderId="0" applyNumberFormat="0" applyBorder="0" applyAlignment="0" applyProtection="0"/>
    <xf numFmtId="209" fontId="40" fillId="77" borderId="0" applyNumberFormat="0" applyBorder="0" applyAlignment="0" applyProtection="0"/>
    <xf numFmtId="210" fontId="40" fillId="77" borderId="0" applyNumberFormat="0" applyBorder="0" applyAlignment="0" applyProtection="0"/>
    <xf numFmtId="0" fontId="40" fillId="76" borderId="0" applyNumberFormat="0" applyBorder="0" applyAlignment="0" applyProtection="0"/>
    <xf numFmtId="210" fontId="40" fillId="77" borderId="0" applyNumberFormat="0" applyBorder="0" applyAlignment="0" applyProtection="0"/>
    <xf numFmtId="0" fontId="40" fillId="76" borderId="0" applyNumberFormat="0" applyBorder="0" applyAlignment="0" applyProtection="0"/>
    <xf numFmtId="0" fontId="40" fillId="76" borderId="0" applyNumberFormat="0" applyBorder="0" applyAlignment="0" applyProtection="0"/>
    <xf numFmtId="0" fontId="42" fillId="73" borderId="0" applyNumberFormat="0" applyBorder="0" applyAlignment="0" applyProtection="0"/>
    <xf numFmtId="0" fontId="42" fillId="73" borderId="0" applyNumberFormat="0" applyBorder="0" applyAlignment="0" applyProtection="0"/>
    <xf numFmtId="0" fontId="42" fillId="73" borderId="0" applyNumberFormat="0" applyBorder="0" applyAlignment="0" applyProtection="0"/>
    <xf numFmtId="0" fontId="42" fillId="73" borderId="0" applyNumberFormat="0" applyBorder="0" applyAlignment="0" applyProtection="0"/>
    <xf numFmtId="0" fontId="42" fillId="73" borderId="0" applyNumberFormat="0" applyBorder="0" applyAlignment="0" applyProtection="0"/>
    <xf numFmtId="0" fontId="42" fillId="73" borderId="0" applyNumberFormat="0" applyBorder="0" applyAlignment="0" applyProtection="0"/>
    <xf numFmtId="0" fontId="42" fillId="73" borderId="0" applyNumberFormat="0" applyBorder="0" applyAlignment="0" applyProtection="0"/>
    <xf numFmtId="0" fontId="42" fillId="73" borderId="0" applyNumberFormat="0" applyBorder="0" applyAlignment="0" applyProtection="0"/>
    <xf numFmtId="0" fontId="42" fillId="73" borderId="0" applyNumberFormat="0" applyBorder="0" applyAlignment="0" applyProtection="0"/>
    <xf numFmtId="0" fontId="42" fillId="73" borderId="0" applyNumberFormat="0" applyBorder="0" applyAlignment="0" applyProtection="0"/>
    <xf numFmtId="0" fontId="42" fillId="5" borderId="0" applyNumberFormat="0" applyBorder="0" applyAlignment="0" applyProtection="0"/>
    <xf numFmtId="0" fontId="42" fillId="78" borderId="0" applyNumberFormat="0" applyBorder="0" applyAlignment="0" applyProtection="0"/>
    <xf numFmtId="0" fontId="42" fillId="78" borderId="0" applyNumberFormat="0" applyBorder="0" applyAlignment="0" applyProtection="0"/>
    <xf numFmtId="0" fontId="42" fillId="78" borderId="0" applyNumberFormat="0" applyBorder="0" applyAlignment="0" applyProtection="0"/>
    <xf numFmtId="0" fontId="42" fillId="78" borderId="0" applyNumberFormat="0" applyBorder="0" applyAlignment="0" applyProtection="0"/>
    <xf numFmtId="0" fontId="42" fillId="78" borderId="0" applyNumberFormat="0" applyBorder="0" applyAlignment="0" applyProtection="0"/>
    <xf numFmtId="0" fontId="42" fillId="78" borderId="0" applyNumberFormat="0" applyBorder="0" applyAlignment="0" applyProtection="0"/>
    <xf numFmtId="209" fontId="42" fillId="78" borderId="0" applyNumberFormat="0" applyBorder="0" applyAlignment="0" applyProtection="0"/>
    <xf numFmtId="209" fontId="42" fillId="78" borderId="0" applyNumberFormat="0" applyBorder="0" applyAlignment="0" applyProtection="0"/>
    <xf numFmtId="210" fontId="42" fillId="78"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8" borderId="0" applyNumberFormat="0" applyBorder="0" applyAlignment="0" applyProtection="0"/>
    <xf numFmtId="0" fontId="42" fillId="78" borderId="0" applyNumberFormat="0" applyBorder="0" applyAlignment="0" applyProtection="0"/>
    <xf numFmtId="0" fontId="42" fillId="78" borderId="0" applyNumberFormat="0" applyBorder="0" applyAlignment="0" applyProtection="0"/>
    <xf numFmtId="0" fontId="42" fillId="78" borderId="0" applyNumberFormat="0" applyBorder="0" applyAlignment="0" applyProtection="0"/>
    <xf numFmtId="0" fontId="42" fillId="78" borderId="0" applyNumberFormat="0" applyBorder="0" applyAlignment="0" applyProtection="0"/>
    <xf numFmtId="0" fontId="42" fillId="78"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3"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3"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3"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3"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3"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3"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137" fillId="43"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0" fontId="42" fillId="80" borderId="0" applyNumberFormat="0" applyBorder="0" applyAlignment="0" applyProtection="0"/>
    <xf numFmtId="0" fontId="42" fillId="67" borderId="0" applyNumberFormat="0" applyBorder="0" applyAlignment="0" applyProtection="0"/>
    <xf numFmtId="0" fontId="42" fillId="67" borderId="0" applyNumberFormat="0" applyBorder="0" applyAlignment="0" applyProtection="0"/>
    <xf numFmtId="0" fontId="42" fillId="67" borderId="0" applyNumberFormat="0" applyBorder="0" applyAlignment="0" applyProtection="0"/>
    <xf numFmtId="0" fontId="42" fillId="67" borderId="0" applyNumberFormat="0" applyBorder="0" applyAlignment="0" applyProtection="0"/>
    <xf numFmtId="0" fontId="42" fillId="67" borderId="0" applyNumberFormat="0" applyBorder="0" applyAlignment="0" applyProtection="0"/>
    <xf numFmtId="0" fontId="42" fillId="67" borderId="0" applyNumberFormat="0" applyBorder="0" applyAlignment="0" applyProtection="0"/>
    <xf numFmtId="209" fontId="42" fillId="67" borderId="0" applyNumberFormat="0" applyBorder="0" applyAlignment="0" applyProtection="0"/>
    <xf numFmtId="209" fontId="42" fillId="67" borderId="0" applyNumberFormat="0" applyBorder="0" applyAlignment="0" applyProtection="0"/>
    <xf numFmtId="210" fontId="42" fillId="67"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67" borderId="0" applyNumberFormat="0" applyBorder="0" applyAlignment="0" applyProtection="0"/>
    <xf numFmtId="0" fontId="42" fillId="67" borderId="0" applyNumberFormat="0" applyBorder="0" applyAlignment="0" applyProtection="0"/>
    <xf numFmtId="0" fontId="42" fillId="67" borderId="0" applyNumberFormat="0" applyBorder="0" applyAlignment="0" applyProtection="0"/>
    <xf numFmtId="0" fontId="42" fillId="67" borderId="0" applyNumberFormat="0" applyBorder="0" applyAlignment="0" applyProtection="0"/>
    <xf numFmtId="0" fontId="42" fillId="67" borderId="0" applyNumberFormat="0" applyBorder="0" applyAlignment="0" applyProtection="0"/>
    <xf numFmtId="0" fontId="42" fillId="67"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1"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1"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1"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1"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1"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1"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137" fillId="47" borderId="0" applyNumberFormat="0" applyBorder="0" applyAlignment="0" applyProtection="0"/>
    <xf numFmtId="0" fontId="42" fillId="77" borderId="0" applyNumberFormat="0" applyBorder="0" applyAlignment="0" applyProtection="0"/>
    <xf numFmtId="0" fontId="42" fillId="77" borderId="0" applyNumberFormat="0" applyBorder="0" applyAlignment="0" applyProtection="0"/>
    <xf numFmtId="0" fontId="42" fillId="77" borderId="0" applyNumberFormat="0" applyBorder="0" applyAlignment="0" applyProtection="0"/>
    <xf numFmtId="0" fontId="42" fillId="77" borderId="0" applyNumberFormat="0" applyBorder="0" applyAlignment="0" applyProtection="0"/>
    <xf numFmtId="0" fontId="42" fillId="77" borderId="0" applyNumberFormat="0" applyBorder="0" applyAlignment="0" applyProtection="0"/>
    <xf numFmtId="0" fontId="42" fillId="77" borderId="0" applyNumberFormat="0" applyBorder="0" applyAlignment="0" applyProtection="0"/>
    <xf numFmtId="0" fontId="42" fillId="77" borderId="0" applyNumberFormat="0" applyBorder="0" applyAlignment="0" applyProtection="0"/>
    <xf numFmtId="0" fontId="42" fillId="77" borderId="0" applyNumberFormat="0" applyBorder="0" applyAlignment="0" applyProtection="0"/>
    <xf numFmtId="0" fontId="42" fillId="77" borderId="0" applyNumberFormat="0" applyBorder="0" applyAlignment="0" applyProtection="0"/>
    <xf numFmtId="0" fontId="42" fillId="77" borderId="0" applyNumberFormat="0" applyBorder="0" applyAlignment="0" applyProtection="0"/>
    <xf numFmtId="0" fontId="42" fillId="76" borderId="0" applyNumberFormat="0" applyBorder="0" applyAlignment="0" applyProtection="0"/>
    <xf numFmtId="0" fontId="42" fillId="75" borderId="0" applyNumberFormat="0" applyBorder="0" applyAlignment="0" applyProtection="0"/>
    <xf numFmtId="0" fontId="42" fillId="75" borderId="0" applyNumberFormat="0" applyBorder="0" applyAlignment="0" applyProtection="0"/>
    <xf numFmtId="0" fontId="42" fillId="75" borderId="0" applyNumberFormat="0" applyBorder="0" applyAlignment="0" applyProtection="0"/>
    <xf numFmtId="0" fontId="42" fillId="75" borderId="0" applyNumberFormat="0" applyBorder="0" applyAlignment="0" applyProtection="0"/>
    <xf numFmtId="0" fontId="42" fillId="75" borderId="0" applyNumberFormat="0" applyBorder="0" applyAlignment="0" applyProtection="0"/>
    <xf numFmtId="0" fontId="42" fillId="75" borderId="0" applyNumberFormat="0" applyBorder="0" applyAlignment="0" applyProtection="0"/>
    <xf numFmtId="209" fontId="42" fillId="75" borderId="0" applyNumberFormat="0" applyBorder="0" applyAlignment="0" applyProtection="0"/>
    <xf numFmtId="209" fontId="42" fillId="75" borderId="0" applyNumberFormat="0" applyBorder="0" applyAlignment="0" applyProtection="0"/>
    <xf numFmtId="210" fontId="42" fillId="75"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5" borderId="0" applyNumberFormat="0" applyBorder="0" applyAlignment="0" applyProtection="0"/>
    <xf numFmtId="0" fontId="42" fillId="75" borderId="0" applyNumberFormat="0" applyBorder="0" applyAlignment="0" applyProtection="0"/>
    <xf numFmtId="0" fontId="42" fillId="75" borderId="0" applyNumberFormat="0" applyBorder="0" applyAlignment="0" applyProtection="0"/>
    <xf numFmtId="0" fontId="42" fillId="75" borderId="0" applyNumberFormat="0" applyBorder="0" applyAlignment="0" applyProtection="0"/>
    <xf numFmtId="0" fontId="42" fillId="75" borderId="0" applyNumberFormat="0" applyBorder="0" applyAlignment="0" applyProtection="0"/>
    <xf numFmtId="0" fontId="42" fillId="75"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7"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7"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7"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7"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7"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7"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137" fillId="51" borderId="0" applyNumberFormat="0" applyBorder="0" applyAlignment="0" applyProtection="0"/>
    <xf numFmtId="0" fontId="42" fillId="68" borderId="0" applyNumberFormat="0" applyBorder="0" applyAlignment="0" applyProtection="0"/>
    <xf numFmtId="0" fontId="42" fillId="68" borderId="0" applyNumberFormat="0" applyBorder="0" applyAlignment="0" applyProtection="0"/>
    <xf numFmtId="0" fontId="42" fillId="68" borderId="0" applyNumberFormat="0" applyBorder="0" applyAlignment="0" applyProtection="0"/>
    <xf numFmtId="0" fontId="42" fillId="68" borderId="0" applyNumberFormat="0" applyBorder="0" applyAlignment="0" applyProtection="0"/>
    <xf numFmtId="0" fontId="42" fillId="68" borderId="0" applyNumberFormat="0" applyBorder="0" applyAlignment="0" applyProtection="0"/>
    <xf numFmtId="0" fontId="42" fillId="68" borderId="0" applyNumberFormat="0" applyBorder="0" applyAlignment="0" applyProtection="0"/>
    <xf numFmtId="0" fontId="42" fillId="68" borderId="0" applyNumberFormat="0" applyBorder="0" applyAlignment="0" applyProtection="0"/>
    <xf numFmtId="0" fontId="42" fillId="68" borderId="0" applyNumberFormat="0" applyBorder="0" applyAlignment="0" applyProtection="0"/>
    <xf numFmtId="0" fontId="42" fillId="68" borderId="0" applyNumberFormat="0" applyBorder="0" applyAlignment="0" applyProtection="0"/>
    <xf numFmtId="0" fontId="42" fillId="68" borderId="0" applyNumberFormat="0" applyBorder="0" applyAlignment="0" applyProtection="0"/>
    <xf numFmtId="0" fontId="42" fillId="11" borderId="0" applyNumberFormat="0" applyBorder="0" applyAlignment="0" applyProtection="0"/>
    <xf numFmtId="0" fontId="42" fillId="81" borderId="0" applyNumberFormat="0" applyBorder="0" applyAlignment="0" applyProtection="0"/>
    <xf numFmtId="0" fontId="42" fillId="81" borderId="0" applyNumberFormat="0" applyBorder="0" applyAlignment="0" applyProtection="0"/>
    <xf numFmtId="0" fontId="42" fillId="81" borderId="0" applyNumberFormat="0" applyBorder="0" applyAlignment="0" applyProtection="0"/>
    <xf numFmtId="0" fontId="42" fillId="81" borderId="0" applyNumberFormat="0" applyBorder="0" applyAlignment="0" applyProtection="0"/>
    <xf numFmtId="0" fontId="42" fillId="81" borderId="0" applyNumberFormat="0" applyBorder="0" applyAlignment="0" applyProtection="0"/>
    <xf numFmtId="0" fontId="42" fillId="81" borderId="0" applyNumberFormat="0" applyBorder="0" applyAlignment="0" applyProtection="0"/>
    <xf numFmtId="209" fontId="42" fillId="81" borderId="0" applyNumberFormat="0" applyBorder="0" applyAlignment="0" applyProtection="0"/>
    <xf numFmtId="209" fontId="42" fillId="81" borderId="0" applyNumberFormat="0" applyBorder="0" applyAlignment="0" applyProtection="0"/>
    <xf numFmtId="210" fontId="42" fillId="81"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1" borderId="0" applyNumberFormat="0" applyBorder="0" applyAlignment="0" applyProtection="0"/>
    <xf numFmtId="0" fontId="42" fillId="81" borderId="0" applyNumberFormat="0" applyBorder="0" applyAlignment="0" applyProtection="0"/>
    <xf numFmtId="0" fontId="42" fillId="81" borderId="0" applyNumberFormat="0" applyBorder="0" applyAlignment="0" applyProtection="0"/>
    <xf numFmtId="0" fontId="42" fillId="81" borderId="0" applyNumberFormat="0" applyBorder="0" applyAlignment="0" applyProtection="0"/>
    <xf numFmtId="0" fontId="42" fillId="81" borderId="0" applyNumberFormat="0" applyBorder="0" applyAlignment="0" applyProtection="0"/>
    <xf numFmtId="0" fontId="42" fillId="81"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68"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68"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68"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68"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68"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68"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137" fillId="55" borderId="0" applyNumberFormat="0" applyBorder="0" applyAlignment="0" applyProtection="0"/>
    <xf numFmtId="0" fontId="42" fillId="73" borderId="0" applyNumberFormat="0" applyBorder="0" applyAlignment="0" applyProtection="0"/>
    <xf numFmtId="0" fontId="42" fillId="73" borderId="0" applyNumberFormat="0" applyBorder="0" applyAlignment="0" applyProtection="0"/>
    <xf numFmtId="0" fontId="42" fillId="73" borderId="0" applyNumberFormat="0" applyBorder="0" applyAlignment="0" applyProtection="0"/>
    <xf numFmtId="0" fontId="42" fillId="73" borderId="0" applyNumberFormat="0" applyBorder="0" applyAlignment="0" applyProtection="0"/>
    <xf numFmtId="0" fontId="42" fillId="73" borderId="0" applyNumberFormat="0" applyBorder="0" applyAlignment="0" applyProtection="0"/>
    <xf numFmtId="0" fontId="42" fillId="73" borderId="0" applyNumberFormat="0" applyBorder="0" applyAlignment="0" applyProtection="0"/>
    <xf numFmtId="0" fontId="42" fillId="73" borderId="0" applyNumberFormat="0" applyBorder="0" applyAlignment="0" applyProtection="0"/>
    <xf numFmtId="0" fontId="42" fillId="73" borderId="0" applyNumberFormat="0" applyBorder="0" applyAlignment="0" applyProtection="0"/>
    <xf numFmtId="0" fontId="42" fillId="73" borderId="0" applyNumberFormat="0" applyBorder="0" applyAlignment="0" applyProtection="0"/>
    <xf numFmtId="0" fontId="42" fillId="73" borderId="0" applyNumberFormat="0" applyBorder="0" applyAlignment="0" applyProtection="0"/>
    <xf numFmtId="0" fontId="42" fillId="5"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209" fontId="42" fillId="83" borderId="0" applyNumberFormat="0" applyBorder="0" applyAlignment="0" applyProtection="0"/>
    <xf numFmtId="209" fontId="42" fillId="83" borderId="0" applyNumberFormat="0" applyBorder="0" applyAlignment="0" applyProtection="0"/>
    <xf numFmtId="210" fontId="42" fillId="83"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73"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73"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73"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73"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73"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73"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137" fillId="59" borderId="0" applyNumberFormat="0" applyBorder="0" applyAlignment="0" applyProtection="0"/>
    <xf numFmtId="0" fontId="42" fillId="67" borderId="0" applyNumberFormat="0" applyBorder="0" applyAlignment="0" applyProtection="0"/>
    <xf numFmtId="0" fontId="42" fillId="67" borderId="0" applyNumberFormat="0" applyBorder="0" applyAlignment="0" applyProtection="0"/>
    <xf numFmtId="0" fontId="42" fillId="67" borderId="0" applyNumberFormat="0" applyBorder="0" applyAlignment="0" applyProtection="0"/>
    <xf numFmtId="0" fontId="42" fillId="67" borderId="0" applyNumberFormat="0" applyBorder="0" applyAlignment="0" applyProtection="0"/>
    <xf numFmtId="0" fontId="42" fillId="67" borderId="0" applyNumberFormat="0" applyBorder="0" applyAlignment="0" applyProtection="0"/>
    <xf numFmtId="0" fontId="42" fillId="67" borderId="0" applyNumberFormat="0" applyBorder="0" applyAlignment="0" applyProtection="0"/>
    <xf numFmtId="0" fontId="42" fillId="67" borderId="0" applyNumberFormat="0" applyBorder="0" applyAlignment="0" applyProtection="0"/>
    <xf numFmtId="0" fontId="42" fillId="67" borderId="0" applyNumberFormat="0" applyBorder="0" applyAlignment="0" applyProtection="0"/>
    <xf numFmtId="0" fontId="42" fillId="67" borderId="0" applyNumberFormat="0" applyBorder="0" applyAlignment="0" applyProtection="0"/>
    <xf numFmtId="0" fontId="42" fillId="67" borderId="0" applyNumberFormat="0" applyBorder="0" applyAlignment="0" applyProtection="0"/>
    <xf numFmtId="0" fontId="42" fillId="3" borderId="0" applyNumberFormat="0" applyBorder="0" applyAlignment="0" applyProtection="0"/>
    <xf numFmtId="0" fontId="42" fillId="30" borderId="0" applyNumberFormat="0" applyBorder="0" applyAlignment="0" applyProtection="0"/>
    <xf numFmtId="0" fontId="42" fillId="30" borderId="0" applyNumberFormat="0" applyBorder="0" applyAlignment="0" applyProtection="0"/>
    <xf numFmtId="0" fontId="42" fillId="30" borderId="0" applyNumberFormat="0" applyBorder="0" applyAlignment="0" applyProtection="0"/>
    <xf numFmtId="0" fontId="42" fillId="30" borderId="0" applyNumberFormat="0" applyBorder="0" applyAlignment="0" applyProtection="0"/>
    <xf numFmtId="0" fontId="42" fillId="30" borderId="0" applyNumberFormat="0" applyBorder="0" applyAlignment="0" applyProtection="0"/>
    <xf numFmtId="0" fontId="42" fillId="30" borderId="0" applyNumberFormat="0" applyBorder="0" applyAlignment="0" applyProtection="0"/>
    <xf numFmtId="209" fontId="42" fillId="30" borderId="0" applyNumberFormat="0" applyBorder="0" applyAlignment="0" applyProtection="0"/>
    <xf numFmtId="209" fontId="42" fillId="30" borderId="0" applyNumberFormat="0" applyBorder="0" applyAlignment="0" applyProtection="0"/>
    <xf numFmtId="210" fontId="42" fillId="30"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30" borderId="0" applyNumberFormat="0" applyBorder="0" applyAlignment="0" applyProtection="0"/>
    <xf numFmtId="0" fontId="42" fillId="30" borderId="0" applyNumberFormat="0" applyBorder="0" applyAlignment="0" applyProtection="0"/>
    <xf numFmtId="0" fontId="42" fillId="30" borderId="0" applyNumberFormat="0" applyBorder="0" applyAlignment="0" applyProtection="0"/>
    <xf numFmtId="0" fontId="42" fillId="30" borderId="0" applyNumberFormat="0" applyBorder="0" applyAlignment="0" applyProtection="0"/>
    <xf numFmtId="0" fontId="42" fillId="30" borderId="0" applyNumberFormat="0" applyBorder="0" applyAlignment="0" applyProtection="0"/>
    <xf numFmtId="0" fontId="42" fillId="30"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67"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67"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67"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67"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67"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67"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137" fillId="63"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78" borderId="0" applyNumberFormat="0" applyBorder="0" applyAlignment="0" applyProtection="0"/>
    <xf numFmtId="210" fontId="42" fillId="78" borderId="0" applyNumberFormat="0" applyBorder="0" applyAlignment="0" applyProtection="0"/>
    <xf numFmtId="0" fontId="42" fillId="78" borderId="0" applyNumberFormat="0" applyBorder="0" applyAlignment="0" applyProtection="0"/>
    <xf numFmtId="0" fontId="42" fillId="78" borderId="0" applyNumberFormat="0" applyBorder="0" applyAlignment="0" applyProtection="0"/>
    <xf numFmtId="209" fontId="42" fillId="78" borderId="0" applyNumberFormat="0" applyBorder="0" applyAlignment="0" applyProtection="0"/>
    <xf numFmtId="0" fontId="42" fillId="79" borderId="0" applyNumberFormat="0" applyBorder="0" applyAlignment="0" applyProtection="0"/>
    <xf numFmtId="0" fontId="42" fillId="78" borderId="0" applyNumberFormat="0" applyBorder="0" applyAlignment="0" applyProtection="0"/>
    <xf numFmtId="0" fontId="42" fillId="79" borderId="0" applyNumberFormat="0" applyBorder="0" applyAlignment="0" applyProtection="0"/>
    <xf numFmtId="209" fontId="42" fillId="78" borderId="0" applyNumberFormat="0" applyBorder="0" applyAlignment="0" applyProtection="0"/>
    <xf numFmtId="210" fontId="42" fillId="78" borderId="0" applyNumberFormat="0" applyBorder="0" applyAlignment="0" applyProtection="0"/>
    <xf numFmtId="0" fontId="42" fillId="79" borderId="0" applyNumberFormat="0" applyBorder="0" applyAlignment="0" applyProtection="0"/>
    <xf numFmtId="210" fontId="42" fillId="78" borderId="0" applyNumberFormat="0" applyBorder="0" applyAlignment="0" applyProtection="0"/>
    <xf numFmtId="0" fontId="42" fillId="79" borderId="0" applyNumberFormat="0" applyBorder="0" applyAlignment="0" applyProtection="0"/>
    <xf numFmtId="209" fontId="42" fillId="78" borderId="0" applyNumberFormat="0" applyBorder="0" applyAlignment="0" applyProtection="0"/>
    <xf numFmtId="210" fontId="42" fillId="78" borderId="0" applyNumberFormat="0" applyBorder="0" applyAlignment="0" applyProtection="0"/>
    <xf numFmtId="0" fontId="42" fillId="79" borderId="0" applyNumberFormat="0" applyBorder="0" applyAlignment="0" applyProtection="0"/>
    <xf numFmtId="210" fontId="42" fillId="78" borderId="0" applyNumberFormat="0" applyBorder="0" applyAlignment="0" applyProtection="0"/>
    <xf numFmtId="0" fontId="42" fillId="79" borderId="0" applyNumberFormat="0" applyBorder="0" applyAlignment="0" applyProtection="0"/>
    <xf numFmtId="209" fontId="42" fillId="78" borderId="0" applyNumberFormat="0" applyBorder="0" applyAlignment="0" applyProtection="0"/>
    <xf numFmtId="210" fontId="42" fillId="78" borderId="0" applyNumberFormat="0" applyBorder="0" applyAlignment="0" applyProtection="0"/>
    <xf numFmtId="0" fontId="42" fillId="79" borderId="0" applyNumberFormat="0" applyBorder="0" applyAlignment="0" applyProtection="0"/>
    <xf numFmtId="210" fontId="42" fillId="78" borderId="0" applyNumberFormat="0" applyBorder="0" applyAlignment="0" applyProtection="0"/>
    <xf numFmtId="0" fontId="42" fillId="79" borderId="0" applyNumberFormat="0" applyBorder="0" applyAlignment="0" applyProtection="0"/>
    <xf numFmtId="209" fontId="42" fillId="78" borderId="0" applyNumberFormat="0" applyBorder="0" applyAlignment="0" applyProtection="0"/>
    <xf numFmtId="210" fontId="42" fillId="78" borderId="0" applyNumberFormat="0" applyBorder="0" applyAlignment="0" applyProtection="0"/>
    <xf numFmtId="0" fontId="42" fillId="79" borderId="0" applyNumberFormat="0" applyBorder="0" applyAlignment="0" applyProtection="0"/>
    <xf numFmtId="210" fontId="42" fillId="78" borderId="0" applyNumberFormat="0" applyBorder="0" applyAlignment="0" applyProtection="0"/>
    <xf numFmtId="209" fontId="42" fillId="79" borderId="0" applyNumberFormat="0" applyBorder="0" applyAlignment="0" applyProtection="0"/>
    <xf numFmtId="209" fontId="42" fillId="78" borderId="0" applyNumberFormat="0" applyBorder="0" applyAlignment="0" applyProtection="0"/>
    <xf numFmtId="210" fontId="42" fillId="78" borderId="0" applyNumberFormat="0" applyBorder="0" applyAlignment="0" applyProtection="0"/>
    <xf numFmtId="0" fontId="42" fillId="79" borderId="0" applyNumberFormat="0" applyBorder="0" applyAlignment="0" applyProtection="0"/>
    <xf numFmtId="210" fontId="42" fillId="78" borderId="0" applyNumberFormat="0" applyBorder="0" applyAlignment="0" applyProtection="0"/>
    <xf numFmtId="0" fontId="42" fillId="79" borderId="0" applyNumberFormat="0" applyBorder="0" applyAlignment="0" applyProtection="0"/>
    <xf numFmtId="0" fontId="42" fillId="79"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67" borderId="0" applyNumberFormat="0" applyBorder="0" applyAlignment="0" applyProtection="0"/>
    <xf numFmtId="210" fontId="42" fillId="67" borderId="0" applyNumberFormat="0" applyBorder="0" applyAlignment="0" applyProtection="0"/>
    <xf numFmtId="0" fontId="42" fillId="67" borderId="0" applyNumberFormat="0" applyBorder="0" applyAlignment="0" applyProtection="0"/>
    <xf numFmtId="0" fontId="42" fillId="67" borderId="0" applyNumberFormat="0" applyBorder="0" applyAlignment="0" applyProtection="0"/>
    <xf numFmtId="209" fontId="42" fillId="67" borderId="0" applyNumberFormat="0" applyBorder="0" applyAlignment="0" applyProtection="0"/>
    <xf numFmtId="0" fontId="42" fillId="3" borderId="0" applyNumberFormat="0" applyBorder="0" applyAlignment="0" applyProtection="0"/>
    <xf numFmtId="0" fontId="42" fillId="67" borderId="0" applyNumberFormat="0" applyBorder="0" applyAlignment="0" applyProtection="0"/>
    <xf numFmtId="0" fontId="42" fillId="3" borderId="0" applyNumberFormat="0" applyBorder="0" applyAlignment="0" applyProtection="0"/>
    <xf numFmtId="209" fontId="42" fillId="67" borderId="0" applyNumberFormat="0" applyBorder="0" applyAlignment="0" applyProtection="0"/>
    <xf numFmtId="210" fontId="42" fillId="67" borderId="0" applyNumberFormat="0" applyBorder="0" applyAlignment="0" applyProtection="0"/>
    <xf numFmtId="0" fontId="42" fillId="3" borderId="0" applyNumberFormat="0" applyBorder="0" applyAlignment="0" applyProtection="0"/>
    <xf numFmtId="210" fontId="42" fillId="67" borderId="0" applyNumberFormat="0" applyBorder="0" applyAlignment="0" applyProtection="0"/>
    <xf numFmtId="0" fontId="42" fillId="3" borderId="0" applyNumberFormat="0" applyBorder="0" applyAlignment="0" applyProtection="0"/>
    <xf numFmtId="209" fontId="42" fillId="67" borderId="0" applyNumberFormat="0" applyBorder="0" applyAlignment="0" applyProtection="0"/>
    <xf numFmtId="210" fontId="42" fillId="67" borderId="0" applyNumberFormat="0" applyBorder="0" applyAlignment="0" applyProtection="0"/>
    <xf numFmtId="0" fontId="42" fillId="3" borderId="0" applyNumberFormat="0" applyBorder="0" applyAlignment="0" applyProtection="0"/>
    <xf numFmtId="210" fontId="42" fillId="67" borderId="0" applyNumberFormat="0" applyBorder="0" applyAlignment="0" applyProtection="0"/>
    <xf numFmtId="0" fontId="42" fillId="3" borderId="0" applyNumberFormat="0" applyBorder="0" applyAlignment="0" applyProtection="0"/>
    <xf numFmtId="209" fontId="42" fillId="67" borderId="0" applyNumberFormat="0" applyBorder="0" applyAlignment="0" applyProtection="0"/>
    <xf numFmtId="210" fontId="42" fillId="67" borderId="0" applyNumberFormat="0" applyBorder="0" applyAlignment="0" applyProtection="0"/>
    <xf numFmtId="0" fontId="42" fillId="3" borderId="0" applyNumberFormat="0" applyBorder="0" applyAlignment="0" applyProtection="0"/>
    <xf numFmtId="210" fontId="42" fillId="67" borderId="0" applyNumberFormat="0" applyBorder="0" applyAlignment="0" applyProtection="0"/>
    <xf numFmtId="0" fontId="42" fillId="3" borderId="0" applyNumberFormat="0" applyBorder="0" applyAlignment="0" applyProtection="0"/>
    <xf numFmtId="209" fontId="42" fillId="67" borderId="0" applyNumberFormat="0" applyBorder="0" applyAlignment="0" applyProtection="0"/>
    <xf numFmtId="210" fontId="42" fillId="67" borderId="0" applyNumberFormat="0" applyBorder="0" applyAlignment="0" applyProtection="0"/>
    <xf numFmtId="0" fontId="42" fillId="3" borderId="0" applyNumberFormat="0" applyBorder="0" applyAlignment="0" applyProtection="0"/>
    <xf numFmtId="210" fontId="42" fillId="67" borderId="0" applyNumberFormat="0" applyBorder="0" applyAlignment="0" applyProtection="0"/>
    <xf numFmtId="209" fontId="42" fillId="3" borderId="0" applyNumberFormat="0" applyBorder="0" applyAlignment="0" applyProtection="0"/>
    <xf numFmtId="209" fontId="42" fillId="67" borderId="0" applyNumberFormat="0" applyBorder="0" applyAlignment="0" applyProtection="0"/>
    <xf numFmtId="210" fontId="42" fillId="67" borderId="0" applyNumberFormat="0" applyBorder="0" applyAlignment="0" applyProtection="0"/>
    <xf numFmtId="0" fontId="42" fillId="3" borderId="0" applyNumberFormat="0" applyBorder="0" applyAlignment="0" applyProtection="0"/>
    <xf numFmtId="210" fontId="42" fillId="67"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75" borderId="0" applyNumberFormat="0" applyBorder="0" applyAlignment="0" applyProtection="0"/>
    <xf numFmtId="210" fontId="42" fillId="75" borderId="0" applyNumberFormat="0" applyBorder="0" applyAlignment="0" applyProtection="0"/>
    <xf numFmtId="0" fontId="42" fillId="75" borderId="0" applyNumberFormat="0" applyBorder="0" applyAlignment="0" applyProtection="0"/>
    <xf numFmtId="0" fontId="42" fillId="75" borderId="0" applyNumberFormat="0" applyBorder="0" applyAlignment="0" applyProtection="0"/>
    <xf numFmtId="209" fontId="42" fillId="75" borderId="0" applyNumberFormat="0" applyBorder="0" applyAlignment="0" applyProtection="0"/>
    <xf numFmtId="0" fontId="42" fillId="74" borderId="0" applyNumberFormat="0" applyBorder="0" applyAlignment="0" applyProtection="0"/>
    <xf numFmtId="0" fontId="42" fillId="75" borderId="0" applyNumberFormat="0" applyBorder="0" applyAlignment="0" applyProtection="0"/>
    <xf numFmtId="0" fontId="42" fillId="74" borderId="0" applyNumberFormat="0" applyBorder="0" applyAlignment="0" applyProtection="0"/>
    <xf numFmtId="209" fontId="42" fillId="75" borderId="0" applyNumberFormat="0" applyBorder="0" applyAlignment="0" applyProtection="0"/>
    <xf numFmtId="210" fontId="42" fillId="75" borderId="0" applyNumberFormat="0" applyBorder="0" applyAlignment="0" applyProtection="0"/>
    <xf numFmtId="0" fontId="42" fillId="74" borderId="0" applyNumberFormat="0" applyBorder="0" applyAlignment="0" applyProtection="0"/>
    <xf numFmtId="210" fontId="42" fillId="75" borderId="0" applyNumberFormat="0" applyBorder="0" applyAlignment="0" applyProtection="0"/>
    <xf numFmtId="0" fontId="42" fillId="74" borderId="0" applyNumberFormat="0" applyBorder="0" applyAlignment="0" applyProtection="0"/>
    <xf numFmtId="209" fontId="42" fillId="75" borderId="0" applyNumberFormat="0" applyBorder="0" applyAlignment="0" applyProtection="0"/>
    <xf numFmtId="210" fontId="42" fillId="75" borderId="0" applyNumberFormat="0" applyBorder="0" applyAlignment="0" applyProtection="0"/>
    <xf numFmtId="0" fontId="42" fillId="74" borderId="0" applyNumberFormat="0" applyBorder="0" applyAlignment="0" applyProtection="0"/>
    <xf numFmtId="210" fontId="42" fillId="75" borderId="0" applyNumberFormat="0" applyBorder="0" applyAlignment="0" applyProtection="0"/>
    <xf numFmtId="0" fontId="42" fillId="74" borderId="0" applyNumberFormat="0" applyBorder="0" applyAlignment="0" applyProtection="0"/>
    <xf numFmtId="209" fontId="42" fillId="75" borderId="0" applyNumberFormat="0" applyBorder="0" applyAlignment="0" applyProtection="0"/>
    <xf numFmtId="210" fontId="42" fillId="75" borderId="0" applyNumberFormat="0" applyBorder="0" applyAlignment="0" applyProtection="0"/>
    <xf numFmtId="0" fontId="42" fillId="74" borderId="0" applyNumberFormat="0" applyBorder="0" applyAlignment="0" applyProtection="0"/>
    <xf numFmtId="210" fontId="42" fillId="75" borderId="0" applyNumberFormat="0" applyBorder="0" applyAlignment="0" applyProtection="0"/>
    <xf numFmtId="0" fontId="42" fillId="74" borderId="0" applyNumberFormat="0" applyBorder="0" applyAlignment="0" applyProtection="0"/>
    <xf numFmtId="209" fontId="42" fillId="75" borderId="0" applyNumberFormat="0" applyBorder="0" applyAlignment="0" applyProtection="0"/>
    <xf numFmtId="210" fontId="42" fillId="75" borderId="0" applyNumberFormat="0" applyBorder="0" applyAlignment="0" applyProtection="0"/>
    <xf numFmtId="0" fontId="42" fillId="74" borderId="0" applyNumberFormat="0" applyBorder="0" applyAlignment="0" applyProtection="0"/>
    <xf numFmtId="210" fontId="42" fillId="75" borderId="0" applyNumberFormat="0" applyBorder="0" applyAlignment="0" applyProtection="0"/>
    <xf numFmtId="209" fontId="42" fillId="74" borderId="0" applyNumberFormat="0" applyBorder="0" applyAlignment="0" applyProtection="0"/>
    <xf numFmtId="209" fontId="42" fillId="75" borderId="0" applyNumberFormat="0" applyBorder="0" applyAlignment="0" applyProtection="0"/>
    <xf numFmtId="210" fontId="42" fillId="75" borderId="0" applyNumberFormat="0" applyBorder="0" applyAlignment="0" applyProtection="0"/>
    <xf numFmtId="0" fontId="42" fillId="74" borderId="0" applyNumberFormat="0" applyBorder="0" applyAlignment="0" applyProtection="0"/>
    <xf numFmtId="210" fontId="42" fillId="75" borderId="0" applyNumberFormat="0" applyBorder="0" applyAlignment="0" applyProtection="0"/>
    <xf numFmtId="0" fontId="42" fillId="74" borderId="0" applyNumberFormat="0" applyBorder="0" applyAlignment="0" applyProtection="0"/>
    <xf numFmtId="0" fontId="42" fillId="74"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1" borderId="0" applyNumberFormat="0" applyBorder="0" applyAlignment="0" applyProtection="0"/>
    <xf numFmtId="210" fontId="42" fillId="81" borderId="0" applyNumberFormat="0" applyBorder="0" applyAlignment="0" applyProtection="0"/>
    <xf numFmtId="0" fontId="42" fillId="81" borderId="0" applyNumberFormat="0" applyBorder="0" applyAlignment="0" applyProtection="0"/>
    <xf numFmtId="0" fontId="42" fillId="81" borderId="0" applyNumberFormat="0" applyBorder="0" applyAlignment="0" applyProtection="0"/>
    <xf numFmtId="209" fontId="42" fillId="81" borderId="0" applyNumberFormat="0" applyBorder="0" applyAlignment="0" applyProtection="0"/>
    <xf numFmtId="0" fontId="42" fillId="82" borderId="0" applyNumberFormat="0" applyBorder="0" applyAlignment="0" applyProtection="0"/>
    <xf numFmtId="0" fontId="42" fillId="81" borderId="0" applyNumberFormat="0" applyBorder="0" applyAlignment="0" applyProtection="0"/>
    <xf numFmtId="0" fontId="42" fillId="82" borderId="0" applyNumberFormat="0" applyBorder="0" applyAlignment="0" applyProtection="0"/>
    <xf numFmtId="209" fontId="42" fillId="81" borderId="0" applyNumberFormat="0" applyBorder="0" applyAlignment="0" applyProtection="0"/>
    <xf numFmtId="210" fontId="42" fillId="81" borderId="0" applyNumberFormat="0" applyBorder="0" applyAlignment="0" applyProtection="0"/>
    <xf numFmtId="0" fontId="42" fillId="82" borderId="0" applyNumberFormat="0" applyBorder="0" applyAlignment="0" applyProtection="0"/>
    <xf numFmtId="210" fontId="42" fillId="81" borderId="0" applyNumberFormat="0" applyBorder="0" applyAlignment="0" applyProtection="0"/>
    <xf numFmtId="0" fontId="42" fillId="82" borderId="0" applyNumberFormat="0" applyBorder="0" applyAlignment="0" applyProtection="0"/>
    <xf numFmtId="209" fontId="42" fillId="81" borderId="0" applyNumberFormat="0" applyBorder="0" applyAlignment="0" applyProtection="0"/>
    <xf numFmtId="210" fontId="42" fillId="81" borderId="0" applyNumberFormat="0" applyBorder="0" applyAlignment="0" applyProtection="0"/>
    <xf numFmtId="0" fontId="42" fillId="82" borderId="0" applyNumberFormat="0" applyBorder="0" applyAlignment="0" applyProtection="0"/>
    <xf numFmtId="210" fontId="42" fillId="81" borderId="0" applyNumberFormat="0" applyBorder="0" applyAlignment="0" applyProtection="0"/>
    <xf numFmtId="0" fontId="42" fillId="82" borderId="0" applyNumberFormat="0" applyBorder="0" applyAlignment="0" applyProtection="0"/>
    <xf numFmtId="209" fontId="42" fillId="81" borderId="0" applyNumberFormat="0" applyBorder="0" applyAlignment="0" applyProtection="0"/>
    <xf numFmtId="210" fontId="42" fillId="81" borderId="0" applyNumberFormat="0" applyBorder="0" applyAlignment="0" applyProtection="0"/>
    <xf numFmtId="0" fontId="42" fillId="82" borderId="0" applyNumberFormat="0" applyBorder="0" applyAlignment="0" applyProtection="0"/>
    <xf numFmtId="210" fontId="42" fillId="81" borderId="0" applyNumberFormat="0" applyBorder="0" applyAlignment="0" applyProtection="0"/>
    <xf numFmtId="0" fontId="42" fillId="82" borderId="0" applyNumberFormat="0" applyBorder="0" applyAlignment="0" applyProtection="0"/>
    <xf numFmtId="209" fontId="42" fillId="81" borderId="0" applyNumberFormat="0" applyBorder="0" applyAlignment="0" applyProtection="0"/>
    <xf numFmtId="210" fontId="42" fillId="81" borderId="0" applyNumberFormat="0" applyBorder="0" applyAlignment="0" applyProtection="0"/>
    <xf numFmtId="0" fontId="42" fillId="82" borderId="0" applyNumberFormat="0" applyBorder="0" applyAlignment="0" applyProtection="0"/>
    <xf numFmtId="210" fontId="42" fillId="81" borderId="0" applyNumberFormat="0" applyBorder="0" applyAlignment="0" applyProtection="0"/>
    <xf numFmtId="209" fontId="42" fillId="82" borderId="0" applyNumberFormat="0" applyBorder="0" applyAlignment="0" applyProtection="0"/>
    <xf numFmtId="209" fontId="42" fillId="81" borderId="0" applyNumberFormat="0" applyBorder="0" applyAlignment="0" applyProtection="0"/>
    <xf numFmtId="210" fontId="42" fillId="81" borderId="0" applyNumberFormat="0" applyBorder="0" applyAlignment="0" applyProtection="0"/>
    <xf numFmtId="0" fontId="42" fillId="82" borderId="0" applyNumberFormat="0" applyBorder="0" applyAlignment="0" applyProtection="0"/>
    <xf numFmtId="210" fontId="42" fillId="81"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3" borderId="0" applyNumberFormat="0" applyBorder="0" applyAlignment="0" applyProtection="0"/>
    <xf numFmtId="21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209" fontId="42" fillId="83" borderId="0" applyNumberFormat="0" applyBorder="0" applyAlignment="0" applyProtection="0"/>
    <xf numFmtId="0" fontId="42" fillId="8" borderId="0" applyNumberFormat="0" applyBorder="0" applyAlignment="0" applyProtection="0"/>
    <xf numFmtId="0" fontId="42" fillId="83" borderId="0" applyNumberFormat="0" applyBorder="0" applyAlignment="0" applyProtection="0"/>
    <xf numFmtId="0" fontId="42" fillId="8" borderId="0" applyNumberFormat="0" applyBorder="0" applyAlignment="0" applyProtection="0"/>
    <xf numFmtId="209" fontId="42" fillId="83" borderId="0" applyNumberFormat="0" applyBorder="0" applyAlignment="0" applyProtection="0"/>
    <xf numFmtId="210" fontId="42" fillId="83" borderId="0" applyNumberFormat="0" applyBorder="0" applyAlignment="0" applyProtection="0"/>
    <xf numFmtId="0" fontId="42" fillId="8" borderId="0" applyNumberFormat="0" applyBorder="0" applyAlignment="0" applyProtection="0"/>
    <xf numFmtId="210" fontId="42" fillId="83" borderId="0" applyNumberFormat="0" applyBorder="0" applyAlignment="0" applyProtection="0"/>
    <xf numFmtId="0" fontId="42" fillId="8" borderId="0" applyNumberFormat="0" applyBorder="0" applyAlignment="0" applyProtection="0"/>
    <xf numFmtId="209" fontId="42" fillId="83" borderId="0" applyNumberFormat="0" applyBorder="0" applyAlignment="0" applyProtection="0"/>
    <xf numFmtId="210" fontId="42" fillId="83" borderId="0" applyNumberFormat="0" applyBorder="0" applyAlignment="0" applyProtection="0"/>
    <xf numFmtId="0" fontId="42" fillId="8" borderId="0" applyNumberFormat="0" applyBorder="0" applyAlignment="0" applyProtection="0"/>
    <xf numFmtId="210" fontId="42" fillId="83" borderId="0" applyNumberFormat="0" applyBorder="0" applyAlignment="0" applyProtection="0"/>
    <xf numFmtId="0" fontId="42" fillId="8" borderId="0" applyNumberFormat="0" applyBorder="0" applyAlignment="0" applyProtection="0"/>
    <xf numFmtId="209" fontId="42" fillId="83" borderId="0" applyNumberFormat="0" applyBorder="0" applyAlignment="0" applyProtection="0"/>
    <xf numFmtId="210" fontId="42" fillId="83" borderId="0" applyNumberFormat="0" applyBorder="0" applyAlignment="0" applyProtection="0"/>
    <xf numFmtId="0" fontId="42" fillId="8" borderId="0" applyNumberFormat="0" applyBorder="0" applyAlignment="0" applyProtection="0"/>
    <xf numFmtId="210" fontId="42" fillId="83" borderId="0" applyNumberFormat="0" applyBorder="0" applyAlignment="0" applyProtection="0"/>
    <xf numFmtId="0" fontId="42" fillId="8" borderId="0" applyNumberFormat="0" applyBorder="0" applyAlignment="0" applyProtection="0"/>
    <xf numFmtId="209" fontId="42" fillId="83" borderId="0" applyNumberFormat="0" applyBorder="0" applyAlignment="0" applyProtection="0"/>
    <xf numFmtId="210" fontId="42" fillId="83" borderId="0" applyNumberFormat="0" applyBorder="0" applyAlignment="0" applyProtection="0"/>
    <xf numFmtId="0" fontId="42" fillId="8" borderId="0" applyNumberFormat="0" applyBorder="0" applyAlignment="0" applyProtection="0"/>
    <xf numFmtId="210" fontId="42" fillId="83" borderId="0" applyNumberFormat="0" applyBorder="0" applyAlignment="0" applyProtection="0"/>
    <xf numFmtId="209" fontId="42" fillId="8" borderId="0" applyNumberFormat="0" applyBorder="0" applyAlignment="0" applyProtection="0"/>
    <xf numFmtId="209" fontId="42" fillId="83" borderId="0" applyNumberFormat="0" applyBorder="0" applyAlignment="0" applyProtection="0"/>
    <xf numFmtId="210" fontId="42" fillId="83" borderId="0" applyNumberFormat="0" applyBorder="0" applyAlignment="0" applyProtection="0"/>
    <xf numFmtId="0" fontId="42" fillId="8" borderId="0" applyNumberFormat="0" applyBorder="0" applyAlignment="0" applyProtection="0"/>
    <xf numFmtId="210" fontId="42" fillId="83"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42" fillId="30" borderId="0" applyNumberFormat="0" applyBorder="0" applyAlignment="0" applyProtection="0"/>
    <xf numFmtId="210" fontId="42" fillId="30" borderId="0" applyNumberFormat="0" applyBorder="0" applyAlignment="0" applyProtection="0"/>
    <xf numFmtId="0" fontId="42" fillId="30" borderId="0" applyNumberFormat="0" applyBorder="0" applyAlignment="0" applyProtection="0"/>
    <xf numFmtId="0" fontId="42" fillId="30" borderId="0" applyNumberFormat="0" applyBorder="0" applyAlignment="0" applyProtection="0"/>
    <xf numFmtId="209" fontId="42" fillId="30" borderId="0" applyNumberFormat="0" applyBorder="0" applyAlignment="0" applyProtection="0"/>
    <xf numFmtId="0" fontId="42" fillId="84" borderId="0" applyNumberFormat="0" applyBorder="0" applyAlignment="0" applyProtection="0"/>
    <xf numFmtId="0" fontId="42" fillId="30" borderId="0" applyNumberFormat="0" applyBorder="0" applyAlignment="0" applyProtection="0"/>
    <xf numFmtId="0" fontId="42" fillId="84" borderId="0" applyNumberFormat="0" applyBorder="0" applyAlignment="0" applyProtection="0"/>
    <xf numFmtId="209" fontId="42" fillId="30" borderId="0" applyNumberFormat="0" applyBorder="0" applyAlignment="0" applyProtection="0"/>
    <xf numFmtId="210" fontId="42" fillId="30" borderId="0" applyNumberFormat="0" applyBorder="0" applyAlignment="0" applyProtection="0"/>
    <xf numFmtId="0" fontId="42" fillId="84" borderId="0" applyNumberFormat="0" applyBorder="0" applyAlignment="0" applyProtection="0"/>
    <xf numFmtId="210" fontId="42" fillId="30" borderId="0" applyNumberFormat="0" applyBorder="0" applyAlignment="0" applyProtection="0"/>
    <xf numFmtId="0" fontId="42" fillId="84" borderId="0" applyNumberFormat="0" applyBorder="0" applyAlignment="0" applyProtection="0"/>
    <xf numFmtId="209" fontId="42" fillId="30" borderId="0" applyNumberFormat="0" applyBorder="0" applyAlignment="0" applyProtection="0"/>
    <xf numFmtId="210" fontId="42" fillId="30" borderId="0" applyNumberFormat="0" applyBorder="0" applyAlignment="0" applyProtection="0"/>
    <xf numFmtId="0" fontId="42" fillId="84" borderId="0" applyNumberFormat="0" applyBorder="0" applyAlignment="0" applyProtection="0"/>
    <xf numFmtId="210" fontId="42" fillId="30" borderId="0" applyNumberFormat="0" applyBorder="0" applyAlignment="0" applyProtection="0"/>
    <xf numFmtId="0" fontId="42" fillId="84" borderId="0" applyNumberFormat="0" applyBorder="0" applyAlignment="0" applyProtection="0"/>
    <xf numFmtId="209" fontId="42" fillId="30" borderId="0" applyNumberFormat="0" applyBorder="0" applyAlignment="0" applyProtection="0"/>
    <xf numFmtId="210" fontId="42" fillId="30" borderId="0" applyNumberFormat="0" applyBorder="0" applyAlignment="0" applyProtection="0"/>
    <xf numFmtId="0" fontId="42" fillId="84" borderId="0" applyNumberFormat="0" applyBorder="0" applyAlignment="0" applyProtection="0"/>
    <xf numFmtId="210" fontId="42" fillId="30" borderId="0" applyNumberFormat="0" applyBorder="0" applyAlignment="0" applyProtection="0"/>
    <xf numFmtId="0" fontId="42" fillId="84" borderId="0" applyNumberFormat="0" applyBorder="0" applyAlignment="0" applyProtection="0"/>
    <xf numFmtId="209" fontId="42" fillId="30" borderId="0" applyNumberFormat="0" applyBorder="0" applyAlignment="0" applyProtection="0"/>
    <xf numFmtId="210" fontId="42" fillId="30" borderId="0" applyNumberFormat="0" applyBorder="0" applyAlignment="0" applyProtection="0"/>
    <xf numFmtId="0" fontId="42" fillId="84" borderId="0" applyNumberFormat="0" applyBorder="0" applyAlignment="0" applyProtection="0"/>
    <xf numFmtId="210" fontId="42" fillId="30" borderId="0" applyNumberFormat="0" applyBorder="0" applyAlignment="0" applyProtection="0"/>
    <xf numFmtId="209" fontId="42" fillId="84" borderId="0" applyNumberFormat="0" applyBorder="0" applyAlignment="0" applyProtection="0"/>
    <xf numFmtId="209" fontId="42" fillId="30" borderId="0" applyNumberFormat="0" applyBorder="0" applyAlignment="0" applyProtection="0"/>
    <xf numFmtId="210" fontId="42" fillId="30" borderId="0" applyNumberFormat="0" applyBorder="0" applyAlignment="0" applyProtection="0"/>
    <xf numFmtId="0" fontId="42" fillId="84" borderId="0" applyNumberFormat="0" applyBorder="0" applyAlignment="0" applyProtection="0"/>
    <xf numFmtId="210" fontId="42" fillId="30" borderId="0" applyNumberFormat="0" applyBorder="0" applyAlignment="0" applyProtection="0"/>
    <xf numFmtId="0" fontId="42" fillId="84" borderId="0" applyNumberFormat="0" applyBorder="0" applyAlignment="0" applyProtection="0"/>
    <xf numFmtId="0" fontId="42" fillId="84" borderId="0" applyNumberFormat="0" applyBorder="0" applyAlignment="0" applyProtection="0"/>
    <xf numFmtId="0" fontId="7" fillId="0" borderId="0" applyNumberFormat="0" applyFill="0" applyBorder="0" applyAlignment="0" applyProtection="0"/>
    <xf numFmtId="37" fontId="30" fillId="0" borderId="0"/>
    <xf numFmtId="0" fontId="7" fillId="0" borderId="0" applyNumberFormat="0" applyFill="0" applyBorder="0" applyAlignment="0" applyProtection="0"/>
    <xf numFmtId="0" fontId="42" fillId="85" borderId="0" applyNumberFormat="0" applyBorder="0" applyAlignment="0" applyProtection="0"/>
    <xf numFmtId="0" fontId="42" fillId="85" borderId="0" applyNumberFormat="0" applyBorder="0" applyAlignment="0" applyProtection="0"/>
    <xf numFmtId="0" fontId="42" fillId="85" borderId="0" applyNumberFormat="0" applyBorder="0" applyAlignment="0" applyProtection="0"/>
    <xf numFmtId="0" fontId="42" fillId="85" borderId="0" applyNumberFormat="0" applyBorder="0" applyAlignment="0" applyProtection="0"/>
    <xf numFmtId="0" fontId="42" fillId="85" borderId="0" applyNumberFormat="0" applyBorder="0" applyAlignment="0" applyProtection="0"/>
    <xf numFmtId="0" fontId="42" fillId="85" borderId="0" applyNumberFormat="0" applyBorder="0" applyAlignment="0" applyProtection="0"/>
    <xf numFmtId="0" fontId="42" fillId="85" borderId="0" applyNumberFormat="0" applyBorder="0" applyAlignment="0" applyProtection="0"/>
    <xf numFmtId="0" fontId="42" fillId="85" borderId="0" applyNumberFormat="0" applyBorder="0" applyAlignment="0" applyProtection="0"/>
    <xf numFmtId="0" fontId="42" fillId="85" borderId="0" applyNumberFormat="0" applyBorder="0" applyAlignment="0" applyProtection="0"/>
    <xf numFmtId="0" fontId="42" fillId="85" borderId="0" applyNumberFormat="0" applyBorder="0" applyAlignment="0" applyProtection="0"/>
    <xf numFmtId="0" fontId="42" fillId="86" borderId="0" applyNumberFormat="0" applyBorder="0" applyAlignment="0" applyProtection="0"/>
    <xf numFmtId="0" fontId="42" fillId="87" borderId="0" applyNumberFormat="0" applyBorder="0" applyAlignment="0" applyProtection="0"/>
    <xf numFmtId="0" fontId="42" fillId="87" borderId="0" applyNumberFormat="0" applyBorder="0" applyAlignment="0" applyProtection="0"/>
    <xf numFmtId="0" fontId="42" fillId="87" borderId="0" applyNumberFormat="0" applyBorder="0" applyAlignment="0" applyProtection="0"/>
    <xf numFmtId="0" fontId="42" fillId="87" borderId="0" applyNumberFormat="0" applyBorder="0" applyAlignment="0" applyProtection="0"/>
    <xf numFmtId="0" fontId="42" fillId="87" borderId="0" applyNumberFormat="0" applyBorder="0" applyAlignment="0" applyProtection="0"/>
    <xf numFmtId="0" fontId="42" fillId="87" borderId="0" applyNumberFormat="0" applyBorder="0" applyAlignment="0" applyProtection="0"/>
    <xf numFmtId="209" fontId="42" fillId="87" borderId="0" applyNumberFormat="0" applyBorder="0" applyAlignment="0" applyProtection="0"/>
    <xf numFmtId="209" fontId="42" fillId="87" borderId="0" applyNumberFormat="0" applyBorder="0" applyAlignment="0" applyProtection="0"/>
    <xf numFmtId="210" fontId="42" fillId="87"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7" borderId="0" applyNumberFormat="0" applyBorder="0" applyAlignment="0" applyProtection="0"/>
    <xf numFmtId="0" fontId="42" fillId="87" borderId="0" applyNumberFormat="0" applyBorder="0" applyAlignment="0" applyProtection="0"/>
    <xf numFmtId="0" fontId="42" fillId="87" borderId="0" applyNumberFormat="0" applyBorder="0" applyAlignment="0" applyProtection="0"/>
    <xf numFmtId="0" fontId="42" fillId="87" borderId="0" applyNumberFormat="0" applyBorder="0" applyAlignment="0" applyProtection="0"/>
    <xf numFmtId="0" fontId="42" fillId="87" borderId="0" applyNumberFormat="0" applyBorder="0" applyAlignment="0" applyProtection="0"/>
    <xf numFmtId="0" fontId="42" fillId="87"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5"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5"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5"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5"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5"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5"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42" fillId="88" borderId="0" applyNumberFormat="0" applyBorder="0" applyAlignment="0" applyProtection="0"/>
    <xf numFmtId="0" fontId="137" fillId="40"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0" fontId="42" fillId="80" borderId="0" applyNumberFormat="0" applyBorder="0" applyAlignment="0" applyProtection="0"/>
    <xf numFmtId="0" fontId="42" fillId="89" borderId="0" applyNumberFormat="0" applyBorder="0" applyAlignment="0" applyProtection="0"/>
    <xf numFmtId="0" fontId="42" fillId="89" borderId="0" applyNumberFormat="0" applyBorder="0" applyAlignment="0" applyProtection="0"/>
    <xf numFmtId="0" fontId="42" fillId="89" borderId="0" applyNumberFormat="0" applyBorder="0" applyAlignment="0" applyProtection="0"/>
    <xf numFmtId="0" fontId="42" fillId="89" borderId="0" applyNumberFormat="0" applyBorder="0" applyAlignment="0" applyProtection="0"/>
    <xf numFmtId="0" fontId="42" fillId="89" borderId="0" applyNumberFormat="0" applyBorder="0" applyAlignment="0" applyProtection="0"/>
    <xf numFmtId="0" fontId="42" fillId="89" borderId="0" applyNumberFormat="0" applyBorder="0" applyAlignment="0" applyProtection="0"/>
    <xf numFmtId="209" fontId="42" fillId="89" borderId="0" applyNumberFormat="0" applyBorder="0" applyAlignment="0" applyProtection="0"/>
    <xf numFmtId="209" fontId="42" fillId="89" borderId="0" applyNumberFormat="0" applyBorder="0" applyAlignment="0" applyProtection="0"/>
    <xf numFmtId="210" fontId="42" fillId="89"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89" borderId="0" applyNumberFormat="0" applyBorder="0" applyAlignment="0" applyProtection="0"/>
    <xf numFmtId="0" fontId="42" fillId="89" borderId="0" applyNumberFormat="0" applyBorder="0" applyAlignment="0" applyProtection="0"/>
    <xf numFmtId="0" fontId="42" fillId="89" borderId="0" applyNumberFormat="0" applyBorder="0" applyAlignment="0" applyProtection="0"/>
    <xf numFmtId="0" fontId="42" fillId="89" borderId="0" applyNumberFormat="0" applyBorder="0" applyAlignment="0" applyProtection="0"/>
    <xf numFmtId="0" fontId="42" fillId="89" borderId="0" applyNumberFormat="0" applyBorder="0" applyAlignment="0" applyProtection="0"/>
    <xf numFmtId="0" fontId="42" fillId="89"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31"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31"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31"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31"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31"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31"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42" fillId="90" borderId="0" applyNumberFormat="0" applyBorder="0" applyAlignment="0" applyProtection="0"/>
    <xf numFmtId="0" fontId="137" fillId="44" borderId="0" applyNumberFormat="0" applyBorder="0" applyAlignment="0" applyProtection="0"/>
    <xf numFmtId="0" fontId="42" fillId="77" borderId="0" applyNumberFormat="0" applyBorder="0" applyAlignment="0" applyProtection="0"/>
    <xf numFmtId="0" fontId="42" fillId="77" borderId="0" applyNumberFormat="0" applyBorder="0" applyAlignment="0" applyProtection="0"/>
    <xf numFmtId="0" fontId="42" fillId="77" borderId="0" applyNumberFormat="0" applyBorder="0" applyAlignment="0" applyProtection="0"/>
    <xf numFmtId="0" fontId="42" fillId="77" borderId="0" applyNumberFormat="0" applyBorder="0" applyAlignment="0" applyProtection="0"/>
    <xf numFmtId="0" fontId="42" fillId="77" borderId="0" applyNumberFormat="0" applyBorder="0" applyAlignment="0" applyProtection="0"/>
    <xf numFmtId="0" fontId="42" fillId="77" borderId="0" applyNumberFormat="0" applyBorder="0" applyAlignment="0" applyProtection="0"/>
    <xf numFmtId="0" fontId="42" fillId="77" borderId="0" applyNumberFormat="0" applyBorder="0" applyAlignment="0" applyProtection="0"/>
    <xf numFmtId="0" fontId="42" fillId="77" borderId="0" applyNumberFormat="0" applyBorder="0" applyAlignment="0" applyProtection="0"/>
    <xf numFmtId="0" fontId="42" fillId="77" borderId="0" applyNumberFormat="0" applyBorder="0" applyAlignment="0" applyProtection="0"/>
    <xf numFmtId="0" fontId="42" fillId="77" borderId="0" applyNumberFormat="0" applyBorder="0" applyAlignment="0" applyProtection="0"/>
    <xf numFmtId="0" fontId="42" fillId="76" borderId="0" applyNumberFormat="0" applyBorder="0" applyAlignment="0" applyProtection="0"/>
    <xf numFmtId="0" fontId="42" fillId="91" borderId="0" applyNumberFormat="0" applyBorder="0" applyAlignment="0" applyProtection="0"/>
    <xf numFmtId="0" fontId="42" fillId="91" borderId="0" applyNumberFormat="0" applyBorder="0" applyAlignment="0" applyProtection="0"/>
    <xf numFmtId="0" fontId="42" fillId="91" borderId="0" applyNumberFormat="0" applyBorder="0" applyAlignment="0" applyProtection="0"/>
    <xf numFmtId="0" fontId="42" fillId="91" borderId="0" applyNumberFormat="0" applyBorder="0" applyAlignment="0" applyProtection="0"/>
    <xf numFmtId="0" fontId="42" fillId="91" borderId="0" applyNumberFormat="0" applyBorder="0" applyAlignment="0" applyProtection="0"/>
    <xf numFmtId="0" fontId="42" fillId="91" borderId="0" applyNumberFormat="0" applyBorder="0" applyAlignment="0" applyProtection="0"/>
    <xf numFmtId="209" fontId="42" fillId="91" borderId="0" applyNumberFormat="0" applyBorder="0" applyAlignment="0" applyProtection="0"/>
    <xf numFmtId="209" fontId="42" fillId="91" borderId="0" applyNumberFormat="0" applyBorder="0" applyAlignment="0" applyProtection="0"/>
    <xf numFmtId="210" fontId="42" fillId="91"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1" borderId="0" applyNumberFormat="0" applyBorder="0" applyAlignment="0" applyProtection="0"/>
    <xf numFmtId="0" fontId="42" fillId="91" borderId="0" applyNumberFormat="0" applyBorder="0" applyAlignment="0" applyProtection="0"/>
    <xf numFmtId="0" fontId="42" fillId="91" borderId="0" applyNumberFormat="0" applyBorder="0" applyAlignment="0" applyProtection="0"/>
    <xf numFmtId="0" fontId="42" fillId="91" borderId="0" applyNumberFormat="0" applyBorder="0" applyAlignment="0" applyProtection="0"/>
    <xf numFmtId="0" fontId="42" fillId="91" borderId="0" applyNumberFormat="0" applyBorder="0" applyAlignment="0" applyProtection="0"/>
    <xf numFmtId="0" fontId="42" fillId="91"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77"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77"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77"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77"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77"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77"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42" fillId="92" borderId="0" applyNumberFormat="0" applyBorder="0" applyAlignment="0" applyProtection="0"/>
    <xf numFmtId="0" fontId="137" fillId="48" borderId="0" applyNumberFormat="0" applyBorder="0" applyAlignment="0" applyProtection="0"/>
    <xf numFmtId="0" fontId="42" fillId="93" borderId="0" applyNumberFormat="0" applyBorder="0" applyAlignment="0" applyProtection="0"/>
    <xf numFmtId="0" fontId="42" fillId="93" borderId="0" applyNumberFormat="0" applyBorder="0" applyAlignment="0" applyProtection="0"/>
    <xf numFmtId="0" fontId="42" fillId="93" borderId="0" applyNumberFormat="0" applyBorder="0" applyAlignment="0" applyProtection="0"/>
    <xf numFmtId="0" fontId="42" fillId="93" borderId="0" applyNumberFormat="0" applyBorder="0" applyAlignment="0" applyProtection="0"/>
    <xf numFmtId="0" fontId="42" fillId="93" borderId="0" applyNumberFormat="0" applyBorder="0" applyAlignment="0" applyProtection="0"/>
    <xf numFmtId="0" fontId="42" fillId="93" borderId="0" applyNumberFormat="0" applyBorder="0" applyAlignment="0" applyProtection="0"/>
    <xf numFmtId="0" fontId="42" fillId="93" borderId="0" applyNumberFormat="0" applyBorder="0" applyAlignment="0" applyProtection="0"/>
    <xf numFmtId="0" fontId="42" fillId="93" borderId="0" applyNumberFormat="0" applyBorder="0" applyAlignment="0" applyProtection="0"/>
    <xf numFmtId="0" fontId="42" fillId="93" borderId="0" applyNumberFormat="0" applyBorder="0" applyAlignment="0" applyProtection="0"/>
    <xf numFmtId="0" fontId="42" fillId="93" borderId="0" applyNumberFormat="0" applyBorder="0" applyAlignment="0" applyProtection="0"/>
    <xf numFmtId="0" fontId="42" fillId="10" borderId="0" applyNumberFormat="0" applyBorder="0" applyAlignment="0" applyProtection="0"/>
    <xf numFmtId="0" fontId="42" fillId="81" borderId="0" applyNumberFormat="0" applyBorder="0" applyAlignment="0" applyProtection="0"/>
    <xf numFmtId="0" fontId="42" fillId="81" borderId="0" applyNumberFormat="0" applyBorder="0" applyAlignment="0" applyProtection="0"/>
    <xf numFmtId="0" fontId="42" fillId="81" borderId="0" applyNumberFormat="0" applyBorder="0" applyAlignment="0" applyProtection="0"/>
    <xf numFmtId="0" fontId="42" fillId="81" borderId="0" applyNumberFormat="0" applyBorder="0" applyAlignment="0" applyProtection="0"/>
    <xf numFmtId="0" fontId="42" fillId="81" borderId="0" applyNumberFormat="0" applyBorder="0" applyAlignment="0" applyProtection="0"/>
    <xf numFmtId="0" fontId="42" fillId="81" borderId="0" applyNumberFormat="0" applyBorder="0" applyAlignment="0" applyProtection="0"/>
    <xf numFmtId="209" fontId="42" fillId="81" borderId="0" applyNumberFormat="0" applyBorder="0" applyAlignment="0" applyProtection="0"/>
    <xf numFmtId="209" fontId="42" fillId="81" borderId="0" applyNumberFormat="0" applyBorder="0" applyAlignment="0" applyProtection="0"/>
    <xf numFmtId="210" fontId="42" fillId="81"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1" borderId="0" applyNumberFormat="0" applyBorder="0" applyAlignment="0" applyProtection="0"/>
    <xf numFmtId="0" fontId="42" fillId="81" borderId="0" applyNumberFormat="0" applyBorder="0" applyAlignment="0" applyProtection="0"/>
    <xf numFmtId="0" fontId="42" fillId="81" borderId="0" applyNumberFormat="0" applyBorder="0" applyAlignment="0" applyProtection="0"/>
    <xf numFmtId="0" fontId="42" fillId="81" borderId="0" applyNumberFormat="0" applyBorder="0" applyAlignment="0" applyProtection="0"/>
    <xf numFmtId="0" fontId="42" fillId="81" borderId="0" applyNumberFormat="0" applyBorder="0" applyAlignment="0" applyProtection="0"/>
    <xf numFmtId="0" fontId="42" fillId="81"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93"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93"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93"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93"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93"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93"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42" fillId="82" borderId="0" applyNumberFormat="0" applyBorder="0" applyAlignment="0" applyProtection="0"/>
    <xf numFmtId="0" fontId="137" fillId="52"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209" fontId="42" fillId="83" borderId="0" applyNumberFormat="0" applyBorder="0" applyAlignment="0" applyProtection="0"/>
    <xf numFmtId="210" fontId="42" fillId="83" borderId="0" applyNumberFormat="0" applyBorder="0" applyAlignment="0" applyProtection="0"/>
    <xf numFmtId="0" fontId="42" fillId="8" borderId="0" applyNumberFormat="0" applyBorder="0" applyAlignment="0" applyProtection="0"/>
    <xf numFmtId="0" fontId="137" fillId="56"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3" borderId="0" applyNumberFormat="0" applyBorder="0" applyAlignment="0" applyProtection="0"/>
    <xf numFmtId="0" fontId="42" fillId="89" borderId="0" applyNumberFormat="0" applyBorder="0" applyAlignment="0" applyProtection="0"/>
    <xf numFmtId="0" fontId="42" fillId="89" borderId="0" applyNumberFormat="0" applyBorder="0" applyAlignment="0" applyProtection="0"/>
    <xf numFmtId="0" fontId="42" fillId="89" borderId="0" applyNumberFormat="0" applyBorder="0" applyAlignment="0" applyProtection="0"/>
    <xf numFmtId="0" fontId="42" fillId="89" borderId="0" applyNumberFormat="0" applyBorder="0" applyAlignment="0" applyProtection="0"/>
    <xf numFmtId="0" fontId="42" fillId="89" borderId="0" applyNumberFormat="0" applyBorder="0" applyAlignment="0" applyProtection="0"/>
    <xf numFmtId="0" fontId="42" fillId="89" borderId="0" applyNumberFormat="0" applyBorder="0" applyAlignment="0" applyProtection="0"/>
    <xf numFmtId="0" fontId="42" fillId="89" borderId="0" applyNumberFormat="0" applyBorder="0" applyAlignment="0" applyProtection="0"/>
    <xf numFmtId="0" fontId="42" fillId="89" borderId="0" applyNumberFormat="0" applyBorder="0" applyAlignment="0" applyProtection="0"/>
    <xf numFmtId="0" fontId="42" fillId="89" borderId="0" applyNumberFormat="0" applyBorder="0" applyAlignment="0" applyProtection="0"/>
    <xf numFmtId="0" fontId="42" fillId="89" borderId="0" applyNumberFormat="0" applyBorder="0" applyAlignment="0" applyProtection="0"/>
    <xf numFmtId="0" fontId="42" fillId="90"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209" fontId="42" fillId="31" borderId="0" applyNumberFormat="0" applyBorder="0" applyAlignment="0" applyProtection="0"/>
    <xf numFmtId="209" fontId="42" fillId="31" borderId="0" applyNumberFormat="0" applyBorder="0" applyAlignment="0" applyProtection="0"/>
    <xf numFmtId="210" fontId="42" fillId="31"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0" fontId="42" fillId="31"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9"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9"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9"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9"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9"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9"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42" fillId="80" borderId="0" applyNumberFormat="0" applyBorder="0" applyAlignment="0" applyProtection="0"/>
    <xf numFmtId="0" fontId="137" fillId="60" borderId="0" applyNumberFormat="0" applyBorder="0" applyAlignment="0" applyProtection="0"/>
    <xf numFmtId="0" fontId="24" fillId="0" borderId="0" applyNumberFormat="0" applyFill="0" applyBorder="0" applyAlignment="0">
      <protection locked="0"/>
    </xf>
    <xf numFmtId="0" fontId="7" fillId="0" borderId="0"/>
    <xf numFmtId="0" fontId="7" fillId="0" borderId="0"/>
    <xf numFmtId="0" fontId="7" fillId="0" borderId="0"/>
    <xf numFmtId="38" fontId="140" fillId="6" borderId="81">
      <alignment horizontal="center"/>
    </xf>
    <xf numFmtId="0" fontId="141" fillId="0" borderId="0">
      <alignment horizontal="center" wrapText="1"/>
      <protection locked="0"/>
    </xf>
    <xf numFmtId="0" fontId="142" fillId="0" borderId="31">
      <protection hidden="1"/>
    </xf>
    <xf numFmtId="0" fontId="36" fillId="6" borderId="31" applyNumberFormat="0" applyFont="0" applyBorder="0" applyAlignment="0" applyProtection="0">
      <protection hidden="1"/>
    </xf>
    <xf numFmtId="0" fontId="139" fillId="6" borderId="31" applyNumberFormat="0" applyFont="0" applyBorder="0" applyAlignment="0" applyProtection="0">
      <protection hidden="1"/>
    </xf>
    <xf numFmtId="0" fontId="142" fillId="0" borderId="31">
      <protection hidden="1"/>
    </xf>
    <xf numFmtId="0" fontId="43" fillId="72" borderId="0" applyNumberFormat="0" applyBorder="0" applyAlignment="0" applyProtection="0"/>
    <xf numFmtId="0" fontId="43" fillId="72" borderId="0" applyNumberFormat="0" applyBorder="0" applyAlignment="0" applyProtection="0"/>
    <xf numFmtId="0" fontId="43" fillId="72" borderId="0" applyNumberFormat="0" applyBorder="0" applyAlignment="0" applyProtection="0"/>
    <xf numFmtId="0" fontId="43" fillId="72" borderId="0" applyNumberFormat="0" applyBorder="0" applyAlignment="0" applyProtection="0"/>
    <xf numFmtId="0" fontId="43" fillId="72" borderId="0" applyNumberFormat="0" applyBorder="0" applyAlignment="0" applyProtection="0"/>
    <xf numFmtId="0" fontId="43" fillId="72" borderId="0" applyNumberFormat="0" applyBorder="0" applyAlignment="0" applyProtection="0"/>
    <xf numFmtId="0" fontId="43" fillId="72" borderId="0" applyNumberFormat="0" applyBorder="0" applyAlignment="0" applyProtection="0"/>
    <xf numFmtId="0" fontId="43" fillId="72" borderId="0" applyNumberFormat="0" applyBorder="0" applyAlignment="0" applyProtection="0"/>
    <xf numFmtId="0" fontId="43" fillId="72" borderId="0" applyNumberFormat="0" applyBorder="0" applyAlignment="0" applyProtection="0"/>
    <xf numFmtId="0" fontId="43" fillId="72" borderId="0" applyNumberFormat="0" applyBorder="0" applyAlignment="0" applyProtection="0"/>
    <xf numFmtId="0" fontId="43" fillId="71" borderId="0" applyNumberFormat="0" applyBorder="0" applyAlignment="0" applyProtection="0"/>
    <xf numFmtId="0" fontId="43" fillId="68" borderId="0" applyNumberFormat="0" applyBorder="0" applyAlignment="0" applyProtection="0"/>
    <xf numFmtId="0" fontId="43" fillId="68" borderId="0" applyNumberFormat="0" applyBorder="0" applyAlignment="0" applyProtection="0"/>
    <xf numFmtId="0" fontId="43" fillId="68" borderId="0" applyNumberFormat="0" applyBorder="0" applyAlignment="0" applyProtection="0"/>
    <xf numFmtId="0" fontId="43" fillId="68" borderId="0" applyNumberFormat="0" applyBorder="0" applyAlignment="0" applyProtection="0"/>
    <xf numFmtId="0" fontId="43" fillId="68" borderId="0" applyNumberFormat="0" applyBorder="0" applyAlignment="0" applyProtection="0"/>
    <xf numFmtId="0" fontId="43" fillId="68" borderId="0" applyNumberFormat="0" applyBorder="0" applyAlignment="0" applyProtection="0"/>
    <xf numFmtId="209" fontId="43" fillId="68" borderId="0" applyNumberFormat="0" applyBorder="0" applyAlignment="0" applyProtection="0"/>
    <xf numFmtId="209" fontId="43" fillId="68" borderId="0" applyNumberFormat="0" applyBorder="0" applyAlignment="0" applyProtection="0"/>
    <xf numFmtId="210" fontId="43" fillId="68"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68" borderId="0" applyNumberFormat="0" applyBorder="0" applyAlignment="0" applyProtection="0"/>
    <xf numFmtId="0" fontId="43" fillId="68" borderId="0" applyNumberFormat="0" applyBorder="0" applyAlignment="0" applyProtection="0"/>
    <xf numFmtId="0" fontId="43" fillId="68" borderId="0" applyNumberFormat="0" applyBorder="0" applyAlignment="0" applyProtection="0"/>
    <xf numFmtId="0" fontId="43" fillId="68" borderId="0" applyNumberFormat="0" applyBorder="0" applyAlignment="0" applyProtection="0"/>
    <xf numFmtId="0" fontId="43" fillId="68" borderId="0" applyNumberFormat="0" applyBorder="0" applyAlignment="0" applyProtection="0"/>
    <xf numFmtId="0" fontId="43" fillId="68"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72"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72"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72"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72"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72"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72"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123" fillId="33" borderId="0" applyNumberFormat="0" applyBorder="0" applyAlignment="0" applyProtection="0"/>
    <xf numFmtId="0" fontId="113" fillId="0" borderId="0" applyNumberFormat="0" applyFill="0" applyBorder="0" applyAlignment="0" applyProtection="0"/>
    <xf numFmtId="0" fontId="24" fillId="0" borderId="0" applyNumberFormat="0" applyFill="0" applyBorder="0" applyAlignment="0" applyProtection="0"/>
    <xf numFmtId="0" fontId="143" fillId="0" borderId="0" applyNumberFormat="0" applyFill="0" applyBorder="0" applyAlignment="0" applyProtection="0"/>
    <xf numFmtId="210" fontId="143" fillId="0" borderId="0" applyNumberFormat="0" applyFill="0" applyBorder="0" applyAlignment="0" applyProtection="0"/>
    <xf numFmtId="0" fontId="143" fillId="0" borderId="0" applyNumberFormat="0" applyFill="0" applyBorder="0" applyAlignment="0" applyProtection="0"/>
    <xf numFmtId="0" fontId="144" fillId="0" borderId="15" applyNumberFormat="0" applyFill="0" applyAlignment="0" applyProtection="0"/>
    <xf numFmtId="0" fontId="144" fillId="0" borderId="15" applyNumberFormat="0" applyFill="0" applyAlignment="0" applyProtection="0"/>
    <xf numFmtId="210" fontId="7" fillId="0" borderId="15" applyNumberFormat="0" applyFill="0" applyAlignment="0" applyProtection="0"/>
    <xf numFmtId="0" fontId="144" fillId="0" borderId="15" applyNumberFormat="0" applyFill="0" applyAlignment="0" applyProtection="0"/>
    <xf numFmtId="0" fontId="7" fillId="0" borderId="15" applyNumberFormat="0" applyFill="0" applyAlignment="0" applyProtection="0"/>
    <xf numFmtId="0" fontId="144" fillId="0" borderId="15" applyNumberFormat="0" applyFill="0" applyAlignment="0" applyProtection="0"/>
    <xf numFmtId="0" fontId="144" fillId="0" borderId="15" applyNumberFormat="0" applyFill="0" applyAlignment="0" applyProtection="0"/>
    <xf numFmtId="210" fontId="7" fillId="0" borderId="15" applyNumberFormat="0" applyFill="0" applyAlignment="0" applyProtection="0"/>
    <xf numFmtId="211" fontId="14" fillId="0" borderId="0">
      <alignment vertical="top"/>
    </xf>
    <xf numFmtId="211" fontId="14" fillId="0" borderId="0">
      <alignment vertical="top"/>
    </xf>
    <xf numFmtId="211" fontId="145" fillId="0" borderId="0">
      <alignment horizontal="right"/>
    </xf>
    <xf numFmtId="211" fontId="145" fillId="0" borderId="0">
      <alignment horizontal="left"/>
    </xf>
    <xf numFmtId="0" fontId="47" fillId="14" borderId="0" applyNumberFormat="0" applyBorder="0" applyAlignment="0" applyProtection="0"/>
    <xf numFmtId="0" fontId="47" fillId="14" borderId="0" applyNumberFormat="0" applyBorder="0" applyAlignment="0" applyProtection="0"/>
    <xf numFmtId="0" fontId="47" fillId="32" borderId="0" applyNumberFormat="0" applyBorder="0" applyAlignment="0" applyProtection="0"/>
    <xf numFmtId="210" fontId="47" fillId="32" borderId="0" applyNumberFormat="0" applyBorder="0" applyAlignment="0" applyProtection="0"/>
    <xf numFmtId="0" fontId="47" fillId="32" borderId="0" applyNumberFormat="0" applyBorder="0" applyAlignment="0" applyProtection="0"/>
    <xf numFmtId="0" fontId="47" fillId="32" borderId="0" applyNumberFormat="0" applyBorder="0" applyAlignment="0" applyProtection="0"/>
    <xf numFmtId="209" fontId="47" fillId="32" borderId="0" applyNumberFormat="0" applyBorder="0" applyAlignment="0" applyProtection="0"/>
    <xf numFmtId="0" fontId="47" fillId="14" borderId="0" applyNumberFormat="0" applyBorder="0" applyAlignment="0" applyProtection="0"/>
    <xf numFmtId="0" fontId="47" fillId="32" borderId="0" applyNumberFormat="0" applyBorder="0" applyAlignment="0" applyProtection="0"/>
    <xf numFmtId="0" fontId="47" fillId="14" borderId="0" applyNumberFormat="0" applyBorder="0" applyAlignment="0" applyProtection="0"/>
    <xf numFmtId="209" fontId="47" fillId="32" borderId="0" applyNumberFormat="0" applyBorder="0" applyAlignment="0" applyProtection="0"/>
    <xf numFmtId="210" fontId="47" fillId="32" borderId="0" applyNumberFormat="0" applyBorder="0" applyAlignment="0" applyProtection="0"/>
    <xf numFmtId="0" fontId="47" fillId="14" borderId="0" applyNumberFormat="0" applyBorder="0" applyAlignment="0" applyProtection="0"/>
    <xf numFmtId="210" fontId="47" fillId="32" borderId="0" applyNumberFormat="0" applyBorder="0" applyAlignment="0" applyProtection="0"/>
    <xf numFmtId="0" fontId="47" fillId="14" borderId="0" applyNumberFormat="0" applyBorder="0" applyAlignment="0" applyProtection="0"/>
    <xf numFmtId="209" fontId="47" fillId="32" borderId="0" applyNumberFormat="0" applyBorder="0" applyAlignment="0" applyProtection="0"/>
    <xf numFmtId="210" fontId="47" fillId="32" borderId="0" applyNumberFormat="0" applyBorder="0" applyAlignment="0" applyProtection="0"/>
    <xf numFmtId="0" fontId="47" fillId="14" borderId="0" applyNumberFormat="0" applyBorder="0" applyAlignment="0" applyProtection="0"/>
    <xf numFmtId="210" fontId="47" fillId="32" borderId="0" applyNumberFormat="0" applyBorder="0" applyAlignment="0" applyProtection="0"/>
    <xf numFmtId="0" fontId="47" fillId="14" borderId="0" applyNumberFormat="0" applyBorder="0" applyAlignment="0" applyProtection="0"/>
    <xf numFmtId="209" fontId="47" fillId="32" borderId="0" applyNumberFormat="0" applyBorder="0" applyAlignment="0" applyProtection="0"/>
    <xf numFmtId="210" fontId="47" fillId="32" borderId="0" applyNumberFormat="0" applyBorder="0" applyAlignment="0" applyProtection="0"/>
    <xf numFmtId="0" fontId="47" fillId="14" borderId="0" applyNumberFormat="0" applyBorder="0" applyAlignment="0" applyProtection="0"/>
    <xf numFmtId="210" fontId="47" fillId="32" borderId="0" applyNumberFormat="0" applyBorder="0" applyAlignment="0" applyProtection="0"/>
    <xf numFmtId="0" fontId="47" fillId="14" borderId="0" applyNumberFormat="0" applyBorder="0" applyAlignment="0" applyProtection="0"/>
    <xf numFmtId="209" fontId="47" fillId="32" borderId="0" applyNumberFormat="0" applyBorder="0" applyAlignment="0" applyProtection="0"/>
    <xf numFmtId="210" fontId="47" fillId="32" borderId="0" applyNumberFormat="0" applyBorder="0" applyAlignment="0" applyProtection="0"/>
    <xf numFmtId="0" fontId="47" fillId="14" borderId="0" applyNumberFormat="0" applyBorder="0" applyAlignment="0" applyProtection="0"/>
    <xf numFmtId="210" fontId="47" fillId="32" borderId="0" applyNumberFormat="0" applyBorder="0" applyAlignment="0" applyProtection="0"/>
    <xf numFmtId="209" fontId="47" fillId="14" borderId="0" applyNumberFormat="0" applyBorder="0" applyAlignment="0" applyProtection="0"/>
    <xf numFmtId="209" fontId="47" fillId="32" borderId="0" applyNumberFormat="0" applyBorder="0" applyAlignment="0" applyProtection="0"/>
    <xf numFmtId="210" fontId="47" fillId="32" borderId="0" applyNumberFormat="0" applyBorder="0" applyAlignment="0" applyProtection="0"/>
    <xf numFmtId="0" fontId="47" fillId="14" borderId="0" applyNumberFormat="0" applyBorder="0" applyAlignment="0" applyProtection="0"/>
    <xf numFmtId="210" fontId="47" fillId="32" borderId="0" applyNumberFormat="0" applyBorder="0" applyAlignment="0" applyProtection="0"/>
    <xf numFmtId="0" fontId="47" fillId="32" borderId="0" applyNumberFormat="0" applyBorder="0" applyAlignment="0" applyProtection="0"/>
    <xf numFmtId="0" fontId="47" fillId="14" borderId="0" applyNumberFormat="0" applyBorder="0" applyAlignment="0" applyProtection="0"/>
    <xf numFmtId="215" fontId="146" fillId="0" borderId="12" applyNumberFormat="0" applyFill="0" applyAlignment="0" applyProtection="0">
      <alignment horizontal="center"/>
    </xf>
    <xf numFmtId="215" fontId="146" fillId="0" borderId="12" applyNumberFormat="0" applyFill="0" applyAlignment="0" applyProtection="0">
      <alignment horizontal="center"/>
    </xf>
    <xf numFmtId="215" fontId="7" fillId="0" borderId="12" applyNumberFormat="0" applyFill="0" applyAlignment="0" applyProtection="0">
      <alignment horizontal="center"/>
    </xf>
    <xf numFmtId="216" fontId="146" fillId="0" borderId="15" applyFill="0" applyAlignment="0" applyProtection="0">
      <alignment horizontal="center"/>
    </xf>
    <xf numFmtId="216" fontId="146" fillId="0" borderId="15" applyFill="0" applyAlignment="0" applyProtection="0">
      <alignment horizontal="center"/>
    </xf>
    <xf numFmtId="216" fontId="146" fillId="0" borderId="15" applyFill="0" applyAlignment="0" applyProtection="0">
      <alignment horizontal="center"/>
    </xf>
    <xf numFmtId="216" fontId="146" fillId="0" borderId="15" applyFill="0" applyAlignment="0" applyProtection="0">
      <alignment horizontal="center"/>
    </xf>
    <xf numFmtId="216" fontId="7" fillId="0" borderId="15" applyFill="0" applyAlignment="0" applyProtection="0">
      <alignment horizontal="center"/>
    </xf>
    <xf numFmtId="0" fontId="37" fillId="0" borderId="0" applyFont="0" applyFill="0" applyBorder="0" applyAlignment="0" applyProtection="0"/>
    <xf numFmtId="0" fontId="37" fillId="0" borderId="0" applyFont="0" applyFill="0" applyBorder="0" applyAlignment="0" applyProtection="0"/>
    <xf numFmtId="210" fontId="7" fillId="0" borderId="0" applyFont="0" applyFill="0" applyBorder="0" applyAlignment="0" applyProtection="0"/>
    <xf numFmtId="0" fontId="7" fillId="0" borderId="0" applyFont="0" applyFill="0" applyBorder="0" applyAlignment="0" applyProtection="0"/>
    <xf numFmtId="210" fontId="7" fillId="0" borderId="0" applyFont="0" applyFill="0" applyBorder="0" applyAlignment="0" applyProtection="0"/>
    <xf numFmtId="0" fontId="147" fillId="15" borderId="1" applyNumberFormat="0" applyAlignment="0" applyProtection="0"/>
    <xf numFmtId="0" fontId="147" fillId="15" borderId="1" applyNumberFormat="0" applyAlignment="0" applyProtection="0"/>
    <xf numFmtId="0" fontId="147" fillId="15" borderId="1" applyNumberFormat="0" applyAlignment="0" applyProtection="0"/>
    <xf numFmtId="0" fontId="147" fillId="15" borderId="1" applyNumberFormat="0" applyAlignment="0" applyProtection="0"/>
    <xf numFmtId="0" fontId="147" fillId="15" borderId="1" applyNumberFormat="0" applyAlignment="0" applyProtection="0"/>
    <xf numFmtId="0" fontId="147" fillId="15" borderId="1" applyNumberFormat="0" applyAlignment="0" applyProtection="0"/>
    <xf numFmtId="0" fontId="147" fillId="15" borderId="1" applyNumberFormat="0" applyAlignment="0" applyProtection="0"/>
    <xf numFmtId="0" fontId="147" fillId="15" borderId="1" applyNumberFormat="0" applyAlignment="0" applyProtection="0"/>
    <xf numFmtId="0" fontId="147" fillId="15" borderId="1" applyNumberFormat="0" applyAlignment="0" applyProtection="0"/>
    <xf numFmtId="0" fontId="147" fillId="15" borderId="1" applyNumberFormat="0" applyAlignment="0" applyProtection="0"/>
    <xf numFmtId="0" fontId="147" fillId="15" borderId="1" applyNumberFormat="0" applyAlignment="0" applyProtection="0"/>
    <xf numFmtId="0" fontId="147" fillId="15" borderId="1" applyNumberFormat="0" applyAlignment="0" applyProtection="0"/>
    <xf numFmtId="0" fontId="147" fillId="15" borderId="1" applyNumberFormat="0" applyAlignment="0" applyProtection="0"/>
    <xf numFmtId="0" fontId="147" fillId="15" borderId="1" applyNumberFormat="0" applyAlignment="0" applyProtection="0"/>
    <xf numFmtId="0" fontId="147" fillId="15" borderId="1" applyNumberFormat="0" applyAlignment="0" applyProtection="0"/>
    <xf numFmtId="0" fontId="147" fillId="15" borderId="1" applyNumberFormat="0" applyAlignment="0" applyProtection="0"/>
    <xf numFmtId="0" fontId="147" fillId="15" borderId="1" applyNumberFormat="0" applyAlignment="0" applyProtection="0"/>
    <xf numFmtId="0" fontId="147" fillId="15" borderId="1" applyNumberFormat="0" applyAlignment="0" applyProtection="0"/>
    <xf numFmtId="0" fontId="147" fillId="15" borderId="1" applyNumberFormat="0" applyAlignment="0" applyProtection="0"/>
    <xf numFmtId="0" fontId="147" fillId="15" borderId="1" applyNumberFormat="0" applyAlignment="0" applyProtection="0"/>
    <xf numFmtId="0" fontId="147" fillId="12" borderId="1" applyNumberFormat="0" applyAlignment="0" applyProtection="0"/>
    <xf numFmtId="0" fontId="44" fillId="6" borderId="1" applyNumberFormat="0" applyAlignment="0" applyProtection="0"/>
    <xf numFmtId="0" fontId="44" fillId="19" borderId="1" applyNumberFormat="0" applyAlignment="0" applyProtection="0"/>
    <xf numFmtId="0" fontId="44" fillId="19" borderId="1" applyNumberFormat="0" applyAlignment="0" applyProtection="0"/>
    <xf numFmtId="0" fontId="44" fillId="19" borderId="1" applyNumberFormat="0" applyAlignment="0" applyProtection="0"/>
    <xf numFmtId="0" fontId="44" fillId="19" borderId="1" applyNumberFormat="0" applyAlignment="0" applyProtection="0"/>
    <xf numFmtId="0" fontId="44" fillId="19" borderId="1" applyNumberFormat="0" applyAlignment="0" applyProtection="0"/>
    <xf numFmtId="0" fontId="44" fillId="19" borderId="1" applyNumberFormat="0" applyAlignment="0" applyProtection="0"/>
    <xf numFmtId="0" fontId="44" fillId="19" borderId="1" applyNumberFormat="0" applyAlignment="0" applyProtection="0"/>
    <xf numFmtId="0" fontId="44" fillId="19" borderId="1" applyNumberFormat="0" applyAlignment="0" applyProtection="0"/>
    <xf numFmtId="0" fontId="44" fillId="19" borderId="1" applyNumberFormat="0" applyAlignment="0" applyProtection="0"/>
    <xf numFmtId="0" fontId="44" fillId="19" borderId="1" applyNumberFormat="0" applyAlignment="0" applyProtection="0"/>
    <xf numFmtId="0" fontId="44" fillId="19" borderId="1" applyNumberFormat="0" applyAlignment="0" applyProtection="0"/>
    <xf numFmtId="0" fontId="44" fillId="19" borderId="1" applyNumberFormat="0" applyAlignment="0" applyProtection="0"/>
    <xf numFmtId="209" fontId="44" fillId="19" borderId="1" applyNumberFormat="0" applyAlignment="0" applyProtection="0"/>
    <xf numFmtId="209" fontId="44" fillId="19" borderId="1" applyNumberFormat="0" applyAlignment="0" applyProtection="0"/>
    <xf numFmtId="0" fontId="147" fillId="12" borderId="1" applyNumberFormat="0" applyAlignment="0" applyProtection="0"/>
    <xf numFmtId="209" fontId="44" fillId="19" borderId="1" applyNumberFormat="0" applyAlignment="0" applyProtection="0"/>
    <xf numFmtId="210" fontId="44" fillId="19" borderId="1" applyNumberFormat="0" applyAlignment="0" applyProtection="0"/>
    <xf numFmtId="210" fontId="44" fillId="19"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12" borderId="1" applyNumberFormat="0" applyAlignment="0" applyProtection="0"/>
    <xf numFmtId="0" fontId="44" fillId="12" borderId="1" applyNumberFormat="0" applyAlignment="0" applyProtection="0"/>
    <xf numFmtId="0" fontId="44" fillId="12" borderId="1" applyNumberFormat="0" applyAlignment="0" applyProtection="0"/>
    <xf numFmtId="0" fontId="44" fillId="12" borderId="1" applyNumberFormat="0" applyAlignment="0" applyProtection="0"/>
    <xf numFmtId="0" fontId="44" fillId="6" borderId="1" applyNumberFormat="0" applyAlignment="0" applyProtection="0"/>
    <xf numFmtId="0" fontId="44" fillId="19" borderId="1" applyNumberFormat="0" applyAlignment="0" applyProtection="0"/>
    <xf numFmtId="0" fontId="44" fillId="19" borderId="1" applyNumberFormat="0" applyAlignment="0" applyProtection="0"/>
    <xf numFmtId="0" fontId="44" fillId="19" borderId="1" applyNumberFormat="0" applyAlignment="0" applyProtection="0"/>
    <xf numFmtId="0" fontId="44" fillId="19" borderId="1" applyNumberFormat="0" applyAlignment="0" applyProtection="0"/>
    <xf numFmtId="0" fontId="44" fillId="19" borderId="1" applyNumberFormat="0" applyAlignment="0" applyProtection="0"/>
    <xf numFmtId="0" fontId="44" fillId="19" borderId="1" applyNumberFormat="0" applyAlignment="0" applyProtection="0"/>
    <xf numFmtId="0" fontId="44" fillId="19" borderId="1" applyNumberFormat="0" applyAlignment="0" applyProtection="0"/>
    <xf numFmtId="0" fontId="44" fillId="19" borderId="1" applyNumberFormat="0" applyAlignment="0" applyProtection="0"/>
    <xf numFmtId="0" fontId="44" fillId="19" borderId="1" applyNumberFormat="0" applyAlignment="0" applyProtection="0"/>
    <xf numFmtId="0" fontId="44" fillId="19" borderId="1" applyNumberFormat="0" applyAlignment="0" applyProtection="0"/>
    <xf numFmtId="0" fontId="44" fillId="19" borderId="1" applyNumberFormat="0" applyAlignment="0" applyProtection="0"/>
    <xf numFmtId="0" fontId="44" fillId="19" borderId="1" applyNumberFormat="0" applyAlignment="0" applyProtection="0"/>
    <xf numFmtId="0" fontId="44" fillId="19"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147" fillId="15" borderId="1" applyNumberFormat="0" applyAlignment="0" applyProtection="0"/>
    <xf numFmtId="0" fontId="147" fillId="15"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147" fillId="15" borderId="1" applyNumberFormat="0" applyAlignment="0" applyProtection="0"/>
    <xf numFmtId="0" fontId="147" fillId="15"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147" fillId="15" borderId="1" applyNumberFormat="0" applyAlignment="0" applyProtection="0"/>
    <xf numFmtId="0" fontId="147" fillId="15"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147" fillId="15" borderId="1" applyNumberFormat="0" applyAlignment="0" applyProtection="0"/>
    <xf numFmtId="0" fontId="147" fillId="15"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147" fillId="15" borderId="1" applyNumberFormat="0" applyAlignment="0" applyProtection="0"/>
    <xf numFmtId="0" fontId="147" fillId="15"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147" fillId="15" borderId="1" applyNumberFormat="0" applyAlignment="0" applyProtection="0"/>
    <xf numFmtId="0" fontId="147" fillId="15"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44" fillId="6" borderId="1" applyNumberFormat="0" applyAlignment="0" applyProtection="0"/>
    <xf numFmtId="0" fontId="133" fillId="37" borderId="76" applyNumberFormat="0" applyAlignment="0" applyProtection="0"/>
    <xf numFmtId="0" fontId="44" fillId="6" borderId="1" applyNumberFormat="0" applyAlignment="0" applyProtection="0"/>
    <xf numFmtId="0" fontId="44" fillId="6" borderId="1" applyNumberFormat="0" applyAlignment="0" applyProtection="0"/>
    <xf numFmtId="0" fontId="44" fillId="19" borderId="1" applyNumberFormat="0" applyAlignment="0" applyProtection="0"/>
    <xf numFmtId="0" fontId="44" fillId="19" borderId="1" applyNumberFormat="0" applyAlignment="0" applyProtection="0"/>
    <xf numFmtId="0" fontId="44" fillId="19" borderId="1" applyNumberFormat="0" applyAlignment="0" applyProtection="0"/>
    <xf numFmtId="210" fontId="44" fillId="19" borderId="1" applyNumberFormat="0" applyAlignment="0" applyProtection="0"/>
    <xf numFmtId="210" fontId="44" fillId="19" borderId="1" applyNumberFormat="0" applyAlignment="0" applyProtection="0"/>
    <xf numFmtId="0" fontId="44" fillId="19" borderId="1" applyNumberFormat="0" applyAlignment="0" applyProtection="0"/>
    <xf numFmtId="0" fontId="44" fillId="19" borderId="1" applyNumberFormat="0" applyAlignment="0" applyProtection="0"/>
    <xf numFmtId="0" fontId="44" fillId="19" borderId="1" applyNumberFormat="0" applyAlignment="0" applyProtection="0"/>
    <xf numFmtId="0" fontId="44" fillId="19" borderId="1" applyNumberFormat="0" applyAlignment="0" applyProtection="0"/>
    <xf numFmtId="0" fontId="44" fillId="19" borderId="1" applyNumberFormat="0" applyAlignment="0" applyProtection="0"/>
    <xf numFmtId="209" fontId="44" fillId="19" borderId="1" applyNumberFormat="0" applyAlignment="0" applyProtection="0"/>
    <xf numFmtId="209" fontId="44" fillId="19" borderId="1" applyNumberFormat="0" applyAlignment="0" applyProtection="0"/>
    <xf numFmtId="0" fontId="44" fillId="6" borderId="1" applyNumberFormat="0" applyAlignment="0" applyProtection="0"/>
    <xf numFmtId="0" fontId="44" fillId="6" borderId="1" applyNumberFormat="0" applyAlignment="0" applyProtection="0"/>
    <xf numFmtId="210" fontId="44" fillId="6" borderId="1" applyNumberFormat="0" applyAlignment="0" applyProtection="0"/>
    <xf numFmtId="0" fontId="44" fillId="19" borderId="1" applyNumberFormat="0" applyAlignment="0" applyProtection="0"/>
    <xf numFmtId="0" fontId="44" fillId="6" borderId="1" applyNumberFormat="0" applyAlignment="0" applyProtection="0"/>
    <xf numFmtId="209" fontId="44" fillId="19" borderId="1" applyNumberFormat="0" applyAlignment="0" applyProtection="0"/>
    <xf numFmtId="209" fontId="44" fillId="19" borderId="1" applyNumberFormat="0" applyAlignment="0" applyProtection="0"/>
    <xf numFmtId="210" fontId="44" fillId="19" borderId="1" applyNumberFormat="0" applyAlignment="0" applyProtection="0"/>
    <xf numFmtId="210" fontId="44" fillId="19" borderId="1" applyNumberFormat="0" applyAlignment="0" applyProtection="0"/>
    <xf numFmtId="0" fontId="44" fillId="6" borderId="1" applyNumberFormat="0" applyAlignment="0" applyProtection="0"/>
    <xf numFmtId="0" fontId="44" fillId="6" borderId="1" applyNumberFormat="0" applyAlignment="0" applyProtection="0"/>
    <xf numFmtId="210" fontId="44" fillId="6" borderId="1" applyNumberFormat="0" applyAlignment="0" applyProtection="0"/>
    <xf numFmtId="210" fontId="44" fillId="19" borderId="1" applyNumberFormat="0" applyAlignment="0" applyProtection="0"/>
    <xf numFmtId="0" fontId="44" fillId="6" borderId="1" applyNumberFormat="0" applyAlignment="0" applyProtection="0"/>
    <xf numFmtId="209" fontId="44" fillId="19" borderId="1" applyNumberFormat="0" applyAlignment="0" applyProtection="0"/>
    <xf numFmtId="209" fontId="44" fillId="19" borderId="1" applyNumberFormat="0" applyAlignment="0" applyProtection="0"/>
    <xf numFmtId="210" fontId="44" fillId="19" borderId="1" applyNumberFormat="0" applyAlignment="0" applyProtection="0"/>
    <xf numFmtId="210" fontId="44" fillId="19" borderId="1" applyNumberFormat="0" applyAlignment="0" applyProtection="0"/>
    <xf numFmtId="0" fontId="44" fillId="6" borderId="1" applyNumberFormat="0" applyAlignment="0" applyProtection="0"/>
    <xf numFmtId="0" fontId="44" fillId="6" borderId="1" applyNumberFormat="0" applyAlignment="0" applyProtection="0"/>
    <xf numFmtId="210" fontId="44" fillId="6" borderId="1" applyNumberFormat="0" applyAlignment="0" applyProtection="0"/>
    <xf numFmtId="210" fontId="44" fillId="19" borderId="1" applyNumberFormat="0" applyAlignment="0" applyProtection="0"/>
    <xf numFmtId="0" fontId="44" fillId="6" borderId="1" applyNumberFormat="0" applyAlignment="0" applyProtection="0"/>
    <xf numFmtId="209" fontId="44" fillId="19" borderId="1" applyNumberFormat="0" applyAlignment="0" applyProtection="0"/>
    <xf numFmtId="209" fontId="44" fillId="19" borderId="1" applyNumberFormat="0" applyAlignment="0" applyProtection="0"/>
    <xf numFmtId="210" fontId="44" fillId="19" borderId="1" applyNumberFormat="0" applyAlignment="0" applyProtection="0"/>
    <xf numFmtId="210" fontId="44" fillId="19" borderId="1" applyNumberFormat="0" applyAlignment="0" applyProtection="0"/>
    <xf numFmtId="0" fontId="44" fillId="6" borderId="1" applyNumberFormat="0" applyAlignment="0" applyProtection="0"/>
    <xf numFmtId="0" fontId="44" fillId="6" borderId="1" applyNumberFormat="0" applyAlignment="0" applyProtection="0"/>
    <xf numFmtId="210" fontId="44" fillId="6" borderId="1" applyNumberFormat="0" applyAlignment="0" applyProtection="0"/>
    <xf numFmtId="210" fontId="44" fillId="19" borderId="1" applyNumberFormat="0" applyAlignment="0" applyProtection="0"/>
    <xf numFmtId="0" fontId="44" fillId="6" borderId="1" applyNumberFormat="0" applyAlignment="0" applyProtection="0"/>
    <xf numFmtId="209" fontId="44" fillId="19" borderId="1" applyNumberFormat="0" applyAlignment="0" applyProtection="0"/>
    <xf numFmtId="209" fontId="44" fillId="19" borderId="1" applyNumberFormat="0" applyAlignment="0" applyProtection="0"/>
    <xf numFmtId="210" fontId="44" fillId="19" borderId="1" applyNumberFormat="0" applyAlignment="0" applyProtection="0"/>
    <xf numFmtId="210" fontId="44" fillId="19" borderId="1" applyNumberFormat="0" applyAlignment="0" applyProtection="0"/>
    <xf numFmtId="0" fontId="44" fillId="6" borderId="1" applyNumberFormat="0" applyAlignment="0" applyProtection="0"/>
    <xf numFmtId="0" fontId="44" fillId="6" borderId="1" applyNumberFormat="0" applyAlignment="0" applyProtection="0"/>
    <xf numFmtId="210" fontId="44" fillId="6" borderId="1" applyNumberFormat="0" applyAlignment="0" applyProtection="0"/>
    <xf numFmtId="210" fontId="44" fillId="19" borderId="1" applyNumberFormat="0" applyAlignment="0" applyProtection="0"/>
    <xf numFmtId="209" fontId="44" fillId="6" borderId="1" applyNumberFormat="0" applyAlignment="0" applyProtection="0"/>
    <xf numFmtId="209" fontId="44" fillId="19" borderId="1" applyNumberFormat="0" applyAlignment="0" applyProtection="0"/>
    <xf numFmtId="209" fontId="44" fillId="19" borderId="1" applyNumberFormat="0" applyAlignment="0" applyProtection="0"/>
    <xf numFmtId="210" fontId="44" fillId="19" borderId="1" applyNumberFormat="0" applyAlignment="0" applyProtection="0"/>
    <xf numFmtId="210" fontId="44" fillId="19" borderId="1" applyNumberFormat="0" applyAlignment="0" applyProtection="0"/>
    <xf numFmtId="0" fontId="44" fillId="6" borderId="1" applyNumberFormat="0" applyAlignment="0" applyProtection="0"/>
    <xf numFmtId="0" fontId="44" fillId="6" borderId="1" applyNumberFormat="0" applyAlignment="0" applyProtection="0"/>
    <xf numFmtId="210" fontId="44" fillId="6" borderId="1" applyNumberFormat="0" applyAlignment="0" applyProtection="0"/>
    <xf numFmtId="210" fontId="44" fillId="19" borderId="1" applyNumberFormat="0" applyAlignment="0" applyProtection="0"/>
    <xf numFmtId="0" fontId="44" fillId="6" borderId="1" applyNumberFormat="0" applyAlignment="0" applyProtection="0"/>
    <xf numFmtId="0" fontId="44" fillId="19" borderId="1" applyNumberFormat="0" applyAlignment="0" applyProtection="0"/>
    <xf numFmtId="0" fontId="44" fillId="6" borderId="1" applyNumberFormat="0" applyAlignment="0" applyProtection="0"/>
    <xf numFmtId="0" fontId="44" fillId="6" borderId="1" applyNumberFormat="0" applyAlignment="0" applyProtection="0"/>
    <xf numFmtId="0" fontId="116" fillId="0" borderId="0"/>
    <xf numFmtId="209" fontId="116" fillId="0" borderId="0"/>
    <xf numFmtId="210" fontId="116" fillId="0" borderId="0"/>
    <xf numFmtId="0" fontId="116" fillId="0" borderId="0"/>
    <xf numFmtId="210" fontId="116" fillId="0" borderId="0"/>
    <xf numFmtId="0" fontId="7" fillId="0" borderId="0"/>
    <xf numFmtId="0" fontId="7" fillId="0" borderId="0"/>
    <xf numFmtId="184" fontId="7" fillId="0" borderId="0" applyFont="0" applyFill="0" applyBorder="0" applyAlignment="0" applyProtection="0"/>
    <xf numFmtId="217" fontId="7" fillId="0" borderId="0" applyFont="0" applyFill="0" applyBorder="0" applyAlignment="0" applyProtection="0"/>
    <xf numFmtId="0" fontId="45" fillId="13" borderId="2" applyNumberFormat="0" applyAlignment="0" applyProtection="0"/>
    <xf numFmtId="0" fontId="45" fillId="13" borderId="2" applyNumberFormat="0" applyAlignment="0" applyProtection="0"/>
    <xf numFmtId="0" fontId="45" fillId="18" borderId="2" applyNumberFormat="0" applyAlignment="0" applyProtection="0"/>
    <xf numFmtId="210" fontId="45" fillId="18" borderId="2" applyNumberFormat="0" applyAlignment="0" applyProtection="0"/>
    <xf numFmtId="0" fontId="45" fillId="18" borderId="2" applyNumberFormat="0" applyAlignment="0" applyProtection="0"/>
    <xf numFmtId="0" fontId="45" fillId="18" borderId="2" applyNumberFormat="0" applyAlignment="0" applyProtection="0"/>
    <xf numFmtId="209" fontId="45" fillId="18" borderId="2" applyNumberFormat="0" applyAlignment="0" applyProtection="0"/>
    <xf numFmtId="0" fontId="45" fillId="13" borderId="2" applyNumberFormat="0" applyAlignment="0" applyProtection="0"/>
    <xf numFmtId="0" fontId="45" fillId="18" borderId="2" applyNumberFormat="0" applyAlignment="0" applyProtection="0"/>
    <xf numFmtId="0" fontId="45" fillId="13" borderId="2" applyNumberFormat="0" applyAlignment="0" applyProtection="0"/>
    <xf numFmtId="209" fontId="45" fillId="18" borderId="2" applyNumberFormat="0" applyAlignment="0" applyProtection="0"/>
    <xf numFmtId="210" fontId="45" fillId="18" borderId="2" applyNumberFormat="0" applyAlignment="0" applyProtection="0"/>
    <xf numFmtId="0" fontId="45" fillId="13" borderId="2" applyNumberFormat="0" applyAlignment="0" applyProtection="0"/>
    <xf numFmtId="210" fontId="45" fillId="18" borderId="2" applyNumberFormat="0" applyAlignment="0" applyProtection="0"/>
    <xf numFmtId="0" fontId="45" fillId="13" borderId="2" applyNumberFormat="0" applyAlignment="0" applyProtection="0"/>
    <xf numFmtId="209" fontId="45" fillId="18" borderId="2" applyNumberFormat="0" applyAlignment="0" applyProtection="0"/>
    <xf numFmtId="210" fontId="45" fillId="18" borderId="2" applyNumberFormat="0" applyAlignment="0" applyProtection="0"/>
    <xf numFmtId="0" fontId="45" fillId="13" borderId="2" applyNumberFormat="0" applyAlignment="0" applyProtection="0"/>
    <xf numFmtId="210" fontId="45" fillId="18" borderId="2" applyNumberFormat="0" applyAlignment="0" applyProtection="0"/>
    <xf numFmtId="0" fontId="45" fillId="13" borderId="2" applyNumberFormat="0" applyAlignment="0" applyProtection="0"/>
    <xf numFmtId="209" fontId="45" fillId="18" borderId="2" applyNumberFormat="0" applyAlignment="0" applyProtection="0"/>
    <xf numFmtId="210" fontId="45" fillId="18" borderId="2" applyNumberFormat="0" applyAlignment="0" applyProtection="0"/>
    <xf numFmtId="0" fontId="45" fillId="13" borderId="2" applyNumberFormat="0" applyAlignment="0" applyProtection="0"/>
    <xf numFmtId="210" fontId="45" fillId="18" borderId="2" applyNumberFormat="0" applyAlignment="0" applyProtection="0"/>
    <xf numFmtId="0" fontId="45" fillId="13" borderId="2" applyNumberFormat="0" applyAlignment="0" applyProtection="0"/>
    <xf numFmtId="209" fontId="45" fillId="18" borderId="2" applyNumberFormat="0" applyAlignment="0" applyProtection="0"/>
    <xf numFmtId="210" fontId="45" fillId="18" borderId="2" applyNumberFormat="0" applyAlignment="0" applyProtection="0"/>
    <xf numFmtId="0" fontId="45" fillId="13" borderId="2" applyNumberFormat="0" applyAlignment="0" applyProtection="0"/>
    <xf numFmtId="210" fontId="45" fillId="18" borderId="2" applyNumberFormat="0" applyAlignment="0" applyProtection="0"/>
    <xf numFmtId="209" fontId="45" fillId="13" borderId="2" applyNumberFormat="0" applyAlignment="0" applyProtection="0"/>
    <xf numFmtId="209" fontId="45" fillId="18" borderId="2" applyNumberFormat="0" applyAlignment="0" applyProtection="0"/>
    <xf numFmtId="210" fontId="45" fillId="18" borderId="2" applyNumberFormat="0" applyAlignment="0" applyProtection="0"/>
    <xf numFmtId="0" fontId="45" fillId="13" borderId="2" applyNumberFormat="0" applyAlignment="0" applyProtection="0"/>
    <xf numFmtId="210" fontId="45" fillId="18" borderId="2" applyNumberFormat="0" applyAlignment="0" applyProtection="0"/>
    <xf numFmtId="0" fontId="45" fillId="18" borderId="2" applyNumberFormat="0" applyAlignment="0" applyProtection="0"/>
    <xf numFmtId="0" fontId="45" fillId="13" borderId="2" applyNumberFormat="0" applyAlignment="0" applyProtection="0"/>
    <xf numFmtId="0" fontId="52" fillId="0" borderId="6" applyNumberFormat="0" applyFill="0" applyAlignment="0" applyProtection="0"/>
    <xf numFmtId="0" fontId="52" fillId="0" borderId="6" applyNumberFormat="0" applyFill="0" applyAlignment="0" applyProtection="0"/>
    <xf numFmtId="0" fontId="52" fillId="0" borderId="6" applyNumberFormat="0" applyFill="0" applyAlignment="0" applyProtection="0"/>
    <xf numFmtId="210" fontId="52" fillId="0" borderId="6" applyNumberFormat="0" applyFill="0" applyAlignment="0" applyProtection="0"/>
    <xf numFmtId="210" fontId="52" fillId="0" borderId="6" applyNumberFormat="0" applyFill="0" applyAlignment="0" applyProtection="0"/>
    <xf numFmtId="0" fontId="52" fillId="0" borderId="6" applyNumberFormat="0" applyFill="0" applyAlignment="0" applyProtection="0"/>
    <xf numFmtId="0" fontId="52" fillId="0" borderId="6" applyNumberFormat="0" applyFill="0" applyAlignment="0" applyProtection="0"/>
    <xf numFmtId="0" fontId="52" fillId="0" borderId="6" applyNumberFormat="0" applyFill="0" applyAlignment="0" applyProtection="0"/>
    <xf numFmtId="0" fontId="52" fillId="0" borderId="6" applyNumberFormat="0" applyFill="0" applyAlignment="0" applyProtection="0"/>
    <xf numFmtId="0" fontId="52" fillId="0" borderId="6" applyNumberFormat="0" applyFill="0" applyAlignment="0" applyProtection="0"/>
    <xf numFmtId="209" fontId="52" fillId="0" borderId="6" applyNumberFormat="0" applyFill="0" applyAlignment="0" applyProtection="0"/>
    <xf numFmtId="209" fontId="52" fillId="0" borderId="6" applyNumberFormat="0" applyFill="0" applyAlignment="0" applyProtection="0"/>
    <xf numFmtId="210" fontId="52" fillId="0" borderId="6" applyNumberFormat="0" applyFill="0" applyAlignment="0" applyProtection="0"/>
    <xf numFmtId="210" fontId="52" fillId="0" borderId="6" applyNumberFormat="0" applyFill="0" applyAlignment="0" applyProtection="0"/>
    <xf numFmtId="0" fontId="52" fillId="0" borderId="6" applyNumberFormat="0" applyFill="0" applyAlignment="0" applyProtection="0"/>
    <xf numFmtId="0" fontId="52" fillId="0" borderId="6" applyNumberFormat="0" applyFill="0" applyAlignment="0" applyProtection="0"/>
    <xf numFmtId="0" fontId="52" fillId="0" borderId="6" applyNumberFormat="0" applyFill="0" applyAlignment="0" applyProtection="0"/>
    <xf numFmtId="209" fontId="52" fillId="0" borderId="6" applyNumberFormat="0" applyFill="0" applyAlignment="0" applyProtection="0"/>
    <xf numFmtId="209" fontId="52" fillId="0" borderId="6" applyNumberFormat="0" applyFill="0" applyAlignment="0" applyProtection="0"/>
    <xf numFmtId="210" fontId="52" fillId="0" borderId="6" applyNumberFormat="0" applyFill="0" applyAlignment="0" applyProtection="0"/>
    <xf numFmtId="210" fontId="52" fillId="0" borderId="6" applyNumberFormat="0" applyFill="0" applyAlignment="0" applyProtection="0"/>
    <xf numFmtId="0" fontId="52" fillId="0" borderId="6" applyNumberFormat="0" applyFill="0" applyAlignment="0" applyProtection="0"/>
    <xf numFmtId="0" fontId="52" fillId="0" borderId="6" applyNumberFormat="0" applyFill="0" applyAlignment="0" applyProtection="0"/>
    <xf numFmtId="0" fontId="52" fillId="0" borderId="6" applyNumberFormat="0" applyFill="0" applyAlignment="0" applyProtection="0"/>
    <xf numFmtId="209" fontId="52" fillId="0" borderId="6" applyNumberFormat="0" applyFill="0" applyAlignment="0" applyProtection="0"/>
    <xf numFmtId="209" fontId="52" fillId="0" borderId="6" applyNumberFormat="0" applyFill="0" applyAlignment="0" applyProtection="0"/>
    <xf numFmtId="210" fontId="52" fillId="0" borderId="6" applyNumberFormat="0" applyFill="0" applyAlignment="0" applyProtection="0"/>
    <xf numFmtId="210" fontId="52" fillId="0" borderId="6" applyNumberFormat="0" applyFill="0" applyAlignment="0" applyProtection="0"/>
    <xf numFmtId="0" fontId="52" fillId="0" borderId="6" applyNumberFormat="0" applyFill="0" applyAlignment="0" applyProtection="0"/>
    <xf numFmtId="0" fontId="52" fillId="0" borderId="6" applyNumberFormat="0" applyFill="0" applyAlignment="0" applyProtection="0"/>
    <xf numFmtId="209" fontId="52" fillId="0" borderId="6" applyNumberFormat="0" applyFill="0" applyAlignment="0" applyProtection="0"/>
    <xf numFmtId="209" fontId="52" fillId="0" borderId="6" applyNumberFormat="0" applyFill="0" applyAlignment="0" applyProtection="0"/>
    <xf numFmtId="210" fontId="52" fillId="0" borderId="6" applyNumberFormat="0" applyFill="0" applyAlignment="0" applyProtection="0"/>
    <xf numFmtId="210" fontId="52" fillId="0" borderId="6" applyNumberFormat="0" applyFill="0" applyAlignment="0" applyProtection="0"/>
    <xf numFmtId="0" fontId="52" fillId="0" borderId="6" applyNumberFormat="0" applyFill="0" applyAlignment="0" applyProtection="0"/>
    <xf numFmtId="209" fontId="52" fillId="0" borderId="6" applyNumberFormat="0" applyFill="0" applyAlignment="0" applyProtection="0"/>
    <xf numFmtId="209" fontId="52" fillId="0" borderId="6" applyNumberFormat="0" applyFill="0" applyAlignment="0" applyProtection="0"/>
    <xf numFmtId="210" fontId="52" fillId="0" borderId="6" applyNumberFormat="0" applyFill="0" applyAlignment="0" applyProtection="0"/>
    <xf numFmtId="0" fontId="52" fillId="0" borderId="6" applyNumberFormat="0" applyFill="0" applyAlignment="0" applyProtection="0"/>
    <xf numFmtId="210" fontId="52" fillId="0" borderId="6" applyNumberFormat="0" applyFill="0" applyAlignment="0" applyProtection="0"/>
    <xf numFmtId="0" fontId="52" fillId="0" borderId="6" applyNumberFormat="0" applyFill="0" applyAlignment="0" applyProtection="0"/>
    <xf numFmtId="0" fontId="52" fillId="0" borderId="6" applyNumberFormat="0" applyFill="0" applyAlignment="0" applyProtection="0"/>
    <xf numFmtId="0" fontId="18" fillId="0" borderId="0" applyFill="0" applyBorder="0" applyProtection="0">
      <alignment horizontal="center"/>
      <protection locked="0"/>
    </xf>
    <xf numFmtId="210" fontId="18" fillId="0" borderId="0" applyFill="0" applyBorder="0" applyProtection="0">
      <alignment horizontal="center"/>
      <protection locked="0"/>
    </xf>
    <xf numFmtId="0" fontId="18" fillId="0" borderId="0" applyFill="0" applyBorder="0" applyProtection="0">
      <alignment horizontal="center"/>
      <protection locked="0"/>
    </xf>
    <xf numFmtId="0" fontId="18" fillId="0" borderId="0" applyFill="0" applyBorder="0" applyProtection="0">
      <alignment horizontal="center"/>
      <protection locked="0"/>
    </xf>
    <xf numFmtId="0" fontId="122" fillId="0" borderId="0" applyFill="0" applyBorder="0" applyProtection="0">
      <alignment horizontal="center"/>
    </xf>
    <xf numFmtId="210" fontId="122" fillId="0" borderId="0" applyFill="0" applyBorder="0" applyProtection="0">
      <alignment horizontal="center"/>
    </xf>
    <xf numFmtId="0" fontId="122" fillId="0" borderId="0" applyFill="0" applyBorder="0" applyProtection="0">
      <alignment horizontal="center"/>
    </xf>
    <xf numFmtId="0" fontId="122" fillId="0" borderId="0" applyFill="0" applyBorder="0" applyProtection="0">
      <alignment horizontal="center"/>
    </xf>
    <xf numFmtId="0" fontId="45" fillId="13" borderId="2" applyNumberFormat="0" applyAlignment="0" applyProtection="0"/>
    <xf numFmtId="0" fontId="135" fillId="38" borderId="79" applyNumberFormat="0" applyAlignment="0" applyProtection="0"/>
    <xf numFmtId="0" fontId="45" fillId="13" borderId="2" applyNumberFormat="0" applyAlignment="0" applyProtection="0"/>
    <xf numFmtId="0" fontId="45" fillId="18" borderId="2" applyNumberFormat="0" applyAlignment="0" applyProtection="0"/>
    <xf numFmtId="0" fontId="45" fillId="18" borderId="2" applyNumberFormat="0" applyAlignment="0" applyProtection="0"/>
    <xf numFmtId="0" fontId="45" fillId="18" borderId="2" applyNumberFormat="0" applyAlignment="0" applyProtection="0"/>
    <xf numFmtId="0" fontId="45" fillId="18" borderId="2" applyNumberFormat="0" applyAlignment="0" applyProtection="0"/>
    <xf numFmtId="0" fontId="45" fillId="18" borderId="2" applyNumberFormat="0" applyAlignment="0" applyProtection="0"/>
    <xf numFmtId="0" fontId="45" fillId="18" borderId="2" applyNumberFormat="0" applyAlignment="0" applyProtection="0"/>
    <xf numFmtId="209" fontId="45" fillId="18" borderId="2" applyNumberFormat="0" applyAlignment="0" applyProtection="0"/>
    <xf numFmtId="0" fontId="45" fillId="18" borderId="2" applyNumberFormat="0" applyAlignment="0" applyProtection="0"/>
    <xf numFmtId="0" fontId="45" fillId="13" borderId="2" applyNumberFormat="0" applyAlignment="0" applyProtection="0"/>
    <xf numFmtId="0" fontId="45" fillId="18" borderId="2" applyNumberFormat="0" applyAlignment="0" applyProtection="0"/>
    <xf numFmtId="0" fontId="45" fillId="18" borderId="2" applyNumberFormat="0" applyAlignment="0" applyProtection="0"/>
    <xf numFmtId="0" fontId="45" fillId="18" borderId="2" applyNumberFormat="0" applyAlignment="0" applyProtection="0"/>
    <xf numFmtId="0" fontId="45" fillId="18" borderId="2" applyNumberFormat="0" applyAlignment="0" applyProtection="0"/>
    <xf numFmtId="0" fontId="45" fillId="18" borderId="2" applyNumberFormat="0" applyAlignment="0" applyProtection="0"/>
    <xf numFmtId="0" fontId="45" fillId="18" borderId="2" applyNumberFormat="0" applyAlignment="0" applyProtection="0"/>
    <xf numFmtId="0" fontId="45" fillId="18" borderId="2" applyNumberFormat="0" applyAlignment="0" applyProtection="0"/>
    <xf numFmtId="0" fontId="45" fillId="18" borderId="2" applyNumberFormat="0" applyAlignment="0" applyProtection="0"/>
    <xf numFmtId="0" fontId="45" fillId="18" borderId="2" applyNumberFormat="0" applyAlignment="0" applyProtection="0"/>
    <xf numFmtId="210" fontId="45" fillId="18" borderId="2" applyNumberFormat="0" applyAlignment="0" applyProtection="0"/>
    <xf numFmtId="0" fontId="45" fillId="13" borderId="2" applyNumberFormat="0" applyAlignment="0" applyProtection="0"/>
    <xf numFmtId="0" fontId="45" fillId="13" borderId="2" applyNumberFormat="0" applyAlignment="0" applyProtection="0"/>
    <xf numFmtId="211" fontId="148" fillId="0" borderId="0" applyNumberFormat="0">
      <alignment horizontal="left"/>
    </xf>
    <xf numFmtId="0" fontId="149" fillId="6" borderId="0"/>
    <xf numFmtId="0" fontId="17" fillId="0" borderId="30">
      <alignment horizontal="center"/>
    </xf>
    <xf numFmtId="0" fontId="150" fillId="0" borderId="0"/>
    <xf numFmtId="0" fontId="150" fillId="0" borderId="0"/>
    <xf numFmtId="210" fontId="7" fillId="0" borderId="0"/>
    <xf numFmtId="0" fontId="7" fillId="0" borderId="0"/>
    <xf numFmtId="210" fontId="7" fillId="0" borderId="0"/>
    <xf numFmtId="0" fontId="150" fillId="0" borderId="0"/>
    <xf numFmtId="0" fontId="150" fillId="0" borderId="0"/>
    <xf numFmtId="210" fontId="7" fillId="0" borderId="0"/>
    <xf numFmtId="0" fontId="7" fillId="0" borderId="0"/>
    <xf numFmtId="210" fontId="7" fillId="0" borderId="0"/>
    <xf numFmtId="0" fontId="150" fillId="0" borderId="0"/>
    <xf numFmtId="0" fontId="150" fillId="0" borderId="0"/>
    <xf numFmtId="210" fontId="7" fillId="0" borderId="0"/>
    <xf numFmtId="0" fontId="7" fillId="0" borderId="0"/>
    <xf numFmtId="210" fontId="7" fillId="0" borderId="0"/>
    <xf numFmtId="0" fontId="150" fillId="0" borderId="0"/>
    <xf numFmtId="0" fontId="150" fillId="0" borderId="0"/>
    <xf numFmtId="210" fontId="7" fillId="0" borderId="0"/>
    <xf numFmtId="0" fontId="7" fillId="0" borderId="0"/>
    <xf numFmtId="210" fontId="7" fillId="0" borderId="0"/>
    <xf numFmtId="0" fontId="150" fillId="0" borderId="0"/>
    <xf numFmtId="0" fontId="150" fillId="0" borderId="0"/>
    <xf numFmtId="210" fontId="7" fillId="0" borderId="0"/>
    <xf numFmtId="0" fontId="7" fillId="0" borderId="0"/>
    <xf numFmtId="210" fontId="7" fillId="0" borderId="0"/>
    <xf numFmtId="0" fontId="150" fillId="0" borderId="0"/>
    <xf numFmtId="0" fontId="150" fillId="0" borderId="0"/>
    <xf numFmtId="210" fontId="7" fillId="0" borderId="0"/>
    <xf numFmtId="0" fontId="7" fillId="0" borderId="0"/>
    <xf numFmtId="210" fontId="7" fillId="0" borderId="0"/>
    <xf numFmtId="0" fontId="150" fillId="0" borderId="0"/>
    <xf numFmtId="0" fontId="150" fillId="0" borderId="0"/>
    <xf numFmtId="210" fontId="7" fillId="0" borderId="0"/>
    <xf numFmtId="0" fontId="7" fillId="0" borderId="0"/>
    <xf numFmtId="210" fontId="7" fillId="0" borderId="0"/>
    <xf numFmtId="0" fontId="150" fillId="0" borderId="0"/>
    <xf numFmtId="0" fontId="150" fillId="0" borderId="0"/>
    <xf numFmtId="210" fontId="7" fillId="0" borderId="0"/>
    <xf numFmtId="0" fontId="7" fillId="0" borderId="0"/>
    <xf numFmtId="210" fontId="7" fillId="0" borderId="0"/>
    <xf numFmtId="41" fontId="7" fillId="0" borderId="0" applyFont="0" applyFill="0" applyBorder="0" applyAlignment="0" applyProtection="0"/>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209" fontId="7" fillId="0" borderId="0" applyFont="0" applyFill="0" applyBorder="0" applyAlignment="0" applyProtection="0">
      <alignment horizontal="right"/>
    </xf>
    <xf numFmtId="210" fontId="7" fillId="0" borderId="0" applyFont="0" applyFill="0" applyBorder="0" applyAlignment="0" applyProtection="0">
      <alignment horizontal="right"/>
    </xf>
    <xf numFmtId="0" fontId="7" fillId="0" borderId="0" applyFont="0" applyFill="0" applyBorder="0" applyAlignment="0" applyProtection="0">
      <alignment horizontal="right"/>
    </xf>
    <xf numFmtId="210" fontId="7" fillId="0" borderId="0" applyFont="0" applyFill="0" applyBorder="0" applyAlignment="0" applyProtection="0">
      <alignment horizontal="right"/>
    </xf>
    <xf numFmtId="0" fontId="7" fillId="0" borderId="0" applyFont="0" applyFill="0" applyBorder="0" applyAlignment="0" applyProtection="0">
      <alignment horizontal="right"/>
    </xf>
    <xf numFmtId="209" fontId="7" fillId="0" borderId="0" applyFont="0" applyFill="0" applyBorder="0" applyAlignment="0" applyProtection="0">
      <alignment horizontal="right"/>
    </xf>
    <xf numFmtId="209"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210" fontId="7" fillId="0" borderId="0" applyFont="0" applyFill="0" applyBorder="0" applyAlignment="0" applyProtection="0">
      <alignment horizontal="right"/>
    </xf>
    <xf numFmtId="0" fontId="7" fillId="0" borderId="0" applyFont="0" applyFill="0" applyBorder="0" applyAlignment="0" applyProtection="0">
      <alignment horizontal="right"/>
    </xf>
    <xf numFmtId="21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209" fontId="7" fillId="0" borderId="0" applyFont="0" applyFill="0" applyBorder="0" applyAlignment="0" applyProtection="0">
      <alignment horizontal="right"/>
    </xf>
    <xf numFmtId="210" fontId="7" fillId="0" borderId="0" applyFont="0" applyFill="0" applyBorder="0" applyAlignment="0" applyProtection="0">
      <alignment horizontal="right"/>
    </xf>
    <xf numFmtId="0" fontId="7" fillId="0" borderId="0" applyFont="0" applyFill="0" applyBorder="0" applyAlignment="0" applyProtection="0">
      <alignment horizontal="right"/>
    </xf>
    <xf numFmtId="210" fontId="7" fillId="0" borderId="0" applyFont="0" applyFill="0" applyBorder="0" applyAlignment="0" applyProtection="0">
      <alignment horizontal="right"/>
    </xf>
    <xf numFmtId="0" fontId="7" fillId="0" borderId="0" applyFont="0" applyFill="0" applyBorder="0" applyAlignment="0" applyProtection="0">
      <alignment horizontal="right"/>
    </xf>
    <xf numFmtId="209" fontId="7" fillId="0" borderId="0" applyFont="0" applyFill="0" applyBorder="0" applyAlignment="0" applyProtection="0">
      <alignment horizontal="right"/>
    </xf>
    <xf numFmtId="209"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210" fontId="7" fillId="0" borderId="0" applyFont="0" applyFill="0" applyBorder="0" applyAlignment="0" applyProtection="0">
      <alignment horizontal="right"/>
    </xf>
    <xf numFmtId="0" fontId="7" fillId="0" borderId="0" applyFont="0" applyFill="0" applyBorder="0" applyAlignment="0" applyProtection="0">
      <alignment horizontal="right"/>
    </xf>
    <xf numFmtId="21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209" fontId="7" fillId="0" borderId="0" applyFont="0" applyFill="0" applyBorder="0" applyAlignment="0" applyProtection="0">
      <alignment horizontal="right"/>
    </xf>
    <xf numFmtId="209"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21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alignment horizontal="right"/>
    </xf>
    <xf numFmtId="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209" fontId="7" fillId="0" borderId="0" applyFont="0" applyFill="0" applyBorder="0" applyAlignment="0" applyProtection="0"/>
    <xf numFmtId="210" fontId="7" fillId="0" borderId="0" applyFont="0" applyFill="0" applyBorder="0" applyAlignment="0" applyProtection="0"/>
    <xf numFmtId="0" fontId="7" fillId="0" borderId="0" applyFont="0" applyFill="0" applyBorder="0" applyAlignment="0" applyProtection="0"/>
    <xf numFmtId="210" fontId="7" fillId="0" borderId="0" applyFont="0" applyFill="0" applyBorder="0" applyAlignment="0" applyProtection="0"/>
    <xf numFmtId="0"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210" fontId="7" fillId="0" borderId="0" applyFont="0" applyFill="0" applyBorder="0" applyAlignment="0" applyProtection="0"/>
    <xf numFmtId="0" fontId="7" fillId="0" borderId="0" applyFont="0" applyFill="0" applyBorder="0" applyAlignment="0" applyProtection="0"/>
    <xf numFmtId="21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209" fontId="7" fillId="0" borderId="0" applyFont="0" applyFill="0" applyBorder="0" applyAlignment="0" applyProtection="0"/>
    <xf numFmtId="210" fontId="7" fillId="0" borderId="0" applyFont="0" applyFill="0" applyBorder="0" applyAlignment="0" applyProtection="0"/>
    <xf numFmtId="0" fontId="7" fillId="0" borderId="0" applyFont="0" applyFill="0" applyBorder="0" applyAlignment="0" applyProtection="0"/>
    <xf numFmtId="210" fontId="7" fillId="0" borderId="0" applyFont="0" applyFill="0" applyBorder="0" applyAlignment="0" applyProtection="0"/>
    <xf numFmtId="0" fontId="7" fillId="0" borderId="0" applyFont="0" applyFill="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applyFont="0" applyFill="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applyFont="0" applyFill="0" applyBorder="0" applyAlignment="0" applyProtection="0"/>
    <xf numFmtId="0" fontId="40" fillId="0" borderId="0"/>
    <xf numFmtId="0" fontId="40" fillId="0" borderId="0"/>
    <xf numFmtId="0" fontId="40" fillId="0" borderId="0"/>
    <xf numFmtId="0" fontId="7" fillId="0" borderId="0" applyFont="0" applyFill="0" applyBorder="0" applyAlignment="0" applyProtection="0"/>
    <xf numFmtId="0" fontId="40" fillId="0" borderId="0"/>
    <xf numFmtId="0" fontId="40" fillId="0" borderId="0"/>
    <xf numFmtId="0" fontId="7" fillId="0" borderId="0" applyFont="0" applyFill="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164" fontId="40" fillId="0" borderId="0" applyFont="0" applyFill="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43" fontId="7" fillId="0" borderId="0" applyFont="0" applyFill="0" applyBorder="0" applyAlignment="0" applyProtection="0"/>
    <xf numFmtId="0" fontId="40" fillId="0" borderId="0"/>
    <xf numFmtId="0" fontId="40" fillId="0" borderId="0"/>
    <xf numFmtId="0" fontId="40" fillId="0" borderId="0"/>
    <xf numFmtId="43" fontId="40" fillId="0" borderId="0" applyFont="0" applyFill="0" applyBorder="0" applyAlignment="0" applyProtection="0"/>
    <xf numFmtId="0" fontId="40" fillId="0" borderId="0"/>
    <xf numFmtId="0" fontId="40" fillId="0" borderId="0"/>
    <xf numFmtId="0" fontId="40" fillId="0" borderId="0"/>
    <xf numFmtId="43" fontId="151" fillId="0" borderId="0" applyFont="0" applyFill="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43" fontId="151" fillId="0" borderId="0" applyFont="0" applyFill="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43" fontId="40" fillId="0" borderId="0" applyFont="0" applyFill="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43" fontId="151" fillId="0" borderId="0" applyFont="0" applyFill="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43" fontId="40" fillId="0" borderId="0" applyFont="0" applyFill="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52" fillId="0" borderId="0"/>
    <xf numFmtId="0" fontId="40" fillId="0" borderId="0"/>
    <xf numFmtId="0" fontId="40" fillId="0" borderId="0"/>
    <xf numFmtId="0" fontId="40" fillId="0" borderId="0"/>
    <xf numFmtId="0" fontId="153" fillId="0" borderId="0"/>
    <xf numFmtId="0" fontId="40" fillId="0" borderId="0"/>
    <xf numFmtId="3" fontId="34" fillId="0" borderId="0" applyFont="0" applyFill="0" applyBorder="0" applyAlignment="0" applyProtection="0"/>
    <xf numFmtId="0" fontId="40" fillId="0" borderId="0"/>
    <xf numFmtId="0" fontId="40" fillId="0" borderId="0"/>
    <xf numFmtId="0" fontId="40" fillId="0" borderId="0"/>
    <xf numFmtId="0" fontId="40" fillId="0" borderId="0"/>
    <xf numFmtId="0" fontId="152" fillId="0" borderId="0"/>
    <xf numFmtId="0" fontId="40" fillId="0" borderId="0"/>
    <xf numFmtId="0" fontId="40" fillId="0" borderId="0"/>
    <xf numFmtId="0" fontId="40" fillId="0" borderId="0"/>
    <xf numFmtId="0" fontId="153" fillId="0" borderId="0"/>
    <xf numFmtId="0" fontId="40" fillId="0" borderId="0"/>
    <xf numFmtId="0" fontId="40" fillId="0" borderId="0"/>
    <xf numFmtId="0" fontId="40" fillId="0" borderId="0"/>
    <xf numFmtId="0" fontId="63" fillId="0" borderId="0" applyFill="0" applyBorder="0" applyAlignment="0" applyProtection="0">
      <protection locked="0"/>
    </xf>
    <xf numFmtId="0" fontId="40" fillId="0" borderId="0"/>
    <xf numFmtId="0" fontId="40" fillId="0" borderId="0"/>
    <xf numFmtId="0" fontId="40" fillId="0" borderId="0"/>
    <xf numFmtId="0" fontId="40" fillId="0" borderId="0"/>
    <xf numFmtId="0" fontId="154" fillId="0" borderId="0" applyFill="0" applyBorder="0">
      <alignment horizontal="left"/>
    </xf>
    <xf numFmtId="0" fontId="40" fillId="0" borderId="0"/>
    <xf numFmtId="0" fontId="40" fillId="0" borderId="0"/>
    <xf numFmtId="0" fontId="40" fillId="0" borderId="0"/>
    <xf numFmtId="0" fontId="40" fillId="0" borderId="0"/>
    <xf numFmtId="0" fontId="153" fillId="0" borderId="82"/>
    <xf numFmtId="0" fontId="40" fillId="0" borderId="0"/>
    <xf numFmtId="0" fontId="40" fillId="0" borderId="0"/>
    <xf numFmtId="0" fontId="40" fillId="0" borderId="0"/>
    <xf numFmtId="0" fontId="40" fillId="0" borderId="0"/>
    <xf numFmtId="0" fontId="40" fillId="0" borderId="0"/>
    <xf numFmtId="44" fontId="7" fillId="0" borderId="0" applyFont="0" applyFill="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218" fontId="40" fillId="0" borderId="0" applyFont="0" applyFill="0" applyBorder="0" applyAlignment="0" applyProtection="0"/>
    <xf numFmtId="0" fontId="40" fillId="0" borderId="0"/>
    <xf numFmtId="0" fontId="40" fillId="0" borderId="0"/>
    <xf numFmtId="219" fontId="7" fillId="0" borderId="0" applyFont="0" applyFill="0" applyBorder="0" applyAlignment="0" applyProtection="0"/>
    <xf numFmtId="0" fontId="40" fillId="0" borderId="0"/>
    <xf numFmtId="0" fontId="40" fillId="0" borderId="0"/>
    <xf numFmtId="0" fontId="40" fillId="0" borderId="0"/>
    <xf numFmtId="0" fontId="40" fillId="0" borderId="0"/>
    <xf numFmtId="0" fontId="37" fillId="0" borderId="0" applyFont="0" applyFill="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55" fillId="0" borderId="0">
      <protection locked="0"/>
    </xf>
    <xf numFmtId="0" fontId="40" fillId="0" borderId="0"/>
    <xf numFmtId="0" fontId="40" fillId="0" borderId="0"/>
    <xf numFmtId="0" fontId="40" fillId="0" borderId="0"/>
    <xf numFmtId="0" fontId="40" fillId="0" borderId="0"/>
    <xf numFmtId="0" fontId="14" fillId="0" borderId="0"/>
    <xf numFmtId="0" fontId="40" fillId="0" borderId="0"/>
    <xf numFmtId="0" fontId="40" fillId="0" borderId="0"/>
    <xf numFmtId="0" fontId="40" fillId="0" borderId="0"/>
    <xf numFmtId="0" fontId="40" fillId="0" borderId="0"/>
    <xf numFmtId="0" fontId="156" fillId="0" borderId="0">
      <protection locked="0"/>
    </xf>
    <xf numFmtId="0" fontId="40" fillId="0" borderId="0"/>
    <xf numFmtId="0" fontId="40" fillId="0" borderId="0"/>
    <xf numFmtId="0" fontId="40" fillId="0" borderId="0"/>
    <xf numFmtId="0" fontId="156" fillId="0" borderId="0">
      <protection locked="0"/>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51" fillId="70" borderId="1" applyNumberFormat="0" applyAlignment="0" applyProtection="0"/>
    <xf numFmtId="0" fontId="40" fillId="0" borderId="0"/>
    <xf numFmtId="0" fontId="40" fillId="0" borderId="0"/>
    <xf numFmtId="210" fontId="51" fillId="70" borderId="1" applyNumberFormat="0" applyAlignment="0" applyProtection="0"/>
    <xf numFmtId="0" fontId="40" fillId="0" borderId="0"/>
    <xf numFmtId="0" fontId="40" fillId="0" borderId="0"/>
    <xf numFmtId="0" fontId="51" fillId="70" borderId="1" applyNumberFormat="0" applyAlignment="0" applyProtection="0"/>
    <xf numFmtId="0" fontId="40" fillId="0" borderId="0"/>
    <xf numFmtId="0" fontId="40" fillId="0" borderId="0"/>
    <xf numFmtId="0" fontId="51" fillId="70" borderId="1" applyNumberFormat="0" applyAlignment="0" applyProtection="0"/>
    <xf numFmtId="0" fontId="40" fillId="0" borderId="0"/>
    <xf numFmtId="0" fontId="40" fillId="0" borderId="0"/>
    <xf numFmtId="209" fontId="51" fillId="70" borderId="1" applyNumberFormat="0" applyAlignment="0" applyProtection="0"/>
    <xf numFmtId="0" fontId="40" fillId="0" borderId="0"/>
    <xf numFmtId="0" fontId="40" fillId="0" borderId="0"/>
    <xf numFmtId="0" fontId="51" fillId="2" borderId="1" applyNumberFormat="0" applyAlignment="0" applyProtection="0"/>
    <xf numFmtId="0" fontId="40" fillId="0" borderId="0"/>
    <xf numFmtId="0" fontId="40" fillId="0" borderId="0"/>
    <xf numFmtId="0" fontId="40" fillId="0" borderId="0"/>
    <xf numFmtId="0" fontId="40" fillId="0" borderId="0"/>
    <xf numFmtId="0" fontId="40" fillId="0" borderId="0"/>
    <xf numFmtId="209" fontId="51" fillId="70" borderId="1" applyNumberFormat="0" applyAlignment="0" applyProtection="0"/>
    <xf numFmtId="0" fontId="40" fillId="0" borderId="0"/>
    <xf numFmtId="0" fontId="40" fillId="0" borderId="0"/>
    <xf numFmtId="210" fontId="51" fillId="70" borderId="1" applyNumberFormat="0" applyAlignment="0" applyProtection="0"/>
    <xf numFmtId="0" fontId="40" fillId="0" borderId="0"/>
    <xf numFmtId="0" fontId="40" fillId="0" borderId="0"/>
    <xf numFmtId="0" fontId="51" fillId="2" borderId="1" applyNumberFormat="0" applyAlignment="0" applyProtection="0"/>
    <xf numFmtId="0" fontId="40" fillId="0" borderId="0"/>
    <xf numFmtId="0" fontId="40" fillId="0" borderId="0"/>
    <xf numFmtId="0" fontId="40" fillId="0" borderId="0"/>
    <xf numFmtId="0" fontId="40" fillId="0" borderId="0"/>
    <xf numFmtId="0" fontId="40" fillId="0" borderId="0"/>
    <xf numFmtId="209" fontId="51" fillId="70" borderId="1" applyNumberFormat="0" applyAlignment="0" applyProtection="0"/>
    <xf numFmtId="0" fontId="40" fillId="0" borderId="0"/>
    <xf numFmtId="0" fontId="40" fillId="0" borderId="0"/>
    <xf numFmtId="210" fontId="51" fillId="70" borderId="1" applyNumberFormat="0" applyAlignment="0" applyProtection="0"/>
    <xf numFmtId="0" fontId="40" fillId="0" borderId="0"/>
    <xf numFmtId="0" fontId="40" fillId="0" borderId="0"/>
    <xf numFmtId="0" fontId="51" fillId="2" borderId="1" applyNumberFormat="0" applyAlignment="0" applyProtection="0"/>
    <xf numFmtId="0" fontId="40" fillId="0" borderId="0"/>
    <xf numFmtId="0" fontId="40" fillId="0" borderId="0"/>
    <xf numFmtId="0" fontId="40" fillId="0" borderId="0"/>
    <xf numFmtId="0" fontId="40" fillId="0" borderId="0"/>
    <xf numFmtId="0" fontId="40" fillId="0" borderId="0"/>
    <xf numFmtId="209" fontId="51" fillId="70" borderId="1" applyNumberFormat="0" applyAlignment="0" applyProtection="0"/>
    <xf numFmtId="0" fontId="40" fillId="0" borderId="0"/>
    <xf numFmtId="0" fontId="40" fillId="0" borderId="0"/>
    <xf numFmtId="210" fontId="51" fillId="70" borderId="1" applyNumberFormat="0" applyAlignment="0" applyProtection="0"/>
    <xf numFmtId="0" fontId="40" fillId="0" borderId="0"/>
    <xf numFmtId="0" fontId="40" fillId="0" borderId="0"/>
    <xf numFmtId="0" fontId="51" fillId="2" borderId="1" applyNumberFormat="0" applyAlignment="0" applyProtection="0"/>
    <xf numFmtId="0" fontId="40" fillId="0" borderId="0"/>
    <xf numFmtId="0" fontId="40" fillId="0" borderId="0"/>
    <xf numFmtId="0" fontId="40" fillId="0" borderId="0"/>
    <xf numFmtId="0" fontId="40" fillId="0" borderId="0"/>
    <xf numFmtId="0" fontId="40" fillId="0" borderId="0"/>
    <xf numFmtId="209" fontId="51" fillId="70" borderId="1" applyNumberFormat="0" applyAlignment="0" applyProtection="0"/>
    <xf numFmtId="0" fontId="40" fillId="0" borderId="0"/>
    <xf numFmtId="0" fontId="40" fillId="0" borderId="0"/>
    <xf numFmtId="210" fontId="51" fillId="70" borderId="1" applyNumberFormat="0" applyAlignment="0" applyProtection="0"/>
    <xf numFmtId="0" fontId="40" fillId="0" borderId="0"/>
    <xf numFmtId="0" fontId="40" fillId="0" borderId="0"/>
    <xf numFmtId="0" fontId="51" fillId="2" borderId="1" applyNumberFormat="0" applyAlignment="0" applyProtection="0"/>
    <xf numFmtId="0" fontId="40" fillId="0" borderId="0"/>
    <xf numFmtId="0" fontId="40" fillId="0" borderId="0"/>
    <xf numFmtId="0" fontId="40" fillId="0" borderId="0"/>
    <xf numFmtId="0" fontId="40" fillId="0" borderId="0"/>
    <xf numFmtId="0" fontId="40" fillId="0" borderId="0"/>
    <xf numFmtId="209" fontId="51" fillId="70" borderId="1" applyNumberFormat="0" applyAlignment="0" applyProtection="0"/>
    <xf numFmtId="0" fontId="40" fillId="0" borderId="0"/>
    <xf numFmtId="0" fontId="40" fillId="0" borderId="0"/>
    <xf numFmtId="210" fontId="51" fillId="70" borderId="1" applyNumberFormat="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30" fillId="7" borderId="0" applyNumberFormat="0" applyFont="0" applyBorder="0" applyAlignment="0">
      <protection locked="0"/>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209" fontId="7" fillId="0" borderId="0" applyFont="0" applyFill="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6" fillId="0" borderId="0" applyNumberFormat="0" applyFill="0" applyBorder="0" applyAlignment="0" applyProtection="0"/>
    <xf numFmtId="0" fontId="40" fillId="0" borderId="0"/>
    <xf numFmtId="0" fontId="40" fillId="0" borderId="0"/>
    <xf numFmtId="0" fontId="40" fillId="0" borderId="0"/>
    <xf numFmtId="0" fontId="40" fillId="0" borderId="0"/>
    <xf numFmtId="0" fontId="40" fillId="0" borderId="0"/>
    <xf numFmtId="0" fontId="46" fillId="0" borderId="0" applyNumberFormat="0" applyFill="0" applyBorder="0" applyAlignment="0" applyProtection="0"/>
    <xf numFmtId="0" fontId="40" fillId="0" borderId="0"/>
    <xf numFmtId="0" fontId="40" fillId="0" borderId="0"/>
    <xf numFmtId="0" fontId="40" fillId="0" borderId="0"/>
    <xf numFmtId="0" fontId="136" fillId="0" borderId="0" applyNumberFormat="0" applyFill="0" applyBorder="0" applyAlignment="0" applyProtection="0"/>
    <xf numFmtId="0" fontId="40" fillId="0" borderId="0"/>
    <xf numFmtId="0" fontId="40" fillId="0" borderId="0"/>
    <xf numFmtId="0" fontId="40" fillId="0" borderId="0"/>
    <xf numFmtId="0" fontId="155" fillId="0" borderId="0">
      <protection locked="0"/>
    </xf>
    <xf numFmtId="0" fontId="40" fillId="0" borderId="0"/>
    <xf numFmtId="0" fontId="40" fillId="0" borderId="0"/>
    <xf numFmtId="0" fontId="40" fillId="0" borderId="0"/>
    <xf numFmtId="0" fontId="155" fillId="0" borderId="0">
      <protection locked="0"/>
    </xf>
    <xf numFmtId="0" fontId="40" fillId="0" borderId="0"/>
    <xf numFmtId="0" fontId="40" fillId="0" borderId="0"/>
    <xf numFmtId="0" fontId="40" fillId="0" borderId="0"/>
    <xf numFmtId="0" fontId="155" fillId="0" borderId="0">
      <protection locked="0"/>
    </xf>
    <xf numFmtId="0" fontId="40" fillId="0" borderId="0"/>
    <xf numFmtId="0" fontId="40" fillId="0" borderId="0"/>
    <xf numFmtId="0" fontId="40" fillId="0" borderId="0"/>
    <xf numFmtId="0" fontId="155" fillId="0" borderId="0">
      <protection locked="0"/>
    </xf>
    <xf numFmtId="0" fontId="40" fillId="0" borderId="0"/>
    <xf numFmtId="0" fontId="40" fillId="0" borderId="0"/>
    <xf numFmtId="0" fontId="40" fillId="0" borderId="0"/>
    <xf numFmtId="0" fontId="155" fillId="0" borderId="0">
      <protection locked="0"/>
    </xf>
    <xf numFmtId="0" fontId="40" fillId="0" borderId="0"/>
    <xf numFmtId="0" fontId="40" fillId="0" borderId="0"/>
    <xf numFmtId="0" fontId="40" fillId="0" borderId="0"/>
    <xf numFmtId="0" fontId="155" fillId="0" borderId="0">
      <protection locked="0"/>
    </xf>
    <xf numFmtId="0" fontId="40" fillId="0" borderId="0"/>
    <xf numFmtId="0" fontId="40" fillId="0" borderId="0"/>
    <xf numFmtId="0" fontId="40" fillId="0" borderId="0"/>
    <xf numFmtId="0" fontId="155" fillId="0" borderId="0">
      <protection locked="0"/>
    </xf>
    <xf numFmtId="0" fontId="40" fillId="0" borderId="0"/>
    <xf numFmtId="0" fontId="40" fillId="0" borderId="0"/>
    <xf numFmtId="0" fontId="40" fillId="0" borderId="0"/>
    <xf numFmtId="0" fontId="155" fillId="0" borderId="0">
      <protection locked="0"/>
    </xf>
    <xf numFmtId="0" fontId="40" fillId="0" borderId="0"/>
    <xf numFmtId="0" fontId="40" fillId="0" borderId="0"/>
    <xf numFmtId="0" fontId="40" fillId="0" borderId="0"/>
    <xf numFmtId="0" fontId="155" fillId="0" borderId="0">
      <protection locked="0"/>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129" fillId="34" borderId="0" applyNumberFormat="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7" fillId="14" borderId="0" applyNumberFormat="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38" fontId="11" fillId="19" borderId="0" applyNumberFormat="0" applyBorder="0" applyAlignment="0" applyProtection="0"/>
    <xf numFmtId="0" fontId="40" fillId="0" borderId="0"/>
    <xf numFmtId="0" fontId="40" fillId="0" borderId="0"/>
    <xf numFmtId="0" fontId="40" fillId="0" borderId="0"/>
    <xf numFmtId="0" fontId="40" fillId="0" borderId="0"/>
    <xf numFmtId="38" fontId="11" fillId="19" borderId="0" applyNumberFormat="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57" fillId="0" borderId="0" applyProtection="0">
      <alignment horizontal="right"/>
    </xf>
    <xf numFmtId="0" fontId="40" fillId="0" borderId="0"/>
    <xf numFmtId="0" fontId="40" fillId="0" borderId="0"/>
    <xf numFmtId="0" fontId="40" fillId="0" borderId="0"/>
    <xf numFmtId="0" fontId="40" fillId="0" borderId="0"/>
    <xf numFmtId="0" fontId="40" fillId="0" borderId="0"/>
    <xf numFmtId="0" fontId="23" fillId="0" borderId="11" applyNumberFormat="0" applyAlignment="0" applyProtection="0">
      <alignment horizontal="left" vertical="center"/>
    </xf>
    <xf numFmtId="0" fontId="40" fillId="0" borderId="0"/>
    <xf numFmtId="0" fontId="40" fillId="0" borderId="0"/>
    <xf numFmtId="0" fontId="40" fillId="0" borderId="0"/>
    <xf numFmtId="0" fontId="23" fillId="0" borderId="19">
      <alignment horizontal="left" vertical="center"/>
    </xf>
    <xf numFmtId="0" fontId="40" fillId="0" borderId="0"/>
    <xf numFmtId="0" fontId="40" fillId="0" borderId="0"/>
    <xf numFmtId="0" fontId="40" fillId="0" borderId="0"/>
    <xf numFmtId="0" fontId="23" fillId="0" borderId="19">
      <alignment horizontal="left" vertical="center"/>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58" fillId="0" borderId="83" applyNumberFormat="0" applyFill="0" applyAlignment="0" applyProtection="0"/>
    <xf numFmtId="0" fontId="40" fillId="0" borderId="0"/>
    <xf numFmtId="0" fontId="40" fillId="0" borderId="0"/>
    <xf numFmtId="0" fontId="40" fillId="0" borderId="0"/>
    <xf numFmtId="0" fontId="127" fillId="0" borderId="73" applyNumberFormat="0" applyFill="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59" fillId="0" borderId="4" applyNumberFormat="0" applyFill="0" applyAlignment="0" applyProtection="0"/>
    <xf numFmtId="0" fontId="40" fillId="0" borderId="0"/>
    <xf numFmtId="0" fontId="40" fillId="0" borderId="0"/>
    <xf numFmtId="0" fontId="40" fillId="0" borderId="0"/>
    <xf numFmtId="0" fontId="128" fillId="0" borderId="74" applyNumberFormat="0" applyFill="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60" fillId="0" borderId="84" applyNumberFormat="0" applyFill="0" applyAlignment="0" applyProtection="0"/>
    <xf numFmtId="0" fontId="40" fillId="0" borderId="0"/>
    <xf numFmtId="0" fontId="40" fillId="0" borderId="0"/>
    <xf numFmtId="0" fontId="40" fillId="0" borderId="0"/>
    <xf numFmtId="0" fontId="124" fillId="0" borderId="75" applyNumberFormat="0" applyFill="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60" fillId="0" borderId="0" applyNumberFormat="0" applyFill="0" applyBorder="0" applyAlignment="0" applyProtection="0"/>
    <xf numFmtId="0" fontId="40" fillId="0" borderId="0"/>
    <xf numFmtId="0" fontId="40" fillId="0" borderId="0"/>
    <xf numFmtId="0" fontId="40" fillId="0" borderId="0"/>
    <xf numFmtId="0" fontId="124" fillId="0" borderId="0" applyNumberFormat="0" applyFill="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22" fillId="0" borderId="0" applyFill="0" applyAlignment="0" applyProtection="0">
      <protection locked="0"/>
    </xf>
    <xf numFmtId="0" fontId="40" fillId="0" borderId="0"/>
    <xf numFmtId="0" fontId="40" fillId="0" borderId="0"/>
    <xf numFmtId="0" fontId="40" fillId="0" borderId="0"/>
    <xf numFmtId="0" fontId="122" fillId="0" borderId="15" applyFill="0" applyAlignment="0" applyProtection="0">
      <protection locked="0"/>
    </xf>
    <xf numFmtId="0" fontId="40" fillId="0" borderId="0"/>
    <xf numFmtId="0" fontId="40" fillId="0" borderId="0"/>
    <xf numFmtId="0" fontId="40" fillId="0" borderId="0"/>
    <xf numFmtId="0" fontId="40" fillId="0" borderId="0"/>
    <xf numFmtId="0" fontId="40" fillId="0" borderId="0"/>
    <xf numFmtId="0" fontId="9" fillId="0" borderId="0" applyNumberFormat="0" applyFill="0" applyBorder="0" applyAlignment="0" applyProtection="0">
      <alignment vertical="top"/>
      <protection locked="0"/>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0" fillId="0" borderId="0"/>
    <xf numFmtId="0" fontId="40" fillId="0" borderId="0"/>
    <xf numFmtId="0" fontId="40" fillId="0" borderId="0"/>
    <xf numFmtId="0" fontId="40" fillId="0" borderId="0"/>
    <xf numFmtId="0" fontId="40" fillId="0" borderId="0"/>
    <xf numFmtId="10" fontId="11" fillId="69" borderId="72" applyNumberFormat="0" applyBorder="0" applyAlignment="0" applyProtection="0"/>
    <xf numFmtId="0" fontId="40" fillId="0" borderId="0"/>
    <xf numFmtId="0" fontId="40" fillId="0" borderId="0"/>
    <xf numFmtId="10" fontId="11" fillId="69" borderId="72" applyNumberFormat="0" applyBorder="0" applyAlignment="0" applyProtection="0"/>
    <xf numFmtId="0" fontId="40" fillId="0" borderId="0"/>
    <xf numFmtId="0" fontId="40" fillId="0" borderId="0"/>
    <xf numFmtId="10" fontId="11" fillId="69" borderId="72" applyNumberFormat="0" applyBorder="0" applyAlignment="0" applyProtection="0"/>
    <xf numFmtId="0" fontId="40" fillId="0" borderId="0"/>
    <xf numFmtId="0" fontId="40" fillId="0" borderId="0"/>
    <xf numFmtId="10" fontId="11" fillId="69" borderId="72" applyNumberFormat="0" applyBorder="0" applyAlignment="0" applyProtection="0"/>
    <xf numFmtId="0" fontId="40" fillId="0" borderId="0"/>
    <xf numFmtId="0" fontId="40" fillId="0" borderId="0"/>
    <xf numFmtId="10" fontId="11" fillId="69" borderId="72" applyNumberFormat="0" applyBorder="0" applyAlignment="0" applyProtection="0"/>
    <xf numFmtId="0" fontId="40" fillId="0" borderId="0"/>
    <xf numFmtId="0" fontId="40" fillId="0" borderId="0"/>
    <xf numFmtId="10" fontId="11" fillId="69" borderId="72" applyNumberFormat="0" applyBorder="0" applyAlignment="0" applyProtection="0"/>
    <xf numFmtId="0" fontId="40" fillId="0" borderId="0"/>
    <xf numFmtId="0" fontId="40" fillId="0" borderId="0"/>
    <xf numFmtId="10" fontId="11" fillId="69" borderId="72" applyNumberFormat="0" applyBorder="0" applyAlignment="0" applyProtection="0"/>
    <xf numFmtId="0" fontId="40" fillId="0" borderId="0"/>
    <xf numFmtId="0" fontId="40" fillId="0" borderId="0"/>
    <xf numFmtId="10" fontId="11" fillId="69" borderId="72" applyNumberFormat="0" applyBorder="0" applyAlignment="0" applyProtection="0"/>
    <xf numFmtId="0" fontId="40" fillId="0" borderId="0"/>
    <xf numFmtId="0" fontId="40" fillId="0" borderId="0"/>
    <xf numFmtId="10" fontId="11" fillId="69" borderId="72" applyNumberFormat="0" applyBorder="0" applyAlignment="0" applyProtection="0"/>
    <xf numFmtId="0" fontId="40" fillId="0" borderId="0"/>
    <xf numFmtId="0" fontId="40" fillId="0" borderId="0"/>
    <xf numFmtId="10" fontId="11" fillId="69" borderId="72" applyNumberFormat="0" applyBorder="0" applyAlignment="0" applyProtection="0"/>
    <xf numFmtId="0" fontId="40" fillId="0" borderId="0"/>
    <xf numFmtId="0" fontId="40" fillId="0" borderId="0"/>
    <xf numFmtId="10" fontId="11" fillId="69" borderId="72" applyNumberFormat="0" applyBorder="0" applyAlignment="0" applyProtection="0"/>
    <xf numFmtId="10" fontId="11" fillId="15" borderId="72" applyNumberFormat="0" applyBorder="0" applyAlignment="0" applyProtection="0"/>
    <xf numFmtId="0" fontId="40" fillId="0" borderId="0"/>
    <xf numFmtId="0" fontId="40" fillId="0" borderId="0"/>
    <xf numFmtId="10" fontId="11" fillId="69" borderId="72" applyNumberFormat="0" applyBorder="0" applyAlignment="0" applyProtection="0"/>
    <xf numFmtId="0" fontId="40" fillId="0" borderId="0"/>
    <xf numFmtId="0" fontId="40" fillId="0" borderId="0"/>
    <xf numFmtId="10" fontId="11" fillId="69" borderId="72" applyNumberFormat="0" applyBorder="0" applyAlignment="0" applyProtection="0"/>
    <xf numFmtId="0" fontId="40" fillId="0" borderId="0"/>
    <xf numFmtId="0" fontId="40" fillId="0" borderId="0"/>
    <xf numFmtId="10" fontId="11" fillId="69" borderId="72" applyNumberFormat="0" applyBorder="0" applyAlignment="0" applyProtection="0"/>
    <xf numFmtId="0" fontId="40" fillId="0" borderId="0"/>
    <xf numFmtId="0" fontId="40" fillId="0" borderId="0"/>
    <xf numFmtId="10" fontId="11" fillId="69" borderId="72" applyNumberFormat="0" applyBorder="0" applyAlignment="0" applyProtection="0"/>
    <xf numFmtId="0" fontId="40" fillId="0" borderId="0"/>
    <xf numFmtId="10" fontId="11" fillId="69" borderId="72" applyNumberFormat="0" applyBorder="0" applyAlignment="0" applyProtection="0"/>
    <xf numFmtId="0" fontId="40" fillId="0" borderId="0"/>
    <xf numFmtId="0" fontId="40" fillId="0" borderId="0"/>
    <xf numFmtId="10" fontId="11" fillId="69" borderId="72" applyNumberFormat="0" applyBorder="0" applyAlignment="0" applyProtection="0"/>
    <xf numFmtId="0" fontId="40" fillId="0" borderId="0"/>
    <xf numFmtId="0" fontId="40" fillId="0" borderId="0"/>
    <xf numFmtId="10" fontId="11" fillId="69" borderId="72" applyNumberFormat="0" applyBorder="0" applyAlignment="0" applyProtection="0"/>
    <xf numFmtId="0" fontId="40" fillId="0" borderId="0"/>
    <xf numFmtId="0" fontId="40" fillId="0" borderId="0"/>
    <xf numFmtId="10" fontId="11" fillId="69" borderId="72" applyNumberFormat="0" applyBorder="0" applyAlignment="0" applyProtection="0"/>
    <xf numFmtId="0" fontId="40" fillId="0" borderId="0"/>
    <xf numFmtId="0" fontId="40" fillId="0" borderId="0"/>
    <xf numFmtId="10" fontId="11" fillId="69" borderId="72" applyNumberFormat="0" applyBorder="0" applyAlignment="0" applyProtection="0"/>
    <xf numFmtId="0" fontId="40" fillId="0" borderId="0"/>
    <xf numFmtId="0" fontId="40" fillId="0" borderId="0"/>
    <xf numFmtId="10" fontId="11" fillId="69" borderId="72" applyNumberFormat="0" applyBorder="0" applyAlignment="0" applyProtection="0"/>
    <xf numFmtId="0" fontId="40" fillId="0" borderId="0"/>
    <xf numFmtId="0" fontId="40" fillId="0" borderId="0"/>
    <xf numFmtId="10" fontId="11" fillId="69" borderId="72" applyNumberFormat="0" applyBorder="0" applyAlignment="0" applyProtection="0"/>
    <xf numFmtId="0" fontId="40" fillId="0" borderId="0"/>
    <xf numFmtId="0" fontId="40" fillId="0" borderId="0"/>
    <xf numFmtId="10" fontId="11" fillId="69" borderId="72" applyNumberFormat="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51" fillId="70" borderId="1" applyNumberFormat="0" applyAlignment="0" applyProtection="0"/>
    <xf numFmtId="0" fontId="40" fillId="0" borderId="0"/>
    <xf numFmtId="0" fontId="40" fillId="0" borderId="0"/>
    <xf numFmtId="0" fontId="51" fillId="70" borderId="1" applyNumberFormat="0" applyAlignment="0" applyProtection="0"/>
    <xf numFmtId="0" fontId="40" fillId="0" borderId="0"/>
    <xf numFmtId="0" fontId="40" fillId="0" borderId="0"/>
    <xf numFmtId="0" fontId="51" fillId="70" borderId="1" applyNumberFormat="0" applyAlignment="0" applyProtection="0"/>
    <xf numFmtId="0" fontId="40" fillId="0" borderId="0"/>
    <xf numFmtId="0" fontId="40" fillId="0" borderId="0"/>
    <xf numFmtId="0" fontId="51" fillId="70" borderId="1" applyNumberFormat="0" applyAlignment="0" applyProtection="0"/>
    <xf numFmtId="0" fontId="40" fillId="0" borderId="0"/>
    <xf numFmtId="0" fontId="40" fillId="0" borderId="0"/>
    <xf numFmtId="0" fontId="51" fillId="70" borderId="1" applyNumberFormat="0" applyAlignment="0" applyProtection="0"/>
    <xf numFmtId="0" fontId="40" fillId="0" borderId="0"/>
    <xf numFmtId="0" fontId="40" fillId="0" borderId="0"/>
    <xf numFmtId="0" fontId="51" fillId="70" borderId="1" applyNumberFormat="0" applyAlignment="0" applyProtection="0"/>
    <xf numFmtId="0" fontId="40" fillId="0" borderId="0"/>
    <xf numFmtId="0" fontId="40" fillId="0" borderId="0"/>
    <xf numFmtId="0" fontId="51" fillId="70" borderId="1" applyNumberFormat="0" applyAlignment="0" applyProtection="0"/>
    <xf numFmtId="0" fontId="40" fillId="0" borderId="0"/>
    <xf numFmtId="0" fontId="40" fillId="0" borderId="0"/>
    <xf numFmtId="0" fontId="51" fillId="70" borderId="1" applyNumberFormat="0" applyAlignment="0" applyProtection="0"/>
    <xf numFmtId="0" fontId="40" fillId="0" borderId="0"/>
    <xf numFmtId="0" fontId="40" fillId="0" borderId="0"/>
    <xf numFmtId="0" fontId="40" fillId="0" borderId="0"/>
    <xf numFmtId="0" fontId="40" fillId="0" borderId="0"/>
    <xf numFmtId="0" fontId="51" fillId="70" borderId="1" applyNumberFormat="0" applyAlignment="0" applyProtection="0"/>
    <xf numFmtId="0" fontId="40" fillId="0" borderId="0"/>
    <xf numFmtId="0" fontId="40" fillId="0" borderId="0"/>
    <xf numFmtId="0" fontId="51" fillId="70" borderId="1" applyNumberFormat="0" applyAlignment="0" applyProtection="0"/>
    <xf numFmtId="0" fontId="40" fillId="0" borderId="0"/>
    <xf numFmtId="0" fontId="40" fillId="0" borderId="0"/>
    <xf numFmtId="0" fontId="51" fillId="70" borderId="1" applyNumberFormat="0" applyAlignment="0" applyProtection="0"/>
    <xf numFmtId="0" fontId="40" fillId="0" borderId="0"/>
    <xf numFmtId="0" fontId="40" fillId="0" borderId="0"/>
    <xf numFmtId="0" fontId="51" fillId="70" borderId="1" applyNumberFormat="0" applyAlignment="0" applyProtection="0"/>
    <xf numFmtId="0" fontId="40" fillId="0" borderId="0"/>
    <xf numFmtId="0" fontId="40" fillId="0" borderId="0"/>
    <xf numFmtId="0" fontId="51" fillId="70" borderId="1" applyNumberFormat="0" applyAlignment="0" applyProtection="0"/>
    <xf numFmtId="0" fontId="40" fillId="0" borderId="0"/>
    <xf numFmtId="0" fontId="40" fillId="0" borderId="0"/>
    <xf numFmtId="0" fontId="51" fillId="70" borderId="1" applyNumberFormat="0" applyAlignment="0" applyProtection="0"/>
    <xf numFmtId="0" fontId="40" fillId="0" borderId="0"/>
    <xf numFmtId="0" fontId="40" fillId="0" borderId="0"/>
    <xf numFmtId="0" fontId="51" fillId="70" borderId="1" applyNumberFormat="0" applyAlignment="0" applyProtection="0"/>
    <xf numFmtId="0" fontId="40" fillId="0" borderId="0"/>
    <xf numFmtId="0" fontId="40" fillId="0" borderId="0"/>
    <xf numFmtId="0" fontId="51" fillId="70" borderId="1" applyNumberFormat="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51" fillId="70" borderId="1" applyNumberFormat="0" applyAlignment="0" applyProtection="0"/>
    <xf numFmtId="0" fontId="40" fillId="0" borderId="0"/>
    <xf numFmtId="0" fontId="40" fillId="0" borderId="0"/>
    <xf numFmtId="0" fontId="51" fillId="70" borderId="1" applyNumberFormat="0" applyAlignment="0" applyProtection="0"/>
    <xf numFmtId="0" fontId="40" fillId="0" borderId="0"/>
    <xf numFmtId="0" fontId="40" fillId="0" borderId="0"/>
    <xf numFmtId="0" fontId="51" fillId="70" borderId="1" applyNumberFormat="0" applyAlignment="0" applyProtection="0"/>
    <xf numFmtId="0" fontId="40" fillId="0" borderId="0"/>
    <xf numFmtId="0" fontId="40" fillId="0" borderId="0"/>
    <xf numFmtId="0" fontId="51" fillId="70" borderId="1" applyNumberFormat="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31" fillId="36" borderId="76" applyNumberFormat="0" applyAlignment="0" applyProtection="0"/>
    <xf numFmtId="0" fontId="40" fillId="0" borderId="0"/>
    <xf numFmtId="0" fontId="40" fillId="0" borderId="0"/>
    <xf numFmtId="0" fontId="40" fillId="0" borderId="0"/>
    <xf numFmtId="37" fontId="24" fillId="0" borderId="0" applyNumberFormat="0" applyFill="0" applyBorder="0" applyAlignment="0">
      <protection locked="0"/>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52" fillId="0" borderId="6" applyNumberFormat="0" applyFill="0" applyAlignment="0" applyProtection="0"/>
    <xf numFmtId="0" fontId="40" fillId="0" borderId="0"/>
    <xf numFmtId="0" fontId="40" fillId="0" borderId="0"/>
    <xf numFmtId="0" fontId="52" fillId="0" borderId="6" applyNumberFormat="0" applyFill="0" applyAlignment="0" applyProtection="0"/>
    <xf numFmtId="0" fontId="40" fillId="0" borderId="0"/>
    <xf numFmtId="0" fontId="40" fillId="0" borderId="0"/>
    <xf numFmtId="0" fontId="52" fillId="0" borderId="6" applyNumberFormat="0" applyFill="0" applyAlignment="0" applyProtection="0"/>
    <xf numFmtId="0" fontId="40" fillId="0" borderId="0"/>
    <xf numFmtId="0" fontId="40" fillId="0" borderId="0"/>
    <xf numFmtId="0" fontId="52" fillId="0" borderId="6" applyNumberFormat="0" applyFill="0" applyAlignment="0" applyProtection="0"/>
    <xf numFmtId="0" fontId="40" fillId="0" borderId="0"/>
    <xf numFmtId="0" fontId="40" fillId="0" borderId="0"/>
    <xf numFmtId="209" fontId="52" fillId="0" borderId="6" applyNumberFormat="0" applyFill="0" applyAlignment="0" applyProtection="0"/>
    <xf numFmtId="0" fontId="40" fillId="0" borderId="0"/>
    <xf numFmtId="0" fontId="40" fillId="0" borderId="0"/>
    <xf numFmtId="0" fontId="40" fillId="0" borderId="0"/>
    <xf numFmtId="0" fontId="40" fillId="0" borderId="0"/>
    <xf numFmtId="0" fontId="52" fillId="0" borderId="6" applyNumberFormat="0" applyFill="0" applyAlignment="0" applyProtection="0"/>
    <xf numFmtId="0" fontId="40" fillId="0" borderId="0"/>
    <xf numFmtId="0" fontId="40" fillId="0" borderId="0"/>
    <xf numFmtId="0" fontId="52" fillId="0" borderId="6" applyNumberFormat="0" applyFill="0" applyAlignment="0" applyProtection="0"/>
    <xf numFmtId="0" fontId="40" fillId="0" borderId="0"/>
    <xf numFmtId="0" fontId="40" fillId="0" borderId="0"/>
    <xf numFmtId="0" fontId="52" fillId="0" borderId="6" applyNumberFormat="0" applyFill="0" applyAlignment="0" applyProtection="0"/>
    <xf numFmtId="0" fontId="40" fillId="0" borderId="0"/>
    <xf numFmtId="0" fontId="40" fillId="0" borderId="0"/>
    <xf numFmtId="0" fontId="52" fillId="0" borderId="6" applyNumberFormat="0" applyFill="0" applyAlignment="0" applyProtection="0"/>
    <xf numFmtId="0" fontId="40" fillId="0" borderId="0"/>
    <xf numFmtId="0" fontId="40" fillId="0" borderId="0"/>
    <xf numFmtId="0" fontId="40" fillId="0" borderId="0"/>
    <xf numFmtId="0" fontId="40" fillId="0" borderId="0"/>
    <xf numFmtId="0" fontId="40" fillId="0" borderId="0"/>
    <xf numFmtId="210" fontId="52" fillId="0" borderId="6" applyNumberFormat="0" applyFill="0" applyAlignment="0" applyProtection="0"/>
    <xf numFmtId="0" fontId="40" fillId="0" borderId="0"/>
    <xf numFmtId="0" fontId="40" fillId="0" borderId="0"/>
    <xf numFmtId="0" fontId="40" fillId="0" borderId="0"/>
    <xf numFmtId="0" fontId="134" fillId="0" borderId="78" applyNumberFormat="0" applyFill="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36"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218" fontId="6" fillId="0" borderId="0" applyFont="0" applyFill="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30" fillId="35" borderId="0" applyNumberFormat="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46" fillId="0" borderId="0" applyNumberFormat="0" applyFill="0" applyAlignment="0" applyProtection="0"/>
    <xf numFmtId="0" fontId="40" fillId="0" borderId="0"/>
    <xf numFmtId="0" fontId="40" fillId="0" borderId="0"/>
    <xf numFmtId="0" fontId="40" fillId="0" borderId="0"/>
    <xf numFmtId="0" fontId="40" fillId="0" borderId="0"/>
    <xf numFmtId="0" fontId="116" fillId="0" borderId="0" applyNumberFormat="0" applyBorder="0" applyAlignment="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6"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6" fillId="0" borderId="0"/>
    <xf numFmtId="0" fontId="40" fillId="0" borderId="0"/>
    <xf numFmtId="0" fontId="40" fillId="0" borderId="0"/>
    <xf numFmtId="0" fontId="40" fillId="0" borderId="0"/>
    <xf numFmtId="0" fontId="6"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6" fillId="0" borderId="0"/>
    <xf numFmtId="0" fontId="6" fillId="0" borderId="0"/>
    <xf numFmtId="0" fontId="40" fillId="0" borderId="0"/>
    <xf numFmtId="0" fontId="6" fillId="0" borderId="0"/>
    <xf numFmtId="0" fontId="6" fillId="0" borderId="0"/>
    <xf numFmtId="0" fontId="6"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6"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9" borderId="7" applyNumberFormat="0" applyFont="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9" borderId="7" applyNumberFormat="0" applyFont="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9" borderId="7" applyNumberFormat="0" applyFont="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9" borderId="7" applyNumberFormat="0" applyFont="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9" borderId="7" applyNumberFormat="0" applyFont="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6" fillId="39" borderId="80" applyNumberFormat="0" applyFont="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220" fontId="146" fillId="0" borderId="0" applyFill="0" applyBorder="0" applyAlignment="0" applyProtection="0"/>
    <xf numFmtId="0" fontId="40" fillId="0" borderId="0"/>
    <xf numFmtId="0" fontId="40" fillId="0" borderId="0"/>
    <xf numFmtId="0" fontId="132" fillId="37" borderId="77" applyNumberFormat="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10" fontId="7" fillId="0" borderId="0" applyFont="0" applyFill="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9" fontId="6" fillId="0" borderId="0" applyFont="0" applyFill="0" applyBorder="0" applyAlignment="0" applyProtection="0"/>
    <xf numFmtId="0" fontId="40" fillId="0" borderId="0"/>
    <xf numFmtId="0" fontId="40" fillId="0" borderId="0"/>
    <xf numFmtId="9" fontId="7" fillId="0" borderId="0" applyFont="0" applyFill="0" applyBorder="0" applyAlignment="0" applyProtection="0"/>
    <xf numFmtId="0" fontId="40" fillId="0" borderId="0"/>
    <xf numFmtId="0" fontId="40" fillId="0" borderId="0"/>
    <xf numFmtId="0" fontId="40" fillId="0" borderId="0"/>
    <xf numFmtId="0" fontId="40" fillId="0" borderId="0"/>
    <xf numFmtId="0" fontId="40" fillId="0" borderId="0"/>
    <xf numFmtId="9" fontId="7" fillId="0" borderId="0" applyFont="0" applyFill="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19" fillId="0" borderId="9">
      <alignment horizontal="centerContinuous"/>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19" fillId="0" borderId="9">
      <alignment horizontal="centerContinuous"/>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19" fillId="0" borderId="9">
      <alignment horizontal="centerContinuous"/>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19" fillId="0" borderId="9">
      <alignment horizontal="centerContinuous"/>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19" fillId="0" borderId="9">
      <alignment horizontal="centerContinuous"/>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19" fillId="0" borderId="9">
      <alignment horizontal="centerContinuous"/>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19" fillId="0" borderId="9">
      <alignment horizontal="centerContinuous"/>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19" fillId="0" borderId="9">
      <alignment horizontal="centerContinuous"/>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19" fillId="0" borderId="9">
      <alignment horizontal="centerContinuous"/>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19" fillId="0" borderId="9">
      <alignment horizontal="centerContinuous"/>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19" fillId="0" borderId="9">
      <alignment horizontal="centerContinuous"/>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119" fillId="0" borderId="9">
      <alignment horizontal="centerContinuous"/>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4" fontId="113" fillId="16" borderId="8" applyNumberFormat="0" applyProtection="0">
      <alignment vertical="center"/>
    </xf>
    <xf numFmtId="0" fontId="40" fillId="0" borderId="0"/>
    <xf numFmtId="0" fontId="40" fillId="0" borderId="0"/>
    <xf numFmtId="0" fontId="40" fillId="0" borderId="0"/>
    <xf numFmtId="0" fontId="40" fillId="0" borderId="0"/>
    <xf numFmtId="0" fontId="40" fillId="0" borderId="0"/>
    <xf numFmtId="0" fontId="40" fillId="0" borderId="0"/>
    <xf numFmtId="4" fontId="161" fillId="16" borderId="8" applyNumberFormat="0" applyProtection="0">
      <alignment vertical="center"/>
    </xf>
    <xf numFmtId="0" fontId="40" fillId="0" borderId="0"/>
    <xf numFmtId="0" fontId="40" fillId="0" borderId="0"/>
    <xf numFmtId="0" fontId="40" fillId="0" borderId="0"/>
    <xf numFmtId="0" fontId="40" fillId="0" borderId="0"/>
    <xf numFmtId="0" fontId="40" fillId="0" borderId="0"/>
    <xf numFmtId="0" fontId="40" fillId="0" borderId="0"/>
    <xf numFmtId="4" fontId="113" fillId="16" borderId="8" applyNumberFormat="0" applyProtection="0">
      <alignment horizontal="left" vertical="center" indent="1"/>
    </xf>
    <xf numFmtId="0" fontId="40" fillId="0" borderId="0"/>
    <xf numFmtId="0" fontId="40" fillId="0" borderId="0"/>
    <xf numFmtId="0" fontId="40" fillId="0" borderId="0"/>
    <xf numFmtId="0" fontId="40" fillId="0" borderId="0"/>
    <xf numFmtId="0" fontId="40" fillId="0" borderId="0"/>
    <xf numFmtId="0" fontId="40" fillId="0" borderId="0"/>
    <xf numFmtId="4" fontId="113" fillId="16" borderId="8" applyNumberFormat="0" applyProtection="0">
      <alignment horizontal="left" vertical="center" indent="1"/>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6" fillId="94" borderId="8" applyNumberFormat="0" applyProtection="0">
      <alignment horizontal="left" vertical="center" indent="1"/>
    </xf>
    <xf numFmtId="0" fontId="40" fillId="0" borderId="0"/>
    <xf numFmtId="0" fontId="40" fillId="0" borderId="0"/>
    <xf numFmtId="0" fontId="40" fillId="0" borderId="0"/>
    <xf numFmtId="0" fontId="40" fillId="0" borderId="0"/>
    <xf numFmtId="0" fontId="40" fillId="0" borderId="0"/>
    <xf numFmtId="0" fontId="40" fillId="0" borderId="0"/>
    <xf numFmtId="4" fontId="113" fillId="68" borderId="8" applyNumberFormat="0" applyProtection="0">
      <alignment horizontal="right" vertical="center"/>
    </xf>
    <xf numFmtId="0" fontId="40" fillId="0" borderId="0"/>
    <xf numFmtId="0" fontId="40" fillId="0" borderId="0"/>
    <xf numFmtId="0" fontId="40" fillId="0" borderId="0"/>
    <xf numFmtId="0" fontId="40" fillId="0" borderId="0"/>
    <xf numFmtId="0" fontId="40" fillId="0" borderId="0"/>
    <xf numFmtId="0" fontId="40" fillId="0" borderId="0"/>
    <xf numFmtId="4" fontId="113" fillId="67" borderId="8" applyNumberFormat="0" applyProtection="0">
      <alignment horizontal="right" vertical="center"/>
    </xf>
    <xf numFmtId="0" fontId="40" fillId="0" borderId="0"/>
    <xf numFmtId="0" fontId="40" fillId="0" borderId="0"/>
    <xf numFmtId="0" fontId="40" fillId="0" borderId="0"/>
    <xf numFmtId="0" fontId="40" fillId="0" borderId="0"/>
    <xf numFmtId="0" fontId="40" fillId="0" borderId="0"/>
    <xf numFmtId="0" fontId="40" fillId="0" borderId="0"/>
    <xf numFmtId="4" fontId="113" fillId="89" borderId="8" applyNumberFormat="0" applyProtection="0">
      <alignment horizontal="right" vertical="center"/>
    </xf>
    <xf numFmtId="0" fontId="40" fillId="0" borderId="0"/>
    <xf numFmtId="0" fontId="40" fillId="0" borderId="0"/>
    <xf numFmtId="0" fontId="40" fillId="0" borderId="0"/>
    <xf numFmtId="0" fontId="40" fillId="0" borderId="0"/>
    <xf numFmtId="0" fontId="40" fillId="0" borderId="0"/>
    <xf numFmtId="0" fontId="40" fillId="0" borderId="0"/>
    <xf numFmtId="4" fontId="113" fillId="77" borderId="8" applyNumberFormat="0" applyProtection="0">
      <alignment horizontal="right" vertical="center"/>
    </xf>
    <xf numFmtId="0" fontId="40" fillId="0" borderId="0"/>
    <xf numFmtId="0" fontId="40" fillId="0" borderId="0"/>
    <xf numFmtId="0" fontId="40" fillId="0" borderId="0"/>
    <xf numFmtId="0" fontId="40" fillId="0" borderId="0"/>
    <xf numFmtId="0" fontId="40" fillId="0" borderId="0"/>
    <xf numFmtId="0" fontId="40" fillId="0" borderId="0"/>
    <xf numFmtId="4" fontId="113" fillId="30" borderId="8" applyNumberFormat="0" applyProtection="0">
      <alignment horizontal="right" vertical="center"/>
    </xf>
    <xf numFmtId="0" fontId="40" fillId="0" borderId="0"/>
    <xf numFmtId="0" fontId="40" fillId="0" borderId="0"/>
    <xf numFmtId="0" fontId="40" fillId="0" borderId="0"/>
    <xf numFmtId="0" fontId="40" fillId="0" borderId="0"/>
    <xf numFmtId="0" fontId="40" fillId="0" borderId="0"/>
    <xf numFmtId="0" fontId="40" fillId="0" borderId="0"/>
    <xf numFmtId="4" fontId="113" fillId="31" borderId="8" applyNumberFormat="0" applyProtection="0">
      <alignment horizontal="right" vertical="center"/>
    </xf>
    <xf numFmtId="0" fontId="40" fillId="0" borderId="0"/>
    <xf numFmtId="0" fontId="40" fillId="0" borderId="0"/>
    <xf numFmtId="0" fontId="40" fillId="0" borderId="0"/>
    <xf numFmtId="0" fontId="40" fillId="0" borderId="0"/>
    <xf numFmtId="0" fontId="40" fillId="0" borderId="0"/>
    <xf numFmtId="0" fontId="40" fillId="0" borderId="0"/>
    <xf numFmtId="4" fontId="113" fillId="91" borderId="8" applyNumberFormat="0" applyProtection="0">
      <alignment horizontal="right" vertical="center"/>
    </xf>
    <xf numFmtId="0" fontId="40" fillId="0" borderId="0"/>
    <xf numFmtId="0" fontId="40" fillId="0" borderId="0"/>
    <xf numFmtId="0" fontId="40" fillId="0" borderId="0"/>
    <xf numFmtId="0" fontId="40" fillId="0" borderId="0"/>
    <xf numFmtId="0" fontId="40" fillId="0" borderId="0"/>
    <xf numFmtId="0" fontId="40" fillId="0" borderId="0"/>
    <xf numFmtId="4" fontId="113" fillId="95" borderId="8" applyNumberFormat="0" applyProtection="0">
      <alignment horizontal="right" vertical="center"/>
    </xf>
    <xf numFmtId="0" fontId="40" fillId="0" borderId="0"/>
    <xf numFmtId="0" fontId="40" fillId="0" borderId="0"/>
    <xf numFmtId="0" fontId="40" fillId="0" borderId="0"/>
    <xf numFmtId="0" fontId="40" fillId="0" borderId="0"/>
    <xf numFmtId="0" fontId="40" fillId="0" borderId="0"/>
    <xf numFmtId="0" fontId="40" fillId="0" borderId="0"/>
    <xf numFmtId="4" fontId="113" fillId="75" borderId="8" applyNumberFormat="0" applyProtection="0">
      <alignment horizontal="right" vertical="center"/>
    </xf>
    <xf numFmtId="0" fontId="40" fillId="0" borderId="0"/>
    <xf numFmtId="0" fontId="40" fillId="0" borderId="0"/>
    <xf numFmtId="0" fontId="40" fillId="0" borderId="0"/>
    <xf numFmtId="0" fontId="40" fillId="0" borderId="0"/>
    <xf numFmtId="0" fontId="40" fillId="0" borderId="0"/>
    <xf numFmtId="0" fontId="40" fillId="0" borderId="0"/>
    <xf numFmtId="4" fontId="121" fillId="96" borderId="8" applyNumberFormat="0" applyProtection="0">
      <alignment horizontal="left" vertical="center" indent="1"/>
    </xf>
    <xf numFmtId="0" fontId="40" fillId="0" borderId="0"/>
    <xf numFmtId="0" fontId="40" fillId="0" borderId="0"/>
    <xf numFmtId="0" fontId="40" fillId="0" borderId="0"/>
    <xf numFmtId="0" fontId="40" fillId="0" borderId="0"/>
    <xf numFmtId="0" fontId="40" fillId="0" borderId="0"/>
    <xf numFmtId="0" fontId="40" fillId="0" borderId="0"/>
    <xf numFmtId="4" fontId="113" fillId="97" borderId="85" applyNumberFormat="0" applyProtection="0">
      <alignment horizontal="left" vertical="center" indent="1"/>
    </xf>
    <xf numFmtId="0" fontId="40" fillId="0" borderId="0"/>
    <xf numFmtId="0" fontId="40" fillId="0" borderId="0"/>
    <xf numFmtId="0" fontId="40" fillId="0" borderId="0"/>
    <xf numFmtId="0" fontId="40" fillId="0" borderId="0"/>
    <xf numFmtId="0" fontId="40" fillId="0" borderId="0"/>
    <xf numFmtId="0" fontId="40" fillId="0" borderId="0"/>
    <xf numFmtId="4" fontId="140" fillId="93" borderId="0" applyNumberFormat="0" applyProtection="0">
      <alignment horizontal="left" vertical="center" indent="1"/>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6" fillId="94" borderId="8" applyNumberFormat="0" applyProtection="0">
      <alignment horizontal="left" vertical="center" indent="1"/>
    </xf>
    <xf numFmtId="0" fontId="40" fillId="0" borderId="0"/>
    <xf numFmtId="0" fontId="40" fillId="0" borderId="0"/>
    <xf numFmtId="0" fontId="40" fillId="0" borderId="0"/>
    <xf numFmtId="0" fontId="40" fillId="0" borderId="0"/>
    <xf numFmtId="4" fontId="113" fillId="97" borderId="8" applyNumberFormat="0" applyProtection="0">
      <alignment horizontal="left" vertical="center" indent="1"/>
    </xf>
    <xf numFmtId="0" fontId="40" fillId="0" borderId="0"/>
    <xf numFmtId="0" fontId="40" fillId="0" borderId="0"/>
    <xf numFmtId="0" fontId="40" fillId="0" borderId="0"/>
    <xf numFmtId="0" fontId="40" fillId="0" borderId="0"/>
    <xf numFmtId="0" fontId="40" fillId="0" borderId="0"/>
    <xf numFmtId="4" fontId="113" fillId="97" borderId="8" applyNumberFormat="0" applyProtection="0">
      <alignment horizontal="left" vertical="center" indent="1"/>
    </xf>
    <xf numFmtId="0" fontId="40" fillId="0" borderId="0"/>
    <xf numFmtId="0" fontId="40" fillId="0" borderId="0"/>
    <xf numFmtId="0" fontId="40" fillId="0" borderId="0"/>
    <xf numFmtId="0" fontId="40" fillId="0" borderId="0"/>
    <xf numFmtId="4" fontId="113" fillId="29" borderId="8" applyNumberFormat="0" applyProtection="0">
      <alignment horizontal="left" vertical="center" indent="1"/>
    </xf>
    <xf numFmtId="0" fontId="40" fillId="0" borderId="0"/>
    <xf numFmtId="0" fontId="40" fillId="0" borderId="0"/>
    <xf numFmtId="0" fontId="40" fillId="0" borderId="0"/>
    <xf numFmtId="0" fontId="40" fillId="0" borderId="0"/>
    <xf numFmtId="0" fontId="40" fillId="0" borderId="0"/>
    <xf numFmtId="4" fontId="113" fillId="29" borderId="8" applyNumberFormat="0" applyProtection="0">
      <alignment horizontal="left" vertical="center" indent="1"/>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29" borderId="8" applyNumberFormat="0" applyProtection="0">
      <alignment horizontal="left" vertical="center" indent="1"/>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29" borderId="8" applyNumberFormat="0" applyProtection="0">
      <alignment horizontal="left" vertical="center" indent="1"/>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18" borderId="8" applyNumberFormat="0" applyProtection="0">
      <alignment horizontal="left" vertical="center" indent="1"/>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18" borderId="8" applyNumberFormat="0" applyProtection="0">
      <alignment horizontal="left" vertical="center" indent="1"/>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19" borderId="8" applyNumberFormat="0" applyProtection="0">
      <alignment horizontal="left" vertical="center" indent="1"/>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19" borderId="8" applyNumberFormat="0" applyProtection="0">
      <alignment horizontal="left" vertical="center" indent="1"/>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19" borderId="8" applyNumberFormat="0" applyProtection="0">
      <alignment horizontal="left" vertical="center" indent="1"/>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66" borderId="8" applyNumberFormat="0" applyProtection="0">
      <alignment horizontal="left" vertical="center" indent="1"/>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66" borderId="8" applyNumberFormat="0" applyProtection="0">
      <alignment horizontal="left" vertical="center" indent="1"/>
    </xf>
    <xf numFmtId="0" fontId="40" fillId="0" borderId="0"/>
    <xf numFmtId="0" fontId="40" fillId="0" borderId="0"/>
    <xf numFmtId="0" fontId="40" fillId="0" borderId="0"/>
    <xf numFmtId="0" fontId="40" fillId="0" borderId="0"/>
    <xf numFmtId="0" fontId="40" fillId="0" borderId="0"/>
    <xf numFmtId="0" fontId="40" fillId="0" borderId="0"/>
    <xf numFmtId="4" fontId="113" fillId="69" borderId="8" applyNumberFormat="0" applyProtection="0">
      <alignment vertical="center"/>
    </xf>
    <xf numFmtId="0" fontId="40" fillId="0" borderId="0"/>
    <xf numFmtId="0" fontId="40" fillId="0" borderId="0"/>
    <xf numFmtId="0" fontId="40" fillId="0" borderId="0"/>
    <xf numFmtId="0" fontId="40" fillId="0" borderId="0"/>
    <xf numFmtId="0" fontId="40" fillId="0" borderId="0"/>
    <xf numFmtId="0" fontId="40" fillId="0" borderId="0"/>
    <xf numFmtId="4" fontId="161" fillId="69" borderId="8" applyNumberFormat="0" applyProtection="0">
      <alignment vertical="center"/>
    </xf>
    <xf numFmtId="0" fontId="40" fillId="0" borderId="0"/>
    <xf numFmtId="0" fontId="40" fillId="0" borderId="0"/>
    <xf numFmtId="0" fontId="40" fillId="0" borderId="0"/>
    <xf numFmtId="0" fontId="40" fillId="0" borderId="0"/>
    <xf numFmtId="0" fontId="40" fillId="0" borderId="0"/>
    <xf numFmtId="0" fontId="40" fillId="0" borderId="0"/>
    <xf numFmtId="4" fontId="113" fillId="69" borderId="8" applyNumberFormat="0" applyProtection="0">
      <alignment horizontal="left" vertical="center" indent="1"/>
    </xf>
    <xf numFmtId="0" fontId="40" fillId="0" borderId="0"/>
    <xf numFmtId="0" fontId="40" fillId="0" borderId="0"/>
    <xf numFmtId="0" fontId="40" fillId="0" borderId="0"/>
    <xf numFmtId="0" fontId="40" fillId="0" borderId="0"/>
    <xf numFmtId="0" fontId="40" fillId="0" borderId="0"/>
    <xf numFmtId="0" fontId="40" fillId="0" borderId="0"/>
    <xf numFmtId="4" fontId="113" fillId="69" borderId="8" applyNumberFormat="0" applyProtection="0">
      <alignment horizontal="left" vertical="center" indent="1"/>
    </xf>
    <xf numFmtId="0" fontId="40" fillId="0" borderId="0"/>
    <xf numFmtId="0" fontId="40" fillId="0" borderId="0"/>
    <xf numFmtId="0" fontId="40" fillId="0" borderId="0"/>
    <xf numFmtId="0" fontId="40" fillId="0" borderId="0"/>
    <xf numFmtId="0" fontId="40" fillId="0" borderId="0"/>
    <xf numFmtId="0" fontId="40" fillId="0" borderId="0"/>
    <xf numFmtId="4" fontId="113" fillId="97" borderId="8" applyNumberFormat="0" applyProtection="0">
      <alignment horizontal="right" vertical="center"/>
    </xf>
    <xf numFmtId="0" fontId="40" fillId="0" borderId="0"/>
    <xf numFmtId="0" fontId="40" fillId="0" borderId="0"/>
    <xf numFmtId="0" fontId="40" fillId="0" borderId="0"/>
    <xf numFmtId="0" fontId="40" fillId="0" borderId="0"/>
    <xf numFmtId="0" fontId="40" fillId="0" borderId="0"/>
    <xf numFmtId="0" fontId="40" fillId="0" borderId="0"/>
    <xf numFmtId="4" fontId="161" fillId="97" borderId="8" applyNumberFormat="0" applyProtection="0">
      <alignment horizontal="right" vertical="center"/>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66" borderId="8" applyNumberFormat="0" applyProtection="0">
      <alignment horizontal="left" vertical="center" indent="1"/>
    </xf>
    <xf numFmtId="0" fontId="40" fillId="0" borderId="0"/>
    <xf numFmtId="0" fontId="40" fillId="0" borderId="0"/>
    <xf numFmtId="0" fontId="40" fillId="0" borderId="0"/>
    <xf numFmtId="0" fontId="40" fillId="0" borderId="0"/>
    <xf numFmtId="0" fontId="40" fillId="0" borderId="0"/>
    <xf numFmtId="0" fontId="40" fillId="0" borderId="0"/>
    <xf numFmtId="0" fontId="16" fillId="94" borderId="8" applyNumberFormat="0" applyProtection="0">
      <alignment horizontal="left" vertical="center" indent="1"/>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62"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4" fontId="25" fillId="97" borderId="8" applyNumberFormat="0" applyProtection="0">
      <alignment horizontal="right" vertical="center"/>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38" fontId="116" fillId="0" borderId="0" applyFont="0" applyFill="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164" fontId="7" fillId="0" borderId="0" applyFont="0" applyFill="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164" fontId="7" fillId="0" borderId="0" applyFont="0" applyFill="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164" fontId="40" fillId="0" borderId="0" applyFont="0" applyFill="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43" fontId="6" fillId="0" borderId="0" applyFont="0" applyFill="0" applyBorder="0" applyAlignment="0" applyProtection="0"/>
    <xf numFmtId="0" fontId="40" fillId="0" borderId="0"/>
    <xf numFmtId="164" fontId="6" fillId="0" borderId="0" applyFont="0" applyFill="0" applyBorder="0" applyAlignment="0" applyProtection="0"/>
    <xf numFmtId="0" fontId="40" fillId="0" borderId="0"/>
    <xf numFmtId="164" fontId="6" fillId="0" borderId="0" applyFont="0" applyFill="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164" fontId="6" fillId="0" borderId="0" applyFont="0" applyFill="0" applyBorder="0" applyAlignment="0" applyProtection="0"/>
    <xf numFmtId="0" fontId="40" fillId="0" borderId="0"/>
    <xf numFmtId="0" fontId="40" fillId="0" borderId="0"/>
    <xf numFmtId="164" fontId="6" fillId="0" borderId="0" applyFont="0" applyFill="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164" fontId="7" fillId="0" borderId="0" applyFont="0" applyFill="0" applyBorder="0" applyAlignment="0" applyProtection="0"/>
    <xf numFmtId="0" fontId="40" fillId="0" borderId="0"/>
    <xf numFmtId="0" fontId="40" fillId="0" borderId="0"/>
    <xf numFmtId="0" fontId="40" fillId="0" borderId="0"/>
    <xf numFmtId="0" fontId="40" fillId="0" borderId="0"/>
    <xf numFmtId="0" fontId="40" fillId="0" borderId="0"/>
    <xf numFmtId="164" fontId="7" fillId="0" borderId="0" applyFont="0" applyFill="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46" fillId="0" borderId="15" applyNumberFormat="0" applyFill="0" applyAlignment="0" applyProtection="0"/>
    <xf numFmtId="0" fontId="40" fillId="0" borderId="0"/>
    <xf numFmtId="0" fontId="40" fillId="0" borderId="0"/>
    <xf numFmtId="0" fontId="40" fillId="0" borderId="0"/>
    <xf numFmtId="0" fontId="146" fillId="0" borderId="15" applyNumberFormat="0" applyFill="0" applyAlignment="0" applyProtection="0"/>
    <xf numFmtId="0" fontId="40" fillId="0" borderId="0"/>
    <xf numFmtId="0" fontId="40" fillId="0" borderId="0"/>
    <xf numFmtId="0" fontId="40" fillId="0" borderId="0"/>
    <xf numFmtId="0" fontId="40" fillId="0" borderId="0"/>
    <xf numFmtId="0" fontId="40" fillId="0" borderId="0"/>
    <xf numFmtId="0" fontId="146" fillId="0" borderId="15" applyNumberFormat="0" applyFill="0" applyAlignment="0" applyProtection="0"/>
    <xf numFmtId="0" fontId="40" fillId="0" borderId="0"/>
    <xf numFmtId="0" fontId="40" fillId="0" borderId="0"/>
    <xf numFmtId="0" fontId="40" fillId="0" borderId="0"/>
    <xf numFmtId="0" fontId="120" fillId="0" borderId="9"/>
    <xf numFmtId="0" fontId="40" fillId="0" borderId="0"/>
    <xf numFmtId="0" fontId="40" fillId="0" borderId="0"/>
    <xf numFmtId="0" fontId="40" fillId="0" borderId="0"/>
    <xf numFmtId="0" fontId="120" fillId="0" borderId="9"/>
    <xf numFmtId="0" fontId="40" fillId="0" borderId="0"/>
    <xf numFmtId="0" fontId="40" fillId="0" borderId="0"/>
    <xf numFmtId="0" fontId="40" fillId="0" borderId="0"/>
    <xf numFmtId="0" fontId="40" fillId="0" borderId="0"/>
    <xf numFmtId="0" fontId="7"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63" fillId="0" borderId="0" applyBorder="0" applyProtection="0">
      <alignment vertical="center"/>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15" applyBorder="0" applyProtection="0">
      <alignment horizontal="right" vertical="center"/>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15" applyBorder="0" applyProtection="0">
      <alignment horizontal="right" vertical="center"/>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 fillId="0" borderId="15" applyBorder="0" applyProtection="0">
      <alignment horizontal="right" vertical="center"/>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64" fillId="0" borderId="0" applyFill="0" applyBorder="0" applyProtection="0">
      <alignment horizontal="left"/>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26" fillId="0" borderId="0" applyNumberFormat="0" applyFill="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164" fontId="6" fillId="0" borderId="0" applyFont="0" applyFill="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125" fillId="0" borderId="0" applyNumberFormat="0" applyFill="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164" fontId="6" fillId="0" borderId="0" applyFont="0" applyFill="0" applyBorder="0" applyAlignment="0" applyProtection="0"/>
    <xf numFmtId="9" fontId="6" fillId="0" borderId="0" applyFon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7" fillId="0" borderId="0"/>
    <xf numFmtId="0" fontId="7" fillId="0" borderId="0" applyNumberFormat="0" applyFill="0" applyBorder="0" applyAlignment="0" applyProtection="0"/>
    <xf numFmtId="0" fontId="7" fillId="0" borderId="0" applyNumberFormat="0" applyFill="0" applyBorder="0" applyAlignment="0" applyProtection="0"/>
    <xf numFmtId="0" fontId="7" fillId="0" borderId="0"/>
    <xf numFmtId="0" fontId="7" fillId="0" borderId="0"/>
    <xf numFmtId="43" fontId="7" fillId="0" borderId="0" applyFont="0" applyFill="0" applyBorder="0" applyAlignment="0" applyProtection="0"/>
    <xf numFmtId="43" fontId="6" fillId="0" borderId="0" applyFont="0" applyFill="0" applyBorder="0" applyAlignment="0" applyProtection="0"/>
    <xf numFmtId="44" fontId="7" fillId="0" borderId="0" applyFont="0" applyFill="0" applyBorder="0" applyAlignment="0" applyProtection="0"/>
    <xf numFmtId="37" fontId="7" fillId="0" borderId="0" applyFont="0" applyFill="0" applyBorder="0" applyAlignment="0" applyProtection="0"/>
    <xf numFmtId="0" fontId="7" fillId="0" borderId="0"/>
    <xf numFmtId="0" fontId="7" fillId="0" borderId="0"/>
    <xf numFmtId="0" fontId="6" fillId="0" borderId="0"/>
    <xf numFmtId="9" fontId="7" fillId="0" borderId="0" applyFont="0" applyFill="0" applyBorder="0" applyAlignment="0" applyProtection="0"/>
    <xf numFmtId="9" fontId="7" fillId="0" borderId="0" applyFont="0" applyFill="0" applyBorder="0" applyAlignment="0" applyProtection="0"/>
    <xf numFmtId="9" fontId="6" fillId="0" borderId="0" applyFont="0" applyFill="0" applyBorder="0" applyAlignment="0" applyProtection="0"/>
    <xf numFmtId="0" fontId="100" fillId="0" borderId="0">
      <alignment vertical="top"/>
    </xf>
    <xf numFmtId="0" fontId="100" fillId="0" borderId="0">
      <alignment vertical="top"/>
    </xf>
    <xf numFmtId="0" fontId="100" fillId="0" borderId="0">
      <alignment vertical="top"/>
    </xf>
    <xf numFmtId="39" fontId="10" fillId="17" borderId="0"/>
    <xf numFmtId="0" fontId="6" fillId="41" borderId="0" applyNumberFormat="0" applyBorder="0" applyAlignment="0" applyProtection="0"/>
    <xf numFmtId="0" fontId="6" fillId="45" borderId="0" applyNumberFormat="0" applyBorder="0" applyAlignment="0" applyProtection="0"/>
    <xf numFmtId="0" fontId="6" fillId="49" borderId="0" applyNumberFormat="0" applyBorder="0" applyAlignment="0" applyProtection="0"/>
    <xf numFmtId="0" fontId="6" fillId="53" borderId="0" applyNumberFormat="0" applyBorder="0" applyAlignment="0" applyProtection="0"/>
    <xf numFmtId="0" fontId="6" fillId="57" borderId="0" applyNumberFormat="0" applyBorder="0" applyAlignment="0" applyProtection="0"/>
    <xf numFmtId="0" fontId="6" fillId="61" borderId="0" applyNumberFormat="0" applyBorder="0" applyAlignment="0" applyProtection="0"/>
    <xf numFmtId="0" fontId="6" fillId="42" borderId="0" applyNumberFormat="0" applyBorder="0" applyAlignment="0" applyProtection="0"/>
    <xf numFmtId="0" fontId="6" fillId="46" borderId="0" applyNumberFormat="0" applyBorder="0" applyAlignment="0" applyProtection="0"/>
    <xf numFmtId="0" fontId="6" fillId="50" borderId="0" applyNumberFormat="0" applyBorder="0" applyAlignment="0" applyProtection="0"/>
    <xf numFmtId="0" fontId="6" fillId="54" borderId="0" applyNumberFormat="0" applyBorder="0" applyAlignment="0" applyProtection="0"/>
    <xf numFmtId="0" fontId="6" fillId="58" borderId="0" applyNumberFormat="0" applyBorder="0" applyAlignment="0" applyProtection="0"/>
    <xf numFmtId="0" fontId="6" fillId="62" borderId="0" applyNumberFormat="0" applyBorder="0" applyAlignment="0" applyProtection="0"/>
    <xf numFmtId="218"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39" borderId="80" applyNumberFormat="0" applyFont="0" applyAlignment="0" applyProtection="0"/>
    <xf numFmtId="9" fontId="6" fillId="0" borderId="0" applyFont="0" applyFill="0" applyBorder="0" applyAlignment="0" applyProtection="0"/>
    <xf numFmtId="43"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114" fillId="0" borderId="0"/>
    <xf numFmtId="0" fontId="7" fillId="0" borderId="0"/>
    <xf numFmtId="0" fontId="123" fillId="33" borderId="0" applyNumberFormat="0" applyBorder="0" applyAlignment="0" applyProtection="0"/>
    <xf numFmtId="43" fontId="7" fillId="0" borderId="0" applyFont="0" applyFill="0" applyBorder="0" applyAlignment="0" applyProtection="0"/>
    <xf numFmtId="44" fontId="7" fillId="0" borderId="0" applyFont="0" applyFill="0" applyBorder="0" applyAlignment="0" applyProtection="0"/>
    <xf numFmtId="37" fontId="7" fillId="0" borderId="0" applyFont="0" applyFill="0" applyBorder="0" applyAlignment="0" applyProtection="0"/>
    <xf numFmtId="0" fontId="7" fillId="0" borderId="0"/>
    <xf numFmtId="0" fontId="7" fillId="0" borderId="0"/>
    <xf numFmtId="0" fontId="6" fillId="0" borderId="0"/>
    <xf numFmtId="9" fontId="7" fillId="0" borderId="0" applyFont="0" applyFill="0" applyBorder="0" applyAlignment="0" applyProtection="0"/>
    <xf numFmtId="9" fontId="7" fillId="0" borderId="0" applyFont="0" applyFill="0" applyBorder="0" applyAlignment="0" applyProtection="0"/>
    <xf numFmtId="9" fontId="6" fillId="0" borderId="0" applyFont="0" applyFill="0" applyBorder="0" applyAlignment="0" applyProtection="0"/>
    <xf numFmtId="0" fontId="114" fillId="0" borderId="0"/>
    <xf numFmtId="9" fontId="6" fillId="0" borderId="0" applyFont="0" applyFill="0" applyBorder="0" applyAlignment="0" applyProtection="0"/>
    <xf numFmtId="9" fontId="7" fillId="0" borderId="0" applyFont="0" applyFill="0" applyBorder="0" applyAlignment="0" applyProtection="0"/>
    <xf numFmtId="0" fontId="6" fillId="0" borderId="0"/>
    <xf numFmtId="0" fontId="7" fillId="0" borderId="0"/>
    <xf numFmtId="0" fontId="7" fillId="0" borderId="0"/>
    <xf numFmtId="37" fontId="7" fillId="0" borderId="0" applyFont="0" applyFill="0" applyBorder="0" applyAlignment="0" applyProtection="0"/>
    <xf numFmtId="0" fontId="7" fillId="0" borderId="0"/>
    <xf numFmtId="0" fontId="123" fillId="33" borderId="0" applyNumberFormat="0" applyBorder="0" applyAlignment="0" applyProtection="0"/>
    <xf numFmtId="43" fontId="7" fillId="0" borderId="0" applyFont="0" applyFill="0" applyBorder="0" applyAlignment="0" applyProtection="0"/>
    <xf numFmtId="44"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44" fontId="7" fillId="0" borderId="0" applyFont="0" applyFill="0" applyBorder="0" applyAlignment="0" applyProtection="0"/>
    <xf numFmtId="43" fontId="7" fillId="0" borderId="0" applyFont="0" applyFill="0" applyBorder="0" applyAlignment="0" applyProtection="0"/>
    <xf numFmtId="0" fontId="123" fillId="33" borderId="0" applyNumberFormat="0" applyBorder="0" applyAlignment="0" applyProtection="0"/>
    <xf numFmtId="0" fontId="7" fillId="0" borderId="0"/>
    <xf numFmtId="43" fontId="40" fillId="0" borderId="0" applyFont="0" applyFill="0" applyBorder="0" applyAlignment="0" applyProtection="0"/>
    <xf numFmtId="212" fontId="7" fillId="0" borderId="0"/>
    <xf numFmtId="212" fontId="169" fillId="0" borderId="0"/>
    <xf numFmtId="212" fontId="7" fillId="0" borderId="0" applyNumberFormat="0" applyFill="0" applyBorder="0" applyAlignment="0" applyProtection="0"/>
    <xf numFmtId="212" fontId="7" fillId="0" borderId="0">
      <alignment horizontal="right"/>
    </xf>
    <xf numFmtId="212" fontId="7" fillId="0" borderId="23" applyBorder="0" applyAlignment="0" applyProtection="0">
      <alignment horizontal="center"/>
    </xf>
    <xf numFmtId="0" fontId="5" fillId="0" borderId="0"/>
    <xf numFmtId="212" fontId="7" fillId="0" borderId="0">
      <alignment horizontal="right"/>
    </xf>
    <xf numFmtId="212" fontId="7" fillId="0" borderId="0">
      <alignment horizontal="right"/>
    </xf>
    <xf numFmtId="212" fontId="7" fillId="0" borderId="0" applyFill="0" applyBorder="0">
      <alignment horizontal="right"/>
      <protection locked="0"/>
    </xf>
    <xf numFmtId="212" fontId="7" fillId="0" borderId="0">
      <alignment horizontal="right"/>
      <protection locked="0"/>
    </xf>
    <xf numFmtId="212" fontId="7" fillId="0" borderId="0" applyFill="0" applyBorder="0">
      <alignment horizontal="right"/>
      <protection hidden="1"/>
    </xf>
    <xf numFmtId="212" fontId="7" fillId="0" borderId="0">
      <alignment horizontal="center"/>
    </xf>
    <xf numFmtId="43" fontId="7" fillId="0" borderId="0" applyFont="0" applyFill="0" applyBorder="0" applyAlignment="0" applyProtection="0"/>
    <xf numFmtId="44" fontId="7" fillId="0" borderId="0" applyFont="0" applyFill="0" applyBorder="0" applyAlignment="0" applyProtection="0"/>
    <xf numFmtId="0" fontId="7" fillId="0" borderId="0"/>
    <xf numFmtId="9" fontId="7" fillId="0" borderId="0" applyFont="0" applyFill="0" applyBorder="0" applyAlignment="0" applyProtection="0"/>
    <xf numFmtId="43" fontId="4" fillId="0" borderId="0" applyFont="0" applyFill="0" applyBorder="0" applyAlignment="0" applyProtection="0"/>
    <xf numFmtId="0" fontId="4" fillId="0" borderId="0"/>
    <xf numFmtId="9" fontId="4" fillId="0" borderId="0" applyFont="0" applyFill="0" applyBorder="0" applyAlignment="0" applyProtection="0"/>
    <xf numFmtId="0" fontId="4" fillId="41" borderId="0" applyNumberFormat="0" applyBorder="0" applyAlignment="0" applyProtection="0"/>
    <xf numFmtId="0" fontId="4" fillId="45" borderId="0" applyNumberFormat="0" applyBorder="0" applyAlignment="0" applyProtection="0"/>
    <xf numFmtId="0" fontId="4" fillId="49" borderId="0" applyNumberFormat="0" applyBorder="0" applyAlignment="0" applyProtection="0"/>
    <xf numFmtId="0" fontId="4" fillId="53" borderId="0" applyNumberFormat="0" applyBorder="0" applyAlignment="0" applyProtection="0"/>
    <xf numFmtId="0" fontId="4" fillId="57" borderId="0" applyNumberFormat="0" applyBorder="0" applyAlignment="0" applyProtection="0"/>
    <xf numFmtId="0" fontId="4" fillId="61" borderId="0" applyNumberFormat="0" applyBorder="0" applyAlignment="0" applyProtection="0"/>
    <xf numFmtId="0" fontId="4" fillId="42" borderId="0" applyNumberFormat="0" applyBorder="0" applyAlignment="0" applyProtection="0"/>
    <xf numFmtId="0" fontId="4" fillId="46" borderId="0" applyNumberFormat="0" applyBorder="0" applyAlignment="0" applyProtection="0"/>
    <xf numFmtId="0" fontId="4" fillId="50" borderId="0" applyNumberFormat="0" applyBorder="0" applyAlignment="0" applyProtection="0"/>
    <xf numFmtId="0" fontId="4" fillId="54" borderId="0" applyNumberFormat="0" applyBorder="0" applyAlignment="0" applyProtection="0"/>
    <xf numFmtId="0" fontId="4" fillId="58" borderId="0" applyNumberFormat="0" applyBorder="0" applyAlignment="0" applyProtection="0"/>
    <xf numFmtId="0" fontId="4" fillId="62" borderId="0" applyNumberFormat="0" applyBorder="0" applyAlignment="0" applyProtection="0"/>
    <xf numFmtId="218"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9" borderId="80" applyNumberFormat="0" applyFont="0" applyAlignment="0" applyProtection="0"/>
    <xf numFmtId="9" fontId="4" fillId="0" borderId="0" applyFont="0" applyFill="0" applyBorder="0" applyAlignment="0" applyProtection="0"/>
    <xf numFmtId="43" fontId="4"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9" fontId="4" fillId="0" borderId="0" applyFont="0" applyFill="0" applyBorder="0" applyAlignment="0" applyProtection="0"/>
    <xf numFmtId="0" fontId="4" fillId="0" borderId="0"/>
    <xf numFmtId="9" fontId="7" fillId="0" borderId="0" applyFont="0" applyFill="0" applyBorder="0" applyAlignment="0" applyProtection="0"/>
    <xf numFmtId="164" fontId="4" fillId="0" borderId="0" applyFont="0" applyFill="0" applyBorder="0" applyAlignment="0" applyProtection="0"/>
    <xf numFmtId="0" fontId="7" fillId="0" borderId="0"/>
    <xf numFmtId="44" fontId="7" fillId="0" borderId="0" applyFont="0" applyFill="0" applyBorder="0" applyAlignment="0" applyProtection="0"/>
    <xf numFmtId="43" fontId="7" fillId="0" borderId="0" applyFont="0" applyFill="0" applyBorder="0" applyAlignment="0" applyProtection="0"/>
    <xf numFmtId="0" fontId="7" fillId="0" borderId="0"/>
    <xf numFmtId="164" fontId="4" fillId="0" borderId="0" applyFont="0" applyFill="0" applyBorder="0" applyAlignment="0" applyProtection="0"/>
    <xf numFmtId="9" fontId="4" fillId="0" borderId="0" applyFont="0" applyFill="0" applyBorder="0" applyAlignment="0" applyProtection="0"/>
    <xf numFmtId="16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9" fontId="4" fillId="0" borderId="0" applyFont="0" applyFill="0" applyBorder="0" applyAlignment="0" applyProtection="0"/>
    <xf numFmtId="0" fontId="4" fillId="41" borderId="0" applyNumberFormat="0" applyBorder="0" applyAlignment="0" applyProtection="0"/>
    <xf numFmtId="0" fontId="4" fillId="45" borderId="0" applyNumberFormat="0" applyBorder="0" applyAlignment="0" applyProtection="0"/>
    <xf numFmtId="0" fontId="4" fillId="49" borderId="0" applyNumberFormat="0" applyBorder="0" applyAlignment="0" applyProtection="0"/>
    <xf numFmtId="0" fontId="4" fillId="53" borderId="0" applyNumberFormat="0" applyBorder="0" applyAlignment="0" applyProtection="0"/>
    <xf numFmtId="0" fontId="4" fillId="57" borderId="0" applyNumberFormat="0" applyBorder="0" applyAlignment="0" applyProtection="0"/>
    <xf numFmtId="0" fontId="4" fillId="61" borderId="0" applyNumberFormat="0" applyBorder="0" applyAlignment="0" applyProtection="0"/>
    <xf numFmtId="0" fontId="4" fillId="42" borderId="0" applyNumberFormat="0" applyBorder="0" applyAlignment="0" applyProtection="0"/>
    <xf numFmtId="0" fontId="4" fillId="46" borderId="0" applyNumberFormat="0" applyBorder="0" applyAlignment="0" applyProtection="0"/>
    <xf numFmtId="0" fontId="4" fillId="50" borderId="0" applyNumberFormat="0" applyBorder="0" applyAlignment="0" applyProtection="0"/>
    <xf numFmtId="0" fontId="4" fillId="54" borderId="0" applyNumberFormat="0" applyBorder="0" applyAlignment="0" applyProtection="0"/>
    <xf numFmtId="0" fontId="4" fillId="58" borderId="0" applyNumberFormat="0" applyBorder="0" applyAlignment="0" applyProtection="0"/>
    <xf numFmtId="0" fontId="4" fillId="62" borderId="0" applyNumberFormat="0" applyBorder="0" applyAlignment="0" applyProtection="0"/>
    <xf numFmtId="218"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9" borderId="80" applyNumberFormat="0" applyFont="0" applyAlignment="0" applyProtection="0"/>
    <xf numFmtId="9" fontId="4" fillId="0" borderId="0" applyFont="0" applyFill="0" applyBorder="0" applyAlignment="0" applyProtection="0"/>
    <xf numFmtId="43" fontId="4"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9" fontId="4" fillId="0" borderId="0" applyFont="0" applyFill="0" applyBorder="0" applyAlignment="0" applyProtection="0"/>
    <xf numFmtId="164" fontId="4" fillId="0" borderId="0" applyFont="0" applyFill="0" applyBorder="0" applyAlignment="0" applyProtection="0"/>
    <xf numFmtId="9" fontId="4" fillId="0" borderId="0" applyFont="0" applyFill="0" applyBorder="0" applyAlignment="0" applyProtection="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208" fontId="18"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9" fontId="7" fillId="0" borderId="0" applyFont="0" applyFill="0" applyBorder="0" applyAlignment="0" applyProtection="0"/>
    <xf numFmtId="0" fontId="119" fillId="0" borderId="9">
      <alignment horizontal="centerContinuous"/>
    </xf>
    <xf numFmtId="0" fontId="113" fillId="65" borderId="0" applyNumberFormat="0" applyBorder="0" applyAlignment="0" applyProtection="0"/>
    <xf numFmtId="0" fontId="113" fillId="11" borderId="0" applyNumberFormat="0" applyBorder="0" applyAlignment="0" applyProtection="0"/>
    <xf numFmtId="0" fontId="113" fillId="14" borderId="0" applyNumberFormat="0" applyBorder="0" applyAlignment="0" applyProtection="0"/>
    <xf numFmtId="0" fontId="113" fillId="71" borderId="0" applyNumberFormat="0" applyBorder="0" applyAlignment="0" applyProtection="0"/>
    <xf numFmtId="0" fontId="113" fillId="5" borderId="0" applyNumberFormat="0" applyBorder="0" applyAlignment="0" applyProtection="0"/>
    <xf numFmtId="0" fontId="113" fillId="2" borderId="0" applyNumberFormat="0" applyBorder="0" applyAlignment="0" applyProtection="0"/>
    <xf numFmtId="0" fontId="113" fillId="7" borderId="0" applyNumberFormat="0" applyBorder="0" applyAlignment="0" applyProtection="0"/>
    <xf numFmtId="0" fontId="113" fillId="3" borderId="0" applyNumberFormat="0" applyBorder="0" applyAlignment="0" applyProtection="0"/>
    <xf numFmtId="0" fontId="113" fillId="74" borderId="0" applyNumberFormat="0" applyBorder="0" applyAlignment="0" applyProtection="0"/>
    <xf numFmtId="0" fontId="113" fillId="71" borderId="0" applyNumberFormat="0" applyBorder="0" applyAlignment="0" applyProtection="0"/>
    <xf numFmtId="0" fontId="113" fillId="7" borderId="0" applyNumberFormat="0" applyBorder="0" applyAlignment="0" applyProtection="0"/>
    <xf numFmtId="0" fontId="113" fillId="76" borderId="0" applyNumberFormat="0" applyBorder="0" applyAlignment="0" applyProtection="0"/>
    <xf numFmtId="0" fontId="16" fillId="79" borderId="0" applyNumberFormat="0" applyBorder="0" applyAlignment="0" applyProtection="0"/>
    <xf numFmtId="0" fontId="16" fillId="3" borderId="0" applyNumberFormat="0" applyBorder="0" applyAlignment="0" applyProtection="0"/>
    <xf numFmtId="0" fontId="16" fillId="74" borderId="0" applyNumberFormat="0" applyBorder="0" applyAlignment="0" applyProtection="0"/>
    <xf numFmtId="0" fontId="16" fillId="82" borderId="0" applyNumberFormat="0" applyBorder="0" applyAlignment="0" applyProtection="0"/>
    <xf numFmtId="0" fontId="16" fillId="8" borderId="0" applyNumberFormat="0" applyBorder="0" applyAlignment="0" applyProtection="0"/>
    <xf numFmtId="0" fontId="16" fillId="84" borderId="0" applyNumberFormat="0" applyBorder="0" applyAlignment="0" applyProtection="0"/>
    <xf numFmtId="0" fontId="181" fillId="14" borderId="0" applyNumberFormat="0" applyBorder="0" applyAlignment="0" applyProtection="0"/>
    <xf numFmtId="0" fontId="182" fillId="6" borderId="1" applyNumberFormat="0" applyAlignment="0" applyProtection="0"/>
    <xf numFmtId="0" fontId="15" fillId="13" borderId="2" applyNumberFormat="0" applyAlignment="0" applyProtection="0"/>
    <xf numFmtId="0" fontId="183" fillId="0" borderId="6" applyNumberFormat="0" applyFill="0" applyAlignment="0" applyProtection="0"/>
    <xf numFmtId="0" fontId="16" fillId="88" borderId="0" applyNumberFormat="0" applyBorder="0" applyAlignment="0" applyProtection="0"/>
    <xf numFmtId="0" fontId="16" fillId="90" borderId="0" applyNumberFormat="0" applyBorder="0" applyAlignment="0" applyProtection="0"/>
    <xf numFmtId="0" fontId="16" fillId="92" borderId="0" applyNumberFormat="0" applyBorder="0" applyAlignment="0" applyProtection="0"/>
    <xf numFmtId="0" fontId="16" fillId="82" borderId="0" applyNumberFormat="0" applyBorder="0" applyAlignment="0" applyProtection="0"/>
    <xf numFmtId="0" fontId="16" fillId="8" borderId="0" applyNumberFormat="0" applyBorder="0" applyAlignment="0" applyProtection="0"/>
    <xf numFmtId="0" fontId="16" fillId="80" borderId="0" applyNumberFormat="0" applyBorder="0" applyAlignment="0" applyProtection="0"/>
    <xf numFmtId="0" fontId="184" fillId="2" borderId="1" applyNumberFormat="0" applyAlignment="0" applyProtection="0"/>
    <xf numFmtId="0" fontId="185" fillId="11" borderId="0" applyNumberFormat="0" applyBorder="0" applyAlignment="0" applyProtection="0"/>
    <xf numFmtId="218" fontId="7" fillId="0" borderId="0" applyFont="0" applyFill="0" applyBorder="0" applyAlignment="0" applyProtection="0"/>
    <xf numFmtId="0" fontId="188" fillId="4" borderId="0" applyNumberFormat="0" applyBorder="0" applyAlignment="0" applyProtection="0"/>
    <xf numFmtId="0" fontId="7" fillId="0" borderId="0"/>
    <xf numFmtId="0" fontId="7" fillId="0" borderId="0"/>
    <xf numFmtId="0" fontId="7" fillId="0" borderId="0"/>
    <xf numFmtId="0" fontId="3" fillId="0" borderId="0"/>
    <xf numFmtId="0" fontId="7" fillId="9" borderId="7" applyNumberFormat="0" applyFont="0" applyAlignment="0" applyProtection="0"/>
    <xf numFmtId="9" fontId="7" fillId="0" borderId="0" applyFont="0" applyFill="0" applyBorder="0" applyAlignment="0" applyProtection="0"/>
    <xf numFmtId="0" fontId="186" fillId="6" borderId="8" applyNumberFormat="0" applyAlignment="0" applyProtection="0"/>
    <xf numFmtId="43" fontId="7" fillId="0" borderId="0" applyFont="0" applyFill="0" applyBorder="0" applyAlignment="0" applyProtection="0"/>
    <xf numFmtId="0" fontId="25" fillId="0" borderId="0" applyNumberFormat="0" applyFill="0" applyBorder="0" applyAlignment="0" applyProtection="0"/>
    <xf numFmtId="0" fontId="187" fillId="0" borderId="0" applyNumberFormat="0" applyFill="0" applyBorder="0" applyAlignment="0" applyProtection="0"/>
    <xf numFmtId="0" fontId="190" fillId="0" borderId="83" applyNumberFormat="0" applyFill="0" applyAlignment="0" applyProtection="0"/>
    <xf numFmtId="0" fontId="191" fillId="0" borderId="4" applyNumberFormat="0" applyFill="0" applyAlignment="0" applyProtection="0"/>
    <xf numFmtId="0" fontId="192" fillId="0" borderId="84" applyNumberFormat="0" applyFill="0" applyAlignment="0" applyProtection="0"/>
    <xf numFmtId="0" fontId="192" fillId="0" borderId="0" applyNumberFormat="0" applyFill="0" applyBorder="0" applyAlignment="0" applyProtection="0"/>
    <xf numFmtId="0" fontId="189" fillId="0" borderId="0" applyNumberFormat="0" applyFill="0" applyBorder="0" applyAlignment="0" applyProtection="0"/>
    <xf numFmtId="0" fontId="121" fillId="0" borderId="106" applyNumberFormat="0" applyFill="0" applyAlignment="0" applyProtection="0"/>
    <xf numFmtId="43" fontId="7" fillId="0" borderId="0" applyFont="0" applyFill="0" applyBorder="0" applyAlignment="0" applyProtection="0"/>
    <xf numFmtId="0" fontId="3" fillId="0" borderId="0"/>
    <xf numFmtId="0" fontId="114" fillId="0" borderId="0"/>
    <xf numFmtId="43" fontId="114" fillId="0" borderId="0" applyFont="0" applyFill="0" applyBorder="0" applyAlignment="0" applyProtection="0"/>
    <xf numFmtId="43" fontId="7" fillId="0" borderId="0" applyFont="0" applyFill="0" applyBorder="0" applyAlignment="0" applyProtection="0"/>
    <xf numFmtId="208" fontId="18" fillId="0" borderId="0" applyFont="0" applyFill="0" applyBorder="0" applyAlignment="0" applyProtection="0"/>
    <xf numFmtId="0" fontId="7" fillId="0" borderId="0"/>
    <xf numFmtId="9" fontId="40" fillId="0" borderId="0" applyFont="0" applyFill="0" applyBorder="0" applyAlignment="0" applyProtection="0"/>
    <xf numFmtId="0" fontId="7" fillId="0" borderId="0"/>
    <xf numFmtId="0" fontId="7" fillId="0" borderId="0"/>
    <xf numFmtId="0" fontId="3" fillId="0" borderId="0"/>
    <xf numFmtId="0" fontId="3" fillId="0" borderId="0"/>
    <xf numFmtId="0" fontId="7"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1" fillId="0" borderId="0"/>
    <xf numFmtId="0" fontId="10" fillId="0" borderId="0"/>
  </cellStyleXfs>
  <cellXfs count="2618">
    <xf numFmtId="0" fontId="0" fillId="0" borderId="0" xfId="0"/>
    <xf numFmtId="0" fontId="12" fillId="0" borderId="0" xfId="98" applyFont="1"/>
    <xf numFmtId="0" fontId="12" fillId="0" borderId="0" xfId="98" applyFont="1" applyBorder="1"/>
    <xf numFmtId="0" fontId="12" fillId="15" borderId="0" xfId="98" applyFont="1" applyFill="1" applyBorder="1"/>
    <xf numFmtId="0" fontId="12" fillId="15" borderId="0" xfId="98" applyFont="1" applyFill="1"/>
    <xf numFmtId="9" fontId="12" fillId="15" borderId="0" xfId="104" applyFont="1" applyFill="1"/>
    <xf numFmtId="43" fontId="0" fillId="0" borderId="0" xfId="37" applyFont="1"/>
    <xf numFmtId="0" fontId="26" fillId="0" borderId="0" xfId="0" applyFont="1"/>
    <xf numFmtId="0" fontId="26" fillId="0" borderId="0" xfId="98" applyFont="1" applyBorder="1"/>
    <xf numFmtId="14" fontId="26" fillId="0" borderId="0" xfId="98" applyNumberFormat="1" applyFont="1" applyBorder="1"/>
    <xf numFmtId="9" fontId="26" fillId="0" borderId="0" xfId="104" applyFont="1" applyBorder="1"/>
    <xf numFmtId="0" fontId="25" fillId="0" borderId="0" xfId="0" applyFont="1"/>
    <xf numFmtId="43" fontId="26" fillId="0" borderId="0" xfId="37" applyFont="1" applyBorder="1"/>
    <xf numFmtId="173" fontId="21" fillId="0" borderId="0" xfId="104" applyNumberFormat="1" applyFont="1" applyBorder="1"/>
    <xf numFmtId="0" fontId="17" fillId="0" borderId="0" xfId="0" applyFont="1"/>
    <xf numFmtId="0" fontId="17" fillId="0" borderId="0" xfId="0" applyFont="1" applyFill="1" applyBorder="1"/>
    <xf numFmtId="0" fontId="27" fillId="0" borderId="0" xfId="0" applyFont="1" applyFill="1"/>
    <xf numFmtId="49" fontId="0" fillId="0" borderId="0" xfId="0" applyNumberFormat="1"/>
    <xf numFmtId="0" fontId="0" fillId="0" borderId="0" xfId="0" applyBorder="1"/>
    <xf numFmtId="3" fontId="18" fillId="0" borderId="0" xfId="0" applyNumberFormat="1" applyFont="1" applyBorder="1"/>
    <xf numFmtId="168" fontId="18" fillId="0" borderId="0" xfId="0" applyNumberFormat="1" applyFont="1" applyBorder="1"/>
    <xf numFmtId="9" fontId="18" fillId="15" borderId="0" xfId="104" applyFont="1" applyFill="1" applyBorder="1"/>
    <xf numFmtId="0" fontId="19" fillId="0" borderId="0" xfId="97" applyFont="1" applyAlignment="1">
      <alignment horizontal="center"/>
    </xf>
    <xf numFmtId="0" fontId="18" fillId="0" borderId="0" xfId="90" applyFont="1" applyFill="1" applyAlignment="1">
      <alignment horizontal="center"/>
    </xf>
    <xf numFmtId="0" fontId="18" fillId="0" borderId="0" xfId="90" applyFont="1" applyFill="1" applyAlignment="1">
      <alignment horizontal="left"/>
    </xf>
    <xf numFmtId="0" fontId="20" fillId="18" borderId="0" xfId="0" applyFont="1" applyFill="1" applyBorder="1"/>
    <xf numFmtId="193" fontId="31" fillId="0" borderId="29" xfId="97" applyNumberFormat="1" applyFont="1" applyBorder="1"/>
    <xf numFmtId="0" fontId="31" fillId="15" borderId="29" xfId="97" applyFont="1" applyFill="1" applyBorder="1"/>
    <xf numFmtId="193" fontId="31" fillId="15" borderId="29" xfId="97" applyNumberFormat="1" applyFont="1" applyFill="1" applyBorder="1" applyAlignment="1">
      <alignment horizontal="right"/>
    </xf>
    <xf numFmtId="0" fontId="33" fillId="0" borderId="0" xfId="0" applyFont="1" applyFill="1" applyBorder="1" applyAlignment="1">
      <alignment wrapText="1"/>
    </xf>
    <xf numFmtId="0" fontId="7" fillId="0" borderId="0" xfId="97" applyFont="1"/>
    <xf numFmtId="0" fontId="7" fillId="0" borderId="0" xfId="0" applyFont="1"/>
    <xf numFmtId="0" fontId="7" fillId="0" borderId="0" xfId="90" applyFont="1" applyFill="1"/>
    <xf numFmtId="0" fontId="7" fillId="0" borderId="0" xfId="90" applyFont="1" applyFill="1" applyAlignment="1">
      <alignment horizontal="left"/>
    </xf>
    <xf numFmtId="0" fontId="63" fillId="0" borderId="0" xfId="90" applyFont="1" applyFill="1" applyAlignment="1">
      <alignment horizontal="center"/>
    </xf>
    <xf numFmtId="0" fontId="58" fillId="0" borderId="0" xfId="90" applyFont="1" applyFill="1"/>
    <xf numFmtId="0" fontId="7" fillId="0" borderId="0" xfId="90" applyFont="1" applyFill="1" applyAlignment="1">
      <alignment horizontal="right"/>
    </xf>
    <xf numFmtId="0" fontId="16" fillId="0" borderId="0" xfId="90" applyFont="1" applyFill="1"/>
    <xf numFmtId="0" fontId="7" fillId="0" borderId="0" xfId="90" applyFont="1" applyFill="1" applyAlignment="1">
      <alignment horizontal="center"/>
    </xf>
    <xf numFmtId="0" fontId="7" fillId="0" borderId="0" xfId="97" applyFont="1" applyFill="1"/>
    <xf numFmtId="0" fontId="7" fillId="0" borderId="0" xfId="97" applyFont="1" applyBorder="1"/>
    <xf numFmtId="0" fontId="7" fillId="0" borderId="0" xfId="0" applyFont="1" applyFill="1"/>
    <xf numFmtId="0" fontId="69" fillId="0" borderId="0" xfId="97" applyFont="1" applyFill="1"/>
    <xf numFmtId="0" fontId="7" fillId="0" borderId="0" xfId="0" applyFont="1" applyBorder="1"/>
    <xf numFmtId="3" fontId="11" fillId="0" borderId="0" xfId="0" applyNumberFormat="1" applyFont="1" applyBorder="1" applyAlignment="1">
      <alignment horizontal="right"/>
    </xf>
    <xf numFmtId="3" fontId="70" fillId="0" borderId="0" xfId="0" applyNumberFormat="1" applyFont="1" applyFill="1" applyBorder="1" applyAlignment="1">
      <alignment horizontal="right"/>
    </xf>
    <xf numFmtId="3" fontId="71" fillId="21" borderId="0" xfId="0" applyNumberFormat="1" applyFont="1" applyFill="1" applyBorder="1" applyAlignment="1">
      <alignment horizontal="right"/>
    </xf>
    <xf numFmtId="3" fontId="71" fillId="22" borderId="0" xfId="0" applyNumberFormat="1" applyFont="1" applyFill="1" applyBorder="1" applyAlignment="1">
      <alignment horizontal="right"/>
    </xf>
    <xf numFmtId="0" fontId="71" fillId="0" borderId="0" xfId="0" applyFont="1"/>
    <xf numFmtId="3" fontId="72" fillId="0" borderId="0" xfId="0" applyNumberFormat="1" applyFont="1" applyFill="1" applyBorder="1" applyAlignment="1">
      <alignment horizontal="right"/>
    </xf>
    <xf numFmtId="3" fontId="11" fillId="23" borderId="0" xfId="0" applyNumberFormat="1" applyFont="1" applyFill="1" applyBorder="1" applyAlignment="1">
      <alignment horizontal="right"/>
    </xf>
    <xf numFmtId="3" fontId="73" fillId="20" borderId="0" xfId="0" applyNumberFormat="1" applyFont="1" applyFill="1" applyBorder="1" applyAlignment="1">
      <alignment horizontal="right"/>
    </xf>
    <xf numFmtId="0" fontId="11" fillId="0" borderId="0" xfId="0" applyFont="1"/>
    <xf numFmtId="3" fontId="64" fillId="0" borderId="0" xfId="0" applyNumberFormat="1" applyFont="1" applyBorder="1" applyAlignment="1">
      <alignment horizontal="right"/>
    </xf>
    <xf numFmtId="0" fontId="11" fillId="0" borderId="0" xfId="0" applyFont="1" applyFill="1"/>
    <xf numFmtId="0" fontId="62" fillId="0" borderId="0" xfId="0" applyFont="1" applyFill="1"/>
    <xf numFmtId="0" fontId="62" fillId="0" borderId="0" xfId="0" applyFont="1" applyFill="1" applyAlignment="1">
      <alignment horizontal="right"/>
    </xf>
    <xf numFmtId="0" fontId="66" fillId="0" borderId="17" xfId="0" applyFont="1" applyFill="1" applyBorder="1"/>
    <xf numFmtId="0" fontId="65" fillId="0" borderId="17" xfId="0" applyFont="1" applyFill="1" applyBorder="1"/>
    <xf numFmtId="3" fontId="11" fillId="0" borderId="0" xfId="0" applyNumberFormat="1" applyFont="1"/>
    <xf numFmtId="9" fontId="11" fillId="0" borderId="0" xfId="104" applyFont="1"/>
    <xf numFmtId="0" fontId="31" fillId="0" borderId="0" xfId="0" applyFont="1"/>
    <xf numFmtId="173" fontId="31" fillId="0" borderId="0" xfId="104" applyNumberFormat="1" applyFont="1"/>
    <xf numFmtId="2" fontId="17" fillId="0" borderId="0" xfId="0" applyNumberFormat="1" applyFont="1"/>
    <xf numFmtId="3" fontId="33" fillId="0" borderId="0" xfId="0" applyNumberFormat="1" applyFont="1"/>
    <xf numFmtId="194" fontId="11" fillId="0" borderId="0" xfId="0" applyNumberFormat="1" applyFont="1"/>
    <xf numFmtId="173" fontId="67" fillId="0" borderId="0" xfId="104" applyNumberFormat="1" applyFont="1"/>
    <xf numFmtId="173" fontId="33" fillId="0" borderId="0" xfId="104" applyNumberFormat="1" applyFont="1"/>
    <xf numFmtId="179" fontId="11" fillId="0" borderId="0" xfId="0" applyNumberFormat="1" applyFont="1"/>
    <xf numFmtId="201" fontId="33" fillId="0" borderId="0" xfId="0" applyNumberFormat="1" applyFont="1"/>
    <xf numFmtId="9" fontId="17" fillId="0" borderId="0" xfId="104" applyNumberFormat="1" applyFont="1"/>
    <xf numFmtId="9" fontId="11" fillId="0" borderId="0" xfId="104" applyNumberFormat="1" applyFont="1"/>
    <xf numFmtId="200" fontId="31" fillId="0" borderId="0" xfId="104" applyNumberFormat="1" applyFont="1"/>
    <xf numFmtId="200" fontId="11" fillId="0" borderId="0" xfId="104" applyNumberFormat="1" applyFont="1"/>
    <xf numFmtId="9" fontId="31" fillId="0" borderId="0" xfId="104" applyFont="1"/>
    <xf numFmtId="0" fontId="11" fillId="0" borderId="17" xfId="0" applyFont="1" applyBorder="1"/>
    <xf numFmtId="0" fontId="31" fillId="0" borderId="0" xfId="0" applyFont="1" applyAlignment="1">
      <alignment horizontal="right"/>
    </xf>
    <xf numFmtId="0" fontId="28" fillId="24" borderId="0" xfId="0" applyFont="1" applyFill="1" applyAlignment="1">
      <alignment horizontal="right"/>
    </xf>
    <xf numFmtId="0" fontId="28" fillId="24" borderId="0" xfId="0" applyFont="1" applyFill="1"/>
    <xf numFmtId="3" fontId="11" fillId="0" borderId="0" xfId="0" applyNumberFormat="1" applyFont="1" applyFill="1"/>
    <xf numFmtId="173" fontId="31" fillId="0" borderId="0" xfId="104" applyNumberFormat="1" applyFont="1" applyFill="1"/>
    <xf numFmtId="4" fontId="11" fillId="0" borderId="0" xfId="0" applyNumberFormat="1" applyFont="1" applyFill="1"/>
    <xf numFmtId="201" fontId="11" fillId="0" borderId="0" xfId="0" applyNumberFormat="1" applyFont="1" applyFill="1"/>
    <xf numFmtId="4" fontId="17" fillId="0" borderId="0" xfId="0" applyNumberFormat="1" applyFont="1" applyFill="1"/>
    <xf numFmtId="173" fontId="11" fillId="0" borderId="0" xfId="104" applyNumberFormat="1" applyFont="1" applyFill="1"/>
    <xf numFmtId="0" fontId="64" fillId="0" borderId="0" xfId="0" applyFont="1" applyFill="1"/>
    <xf numFmtId="0" fontId="7" fillId="0" borderId="0" xfId="98" applyFont="1" applyBorder="1"/>
    <xf numFmtId="0" fontId="16" fillId="0" borderId="0" xfId="98" applyFont="1" applyBorder="1"/>
    <xf numFmtId="43" fontId="16" fillId="0" borderId="0" xfId="37" applyFont="1" applyBorder="1"/>
    <xf numFmtId="14" fontId="16" fillId="0" borderId="0" xfId="98" applyNumberFormat="1" applyFont="1" applyBorder="1"/>
    <xf numFmtId="0" fontId="7" fillId="0" borderId="0" xfId="98" applyFont="1"/>
    <xf numFmtId="9" fontId="16" fillId="0" borderId="0" xfId="104" applyFont="1" applyBorder="1"/>
    <xf numFmtId="169" fontId="16" fillId="0" borderId="0" xfId="37" applyNumberFormat="1" applyFont="1" applyBorder="1"/>
    <xf numFmtId="0" fontId="12" fillId="0" borderId="0" xfId="98" applyFont="1" applyFill="1" applyBorder="1"/>
    <xf numFmtId="0" fontId="74" fillId="0" borderId="0" xfId="0" applyFont="1"/>
    <xf numFmtId="165" fontId="74" fillId="0" borderId="0" xfId="96" applyFont="1" applyBorder="1" applyAlignment="1">
      <alignment horizontal="center"/>
    </xf>
    <xf numFmtId="193" fontId="60" fillId="0" borderId="37" xfId="97" applyNumberFormat="1" applyFont="1" applyBorder="1"/>
    <xf numFmtId="0" fontId="60" fillId="15" borderId="37" xfId="97" applyFont="1" applyFill="1" applyBorder="1"/>
    <xf numFmtId="0" fontId="21" fillId="0" borderId="37" xfId="97" applyFont="1" applyFill="1" applyBorder="1"/>
    <xf numFmtId="0" fontId="15" fillId="24" borderId="0" xfId="97" applyFont="1" applyFill="1" applyBorder="1"/>
    <xf numFmtId="0" fontId="15" fillId="24" borderId="0" xfId="97" applyFont="1" applyFill="1" applyBorder="1" applyAlignment="1">
      <alignment horizontal="right"/>
    </xf>
    <xf numFmtId="0" fontId="11" fillId="0" borderId="0" xfId="0" applyFont="1" applyAlignment="1">
      <alignment horizontal="left" indent="1"/>
    </xf>
    <xf numFmtId="0" fontId="11" fillId="0" borderId="0" xfId="97" applyFont="1"/>
    <xf numFmtId="173" fontId="11" fillId="0" borderId="0" xfId="104" applyNumberFormat="1" applyFont="1" applyFill="1" applyBorder="1"/>
    <xf numFmtId="173" fontId="17" fillId="0" borderId="0" xfId="104" applyNumberFormat="1" applyFont="1" applyFill="1" applyBorder="1"/>
    <xf numFmtId="0" fontId="11" fillId="0" borderId="0" xfId="97" applyFont="1" applyBorder="1"/>
    <xf numFmtId="0" fontId="11" fillId="0" borderId="0" xfId="0" applyFont="1" applyBorder="1"/>
    <xf numFmtId="173" fontId="11" fillId="0" borderId="0" xfId="104" applyNumberFormat="1" applyFont="1"/>
    <xf numFmtId="0" fontId="11" fillId="24" borderId="0" xfId="97" applyFont="1" applyFill="1"/>
    <xf numFmtId="173" fontId="70" fillId="0" borderId="0" xfId="104" applyNumberFormat="1" applyFont="1" applyFill="1"/>
    <xf numFmtId="173" fontId="70" fillId="0" borderId="0" xfId="104" applyNumberFormat="1" applyFont="1" applyFill="1" applyBorder="1"/>
    <xf numFmtId="173" fontId="70" fillId="0" borderId="0" xfId="104" applyNumberFormat="1" applyFont="1" applyFill="1" applyAlignment="1">
      <alignment horizontal="right"/>
    </xf>
    <xf numFmtId="0" fontId="20" fillId="24" borderId="0" xfId="0" applyFont="1" applyFill="1" applyBorder="1"/>
    <xf numFmtId="173" fontId="11" fillId="23" borderId="0" xfId="97" applyNumberFormat="1" applyFont="1" applyFill="1" applyBorder="1" applyAlignment="1">
      <alignment horizontal="right"/>
    </xf>
    <xf numFmtId="171" fontId="11" fillId="23" borderId="37" xfId="38" applyNumberFormat="1" applyFont="1" applyFill="1" applyBorder="1"/>
    <xf numFmtId="173" fontId="11" fillId="23" borderId="0" xfId="104" applyNumberFormat="1" applyFont="1" applyFill="1"/>
    <xf numFmtId="2" fontId="17" fillId="23" borderId="37" xfId="97" applyNumberFormat="1" applyFont="1" applyFill="1" applyBorder="1" applyAlignment="1">
      <alignment horizontal="right"/>
    </xf>
    <xf numFmtId="172" fontId="11" fillId="23" borderId="0" xfId="0" applyNumberFormat="1" applyFont="1" applyFill="1" applyAlignment="1">
      <alignment horizontal="right"/>
    </xf>
    <xf numFmtId="169" fontId="11" fillId="23" borderId="0" xfId="38" applyNumberFormat="1" applyFont="1" applyFill="1" applyBorder="1"/>
    <xf numFmtId="167" fontId="11" fillId="23" borderId="0" xfId="97" applyNumberFormat="1" applyFont="1" applyFill="1" applyAlignment="1">
      <alignment horizontal="right"/>
    </xf>
    <xf numFmtId="9" fontId="11" fillId="0" borderId="0" xfId="104" applyNumberFormat="1" applyFont="1" applyFill="1" applyAlignment="1">
      <alignment horizontal="right"/>
    </xf>
    <xf numFmtId="9" fontId="11" fillId="23" borderId="0" xfId="104" applyNumberFormat="1" applyFont="1" applyFill="1" applyAlignment="1">
      <alignment horizontal="right"/>
    </xf>
    <xf numFmtId="169" fontId="17" fillId="23" borderId="37" xfId="38" applyNumberFormat="1" applyFont="1" applyFill="1" applyBorder="1"/>
    <xf numFmtId="0" fontId="17" fillId="0" borderId="0" xfId="0" applyFont="1" applyBorder="1"/>
    <xf numFmtId="0" fontId="7" fillId="0" borderId="38" xfId="97" applyFont="1" applyBorder="1"/>
    <xf numFmtId="0" fontId="62" fillId="24" borderId="0" xfId="0" applyFont="1" applyFill="1" applyBorder="1"/>
    <xf numFmtId="0" fontId="15" fillId="24" borderId="0" xfId="0" applyFont="1" applyFill="1" applyBorder="1"/>
    <xf numFmtId="0" fontId="28" fillId="24" borderId="0" xfId="0" applyFont="1" applyFill="1" applyBorder="1"/>
    <xf numFmtId="0" fontId="7" fillId="24" borderId="0" xfId="0" applyFont="1" applyFill="1" applyBorder="1"/>
    <xf numFmtId="0" fontId="16" fillId="24" borderId="0" xfId="97" applyFont="1" applyFill="1" applyBorder="1"/>
    <xf numFmtId="0" fontId="29" fillId="0" borderId="0" xfId="90" applyFont="1" applyFill="1" applyAlignment="1">
      <alignment horizontal="left"/>
    </xf>
    <xf numFmtId="0" fontId="78" fillId="0" borderId="0" xfId="46" applyFont="1" applyFill="1" applyAlignment="1" applyProtection="1">
      <alignment horizontal="left"/>
    </xf>
    <xf numFmtId="0" fontId="78" fillId="0" borderId="0" xfId="46" applyFont="1" applyFill="1" applyAlignment="1" applyProtection="1">
      <alignment horizontal="right"/>
    </xf>
    <xf numFmtId="0" fontId="17" fillId="0" borderId="0" xfId="97" applyFont="1" applyBorder="1" applyAlignment="1">
      <alignment horizontal="center"/>
    </xf>
    <xf numFmtId="1" fontId="71" fillId="21" borderId="43" xfId="0" applyNumberFormat="1" applyFont="1" applyFill="1" applyBorder="1" applyAlignment="1">
      <alignment horizontal="center"/>
    </xf>
    <xf numFmtId="0" fontId="11" fillId="0" borderId="0" xfId="97" quotePrefix="1" applyFont="1" applyBorder="1"/>
    <xf numFmtId="2" fontId="79" fillId="21" borderId="43" xfId="0" quotePrefix="1" applyNumberFormat="1" applyFont="1" applyFill="1" applyBorder="1" applyAlignment="1">
      <alignment horizontal="center"/>
    </xf>
    <xf numFmtId="14" fontId="11" fillId="0" borderId="0" xfId="97" applyNumberFormat="1" applyFont="1" applyBorder="1"/>
    <xf numFmtId="1" fontId="79" fillId="21" borderId="43" xfId="0" applyNumberFormat="1" applyFont="1" applyFill="1" applyBorder="1" applyAlignment="1">
      <alignment horizontal="center"/>
    </xf>
    <xf numFmtId="0" fontId="11" fillId="15" borderId="0" xfId="92" applyFont="1" applyFill="1" applyBorder="1"/>
    <xf numFmtId="0" fontId="79" fillId="21" borderId="43" xfId="0" applyFont="1" applyFill="1" applyBorder="1" applyAlignment="1">
      <alignment horizontal="center"/>
    </xf>
    <xf numFmtId="0" fontId="11" fillId="0" borderId="44" xfId="0" applyFont="1" applyBorder="1"/>
    <xf numFmtId="0" fontId="11" fillId="0" borderId="45" xfId="0" applyFont="1" applyBorder="1"/>
    <xf numFmtId="0" fontId="11" fillId="0" borderId="45" xfId="0" applyFont="1" applyBorder="1" applyAlignment="1">
      <alignment horizontal="center"/>
    </xf>
    <xf numFmtId="0" fontId="11" fillId="0" borderId="46" xfId="0" applyFont="1" applyBorder="1" applyAlignment="1">
      <alignment horizontal="center"/>
    </xf>
    <xf numFmtId="14" fontId="11" fillId="0" borderId="45" xfId="97" applyNumberFormat="1" applyFont="1" applyBorder="1" applyAlignment="1">
      <alignment horizontal="center"/>
    </xf>
    <xf numFmtId="39" fontId="17" fillId="0" borderId="46" xfId="0" applyNumberFormat="1" applyFont="1" applyBorder="1" applyAlignment="1">
      <alignment horizontal="center"/>
    </xf>
    <xf numFmtId="0" fontId="7" fillId="0" borderId="39" xfId="97" applyFont="1" applyBorder="1"/>
    <xf numFmtId="0" fontId="11" fillId="0" borderId="38" xfId="97" applyFont="1" applyBorder="1"/>
    <xf numFmtId="0" fontId="11" fillId="0" borderId="39" xfId="97" applyFont="1" applyBorder="1"/>
    <xf numFmtId="0" fontId="7" fillId="0" borderId="41" xfId="97" applyFont="1" applyBorder="1"/>
    <xf numFmtId="0" fontId="7" fillId="0" borderId="42" xfId="97" applyFont="1" applyBorder="1"/>
    <xf numFmtId="0" fontId="7" fillId="0" borderId="42" xfId="0" applyFont="1" applyBorder="1"/>
    <xf numFmtId="0" fontId="7" fillId="0" borderId="42" xfId="97" quotePrefix="1" applyFont="1" applyBorder="1"/>
    <xf numFmtId="0" fontId="7" fillId="0" borderId="40" xfId="97" applyFont="1" applyBorder="1"/>
    <xf numFmtId="0" fontId="15" fillId="24" borderId="0" xfId="0" applyFont="1" applyFill="1" applyAlignment="1">
      <alignment horizontal="right"/>
    </xf>
    <xf numFmtId="0" fontId="15" fillId="24" borderId="0" xfId="0" applyFont="1" applyFill="1"/>
    <xf numFmtId="0" fontId="11" fillId="0" borderId="0" xfId="0" applyFont="1" applyFill="1" applyAlignment="1">
      <alignment horizontal="left" indent="1"/>
    </xf>
    <xf numFmtId="9" fontId="11" fillId="0" borderId="0" xfId="104" applyFont="1" applyFill="1"/>
    <xf numFmtId="3" fontId="33" fillId="0" borderId="0" xfId="0" applyNumberFormat="1" applyFont="1" applyFill="1"/>
    <xf numFmtId="173" fontId="72" fillId="0" borderId="0" xfId="104" applyNumberFormat="1" applyFont="1" applyFill="1"/>
    <xf numFmtId="3" fontId="72" fillId="0" borderId="0" xfId="0" applyNumberFormat="1" applyFont="1" applyFill="1"/>
    <xf numFmtId="9" fontId="72" fillId="0" borderId="0" xfId="0" applyNumberFormat="1" applyFont="1" applyAlignment="1">
      <alignment horizontal="right"/>
    </xf>
    <xf numFmtId="200" fontId="11" fillId="0" borderId="0" xfId="104" applyNumberFormat="1" applyFont="1" applyFill="1"/>
    <xf numFmtId="9" fontId="11" fillId="0" borderId="0" xfId="0" applyNumberFormat="1" applyFont="1" applyFill="1"/>
    <xf numFmtId="3" fontId="7" fillId="0" borderId="0" xfId="0" applyNumberFormat="1" applyFont="1" applyBorder="1"/>
    <xf numFmtId="173" fontId="7" fillId="0" borderId="0" xfId="104" applyNumberFormat="1" applyFont="1" applyBorder="1"/>
    <xf numFmtId="173" fontId="11" fillId="23" borderId="0" xfId="0" applyNumberFormat="1" applyFont="1" applyFill="1" applyBorder="1"/>
    <xf numFmtId="167" fontId="11" fillId="23" borderId="0" xfId="97" applyNumberFormat="1" applyFont="1" applyFill="1" applyBorder="1" applyAlignment="1">
      <alignment horizontal="right"/>
    </xf>
    <xf numFmtId="0" fontId="22" fillId="24" borderId="0" xfId="97" applyFont="1" applyFill="1" applyBorder="1"/>
    <xf numFmtId="0" fontId="15" fillId="24" borderId="0" xfId="98" applyFont="1" applyFill="1" applyBorder="1"/>
    <xf numFmtId="0" fontId="22" fillId="24" borderId="0" xfId="98" applyFont="1" applyFill="1" applyBorder="1"/>
    <xf numFmtId="167" fontId="31" fillId="0" borderId="37" xfId="98" applyNumberFormat="1" applyFont="1" applyBorder="1"/>
    <xf numFmtId="167" fontId="11" fillId="23" borderId="42" xfId="97" applyNumberFormat="1" applyFont="1" applyFill="1" applyBorder="1" applyAlignment="1">
      <alignment horizontal="right"/>
    </xf>
    <xf numFmtId="9" fontId="7" fillId="0" borderId="0" xfId="104" applyFont="1" applyBorder="1"/>
    <xf numFmtId="0" fontId="11" fillId="15" borderId="0" xfId="0" applyFont="1" applyFill="1"/>
    <xf numFmtId="0" fontId="11" fillId="15" borderId="0" xfId="0" applyFont="1" applyFill="1" applyAlignment="1">
      <alignment horizontal="right"/>
    </xf>
    <xf numFmtId="166" fontId="11" fillId="0" borderId="0" xfId="0" applyNumberFormat="1" applyFont="1"/>
    <xf numFmtId="9" fontId="11" fillId="0" borderId="0" xfId="104" applyFont="1" applyBorder="1"/>
    <xf numFmtId="9" fontId="11" fillId="15" borderId="0" xfId="104" applyFont="1" applyFill="1"/>
    <xf numFmtId="0" fontId="31" fillId="15" borderId="0" xfId="0" applyFont="1" applyFill="1"/>
    <xf numFmtId="172" fontId="11" fillId="0" borderId="0" xfId="0" applyNumberFormat="1" applyFont="1"/>
    <xf numFmtId="172" fontId="11" fillId="0" borderId="0" xfId="0" applyNumberFormat="1" applyFont="1" applyFill="1"/>
    <xf numFmtId="0" fontId="17" fillId="15" borderId="0" xfId="0" applyFont="1" applyFill="1"/>
    <xf numFmtId="9" fontId="11" fillId="0" borderId="0" xfId="104" applyFont="1" applyFill="1" applyAlignment="1">
      <alignment horizontal="right"/>
    </xf>
    <xf numFmtId="173" fontId="11" fillId="15" borderId="0" xfId="104" applyNumberFormat="1" applyFont="1" applyFill="1"/>
    <xf numFmtId="1" fontId="11" fillId="0" borderId="0" xfId="0" applyNumberFormat="1" applyFont="1" applyFill="1"/>
    <xf numFmtId="1" fontId="11" fillId="15" borderId="0" xfId="0" applyNumberFormat="1" applyFont="1" applyFill="1"/>
    <xf numFmtId="168" fontId="11" fillId="0" borderId="0" xfId="0" applyNumberFormat="1" applyFont="1"/>
    <xf numFmtId="0" fontId="11" fillId="0" borderId="0" xfId="110" applyFont="1" applyFill="1" applyProtection="1">
      <protection locked="0"/>
    </xf>
    <xf numFmtId="2" fontId="11" fillId="15" borderId="0" xfId="0" applyNumberFormat="1" applyFont="1" applyFill="1"/>
    <xf numFmtId="43" fontId="11" fillId="0" borderId="0" xfId="37" applyFont="1" applyFill="1"/>
    <xf numFmtId="10" fontId="11" fillId="0" borderId="0" xfId="104" applyNumberFormat="1" applyFont="1"/>
    <xf numFmtId="9" fontId="11" fillId="15" borderId="0" xfId="104" applyFont="1" applyFill="1" applyBorder="1"/>
    <xf numFmtId="9" fontId="11" fillId="0" borderId="0" xfId="0" applyNumberFormat="1" applyFont="1"/>
    <xf numFmtId="169" fontId="11" fillId="0" borderId="0" xfId="37" applyNumberFormat="1" applyFont="1" applyFill="1"/>
    <xf numFmtId="169" fontId="11" fillId="0" borderId="0" xfId="37" applyNumberFormat="1" applyFont="1"/>
    <xf numFmtId="169" fontId="11" fillId="0" borderId="0" xfId="0" applyNumberFormat="1" applyFont="1" applyFill="1"/>
    <xf numFmtId="169" fontId="11" fillId="0" borderId="0" xfId="0" applyNumberFormat="1" applyFont="1"/>
    <xf numFmtId="171" fontId="11" fillId="0" borderId="0" xfId="37" applyNumberFormat="1" applyFont="1" applyFill="1"/>
    <xf numFmtId="171" fontId="11" fillId="0" borderId="0" xfId="37" applyNumberFormat="1" applyFont="1" applyFill="1" applyAlignment="1">
      <alignment horizontal="right"/>
    </xf>
    <xf numFmtId="167" fontId="31" fillId="0" borderId="0" xfId="98" applyNumberFormat="1" applyFont="1" applyBorder="1"/>
    <xf numFmtId="169" fontId="11" fillId="0" borderId="0" xfId="37" applyNumberFormat="1" applyFont="1" applyBorder="1"/>
    <xf numFmtId="176" fontId="11" fillId="0" borderId="0" xfId="91" applyNumberFormat="1" applyFont="1"/>
    <xf numFmtId="169" fontId="81" fillId="0" borderId="0" xfId="37" applyNumberFormat="1" applyFont="1" applyFill="1"/>
    <xf numFmtId="165" fontId="11" fillId="0" borderId="0" xfId="96" applyFont="1"/>
    <xf numFmtId="176" fontId="11" fillId="0" borderId="0" xfId="91" applyNumberFormat="1" applyFont="1" applyAlignment="1">
      <alignment horizontal="left" indent="2"/>
    </xf>
    <xf numFmtId="171" fontId="11" fillId="0" borderId="0" xfId="100" applyNumberFormat="1" applyFont="1"/>
    <xf numFmtId="171" fontId="11" fillId="0" borderId="0" xfId="100" applyNumberFormat="1" applyFont="1" applyAlignment="1">
      <alignment horizontal="left" indent="1"/>
    </xf>
    <xf numFmtId="0" fontId="28" fillId="0" borderId="0" xfId="0" applyFont="1" applyFill="1" applyBorder="1"/>
    <xf numFmtId="0" fontId="11" fillId="0" borderId="0" xfId="0" applyFont="1" applyFill="1" applyBorder="1"/>
    <xf numFmtId="3" fontId="11" fillId="15" borderId="0" xfId="104" applyNumberFormat="1" applyFont="1" applyFill="1" applyBorder="1"/>
    <xf numFmtId="172" fontId="11" fillId="15" borderId="0" xfId="104" applyNumberFormat="1" applyFont="1" applyFill="1" applyBorder="1"/>
    <xf numFmtId="0" fontId="11" fillId="0" borderId="0" xfId="0" applyFont="1" applyFill="1" applyBorder="1" applyAlignment="1">
      <alignment horizontal="left" indent="1"/>
    </xf>
    <xf numFmtId="0" fontId="11" fillId="15" borderId="0" xfId="0" applyFont="1" applyFill="1" applyBorder="1"/>
    <xf numFmtId="0" fontId="11" fillId="0" borderId="0" xfId="0" applyFont="1" applyBorder="1" applyAlignment="1">
      <alignment horizontal="right"/>
    </xf>
    <xf numFmtId="0" fontId="11" fillId="15" borderId="0" xfId="0" applyFont="1" applyFill="1" applyBorder="1" applyAlignment="1">
      <alignment horizontal="right"/>
    </xf>
    <xf numFmtId="0" fontId="11" fillId="0" borderId="0" xfId="0" applyFont="1" applyFill="1" applyBorder="1" applyAlignment="1">
      <alignment horizontal="right"/>
    </xf>
    <xf numFmtId="176" fontId="17" fillId="0" borderId="0" xfId="91" applyNumberFormat="1" applyFont="1" applyBorder="1"/>
    <xf numFmtId="195" fontId="17" fillId="0" borderId="0" xfId="96" applyNumberFormat="1" applyFont="1" applyFill="1" applyBorder="1" applyAlignment="1">
      <alignment horizontal="right" vertical="center"/>
    </xf>
    <xf numFmtId="0" fontId="11" fillId="0" borderId="59" xfId="0" applyFont="1" applyBorder="1"/>
    <xf numFmtId="167" fontId="31" fillId="0" borderId="59" xfId="98" applyNumberFormat="1" applyFont="1" applyBorder="1"/>
    <xf numFmtId="0" fontId="11" fillId="0" borderId="59" xfId="98" applyFont="1" applyBorder="1"/>
    <xf numFmtId="169" fontId="11" fillId="0" borderId="59" xfId="37" applyNumberFormat="1" applyFont="1" applyBorder="1"/>
    <xf numFmtId="3" fontId="11" fillId="15" borderId="59" xfId="104" applyNumberFormat="1" applyFont="1" applyFill="1" applyBorder="1"/>
    <xf numFmtId="0" fontId="64" fillId="23" borderId="0" xfId="0" applyFont="1" applyFill="1" applyAlignment="1">
      <alignment horizontal="right"/>
    </xf>
    <xf numFmtId="0" fontId="11" fillId="23" borderId="0" xfId="0" applyFont="1" applyFill="1"/>
    <xf numFmtId="0" fontId="11" fillId="23" borderId="0" xfId="0" applyFont="1" applyFill="1" applyBorder="1"/>
    <xf numFmtId="39" fontId="11" fillId="23" borderId="59" xfId="89" applyNumberFormat="1" applyFont="1" applyFill="1" applyBorder="1" applyAlignment="1">
      <alignment horizontal="right"/>
    </xf>
    <xf numFmtId="37" fontId="11" fillId="23" borderId="0" xfId="89" applyNumberFormat="1" applyFont="1" applyFill="1" applyAlignment="1">
      <alignment horizontal="right"/>
    </xf>
    <xf numFmtId="201" fontId="11" fillId="23" borderId="0" xfId="89" applyNumberFormat="1" applyFont="1" applyFill="1" applyAlignment="1">
      <alignment horizontal="right"/>
    </xf>
    <xf numFmtId="0" fontId="7" fillId="0" borderId="0" xfId="0" applyFont="1" applyBorder="1" applyAlignment="1">
      <alignment horizontal="right"/>
    </xf>
    <xf numFmtId="172" fontId="7" fillId="0" borderId="0" xfId="0" applyNumberFormat="1" applyFont="1" applyBorder="1"/>
    <xf numFmtId="1" fontId="7" fillId="0" borderId="0" xfId="0" applyNumberFormat="1" applyFont="1" applyBorder="1"/>
    <xf numFmtId="0" fontId="11" fillId="24" borderId="0" xfId="0" applyFont="1" applyFill="1"/>
    <xf numFmtId="9" fontId="11" fillId="23" borderId="0" xfId="104" applyNumberFormat="1" applyFont="1" applyFill="1"/>
    <xf numFmtId="0" fontId="11" fillId="15" borderId="0" xfId="0" applyFont="1" applyFill="1" applyAlignment="1">
      <alignment horizontal="left" indent="1"/>
    </xf>
    <xf numFmtId="0" fontId="0" fillId="24" borderId="0" xfId="0" applyFill="1"/>
    <xf numFmtId="0" fontId="11" fillId="0" borderId="48" xfId="0" applyFont="1" applyBorder="1"/>
    <xf numFmtId="0" fontId="17" fillId="0" borderId="48" xfId="0" applyFont="1" applyBorder="1" applyAlignment="1">
      <alignment horizontal="center"/>
    </xf>
    <xf numFmtId="0" fontId="11" fillId="0" borderId="48" xfId="0" applyFont="1" applyBorder="1" applyAlignment="1">
      <alignment horizontal="centerContinuous"/>
    </xf>
    <xf numFmtId="195" fontId="11" fillId="0" borderId="48" xfId="0" applyNumberFormat="1" applyFont="1" applyFill="1" applyBorder="1" applyAlignment="1">
      <alignment horizontal="right"/>
    </xf>
    <xf numFmtId="197" fontId="11" fillId="15" borderId="48" xfId="0" applyNumberFormat="1" applyFont="1" applyFill="1" applyBorder="1" applyAlignment="1">
      <alignment horizontal="right"/>
    </xf>
    <xf numFmtId="39" fontId="11" fillId="0" borderId="48" xfId="0" applyNumberFormat="1" applyFont="1" applyBorder="1"/>
    <xf numFmtId="198" fontId="65" fillId="0" borderId="60" xfId="116" applyNumberFormat="1" applyFont="1" applyFill="1" applyBorder="1"/>
    <xf numFmtId="0" fontId="65" fillId="0" borderId="0" xfId="0" applyFont="1"/>
    <xf numFmtId="198" fontId="65" fillId="0" borderId="33" xfId="117" applyNumberFormat="1" applyFont="1" applyFill="1" applyBorder="1" applyAlignment="1">
      <alignment horizontal="right"/>
    </xf>
    <xf numFmtId="198" fontId="66" fillId="0" borderId="33" xfId="117" applyNumberFormat="1" applyFont="1" applyFill="1" applyBorder="1" applyAlignment="1">
      <alignment horizontal="right"/>
    </xf>
    <xf numFmtId="198" fontId="66" fillId="0" borderId="33" xfId="116" applyNumberFormat="1" applyFont="1" applyFill="1" applyBorder="1"/>
    <xf numFmtId="0" fontId="17" fillId="26" borderId="56" xfId="0" applyFont="1" applyFill="1" applyBorder="1"/>
    <xf numFmtId="39" fontId="17" fillId="26" borderId="58" xfId="0" applyNumberFormat="1" applyFont="1" applyFill="1" applyBorder="1"/>
    <xf numFmtId="0" fontId="17" fillId="0" borderId="0" xfId="0" applyFont="1" applyFill="1"/>
    <xf numFmtId="0" fontId="65" fillId="15" borderId="0" xfId="0" applyFont="1" applyFill="1"/>
    <xf numFmtId="37" fontId="11" fillId="0" borderId="0" xfId="0" applyNumberFormat="1" applyFont="1"/>
    <xf numFmtId="173" fontId="11" fillId="26" borderId="0" xfId="118" applyNumberFormat="1" applyFont="1" applyFill="1"/>
    <xf numFmtId="0" fontId="17" fillId="0" borderId="0" xfId="0" applyFont="1" applyAlignment="1">
      <alignment horizontal="left"/>
    </xf>
    <xf numFmtId="37" fontId="17" fillId="0" borderId="0" xfId="0" applyNumberFormat="1" applyFont="1"/>
    <xf numFmtId="0" fontId="11" fillId="0" borderId="0" xfId="0" quotePrefix="1" applyFont="1" applyAlignment="1">
      <alignment horizontal="left"/>
    </xf>
    <xf numFmtId="0" fontId="87" fillId="0" borderId="0" xfId="0" applyFont="1" applyFill="1"/>
    <xf numFmtId="37" fontId="17" fillId="0" borderId="0" xfId="0" applyNumberFormat="1" applyFont="1" applyFill="1"/>
    <xf numFmtId="0" fontId="11" fillId="0" borderId="0" xfId="0" applyFont="1" applyAlignment="1">
      <alignment horizontal="right"/>
    </xf>
    <xf numFmtId="9" fontId="11" fillId="0" borderId="1" xfId="118" applyFont="1" applyBorder="1"/>
    <xf numFmtId="0" fontId="11" fillId="0" borderId="0" xfId="39" applyNumberFormat="1" applyFont="1"/>
    <xf numFmtId="173" fontId="11" fillId="0" borderId="61" xfId="118" applyNumberFormat="1" applyFont="1" applyBorder="1"/>
    <xf numFmtId="37" fontId="11" fillId="0" borderId="48" xfId="0" applyNumberFormat="1" applyFont="1" applyBorder="1"/>
    <xf numFmtId="166" fontId="11" fillId="0" borderId="0" xfId="116" applyNumberFormat="1" applyFont="1" applyFill="1"/>
    <xf numFmtId="0" fontId="17" fillId="26" borderId="57" xfId="0" applyFont="1" applyFill="1" applyBorder="1"/>
    <xf numFmtId="39" fontId="17" fillId="26" borderId="57" xfId="0" applyNumberFormat="1" applyFont="1" applyFill="1" applyBorder="1"/>
    <xf numFmtId="0" fontId="32" fillId="15" borderId="0" xfId="0" applyFont="1" applyFill="1"/>
    <xf numFmtId="9" fontId="32" fillId="15" borderId="0" xfId="118" applyFont="1" applyFill="1" applyBorder="1"/>
    <xf numFmtId="193" fontId="11" fillId="0" borderId="0" xfId="0" applyNumberFormat="1" applyFont="1" applyBorder="1"/>
    <xf numFmtId="193" fontId="65" fillId="0" borderId="0" xfId="0" applyNumberFormat="1" applyFont="1" applyBorder="1"/>
    <xf numFmtId="0" fontId="11" fillId="0" borderId="0" xfId="0" quotePrefix="1" applyFont="1" applyBorder="1" applyAlignment="1">
      <alignment horizontal="left"/>
    </xf>
    <xf numFmtId="193" fontId="11" fillId="0" borderId="0" xfId="0" applyNumberFormat="1" applyFont="1" applyFill="1" applyBorder="1"/>
    <xf numFmtId="37" fontId="11" fillId="0" borderId="0" xfId="0" applyNumberFormat="1" applyFont="1" applyFill="1" applyBorder="1"/>
    <xf numFmtId="0" fontId="11" fillId="0" borderId="15" xfId="0" applyFont="1" applyBorder="1"/>
    <xf numFmtId="0" fontId="0" fillId="0" borderId="25" xfId="0" applyBorder="1"/>
    <xf numFmtId="0" fontId="11" fillId="0" borderId="30" xfId="0" applyFont="1" applyFill="1" applyBorder="1" applyAlignment="1">
      <alignment horizontal="center"/>
    </xf>
    <xf numFmtId="0" fontId="17" fillId="0" borderId="22" xfId="0" applyFont="1" applyBorder="1" applyAlignment="1">
      <alignment horizontal="left"/>
    </xf>
    <xf numFmtId="0" fontId="17" fillId="0" borderId="15" xfId="0" applyFont="1" applyBorder="1" applyAlignment="1">
      <alignment horizontal="center"/>
    </xf>
    <xf numFmtId="0" fontId="11" fillId="0" borderId="15" xfId="0" applyFont="1" applyBorder="1" applyAlignment="1">
      <alignment horizontal="center"/>
    </xf>
    <xf numFmtId="172" fontId="11" fillId="0" borderId="26" xfId="118" applyNumberFormat="1" applyFont="1" applyBorder="1" applyAlignment="1">
      <alignment horizontal="center"/>
    </xf>
    <xf numFmtId="173" fontId="11" fillId="0" borderId="62" xfId="0" applyNumberFormat="1" applyFont="1" applyFill="1" applyBorder="1" applyAlignment="1">
      <alignment horizontal="right"/>
    </xf>
    <xf numFmtId="173" fontId="11" fillId="0" borderId="63" xfId="0" applyNumberFormat="1" applyFont="1" applyBorder="1" applyAlignment="1">
      <alignment horizontal="right"/>
    </xf>
    <xf numFmtId="173" fontId="11" fillId="27" borderId="63" xfId="0" applyNumberFormat="1" applyFont="1" applyFill="1" applyBorder="1" applyAlignment="1">
      <alignment horizontal="right"/>
    </xf>
    <xf numFmtId="173" fontId="11" fillId="0" borderId="20" xfId="0" applyNumberFormat="1" applyFont="1" applyBorder="1" applyAlignment="1">
      <alignment horizontal="right"/>
    </xf>
    <xf numFmtId="0" fontId="11" fillId="0" borderId="25" xfId="0" applyFont="1" applyBorder="1"/>
    <xf numFmtId="173" fontId="11" fillId="0" borderId="64" xfId="118" applyNumberFormat="1" applyFont="1" applyBorder="1" applyAlignment="1">
      <alignment horizontal="right"/>
    </xf>
    <xf numFmtId="172" fontId="11" fillId="0" borderId="65" xfId="118" applyNumberFormat="1" applyFont="1" applyBorder="1"/>
    <xf numFmtId="172" fontId="11" fillId="0" borderId="66" xfId="118" applyNumberFormat="1" applyFont="1" applyBorder="1"/>
    <xf numFmtId="172" fontId="11" fillId="27" borderId="66" xfId="118" applyNumberFormat="1" applyFont="1" applyFill="1" applyBorder="1"/>
    <xf numFmtId="173" fontId="11" fillId="0" borderId="67" xfId="118" applyNumberFormat="1" applyFont="1" applyBorder="1" applyAlignment="1">
      <alignment horizontal="right"/>
    </xf>
    <xf numFmtId="172" fontId="11" fillId="0" borderId="68" xfId="118" applyNumberFormat="1" applyFont="1" applyBorder="1"/>
    <xf numFmtId="172" fontId="11" fillId="0" borderId="69" xfId="118" applyNumberFormat="1" applyFont="1" applyBorder="1"/>
    <xf numFmtId="172" fontId="11" fillId="27" borderId="69" xfId="118" applyNumberFormat="1" applyFont="1" applyFill="1" applyBorder="1"/>
    <xf numFmtId="0" fontId="11" fillId="0" borderId="25" xfId="0" applyFont="1" applyBorder="1" applyAlignment="1">
      <alignment horizontal="right"/>
    </xf>
    <xf numFmtId="173" fontId="11" fillId="27" borderId="67" xfId="118" applyNumberFormat="1" applyFont="1" applyFill="1" applyBorder="1" applyAlignment="1">
      <alignment horizontal="right"/>
    </xf>
    <xf numFmtId="172" fontId="11" fillId="27" borderId="68" xfId="118" applyNumberFormat="1" applyFont="1" applyFill="1" applyBorder="1"/>
    <xf numFmtId="0" fontId="17" fillId="0" borderId="25" xfId="0" applyFont="1" applyBorder="1"/>
    <xf numFmtId="173" fontId="11" fillId="0" borderId="26" xfId="118" applyNumberFormat="1" applyFont="1" applyFill="1" applyBorder="1" applyAlignment="1">
      <alignment horizontal="right"/>
    </xf>
    <xf numFmtId="172" fontId="11" fillId="0" borderId="68" xfId="118" applyNumberFormat="1" applyFont="1" applyFill="1" applyBorder="1"/>
    <xf numFmtId="167" fontId="11" fillId="0" borderId="0" xfId="0" applyNumberFormat="1" applyFont="1" applyAlignment="1">
      <alignment horizontal="left"/>
    </xf>
    <xf numFmtId="173" fontId="11" fillId="0" borderId="0" xfId="118" applyNumberFormat="1" applyFont="1" applyBorder="1"/>
    <xf numFmtId="9" fontId="11" fillId="0" borderId="31" xfId="118" applyFont="1" applyBorder="1" applyAlignment="1">
      <alignment horizontal="center"/>
    </xf>
    <xf numFmtId="9" fontId="11" fillId="0" borderId="65" xfId="118" applyFont="1" applyBorder="1"/>
    <xf numFmtId="9" fontId="11" fillId="0" borderId="66" xfId="118" applyFont="1" applyBorder="1"/>
    <xf numFmtId="9" fontId="11" fillId="27" borderId="66" xfId="118" applyFont="1" applyFill="1" applyBorder="1"/>
    <xf numFmtId="9" fontId="11" fillId="0" borderId="68" xfId="118" applyFont="1" applyBorder="1"/>
    <xf numFmtId="9" fontId="11" fillId="0" borderId="69" xfId="118" applyFont="1" applyBorder="1"/>
    <xf numFmtId="9" fontId="11" fillId="27" borderId="69" xfId="118" applyFont="1" applyFill="1" applyBorder="1"/>
    <xf numFmtId="9" fontId="11" fillId="27" borderId="68" xfId="118" applyFont="1" applyFill="1" applyBorder="1"/>
    <xf numFmtId="9" fontId="11" fillId="0" borderId="68" xfId="118" applyFont="1" applyFill="1" applyBorder="1"/>
    <xf numFmtId="167" fontId="31" fillId="0" borderId="59" xfId="120" quotePrefix="1" applyNumberFormat="1" applyFont="1" applyBorder="1"/>
    <xf numFmtId="167" fontId="31" fillId="0" borderId="59" xfId="120" applyNumberFormat="1" applyFont="1" applyBorder="1"/>
    <xf numFmtId="167" fontId="31" fillId="0" borderId="59" xfId="120" applyNumberFormat="1" applyFont="1" applyBorder="1" applyAlignment="1">
      <alignment horizontal="right"/>
    </xf>
    <xf numFmtId="173" fontId="71" fillId="0" borderId="0" xfId="97" applyNumberFormat="1" applyFont="1" applyFill="1" applyBorder="1"/>
    <xf numFmtId="173" fontId="32" fillId="15" borderId="0" xfId="118" applyNumberFormat="1" applyFont="1" applyFill="1"/>
    <xf numFmtId="0" fontId="17" fillId="0" borderId="42" xfId="0" applyFont="1" applyFill="1" applyBorder="1"/>
    <xf numFmtId="0" fontId="11" fillId="0" borderId="42" xfId="0" applyFont="1" applyFill="1" applyBorder="1"/>
    <xf numFmtId="9" fontId="11" fillId="0" borderId="0" xfId="118" applyNumberFormat="1" applyFont="1" applyBorder="1"/>
    <xf numFmtId="178" fontId="11" fillId="0" borderId="0" xfId="0" applyNumberFormat="1" applyFont="1"/>
    <xf numFmtId="0" fontId="11" fillId="0" borderId="42" xfId="0" applyFont="1" applyBorder="1"/>
    <xf numFmtId="9" fontId="11" fillId="0" borderId="42" xfId="118" applyFont="1" applyBorder="1"/>
    <xf numFmtId="9" fontId="11" fillId="0" borderId="0" xfId="118" applyNumberFormat="1" applyFont="1"/>
    <xf numFmtId="9" fontId="11" fillId="0" borderId="42" xfId="118" applyNumberFormat="1" applyFont="1" applyBorder="1"/>
    <xf numFmtId="195" fontId="11" fillId="0" borderId="48" xfId="0" applyNumberFormat="1" applyFont="1" applyFill="1" applyBorder="1" applyAlignment="1">
      <alignment horizontal="center"/>
    </xf>
    <xf numFmtId="37" fontId="88" fillId="0" borderId="0" xfId="0" applyNumberFormat="1" applyFont="1" applyAlignment="1">
      <alignment horizontal="center"/>
    </xf>
    <xf numFmtId="169" fontId="11" fillId="0" borderId="0" xfId="37" applyNumberFormat="1" applyFont="1" applyFill="1" applyBorder="1"/>
    <xf numFmtId="0" fontId="28" fillId="18" borderId="0" xfId="0" applyFont="1" applyFill="1" applyBorder="1"/>
    <xf numFmtId="0" fontId="11" fillId="0" borderId="0" xfId="99" applyFont="1" applyFill="1" applyBorder="1"/>
    <xf numFmtId="0" fontId="13" fillId="0" borderId="0" xfId="99" applyFont="1" applyFill="1" applyBorder="1"/>
    <xf numFmtId="0" fontId="62" fillId="0" borderId="0" xfId="99" applyFont="1" applyFill="1" applyBorder="1"/>
    <xf numFmtId="0" fontId="11" fillId="0" borderId="15" xfId="99" applyFont="1" applyFill="1" applyBorder="1" applyAlignment="1">
      <alignment horizontal="center"/>
    </xf>
    <xf numFmtId="0" fontId="11" fillId="0" borderId="15" xfId="99" applyFont="1" applyFill="1" applyBorder="1"/>
    <xf numFmtId="0" fontId="11" fillId="0" borderId="32" xfId="89" applyFont="1" applyBorder="1" applyAlignment="1">
      <alignment horizontal="centerContinuous"/>
    </xf>
    <xf numFmtId="2" fontId="11" fillId="0" borderId="0" xfId="99" applyNumberFormat="1" applyFont="1" applyFill="1" applyBorder="1"/>
    <xf numFmtId="9" fontId="11" fillId="0" borderId="0" xfId="104" applyFont="1" applyFill="1" applyBorder="1"/>
    <xf numFmtId="14" fontId="11" fillId="0" borderId="0" xfId="99" applyNumberFormat="1" applyFont="1" applyFill="1" applyBorder="1"/>
    <xf numFmtId="1" fontId="85" fillId="19" borderId="32" xfId="89" applyNumberFormat="1" applyFont="1" applyFill="1" applyBorder="1" applyAlignment="1">
      <alignment horizontal="centerContinuous"/>
    </xf>
    <xf numFmtId="0" fontId="17" fillId="0" borderId="0" xfId="89" applyFont="1" applyAlignment="1">
      <alignment horizontal="center"/>
    </xf>
    <xf numFmtId="0" fontId="11" fillId="0" borderId="0" xfId="89" applyFont="1"/>
    <xf numFmtId="0" fontId="11" fillId="0" borderId="0" xfId="0" applyFont="1" applyFill="1" applyAlignment="1">
      <alignment horizontal="center"/>
    </xf>
    <xf numFmtId="39" fontId="11" fillId="0" borderId="0" xfId="99" applyNumberFormat="1" applyFont="1" applyFill="1" applyBorder="1"/>
    <xf numFmtId="173" fontId="31" fillId="0" borderId="0" xfId="104" applyNumberFormat="1" applyFont="1" applyFill="1" applyBorder="1"/>
    <xf numFmtId="171" fontId="11" fillId="0" borderId="0" xfId="37" applyNumberFormat="1" applyFont="1"/>
    <xf numFmtId="171" fontId="87" fillId="0" borderId="0" xfId="37" applyNumberFormat="1" applyFont="1"/>
    <xf numFmtId="169" fontId="87" fillId="0" borderId="0" xfId="37" applyNumberFormat="1" applyFont="1"/>
    <xf numFmtId="0" fontId="28" fillId="18" borderId="0" xfId="97" applyFont="1" applyFill="1" applyBorder="1"/>
    <xf numFmtId="165" fontId="11" fillId="0" borderId="0" xfId="96" applyFont="1" applyBorder="1"/>
    <xf numFmtId="182" fontId="11" fillId="0" borderId="0" xfId="96" applyNumberFormat="1" applyFont="1" applyAlignment="1">
      <alignment horizontal="left"/>
    </xf>
    <xf numFmtId="165" fontId="11" fillId="0" borderId="0" xfId="96" applyFont="1" applyBorder="1" applyAlignment="1">
      <alignment horizontal="center"/>
    </xf>
    <xf numFmtId="165" fontId="28" fillId="24" borderId="0" xfId="96" applyFont="1" applyFill="1" applyAlignment="1">
      <alignment horizontal="center" vertical="center"/>
    </xf>
    <xf numFmtId="195" fontId="11" fillId="0" borderId="0" xfId="96" applyNumberFormat="1" applyFont="1"/>
    <xf numFmtId="165" fontId="17" fillId="0" borderId="18" xfId="96" applyFont="1" applyBorder="1" applyAlignment="1">
      <alignment horizontal="left" vertical="center" indent="1"/>
    </xf>
    <xf numFmtId="169" fontId="17" fillId="0" borderId="19" xfId="37" applyNumberFormat="1" applyFont="1" applyBorder="1" applyAlignment="1">
      <alignment vertical="center"/>
    </xf>
    <xf numFmtId="169" fontId="11" fillId="0" borderId="47" xfId="37" applyNumberFormat="1" applyFont="1" applyBorder="1"/>
    <xf numFmtId="169" fontId="70" fillId="0" borderId="0" xfId="37" applyNumberFormat="1" applyFont="1" applyBorder="1"/>
    <xf numFmtId="169" fontId="70" fillId="0" borderId="0" xfId="37" applyNumberFormat="1" applyFont="1"/>
    <xf numFmtId="169" fontId="11" fillId="0" borderId="47" xfId="37" applyNumberFormat="1" applyFont="1" applyFill="1" applyBorder="1"/>
    <xf numFmtId="173" fontId="11" fillId="0" borderId="15" xfId="104" applyNumberFormat="1" applyFont="1" applyBorder="1"/>
    <xf numFmtId="173" fontId="70" fillId="0" borderId="15" xfId="104" applyNumberFormat="1" applyFont="1" applyBorder="1"/>
    <xf numFmtId="169" fontId="70" fillId="0" borderId="0" xfId="37" applyNumberFormat="1" applyFont="1" applyFill="1"/>
    <xf numFmtId="169" fontId="17" fillId="0" borderId="0" xfId="37" applyNumberFormat="1" applyFont="1"/>
    <xf numFmtId="169" fontId="17" fillId="0" borderId="47" xfId="37" applyNumberFormat="1" applyFont="1" applyFill="1" applyBorder="1"/>
    <xf numFmtId="169" fontId="77" fillId="0" borderId="0" xfId="37" applyNumberFormat="1" applyFont="1"/>
    <xf numFmtId="9" fontId="11" fillId="0" borderId="47" xfId="104" applyFont="1" applyFill="1" applyBorder="1"/>
    <xf numFmtId="9" fontId="70" fillId="0" borderId="0" xfId="104" applyFont="1" applyFill="1"/>
    <xf numFmtId="171" fontId="11" fillId="0" borderId="47" xfId="37" applyNumberFormat="1" applyFont="1" applyBorder="1"/>
    <xf numFmtId="171" fontId="70" fillId="0" borderId="0" xfId="37" applyNumberFormat="1" applyFont="1"/>
    <xf numFmtId="43" fontId="17" fillId="0" borderId="19" xfId="37" applyFont="1" applyBorder="1" applyAlignment="1">
      <alignment vertical="center"/>
    </xf>
    <xf numFmtId="165" fontId="88" fillId="0" borderId="0" xfId="96" applyFont="1" applyBorder="1"/>
    <xf numFmtId="173" fontId="70" fillId="0" borderId="0" xfId="104" applyNumberFormat="1" applyFont="1" applyBorder="1"/>
    <xf numFmtId="173" fontId="11" fillId="0" borderId="0" xfId="104" applyNumberFormat="1" applyFont="1" applyBorder="1"/>
    <xf numFmtId="176" fontId="11" fillId="0" borderId="0" xfId="91" applyNumberFormat="1" applyFont="1" applyBorder="1"/>
    <xf numFmtId="171" fontId="11" fillId="0" borderId="0" xfId="37" applyNumberFormat="1" applyFont="1" applyBorder="1"/>
    <xf numFmtId="171" fontId="11" fillId="0" borderId="0" xfId="37" applyNumberFormat="1" applyFont="1" applyFill="1" applyBorder="1"/>
    <xf numFmtId="171" fontId="70" fillId="0" borderId="0" xfId="37" applyNumberFormat="1" applyFont="1" applyBorder="1"/>
    <xf numFmtId="169" fontId="17" fillId="0" borderId="19" xfId="37" applyNumberFormat="1" applyFont="1" applyFill="1" applyBorder="1" applyAlignment="1">
      <alignment vertical="center"/>
    </xf>
    <xf numFmtId="165" fontId="17" fillId="0" borderId="18" xfId="96" applyFont="1" applyBorder="1" applyAlignment="1">
      <alignment horizontal="left" vertical="center"/>
    </xf>
    <xf numFmtId="171" fontId="17" fillId="0" borderId="0" xfId="100" applyNumberFormat="1" applyFont="1"/>
    <xf numFmtId="169" fontId="17" fillId="0" borderId="0" xfId="0" applyNumberFormat="1" applyFont="1" applyFill="1"/>
    <xf numFmtId="0" fontId="11" fillId="0" borderId="47" xfId="0" applyFont="1" applyBorder="1"/>
    <xf numFmtId="0" fontId="70" fillId="0" borderId="0" xfId="0" applyFont="1"/>
    <xf numFmtId="169" fontId="17" fillId="0" borderId="0" xfId="0" applyNumberFormat="1" applyFont="1"/>
    <xf numFmtId="171" fontId="17" fillId="0" borderId="0" xfId="100" applyNumberFormat="1" applyFont="1" applyBorder="1"/>
    <xf numFmtId="0" fontId="11" fillId="0" borderId="0" xfId="92" applyFont="1"/>
    <xf numFmtId="0" fontId="11" fillId="0" borderId="0" xfId="92" applyFont="1" applyBorder="1"/>
    <xf numFmtId="176" fontId="17" fillId="0" borderId="0" xfId="96" applyNumberFormat="1" applyFont="1" applyBorder="1"/>
    <xf numFmtId="195" fontId="17" fillId="0" borderId="48" xfId="96" applyNumberFormat="1" applyFont="1" applyFill="1" applyBorder="1" applyAlignment="1">
      <alignment horizontal="right" vertical="center"/>
    </xf>
    <xf numFmtId="180" fontId="28" fillId="0" borderId="0" xfId="96" applyNumberFormat="1" applyFont="1" applyBorder="1" applyAlignment="1">
      <alignment horizontal="right" vertical="center"/>
    </xf>
    <xf numFmtId="169" fontId="17" fillId="0" borderId="0" xfId="37" applyNumberFormat="1" applyFont="1" applyBorder="1"/>
    <xf numFmtId="169" fontId="17" fillId="0" borderId="47" xfId="37" applyNumberFormat="1" applyFont="1" applyBorder="1"/>
    <xf numFmtId="169" fontId="77" fillId="0" borderId="0" xfId="37" applyNumberFormat="1" applyFont="1" applyBorder="1"/>
    <xf numFmtId="43" fontId="11" fillId="0" borderId="0" xfId="37" applyFont="1"/>
    <xf numFmtId="169" fontId="64" fillId="0" borderId="0" xfId="37" applyNumberFormat="1" applyFont="1" applyBorder="1"/>
    <xf numFmtId="1" fontId="11" fillId="0" borderId="0" xfId="0" applyNumberFormat="1" applyFont="1"/>
    <xf numFmtId="0" fontId="11" fillId="0" borderId="0" xfId="0" applyFont="1" applyAlignment="1">
      <alignment horizontal="left" indent="2"/>
    </xf>
    <xf numFmtId="0" fontId="11" fillId="0" borderId="47" xfId="0" applyFont="1" applyFill="1" applyBorder="1"/>
    <xf numFmtId="37" fontId="17" fillId="0" borderId="0" xfId="37" applyNumberFormat="1" applyFont="1" applyBorder="1" applyAlignment="1">
      <alignment horizontal="left"/>
    </xf>
    <xf numFmtId="0" fontId="17" fillId="0" borderId="0" xfId="0" applyFont="1" applyAlignment="1">
      <alignment horizontal="left" indent="1"/>
    </xf>
    <xf numFmtId="171" fontId="17" fillId="0" borderId="0" xfId="37" applyNumberFormat="1" applyFont="1"/>
    <xf numFmtId="43" fontId="11" fillId="0" borderId="0" xfId="0" applyNumberFormat="1" applyFont="1"/>
    <xf numFmtId="9" fontId="17" fillId="0" borderId="0" xfId="104" applyFont="1" applyBorder="1"/>
    <xf numFmtId="0" fontId="11" fillId="0" borderId="47" xfId="92" applyFont="1" applyBorder="1"/>
    <xf numFmtId="9" fontId="70" fillId="0" borderId="0" xfId="104" applyFont="1"/>
    <xf numFmtId="0" fontId="64" fillId="0" borderId="0" xfId="0" applyFont="1"/>
    <xf numFmtId="173" fontId="11" fillId="0" borderId="47" xfId="104" applyNumberFormat="1" applyFont="1" applyBorder="1"/>
    <xf numFmtId="173" fontId="70" fillId="0" borderId="0" xfId="104" applyNumberFormat="1" applyFont="1"/>
    <xf numFmtId="43" fontId="11" fillId="0" borderId="0" xfId="37" applyFont="1" applyBorder="1"/>
    <xf numFmtId="186" fontId="11" fillId="0" borderId="0" xfId="96" applyNumberFormat="1" applyFont="1"/>
    <xf numFmtId="0" fontId="17" fillId="0" borderId="0" xfId="92" applyFont="1"/>
    <xf numFmtId="9" fontId="11" fillId="0" borderId="47" xfId="104" applyFont="1" applyFill="1" applyBorder="1" applyAlignment="1">
      <alignment horizontal="right"/>
    </xf>
    <xf numFmtId="0" fontId="70" fillId="0" borderId="0" xfId="0" applyFont="1" applyFill="1"/>
    <xf numFmtId="0" fontId="70" fillId="0" borderId="0" xfId="92" applyFont="1" applyBorder="1"/>
    <xf numFmtId="165" fontId="11" fillId="0" borderId="0" xfId="96" applyFont="1" applyFill="1" applyBorder="1"/>
    <xf numFmtId="0" fontId="11" fillId="0" borderId="0" xfId="92" applyFont="1" applyFill="1"/>
    <xf numFmtId="171" fontId="70" fillId="0" borderId="0" xfId="37" applyNumberFormat="1" applyFont="1" applyFill="1" applyBorder="1"/>
    <xf numFmtId="0" fontId="11" fillId="0" borderId="0" xfId="92" applyFont="1" applyAlignment="1">
      <alignment horizontal="left" indent="1"/>
    </xf>
    <xf numFmtId="9" fontId="11" fillId="0" borderId="0" xfId="104" applyFont="1" applyBorder="1" applyAlignment="1">
      <alignment horizontal="right"/>
    </xf>
    <xf numFmtId="9" fontId="11" fillId="0" borderId="0" xfId="104" applyFont="1" applyFill="1" applyBorder="1" applyAlignment="1">
      <alignment horizontal="right"/>
    </xf>
    <xf numFmtId="9" fontId="11" fillId="0" borderId="47" xfId="104" applyFont="1" applyBorder="1" applyAlignment="1">
      <alignment horizontal="right"/>
    </xf>
    <xf numFmtId="173" fontId="11" fillId="0" borderId="0" xfId="104" applyNumberFormat="1" applyFont="1" applyAlignment="1">
      <alignment horizontal="right"/>
    </xf>
    <xf numFmtId="167" fontId="31" fillId="0" borderId="0" xfId="98" applyNumberFormat="1" applyFont="1"/>
    <xf numFmtId="0" fontId="11" fillId="0" borderId="0" xfId="98" applyFont="1" applyBorder="1"/>
    <xf numFmtId="3" fontId="11" fillId="0" borderId="0" xfId="104" applyNumberFormat="1" applyFont="1" applyBorder="1"/>
    <xf numFmtId="169" fontId="17" fillId="0" borderId="0" xfId="37" applyNumberFormat="1" applyFont="1" applyFill="1"/>
    <xf numFmtId="9" fontId="11" fillId="0" borderId="47" xfId="104" applyFont="1" applyBorder="1"/>
    <xf numFmtId="37" fontId="11" fillId="0" borderId="0" xfId="0" applyNumberFormat="1" applyFont="1" applyFill="1"/>
    <xf numFmtId="0" fontId="11" fillId="0" borderId="13" xfId="0" applyFont="1" applyBorder="1"/>
    <xf numFmtId="0" fontId="11" fillId="0" borderId="27" xfId="0" applyFont="1" applyBorder="1"/>
    <xf numFmtId="0" fontId="11" fillId="0" borderId="28" xfId="0" applyFont="1" applyBorder="1"/>
    <xf numFmtId="0" fontId="28" fillId="24" borderId="0" xfId="97" applyFont="1" applyFill="1" applyBorder="1"/>
    <xf numFmtId="0" fontId="28" fillId="24" borderId="0" xfId="97" applyFont="1" applyFill="1" applyBorder="1" applyAlignment="1">
      <alignment horizontal="right"/>
    </xf>
    <xf numFmtId="0" fontId="92" fillId="24" borderId="0" xfId="0" applyFont="1" applyFill="1"/>
    <xf numFmtId="0" fontId="92" fillId="24" borderId="0" xfId="97" applyFont="1" applyFill="1"/>
    <xf numFmtId="0" fontId="28" fillId="24" borderId="0" xfId="97" applyFont="1" applyFill="1"/>
    <xf numFmtId="0" fontId="92" fillId="24" borderId="0" xfId="97" applyFont="1" applyFill="1" applyBorder="1" applyAlignment="1">
      <alignment horizontal="left"/>
    </xf>
    <xf numFmtId="0" fontId="11" fillId="23" borderId="42" xfId="0" applyFont="1" applyFill="1" applyBorder="1"/>
    <xf numFmtId="0" fontId="15" fillId="24" borderId="0" xfId="0" applyFont="1" applyFill="1" applyBorder="1" applyAlignment="1">
      <alignment horizontal="right"/>
    </xf>
    <xf numFmtId="0" fontId="28" fillId="18" borderId="0" xfId="98" applyFont="1" applyFill="1" applyBorder="1"/>
    <xf numFmtId="0" fontId="28" fillId="18" borderId="0" xfId="97" applyFont="1" applyFill="1" applyBorder="1" applyAlignment="1">
      <alignment horizontal="right"/>
    </xf>
    <xf numFmtId="0" fontId="11" fillId="15" borderId="15" xfId="0" applyFont="1" applyFill="1" applyBorder="1" applyAlignment="1">
      <alignment horizontal="center"/>
    </xf>
    <xf numFmtId="9" fontId="11" fillId="15" borderId="0" xfId="104" applyFont="1" applyFill="1" applyAlignment="1">
      <alignment horizontal="center"/>
    </xf>
    <xf numFmtId="0" fontId="11" fillId="15" borderId="0" xfId="0" applyFont="1" applyFill="1" applyAlignment="1">
      <alignment horizontal="center"/>
    </xf>
    <xf numFmtId="3" fontId="64" fillId="15" borderId="0" xfId="0" applyNumberFormat="1" applyFont="1" applyFill="1"/>
    <xf numFmtId="3" fontId="11" fillId="15" borderId="0" xfId="0" applyNumberFormat="1" applyFont="1" applyFill="1"/>
    <xf numFmtId="0" fontId="64" fillId="15" borderId="0" xfId="0" applyFont="1" applyFill="1"/>
    <xf numFmtId="37" fontId="11" fillId="15" borderId="0" xfId="0" applyNumberFormat="1" applyFont="1" applyFill="1"/>
    <xf numFmtId="2" fontId="64" fillId="15" borderId="0" xfId="0" applyNumberFormat="1" applyFont="1" applyFill="1"/>
    <xf numFmtId="39" fontId="64" fillId="15" borderId="0" xfId="0" applyNumberFormat="1" applyFont="1" applyFill="1"/>
    <xf numFmtId="9" fontId="11" fillId="15" borderId="0" xfId="104" applyFont="1" applyFill="1" applyAlignment="1">
      <alignment horizontal="right"/>
    </xf>
    <xf numFmtId="0" fontId="73" fillId="0" borderId="42" xfId="0" applyFont="1" applyFill="1" applyBorder="1"/>
    <xf numFmtId="43" fontId="11" fillId="15" borderId="0" xfId="0" applyNumberFormat="1" applyFont="1" applyFill="1"/>
    <xf numFmtId="9" fontId="11" fillId="15" borderId="0" xfId="0" applyNumberFormat="1" applyFont="1" applyFill="1"/>
    <xf numFmtId="0" fontId="73" fillId="0" borderId="0" xfId="0" applyFont="1" applyFill="1"/>
    <xf numFmtId="167" fontId="31" fillId="15" borderId="0" xfId="0" applyNumberFormat="1" applyFont="1" applyFill="1"/>
    <xf numFmtId="167" fontId="31" fillId="15" borderId="0" xfId="0" applyNumberFormat="1" applyFont="1" applyFill="1" applyAlignment="1">
      <alignment horizontal="right"/>
    </xf>
    <xf numFmtId="0" fontId="73" fillId="0" borderId="42" xfId="0" applyFont="1" applyFill="1" applyBorder="1" applyAlignment="1">
      <alignment horizontal="center"/>
    </xf>
    <xf numFmtId="9" fontId="11" fillId="15" borderId="0" xfId="0" applyNumberFormat="1" applyFont="1" applyFill="1" applyAlignment="1">
      <alignment horizontal="center"/>
    </xf>
    <xf numFmtId="169" fontId="11" fillId="15" borderId="0" xfId="37" applyNumberFormat="1" applyFont="1" applyFill="1"/>
    <xf numFmtId="43" fontId="11" fillId="25" borderId="0" xfId="0" applyNumberFormat="1" applyFont="1" applyFill="1"/>
    <xf numFmtId="39" fontId="11" fillId="15" borderId="15" xfId="0" applyNumberFormat="1" applyFont="1" applyFill="1" applyBorder="1"/>
    <xf numFmtId="0" fontId="27" fillId="24" borderId="0" xfId="0" applyFont="1" applyFill="1"/>
    <xf numFmtId="38" fontId="11" fillId="15" borderId="0" xfId="0" applyNumberFormat="1" applyFont="1" applyFill="1"/>
    <xf numFmtId="3" fontId="17" fillId="19" borderId="0" xfId="0" applyNumberFormat="1" applyFont="1" applyFill="1"/>
    <xf numFmtId="169" fontId="11" fillId="0" borderId="47" xfId="0" applyNumberFormat="1" applyFont="1" applyFill="1" applyBorder="1"/>
    <xf numFmtId="169" fontId="70" fillId="0" borderId="0" xfId="0" applyNumberFormat="1" applyFont="1" applyFill="1"/>
    <xf numFmtId="173" fontId="87" fillId="0" borderId="0" xfId="104" applyNumberFormat="1" applyFont="1"/>
    <xf numFmtId="173" fontId="11" fillId="0" borderId="0" xfId="0" applyNumberFormat="1" applyFont="1"/>
    <xf numFmtId="173" fontId="11" fillId="0" borderId="47" xfId="104" applyNumberFormat="1" applyFont="1" applyFill="1" applyBorder="1"/>
    <xf numFmtId="0" fontId="11" fillId="0" borderId="0" xfId="98" applyFont="1"/>
    <xf numFmtId="0" fontId="11" fillId="0" borderId="0" xfId="93" applyFont="1" applyBorder="1"/>
    <xf numFmtId="180" fontId="28" fillId="0" borderId="0" xfId="96" applyNumberFormat="1" applyFont="1" applyFill="1" applyBorder="1" applyAlignment="1">
      <alignment horizontal="right" vertical="center"/>
    </xf>
    <xf numFmtId="0" fontId="11" fillId="0" borderId="0" xfId="93" applyFont="1" applyFill="1" applyBorder="1"/>
    <xf numFmtId="174" fontId="11" fillId="0" borderId="0" xfId="37" applyNumberFormat="1" applyFont="1" applyFill="1"/>
    <xf numFmtId="169" fontId="17" fillId="0" borderId="0" xfId="37" applyNumberFormat="1" applyFont="1" applyFill="1" applyBorder="1"/>
    <xf numFmtId="174" fontId="11" fillId="0" borderId="0" xfId="37" applyNumberFormat="1" applyFont="1" applyBorder="1"/>
    <xf numFmtId="174" fontId="11" fillId="0" borderId="0" xfId="0" applyNumberFormat="1" applyFont="1"/>
    <xf numFmtId="180" fontId="28" fillId="0" borderId="0" xfId="96" applyNumberFormat="1" applyFont="1" applyAlignment="1">
      <alignment horizontal="right" vertical="center"/>
    </xf>
    <xf numFmtId="43" fontId="17" fillId="0" borderId="0" xfId="37" applyFont="1" applyAlignment="1">
      <alignment horizontal="right" vertical="center"/>
    </xf>
    <xf numFmtId="9" fontId="11" fillId="0" borderId="0" xfId="104" applyFont="1" applyAlignment="1">
      <alignment horizontal="right"/>
    </xf>
    <xf numFmtId="180" fontId="28" fillId="0" borderId="0" xfId="96" applyNumberFormat="1" applyFont="1" applyFill="1" applyAlignment="1">
      <alignment horizontal="right" vertical="center"/>
    </xf>
    <xf numFmtId="43" fontId="11" fillId="0" borderId="0" xfId="37" applyFont="1" applyFill="1" applyBorder="1"/>
    <xf numFmtId="43" fontId="64" fillId="0" borderId="0" xfId="37" applyFont="1" applyBorder="1"/>
    <xf numFmtId="169" fontId="87" fillId="0" borderId="0" xfId="37" applyNumberFormat="1" applyFont="1" applyFill="1"/>
    <xf numFmtId="169" fontId="87" fillId="0" borderId="0" xfId="37" applyNumberFormat="1" applyFont="1" applyFill="1" applyBorder="1"/>
    <xf numFmtId="1" fontId="11" fillId="0" borderId="0" xfId="37" applyNumberFormat="1" applyFont="1" applyBorder="1"/>
    <xf numFmtId="3" fontId="11" fillId="0" borderId="0" xfId="0" applyNumberFormat="1" applyFont="1" applyBorder="1"/>
    <xf numFmtId="173" fontId="31" fillId="0" borderId="0" xfId="104" applyNumberFormat="1" applyFont="1" applyBorder="1"/>
    <xf numFmtId="0" fontId="11" fillId="0" borderId="15" xfId="0" applyFont="1" applyFill="1" applyBorder="1"/>
    <xf numFmtId="0" fontId="17" fillId="0" borderId="48" xfId="0" applyFont="1" applyFill="1" applyBorder="1" applyAlignment="1">
      <alignment horizontal="right"/>
    </xf>
    <xf numFmtId="172" fontId="70" fillId="0" borderId="0" xfId="0" applyNumberFormat="1" applyFont="1" applyFill="1"/>
    <xf numFmtId="172" fontId="11" fillId="0" borderId="0" xfId="104" applyNumberFormat="1" applyFont="1"/>
    <xf numFmtId="172" fontId="70" fillId="0" borderId="0" xfId="104" applyNumberFormat="1" applyFont="1" applyFill="1"/>
    <xf numFmtId="0" fontId="88" fillId="0" borderId="0" xfId="0" applyFont="1"/>
    <xf numFmtId="172" fontId="11" fillId="0" borderId="0" xfId="104" applyNumberFormat="1" applyFont="1" applyFill="1"/>
    <xf numFmtId="172" fontId="11" fillId="0" borderId="0" xfId="104" applyNumberFormat="1" applyFont="1" applyBorder="1" applyAlignment="1">
      <alignment horizontal="left" indent="1"/>
    </xf>
    <xf numFmtId="172" fontId="17" fillId="0" borderId="0" xfId="104" applyNumberFormat="1" applyFont="1" applyFill="1" applyBorder="1" applyAlignment="1">
      <alignment horizontal="left" indent="1"/>
    </xf>
    <xf numFmtId="172" fontId="17" fillId="0" borderId="0" xfId="104" applyNumberFormat="1" applyFont="1"/>
    <xf numFmtId="3" fontId="11" fillId="0" borderId="0" xfId="104" applyNumberFormat="1" applyFont="1"/>
    <xf numFmtId="3" fontId="70" fillId="0" borderId="0" xfId="104" applyNumberFormat="1" applyFont="1" applyFill="1"/>
    <xf numFmtId="3" fontId="11" fillId="0" borderId="0" xfId="104" applyNumberFormat="1" applyFont="1" applyFill="1"/>
    <xf numFmtId="3" fontId="17" fillId="0" borderId="0" xfId="104" applyNumberFormat="1" applyFont="1" applyFill="1" applyBorder="1"/>
    <xf numFmtId="172" fontId="11" fillId="0" borderId="0" xfId="104" applyNumberFormat="1" applyFont="1" applyBorder="1"/>
    <xf numFmtId="3" fontId="17" fillId="0" borderId="0" xfId="104" applyNumberFormat="1" applyFont="1" applyFill="1"/>
    <xf numFmtId="9" fontId="17" fillId="0" borderId="0" xfId="104" applyFont="1" applyFill="1"/>
    <xf numFmtId="3" fontId="11" fillId="0" borderId="0" xfId="104" applyNumberFormat="1" applyFont="1" applyFill="1" applyBorder="1"/>
    <xf numFmtId="173" fontId="17" fillId="0" borderId="0" xfId="104" applyNumberFormat="1" applyFont="1"/>
    <xf numFmtId="3" fontId="17" fillId="0" borderId="0" xfId="104" applyNumberFormat="1" applyFont="1" applyBorder="1"/>
    <xf numFmtId="172" fontId="11" fillId="0" borderId="0" xfId="104" applyNumberFormat="1" applyFont="1" applyFill="1" applyBorder="1"/>
    <xf numFmtId="9" fontId="17" fillId="0" borderId="0" xfId="104" applyFont="1"/>
    <xf numFmtId="173" fontId="17" fillId="0" borderId="0" xfId="104" applyNumberFormat="1" applyFont="1" applyBorder="1"/>
    <xf numFmtId="1" fontId="70" fillId="0" borderId="0" xfId="104" applyNumberFormat="1" applyFont="1" applyFill="1"/>
    <xf numFmtId="0" fontId="11" fillId="0" borderId="0" xfId="98" applyFont="1" applyFill="1"/>
    <xf numFmtId="172" fontId="11" fillId="0" borderId="0" xfId="98" applyNumberFormat="1" applyFont="1" applyAlignment="1">
      <alignment horizontal="right"/>
    </xf>
    <xf numFmtId="172" fontId="70" fillId="0" borderId="0" xfId="98" applyNumberFormat="1" applyFont="1" applyAlignment="1">
      <alignment horizontal="right"/>
    </xf>
    <xf numFmtId="172" fontId="11" fillId="15" borderId="0" xfId="98" applyNumberFormat="1" applyFont="1" applyFill="1" applyBorder="1" applyAlignment="1">
      <alignment horizontal="right"/>
    </xf>
    <xf numFmtId="172" fontId="11" fillId="15" borderId="0" xfId="98" applyNumberFormat="1" applyFont="1" applyFill="1" applyAlignment="1">
      <alignment horizontal="right"/>
    </xf>
    <xf numFmtId="172" fontId="70" fillId="15" borderId="0" xfId="98" applyNumberFormat="1" applyFont="1" applyFill="1" applyAlignment="1">
      <alignment horizontal="right"/>
    </xf>
    <xf numFmtId="0" fontId="11" fillId="15" borderId="0" xfId="98" applyFont="1" applyFill="1" applyBorder="1"/>
    <xf numFmtId="9" fontId="11" fillId="15" borderId="0" xfId="104" applyFont="1" applyFill="1" applyBorder="1" applyAlignment="1">
      <alignment horizontal="right"/>
    </xf>
    <xf numFmtId="9" fontId="70" fillId="15" borderId="0" xfId="104" applyFont="1" applyFill="1" applyAlignment="1">
      <alignment horizontal="right"/>
    </xf>
    <xf numFmtId="3" fontId="11" fillId="15" borderId="0" xfId="98" applyNumberFormat="1" applyFont="1" applyFill="1"/>
    <xf numFmtId="3" fontId="70" fillId="15" borderId="0" xfId="98" applyNumberFormat="1" applyFont="1" applyFill="1"/>
    <xf numFmtId="3" fontId="11" fillId="15" borderId="0" xfId="98" applyNumberFormat="1" applyFont="1" applyFill="1" applyAlignment="1">
      <alignment horizontal="right"/>
    </xf>
    <xf numFmtId="3" fontId="70" fillId="15" borderId="0" xfId="98" applyNumberFormat="1" applyFont="1" applyFill="1" applyAlignment="1">
      <alignment horizontal="right"/>
    </xf>
    <xf numFmtId="3" fontId="11" fillId="15" borderId="0" xfId="98" applyNumberFormat="1" applyFont="1" applyFill="1" applyBorder="1"/>
    <xf numFmtId="3" fontId="11" fillId="0" borderId="0" xfId="98" applyNumberFormat="1" applyFont="1" applyFill="1"/>
    <xf numFmtId="3" fontId="70" fillId="0" borderId="0" xfId="98" applyNumberFormat="1" applyFont="1" applyFill="1"/>
    <xf numFmtId="2" fontId="11" fillId="15" borderId="0" xfId="98" applyNumberFormat="1" applyFont="1" applyFill="1" applyAlignment="1">
      <alignment horizontal="right"/>
    </xf>
    <xf numFmtId="2" fontId="70" fillId="15" borderId="0" xfId="98" applyNumberFormat="1" applyFont="1" applyFill="1" applyAlignment="1">
      <alignment horizontal="right"/>
    </xf>
    <xf numFmtId="0" fontId="11" fillId="0" borderId="15" xfId="98" applyFont="1" applyFill="1" applyBorder="1"/>
    <xf numFmtId="0" fontId="11" fillId="0" borderId="0" xfId="98" applyFont="1" applyFill="1" applyBorder="1"/>
    <xf numFmtId="9" fontId="70" fillId="0" borderId="0" xfId="104" applyFont="1" applyBorder="1" applyAlignment="1">
      <alignment horizontal="right"/>
    </xf>
    <xf numFmtId="3" fontId="11" fillId="0" borderId="0" xfId="98" applyNumberFormat="1" applyFont="1" applyAlignment="1">
      <alignment horizontal="right"/>
    </xf>
    <xf numFmtId="3" fontId="70" fillId="0" borderId="0" xfId="98" applyNumberFormat="1" applyFont="1" applyAlignment="1">
      <alignment horizontal="right"/>
    </xf>
    <xf numFmtId="172" fontId="11" fillId="0" borderId="0" xfId="98" applyNumberFormat="1" applyFont="1" applyFill="1" applyAlignment="1">
      <alignment horizontal="right"/>
    </xf>
    <xf numFmtId="172" fontId="70" fillId="0" borderId="0" xfId="98" applyNumberFormat="1" applyFont="1" applyFill="1" applyAlignment="1">
      <alignment horizontal="right"/>
    </xf>
    <xf numFmtId="202" fontId="28" fillId="24" borderId="0" xfId="96" applyNumberFormat="1" applyFont="1" applyFill="1" applyAlignment="1">
      <alignment horizontal="right" vertical="center"/>
    </xf>
    <xf numFmtId="169" fontId="11" fillId="0" borderId="19" xfId="37" applyNumberFormat="1" applyFont="1" applyBorder="1" applyAlignment="1">
      <alignment vertical="center"/>
    </xf>
    <xf numFmtId="169" fontId="70" fillId="0" borderId="19" xfId="37" applyNumberFormat="1" applyFont="1" applyBorder="1" applyAlignment="1">
      <alignment vertical="center"/>
    </xf>
    <xf numFmtId="169" fontId="11" fillId="0" borderId="19" xfId="37" applyNumberFormat="1" applyFont="1" applyFill="1" applyBorder="1" applyAlignment="1">
      <alignment vertical="center"/>
    </xf>
    <xf numFmtId="169" fontId="70" fillId="0" borderId="19" xfId="37" applyNumberFormat="1" applyFont="1" applyFill="1" applyBorder="1" applyAlignment="1">
      <alignment vertical="center"/>
    </xf>
    <xf numFmtId="2" fontId="11" fillId="0" borderId="0" xfId="92" applyNumberFormat="1" applyFont="1" applyAlignment="1">
      <alignment horizontal="right"/>
    </xf>
    <xf numFmtId="2" fontId="11" fillId="0" borderId="0" xfId="92" applyNumberFormat="1" applyFont="1" applyFill="1"/>
    <xf numFmtId="2" fontId="70" fillId="0" borderId="0" xfId="92" applyNumberFormat="1" applyFont="1" applyFill="1"/>
    <xf numFmtId="37" fontId="11" fillId="0" borderId="0" xfId="92" applyNumberFormat="1" applyFont="1" applyAlignment="1">
      <alignment horizontal="right"/>
    </xf>
    <xf numFmtId="37" fontId="70" fillId="0" borderId="0" xfId="92" applyNumberFormat="1" applyFont="1" applyAlignment="1">
      <alignment horizontal="right"/>
    </xf>
    <xf numFmtId="169" fontId="11" fillId="0" borderId="0" xfId="92" applyNumberFormat="1" applyFont="1" applyFill="1"/>
    <xf numFmtId="169" fontId="70" fillId="0" borderId="0" xfId="92" applyNumberFormat="1" applyFont="1" applyFill="1"/>
    <xf numFmtId="43" fontId="11" fillId="0" borderId="0" xfId="92" applyNumberFormat="1" applyFont="1"/>
    <xf numFmtId="43" fontId="70" fillId="0" borderId="0" xfId="92" applyNumberFormat="1" applyFont="1"/>
    <xf numFmtId="0" fontId="11" fillId="0" borderId="0" xfId="92" applyFont="1" applyFill="1" applyAlignment="1">
      <alignment horizontal="left" indent="1"/>
    </xf>
    <xf numFmtId="0" fontId="94" fillId="0" borderId="0" xfId="46" applyFont="1" applyFill="1" applyAlignment="1">
      <alignment horizontal="left"/>
    </xf>
    <xf numFmtId="0" fontId="96" fillId="0" borderId="0" xfId="0" applyFont="1" applyFill="1" applyAlignment="1">
      <alignment horizontal="center"/>
    </xf>
    <xf numFmtId="0" fontId="97" fillId="0" borderId="0" xfId="0" applyFont="1" applyFill="1"/>
    <xf numFmtId="0" fontId="11" fillId="0" borderId="0" xfId="0" applyFont="1" applyBorder="1" applyAlignment="1">
      <alignment horizontal="center"/>
    </xf>
    <xf numFmtId="0" fontId="17" fillId="0" borderId="15" xfId="0" applyFont="1" applyFill="1" applyBorder="1" applyAlignment="1">
      <alignment wrapText="1"/>
    </xf>
    <xf numFmtId="0" fontId="17" fillId="0" borderId="15" xfId="0" applyFont="1" applyFill="1" applyBorder="1" applyAlignment="1">
      <alignment horizontal="center" wrapText="1"/>
    </xf>
    <xf numFmtId="0" fontId="17" fillId="0" borderId="14" xfId="0" applyFont="1" applyBorder="1"/>
    <xf numFmtId="14" fontId="11" fillId="0" borderId="0" xfId="0" applyNumberFormat="1" applyFont="1" applyFill="1" applyAlignment="1">
      <alignment horizontal="center"/>
    </xf>
    <xf numFmtId="0" fontId="11" fillId="0" borderId="15" xfId="0" applyFont="1" applyBorder="1" applyAlignment="1">
      <alignment horizontal="left" indent="1"/>
    </xf>
    <xf numFmtId="173" fontId="31" fillId="0" borderId="15" xfId="104" applyNumberFormat="1" applyFont="1" applyBorder="1"/>
    <xf numFmtId="173" fontId="31" fillId="0" borderId="0" xfId="0" applyNumberFormat="1" applyFont="1" applyBorder="1"/>
    <xf numFmtId="173" fontId="11" fillId="0" borderId="0" xfId="104" applyNumberFormat="1" applyFont="1" applyFill="1" applyBorder="1" applyAlignment="1">
      <alignment horizontal="left"/>
    </xf>
    <xf numFmtId="10" fontId="11" fillId="0" borderId="0" xfId="0" applyNumberFormat="1" applyFont="1"/>
    <xf numFmtId="14" fontId="11" fillId="0" borderId="15" xfId="0" applyNumberFormat="1" applyFont="1" applyFill="1" applyBorder="1" applyAlignment="1">
      <alignment horizontal="center"/>
    </xf>
    <xf numFmtId="173" fontId="31" fillId="0" borderId="0" xfId="0" applyNumberFormat="1" applyFont="1" applyFill="1" applyBorder="1"/>
    <xf numFmtId="0" fontId="17" fillId="0" borderId="15" xfId="0" applyFont="1" applyBorder="1"/>
    <xf numFmtId="173" fontId="32" fillId="0" borderId="15" xfId="0" applyNumberFormat="1" applyFont="1" applyBorder="1"/>
    <xf numFmtId="0" fontId="64" fillId="0" borderId="0" xfId="0" applyFont="1" applyFill="1" applyBorder="1" applyAlignment="1">
      <alignment horizontal="left" indent="1"/>
    </xf>
    <xf numFmtId="0" fontId="31" fillId="0" borderId="0" xfId="0" applyFont="1" applyFill="1" applyBorder="1"/>
    <xf numFmtId="169" fontId="11" fillId="0" borderId="0" xfId="37" applyNumberFormat="1" applyFont="1" applyBorder="1" applyAlignment="1">
      <alignment horizontal="center"/>
    </xf>
    <xf numFmtId="173" fontId="31" fillId="0" borderId="0" xfId="0" applyNumberFormat="1" applyFont="1" applyBorder="1" applyAlignment="1">
      <alignment horizontal="left"/>
    </xf>
    <xf numFmtId="14" fontId="11" fillId="0" borderId="0" xfId="0" applyNumberFormat="1" applyFont="1" applyAlignment="1">
      <alignment horizontal="center"/>
    </xf>
    <xf numFmtId="9" fontId="11" fillId="0" borderId="0" xfId="0" applyNumberFormat="1" applyFont="1" applyBorder="1" applyAlignment="1">
      <alignment horizontal="center"/>
    </xf>
    <xf numFmtId="0" fontId="11" fillId="0" borderId="0" xfId="95" applyFont="1" applyBorder="1" applyAlignment="1">
      <alignment vertical="center"/>
    </xf>
    <xf numFmtId="0" fontId="11" fillId="0" borderId="0" xfId="95" applyFont="1" applyBorder="1" applyAlignment="1">
      <alignment horizontal="right" vertical="center"/>
    </xf>
    <xf numFmtId="0" fontId="11" fillId="0" borderId="0" xfId="95" applyFont="1" applyAlignment="1">
      <alignment horizontal="right" vertical="center"/>
    </xf>
    <xf numFmtId="180" fontId="17" fillId="0" borderId="0" xfId="95" applyNumberFormat="1" applyFont="1" applyFill="1" applyAlignment="1">
      <alignment horizontal="right" vertical="center"/>
    </xf>
    <xf numFmtId="0" fontId="11" fillId="0" borderId="0" xfId="95" applyFont="1" applyFill="1" applyBorder="1" applyAlignment="1">
      <alignment horizontal="right" vertical="center"/>
    </xf>
    <xf numFmtId="0" fontId="70" fillId="0" borderId="0" xfId="95" applyFont="1" applyFill="1" applyBorder="1" applyAlignment="1">
      <alignment horizontal="right" vertical="center"/>
    </xf>
    <xf numFmtId="0" fontId="11" fillId="0" borderId="0" xfId="95" applyFont="1" applyFill="1" applyAlignment="1">
      <alignment horizontal="left" vertical="center" indent="1"/>
    </xf>
    <xf numFmtId="173" fontId="11" fillId="0" borderId="0" xfId="104" applyNumberFormat="1" applyFont="1" applyFill="1" applyBorder="1" applyAlignment="1">
      <alignment horizontal="right" vertical="center"/>
    </xf>
    <xf numFmtId="173" fontId="70" fillId="0" borderId="0" xfId="104" applyNumberFormat="1" applyFont="1" applyFill="1" applyBorder="1" applyAlignment="1">
      <alignment horizontal="right" vertical="center"/>
    </xf>
    <xf numFmtId="0" fontId="70" fillId="0" borderId="0" xfId="95" applyFont="1" applyBorder="1" applyAlignment="1">
      <alignment horizontal="right" vertical="center"/>
    </xf>
    <xf numFmtId="0" fontId="11" fillId="0" borderId="0" xfId="95" applyFont="1" applyFill="1" applyAlignment="1">
      <alignment vertical="center"/>
    </xf>
    <xf numFmtId="185" fontId="11" fillId="0" borderId="0" xfId="95" applyNumberFormat="1" applyFont="1" applyBorder="1" applyAlignment="1">
      <alignment horizontal="right" vertical="center"/>
    </xf>
    <xf numFmtId="185" fontId="11" fillId="0" borderId="0" xfId="37" applyNumberFormat="1" applyFont="1" applyFill="1" applyBorder="1" applyAlignment="1">
      <alignment horizontal="right" vertical="center"/>
    </xf>
    <xf numFmtId="185" fontId="70" fillId="0" borderId="0" xfId="37" applyNumberFormat="1" applyFont="1" applyFill="1" applyBorder="1" applyAlignment="1">
      <alignment horizontal="right" vertical="center"/>
    </xf>
    <xf numFmtId="173" fontId="70" fillId="0" borderId="0" xfId="104" applyNumberFormat="1" applyFont="1" applyAlignment="1">
      <alignment horizontal="right" vertical="center"/>
    </xf>
    <xf numFmtId="171" fontId="11" fillId="0" borderId="0" xfId="37" applyNumberFormat="1" applyFont="1" applyFill="1" applyBorder="1" applyAlignment="1">
      <alignment horizontal="right" vertical="center"/>
    </xf>
    <xf numFmtId="171" fontId="11" fillId="0" borderId="0" xfId="37" applyNumberFormat="1" applyFont="1" applyAlignment="1">
      <alignment horizontal="right" vertical="center"/>
    </xf>
    <xf numFmtId="171" fontId="11" fillId="0" borderId="0" xfId="37" applyNumberFormat="1" applyFont="1" applyBorder="1" applyAlignment="1">
      <alignment horizontal="right" vertical="center"/>
    </xf>
    <xf numFmtId="171" fontId="70" fillId="0" borderId="0" xfId="37" applyNumberFormat="1" applyFont="1" applyBorder="1" applyAlignment="1">
      <alignment horizontal="right" vertical="center"/>
    </xf>
    <xf numFmtId="0" fontId="93" fillId="0" borderId="0" xfId="0" applyFont="1"/>
    <xf numFmtId="0" fontId="11" fillId="0" borderId="0" xfId="0" applyFont="1" applyFill="1" applyAlignment="1">
      <alignment horizontal="right"/>
    </xf>
    <xf numFmtId="1" fontId="11" fillId="0" borderId="0" xfId="0" applyNumberFormat="1" applyFont="1" applyFill="1" applyAlignment="1">
      <alignment horizontal="right"/>
    </xf>
    <xf numFmtId="37" fontId="11" fillId="0" borderId="0" xfId="0" applyNumberFormat="1" applyFont="1" applyAlignment="1">
      <alignment horizontal="right"/>
    </xf>
    <xf numFmtId="0" fontId="15" fillId="18" borderId="0" xfId="98" applyFont="1" applyFill="1" applyBorder="1"/>
    <xf numFmtId="0" fontId="101" fillId="0" borderId="0" xfId="0" applyFont="1"/>
    <xf numFmtId="0" fontId="100" fillId="0" borderId="0" xfId="90" applyFont="1" applyFill="1" applyAlignment="1">
      <alignment horizontal="left"/>
    </xf>
    <xf numFmtId="171" fontId="87" fillId="0" borderId="0" xfId="37" applyNumberFormat="1" applyFont="1" applyFill="1"/>
    <xf numFmtId="1" fontId="11" fillId="0" borderId="0" xfId="104" applyNumberFormat="1" applyFont="1"/>
    <xf numFmtId="167" fontId="103" fillId="0" borderId="37" xfId="98" applyNumberFormat="1" applyFont="1" applyBorder="1"/>
    <xf numFmtId="0" fontId="103" fillId="0" borderId="37" xfId="98" applyFont="1" applyBorder="1" applyAlignment="1">
      <alignment horizontal="right"/>
    </xf>
    <xf numFmtId="0" fontId="20" fillId="24" borderId="0" xfId="98" applyFont="1" applyFill="1" applyBorder="1"/>
    <xf numFmtId="203" fontId="17" fillId="0" borderId="48" xfId="96" applyNumberFormat="1" applyFont="1" applyFill="1" applyBorder="1" applyAlignment="1">
      <alignment horizontal="right" vertical="center"/>
    </xf>
    <xf numFmtId="203" fontId="17" fillId="0" borderId="42" xfId="96" applyNumberFormat="1" applyFont="1" applyFill="1" applyBorder="1" applyAlignment="1">
      <alignment horizontal="right" vertical="center"/>
    </xf>
    <xf numFmtId="165" fontId="17" fillId="0" borderId="0" xfId="96" applyFont="1" applyBorder="1" applyAlignment="1">
      <alignment horizontal="left" vertical="center" indent="1"/>
    </xf>
    <xf numFmtId="169" fontId="17" fillId="0" borderId="0" xfId="37" applyNumberFormat="1" applyFont="1" applyBorder="1" applyAlignment="1">
      <alignment vertical="center"/>
    </xf>
    <xf numFmtId="169" fontId="77" fillId="0" borderId="0" xfId="37" applyNumberFormat="1" applyFont="1" applyBorder="1" applyAlignment="1">
      <alignment vertical="center"/>
    </xf>
    <xf numFmtId="169" fontId="17" fillId="0" borderId="0" xfId="37" applyNumberFormat="1" applyFont="1" applyFill="1" applyBorder="1" applyAlignment="1">
      <alignment vertical="center"/>
    </xf>
    <xf numFmtId="165" fontId="11" fillId="0" borderId="0" xfId="96" applyFont="1" applyBorder="1" applyAlignment="1">
      <alignment horizontal="left" indent="2"/>
    </xf>
    <xf numFmtId="169" fontId="70" fillId="0" borderId="0" xfId="37" applyNumberFormat="1" applyFont="1" applyFill="1" applyBorder="1"/>
    <xf numFmtId="204" fontId="28" fillId="24" borderId="0" xfId="96" applyNumberFormat="1" applyFont="1" applyFill="1" applyAlignment="1">
      <alignment horizontal="right" vertical="center"/>
    </xf>
    <xf numFmtId="204" fontId="28" fillId="24" borderId="47" xfId="96" applyNumberFormat="1" applyFont="1" applyFill="1" applyBorder="1" applyAlignment="1">
      <alignment horizontal="right" vertical="center"/>
    </xf>
    <xf numFmtId="204" fontId="17" fillId="0" borderId="48" xfId="96" applyNumberFormat="1" applyFont="1" applyFill="1" applyBorder="1" applyAlignment="1">
      <alignment horizontal="right" vertical="center"/>
    </xf>
    <xf numFmtId="203" fontId="11" fillId="0" borderId="0" xfId="0" applyNumberFormat="1" applyFont="1"/>
    <xf numFmtId="165" fontId="11" fillId="0" borderId="0" xfId="96" applyFont="1" applyFill="1" applyBorder="1" applyAlignment="1">
      <alignment horizontal="center"/>
    </xf>
    <xf numFmtId="169" fontId="77" fillId="0" borderId="0" xfId="37" applyNumberFormat="1" applyFont="1" applyFill="1" applyBorder="1"/>
    <xf numFmtId="169" fontId="77" fillId="0" borderId="0" xfId="37" applyNumberFormat="1" applyFont="1" applyFill="1" applyBorder="1" applyAlignment="1">
      <alignment vertical="center"/>
    </xf>
    <xf numFmtId="9" fontId="70" fillId="0" borderId="0" xfId="104" applyFont="1" applyFill="1" applyBorder="1"/>
    <xf numFmtId="165" fontId="17" fillId="0" borderId="0" xfId="96" applyFont="1" applyFill="1" applyBorder="1"/>
    <xf numFmtId="169" fontId="17" fillId="0" borderId="0" xfId="37" applyNumberFormat="1" applyFont="1" applyFill="1" applyBorder="1" applyAlignment="1">
      <alignment horizontal="left" vertical="center"/>
    </xf>
    <xf numFmtId="165" fontId="11" fillId="0" borderId="0" xfId="96" applyFont="1" applyFill="1" applyBorder="1" applyAlignment="1">
      <alignment horizontal="left" indent="1"/>
    </xf>
    <xf numFmtId="165" fontId="17" fillId="0" borderId="0" xfId="96" applyFont="1" applyBorder="1" applyAlignment="1">
      <alignment horizontal="left" vertical="center"/>
    </xf>
    <xf numFmtId="176" fontId="11" fillId="0" borderId="0" xfId="91" applyNumberFormat="1" applyFont="1" applyBorder="1" applyAlignment="1">
      <alignment horizontal="left" indent="2"/>
    </xf>
    <xf numFmtId="169" fontId="17" fillId="0" borderId="47" xfId="37" applyNumberFormat="1" applyFont="1" applyBorder="1" applyAlignment="1">
      <alignment vertical="center"/>
    </xf>
    <xf numFmtId="169" fontId="17" fillId="0" borderId="47" xfId="37" applyNumberFormat="1" applyFont="1" applyFill="1" applyBorder="1" applyAlignment="1">
      <alignment vertical="center"/>
    </xf>
    <xf numFmtId="180" fontId="28" fillId="24" borderId="0" xfId="96" applyNumberFormat="1" applyFont="1" applyFill="1" applyAlignment="1">
      <alignment horizontal="left" vertical="center"/>
    </xf>
    <xf numFmtId="203" fontId="28" fillId="24" borderId="0" xfId="96" applyNumberFormat="1" applyFont="1" applyFill="1" applyAlignment="1">
      <alignment horizontal="right" vertical="center"/>
    </xf>
    <xf numFmtId="203" fontId="28" fillId="24" borderId="47" xfId="96" applyNumberFormat="1" applyFont="1" applyFill="1" applyBorder="1" applyAlignment="1">
      <alignment horizontal="right" vertical="center"/>
    </xf>
    <xf numFmtId="1" fontId="28" fillId="24" borderId="0" xfId="96" applyNumberFormat="1" applyFont="1" applyFill="1" applyAlignment="1">
      <alignment horizontal="right" vertical="center"/>
    </xf>
    <xf numFmtId="0" fontId="70" fillId="0" borderId="0" xfId="0" applyFont="1" applyFill="1" applyBorder="1"/>
    <xf numFmtId="9" fontId="87" fillId="0" borderId="0" xfId="0" applyNumberFormat="1" applyFont="1" applyFill="1" applyBorder="1"/>
    <xf numFmtId="171" fontId="77" fillId="0" borderId="0" xfId="37" applyNumberFormat="1" applyFont="1" applyFill="1" applyBorder="1"/>
    <xf numFmtId="168" fontId="70" fillId="0" borderId="0" xfId="0" applyNumberFormat="1" applyFont="1" applyFill="1" applyBorder="1"/>
    <xf numFmtId="1" fontId="87" fillId="0" borderId="0" xfId="0" applyNumberFormat="1" applyFont="1" applyFill="1" applyBorder="1"/>
    <xf numFmtId="39" fontId="77" fillId="0" borderId="0" xfId="37" applyNumberFormat="1" applyFont="1" applyFill="1" applyBorder="1"/>
    <xf numFmtId="185" fontId="70" fillId="0" borderId="0" xfId="0" applyNumberFormat="1" applyFont="1" applyFill="1" applyBorder="1"/>
    <xf numFmtId="39" fontId="70" fillId="0" borderId="0" xfId="0" applyNumberFormat="1" applyFont="1" applyFill="1" applyBorder="1"/>
    <xf numFmtId="39" fontId="77" fillId="0" borderId="0" xfId="0" applyNumberFormat="1" applyFont="1" applyFill="1" applyBorder="1"/>
    <xf numFmtId="0" fontId="28" fillId="24" borderId="0" xfId="96" applyNumberFormat="1" applyFont="1" applyFill="1" applyAlignment="1">
      <alignment horizontal="right" vertical="center"/>
    </xf>
    <xf numFmtId="0" fontId="28" fillId="24" borderId="0" xfId="95" applyFont="1" applyFill="1" applyAlignment="1">
      <alignment horizontal="center" vertical="center"/>
    </xf>
    <xf numFmtId="0" fontId="28" fillId="24" borderId="0" xfId="95" applyFont="1" applyFill="1" applyAlignment="1">
      <alignment horizontal="right" vertical="center"/>
    </xf>
    <xf numFmtId="0" fontId="28" fillId="0" borderId="0" xfId="98" applyFont="1" applyFill="1" applyBorder="1"/>
    <xf numFmtId="37" fontId="11" fillId="0" borderId="47" xfId="92" applyNumberFormat="1" applyFont="1" applyBorder="1" applyAlignment="1">
      <alignment horizontal="right"/>
    </xf>
    <xf numFmtId="0" fontId="75" fillId="24" borderId="0" xfId="0" applyFont="1" applyFill="1" applyBorder="1"/>
    <xf numFmtId="0" fontId="11" fillId="24" borderId="0" xfId="0" applyFont="1" applyFill="1" applyBorder="1"/>
    <xf numFmtId="0" fontId="22" fillId="24" borderId="0" xfId="0" applyFont="1" applyFill="1" applyBorder="1"/>
    <xf numFmtId="0" fontId="0" fillId="24" borderId="0" xfId="0" applyFill="1" applyBorder="1"/>
    <xf numFmtId="165" fontId="28" fillId="24" borderId="0" xfId="96" applyFont="1" applyFill="1" applyAlignment="1">
      <alignment horizontal="left" vertical="center"/>
    </xf>
    <xf numFmtId="173" fontId="11" fillId="23" borderId="0" xfId="104" applyNumberFormat="1" applyFont="1" applyFill="1" applyAlignment="1">
      <alignment horizontal="right"/>
    </xf>
    <xf numFmtId="0" fontId="31" fillId="15" borderId="37" xfId="97" applyFont="1" applyFill="1" applyBorder="1"/>
    <xf numFmtId="0" fontId="31" fillId="0" borderId="37" xfId="98" applyFont="1" applyBorder="1"/>
    <xf numFmtId="0" fontId="32" fillId="0" borderId="37" xfId="0" applyFont="1" applyBorder="1"/>
    <xf numFmtId="0" fontId="105" fillId="24" borderId="0" xfId="0" applyFont="1" applyFill="1" applyBorder="1"/>
    <xf numFmtId="0" fontId="31" fillId="0" borderId="59" xfId="0" applyFont="1" applyBorder="1"/>
    <xf numFmtId="0" fontId="31" fillId="0" borderId="59" xfId="0" applyFont="1" applyBorder="1" applyAlignment="1">
      <alignment horizontal="right"/>
    </xf>
    <xf numFmtId="167" fontId="31" fillId="15" borderId="59" xfId="0" applyNumberFormat="1" applyFont="1" applyFill="1" applyBorder="1"/>
    <xf numFmtId="0" fontId="31" fillId="15" borderId="59" xfId="0" applyFont="1" applyFill="1" applyBorder="1"/>
    <xf numFmtId="167" fontId="31" fillId="15" borderId="59" xfId="0" applyNumberFormat="1" applyFont="1" applyFill="1" applyBorder="1" applyAlignment="1">
      <alignment horizontal="right"/>
    </xf>
    <xf numFmtId="0" fontId="89" fillId="24" borderId="0" xfId="0" applyFont="1" applyFill="1" applyBorder="1"/>
    <xf numFmtId="0" fontId="13" fillId="24" borderId="0" xfId="0" applyFont="1" applyFill="1"/>
    <xf numFmtId="0" fontId="59" fillId="24" borderId="0" xfId="97" applyFont="1" applyFill="1" applyBorder="1" applyAlignment="1">
      <alignment horizontal="right"/>
    </xf>
    <xf numFmtId="0" fontId="28" fillId="24" borderId="0" xfId="98" applyFont="1" applyFill="1" applyBorder="1"/>
    <xf numFmtId="0" fontId="28" fillId="24" borderId="0" xfId="98" applyFont="1" applyFill="1" applyBorder="1" applyAlignment="1">
      <alignment horizontal="right"/>
    </xf>
    <xf numFmtId="0" fontId="31" fillId="0" borderId="59" xfId="98" applyFont="1" applyBorder="1" applyAlignment="1">
      <alignment horizontal="right"/>
    </xf>
    <xf numFmtId="0" fontId="31" fillId="15" borderId="0" xfId="97" applyFont="1" applyFill="1" applyBorder="1"/>
    <xf numFmtId="0" fontId="28" fillId="24" borderId="0" xfId="0" applyFont="1" applyFill="1" applyBorder="1" applyAlignment="1">
      <alignment horizontal="right"/>
    </xf>
    <xf numFmtId="0" fontId="17" fillId="0" borderId="0" xfId="0" applyFont="1" applyBorder="1" applyAlignment="1">
      <alignment horizontal="left"/>
    </xf>
    <xf numFmtId="173" fontId="31" fillId="0" borderId="14" xfId="104" applyNumberFormat="1" applyFont="1" applyBorder="1"/>
    <xf numFmtId="0" fontId="11" fillId="0" borderId="14" xfId="0" applyFont="1" applyFill="1" applyBorder="1" applyAlignment="1">
      <alignment horizontal="left"/>
    </xf>
    <xf numFmtId="3" fontId="28" fillId="24" borderId="15" xfId="0" applyNumberFormat="1" applyFont="1" applyFill="1" applyBorder="1" applyAlignment="1">
      <alignment horizontal="left"/>
    </xf>
    <xf numFmtId="0" fontId="28" fillId="24" borderId="15" xfId="0" applyFont="1" applyFill="1" applyBorder="1" applyAlignment="1">
      <alignment horizontal="right"/>
    </xf>
    <xf numFmtId="43" fontId="11" fillId="23" borderId="0" xfId="37" applyFont="1" applyFill="1" applyBorder="1"/>
    <xf numFmtId="180" fontId="102" fillId="0" borderId="0" xfId="96" applyNumberFormat="1" applyFont="1" applyFill="1" applyBorder="1" applyAlignment="1">
      <alignment horizontal="right" vertical="center"/>
    </xf>
    <xf numFmtId="169" fontId="87" fillId="0" borderId="0" xfId="37" applyNumberFormat="1" applyFont="1" applyBorder="1"/>
    <xf numFmtId="169" fontId="73" fillId="0" borderId="0" xfId="37" applyNumberFormat="1" applyFont="1" applyBorder="1"/>
    <xf numFmtId="169" fontId="73" fillId="0" borderId="0" xfId="37" applyNumberFormat="1" applyFont="1" applyFill="1"/>
    <xf numFmtId="169" fontId="102" fillId="0" borderId="0" xfId="37" applyNumberFormat="1" applyFont="1" applyFill="1" applyBorder="1"/>
    <xf numFmtId="169" fontId="102" fillId="0" borderId="19" xfId="37" applyNumberFormat="1" applyFont="1" applyFill="1" applyBorder="1" applyAlignment="1">
      <alignment vertical="center"/>
    </xf>
    <xf numFmtId="0" fontId="88" fillId="0" borderId="0" xfId="0" applyFont="1" applyAlignment="1">
      <alignment horizontal="center"/>
    </xf>
    <xf numFmtId="43" fontId="88" fillId="0" borderId="0" xfId="37" applyFont="1" applyBorder="1"/>
    <xf numFmtId="169" fontId="88" fillId="0" borderId="0" xfId="37" applyNumberFormat="1" applyFont="1" applyBorder="1"/>
    <xf numFmtId="171" fontId="88" fillId="0" borderId="0" xfId="37" applyNumberFormat="1" applyFont="1" applyBorder="1"/>
    <xf numFmtId="41" fontId="88" fillId="0" borderId="0" xfId="37" applyNumberFormat="1" applyFont="1" applyAlignment="1">
      <alignment horizontal="center"/>
    </xf>
    <xf numFmtId="185" fontId="77" fillId="0" borderId="0" xfId="0" applyNumberFormat="1" applyFont="1" applyFill="1" applyBorder="1"/>
    <xf numFmtId="169" fontId="88" fillId="0" borderId="47" xfId="37" applyNumberFormat="1" applyFont="1" applyBorder="1" applyAlignment="1">
      <alignment horizontal="center"/>
    </xf>
    <xf numFmtId="169" fontId="88" fillId="0" borderId="0" xfId="37" applyNumberFormat="1" applyFont="1" applyBorder="1" applyAlignment="1">
      <alignment horizontal="center"/>
    </xf>
    <xf numFmtId="9" fontId="87" fillId="21" borderId="0" xfId="104" applyFont="1" applyFill="1"/>
    <xf numFmtId="0" fontId="31" fillId="0" borderId="0" xfId="0" applyFont="1" applyAlignment="1">
      <alignment horizontal="left" indent="1"/>
    </xf>
    <xf numFmtId="169" fontId="31" fillId="0" borderId="0" xfId="37" applyNumberFormat="1" applyFont="1"/>
    <xf numFmtId="171" fontId="98" fillId="0" borderId="0" xfId="37" applyNumberFormat="1" applyFont="1" applyFill="1" applyBorder="1"/>
    <xf numFmtId="169" fontId="31" fillId="0" borderId="0" xfId="37" applyNumberFormat="1" applyFont="1" applyBorder="1"/>
    <xf numFmtId="9" fontId="31" fillId="0" borderId="47" xfId="104" applyFont="1" applyBorder="1"/>
    <xf numFmtId="37" fontId="77" fillId="0" borderId="0" xfId="37" applyNumberFormat="1" applyFont="1"/>
    <xf numFmtId="37" fontId="77" fillId="0" borderId="0" xfId="0" applyNumberFormat="1" applyFont="1"/>
    <xf numFmtId="37" fontId="70" fillId="0" borderId="0" xfId="0" applyNumberFormat="1" applyFont="1"/>
    <xf numFmtId="9" fontId="77" fillId="0" borderId="0" xfId="0" applyNumberFormat="1" applyFont="1"/>
    <xf numFmtId="9" fontId="77" fillId="0" borderId="0" xfId="0" applyNumberFormat="1" applyFont="1" applyFill="1" applyBorder="1"/>
    <xf numFmtId="9" fontId="77" fillId="0" borderId="0" xfId="0" applyNumberFormat="1" applyFont="1" applyFill="1"/>
    <xf numFmtId="186" fontId="88" fillId="0" borderId="0" xfId="96" applyNumberFormat="1" applyFont="1" applyFill="1"/>
    <xf numFmtId="165" fontId="28" fillId="18" borderId="0" xfId="96" applyFont="1" applyFill="1" applyAlignment="1">
      <alignment horizontal="left" vertical="center"/>
    </xf>
    <xf numFmtId="207" fontId="17" fillId="0" borderId="48" xfId="96" applyNumberFormat="1" applyFont="1" applyFill="1" applyBorder="1"/>
    <xf numFmtId="165" fontId="92" fillId="0" borderId="0" xfId="96" applyFont="1" applyFill="1" applyBorder="1"/>
    <xf numFmtId="171" fontId="17" fillId="0" borderId="0" xfId="119" applyNumberFormat="1" applyFont="1" applyFill="1" applyAlignment="1">
      <alignment horizontal="right"/>
    </xf>
    <xf numFmtId="171" fontId="108" fillId="15" borderId="0" xfId="119" applyNumberFormat="1" applyFont="1" applyFill="1" applyAlignment="1">
      <alignment horizontal="right"/>
    </xf>
    <xf numFmtId="171" fontId="11" fillId="15" borderId="0" xfId="119" applyNumberFormat="1" applyFont="1" applyFill="1" applyAlignment="1">
      <alignment horizontal="right"/>
    </xf>
    <xf numFmtId="171" fontId="110" fillId="15" borderId="0" xfId="119" applyNumberFormat="1" applyFont="1" applyFill="1" applyAlignment="1">
      <alignment horizontal="right"/>
    </xf>
    <xf numFmtId="9" fontId="110" fillId="15" borderId="0" xfId="118" applyFont="1" applyFill="1" applyAlignment="1">
      <alignment horizontal="right"/>
    </xf>
    <xf numFmtId="9" fontId="11" fillId="15" borderId="0" xfId="118" applyFont="1" applyFill="1" applyAlignment="1">
      <alignment horizontal="right"/>
    </xf>
    <xf numFmtId="169" fontId="17" fillId="0" borderId="0" xfId="119" applyNumberFormat="1" applyFont="1" applyFill="1" applyAlignment="1">
      <alignment horizontal="right"/>
    </xf>
    <xf numFmtId="169" fontId="109" fillId="0" borderId="0" xfId="119" applyNumberFormat="1" applyFont="1" applyFill="1" applyAlignment="1">
      <alignment horizontal="right"/>
    </xf>
    <xf numFmtId="169" fontId="11" fillId="15" borderId="0" xfId="119" applyNumberFormat="1" applyFont="1" applyFill="1" applyAlignment="1">
      <alignment horizontal="right"/>
    </xf>
    <xf numFmtId="43" fontId="11" fillId="15" borderId="0" xfId="119" applyNumberFormat="1" applyFont="1" applyFill="1" applyAlignment="1">
      <alignment horizontal="right"/>
    </xf>
    <xf numFmtId="171" fontId="11" fillId="15" borderId="0" xfId="119" applyNumberFormat="1" applyFont="1" applyFill="1" applyBorder="1" applyAlignment="1">
      <alignment horizontal="right"/>
    </xf>
    <xf numFmtId="173" fontId="17" fillId="0" borderId="0" xfId="118" applyNumberFormat="1" applyFont="1" applyFill="1" applyBorder="1" applyAlignment="1">
      <alignment horizontal="right"/>
    </xf>
    <xf numFmtId="173" fontId="17" fillId="0" borderId="0" xfId="118" applyNumberFormat="1" applyFont="1" applyFill="1" applyAlignment="1">
      <alignment horizontal="right"/>
    </xf>
    <xf numFmtId="165" fontId="28" fillId="28" borderId="0" xfId="96" applyFont="1" applyFill="1" applyAlignment="1">
      <alignment horizontal="right"/>
    </xf>
    <xf numFmtId="37" fontId="11" fillId="0" borderId="0" xfId="0" applyNumberFormat="1" applyFont="1" applyFill="1" applyAlignment="1">
      <alignment horizontal="center"/>
    </xf>
    <xf numFmtId="166" fontId="11" fillId="0" borderId="0" xfId="0" applyNumberFormat="1" applyFont="1" applyFill="1" applyBorder="1"/>
    <xf numFmtId="166" fontId="108" fillId="0" borderId="0" xfId="0" applyNumberFormat="1" applyFont="1" applyFill="1" applyBorder="1"/>
    <xf numFmtId="9" fontId="111" fillId="15" borderId="0" xfId="0" applyNumberFormat="1" applyFont="1" applyFill="1" applyAlignment="1">
      <alignment horizontal="center"/>
    </xf>
    <xf numFmtId="173" fontId="111" fillId="15" borderId="0" xfId="0" applyNumberFormat="1" applyFont="1" applyFill="1" applyAlignment="1">
      <alignment horizontal="center"/>
    </xf>
    <xf numFmtId="166" fontId="11" fillId="0" borderId="0" xfId="0" applyNumberFormat="1" applyFont="1" applyFill="1" applyAlignment="1">
      <alignment horizontal="right"/>
    </xf>
    <xf numFmtId="3" fontId="17" fillId="0" borderId="0" xfId="119" applyNumberFormat="1" applyFont="1" applyFill="1" applyBorder="1" applyAlignment="1">
      <alignment horizontal="right"/>
    </xf>
    <xf numFmtId="3" fontId="11" fillId="0" borderId="0" xfId="0" applyNumberFormat="1" applyFont="1" applyFill="1" applyBorder="1" applyAlignment="1">
      <alignment horizontal="right"/>
    </xf>
    <xf numFmtId="9" fontId="17" fillId="0" borderId="0" xfId="118" applyNumberFormat="1" applyFont="1" applyFill="1" applyAlignment="1">
      <alignment horizontal="right"/>
    </xf>
    <xf numFmtId="9" fontId="109" fillId="0" borderId="0" xfId="118" applyNumberFormat="1" applyFont="1" applyFill="1" applyAlignment="1">
      <alignment horizontal="right"/>
    </xf>
    <xf numFmtId="0" fontId="11" fillId="25" borderId="0" xfId="0" applyFont="1" applyFill="1"/>
    <xf numFmtId="9" fontId="108" fillId="0" borderId="0" xfId="118" applyFont="1" applyFill="1" applyAlignment="1">
      <alignment horizontal="center"/>
    </xf>
    <xf numFmtId="180" fontId="112" fillId="0" borderId="0" xfId="96" applyNumberFormat="1" applyFont="1" applyFill="1" applyBorder="1" applyAlignment="1">
      <alignment horizontal="right" vertical="center"/>
    </xf>
    <xf numFmtId="3" fontId="11" fillId="0" borderId="0" xfId="0" applyNumberFormat="1" applyFont="1" applyFill="1" applyBorder="1"/>
    <xf numFmtId="169" fontId="11" fillId="0" borderId="0" xfId="0" applyNumberFormat="1" applyFont="1" applyFill="1" applyBorder="1"/>
    <xf numFmtId="0" fontId="17" fillId="0" borderId="0" xfId="0" applyFont="1" applyAlignment="1"/>
    <xf numFmtId="172" fontId="77" fillId="0" borderId="0" xfId="164" applyNumberFormat="1" applyFont="1" applyBorder="1" applyAlignment="1">
      <alignment horizontal="right"/>
    </xf>
    <xf numFmtId="9" fontId="70" fillId="0" borderId="0" xfId="164" applyFont="1" applyBorder="1"/>
    <xf numFmtId="169" fontId="165" fillId="0" borderId="0" xfId="143" applyNumberFormat="1" applyFont="1" applyBorder="1"/>
    <xf numFmtId="169" fontId="11" fillId="0" borderId="0" xfId="143" applyNumberFormat="1" applyFont="1" applyBorder="1"/>
    <xf numFmtId="186" fontId="11" fillId="0" borderId="0" xfId="96" applyNumberFormat="1" applyFont="1" applyFill="1" applyBorder="1"/>
    <xf numFmtId="169" fontId="11" fillId="0" borderId="0" xfId="143" applyNumberFormat="1" applyFont="1" applyFill="1" applyBorder="1"/>
    <xf numFmtId="171" fontId="17" fillId="0" borderId="0" xfId="119" applyNumberFormat="1" applyFont="1" applyFill="1" applyBorder="1" applyAlignment="1">
      <alignment horizontal="right"/>
    </xf>
    <xf numFmtId="171" fontId="109" fillId="0" borderId="0" xfId="119" applyNumberFormat="1" applyFont="1" applyFill="1" applyAlignment="1">
      <alignment horizontal="right"/>
    </xf>
    <xf numFmtId="9" fontId="17" fillId="0" borderId="0" xfId="118" applyNumberFormat="1" applyFont="1" applyFill="1" applyBorder="1" applyAlignment="1">
      <alignment horizontal="right"/>
    </xf>
    <xf numFmtId="165" fontId="11" fillId="0" borderId="0" xfId="96" applyFont="1" applyBorder="1"/>
    <xf numFmtId="165" fontId="11" fillId="0" borderId="0" xfId="96" applyFont="1" applyFill="1" applyBorder="1"/>
    <xf numFmtId="165" fontId="11" fillId="0" borderId="0" xfId="96" applyFont="1"/>
    <xf numFmtId="165" fontId="11" fillId="0" borderId="47" xfId="96" applyFont="1" applyBorder="1"/>
    <xf numFmtId="165" fontId="11" fillId="0" borderId="0" xfId="96" applyFont="1" applyBorder="1" applyAlignment="1">
      <alignment horizontal="center"/>
    </xf>
    <xf numFmtId="0" fontId="17" fillId="0" borderId="0" xfId="120" applyFont="1" applyAlignment="1"/>
    <xf numFmtId="165" fontId="17" fillId="0" borderId="0" xfId="96" applyFont="1" applyBorder="1"/>
    <xf numFmtId="165" fontId="17" fillId="0" borderId="0" xfId="96" applyFont="1" applyFill="1" applyBorder="1"/>
    <xf numFmtId="165" fontId="31" fillId="0" borderId="0" xfId="96" applyFont="1" applyBorder="1"/>
    <xf numFmtId="165" fontId="31" fillId="0" borderId="0" xfId="96" applyFont="1" applyFill="1" applyBorder="1"/>
    <xf numFmtId="180" fontId="28" fillId="0" borderId="0" xfId="96" applyNumberFormat="1" applyFont="1" applyBorder="1" applyAlignment="1">
      <alignment horizontal="right" vertical="center"/>
    </xf>
    <xf numFmtId="169" fontId="11" fillId="0" borderId="0" xfId="143" applyNumberFormat="1" applyFont="1" applyFill="1" applyBorder="1" applyAlignment="1">
      <alignment horizontal="right"/>
    </xf>
    <xf numFmtId="169" fontId="87" fillId="21" borderId="0" xfId="37" applyNumberFormat="1" applyFont="1" applyFill="1" applyBorder="1"/>
    <xf numFmtId="173" fontId="31" fillId="0" borderId="47" xfId="104" applyNumberFormat="1" applyFont="1" applyBorder="1"/>
    <xf numFmtId="0" fontId="31" fillId="0" borderId="0" xfId="92" applyFont="1" applyBorder="1"/>
    <xf numFmtId="0" fontId="17" fillId="0" borderId="0" xfId="0" applyFont="1" applyFill="1" applyAlignment="1"/>
    <xf numFmtId="173" fontId="11" fillId="0" borderId="0" xfId="104" applyNumberFormat="1" applyFont="1" applyFill="1" applyBorder="1" applyAlignment="1">
      <alignment horizontal="right"/>
    </xf>
    <xf numFmtId="0" fontId="18" fillId="0" borderId="0" xfId="0" applyFont="1"/>
    <xf numFmtId="169" fontId="88" fillId="0" borderId="0" xfId="37" applyNumberFormat="1" applyFont="1"/>
    <xf numFmtId="0" fontId="17" fillId="0" borderId="0" xfId="92" applyFont="1" applyAlignment="1"/>
    <xf numFmtId="180" fontId="102" fillId="0" borderId="0" xfId="96" applyNumberFormat="1" applyFont="1" applyBorder="1" applyAlignment="1">
      <alignment horizontal="right" vertical="center"/>
    </xf>
    <xf numFmtId="0" fontId="87" fillId="0" borderId="0" xfId="0" applyFont="1"/>
    <xf numFmtId="169" fontId="102" fillId="0" borderId="0" xfId="37" applyNumberFormat="1" applyFont="1" applyFill="1" applyBorder="1" applyAlignment="1">
      <alignment horizontal="right" vertical="center"/>
    </xf>
    <xf numFmtId="169" fontId="102" fillId="0" borderId="0" xfId="37" applyNumberFormat="1" applyFont="1" applyBorder="1" applyAlignment="1">
      <alignment horizontal="right" vertical="center"/>
    </xf>
    <xf numFmtId="0" fontId="95" fillId="0" borderId="0" xfId="92" applyFont="1" applyAlignment="1"/>
    <xf numFmtId="169" fontId="73" fillId="0" borderId="0" xfId="37" applyNumberFormat="1" applyFont="1" applyAlignment="1">
      <alignment horizontal="left" indent="1"/>
    </xf>
    <xf numFmtId="169" fontId="87" fillId="0" borderId="0" xfId="37" applyNumberFormat="1" applyFont="1" applyFill="1" applyBorder="1" applyAlignment="1">
      <alignment horizontal="right" vertical="center"/>
    </xf>
    <xf numFmtId="169" fontId="87" fillId="0" borderId="0" xfId="37" applyNumberFormat="1" applyFont="1" applyBorder="1" applyAlignment="1">
      <alignment horizontal="right" vertical="center"/>
    </xf>
    <xf numFmtId="169" fontId="95" fillId="0" borderId="0" xfId="37" applyNumberFormat="1" applyFont="1" applyFill="1" applyBorder="1" applyAlignment="1">
      <alignment horizontal="right" vertical="center"/>
    </xf>
    <xf numFmtId="171" fontId="87" fillId="0" borderId="0" xfId="37" applyNumberFormat="1" applyFont="1" applyFill="1" applyBorder="1" applyAlignment="1">
      <alignment horizontal="right" vertical="center"/>
    </xf>
    <xf numFmtId="169" fontId="73" fillId="0" borderId="0" xfId="37" applyNumberFormat="1" applyFont="1" applyFill="1" applyBorder="1" applyAlignment="1">
      <alignment horizontal="right" vertical="center"/>
    </xf>
    <xf numFmtId="169" fontId="99" fillId="0" borderId="0" xfId="37" applyNumberFormat="1" applyFont="1" applyBorder="1"/>
    <xf numFmtId="9" fontId="31" fillId="0" borderId="0" xfId="104" applyFont="1" applyBorder="1"/>
    <xf numFmtId="9" fontId="11" fillId="0" borderId="0" xfId="118" applyFont="1" applyFill="1" applyBorder="1" applyAlignment="1">
      <alignment horizontal="right"/>
    </xf>
    <xf numFmtId="0" fontId="98" fillId="0" borderId="0" xfId="0" applyFont="1" applyFill="1" applyBorder="1"/>
    <xf numFmtId="173" fontId="31" fillId="0" borderId="47" xfId="104" applyNumberFormat="1" applyFont="1" applyFill="1" applyBorder="1"/>
    <xf numFmtId="173" fontId="98" fillId="0" borderId="0" xfId="104" applyNumberFormat="1" applyFont="1" applyFill="1" applyBorder="1"/>
    <xf numFmtId="9" fontId="11" fillId="0" borderId="0" xfId="0" applyNumberFormat="1" applyFont="1" applyFill="1" applyBorder="1"/>
    <xf numFmtId="0" fontId="7" fillId="0" borderId="86" xfId="0" applyFont="1" applyBorder="1"/>
    <xf numFmtId="169" fontId="95" fillId="0" borderId="0" xfId="37" applyNumberFormat="1" applyFont="1"/>
    <xf numFmtId="0" fontId="95" fillId="0" borderId="0" xfId="92" applyFont="1" applyFill="1" applyAlignment="1"/>
    <xf numFmtId="0" fontId="95" fillId="0" borderId="0" xfId="0" applyFont="1" applyFill="1"/>
    <xf numFmtId="169" fontId="73" fillId="0" borderId="0" xfId="37" applyNumberFormat="1" applyFont="1"/>
    <xf numFmtId="169" fontId="167" fillId="0" borderId="0" xfId="37" applyNumberFormat="1" applyFont="1" applyAlignment="1">
      <alignment horizontal="left" indent="1"/>
    </xf>
    <xf numFmtId="173" fontId="31" fillId="0" borderId="0" xfId="104" applyNumberFormat="1" applyFont="1" applyFill="1" applyAlignment="1">
      <alignment horizontal="left" vertical="center" wrapText="1"/>
    </xf>
    <xf numFmtId="169" fontId="65" fillId="0" borderId="0" xfId="143" applyNumberFormat="1" applyFont="1" applyBorder="1"/>
    <xf numFmtId="173" fontId="11" fillId="0" borderId="0" xfId="143" applyNumberFormat="1" applyFont="1" applyBorder="1"/>
    <xf numFmtId="171" fontId="11" fillId="0" borderId="0" xfId="143" applyNumberFormat="1" applyFont="1" applyBorder="1"/>
    <xf numFmtId="171" fontId="11" fillId="0" borderId="0" xfId="143" applyNumberFormat="1" applyFont="1" applyFill="1" applyBorder="1"/>
    <xf numFmtId="9" fontId="87" fillId="0" borderId="0" xfId="164" applyNumberFormat="1" applyFont="1" applyFill="1" applyBorder="1"/>
    <xf numFmtId="169" fontId="66" fillId="0" borderId="0" xfId="143" applyNumberFormat="1" applyFont="1" applyFill="1" applyBorder="1"/>
    <xf numFmtId="169" fontId="65" fillId="0" borderId="0" xfId="143" applyNumberFormat="1" applyFont="1" applyFill="1" applyBorder="1"/>
    <xf numFmtId="169" fontId="17" fillId="0" borderId="0" xfId="143" applyNumberFormat="1" applyFont="1" applyFill="1" applyBorder="1"/>
    <xf numFmtId="221" fontId="11" fillId="0" borderId="0" xfId="143" applyNumberFormat="1" applyFont="1" applyFill="1" applyBorder="1"/>
    <xf numFmtId="171" fontId="17" fillId="0" borderId="0" xfId="143" applyNumberFormat="1" applyFont="1" applyFill="1" applyBorder="1"/>
    <xf numFmtId="171" fontId="66" fillId="0" borderId="0" xfId="143" applyNumberFormat="1" applyFont="1" applyFill="1" applyBorder="1"/>
    <xf numFmtId="0" fontId="66" fillId="0" borderId="0" xfId="0" applyFont="1" applyFill="1" applyBorder="1"/>
    <xf numFmtId="43" fontId="17" fillId="0" borderId="0" xfId="143" applyFont="1" applyFill="1" applyBorder="1"/>
    <xf numFmtId="43" fontId="11" fillId="0" borderId="0" xfId="143" applyFont="1" applyFill="1" applyBorder="1"/>
    <xf numFmtId="171" fontId="87" fillId="0" borderId="0" xfId="143" applyNumberFormat="1" applyFont="1" applyFill="1" applyBorder="1"/>
    <xf numFmtId="0" fontId="95" fillId="0" borderId="0" xfId="0" applyFont="1" applyFill="1" applyBorder="1" applyAlignment="1">
      <alignment horizontal="right"/>
    </xf>
    <xf numFmtId="0" fontId="95" fillId="0" borderId="0" xfId="0" applyFont="1" applyFill="1" applyBorder="1"/>
    <xf numFmtId="169" fontId="88" fillId="0" borderId="0" xfId="37" applyNumberFormat="1" applyFont="1" applyFill="1" applyBorder="1"/>
    <xf numFmtId="169" fontId="99" fillId="0" borderId="0" xfId="143" applyNumberFormat="1" applyFont="1" applyFill="1" applyBorder="1"/>
    <xf numFmtId="169" fontId="99" fillId="0" borderId="0" xfId="143" applyNumberFormat="1" applyFont="1" applyBorder="1"/>
    <xf numFmtId="0" fontId="99" fillId="0" borderId="0" xfId="0" applyFont="1" applyFill="1" applyBorder="1"/>
    <xf numFmtId="169" fontId="102" fillId="0" borderId="0" xfId="37" applyNumberFormat="1" applyFont="1" applyFill="1"/>
    <xf numFmtId="171" fontId="102" fillId="0" borderId="19" xfId="37" applyNumberFormat="1" applyFont="1" applyFill="1" applyBorder="1" applyAlignment="1">
      <alignment vertical="center"/>
    </xf>
    <xf numFmtId="0" fontId="88" fillId="0" borderId="0" xfId="0" applyFont="1" applyFill="1"/>
    <xf numFmtId="180" fontId="99" fillId="0" borderId="0" xfId="96" applyNumberFormat="1" applyFont="1" applyFill="1" applyBorder="1" applyAlignment="1">
      <alignment horizontal="left" vertical="center"/>
    </xf>
    <xf numFmtId="169" fontId="99" fillId="0" borderId="0" xfId="37" applyNumberFormat="1" applyFont="1" applyFill="1" applyBorder="1" applyAlignment="1">
      <alignment horizontal="left" vertical="center"/>
    </xf>
    <xf numFmtId="171" fontId="73" fillId="0" borderId="0" xfId="37" applyNumberFormat="1" applyFont="1" applyFill="1" applyBorder="1"/>
    <xf numFmtId="171" fontId="73" fillId="0" borderId="0" xfId="37" applyNumberFormat="1" applyFont="1" applyFill="1" applyBorder="1" applyAlignment="1">
      <alignment horizontal="right"/>
    </xf>
    <xf numFmtId="169" fontId="87" fillId="0" borderId="0" xfId="143" applyNumberFormat="1" applyFont="1" applyFill="1" applyBorder="1"/>
    <xf numFmtId="173" fontId="87" fillId="0" borderId="0" xfId="164" applyNumberFormat="1" applyFont="1" applyFill="1" applyBorder="1"/>
    <xf numFmtId="173" fontId="87" fillId="0" borderId="0" xfId="164" applyNumberFormat="1" applyFont="1" applyFill="1" applyBorder="1" applyAlignment="1">
      <alignment horizontal="right"/>
    </xf>
    <xf numFmtId="169" fontId="87" fillId="0" borderId="0" xfId="37" applyNumberFormat="1" applyFont="1" applyFill="1" applyBorder="1" applyAlignment="1">
      <alignment horizontal="right"/>
    </xf>
    <xf numFmtId="173" fontId="73" fillId="0" borderId="0" xfId="164" applyNumberFormat="1" applyFont="1" applyFill="1" applyBorder="1" applyAlignment="1">
      <alignment horizontal="right"/>
    </xf>
    <xf numFmtId="9" fontId="11" fillId="0" borderId="0" xfId="143" applyNumberFormat="1" applyFont="1" applyFill="1" applyBorder="1" applyAlignment="1">
      <alignment horizontal="right"/>
    </xf>
    <xf numFmtId="9" fontId="87" fillId="0" borderId="0" xfId="143" applyNumberFormat="1" applyFont="1" applyFill="1" applyBorder="1" applyAlignment="1">
      <alignment horizontal="right"/>
    </xf>
    <xf numFmtId="9" fontId="11" fillId="0" borderId="0" xfId="0" applyNumberFormat="1" applyFont="1" applyFill="1" applyBorder="1" applyAlignment="1">
      <alignment horizontal="right"/>
    </xf>
    <xf numFmtId="9" fontId="87" fillId="0" borderId="0" xfId="0" applyNumberFormat="1" applyFont="1" applyFill="1" applyBorder="1" applyAlignment="1">
      <alignment horizontal="right"/>
    </xf>
    <xf numFmtId="171" fontId="102" fillId="0" borderId="0" xfId="143" applyNumberFormat="1" applyFont="1" applyFill="1" applyBorder="1"/>
    <xf numFmtId="171" fontId="102" fillId="0" borderId="0" xfId="143" applyNumberFormat="1" applyFont="1" applyFill="1" applyBorder="1" applyAlignment="1">
      <alignment horizontal="right"/>
    </xf>
    <xf numFmtId="0" fontId="11" fillId="0" borderId="0" xfId="0" applyNumberFormat="1" applyFont="1" applyFill="1" applyBorder="1"/>
    <xf numFmtId="172" fontId="11" fillId="0" borderId="0" xfId="0" applyNumberFormat="1" applyFont="1" applyFill="1" applyBorder="1"/>
    <xf numFmtId="171" fontId="17" fillId="0" borderId="0" xfId="143" applyNumberFormat="1" applyFont="1" applyFill="1" applyBorder="1" applyAlignment="1">
      <alignment horizontal="right"/>
    </xf>
    <xf numFmtId="169" fontId="102" fillId="0" borderId="0" xfId="143" applyNumberFormat="1" applyFont="1" applyFill="1" applyBorder="1"/>
    <xf numFmtId="169" fontId="73" fillId="0" borderId="0" xfId="143" applyNumberFormat="1" applyFont="1" applyFill="1" applyBorder="1"/>
    <xf numFmtId="169" fontId="87" fillId="0" borderId="0" xfId="143" applyNumberFormat="1" applyFont="1" applyFill="1" applyBorder="1" applyAlignment="1">
      <alignment horizontal="right"/>
    </xf>
    <xf numFmtId="165" fontId="17" fillId="0" borderId="0" xfId="96" applyNumberFormat="1" applyFont="1" applyFill="1" applyBorder="1"/>
    <xf numFmtId="165" fontId="17" fillId="0" borderId="0" xfId="93" applyNumberFormat="1" applyFont="1" applyFill="1" applyBorder="1"/>
    <xf numFmtId="171" fontId="102" fillId="0" borderId="19" xfId="37" applyNumberFormat="1" applyFont="1" applyBorder="1" applyAlignment="1">
      <alignment vertical="center"/>
    </xf>
    <xf numFmtId="169" fontId="88" fillId="0" borderId="0" xfId="37" applyNumberFormat="1" applyFont="1" applyAlignment="1">
      <alignment horizontal="center"/>
    </xf>
    <xf numFmtId="9" fontId="17" fillId="0" borderId="0" xfId="0" applyNumberFormat="1" applyFont="1" applyFill="1" applyBorder="1"/>
    <xf numFmtId="169" fontId="88" fillId="0" borderId="0" xfId="37" applyNumberFormat="1" applyFont="1" applyFill="1" applyAlignment="1">
      <alignment horizontal="center"/>
    </xf>
    <xf numFmtId="37" fontId="95" fillId="0" borderId="0" xfId="0" applyNumberFormat="1" applyFont="1"/>
    <xf numFmtId="0" fontId="73" fillId="0" borderId="0" xfId="0" applyFont="1" applyFill="1" applyBorder="1"/>
    <xf numFmtId="169" fontId="81" fillId="15" borderId="0" xfId="37" applyNumberFormat="1" applyFont="1" applyFill="1" applyBorder="1" applyAlignment="1">
      <alignment horizontal="right"/>
    </xf>
    <xf numFmtId="43" fontId="11" fillId="15" borderId="0" xfId="37" applyNumberFormat="1" applyFont="1" applyFill="1"/>
    <xf numFmtId="169" fontId="87" fillId="15" borderId="0" xfId="37" applyNumberFormat="1" applyFont="1" applyFill="1" applyAlignment="1">
      <alignment horizontal="right"/>
    </xf>
    <xf numFmtId="0" fontId="95" fillId="0" borderId="42" xfId="0" applyFont="1" applyFill="1" applyBorder="1"/>
    <xf numFmtId="0" fontId="95" fillId="0" borderId="42" xfId="0" applyFont="1" applyFill="1" applyBorder="1" applyAlignment="1">
      <alignment horizontal="right"/>
    </xf>
    <xf numFmtId="173" fontId="11" fillId="25" borderId="0" xfId="0" applyNumberFormat="1" applyFont="1" applyFill="1"/>
    <xf numFmtId="9" fontId="31" fillId="15" borderId="0" xfId="104" applyFont="1" applyFill="1"/>
    <xf numFmtId="169" fontId="87" fillId="0" borderId="0" xfId="37" applyNumberFormat="1" applyFont="1" applyFill="1" applyAlignment="1">
      <alignment horizontal="right"/>
    </xf>
    <xf numFmtId="169" fontId="66" fillId="0" borderId="0" xfId="37" applyNumberFormat="1" applyFont="1" applyFill="1" applyBorder="1"/>
    <xf numFmtId="0" fontId="17" fillId="0" borderId="0" xfId="0" applyFont="1" applyFill="1" applyAlignment="1">
      <alignment horizontal="left"/>
    </xf>
    <xf numFmtId="168" fontId="73" fillId="15" borderId="0" xfId="0" applyNumberFormat="1" applyFont="1" applyFill="1" applyAlignment="1">
      <alignment horizontal="center"/>
    </xf>
    <xf numFmtId="0" fontId="92" fillId="24" borderId="0" xfId="95" applyFont="1" applyFill="1" applyAlignment="1">
      <alignment vertical="center"/>
    </xf>
    <xf numFmtId="14" fontId="92" fillId="24" borderId="0" xfId="95" applyNumberFormat="1" applyFont="1" applyFill="1" applyAlignment="1">
      <alignment horizontal="right" vertical="center"/>
    </xf>
    <xf numFmtId="186" fontId="11" fillId="0" borderId="0" xfId="96" applyNumberFormat="1" applyFont="1" applyFill="1"/>
    <xf numFmtId="173" fontId="87" fillId="0" borderId="0" xfId="164" applyNumberFormat="1" applyFont="1" applyFill="1"/>
    <xf numFmtId="171" fontId="87" fillId="0" borderId="0" xfId="143" applyNumberFormat="1" applyFont="1" applyFill="1"/>
    <xf numFmtId="169" fontId="87" fillId="0" borderId="0" xfId="143" applyNumberFormat="1" applyFont="1" applyFill="1"/>
    <xf numFmtId="171" fontId="87" fillId="0" borderId="0" xfId="143" applyNumberFormat="1" applyFont="1" applyFill="1" applyAlignment="1">
      <alignment horizontal="right"/>
    </xf>
    <xf numFmtId="169" fontId="17" fillId="0" borderId="0" xfId="143" applyNumberFormat="1" applyFont="1" applyFill="1"/>
    <xf numFmtId="171" fontId="17" fillId="0" borderId="0" xfId="143" applyNumberFormat="1" applyFont="1" applyFill="1"/>
    <xf numFmtId="43" fontId="87" fillId="0" borderId="0" xfId="37" applyFont="1" applyFill="1"/>
    <xf numFmtId="165" fontId="11" fillId="0" borderId="0" xfId="96" applyFont="1" applyFill="1"/>
    <xf numFmtId="168" fontId="87" fillId="0" borderId="0" xfId="0" applyNumberFormat="1" applyFont="1"/>
    <xf numFmtId="0" fontId="11" fillId="26" borderId="0" xfId="0" applyFont="1" applyFill="1"/>
    <xf numFmtId="0" fontId="11" fillId="26" borderId="0" xfId="95" applyFont="1" applyFill="1" applyBorder="1" applyAlignment="1">
      <alignment horizontal="right" vertical="center"/>
    </xf>
    <xf numFmtId="1" fontId="11" fillId="0" borderId="0" xfId="0" applyNumberFormat="1" applyFont="1" applyFill="1" applyBorder="1" applyAlignment="1">
      <alignment horizontal="right"/>
    </xf>
    <xf numFmtId="37" fontId="17" fillId="0" borderId="0" xfId="37" applyNumberFormat="1" applyFont="1" applyFill="1" applyAlignment="1">
      <alignment horizontal="right"/>
    </xf>
    <xf numFmtId="171" fontId="11" fillId="0" borderId="0" xfId="37" applyNumberFormat="1" applyFont="1" applyAlignment="1">
      <alignment horizontal="right"/>
    </xf>
    <xf numFmtId="175" fontId="11" fillId="0" borderId="0" xfId="37" applyNumberFormat="1" applyFont="1" applyBorder="1"/>
    <xf numFmtId="169" fontId="88" fillId="0" borderId="0" xfId="143" applyNumberFormat="1" applyFont="1" applyFill="1" applyBorder="1"/>
    <xf numFmtId="0" fontId="11" fillId="0" borderId="0" xfId="0" applyFont="1" applyFill="1" applyAlignment="1">
      <alignment horizontal="left" indent="3"/>
    </xf>
    <xf numFmtId="37" fontId="11" fillId="0" borderId="0" xfId="0" applyNumberFormat="1" applyFont="1" applyFill="1" applyBorder="1" applyAlignment="1">
      <alignment horizontal="right"/>
    </xf>
    <xf numFmtId="9" fontId="11" fillId="0" borderId="0" xfId="164" applyFont="1" applyFill="1" applyBorder="1"/>
    <xf numFmtId="37" fontId="11" fillId="0" borderId="0" xfId="164" applyNumberFormat="1" applyFont="1" applyFill="1" applyBorder="1"/>
    <xf numFmtId="37" fontId="11" fillId="0" borderId="0" xfId="164" applyNumberFormat="1" applyFont="1" applyFill="1" applyBorder="1" applyAlignment="1">
      <alignment horizontal="right"/>
    </xf>
    <xf numFmtId="169" fontId="102" fillId="0" borderId="0" xfId="37" applyNumberFormat="1" applyFont="1" applyAlignment="1">
      <alignment horizontal="right"/>
    </xf>
    <xf numFmtId="171" fontId="73" fillId="0" borderId="0" xfId="143" applyNumberFormat="1" applyFont="1" applyFill="1"/>
    <xf numFmtId="169" fontId="95" fillId="0" borderId="0" xfId="143" applyNumberFormat="1" applyFont="1" applyFill="1" applyBorder="1" applyAlignment="1">
      <alignment horizontal="right" vertical="center"/>
    </xf>
    <xf numFmtId="169" fontId="102" fillId="0" borderId="0" xfId="143" applyNumberFormat="1" applyFont="1" applyFill="1" applyBorder="1" applyAlignment="1">
      <alignment horizontal="right" vertical="center"/>
    </xf>
    <xf numFmtId="169" fontId="87" fillId="0" borderId="0" xfId="143" applyNumberFormat="1" applyFont="1" applyFill="1" applyBorder="1" applyAlignment="1">
      <alignment horizontal="right" vertical="center"/>
    </xf>
    <xf numFmtId="165" fontId="28" fillId="0" borderId="0" xfId="96" applyFont="1" applyFill="1" applyAlignment="1">
      <alignment horizontal="center" vertical="center"/>
    </xf>
    <xf numFmtId="0" fontId="11" fillId="0" borderId="0" xfId="0" quotePrefix="1" applyFont="1" applyFill="1" applyAlignment="1">
      <alignment horizontal="left" indent="1"/>
    </xf>
    <xf numFmtId="169" fontId="66" fillId="0" borderId="0" xfId="143" applyNumberFormat="1" applyFont="1" applyFill="1"/>
    <xf numFmtId="169" fontId="65" fillId="0" borderId="0" xfId="143" applyNumberFormat="1" applyFont="1" applyFill="1" applyAlignment="1">
      <alignment horizontal="left" indent="2"/>
    </xf>
    <xf numFmtId="165" fontId="17" fillId="0" borderId="0" xfId="96" applyFont="1"/>
    <xf numFmtId="195" fontId="17" fillId="0" borderId="0" xfId="96" applyNumberFormat="1" applyFont="1"/>
    <xf numFmtId="169" fontId="11" fillId="0" borderId="0" xfId="37" applyNumberFormat="1" applyFont="1" applyFill="1" applyBorder="1" applyAlignment="1">
      <alignment horizontal="right"/>
    </xf>
    <xf numFmtId="0" fontId="11" fillId="0" borderId="0" xfId="5792" applyFont="1"/>
    <xf numFmtId="0" fontId="11" fillId="0" borderId="0" xfId="5792" applyFont="1" applyFill="1"/>
    <xf numFmtId="0" fontId="28" fillId="24" borderId="42" xfId="5792" applyFont="1" applyFill="1" applyBorder="1"/>
    <xf numFmtId="1" fontId="28" fillId="24" borderId="42" xfId="5792" applyNumberFormat="1" applyFont="1" applyFill="1" applyBorder="1"/>
    <xf numFmtId="0" fontId="70" fillId="0" borderId="0" xfId="5792" applyFont="1"/>
    <xf numFmtId="169" fontId="11" fillId="0" borderId="0" xfId="143" applyNumberFormat="1" applyFont="1"/>
    <xf numFmtId="169" fontId="70" fillId="0" borderId="0" xfId="143" applyNumberFormat="1" applyFont="1" applyFill="1" applyBorder="1"/>
    <xf numFmtId="169" fontId="70" fillId="0" borderId="0" xfId="143" applyNumberFormat="1" applyFont="1"/>
    <xf numFmtId="0" fontId="31" fillId="0" borderId="0" xfId="5792" applyFont="1"/>
    <xf numFmtId="173" fontId="11" fillId="0" borderId="0" xfId="164" applyNumberFormat="1" applyFont="1"/>
    <xf numFmtId="0" fontId="11" fillId="0" borderId="0" xfId="5792" applyFont="1" applyFill="1" applyBorder="1"/>
    <xf numFmtId="0" fontId="97" fillId="0" borderId="0" xfId="5792" applyFont="1"/>
    <xf numFmtId="168" fontId="111" fillId="0" borderId="0" xfId="5792" applyNumberFormat="1" applyFont="1" applyFill="1" applyBorder="1" applyAlignment="1">
      <alignment horizontal="right"/>
    </xf>
    <xf numFmtId="171" fontId="70" fillId="0" borderId="0" xfId="143" applyNumberFormat="1" applyFont="1" applyFill="1"/>
    <xf numFmtId="171" fontId="70" fillId="0" borderId="0" xfId="143" applyNumberFormat="1" applyFont="1"/>
    <xf numFmtId="171" fontId="77" fillId="0" borderId="0" xfId="143" applyNumberFormat="1" applyFont="1"/>
    <xf numFmtId="2" fontId="97" fillId="0" borderId="0" xfId="5792" applyNumberFormat="1" applyFont="1"/>
    <xf numFmtId="171" fontId="11" fillId="0" borderId="0" xfId="143" applyNumberFormat="1" applyFont="1" applyBorder="1" applyAlignment="1"/>
    <xf numFmtId="171" fontId="95" fillId="0" borderId="0" xfId="143" applyNumberFormat="1" applyFont="1" applyFill="1" applyBorder="1" applyAlignment="1"/>
    <xf numFmtId="171" fontId="95" fillId="0" borderId="0" xfId="143" applyNumberFormat="1" applyFont="1" applyFill="1" applyBorder="1" applyAlignment="1">
      <alignment horizontal="right"/>
    </xf>
    <xf numFmtId="171" fontId="73" fillId="0" borderId="0" xfId="143" applyNumberFormat="1" applyFont="1" applyFill="1" applyBorder="1" applyAlignment="1"/>
    <xf numFmtId="171" fontId="77" fillId="0" borderId="0" xfId="143" applyNumberFormat="1" applyFont="1" applyAlignment="1">
      <alignment horizontal="right"/>
    </xf>
    <xf numFmtId="0" fontId="7" fillId="0" borderId="0" xfId="5792"/>
    <xf numFmtId="171" fontId="95" fillId="0" borderId="0" xfId="37" applyNumberFormat="1" applyFont="1"/>
    <xf numFmtId="171" fontId="77" fillId="0" borderId="0" xfId="37" applyNumberFormat="1" applyFont="1"/>
    <xf numFmtId="171" fontId="73" fillId="0" borderId="0" xfId="37" applyNumberFormat="1" applyFont="1"/>
    <xf numFmtId="171" fontId="62" fillId="0" borderId="0" xfId="37" applyNumberFormat="1" applyFont="1"/>
    <xf numFmtId="171" fontId="62" fillId="0" borderId="0" xfId="37" applyNumberFormat="1" applyFont="1" applyFill="1"/>
    <xf numFmtId="171" fontId="97" fillId="0" borderId="0" xfId="37" applyNumberFormat="1" applyFont="1"/>
    <xf numFmtId="171" fontId="111" fillId="0" borderId="0" xfId="37" applyNumberFormat="1" applyFont="1" applyFill="1" applyBorder="1" applyAlignment="1">
      <alignment horizontal="right"/>
    </xf>
    <xf numFmtId="171" fontId="70" fillId="0" borderId="0" xfId="37" applyNumberFormat="1" applyFont="1" applyFill="1"/>
    <xf numFmtId="43" fontId="70" fillId="0" borderId="0" xfId="37" applyNumberFormat="1" applyFont="1"/>
    <xf numFmtId="0" fontId="11" fillId="0" borderId="0" xfId="5792" applyFont="1" applyFill="1" applyAlignment="1">
      <alignment horizontal="left" indent="1"/>
    </xf>
    <xf numFmtId="0" fontId="17" fillId="0" borderId="0" xfId="5792" applyFont="1" applyFill="1"/>
    <xf numFmtId="171" fontId="77" fillId="0" borderId="0" xfId="143" applyNumberFormat="1" applyFont="1" applyFill="1"/>
    <xf numFmtId="43" fontId="102" fillId="0" borderId="0" xfId="37" applyFont="1" applyFill="1" applyBorder="1" applyAlignment="1">
      <alignment horizontal="right" vertical="center"/>
    </xf>
    <xf numFmtId="43" fontId="70" fillId="0" borderId="0" xfId="37" applyNumberFormat="1" applyFont="1" applyFill="1" applyBorder="1" applyAlignment="1">
      <alignment horizontal="right"/>
    </xf>
    <xf numFmtId="173" fontId="31" fillId="0" borderId="0" xfId="104" applyNumberFormat="1" applyFont="1" applyFill="1" applyAlignment="1">
      <alignment horizontal="left" indent="1"/>
    </xf>
    <xf numFmtId="166" fontId="87" fillId="0" borderId="0" xfId="0" applyNumberFormat="1" applyFont="1"/>
    <xf numFmtId="39" fontId="87" fillId="0" borderId="0" xfId="0" applyNumberFormat="1" applyFont="1"/>
    <xf numFmtId="169" fontId="88" fillId="0" borderId="0" xfId="37" applyNumberFormat="1" applyFont="1" applyFill="1"/>
    <xf numFmtId="43" fontId="77" fillId="0" borderId="0" xfId="143" applyNumberFormat="1" applyFont="1" applyFill="1" applyBorder="1"/>
    <xf numFmtId="43" fontId="11" fillId="0" borderId="0" xfId="37" applyNumberFormat="1" applyFont="1" applyFill="1" applyBorder="1"/>
    <xf numFmtId="169" fontId="11" fillId="0" borderId="0" xfId="0" applyNumberFormat="1" applyFont="1" applyBorder="1"/>
    <xf numFmtId="169" fontId="11" fillId="0" borderId="0" xfId="37" applyNumberFormat="1" applyFont="1" applyBorder="1" applyAlignment="1">
      <alignment horizontal="right"/>
    </xf>
    <xf numFmtId="169" fontId="73" fillId="0" borderId="0" xfId="37" applyNumberFormat="1" applyFont="1" applyFill="1" applyAlignment="1">
      <alignment horizontal="left" indent="1"/>
    </xf>
    <xf numFmtId="2" fontId="11" fillId="0" borderId="0" xfId="110" applyNumberFormat="1" applyFont="1" applyFill="1" applyProtection="1">
      <protection locked="0"/>
    </xf>
    <xf numFmtId="2" fontId="11" fillId="0" borderId="0" xfId="110" applyNumberFormat="1" applyFont="1" applyFill="1" applyAlignment="1" applyProtection="1">
      <alignment horizontal="left" indent="1"/>
      <protection locked="0"/>
    </xf>
    <xf numFmtId="0" fontId="31" fillId="0" borderId="0" xfId="0" applyFont="1" applyBorder="1"/>
    <xf numFmtId="171" fontId="81" fillId="0" borderId="0" xfId="143" applyNumberFormat="1" applyFont="1"/>
    <xf numFmtId="171" fontId="11" fillId="0" borderId="0" xfId="143" applyNumberFormat="1" applyFont="1"/>
    <xf numFmtId="173" fontId="72" fillId="0" borderId="0" xfId="104" applyNumberFormat="1" applyFont="1" applyFill="1" applyAlignment="1">
      <alignment horizontal="right"/>
    </xf>
    <xf numFmtId="174" fontId="99" fillId="0" borderId="0" xfId="37" applyNumberFormat="1" applyFont="1" applyBorder="1"/>
    <xf numFmtId="169" fontId="99" fillId="0" borderId="0" xfId="37" applyNumberFormat="1" applyFont="1" applyFill="1" applyBorder="1"/>
    <xf numFmtId="0" fontId="21" fillId="0" borderId="0" xfId="0" applyFont="1" applyBorder="1"/>
    <xf numFmtId="0" fontId="21" fillId="0" borderId="0" xfId="0" applyFont="1"/>
    <xf numFmtId="9" fontId="21" fillId="0" borderId="0" xfId="104" applyFont="1" applyBorder="1"/>
    <xf numFmtId="3" fontId="70" fillId="0" borderId="0" xfId="104" applyNumberFormat="1" applyFont="1" applyFill="1" applyAlignment="1">
      <alignment horizontal="right"/>
    </xf>
    <xf numFmtId="168" fontId="11" fillId="0" borderId="0" xfId="0" applyNumberFormat="1" applyFont="1" applyFill="1" applyAlignment="1">
      <alignment horizontal="right"/>
    </xf>
    <xf numFmtId="169" fontId="99" fillId="0" borderId="0" xfId="37" applyNumberFormat="1" applyFont="1" applyBorder="1" applyAlignment="1">
      <alignment horizontal="left"/>
    </xf>
    <xf numFmtId="169" fontId="99" fillId="0" borderId="0" xfId="0" applyNumberFormat="1" applyFont="1"/>
    <xf numFmtId="169" fontId="17" fillId="0" borderId="0" xfId="37" applyNumberFormat="1" applyFont="1" applyBorder="1" applyAlignment="1">
      <alignment horizontal="right"/>
    </xf>
    <xf numFmtId="169" fontId="73" fillId="0" borderId="0" xfId="37" applyNumberFormat="1" applyFont="1" applyFill="1" applyBorder="1" applyAlignment="1">
      <alignment horizontal="right"/>
    </xf>
    <xf numFmtId="169" fontId="73" fillId="0" borderId="0" xfId="37" applyNumberFormat="1" applyFont="1" applyAlignment="1">
      <alignment horizontal="right"/>
    </xf>
    <xf numFmtId="171" fontId="73" fillId="0" borderId="0" xfId="143" applyNumberFormat="1" applyFont="1" applyFill="1" applyAlignment="1">
      <alignment horizontal="right"/>
    </xf>
    <xf numFmtId="180" fontId="104" fillId="0" borderId="0" xfId="96" applyNumberFormat="1" applyFont="1" applyFill="1" applyBorder="1" applyAlignment="1">
      <alignment horizontal="right" vertical="center"/>
    </xf>
    <xf numFmtId="180" fontId="104" fillId="0" borderId="0" xfId="96" applyNumberFormat="1" applyFont="1" applyBorder="1" applyAlignment="1">
      <alignment horizontal="right" vertical="center"/>
    </xf>
    <xf numFmtId="169" fontId="73" fillId="0" borderId="0" xfId="37" applyNumberFormat="1" applyFont="1" applyFill="1" applyBorder="1"/>
    <xf numFmtId="173" fontId="98" fillId="0" borderId="0" xfId="0" applyNumberFormat="1" applyFont="1" applyFill="1" applyBorder="1"/>
    <xf numFmtId="173" fontId="31" fillId="0" borderId="0" xfId="0" applyNumberFormat="1" applyFont="1"/>
    <xf numFmtId="9" fontId="11" fillId="0" borderId="47" xfId="0" applyNumberFormat="1" applyFont="1" applyBorder="1"/>
    <xf numFmtId="0" fontId="31" fillId="0" borderId="47" xfId="0" applyFont="1" applyBorder="1"/>
    <xf numFmtId="169" fontId="88" fillId="0" borderId="47" xfId="37" applyNumberFormat="1" applyFont="1" applyBorder="1"/>
    <xf numFmtId="169" fontId="77" fillId="0" borderId="0" xfId="37" applyNumberFormat="1" applyFont="1" applyFill="1"/>
    <xf numFmtId="169" fontId="73" fillId="0" borderId="47" xfId="37" applyNumberFormat="1" applyFont="1" applyBorder="1"/>
    <xf numFmtId="173" fontId="31" fillId="0" borderId="47" xfId="0" applyNumberFormat="1" applyFont="1" applyBorder="1"/>
    <xf numFmtId="169" fontId="17" fillId="0" borderId="47" xfId="37" applyNumberFormat="1" applyFont="1" applyBorder="1" applyAlignment="1">
      <alignment horizontal="right"/>
    </xf>
    <xf numFmtId="9" fontId="11" fillId="0" borderId="0" xfId="0" applyNumberFormat="1" applyFont="1" applyBorder="1"/>
    <xf numFmtId="0" fontId="87" fillId="0" borderId="0" xfId="0" applyFont="1" applyFill="1" applyBorder="1"/>
    <xf numFmtId="0" fontId="99" fillId="0" borderId="0" xfId="0" applyFont="1" applyFill="1" applyBorder="1" applyAlignment="1">
      <alignment horizontal="left"/>
    </xf>
    <xf numFmtId="0" fontId="99" fillId="0" borderId="0" xfId="0" applyFont="1" applyBorder="1" applyAlignment="1">
      <alignment horizontal="left"/>
    </xf>
    <xf numFmtId="171" fontId="11" fillId="0" borderId="0" xfId="143" applyNumberFormat="1" applyFont="1" applyFill="1" applyBorder="1" applyAlignment="1">
      <alignment horizontal="right"/>
    </xf>
    <xf numFmtId="9" fontId="11" fillId="0" borderId="0" xfId="143" applyNumberFormat="1" applyFont="1" applyFill="1" applyBorder="1"/>
    <xf numFmtId="169" fontId="11" fillId="0" borderId="47" xfId="37" applyNumberFormat="1" applyFont="1" applyFill="1" applyBorder="1" applyAlignment="1">
      <alignment horizontal="right"/>
    </xf>
    <xf numFmtId="169" fontId="11" fillId="0" borderId="47" xfId="92" applyNumberFormat="1" applyFont="1" applyFill="1" applyBorder="1"/>
    <xf numFmtId="171" fontId="87" fillId="0" borderId="0" xfId="143" applyNumberFormat="1" applyFont="1" applyFill="1" applyBorder="1" applyAlignment="1">
      <alignment horizontal="right" vertical="center"/>
    </xf>
    <xf numFmtId="43" fontId="11" fillId="0" borderId="0" xfId="143" applyFont="1" applyFill="1" applyProtection="1">
      <protection locked="0"/>
    </xf>
    <xf numFmtId="43" fontId="87" fillId="0" borderId="0" xfId="143" applyFont="1" applyFill="1" applyBorder="1" applyAlignment="1">
      <alignment horizontal="right" vertical="center"/>
    </xf>
    <xf numFmtId="43" fontId="87" fillId="0" borderId="0" xfId="143" applyFont="1" applyFill="1" applyAlignment="1">
      <alignment horizontal="right"/>
    </xf>
    <xf numFmtId="43" fontId="88" fillId="0" borderId="0" xfId="0" applyNumberFormat="1" applyFont="1" applyFill="1"/>
    <xf numFmtId="0" fontId="170" fillId="0" borderId="0" xfId="0" applyFont="1"/>
    <xf numFmtId="0" fontId="167" fillId="0" borderId="0" xfId="0" applyFont="1" applyFill="1" applyAlignment="1">
      <alignment horizontal="left" indent="1"/>
    </xf>
    <xf numFmtId="169" fontId="11" fillId="0" borderId="0" xfId="37" applyNumberFormat="1" applyFont="1" applyAlignment="1">
      <alignment horizontal="right"/>
    </xf>
    <xf numFmtId="3" fontId="64" fillId="25" borderId="0" xfId="0" applyNumberFormat="1" applyFont="1" applyFill="1"/>
    <xf numFmtId="0" fontId="11" fillId="25" borderId="42" xfId="0" applyFont="1" applyFill="1" applyBorder="1" applyAlignment="1">
      <alignment horizontal="left"/>
    </xf>
    <xf numFmtId="9" fontId="11" fillId="25" borderId="42" xfId="104" applyFont="1" applyFill="1" applyBorder="1" applyAlignment="1">
      <alignment horizontal="center"/>
    </xf>
    <xf numFmtId="3" fontId="11" fillId="25" borderId="42" xfId="0" applyNumberFormat="1" applyFont="1" applyFill="1" applyBorder="1" applyAlignment="1">
      <alignment horizontal="right"/>
    </xf>
    <xf numFmtId="168" fontId="11" fillId="25" borderId="42" xfId="0" applyNumberFormat="1" applyFont="1" applyFill="1" applyBorder="1" applyAlignment="1">
      <alignment horizontal="right"/>
    </xf>
    <xf numFmtId="9" fontId="64" fillId="25" borderId="0" xfId="104" applyFont="1" applyFill="1"/>
    <xf numFmtId="0" fontId="11" fillId="25" borderId="0" xfId="0" applyFont="1" applyFill="1" applyBorder="1"/>
    <xf numFmtId="0" fontId="17" fillId="26" borderId="58" xfId="0" applyFont="1" applyFill="1" applyBorder="1" applyAlignment="1">
      <alignment horizontal="center"/>
    </xf>
    <xf numFmtId="171" fontId="70" fillId="0" borderId="0" xfId="37" applyNumberFormat="1" applyFont="1" applyAlignment="1">
      <alignment horizontal="right"/>
    </xf>
    <xf numFmtId="165" fontId="11" fillId="0" borderId="0" xfId="96" applyFont="1" applyBorder="1" applyAlignment="1">
      <alignment horizontal="right"/>
    </xf>
    <xf numFmtId="169" fontId="171" fillId="0" borderId="0" xfId="37" applyNumberFormat="1" applyFont="1"/>
    <xf numFmtId="43" fontId="17" fillId="0" borderId="0" xfId="37" applyFont="1" applyFill="1" applyBorder="1" applyAlignment="1">
      <alignment horizontal="left" vertical="center"/>
    </xf>
    <xf numFmtId="43" fontId="17" fillId="0" borderId="0" xfId="37" applyFont="1" applyFill="1" applyBorder="1" applyAlignment="1">
      <alignment vertical="center"/>
    </xf>
    <xf numFmtId="43" fontId="17" fillId="0" borderId="47" xfId="37" applyFont="1" applyFill="1" applyBorder="1" applyAlignment="1">
      <alignment vertical="center"/>
    </xf>
    <xf numFmtId="43" fontId="77" fillId="0" borderId="0" xfId="37" applyFont="1" applyFill="1" applyBorder="1" applyAlignment="1">
      <alignment vertical="center"/>
    </xf>
    <xf numFmtId="9" fontId="88" fillId="0" borderId="0" xfId="104" applyFont="1" applyFill="1" applyBorder="1"/>
    <xf numFmtId="3" fontId="87" fillId="0" borderId="0" xfId="0" applyNumberFormat="1" applyFont="1" applyBorder="1" applyAlignment="1">
      <alignment horizontal="right"/>
    </xf>
    <xf numFmtId="43" fontId="70" fillId="0" borderId="0" xfId="0" applyNumberFormat="1" applyFont="1"/>
    <xf numFmtId="173" fontId="87" fillId="0" borderId="0" xfId="104" applyNumberFormat="1" applyFont="1" applyFill="1" applyBorder="1"/>
    <xf numFmtId="171" fontId="70" fillId="0" borderId="0" xfId="37" applyNumberFormat="1" applyFont="1" applyFill="1" applyBorder="1" applyAlignment="1">
      <alignment horizontal="right"/>
    </xf>
    <xf numFmtId="0" fontId="11" fillId="15" borderId="15" xfId="0" applyFont="1" applyFill="1" applyBorder="1"/>
    <xf numFmtId="9" fontId="11" fillId="15" borderId="15" xfId="0" applyNumberFormat="1" applyFont="1" applyFill="1" applyBorder="1" applyAlignment="1">
      <alignment horizontal="center"/>
    </xf>
    <xf numFmtId="0" fontId="87" fillId="15" borderId="15" xfId="0" applyFont="1" applyFill="1" applyBorder="1" applyAlignment="1">
      <alignment horizontal="center"/>
    </xf>
    <xf numFmtId="169" fontId="99" fillId="0" borderId="0" xfId="37" applyNumberFormat="1" applyFont="1" applyFill="1" applyAlignment="1">
      <alignment horizontal="left" indent="2"/>
    </xf>
    <xf numFmtId="173" fontId="88" fillId="0" borderId="0" xfId="104" applyNumberFormat="1" applyFont="1" applyFill="1"/>
    <xf numFmtId="171" fontId="99" fillId="0" borderId="0" xfId="37" applyNumberFormat="1" applyFont="1" applyFill="1" applyBorder="1"/>
    <xf numFmtId="173" fontId="88" fillId="0" borderId="0" xfId="104" applyNumberFormat="1" applyFont="1" applyFill="1" applyBorder="1"/>
    <xf numFmtId="37" fontId="11" fillId="0" borderId="0" xfId="37" applyNumberFormat="1" applyFont="1" applyAlignment="1">
      <alignment horizontal="right"/>
    </xf>
    <xf numFmtId="37" fontId="11" fillId="0" borderId="47" xfId="0" applyNumberFormat="1" applyFont="1" applyBorder="1" applyAlignment="1">
      <alignment horizontal="right"/>
    </xf>
    <xf numFmtId="169" fontId="17" fillId="0" borderId="0" xfId="143" applyNumberFormat="1" applyFont="1" applyBorder="1"/>
    <xf numFmtId="173" fontId="11" fillId="0" borderId="0" xfId="164" applyNumberFormat="1" applyFont="1" applyFill="1"/>
    <xf numFmtId="169" fontId="11" fillId="0" borderId="0" xfId="143" applyNumberFormat="1" applyFont="1" applyBorder="1" applyAlignment="1">
      <alignment horizontal="right"/>
    </xf>
    <xf numFmtId="171" fontId="31" fillId="0" borderId="0" xfId="143" applyNumberFormat="1" applyFont="1" applyBorder="1"/>
    <xf numFmtId="171" fontId="99" fillId="0" borderId="0" xfId="143" applyNumberFormat="1" applyFont="1" applyFill="1" applyBorder="1"/>
    <xf numFmtId="174" fontId="95" fillId="0" borderId="0" xfId="143" applyNumberFormat="1" applyFont="1" applyFill="1" applyBorder="1" applyAlignment="1">
      <alignment horizontal="right" vertical="center"/>
    </xf>
    <xf numFmtId="174" fontId="87" fillId="0" borderId="0" xfId="143" applyNumberFormat="1" applyFont="1" applyFill="1" applyBorder="1" applyAlignment="1">
      <alignment horizontal="right" vertical="center"/>
    </xf>
    <xf numFmtId="204" fontId="28" fillId="24" borderId="0" xfId="96" applyNumberFormat="1" applyFont="1" applyFill="1" applyBorder="1" applyAlignment="1">
      <alignment horizontal="right" vertical="center"/>
    </xf>
    <xf numFmtId="41" fontId="11" fillId="0" borderId="0" xfId="104" applyNumberFormat="1" applyFont="1" applyBorder="1"/>
    <xf numFmtId="204" fontId="17" fillId="0" borderId="0" xfId="96" applyNumberFormat="1" applyFont="1" applyFill="1" applyAlignment="1">
      <alignment horizontal="right" vertical="center"/>
    </xf>
    <xf numFmtId="9" fontId="17" fillId="0" borderId="47" xfId="0" applyNumberFormat="1" applyFont="1" applyBorder="1"/>
    <xf numFmtId="9" fontId="11" fillId="0" borderId="47" xfId="104" applyNumberFormat="1" applyFont="1" applyBorder="1" applyAlignment="1">
      <alignment horizontal="right"/>
    </xf>
    <xf numFmtId="1" fontId="11" fillId="0" borderId="47" xfId="0" applyNumberFormat="1" applyFont="1" applyBorder="1"/>
    <xf numFmtId="9" fontId="11" fillId="0" borderId="0" xfId="104" applyNumberFormat="1" applyFont="1" applyFill="1" applyBorder="1" applyAlignment="1">
      <alignment horizontal="right"/>
    </xf>
    <xf numFmtId="9" fontId="17" fillId="0" borderId="0" xfId="0" applyNumberFormat="1" applyFont="1" applyFill="1" applyBorder="1" applyAlignment="1">
      <alignment horizontal="right"/>
    </xf>
    <xf numFmtId="173" fontId="31" fillId="0" borderId="0" xfId="104" applyNumberFormat="1" applyFont="1" applyFill="1" applyBorder="1" applyAlignment="1">
      <alignment horizontal="right"/>
    </xf>
    <xf numFmtId="173" fontId="31" fillId="0" borderId="0" xfId="0" applyNumberFormat="1" applyFont="1" applyFill="1" applyBorder="1" applyAlignment="1">
      <alignment horizontal="right"/>
    </xf>
    <xf numFmtId="0" fontId="31" fillId="0" borderId="0" xfId="0" applyFont="1" applyFill="1" applyBorder="1" applyAlignment="1">
      <alignment horizontal="right"/>
    </xf>
    <xf numFmtId="169" fontId="17" fillId="0" borderId="0" xfId="143" applyNumberFormat="1" applyFont="1" applyBorder="1" applyAlignment="1">
      <alignment horizontal="right"/>
    </xf>
    <xf numFmtId="169" fontId="11" fillId="0" borderId="47" xfId="143" applyNumberFormat="1" applyFont="1" applyBorder="1" applyAlignment="1">
      <alignment horizontal="right"/>
    </xf>
    <xf numFmtId="9" fontId="11" fillId="0" borderId="0" xfId="164" applyFont="1" applyBorder="1"/>
    <xf numFmtId="9" fontId="17" fillId="0" borderId="0" xfId="164" applyFont="1" applyBorder="1"/>
    <xf numFmtId="9" fontId="17" fillId="0" borderId="0" xfId="164" applyFont="1" applyBorder="1" applyAlignment="1">
      <alignment horizontal="right"/>
    </xf>
    <xf numFmtId="9" fontId="11" fillId="0" borderId="0" xfId="164" applyFont="1" applyBorder="1" applyAlignment="1">
      <alignment horizontal="right"/>
    </xf>
    <xf numFmtId="169" fontId="99" fillId="0" borderId="0" xfId="143" applyNumberFormat="1" applyFont="1" applyBorder="1" applyAlignment="1">
      <alignment horizontal="left"/>
    </xf>
    <xf numFmtId="169" fontId="99" fillId="0" borderId="0" xfId="37" applyNumberFormat="1" applyFont="1" applyAlignment="1">
      <alignment horizontal="left" indent="3"/>
    </xf>
    <xf numFmtId="9" fontId="87" fillId="21" borderId="0" xfId="104" applyFont="1" applyFill="1" applyBorder="1" applyAlignment="1">
      <alignment horizontal="right" vertical="center"/>
    </xf>
    <xf numFmtId="0" fontId="11" fillId="0" borderId="0" xfId="92" applyFont="1" applyAlignment="1">
      <alignment horizontal="left" indent="2"/>
    </xf>
    <xf numFmtId="169" fontId="99" fillId="0" borderId="0" xfId="143" applyNumberFormat="1" applyFont="1" applyFill="1" applyBorder="1" applyAlignment="1">
      <alignment horizontal="left"/>
    </xf>
    <xf numFmtId="171" fontId="31" fillId="0" borderId="0" xfId="143" applyNumberFormat="1" applyFont="1" applyBorder="1" applyAlignment="1">
      <alignment horizontal="right"/>
    </xf>
    <xf numFmtId="173" fontId="31" fillId="0" borderId="0" xfId="104" applyNumberFormat="1" applyFont="1" applyBorder="1" applyAlignment="1">
      <alignment horizontal="right"/>
    </xf>
    <xf numFmtId="173" fontId="11" fillId="0" borderId="0" xfId="104" applyNumberFormat="1" applyFont="1" applyBorder="1" applyAlignment="1">
      <alignment horizontal="right"/>
    </xf>
    <xf numFmtId="173" fontId="11" fillId="0" borderId="47" xfId="104" applyNumberFormat="1" applyFont="1" applyBorder="1" applyAlignment="1">
      <alignment horizontal="right"/>
    </xf>
    <xf numFmtId="169" fontId="11" fillId="0" borderId="47" xfId="37" applyNumberFormat="1" applyFont="1" applyBorder="1" applyAlignment="1">
      <alignment horizontal="right"/>
    </xf>
    <xf numFmtId="166" fontId="11" fillId="0" borderId="0" xfId="104" applyNumberFormat="1" applyFont="1" applyBorder="1"/>
    <xf numFmtId="173" fontId="17" fillId="0" borderId="47" xfId="104" applyNumberFormat="1" applyFont="1" applyBorder="1"/>
    <xf numFmtId="169" fontId="66" fillId="0" borderId="0" xfId="37" applyNumberFormat="1" applyFont="1" applyFill="1"/>
    <xf numFmtId="169" fontId="95" fillId="0" borderId="0" xfId="143" applyNumberFormat="1" applyFont="1" applyFill="1" applyBorder="1" applyAlignment="1"/>
    <xf numFmtId="169" fontId="73" fillId="0" borderId="0" xfId="143" applyNumberFormat="1" applyFont="1" applyFill="1" applyBorder="1" applyAlignment="1">
      <alignment horizontal="left" indent="1"/>
    </xf>
    <xf numFmtId="169" fontId="28" fillId="0" borderId="0" xfId="37" applyNumberFormat="1" applyFont="1" applyFill="1" applyBorder="1" applyAlignment="1">
      <alignment horizontal="right" vertical="center"/>
    </xf>
    <xf numFmtId="169" fontId="66" fillId="0" borderId="0" xfId="37" applyNumberFormat="1" applyFont="1" applyFill="1" applyBorder="1" applyAlignment="1">
      <alignment horizontal="right" vertical="center"/>
    </xf>
    <xf numFmtId="169" fontId="27" fillId="0" borderId="0" xfId="37" applyNumberFormat="1" applyFont="1" applyFill="1" applyBorder="1" applyAlignment="1">
      <alignment horizontal="right" vertical="center"/>
    </xf>
    <xf numFmtId="169" fontId="95" fillId="0" borderId="0" xfId="37" applyNumberFormat="1" applyFont="1" applyFill="1" applyBorder="1" applyAlignment="1">
      <alignment horizontal="right"/>
    </xf>
    <xf numFmtId="169" fontId="17" fillId="0" borderId="0" xfId="104" applyNumberFormat="1" applyFont="1" applyFill="1" applyBorder="1" applyAlignment="1">
      <alignment horizontal="right"/>
    </xf>
    <xf numFmtId="169" fontId="17" fillId="0" borderId="0" xfId="104" applyNumberFormat="1" applyFont="1" applyFill="1" applyBorder="1"/>
    <xf numFmtId="169" fontId="17" fillId="0" borderId="47" xfId="104" applyNumberFormat="1" applyFont="1" applyFill="1" applyBorder="1"/>
    <xf numFmtId="169" fontId="73" fillId="0" borderId="0" xfId="143" applyNumberFormat="1" applyFont="1" applyFill="1" applyBorder="1" applyAlignment="1">
      <alignment horizontal="right"/>
    </xf>
    <xf numFmtId="173" fontId="11" fillId="0" borderId="0" xfId="164" applyNumberFormat="1" applyFont="1" applyFill="1" applyBorder="1"/>
    <xf numFmtId="173" fontId="17" fillId="0" borderId="0" xfId="164" applyNumberFormat="1" applyFont="1" applyFill="1" applyBorder="1"/>
    <xf numFmtId="173" fontId="17" fillId="0" borderId="0" xfId="164" applyNumberFormat="1" applyFont="1" applyFill="1" applyBorder="1" applyAlignment="1">
      <alignment horizontal="right"/>
    </xf>
    <xf numFmtId="9" fontId="17" fillId="0" borderId="0" xfId="104" applyFont="1" applyFill="1" applyBorder="1" applyAlignment="1">
      <alignment horizontal="right"/>
    </xf>
    <xf numFmtId="9" fontId="17" fillId="0" borderId="47" xfId="104" applyFont="1" applyFill="1" applyBorder="1" applyAlignment="1">
      <alignment horizontal="right"/>
    </xf>
    <xf numFmtId="173" fontId="11" fillId="0" borderId="0" xfId="164" applyNumberFormat="1" applyFont="1" applyFill="1" applyBorder="1" applyAlignment="1">
      <alignment horizontal="right"/>
    </xf>
    <xf numFmtId="169" fontId="95" fillId="0" borderId="0" xfId="37" applyNumberFormat="1" applyFont="1" applyFill="1"/>
    <xf numFmtId="169" fontId="95" fillId="0" borderId="47" xfId="37" applyNumberFormat="1" applyFont="1" applyFill="1" applyBorder="1"/>
    <xf numFmtId="9" fontId="31" fillId="0" borderId="0" xfId="37" applyNumberFormat="1" applyFont="1" applyFill="1" applyBorder="1"/>
    <xf numFmtId="9" fontId="31" fillId="0" borderId="47" xfId="37" applyNumberFormat="1" applyFont="1" applyFill="1" applyBorder="1"/>
    <xf numFmtId="171" fontId="11" fillId="0" borderId="15" xfId="143" applyNumberFormat="1" applyFont="1" applyBorder="1"/>
    <xf numFmtId="171" fontId="17" fillId="0" borderId="15" xfId="143" applyNumberFormat="1" applyFont="1" applyFill="1" applyBorder="1"/>
    <xf numFmtId="169" fontId="11" fillId="0" borderId="14" xfId="37" applyNumberFormat="1" applyFont="1" applyBorder="1"/>
    <xf numFmtId="169" fontId="87" fillId="0" borderId="0" xfId="143" applyNumberFormat="1" applyFont="1" applyFill="1" applyAlignment="1">
      <alignment horizontal="right"/>
    </xf>
    <xf numFmtId="169" fontId="87" fillId="0" borderId="0" xfId="37" applyNumberFormat="1" applyFont="1" applyAlignment="1">
      <alignment horizontal="right"/>
    </xf>
    <xf numFmtId="173" fontId="87" fillId="0" borderId="0" xfId="143" applyNumberFormat="1" applyFont="1" applyFill="1" applyAlignment="1">
      <alignment horizontal="right"/>
    </xf>
    <xf numFmtId="173" fontId="87" fillId="0" borderId="0" xfId="164" applyNumberFormat="1" applyFont="1" applyFill="1" applyAlignment="1">
      <alignment horizontal="right"/>
    </xf>
    <xf numFmtId="171" fontId="17" fillId="0" borderId="0" xfId="143" applyNumberFormat="1" applyFont="1" applyFill="1" applyAlignment="1">
      <alignment horizontal="right"/>
    </xf>
    <xf numFmtId="195" fontId="17" fillId="0" borderId="42" xfId="0" applyNumberFormat="1" applyFont="1" applyBorder="1" applyAlignment="1">
      <alignment horizontal="right"/>
    </xf>
    <xf numFmtId="9" fontId="11" fillId="0" borderId="42" xfId="118" applyFont="1" applyBorder="1" applyAlignment="1">
      <alignment horizontal="right"/>
    </xf>
    <xf numFmtId="177" fontId="11" fillId="0" borderId="0" xfId="104" applyNumberFormat="1" applyFont="1" applyBorder="1"/>
    <xf numFmtId="9" fontId="31" fillId="0" borderId="0" xfId="104" applyNumberFormat="1" applyFont="1" applyFill="1" applyBorder="1"/>
    <xf numFmtId="9" fontId="31" fillId="0" borderId="47" xfId="104" applyNumberFormat="1" applyFont="1" applyFill="1" applyBorder="1"/>
    <xf numFmtId="4" fontId="87" fillId="0" borderId="0" xfId="0" applyNumberFormat="1" applyFont="1" applyFill="1" applyBorder="1" applyAlignment="1">
      <alignment horizontal="right"/>
    </xf>
    <xf numFmtId="165" fontId="11" fillId="0" borderId="0" xfId="96" applyFont="1" applyFill="1" applyBorder="1" applyAlignment="1">
      <alignment horizontal="left"/>
    </xf>
    <xf numFmtId="173" fontId="31" fillId="0" borderId="47" xfId="104" applyNumberFormat="1" applyFont="1" applyBorder="1" applyAlignment="1">
      <alignment horizontal="right"/>
    </xf>
    <xf numFmtId="43" fontId="31" fillId="0" borderId="0" xfId="37" applyFont="1"/>
    <xf numFmtId="166" fontId="17" fillId="0" borderId="0" xfId="0" applyNumberFormat="1" applyFont="1"/>
    <xf numFmtId="0" fontId="11" fillId="25" borderId="0" xfId="0" applyFont="1" applyFill="1" applyBorder="1" applyAlignment="1">
      <alignment horizontal="left"/>
    </xf>
    <xf numFmtId="3" fontId="11" fillId="25" borderId="0" xfId="0" applyNumberFormat="1" applyFont="1" applyFill="1" applyBorder="1"/>
    <xf numFmtId="195" fontId="95" fillId="0" borderId="0" xfId="0" applyNumberFormat="1" applyFont="1" applyFill="1"/>
    <xf numFmtId="0" fontId="17" fillId="0" borderId="15" xfId="0" applyFont="1" applyBorder="1" applyAlignment="1">
      <alignment horizontal="right"/>
    </xf>
    <xf numFmtId="0" fontId="73" fillId="0" borderId="42" xfId="0" applyFont="1" applyFill="1" applyBorder="1" applyAlignment="1">
      <alignment horizontal="right"/>
    </xf>
    <xf numFmtId="0" fontId="95" fillId="0" borderId="0" xfId="0" applyNumberFormat="1" applyFont="1" applyFill="1"/>
    <xf numFmtId="171" fontId="73" fillId="0" borderId="0" xfId="143" applyNumberFormat="1" applyFont="1" applyFill="1" applyBorder="1"/>
    <xf numFmtId="171" fontId="95" fillId="0" borderId="0" xfId="143" applyNumberFormat="1" applyFont="1" applyFill="1" applyBorder="1"/>
    <xf numFmtId="169" fontId="95" fillId="0" borderId="19" xfId="37" applyNumberFormat="1" applyFont="1" applyFill="1" applyBorder="1" applyAlignment="1">
      <alignment vertical="center"/>
    </xf>
    <xf numFmtId="174" fontId="73" fillId="0" borderId="0" xfId="104" applyNumberFormat="1" applyFont="1" applyFill="1"/>
    <xf numFmtId="169" fontId="95" fillId="0" borderId="19" xfId="37" applyNumberFormat="1" applyFont="1" applyBorder="1" applyAlignment="1">
      <alignment vertical="center"/>
    </xf>
    <xf numFmtId="43" fontId="73" fillId="0" borderId="0" xfId="37" applyFont="1" applyBorder="1"/>
    <xf numFmtId="171" fontId="95" fillId="0" borderId="19" xfId="37" applyNumberFormat="1" applyFont="1" applyFill="1" applyBorder="1" applyAlignment="1">
      <alignment vertical="center"/>
    </xf>
    <xf numFmtId="193" fontId="0" fillId="0" borderId="0" xfId="0" applyNumberFormat="1"/>
    <xf numFmtId="0" fontId="95" fillId="0" borderId="42" xfId="37" applyNumberFormat="1" applyFont="1" applyFill="1" applyBorder="1" applyAlignment="1"/>
    <xf numFmtId="3" fontId="11" fillId="0" borderId="0" xfId="94" applyNumberFormat="1" applyFont="1" applyFill="1" applyAlignment="1"/>
    <xf numFmtId="43" fontId="11" fillId="15" borderId="0" xfId="94" applyNumberFormat="1" applyFont="1" applyFill="1" applyAlignment="1"/>
    <xf numFmtId="37" fontId="11" fillId="15" borderId="0" xfId="94" applyNumberFormat="1" applyFont="1" applyFill="1" applyAlignment="1"/>
    <xf numFmtId="3" fontId="11" fillId="15" borderId="0" xfId="94" applyNumberFormat="1" applyFont="1" applyFill="1" applyAlignment="1"/>
    <xf numFmtId="9" fontId="11" fillId="15" borderId="0" xfId="94" applyNumberFormat="1" applyFont="1" applyFill="1" applyAlignment="1"/>
    <xf numFmtId="3" fontId="11" fillId="15" borderId="0" xfId="0" applyNumberFormat="1" applyFont="1" applyFill="1" applyAlignment="1"/>
    <xf numFmtId="169" fontId="11" fillId="15" borderId="42" xfId="37" applyNumberFormat="1" applyFont="1" applyFill="1" applyBorder="1" applyAlignment="1"/>
    <xf numFmtId="168" fontId="95" fillId="0" borderId="0" xfId="0" applyNumberFormat="1" applyFont="1" applyFill="1" applyAlignment="1"/>
    <xf numFmtId="0" fontId="11" fillId="15" borderId="0" xfId="0" applyFont="1" applyFill="1" applyAlignment="1"/>
    <xf numFmtId="171" fontId="95" fillId="0" borderId="0" xfId="37" applyNumberFormat="1" applyFont="1" applyFill="1" applyAlignment="1"/>
    <xf numFmtId="3" fontId="11" fillId="15" borderId="0" xfId="0" applyNumberFormat="1" applyFont="1" applyFill="1" applyBorder="1" applyAlignment="1">
      <alignment horizontal="right"/>
    </xf>
    <xf numFmtId="3" fontId="17" fillId="15" borderId="0" xfId="0" applyNumberFormat="1" applyFont="1" applyFill="1"/>
    <xf numFmtId="173" fontId="11" fillId="25" borderId="0" xfId="0" applyNumberFormat="1" applyFont="1" applyFill="1" applyAlignment="1">
      <alignment horizontal="right"/>
    </xf>
    <xf numFmtId="169" fontId="11" fillId="25" borderId="0" xfId="37" applyNumberFormat="1" applyFont="1" applyFill="1"/>
    <xf numFmtId="171" fontId="11" fillId="25" borderId="0" xfId="104" applyNumberFormat="1" applyFont="1" applyFill="1" applyAlignment="1">
      <alignment horizontal="right"/>
    </xf>
    <xf numFmtId="171" fontId="11" fillId="25" borderId="0" xfId="0" applyNumberFormat="1" applyFont="1" applyFill="1"/>
    <xf numFmtId="10" fontId="11" fillId="25" borderId="0" xfId="0" applyNumberFormat="1" applyFont="1" applyFill="1"/>
    <xf numFmtId="0" fontId="17" fillId="25" borderId="0" xfId="0" applyFont="1" applyFill="1"/>
    <xf numFmtId="0" fontId="17" fillId="25" borderId="0" xfId="0" applyFont="1" applyFill="1" applyAlignment="1">
      <alignment horizontal="right"/>
    </xf>
    <xf numFmtId="0" fontId="95" fillId="25" borderId="0" xfId="0" applyNumberFormat="1" applyFont="1" applyFill="1" applyAlignment="1">
      <alignment horizontal="right"/>
    </xf>
    <xf numFmtId="0" fontId="95" fillId="25" borderId="0" xfId="0" applyNumberFormat="1" applyFont="1" applyFill="1"/>
    <xf numFmtId="9" fontId="11" fillId="25" borderId="0" xfId="0" applyNumberFormat="1" applyFont="1" applyFill="1"/>
    <xf numFmtId="0" fontId="11" fillId="25" borderId="0" xfId="0" applyFont="1" applyFill="1" applyAlignment="1">
      <alignment horizontal="right"/>
    </xf>
    <xf numFmtId="1" fontId="11" fillId="25" borderId="0" xfId="0" applyNumberFormat="1" applyFont="1" applyFill="1" applyAlignment="1">
      <alignment horizontal="right"/>
    </xf>
    <xf numFmtId="169" fontId="11" fillId="25" borderId="0" xfId="37" applyNumberFormat="1" applyFont="1" applyFill="1" applyAlignment="1">
      <alignment horizontal="right"/>
    </xf>
    <xf numFmtId="0" fontId="100" fillId="0" borderId="0" xfId="0" applyFont="1"/>
    <xf numFmtId="0" fontId="174" fillId="0" borderId="0" xfId="98" applyFont="1" applyFill="1" applyBorder="1"/>
    <xf numFmtId="0" fontId="175" fillId="0" borderId="0" xfId="0" applyFont="1" applyFill="1"/>
    <xf numFmtId="0" fontId="100" fillId="15" borderId="0" xfId="98" applyFont="1" applyFill="1" applyBorder="1"/>
    <xf numFmtId="0" fontId="100" fillId="0" borderId="0" xfId="98" applyFont="1" applyBorder="1"/>
    <xf numFmtId="0" fontId="100" fillId="0" borderId="0" xfId="98" applyFont="1"/>
    <xf numFmtId="0" fontId="11" fillId="0" borderId="0" xfId="104" applyNumberFormat="1" applyFont="1"/>
    <xf numFmtId="2" fontId="97" fillId="0" borderId="0" xfId="5792" applyNumberFormat="1" applyFont="1" applyFill="1"/>
    <xf numFmtId="171" fontId="11" fillId="0" borderId="0" xfId="143" applyNumberFormat="1" applyFont="1" applyFill="1" applyBorder="1" applyAlignment="1"/>
    <xf numFmtId="169" fontId="104" fillId="0" borderId="0" xfId="37" applyNumberFormat="1" applyFont="1" applyFill="1" applyBorder="1" applyAlignment="1">
      <alignment horizontal="right" vertical="center"/>
    </xf>
    <xf numFmtId="171" fontId="87" fillId="0" borderId="0" xfId="143" applyNumberFormat="1" applyFont="1"/>
    <xf numFmtId="1" fontId="17" fillId="0" borderId="42" xfId="0" applyNumberFormat="1" applyFont="1" applyBorder="1"/>
    <xf numFmtId="0" fontId="73" fillId="0" borderId="15" xfId="0" applyFont="1" applyFill="1" applyBorder="1"/>
    <xf numFmtId="0" fontId="11" fillId="25" borderId="0" xfId="0" applyFont="1" applyFill="1" applyAlignment="1">
      <alignment horizontal="left" indent="1"/>
    </xf>
    <xf numFmtId="169" fontId="11" fillId="15" borderId="0" xfId="0" applyNumberFormat="1" applyFont="1" applyFill="1"/>
    <xf numFmtId="169" fontId="73" fillId="15" borderId="0" xfId="37" applyNumberFormat="1" applyFont="1" applyFill="1" applyAlignment="1">
      <alignment horizontal="right"/>
    </xf>
    <xf numFmtId="0" fontId="11" fillId="15" borderId="0" xfId="0" quotePrefix="1" applyFont="1" applyFill="1"/>
    <xf numFmtId="173" fontId="87" fillId="21" borderId="0" xfId="0" applyNumberFormat="1" applyFont="1" applyFill="1"/>
    <xf numFmtId="1" fontId="88" fillId="0" borderId="0" xfId="0" applyNumberFormat="1" applyFont="1" applyAlignment="1">
      <alignment horizontal="right"/>
    </xf>
    <xf numFmtId="0" fontId="95" fillId="0" borderId="15" xfId="0" applyFont="1" applyFill="1" applyBorder="1"/>
    <xf numFmtId="198" fontId="66" fillId="0" borderId="0" xfId="117" applyNumberFormat="1" applyFont="1" applyFill="1" applyBorder="1" applyAlignment="1">
      <alignment horizontal="right"/>
    </xf>
    <xf numFmtId="198" fontId="66" fillId="0" borderId="0" xfId="116" applyNumberFormat="1" applyFont="1" applyFill="1" applyBorder="1"/>
    <xf numFmtId="0" fontId="12" fillId="24" borderId="0" xfId="98" applyFont="1" applyFill="1" applyBorder="1"/>
    <xf numFmtId="169" fontId="73" fillId="0" borderId="0" xfId="143" applyNumberFormat="1" applyFont="1" applyFill="1" applyBorder="1" applyAlignment="1">
      <alignment horizontal="left" indent="2"/>
    </xf>
    <xf numFmtId="1" fontId="11" fillId="0" borderId="0" xfId="104" applyNumberFormat="1" applyFont="1" applyBorder="1"/>
    <xf numFmtId="171" fontId="11" fillId="0" borderId="47" xfId="37" applyNumberFormat="1" applyFont="1" applyBorder="1" applyAlignment="1">
      <alignment horizontal="right"/>
    </xf>
    <xf numFmtId="0" fontId="11" fillId="25" borderId="0" xfId="97" applyFont="1" applyFill="1" applyBorder="1"/>
    <xf numFmtId="37" fontId="11" fillId="25" borderId="0" xfId="104" applyNumberFormat="1" applyFont="1" applyFill="1" applyAlignment="1">
      <alignment horizontal="right"/>
    </xf>
    <xf numFmtId="37" fontId="70" fillId="25" borderId="0" xfId="104" applyNumberFormat="1" applyFont="1" applyFill="1" applyAlignment="1">
      <alignment horizontal="right"/>
    </xf>
    <xf numFmtId="0" fontId="17" fillId="25" borderId="37" xfId="97" applyFont="1" applyFill="1" applyBorder="1"/>
    <xf numFmtId="169" fontId="17" fillId="25" borderId="37" xfId="38" applyNumberFormat="1" applyFont="1" applyFill="1" applyBorder="1"/>
    <xf numFmtId="169" fontId="77" fillId="25" borderId="37" xfId="38" applyNumberFormat="1" applyFont="1" applyFill="1" applyBorder="1"/>
    <xf numFmtId="0" fontId="11" fillId="25" borderId="0" xfId="97" applyFont="1" applyFill="1"/>
    <xf numFmtId="169" fontId="11" fillId="25" borderId="0" xfId="38" applyNumberFormat="1" applyFont="1" applyFill="1" applyBorder="1"/>
    <xf numFmtId="169" fontId="70" fillId="25" borderId="0" xfId="38" applyNumberFormat="1" applyFont="1" applyFill="1" applyBorder="1"/>
    <xf numFmtId="173" fontId="11" fillId="25" borderId="0" xfId="104" applyNumberFormat="1" applyFont="1" applyFill="1"/>
    <xf numFmtId="173" fontId="70" fillId="25" borderId="0" xfId="104" applyNumberFormat="1" applyFont="1" applyFill="1"/>
    <xf numFmtId="0" fontId="17" fillId="25" borderId="0" xfId="97" applyFont="1" applyFill="1"/>
    <xf numFmtId="173" fontId="11" fillId="25" borderId="0" xfId="104" applyNumberFormat="1" applyFont="1" applyFill="1" applyBorder="1"/>
    <xf numFmtId="173" fontId="70" fillId="25" borderId="0" xfId="104" applyNumberFormat="1" applyFont="1" applyFill="1" applyBorder="1"/>
    <xf numFmtId="0" fontId="11" fillId="25" borderId="42" xfId="0" applyFont="1" applyFill="1" applyBorder="1"/>
    <xf numFmtId="3" fontId="11" fillId="25" borderId="0" xfId="0" applyNumberFormat="1" applyFont="1" applyFill="1"/>
    <xf numFmtId="172" fontId="11" fillId="25" borderId="42" xfId="0" applyNumberFormat="1" applyFont="1" applyFill="1" applyBorder="1" applyAlignment="1">
      <alignment horizontal="right"/>
    </xf>
    <xf numFmtId="0" fontId="17" fillId="25" borderId="0" xfId="0" applyFont="1" applyFill="1" applyBorder="1"/>
    <xf numFmtId="0" fontId="11" fillId="25" borderId="59" xfId="0" applyFont="1" applyFill="1" applyBorder="1"/>
    <xf numFmtId="169" fontId="70" fillId="25" borderId="0" xfId="37" applyNumberFormat="1" applyFont="1" applyFill="1" applyAlignment="1">
      <alignment horizontal="right"/>
    </xf>
    <xf numFmtId="1" fontId="70" fillId="25" borderId="0" xfId="0" applyNumberFormat="1" applyFont="1" applyFill="1" applyAlignment="1">
      <alignment horizontal="right"/>
    </xf>
    <xf numFmtId="168" fontId="11" fillId="25" borderId="0" xfId="0" applyNumberFormat="1" applyFont="1" applyFill="1" applyBorder="1" applyAlignment="1">
      <alignment horizontal="right"/>
    </xf>
    <xf numFmtId="168" fontId="70" fillId="25" borderId="0" xfId="0" applyNumberFormat="1" applyFont="1" applyFill="1" applyBorder="1" applyAlignment="1">
      <alignment horizontal="right"/>
    </xf>
    <xf numFmtId="172" fontId="11" fillId="25" borderId="0" xfId="0" applyNumberFormat="1" applyFont="1" applyFill="1" applyAlignment="1">
      <alignment horizontal="right"/>
    </xf>
    <xf numFmtId="172" fontId="70" fillId="25" borderId="0" xfId="0" applyNumberFormat="1" applyFont="1" applyFill="1" applyAlignment="1">
      <alignment horizontal="right"/>
    </xf>
    <xf numFmtId="9" fontId="11" fillId="25" borderId="0" xfId="0" applyNumberFormat="1" applyFont="1" applyFill="1" applyAlignment="1">
      <alignment horizontal="right"/>
    </xf>
    <xf numFmtId="9" fontId="70" fillId="25" borderId="0" xfId="0" applyNumberFormat="1" applyFont="1" applyFill="1" applyAlignment="1">
      <alignment horizontal="right"/>
    </xf>
    <xf numFmtId="0" fontId="7" fillId="25" borderId="0" xfId="0" applyFont="1" applyFill="1"/>
    <xf numFmtId="0" fontId="11" fillId="25" borderId="0" xfId="0" applyFont="1" applyFill="1" applyBorder="1" applyAlignment="1">
      <alignment horizontal="left" indent="1"/>
    </xf>
    <xf numFmtId="41" fontId="11" fillId="25" borderId="0" xfId="0" applyNumberFormat="1" applyFont="1" applyFill="1" applyBorder="1" applyAlignment="1">
      <alignment horizontal="right"/>
    </xf>
    <xf numFmtId="41" fontId="70" fillId="25" borderId="0" xfId="0" applyNumberFormat="1" applyFont="1" applyFill="1" applyBorder="1" applyAlignment="1">
      <alignment horizontal="right"/>
    </xf>
    <xf numFmtId="41" fontId="11" fillId="25" borderId="0" xfId="0" applyNumberFormat="1" applyFont="1" applyFill="1" applyAlignment="1">
      <alignment horizontal="right"/>
    </xf>
    <xf numFmtId="41" fontId="70" fillId="25" borderId="0" xfId="0" applyNumberFormat="1" applyFont="1" applyFill="1" applyAlignment="1">
      <alignment horizontal="right"/>
    </xf>
    <xf numFmtId="41" fontId="17" fillId="25" borderId="0" xfId="0" applyNumberFormat="1" applyFont="1" applyFill="1"/>
    <xf numFmtId="41" fontId="77" fillId="25" borderId="0" xfId="0" applyNumberFormat="1" applyFont="1" applyFill="1"/>
    <xf numFmtId="0" fontId="31" fillId="25" borderId="0" xfId="110" applyFont="1" applyFill="1" applyProtection="1">
      <protection locked="0"/>
    </xf>
    <xf numFmtId="9" fontId="31" fillId="25" borderId="0" xfId="104" applyFont="1" applyFill="1" applyBorder="1"/>
    <xf numFmtId="9" fontId="31" fillId="25" borderId="0" xfId="104" applyFont="1" applyFill="1"/>
    <xf numFmtId="9" fontId="98" fillId="25" borderId="0" xfId="104" applyFont="1" applyFill="1"/>
    <xf numFmtId="41" fontId="81" fillId="25" borderId="0" xfId="0" applyNumberFormat="1" applyFont="1" applyFill="1"/>
    <xf numFmtId="41" fontId="11" fillId="25" borderId="0" xfId="0" applyNumberFormat="1" applyFont="1" applyFill="1"/>
    <xf numFmtId="41" fontId="70" fillId="25" borderId="0" xfId="37" applyNumberFormat="1" applyFont="1" applyFill="1"/>
    <xf numFmtId="0" fontId="31" fillId="25" borderId="0" xfId="0" applyFont="1" applyFill="1"/>
    <xf numFmtId="173" fontId="31" fillId="25" borderId="0" xfId="104" applyNumberFormat="1" applyFont="1" applyFill="1"/>
    <xf numFmtId="173" fontId="98" fillId="25" borderId="0" xfId="104" applyNumberFormat="1" applyFont="1" applyFill="1"/>
    <xf numFmtId="37" fontId="81" fillId="25" borderId="0" xfId="0" applyNumberFormat="1" applyFont="1" applyFill="1"/>
    <xf numFmtId="41" fontId="11" fillId="25" borderId="0" xfId="37" applyNumberFormat="1" applyFont="1" applyFill="1"/>
    <xf numFmtId="37" fontId="11" fillId="25" borderId="0" xfId="143" applyNumberFormat="1" applyFont="1" applyFill="1"/>
    <xf numFmtId="0" fontId="11" fillId="25" borderId="0" xfId="0" applyFont="1" applyFill="1" applyAlignment="1">
      <alignment horizontal="left" indent="2"/>
    </xf>
    <xf numFmtId="173" fontId="31" fillId="25" borderId="0" xfId="0" applyNumberFormat="1" applyFont="1" applyFill="1"/>
    <xf numFmtId="173" fontId="98" fillId="25" borderId="0" xfId="0" applyNumberFormat="1" applyFont="1" applyFill="1"/>
    <xf numFmtId="9" fontId="31" fillId="25" borderId="0" xfId="104" applyFont="1" applyFill="1" applyAlignment="1">
      <alignment horizontal="right"/>
    </xf>
    <xf numFmtId="9" fontId="98" fillId="25" borderId="0" xfId="104" applyFont="1" applyFill="1" applyAlignment="1">
      <alignment horizontal="right"/>
    </xf>
    <xf numFmtId="165" fontId="11" fillId="25" borderId="0" xfId="96" applyFont="1" applyFill="1" applyBorder="1" applyAlignment="1">
      <alignment horizontal="left" indent="1"/>
    </xf>
    <xf numFmtId="37" fontId="81" fillId="25" borderId="0" xfId="0" applyNumberFormat="1" applyFont="1" applyFill="1" applyAlignment="1">
      <alignment horizontal="right"/>
    </xf>
    <xf numFmtId="41" fontId="17" fillId="25" borderId="0" xfId="37" applyNumberFormat="1" applyFont="1" applyFill="1"/>
    <xf numFmtId="41" fontId="77" fillId="25" borderId="0" xfId="37" applyNumberFormat="1" applyFont="1" applyFill="1"/>
    <xf numFmtId="0" fontId="11" fillId="25" borderId="0" xfId="110" applyFont="1" applyFill="1" applyProtection="1">
      <protection locked="0"/>
    </xf>
    <xf numFmtId="41" fontId="70" fillId="25" borderId="0" xfId="0" applyNumberFormat="1" applyFont="1" applyFill="1"/>
    <xf numFmtId="0" fontId="17" fillId="25" borderId="0" xfId="110" applyFont="1" applyFill="1" applyProtection="1">
      <protection locked="0"/>
    </xf>
    <xf numFmtId="172" fontId="11" fillId="25" borderId="0" xfId="0" applyNumberFormat="1" applyFont="1" applyFill="1"/>
    <xf numFmtId="9" fontId="11" fillId="25" borderId="0" xfId="104" applyFont="1" applyFill="1"/>
    <xf numFmtId="9" fontId="70" fillId="25" borderId="0" xfId="104" applyFont="1" applyFill="1"/>
    <xf numFmtId="222" fontId="73" fillId="25" borderId="0" xfId="0" applyNumberFormat="1" applyFont="1" applyFill="1"/>
    <xf numFmtId="222" fontId="70" fillId="25" borderId="0" xfId="0" applyNumberFormat="1" applyFont="1" applyFill="1"/>
    <xf numFmtId="2" fontId="11" fillId="25" borderId="0" xfId="110" applyNumberFormat="1" applyFont="1" applyFill="1" applyProtection="1">
      <protection locked="0"/>
    </xf>
    <xf numFmtId="43" fontId="73" fillId="25" borderId="0" xfId="37" applyFont="1" applyFill="1"/>
    <xf numFmtId="43" fontId="70" fillId="25" borderId="0" xfId="37" applyFont="1" applyFill="1"/>
    <xf numFmtId="43" fontId="11" fillId="25" borderId="0" xfId="37" applyFont="1" applyFill="1"/>
    <xf numFmtId="171" fontId="11" fillId="25" borderId="0" xfId="37" applyNumberFormat="1" applyFont="1" applyFill="1" applyBorder="1"/>
    <xf numFmtId="171" fontId="70" fillId="25" borderId="0" xfId="37" applyNumberFormat="1" applyFont="1" applyFill="1"/>
    <xf numFmtId="43" fontId="11" fillId="25" borderId="0" xfId="37" applyNumberFormat="1" applyFont="1" applyFill="1" applyBorder="1" applyAlignment="1">
      <alignment horizontal="right"/>
    </xf>
    <xf numFmtId="0" fontId="17" fillId="25" borderId="59" xfId="0" applyFont="1" applyFill="1" applyBorder="1"/>
    <xf numFmtId="168" fontId="11" fillId="25" borderId="0" xfId="110" applyNumberFormat="1" applyFont="1" applyFill="1" applyProtection="1">
      <protection locked="0"/>
    </xf>
    <xf numFmtId="168" fontId="17" fillId="25" borderId="0" xfId="110" applyNumberFormat="1" applyFont="1" applyFill="1" applyProtection="1">
      <protection locked="0"/>
    </xf>
    <xf numFmtId="167" fontId="17" fillId="25" borderId="59" xfId="110" applyNumberFormat="1" applyFont="1" applyFill="1" applyBorder="1" applyProtection="1">
      <protection locked="0"/>
    </xf>
    <xf numFmtId="41" fontId="17" fillId="25" borderId="59" xfId="0" applyNumberFormat="1" applyFont="1" applyFill="1" applyBorder="1"/>
    <xf numFmtId="41" fontId="77" fillId="25" borderId="59" xfId="0" applyNumberFormat="1" applyFont="1" applyFill="1" applyBorder="1"/>
    <xf numFmtId="167" fontId="11" fillId="25" borderId="0" xfId="110" applyNumberFormat="1" applyFont="1" applyFill="1" applyProtection="1">
      <protection locked="0"/>
    </xf>
    <xf numFmtId="167" fontId="17" fillId="25" borderId="0" xfId="110" applyNumberFormat="1" applyFont="1" applyFill="1" applyProtection="1">
      <protection locked="0"/>
    </xf>
    <xf numFmtId="3" fontId="70" fillId="25" borderId="0" xfId="0" applyNumberFormat="1" applyFont="1" applyFill="1" applyBorder="1"/>
    <xf numFmtId="169" fontId="70" fillId="25" borderId="0" xfId="37" applyNumberFormat="1" applyFont="1" applyFill="1" applyBorder="1"/>
    <xf numFmtId="171" fontId="11" fillId="25" borderId="0" xfId="37" applyNumberFormat="1" applyFont="1" applyFill="1"/>
    <xf numFmtId="173" fontId="70" fillId="25" borderId="0" xfId="0" applyNumberFormat="1" applyFont="1" applyFill="1"/>
    <xf numFmtId="169" fontId="70" fillId="25" borderId="0" xfId="37" applyNumberFormat="1" applyFont="1" applyFill="1"/>
    <xf numFmtId="9" fontId="70" fillId="25" borderId="0" xfId="0" applyNumberFormat="1" applyFont="1" applyFill="1"/>
    <xf numFmtId="0" fontId="11" fillId="25" borderId="59" xfId="89" quotePrefix="1" applyFont="1" applyFill="1" applyBorder="1" applyAlignment="1">
      <alignment horizontal="left"/>
    </xf>
    <xf numFmtId="39" fontId="11" fillId="25" borderId="59" xfId="0" applyNumberFormat="1" applyFont="1" applyFill="1" applyBorder="1" applyAlignment="1">
      <alignment horizontal="right"/>
    </xf>
    <xf numFmtId="39" fontId="70" fillId="25" borderId="59" xfId="0" applyNumberFormat="1" applyFont="1" applyFill="1" applyBorder="1"/>
    <xf numFmtId="0" fontId="11" fillId="25" borderId="0" xfId="89" applyFont="1" applyFill="1" applyAlignment="1">
      <alignment horizontal="left"/>
    </xf>
    <xf numFmtId="169" fontId="11" fillId="25" borderId="0" xfId="0" applyNumberFormat="1" applyFont="1" applyFill="1"/>
    <xf numFmtId="169" fontId="70" fillId="25" borderId="0" xfId="0" applyNumberFormat="1" applyFont="1" applyFill="1"/>
    <xf numFmtId="201" fontId="11" fillId="25" borderId="0" xfId="89" applyNumberFormat="1" applyFont="1" applyFill="1" applyAlignment="1">
      <alignment horizontal="right"/>
    </xf>
    <xf numFmtId="201" fontId="70" fillId="25" borderId="0" xfId="89" applyNumberFormat="1" applyFont="1" applyFill="1"/>
    <xf numFmtId="171" fontId="11" fillId="25" borderId="0" xfId="37" applyNumberFormat="1" applyFont="1" applyFill="1" applyAlignment="1">
      <alignment horizontal="right"/>
    </xf>
    <xf numFmtId="43" fontId="11" fillId="25" borderId="0" xfId="104" applyNumberFormat="1" applyFont="1" applyFill="1" applyAlignment="1">
      <alignment horizontal="right"/>
    </xf>
    <xf numFmtId="173" fontId="11" fillId="25" borderId="0" xfId="104" applyNumberFormat="1" applyFont="1" applyFill="1" applyAlignment="1">
      <alignment horizontal="right"/>
    </xf>
    <xf numFmtId="173" fontId="70" fillId="25" borderId="0" xfId="104" applyNumberFormat="1" applyFont="1" applyFill="1" applyAlignment="1">
      <alignment horizontal="right"/>
    </xf>
    <xf numFmtId="0" fontId="173" fillId="0" borderId="17" xfId="0" applyFont="1" applyFill="1" applyBorder="1" applyAlignment="1">
      <alignment horizontal="right"/>
    </xf>
    <xf numFmtId="0" fontId="11" fillId="0" borderId="88" xfId="0" applyFont="1" applyBorder="1" applyAlignment="1">
      <alignment horizontal="center"/>
    </xf>
    <xf numFmtId="195" fontId="11" fillId="0" borderId="88" xfId="0" applyNumberFormat="1" applyFont="1" applyFill="1" applyBorder="1" applyAlignment="1">
      <alignment horizontal="right"/>
    </xf>
    <xf numFmtId="198" fontId="65" fillId="0" borderId="89" xfId="116" applyNumberFormat="1" applyFont="1" applyFill="1" applyBorder="1"/>
    <xf numFmtId="198" fontId="66" fillId="0" borderId="87" xfId="116" applyNumberFormat="1" applyFont="1" applyFill="1" applyBorder="1"/>
    <xf numFmtId="37" fontId="11" fillId="25" borderId="0" xfId="0" applyNumberFormat="1" applyFont="1" applyFill="1"/>
    <xf numFmtId="0" fontId="0" fillId="25" borderId="0" xfId="0" applyFill="1"/>
    <xf numFmtId="0" fontId="17" fillId="25" borderId="0" xfId="0" applyFont="1" applyFill="1" applyAlignment="1">
      <alignment horizontal="left"/>
    </xf>
    <xf numFmtId="3" fontId="17" fillId="25" borderId="0" xfId="0" applyNumberFormat="1" applyFont="1" applyFill="1"/>
    <xf numFmtId="37" fontId="17" fillId="25" borderId="0" xfId="0" applyNumberFormat="1" applyFont="1" applyFill="1"/>
    <xf numFmtId="0" fontId="11" fillId="25" borderId="0" xfId="0" quotePrefix="1" applyFont="1" applyFill="1" applyAlignment="1">
      <alignment horizontal="left"/>
    </xf>
    <xf numFmtId="173" fontId="11" fillId="25" borderId="0" xfId="118" applyNumberFormat="1" applyFont="1" applyFill="1"/>
    <xf numFmtId="169" fontId="11" fillId="25" borderId="0" xfId="119" applyNumberFormat="1" applyFont="1" applyFill="1"/>
    <xf numFmtId="199" fontId="31" fillId="25" borderId="0" xfId="0" applyNumberFormat="1" applyFont="1" applyFill="1"/>
    <xf numFmtId="193" fontId="31" fillId="25" borderId="0" xfId="0" applyNumberFormat="1" applyFont="1" applyFill="1"/>
    <xf numFmtId="193" fontId="11" fillId="25" borderId="0" xfId="0" applyNumberFormat="1" applyFont="1" applyFill="1"/>
    <xf numFmtId="0" fontId="86" fillId="25" borderId="0" xfId="0" applyFont="1" applyFill="1"/>
    <xf numFmtId="168" fontId="86" fillId="25" borderId="0" xfId="0" applyNumberFormat="1" applyFont="1" applyFill="1"/>
    <xf numFmtId="0" fontId="87" fillId="25" borderId="0" xfId="0" applyFont="1" applyFill="1"/>
    <xf numFmtId="168" fontId="87" fillId="25" borderId="0" xfId="0" applyNumberFormat="1" applyFont="1" applyFill="1"/>
    <xf numFmtId="0" fontId="95" fillId="0" borderId="42" xfId="94" applyFont="1" applyFill="1" applyBorder="1" applyAlignment="1">
      <alignment horizontal="right"/>
    </xf>
    <xf numFmtId="0" fontId="11" fillId="15" borderId="0" xfId="94" applyFont="1" applyFill="1" applyAlignment="1">
      <alignment horizontal="right"/>
    </xf>
    <xf numFmtId="0" fontId="11" fillId="15" borderId="42" xfId="0" applyFont="1" applyFill="1" applyBorder="1" applyAlignment="1">
      <alignment horizontal="right"/>
    </xf>
    <xf numFmtId="0" fontId="95" fillId="0" borderId="0" xfId="0" applyFont="1" applyFill="1" applyAlignment="1">
      <alignment horizontal="right"/>
    </xf>
    <xf numFmtId="0" fontId="73" fillId="0" borderId="0" xfId="0" applyFont="1" applyFill="1" applyAlignment="1">
      <alignment horizontal="right"/>
    </xf>
    <xf numFmtId="0" fontId="11" fillId="0" borderId="15" xfId="0" applyFont="1" applyBorder="1" applyAlignment="1">
      <alignment horizontal="right"/>
    </xf>
    <xf numFmtId="9" fontId="11" fillId="25" borderId="0" xfId="104" applyFont="1" applyFill="1" applyBorder="1" applyAlignment="1">
      <alignment horizontal="center"/>
    </xf>
    <xf numFmtId="3" fontId="11" fillId="25" borderId="0" xfId="0" applyNumberFormat="1" applyFont="1" applyFill="1" applyBorder="1" applyAlignment="1">
      <alignment horizontal="right"/>
    </xf>
    <xf numFmtId="37" fontId="73" fillId="25" borderId="0" xfId="92" applyNumberFormat="1" applyFont="1" applyFill="1" applyBorder="1" applyAlignment="1">
      <alignment horizontal="center"/>
    </xf>
    <xf numFmtId="0" fontId="11" fillId="25" borderId="0" xfId="0" applyFont="1" applyFill="1" applyBorder="1" applyAlignment="1">
      <alignment horizontal="right"/>
    </xf>
    <xf numFmtId="3" fontId="17" fillId="25" borderId="0" xfId="0" applyNumberFormat="1" applyFont="1" applyFill="1" applyBorder="1" applyAlignment="1">
      <alignment horizontal="right"/>
    </xf>
    <xf numFmtId="171" fontId="65" fillId="25" borderId="0" xfId="37" applyNumberFormat="1" applyFont="1" applyFill="1" applyBorder="1" applyAlignment="1">
      <alignment horizontal="right"/>
    </xf>
    <xf numFmtId="37" fontId="64" fillId="25" borderId="0" xfId="92" applyNumberFormat="1" applyFont="1" applyFill="1" applyBorder="1" applyAlignment="1">
      <alignment horizontal="center"/>
    </xf>
    <xf numFmtId="37" fontId="73" fillId="25" borderId="0" xfId="92" applyNumberFormat="1" applyFont="1" applyFill="1" applyBorder="1" applyAlignment="1">
      <alignment horizontal="right"/>
    </xf>
    <xf numFmtId="2" fontId="27" fillId="25" borderId="0" xfId="0" applyNumberFormat="1" applyFont="1" applyFill="1" applyBorder="1"/>
    <xf numFmtId="0" fontId="65" fillId="25" borderId="0" xfId="0" applyFont="1" applyFill="1" applyBorder="1" applyAlignment="1">
      <alignment horizontal="right"/>
    </xf>
    <xf numFmtId="0" fontId="17" fillId="19" borderId="0" xfId="0" applyFont="1" applyFill="1" applyBorder="1"/>
    <xf numFmtId="0" fontId="65" fillId="15" borderId="0" xfId="0" applyFont="1" applyFill="1" applyBorder="1" applyAlignment="1">
      <alignment horizontal="right"/>
    </xf>
    <xf numFmtId="171" fontId="11" fillId="25" borderId="0" xfId="0" applyNumberFormat="1" applyFont="1" applyFill="1" applyBorder="1" applyAlignment="1">
      <alignment horizontal="right"/>
    </xf>
    <xf numFmtId="9" fontId="11" fillId="25" borderId="0" xfId="104" applyFont="1" applyFill="1" applyBorder="1" applyAlignment="1">
      <alignment horizontal="right"/>
    </xf>
    <xf numFmtId="0" fontId="7" fillId="25" borderId="0" xfId="0" applyFont="1" applyFill="1" applyBorder="1"/>
    <xf numFmtId="9" fontId="11" fillId="25" borderId="0" xfId="118" applyFont="1" applyFill="1"/>
    <xf numFmtId="0" fontId="11" fillId="25" borderId="37" xfId="0" applyFont="1" applyFill="1" applyBorder="1"/>
    <xf numFmtId="0" fontId="11" fillId="25" borderId="37" xfId="97" applyFont="1" applyFill="1" applyBorder="1"/>
    <xf numFmtId="0" fontId="11" fillId="25" borderId="0" xfId="0" applyFont="1" applyFill="1" applyAlignment="1"/>
    <xf numFmtId="37" fontId="11" fillId="25" borderId="0" xfId="104" applyNumberFormat="1" applyFont="1" applyFill="1" applyBorder="1" applyAlignment="1">
      <alignment horizontal="right"/>
    </xf>
    <xf numFmtId="37" fontId="70" fillId="25" borderId="0" xfId="104" applyNumberFormat="1" applyFont="1" applyFill="1" applyBorder="1" applyAlignment="1">
      <alignment horizontal="right"/>
    </xf>
    <xf numFmtId="43" fontId="17" fillId="25" borderId="0" xfId="38" applyNumberFormat="1" applyFont="1" applyFill="1" applyBorder="1"/>
    <xf numFmtId="43" fontId="77" fillId="25" borderId="0" xfId="38" applyNumberFormat="1" applyFont="1" applyFill="1" applyBorder="1"/>
    <xf numFmtId="173" fontId="11" fillId="25" borderId="0" xfId="97" applyNumberFormat="1" applyFont="1" applyFill="1"/>
    <xf numFmtId="0" fontId="70" fillId="25" borderId="0" xfId="97" applyFont="1" applyFill="1"/>
    <xf numFmtId="169" fontId="17" fillId="25" borderId="0" xfId="38" applyNumberFormat="1" applyFont="1" applyFill="1" applyBorder="1"/>
    <xf numFmtId="169" fontId="77" fillId="25" borderId="0" xfId="38" applyNumberFormat="1" applyFont="1" applyFill="1" applyBorder="1"/>
    <xf numFmtId="171" fontId="11" fillId="25" borderId="0" xfId="38" applyNumberFormat="1" applyFont="1" applyFill="1" applyBorder="1"/>
    <xf numFmtId="171" fontId="70" fillId="25" borderId="0" xfId="38" applyNumberFormat="1" applyFont="1" applyFill="1" applyBorder="1"/>
    <xf numFmtId="37" fontId="17" fillId="25" borderId="0" xfId="97" applyNumberFormat="1" applyFont="1" applyFill="1"/>
    <xf numFmtId="37" fontId="77" fillId="25" borderId="0" xfId="97" applyNumberFormat="1" applyFont="1" applyFill="1"/>
    <xf numFmtId="173" fontId="17" fillId="25" borderId="0" xfId="97" applyNumberFormat="1" applyFont="1" applyFill="1"/>
    <xf numFmtId="173" fontId="17" fillId="25" borderId="0" xfId="104" applyNumberFormat="1" applyFont="1" applyFill="1" applyBorder="1"/>
    <xf numFmtId="173" fontId="77" fillId="25" borderId="0" xfId="104" applyNumberFormat="1" applyFont="1" applyFill="1" applyBorder="1"/>
    <xf numFmtId="169" fontId="88" fillId="15" borderId="0" xfId="37" applyNumberFormat="1" applyFont="1" applyFill="1" applyAlignment="1">
      <alignment horizontal="right"/>
    </xf>
    <xf numFmtId="173" fontId="32" fillId="0" borderId="0" xfId="0" applyNumberFormat="1" applyFont="1" applyBorder="1" applyAlignment="1">
      <alignment horizontal="right"/>
    </xf>
    <xf numFmtId="171" fontId="17" fillId="0" borderId="14" xfId="143" applyNumberFormat="1" applyFont="1" applyBorder="1"/>
    <xf numFmtId="1" fontId="28" fillId="24" borderId="0" xfId="0" applyNumberFormat="1" applyFont="1" applyFill="1" applyAlignment="1">
      <alignment horizontal="right"/>
    </xf>
    <xf numFmtId="0" fontId="70" fillId="25" borderId="0" xfId="0" applyFont="1" applyFill="1" applyAlignment="1">
      <alignment horizontal="right"/>
    </xf>
    <xf numFmtId="0" fontId="11" fillId="0" borderId="91" xfId="0" applyFont="1" applyBorder="1"/>
    <xf numFmtId="0" fontId="11" fillId="15" borderId="92" xfId="0" applyFont="1" applyFill="1" applyBorder="1" applyAlignment="1">
      <alignment horizontal="right"/>
    </xf>
    <xf numFmtId="173" fontId="11" fillId="15" borderId="93" xfId="104" applyNumberFormat="1" applyFont="1" applyFill="1" applyBorder="1"/>
    <xf numFmtId="0" fontId="11" fillId="15" borderId="92" xfId="0" applyFont="1" applyFill="1" applyBorder="1" applyAlignment="1">
      <alignment horizontal="left"/>
    </xf>
    <xf numFmtId="10" fontId="87" fillId="0" borderId="93" xfId="104" applyNumberFormat="1" applyFont="1" applyFill="1" applyBorder="1" applyAlignment="1">
      <alignment horizontal="center"/>
    </xf>
    <xf numFmtId="0" fontId="11" fillId="15" borderId="94" xfId="0" applyFont="1" applyFill="1" applyBorder="1" applyAlignment="1">
      <alignment horizontal="right"/>
    </xf>
    <xf numFmtId="0" fontId="11" fillId="0" borderId="95" xfId="0" applyFont="1" applyBorder="1"/>
    <xf numFmtId="3" fontId="17" fillId="15" borderId="95" xfId="0" applyNumberFormat="1" applyFont="1" applyFill="1" applyBorder="1" applyAlignment="1">
      <alignment horizontal="right"/>
    </xf>
    <xf numFmtId="3" fontId="17" fillId="23" borderId="95" xfId="0" applyNumberFormat="1" applyFont="1" applyFill="1" applyBorder="1" applyAlignment="1">
      <alignment horizontal="right"/>
    </xf>
    <xf numFmtId="10" fontId="87" fillId="15" borderId="96" xfId="104" applyNumberFormat="1" applyFont="1" applyFill="1" applyBorder="1" applyAlignment="1">
      <alignment horizontal="center"/>
    </xf>
    <xf numFmtId="169" fontId="81" fillId="15" borderId="97" xfId="37" applyNumberFormat="1" applyFont="1" applyFill="1" applyBorder="1" applyAlignment="1">
      <alignment horizontal="right"/>
    </xf>
    <xf numFmtId="15" fontId="95" fillId="0" borderId="90" xfId="0" applyNumberFormat="1" applyFont="1" applyFill="1" applyBorder="1" applyAlignment="1"/>
    <xf numFmtId="3" fontId="17" fillId="15" borderId="98" xfId="0" applyNumberFormat="1" applyFont="1" applyFill="1" applyBorder="1" applyAlignment="1">
      <alignment horizontal="right" wrapText="1"/>
    </xf>
    <xf numFmtId="0" fontId="17" fillId="15" borderId="98" xfId="0" applyFont="1" applyFill="1" applyBorder="1" applyAlignment="1">
      <alignment horizontal="right" wrapText="1"/>
    </xf>
    <xf numFmtId="0" fontId="17" fillId="0" borderId="99" xfId="0" applyFont="1" applyFill="1" applyBorder="1" applyAlignment="1">
      <alignment wrapText="1"/>
    </xf>
    <xf numFmtId="198" fontId="65" fillId="0" borderId="33" xfId="116" applyNumberFormat="1" applyFont="1" applyFill="1" applyBorder="1" applyAlignment="1">
      <alignment horizontal="right"/>
    </xf>
    <xf numFmtId="198" fontId="66" fillId="0" borderId="33" xfId="116" applyNumberFormat="1" applyFont="1" applyFill="1" applyBorder="1" applyAlignment="1">
      <alignment horizontal="right"/>
    </xf>
    <xf numFmtId="0" fontId="17" fillId="25" borderId="17" xfId="0" applyFont="1" applyFill="1" applyBorder="1" applyAlignment="1">
      <alignment horizontal="left"/>
    </xf>
    <xf numFmtId="0" fontId="17" fillId="25" borderId="17" xfId="0" applyFont="1" applyFill="1" applyBorder="1"/>
    <xf numFmtId="0" fontId="17" fillId="25" borderId="17" xfId="0" applyFont="1" applyFill="1" applyBorder="1" applyAlignment="1">
      <alignment horizontal="center"/>
    </xf>
    <xf numFmtId="0" fontId="17" fillId="25" borderId="17" xfId="0" applyFont="1" applyFill="1" applyBorder="1" applyAlignment="1">
      <alignment horizontal="right"/>
    </xf>
    <xf numFmtId="9" fontId="11" fillId="25" borderId="0" xfId="0" applyNumberFormat="1" applyFont="1" applyFill="1" applyBorder="1" applyAlignment="1">
      <alignment horizontal="center"/>
    </xf>
    <xf numFmtId="0" fontId="27" fillId="25" borderId="0" xfId="0" applyFont="1" applyFill="1" applyBorder="1"/>
    <xf numFmtId="169" fontId="11" fillId="25" borderId="0" xfId="37" applyNumberFormat="1" applyFont="1" applyFill="1" applyBorder="1" applyAlignment="1">
      <alignment horizontal="right"/>
    </xf>
    <xf numFmtId="169" fontId="70" fillId="25" borderId="0" xfId="37" applyNumberFormat="1" applyFont="1" applyFill="1" applyBorder="1" applyAlignment="1">
      <alignment horizontal="right"/>
    </xf>
    <xf numFmtId="0" fontId="17" fillId="25" borderId="42" xfId="0" applyFont="1" applyFill="1" applyBorder="1"/>
    <xf numFmtId="0" fontId="17" fillId="25" borderId="42" xfId="0" applyFont="1" applyFill="1" applyBorder="1" applyAlignment="1">
      <alignment horizontal="right"/>
    </xf>
    <xf numFmtId="195" fontId="17" fillId="25" borderId="42" xfId="0" applyNumberFormat="1" applyFont="1" applyFill="1" applyBorder="1" applyAlignment="1">
      <alignment horizontal="right"/>
    </xf>
    <xf numFmtId="166" fontId="11" fillId="25" borderId="0" xfId="104" applyNumberFormat="1" applyFont="1" applyFill="1" applyBorder="1" applyAlignment="1">
      <alignment horizontal="right"/>
    </xf>
    <xf numFmtId="166" fontId="70" fillId="25" borderId="0" xfId="104" applyNumberFormat="1" applyFont="1" applyFill="1" applyBorder="1" applyAlignment="1">
      <alignment horizontal="right"/>
    </xf>
    <xf numFmtId="0" fontId="17" fillId="25" borderId="0" xfId="97" applyFont="1" applyFill="1" applyBorder="1"/>
    <xf numFmtId="171" fontId="70" fillId="25" borderId="37" xfId="37" applyNumberFormat="1" applyFont="1" applyFill="1" applyBorder="1" applyAlignment="1">
      <alignment horizontal="right"/>
    </xf>
    <xf numFmtId="171" fontId="11" fillId="25" borderId="37" xfId="37" applyNumberFormat="1" applyFont="1" applyFill="1" applyBorder="1" applyAlignment="1">
      <alignment horizontal="right"/>
    </xf>
    <xf numFmtId="224" fontId="11" fillId="0" borderId="0" xfId="0" applyNumberFormat="1" applyFont="1"/>
    <xf numFmtId="0" fontId="107" fillId="0" borderId="0" xfId="0" applyFont="1"/>
    <xf numFmtId="0" fontId="7" fillId="0" borderId="57" xfId="0" applyFont="1" applyBorder="1" applyAlignment="1">
      <alignment horizontal="center"/>
    </xf>
    <xf numFmtId="0" fontId="76" fillId="0" borderId="0" xfId="98" applyFont="1" applyFill="1" applyBorder="1"/>
    <xf numFmtId="0" fontId="7" fillId="15" borderId="0" xfId="98" applyFont="1" applyFill="1" applyBorder="1"/>
    <xf numFmtId="173" fontId="7" fillId="0" borderId="0" xfId="164" applyNumberFormat="1" applyFont="1" applyFill="1" applyAlignment="1">
      <alignment horizontal="center"/>
    </xf>
    <xf numFmtId="0" fontId="7" fillId="15" borderId="0" xfId="98" applyFont="1" applyFill="1"/>
    <xf numFmtId="0" fontId="177" fillId="0" borderId="0" xfId="0" applyFont="1"/>
    <xf numFmtId="173" fontId="7" fillId="0" borderId="0" xfId="104" applyNumberFormat="1" applyFont="1" applyFill="1" applyAlignment="1">
      <alignment horizontal="center"/>
    </xf>
    <xf numFmtId="173" fontId="7" fillId="0" borderId="59" xfId="164" applyNumberFormat="1" applyFont="1" applyFill="1" applyBorder="1" applyAlignment="1">
      <alignment horizontal="center"/>
    </xf>
    <xf numFmtId="0" fontId="18" fillId="0" borderId="0" xfId="0" applyFont="1" applyFill="1"/>
    <xf numFmtId="173" fontId="7" fillId="0" borderId="59" xfId="164" applyNumberFormat="1" applyFont="1" applyFill="1" applyBorder="1" applyAlignment="1"/>
    <xf numFmtId="166" fontId="87" fillId="0" borderId="0" xfId="0" applyNumberFormat="1" applyFont="1" applyAlignment="1">
      <alignment horizontal="right"/>
    </xf>
    <xf numFmtId="165" fontId="17" fillId="0" borderId="0" xfId="93" applyNumberFormat="1" applyFont="1" applyFill="1" applyBorder="1" applyAlignment="1">
      <alignment horizontal="right"/>
    </xf>
    <xf numFmtId="171" fontId="87" fillId="0" borderId="0" xfId="143" applyNumberFormat="1" applyFont="1" applyFill="1" applyBorder="1" applyAlignment="1">
      <alignment horizontal="right"/>
    </xf>
    <xf numFmtId="169" fontId="17" fillId="0" borderId="0" xfId="143" applyNumberFormat="1" applyFont="1" applyFill="1" applyBorder="1" applyAlignment="1">
      <alignment horizontal="right"/>
    </xf>
    <xf numFmtId="221" fontId="11" fillId="0" borderId="0" xfId="143" applyNumberFormat="1" applyFont="1" applyFill="1" applyBorder="1" applyAlignment="1">
      <alignment horizontal="right"/>
    </xf>
    <xf numFmtId="9" fontId="87" fillId="0" borderId="0" xfId="164" applyNumberFormat="1" applyFont="1" applyFill="1" applyBorder="1" applyAlignment="1">
      <alignment horizontal="right"/>
    </xf>
    <xf numFmtId="169" fontId="88" fillId="0" borderId="0" xfId="37" applyNumberFormat="1" applyFont="1" applyFill="1" applyBorder="1" applyAlignment="1">
      <alignment horizontal="right"/>
    </xf>
    <xf numFmtId="171" fontId="66" fillId="0" borderId="0" xfId="143" applyNumberFormat="1" applyFont="1" applyFill="1" applyBorder="1" applyAlignment="1">
      <alignment horizontal="right"/>
    </xf>
    <xf numFmtId="172" fontId="11" fillId="0" borderId="0" xfId="0" applyNumberFormat="1" applyFont="1" applyFill="1" applyBorder="1" applyAlignment="1">
      <alignment horizontal="right"/>
    </xf>
    <xf numFmtId="169" fontId="66" fillId="0" borderId="0" xfId="143" applyNumberFormat="1" applyFont="1" applyFill="1" applyBorder="1" applyAlignment="1">
      <alignment horizontal="right"/>
    </xf>
    <xf numFmtId="169" fontId="102" fillId="0" borderId="0" xfId="143" applyNumberFormat="1" applyFont="1" applyFill="1" applyBorder="1" applyAlignment="1">
      <alignment horizontal="right"/>
    </xf>
    <xf numFmtId="169" fontId="99" fillId="0" borderId="0" xfId="143" applyNumberFormat="1" applyFont="1" applyBorder="1" applyAlignment="1">
      <alignment horizontal="right"/>
    </xf>
    <xf numFmtId="169" fontId="102" fillId="0" borderId="0" xfId="37" applyNumberFormat="1" applyFont="1" applyFill="1" applyBorder="1" applyAlignment="1">
      <alignment horizontal="right"/>
    </xf>
    <xf numFmtId="169" fontId="17" fillId="0" borderId="19" xfId="37" applyNumberFormat="1" applyFont="1" applyFill="1" applyBorder="1" applyAlignment="1">
      <alignment horizontal="right" vertical="center"/>
    </xf>
    <xf numFmtId="169" fontId="11" fillId="0" borderId="0" xfId="37" applyNumberFormat="1" applyFont="1" applyFill="1" applyAlignment="1">
      <alignment horizontal="right"/>
    </xf>
    <xf numFmtId="169" fontId="17" fillId="0" borderId="0" xfId="37" applyNumberFormat="1" applyFont="1" applyFill="1" applyAlignment="1">
      <alignment horizontal="right"/>
    </xf>
    <xf numFmtId="169" fontId="17" fillId="0" borderId="19" xfId="37" applyNumberFormat="1" applyFont="1" applyBorder="1" applyAlignment="1">
      <alignment horizontal="right" vertical="center"/>
    </xf>
    <xf numFmtId="169" fontId="64" fillId="0" borderId="0" xfId="37" applyNumberFormat="1" applyFont="1" applyBorder="1" applyAlignment="1">
      <alignment horizontal="right"/>
    </xf>
    <xf numFmtId="169" fontId="102" fillId="0" borderId="19" xfId="37" applyNumberFormat="1" applyFont="1" applyFill="1" applyBorder="1" applyAlignment="1">
      <alignment horizontal="right" vertical="center"/>
    </xf>
    <xf numFmtId="171" fontId="87" fillId="0" borderId="0" xfId="37" applyNumberFormat="1" applyFont="1" applyFill="1" applyAlignment="1">
      <alignment horizontal="right"/>
    </xf>
    <xf numFmtId="41" fontId="88" fillId="0" borderId="0" xfId="37" applyNumberFormat="1" applyFont="1" applyAlignment="1">
      <alignment horizontal="right"/>
    </xf>
    <xf numFmtId="169" fontId="66" fillId="0" borderId="0" xfId="37" applyNumberFormat="1" applyFont="1" applyFill="1" applyBorder="1" applyAlignment="1">
      <alignment horizontal="right"/>
    </xf>
    <xf numFmtId="169" fontId="66" fillId="0" borderId="0" xfId="37" applyNumberFormat="1" applyFont="1" applyFill="1" applyAlignment="1">
      <alignment horizontal="right"/>
    </xf>
    <xf numFmtId="39" fontId="87" fillId="0" borderId="0" xfId="0" applyNumberFormat="1" applyFont="1" applyAlignment="1">
      <alignment horizontal="right"/>
    </xf>
    <xf numFmtId="0" fontId="31" fillId="15" borderId="29" xfId="97" applyFont="1" applyFill="1" applyBorder="1" applyAlignment="1">
      <alignment horizontal="right"/>
    </xf>
    <xf numFmtId="181" fontId="87" fillId="0" borderId="0" xfId="143" applyNumberFormat="1" applyFont="1" applyFill="1" applyAlignment="1">
      <alignment horizontal="right"/>
    </xf>
    <xf numFmtId="169" fontId="11" fillId="23" borderId="0" xfId="37" applyNumberFormat="1" applyFont="1" applyFill="1" applyAlignment="1">
      <alignment horizontal="right"/>
    </xf>
    <xf numFmtId="37" fontId="87" fillId="0" borderId="0" xfId="0" applyNumberFormat="1" applyFont="1" applyFill="1" applyBorder="1" applyAlignment="1">
      <alignment horizontal="right"/>
    </xf>
    <xf numFmtId="37" fontId="87" fillId="0" borderId="0" xfId="0" applyNumberFormat="1" applyFont="1" applyFill="1" applyBorder="1"/>
    <xf numFmtId="37" fontId="73" fillId="0" borderId="0" xfId="0" applyNumberFormat="1" applyFont="1" applyAlignment="1">
      <alignment horizontal="right"/>
    </xf>
    <xf numFmtId="43" fontId="11" fillId="0" borderId="0" xfId="37" applyFont="1" applyAlignment="1">
      <alignment horizontal="right"/>
    </xf>
    <xf numFmtId="43" fontId="90" fillId="0" borderId="0" xfId="37" applyNumberFormat="1" applyFont="1" applyAlignment="1">
      <alignment horizontal="right"/>
    </xf>
    <xf numFmtId="43" fontId="11" fillId="0" borderId="47" xfId="37" applyFont="1" applyBorder="1"/>
    <xf numFmtId="174" fontId="73" fillId="0" borderId="0" xfId="37" applyNumberFormat="1" applyFont="1"/>
    <xf numFmtId="181" fontId="87" fillId="0" borderId="0" xfId="37" applyNumberFormat="1" applyFont="1"/>
    <xf numFmtId="39" fontId="17" fillId="0" borderId="46" xfId="0" applyNumberFormat="1" applyFont="1" applyFill="1" applyBorder="1" applyAlignment="1">
      <alignment horizontal="center"/>
    </xf>
    <xf numFmtId="39" fontId="11" fillId="25" borderId="0" xfId="0" applyNumberFormat="1" applyFont="1" applyFill="1"/>
    <xf numFmtId="173" fontId="13" fillId="0" borderId="0" xfId="104" applyNumberFormat="1" applyFont="1" applyFill="1" applyBorder="1"/>
    <xf numFmtId="169" fontId="99" fillId="0" borderId="0" xfId="143" applyNumberFormat="1" applyFont="1" applyFill="1" applyBorder="1" applyAlignment="1">
      <alignment horizontal="right"/>
    </xf>
    <xf numFmtId="0" fontId="11" fillId="0" borderId="0" xfId="0" applyFont="1"/>
    <xf numFmtId="1" fontId="11" fillId="15" borderId="0" xfId="0" applyNumberFormat="1" applyFont="1" applyFill="1"/>
    <xf numFmtId="41" fontId="70" fillId="25" borderId="0" xfId="143" applyNumberFormat="1" applyFont="1" applyFill="1"/>
    <xf numFmtId="41" fontId="77" fillId="25" borderId="0" xfId="143" applyNumberFormat="1" applyFont="1" applyFill="1"/>
    <xf numFmtId="169" fontId="70" fillId="25" borderId="0" xfId="143" applyNumberFormat="1" applyFont="1" applyFill="1"/>
    <xf numFmtId="43" fontId="70" fillId="25" borderId="0" xfId="143" applyFont="1" applyFill="1"/>
    <xf numFmtId="171" fontId="70" fillId="25" borderId="0" xfId="143" applyNumberFormat="1" applyFont="1" applyFill="1"/>
    <xf numFmtId="9" fontId="7" fillId="0" borderId="0" xfId="104" applyFont="1"/>
    <xf numFmtId="1" fontId="11" fillId="100" borderId="0" xfId="0" applyNumberFormat="1" applyFont="1" applyFill="1"/>
    <xf numFmtId="166" fontId="17" fillId="19" borderId="0" xfId="0" applyNumberFormat="1" applyFont="1" applyFill="1" applyBorder="1" applyAlignment="1">
      <alignment horizontal="right"/>
    </xf>
    <xf numFmtId="195" fontId="17" fillId="25" borderId="0" xfId="0" applyNumberFormat="1" applyFont="1" applyFill="1" applyBorder="1" applyAlignment="1">
      <alignment horizontal="right"/>
    </xf>
    <xf numFmtId="3" fontId="11" fillId="0" borderId="0" xfId="98" applyNumberFormat="1" applyFont="1"/>
    <xf numFmtId="9" fontId="11" fillId="0" borderId="0" xfId="104" applyFont="1" applyAlignment="1">
      <alignment horizontal="center"/>
    </xf>
    <xf numFmtId="169" fontId="88" fillId="25" borderId="0" xfId="37" applyNumberFormat="1" applyFont="1" applyFill="1"/>
    <xf numFmtId="43" fontId="17" fillId="0" borderId="0" xfId="37" applyFont="1" applyFill="1" applyBorder="1" applyAlignment="1">
      <alignment horizontal="right" vertical="center"/>
    </xf>
    <xf numFmtId="168" fontId="11" fillId="25" borderId="0" xfId="0" applyNumberFormat="1" applyFont="1" applyFill="1" applyBorder="1"/>
    <xf numFmtId="168" fontId="7" fillId="0" borderId="0" xfId="0" applyNumberFormat="1" applyFont="1" applyBorder="1"/>
    <xf numFmtId="1" fontId="95" fillId="25" borderId="95" xfId="97" applyNumberFormat="1" applyFont="1" applyFill="1" applyBorder="1"/>
    <xf numFmtId="1" fontId="95" fillId="25" borderId="95" xfId="97" applyNumberFormat="1" applyFont="1" applyFill="1" applyBorder="1" applyAlignment="1">
      <alignment horizontal="center"/>
    </xf>
    <xf numFmtId="166" fontId="11" fillId="25" borderId="0" xfId="37" applyNumberFormat="1" applyFont="1" applyFill="1" applyAlignment="1">
      <alignment horizontal="right"/>
    </xf>
    <xf numFmtId="173" fontId="11" fillId="25" borderId="0" xfId="97" applyNumberFormat="1" applyFont="1" applyFill="1" applyAlignment="1">
      <alignment horizontal="right"/>
    </xf>
    <xf numFmtId="43" fontId="11" fillId="25" borderId="0" xfId="37" applyFont="1" applyFill="1" applyBorder="1"/>
    <xf numFmtId="1" fontId="11" fillId="25" borderId="0" xfId="0" applyNumberFormat="1" applyFont="1" applyFill="1"/>
    <xf numFmtId="39" fontId="11" fillId="23" borderId="0" xfId="104" applyNumberFormat="1" applyFont="1" applyFill="1" applyAlignment="1">
      <alignment horizontal="right"/>
    </xf>
    <xf numFmtId="39" fontId="11" fillId="25" borderId="0" xfId="104" applyNumberFormat="1" applyFont="1" applyFill="1" applyAlignment="1">
      <alignment horizontal="right"/>
    </xf>
    <xf numFmtId="169" fontId="87" fillId="0" borderId="0" xfId="143" applyNumberFormat="1" applyFont="1" applyBorder="1"/>
    <xf numFmtId="171" fontId="87" fillId="0" borderId="0" xfId="143" applyNumberFormat="1" applyFont="1" applyBorder="1"/>
    <xf numFmtId="9" fontId="87" fillId="0" borderId="0" xfId="0" applyNumberFormat="1" applyFont="1" applyBorder="1"/>
    <xf numFmtId="185" fontId="95" fillId="0" borderId="0" xfId="37" applyNumberFormat="1" applyFont="1" applyFill="1" applyBorder="1" applyAlignment="1">
      <alignment horizontal="right"/>
    </xf>
    <xf numFmtId="37" fontId="87" fillId="0" borderId="0" xfId="143" applyNumberFormat="1" applyFont="1" applyFill="1" applyBorder="1" applyAlignment="1">
      <alignment horizontal="right" vertical="center"/>
    </xf>
    <xf numFmtId="37" fontId="17" fillId="0" borderId="0" xfId="37" applyNumberFormat="1" applyFont="1" applyFill="1"/>
    <xf numFmtId="1" fontId="87" fillId="0" borderId="0" xfId="0" applyNumberFormat="1" applyFont="1"/>
    <xf numFmtId="37" fontId="66" fillId="0" borderId="0" xfId="143" applyNumberFormat="1" applyFont="1" applyFill="1" applyBorder="1"/>
    <xf numFmtId="169" fontId="64" fillId="25" borderId="0" xfId="37" applyNumberFormat="1" applyFont="1" applyFill="1" applyBorder="1" applyAlignment="1">
      <alignment horizontal="right"/>
    </xf>
    <xf numFmtId="37" fontId="95" fillId="0" borderId="0" xfId="37" applyNumberFormat="1" applyFont="1" applyFill="1" applyBorder="1" applyAlignment="1">
      <alignment horizontal="right" vertical="center"/>
    </xf>
    <xf numFmtId="37" fontId="99" fillId="0" borderId="0" xfId="37" applyNumberFormat="1" applyFont="1" applyFill="1" applyBorder="1" applyAlignment="1">
      <alignment horizontal="right" vertical="center"/>
    </xf>
    <xf numFmtId="37" fontId="11" fillId="0" borderId="0" xfId="0" applyNumberFormat="1" applyFont="1" applyBorder="1" applyAlignment="1">
      <alignment horizontal="right"/>
    </xf>
    <xf numFmtId="9" fontId="17" fillId="0" borderId="0" xfId="0" applyNumberFormat="1" applyFont="1" applyBorder="1"/>
    <xf numFmtId="9" fontId="11" fillId="0" borderId="0" xfId="104" applyNumberFormat="1" applyFont="1" applyBorder="1" applyAlignment="1">
      <alignment horizontal="right"/>
    </xf>
    <xf numFmtId="1" fontId="11" fillId="0" borderId="0" xfId="0" applyNumberFormat="1" applyFont="1" applyBorder="1"/>
    <xf numFmtId="37" fontId="95" fillId="0" borderId="0" xfId="0" applyNumberFormat="1" applyFont="1" applyBorder="1"/>
    <xf numFmtId="171" fontId="70" fillId="0" borderId="47" xfId="37" applyNumberFormat="1" applyFont="1" applyBorder="1"/>
    <xf numFmtId="43" fontId="99" fillId="0" borderId="0" xfId="37" applyFont="1" applyBorder="1"/>
    <xf numFmtId="169" fontId="95" fillId="0" borderId="0" xfId="37" applyNumberFormat="1" applyFont="1" applyFill="1" applyBorder="1"/>
    <xf numFmtId="171" fontId="31" fillId="0" borderId="47" xfId="143" applyNumberFormat="1" applyFont="1" applyBorder="1" applyAlignment="1">
      <alignment horizontal="right"/>
    </xf>
    <xf numFmtId="171" fontId="31" fillId="0" borderId="47" xfId="143" applyNumberFormat="1" applyFont="1" applyBorder="1"/>
    <xf numFmtId="171" fontId="11" fillId="0" borderId="47" xfId="143" applyNumberFormat="1" applyFont="1" applyFill="1" applyBorder="1"/>
    <xf numFmtId="171" fontId="99" fillId="0" borderId="47" xfId="143" applyNumberFormat="1" applyFont="1" applyFill="1" applyBorder="1"/>
    <xf numFmtId="169" fontId="17" fillId="0" borderId="47" xfId="143" applyNumberFormat="1" applyFont="1" applyFill="1" applyBorder="1"/>
    <xf numFmtId="9" fontId="11" fillId="0" borderId="47" xfId="92" applyNumberFormat="1" applyFont="1" applyBorder="1"/>
    <xf numFmtId="203" fontId="28" fillId="24" borderId="0" xfId="96" applyNumberFormat="1" applyFont="1" applyFill="1" applyBorder="1" applyAlignment="1">
      <alignment horizontal="right" vertical="center"/>
    </xf>
    <xf numFmtId="202" fontId="28" fillId="24" borderId="0" xfId="96" applyNumberFormat="1" applyFont="1" applyFill="1" applyBorder="1" applyAlignment="1">
      <alignment horizontal="right" vertical="center"/>
    </xf>
    <xf numFmtId="37" fontId="11" fillId="0" borderId="0" xfId="92" applyNumberFormat="1" applyFont="1" applyBorder="1" applyAlignment="1">
      <alignment horizontal="right"/>
    </xf>
    <xf numFmtId="2" fontId="11" fillId="0" borderId="0" xfId="92" applyNumberFormat="1" applyFont="1" applyFill="1" applyBorder="1"/>
    <xf numFmtId="171" fontId="11" fillId="0" borderId="0" xfId="37" applyNumberFormat="1" applyFont="1" applyBorder="1" applyAlignment="1">
      <alignment horizontal="right"/>
    </xf>
    <xf numFmtId="169" fontId="11" fillId="0" borderId="0" xfId="92" applyNumberFormat="1" applyFont="1" applyFill="1" applyBorder="1"/>
    <xf numFmtId="43" fontId="11" fillId="0" borderId="0" xfId="92" applyNumberFormat="1" applyFont="1" applyBorder="1"/>
    <xf numFmtId="169" fontId="11" fillId="0" borderId="102" xfId="37" applyNumberFormat="1" applyFont="1" applyBorder="1" applyAlignment="1">
      <alignment vertical="center"/>
    </xf>
    <xf numFmtId="169" fontId="11" fillId="0" borderId="102" xfId="37" applyNumberFormat="1" applyFont="1" applyFill="1" applyBorder="1" applyAlignment="1">
      <alignment vertical="center"/>
    </xf>
    <xf numFmtId="2" fontId="11" fillId="0" borderId="47" xfId="92" applyNumberFormat="1" applyFont="1" applyFill="1" applyBorder="1"/>
    <xf numFmtId="1" fontId="11" fillId="0" borderId="47" xfId="104" applyNumberFormat="1" applyFont="1" applyBorder="1"/>
    <xf numFmtId="9" fontId="11" fillId="0" borderId="0" xfId="92" applyNumberFormat="1" applyFont="1" applyBorder="1"/>
    <xf numFmtId="173" fontId="87" fillId="0" borderId="0" xfId="104" applyNumberFormat="1" applyFont="1" applyBorder="1"/>
    <xf numFmtId="171" fontId="17" fillId="0" borderId="19" xfId="37" applyNumberFormat="1" applyFont="1" applyBorder="1" applyAlignment="1">
      <alignment vertical="center"/>
    </xf>
    <xf numFmtId="173" fontId="11" fillId="0" borderId="42" xfId="118" applyNumberFormat="1" applyFont="1" applyBorder="1"/>
    <xf numFmtId="9" fontId="11" fillId="0" borderId="0" xfId="104" applyNumberFormat="1" applyFont="1" applyBorder="1"/>
    <xf numFmtId="0" fontId="7" fillId="0" borderId="0" xfId="0" applyFont="1" applyBorder="1" applyAlignment="1"/>
    <xf numFmtId="0" fontId="179" fillId="23" borderId="0" xfId="97" applyFont="1" applyFill="1" applyBorder="1" applyAlignment="1">
      <alignment horizontal="left"/>
    </xf>
    <xf numFmtId="0" fontId="17" fillId="0" borderId="59" xfId="0" applyFont="1" applyBorder="1"/>
    <xf numFmtId="224" fontId="11" fillId="0" borderId="0" xfId="0" applyNumberFormat="1" applyFont="1" applyAlignment="1">
      <alignment horizontal="right"/>
    </xf>
    <xf numFmtId="194" fontId="11" fillId="0" borderId="0" xfId="0" applyNumberFormat="1" applyFont="1" applyAlignment="1">
      <alignment horizontal="right"/>
    </xf>
    <xf numFmtId="231" fontId="11" fillId="0" borderId="0" xfId="164" applyNumberFormat="1" applyFont="1" applyAlignment="1">
      <alignment horizontal="right"/>
    </xf>
    <xf numFmtId="232" fontId="11" fillId="0" borderId="0" xfId="164" applyNumberFormat="1" applyFont="1" applyAlignment="1">
      <alignment horizontal="right"/>
    </xf>
    <xf numFmtId="178" fontId="11" fillId="0" borderId="0" xfId="0" applyNumberFormat="1" applyFont="1" applyAlignment="1">
      <alignment horizontal="right"/>
    </xf>
    <xf numFmtId="179" fontId="11" fillId="0" borderId="0" xfId="0" applyNumberFormat="1" applyFont="1" applyAlignment="1">
      <alignment horizontal="right"/>
    </xf>
    <xf numFmtId="233" fontId="11" fillId="0" borderId="0" xfId="0" applyNumberFormat="1" applyFont="1" applyBorder="1" applyAlignment="1">
      <alignment horizontal="right"/>
    </xf>
    <xf numFmtId="234" fontId="11" fillId="0" borderId="0" xfId="0" applyNumberFormat="1" applyFont="1" applyBorder="1" applyAlignment="1">
      <alignment horizontal="right"/>
    </xf>
    <xf numFmtId="41" fontId="11" fillId="0" borderId="0" xfId="0" applyNumberFormat="1" applyFont="1"/>
    <xf numFmtId="1" fontId="95" fillId="23" borderId="95" xfId="97" applyNumberFormat="1" applyFont="1" applyFill="1" applyBorder="1" applyAlignment="1">
      <alignment horizontal="center"/>
    </xf>
    <xf numFmtId="165" fontId="17" fillId="0" borderId="47" xfId="96" applyFont="1" applyBorder="1"/>
    <xf numFmtId="0" fontId="11" fillId="0" borderId="103" xfId="0" applyFont="1" applyBorder="1"/>
    <xf numFmtId="9" fontId="11" fillId="0" borderId="47" xfId="104" applyNumberFormat="1" applyFont="1" applyBorder="1"/>
    <xf numFmtId="0" fontId="11" fillId="25" borderId="0" xfId="97" applyFont="1" applyFill="1" applyBorder="1" applyAlignment="1">
      <alignment horizontal="right"/>
    </xf>
    <xf numFmtId="2" fontId="17" fillId="25" borderId="0" xfId="97" applyNumberFormat="1" applyFont="1" applyFill="1" applyBorder="1"/>
    <xf numFmtId="1" fontId="73" fillId="25" borderId="37" xfId="97" applyNumberFormat="1" applyFont="1" applyFill="1" applyBorder="1" applyAlignment="1">
      <alignment horizontal="right"/>
    </xf>
    <xf numFmtId="1" fontId="70" fillId="25" borderId="37" xfId="97" applyNumberFormat="1" applyFont="1" applyFill="1" applyBorder="1" applyAlignment="1">
      <alignment horizontal="right"/>
    </xf>
    <xf numFmtId="2" fontId="11" fillId="25" borderId="0" xfId="97" applyNumberFormat="1" applyFont="1" applyFill="1" applyBorder="1" applyAlignment="1">
      <alignment horizontal="right"/>
    </xf>
    <xf numFmtId="2" fontId="70" fillId="25" borderId="0" xfId="97" applyNumberFormat="1" applyFont="1" applyFill="1" applyBorder="1" applyAlignment="1">
      <alignment horizontal="right"/>
    </xf>
    <xf numFmtId="171" fontId="11" fillId="25" borderId="0" xfId="38" applyNumberFormat="1" applyFont="1" applyFill="1" applyBorder="1" applyAlignment="1">
      <alignment horizontal="right"/>
    </xf>
    <xf numFmtId="171" fontId="70" fillId="25" borderId="0" xfId="38" applyNumberFormat="1" applyFont="1" applyFill="1" applyBorder="1" applyAlignment="1">
      <alignment horizontal="right"/>
    </xf>
    <xf numFmtId="171" fontId="17" fillId="25" borderId="0" xfId="38" applyNumberFormat="1" applyFont="1" applyFill="1" applyBorder="1" applyAlignment="1">
      <alignment horizontal="right"/>
    </xf>
    <xf numFmtId="171" fontId="77" fillId="25" borderId="0" xfId="38" applyNumberFormat="1" applyFont="1" applyFill="1" applyBorder="1" applyAlignment="1">
      <alignment horizontal="right"/>
    </xf>
    <xf numFmtId="193" fontId="31" fillId="25" borderId="37" xfId="97" applyNumberFormat="1" applyFont="1" applyFill="1" applyBorder="1"/>
    <xf numFmtId="0" fontId="31" fillId="25" borderId="37" xfId="97" applyFont="1" applyFill="1" applyBorder="1"/>
    <xf numFmtId="196" fontId="11" fillId="25" borderId="0" xfId="97" applyNumberFormat="1" applyFont="1" applyFill="1" applyAlignment="1">
      <alignment horizontal="right"/>
    </xf>
    <xf numFmtId="196" fontId="11" fillId="25" borderId="0" xfId="97" applyNumberFormat="1" applyFont="1" applyFill="1" applyBorder="1"/>
    <xf numFmtId="173" fontId="11" fillId="25" borderId="0" xfId="97" applyNumberFormat="1" applyFont="1" applyFill="1" applyBorder="1" applyAlignment="1">
      <alignment horizontal="right"/>
    </xf>
    <xf numFmtId="173" fontId="17" fillId="25" borderId="37" xfId="97" applyNumberFormat="1" applyFont="1" applyFill="1" applyBorder="1" applyAlignment="1">
      <alignment horizontal="right"/>
    </xf>
    <xf numFmtId="9" fontId="11" fillId="25" borderId="37" xfId="97" applyNumberFormat="1" applyFont="1" applyFill="1" applyBorder="1"/>
    <xf numFmtId="227" fontId="31" fillId="25" borderId="0" xfId="164" applyNumberFormat="1" applyFont="1" applyFill="1" applyAlignment="1">
      <alignment horizontal="right"/>
    </xf>
    <xf numFmtId="0" fontId="11" fillId="25" borderId="42" xfId="97" applyFont="1" applyFill="1" applyBorder="1"/>
    <xf numFmtId="0" fontId="179" fillId="25" borderId="0" xfId="97" applyFont="1" applyFill="1" applyBorder="1" applyAlignment="1">
      <alignment horizontal="left"/>
    </xf>
    <xf numFmtId="0" fontId="11" fillId="25" borderId="0" xfId="97" applyFont="1" applyFill="1" applyBorder="1" applyAlignment="1">
      <alignment horizontal="left"/>
    </xf>
    <xf numFmtId="173" fontId="11" fillId="25" borderId="37" xfId="97" applyNumberFormat="1" applyFont="1" applyFill="1" applyBorder="1" applyAlignment="1">
      <alignment horizontal="right"/>
    </xf>
    <xf numFmtId="0" fontId="11" fillId="25" borderId="0" xfId="97" applyFont="1" applyFill="1" applyBorder="1" applyAlignment="1">
      <alignment horizontal="left" indent="1"/>
    </xf>
    <xf numFmtId="173" fontId="11" fillId="25" borderId="37" xfId="97" applyNumberFormat="1" applyFont="1" applyFill="1" applyBorder="1"/>
    <xf numFmtId="171" fontId="11" fillId="25" borderId="37" xfId="38" applyNumberFormat="1" applyFont="1" applyFill="1" applyBorder="1"/>
    <xf numFmtId="167" fontId="11" fillId="25" borderId="0" xfId="97" applyNumberFormat="1" applyFont="1" applyFill="1" applyAlignment="1">
      <alignment horizontal="right"/>
    </xf>
    <xf numFmtId="167" fontId="11" fillId="25" borderId="42" xfId="97" applyNumberFormat="1" applyFont="1" applyFill="1" applyBorder="1" applyAlignment="1">
      <alignment horizontal="right"/>
    </xf>
    <xf numFmtId="0" fontId="17" fillId="25" borderId="42" xfId="97" applyFont="1" applyFill="1" applyBorder="1"/>
    <xf numFmtId="0" fontId="17" fillId="25" borderId="37" xfId="97" applyFont="1" applyFill="1" applyBorder="1" applyAlignment="1">
      <alignment horizontal="center"/>
    </xf>
    <xf numFmtId="173" fontId="11" fillId="25" borderId="0" xfId="97" applyNumberFormat="1" applyFont="1" applyFill="1" applyBorder="1" applyAlignment="1">
      <alignment horizontal="center"/>
    </xf>
    <xf numFmtId="193" fontId="31" fillId="25" borderId="37" xfId="97" applyNumberFormat="1" applyFont="1" applyFill="1" applyBorder="1" applyAlignment="1">
      <alignment horizontal="right"/>
    </xf>
    <xf numFmtId="173" fontId="11" fillId="25" borderId="0" xfId="0" applyNumberFormat="1" applyFont="1" applyFill="1" applyBorder="1"/>
    <xf numFmtId="9" fontId="11" fillId="25" borderId="0" xfId="104" applyNumberFormat="1" applyFont="1" applyFill="1" applyAlignment="1">
      <alignment horizontal="right"/>
    </xf>
    <xf numFmtId="43" fontId="11" fillId="25" borderId="0" xfId="97" applyNumberFormat="1" applyFont="1" applyFill="1"/>
    <xf numFmtId="2" fontId="17" fillId="25" borderId="37" xfId="97" applyNumberFormat="1" applyFont="1" applyFill="1" applyBorder="1" applyAlignment="1">
      <alignment horizontal="right"/>
    </xf>
    <xf numFmtId="169" fontId="88" fillId="25" borderId="0" xfId="37" applyNumberFormat="1" applyFont="1" applyFill="1" applyBorder="1"/>
    <xf numFmtId="0" fontId="17" fillId="25" borderId="59" xfId="0" applyFont="1" applyFill="1" applyBorder="1" applyAlignment="1">
      <alignment horizontal="right"/>
    </xf>
    <xf numFmtId="9" fontId="11" fillId="25" borderId="0" xfId="104" applyFont="1" applyFill="1" applyAlignment="1">
      <alignment horizontal="right"/>
    </xf>
    <xf numFmtId="168" fontId="7" fillId="25" borderId="0" xfId="0" applyNumberFormat="1" applyFont="1" applyFill="1" applyBorder="1"/>
    <xf numFmtId="0" fontId="18" fillId="25" borderId="0" xfId="0" applyFont="1" applyFill="1"/>
    <xf numFmtId="9" fontId="7" fillId="25" borderId="0" xfId="104" applyFont="1" applyFill="1"/>
    <xf numFmtId="173" fontId="17" fillId="25" borderId="0" xfId="104" applyNumberFormat="1" applyFont="1" applyFill="1" applyAlignment="1">
      <alignment horizontal="right"/>
    </xf>
    <xf numFmtId="41" fontId="7" fillId="25" borderId="0" xfId="0" applyNumberFormat="1" applyFont="1" applyFill="1"/>
    <xf numFmtId="0" fontId="21" fillId="25" borderId="0" xfId="0" applyFont="1" applyFill="1"/>
    <xf numFmtId="222" fontId="7" fillId="25" borderId="0" xfId="0" applyNumberFormat="1" applyFont="1" applyFill="1"/>
    <xf numFmtId="43" fontId="7" fillId="25" borderId="0" xfId="0" applyNumberFormat="1" applyFont="1" applyFill="1"/>
    <xf numFmtId="168" fontId="17" fillId="25" borderId="0" xfId="0" applyNumberFormat="1" applyFont="1" applyFill="1" applyBorder="1"/>
    <xf numFmtId="168" fontId="18" fillId="25" borderId="0" xfId="0" applyNumberFormat="1" applyFont="1" applyFill="1" applyBorder="1"/>
    <xf numFmtId="168" fontId="17" fillId="25" borderId="0" xfId="0" applyNumberFormat="1" applyFont="1" applyFill="1"/>
    <xf numFmtId="168" fontId="11" fillId="25" borderId="0" xfId="0" applyNumberFormat="1" applyFont="1" applyFill="1"/>
    <xf numFmtId="9" fontId="11" fillId="25" borderId="0" xfId="104" applyFont="1" applyFill="1" applyBorder="1"/>
    <xf numFmtId="9" fontId="7" fillId="25" borderId="0" xfId="104" applyFont="1" applyFill="1" applyBorder="1"/>
    <xf numFmtId="9" fontId="17" fillId="25" borderId="0" xfId="104" applyFont="1" applyFill="1" applyBorder="1"/>
    <xf numFmtId="9" fontId="18" fillId="25" borderId="0" xfId="104" applyFont="1" applyFill="1" applyBorder="1"/>
    <xf numFmtId="2" fontId="11" fillId="25" borderId="0" xfId="0" applyNumberFormat="1" applyFont="1" applyFill="1"/>
    <xf numFmtId="0" fontId="11" fillId="25" borderId="0" xfId="0" applyNumberFormat="1" applyFont="1" applyFill="1"/>
    <xf numFmtId="0" fontId="11" fillId="25" borderId="0" xfId="0" applyNumberFormat="1" applyFont="1" applyFill="1" applyBorder="1"/>
    <xf numFmtId="0" fontId="7" fillId="25" borderId="0" xfId="0" applyNumberFormat="1" applyFont="1" applyFill="1" applyBorder="1"/>
    <xf numFmtId="169" fontId="171" fillId="25" borderId="0" xfId="37" applyNumberFormat="1" applyFont="1" applyFill="1"/>
    <xf numFmtId="169" fontId="17" fillId="25" borderId="0" xfId="37" applyNumberFormat="1" applyFont="1" applyFill="1" applyBorder="1" applyAlignment="1">
      <alignment horizontal="right"/>
    </xf>
    <xf numFmtId="169" fontId="77" fillId="25" borderId="0" xfId="37" applyNumberFormat="1" applyFont="1" applyFill="1" applyBorder="1" applyAlignment="1">
      <alignment horizontal="right"/>
    </xf>
    <xf numFmtId="166" fontId="11" fillId="25" borderId="0" xfId="104" applyNumberFormat="1" applyFont="1" applyFill="1" applyAlignment="1">
      <alignment horizontal="right"/>
    </xf>
    <xf numFmtId="166" fontId="70" fillId="25" borderId="0" xfId="104" applyNumberFormat="1" applyFont="1" applyFill="1" applyAlignment="1">
      <alignment horizontal="right"/>
    </xf>
    <xf numFmtId="3" fontId="11" fillId="25" borderId="0" xfId="104" applyNumberFormat="1" applyFont="1" applyFill="1" applyBorder="1" applyAlignment="1">
      <alignment horizontal="right"/>
    </xf>
    <xf numFmtId="3" fontId="11" fillId="25" borderId="0" xfId="0" applyNumberFormat="1" applyFont="1" applyFill="1" applyAlignment="1">
      <alignment horizontal="right"/>
    </xf>
    <xf numFmtId="3" fontId="70" fillId="25" borderId="0" xfId="0" applyNumberFormat="1" applyFont="1" applyFill="1" applyAlignment="1">
      <alignment horizontal="right"/>
    </xf>
    <xf numFmtId="9" fontId="70" fillId="25" borderId="0" xfId="104" applyFont="1" applyFill="1" applyBorder="1" applyAlignment="1">
      <alignment horizontal="right"/>
    </xf>
    <xf numFmtId="3" fontId="17" fillId="25" borderId="0" xfId="104" applyNumberFormat="1" applyFont="1" applyFill="1" applyBorder="1" applyAlignment="1">
      <alignment horizontal="right"/>
    </xf>
    <xf numFmtId="3" fontId="77" fillId="25" borderId="0" xfId="104" applyNumberFormat="1" applyFont="1" applyFill="1" applyBorder="1" applyAlignment="1">
      <alignment horizontal="right"/>
    </xf>
    <xf numFmtId="169" fontId="73" fillId="25" borderId="0" xfId="143" applyNumberFormat="1" applyFont="1" applyFill="1" applyBorder="1" applyAlignment="1">
      <alignment horizontal="left" indent="1"/>
    </xf>
    <xf numFmtId="167" fontId="31" fillId="25" borderId="59" xfId="98" applyNumberFormat="1" applyFont="1" applyFill="1" applyBorder="1"/>
    <xf numFmtId="167" fontId="31" fillId="25" borderId="0" xfId="98" applyNumberFormat="1" applyFont="1" applyFill="1" applyBorder="1"/>
    <xf numFmtId="0" fontId="104" fillId="25" borderId="0" xfId="0" applyFont="1" applyFill="1" applyBorder="1"/>
    <xf numFmtId="0" fontId="64" fillId="25" borderId="59" xfId="0" applyFont="1" applyFill="1" applyBorder="1"/>
    <xf numFmtId="0" fontId="64" fillId="25" borderId="0" xfId="0" applyFont="1" applyFill="1"/>
    <xf numFmtId="0" fontId="64" fillId="25" borderId="0" xfId="0" applyFont="1" applyFill="1" applyBorder="1"/>
    <xf numFmtId="10" fontId="11" fillId="25" borderId="0" xfId="104" applyNumberFormat="1" applyFont="1" applyFill="1"/>
    <xf numFmtId="169" fontId="72" fillId="25" borderId="0" xfId="37" applyNumberFormat="1" applyFont="1" applyFill="1"/>
    <xf numFmtId="39" fontId="11" fillId="25" borderId="59" xfId="89" applyNumberFormat="1" applyFont="1" applyFill="1" applyBorder="1" applyAlignment="1">
      <alignment horizontal="right"/>
    </xf>
    <xf numFmtId="37" fontId="11" fillId="25" borderId="0" xfId="89" applyNumberFormat="1" applyFont="1" applyFill="1" applyAlignment="1">
      <alignment horizontal="right"/>
    </xf>
    <xf numFmtId="0" fontId="17" fillId="25" borderId="0" xfId="0" applyFont="1" applyFill="1" applyBorder="1" applyAlignment="1">
      <alignment horizontal="right"/>
    </xf>
    <xf numFmtId="41" fontId="64" fillId="25" borderId="59" xfId="0" applyNumberFormat="1" applyFont="1" applyFill="1" applyBorder="1" applyAlignment="1">
      <alignment horizontal="right"/>
    </xf>
    <xf numFmtId="41" fontId="64" fillId="25" borderId="0" xfId="0" applyNumberFormat="1" applyFont="1" applyFill="1" applyAlignment="1">
      <alignment horizontal="right"/>
    </xf>
    <xf numFmtId="41" fontId="64" fillId="25" borderId="0" xfId="0" applyNumberFormat="1" applyFont="1" applyFill="1" applyBorder="1" applyAlignment="1">
      <alignment horizontal="right"/>
    </xf>
    <xf numFmtId="0" fontId="31" fillId="25" borderId="59" xfId="0" applyFont="1" applyFill="1" applyBorder="1"/>
    <xf numFmtId="39" fontId="70" fillId="25" borderId="59" xfId="89" applyNumberFormat="1" applyFont="1" applyFill="1" applyBorder="1"/>
    <xf numFmtId="37" fontId="70" fillId="25" borderId="0" xfId="89" applyNumberFormat="1" applyFont="1" applyFill="1"/>
    <xf numFmtId="197" fontId="17" fillId="25" borderId="0" xfId="0" applyNumberFormat="1" applyFont="1" applyFill="1" applyBorder="1" applyAlignment="1">
      <alignment horizontal="right"/>
    </xf>
    <xf numFmtId="0" fontId="11" fillId="25" borderId="59" xfId="98" applyFont="1" applyFill="1" applyBorder="1"/>
    <xf numFmtId="1" fontId="88" fillId="25" borderId="0" xfId="0" applyNumberFormat="1" applyFont="1" applyFill="1"/>
    <xf numFmtId="0" fontId="21" fillId="25" borderId="59" xfId="0" applyFont="1" applyFill="1" applyBorder="1"/>
    <xf numFmtId="0" fontId="31" fillId="25" borderId="59" xfId="0" applyFont="1" applyFill="1" applyBorder="1" applyAlignment="1">
      <alignment horizontal="right"/>
    </xf>
    <xf numFmtId="171" fontId="87" fillId="25" borderId="0" xfId="37" applyNumberFormat="1" applyFont="1" applyFill="1"/>
    <xf numFmtId="171" fontId="87" fillId="25" borderId="0" xfId="37" applyNumberFormat="1" applyFont="1" applyFill="1" applyAlignment="1">
      <alignment horizontal="right"/>
    </xf>
    <xf numFmtId="169" fontId="88" fillId="25" borderId="0" xfId="37" applyNumberFormat="1" applyFont="1" applyFill="1" applyBorder="1" applyAlignment="1">
      <alignment horizontal="right"/>
    </xf>
    <xf numFmtId="169" fontId="17" fillId="0" borderId="0" xfId="37" applyNumberFormat="1" applyFont="1" applyFill="1" applyBorder="1" applyAlignment="1">
      <alignment horizontal="right" vertical="center"/>
    </xf>
    <xf numFmtId="169" fontId="11" fillId="0" borderId="0" xfId="37" applyNumberFormat="1" applyFont="1" applyFill="1" applyBorder="1" applyAlignment="1">
      <alignment horizontal="right" vertical="center"/>
    </xf>
    <xf numFmtId="169" fontId="11" fillId="0" borderId="0" xfId="143" applyNumberFormat="1" applyFont="1" applyFill="1" applyBorder="1" applyAlignment="1">
      <alignment horizontal="right" vertical="center"/>
    </xf>
    <xf numFmtId="174" fontId="11" fillId="0" borderId="0" xfId="143" applyNumberFormat="1" applyFont="1" applyFill="1" applyBorder="1" applyAlignment="1">
      <alignment horizontal="right" vertical="center"/>
    </xf>
    <xf numFmtId="37" fontId="17" fillId="0" borderId="0" xfId="37" applyNumberFormat="1" applyFont="1" applyFill="1" applyBorder="1" applyAlignment="1">
      <alignment horizontal="right" vertical="center"/>
    </xf>
    <xf numFmtId="169" fontId="88" fillId="0" borderId="0" xfId="143" applyNumberFormat="1" applyFont="1" applyBorder="1"/>
    <xf numFmtId="1" fontId="11" fillId="0" borderId="0" xfId="0" applyNumberFormat="1" applyFont="1" applyFill="1" applyBorder="1"/>
    <xf numFmtId="0" fontId="28" fillId="24" borderId="0" xfId="0" applyNumberFormat="1" applyFont="1" applyFill="1" applyAlignment="1">
      <alignment horizontal="right"/>
    </xf>
    <xf numFmtId="1" fontId="11" fillId="25" borderId="37" xfId="97" applyNumberFormat="1" applyFont="1" applyFill="1" applyBorder="1" applyAlignment="1">
      <alignment horizontal="right"/>
    </xf>
    <xf numFmtId="176" fontId="92" fillId="24" borderId="0" xfId="96" applyNumberFormat="1" applyFont="1" applyFill="1"/>
    <xf numFmtId="169" fontId="88" fillId="0" borderId="47" xfId="37" applyNumberFormat="1" applyFont="1" applyFill="1" applyBorder="1"/>
    <xf numFmtId="41" fontId="11" fillId="25" borderId="0" xfId="37" applyNumberFormat="1" applyFont="1" applyFill="1" applyBorder="1"/>
    <xf numFmtId="41" fontId="17" fillId="25" borderId="0" xfId="37" applyNumberFormat="1" applyFont="1" applyFill="1" applyBorder="1"/>
    <xf numFmtId="41" fontId="11" fillId="25" borderId="0" xfId="0" applyNumberFormat="1" applyFont="1" applyFill="1" applyBorder="1"/>
    <xf numFmtId="41" fontId="17" fillId="25" borderId="0" xfId="0" applyNumberFormat="1" applyFont="1" applyFill="1" applyBorder="1"/>
    <xf numFmtId="222" fontId="73" fillId="25" borderId="0" xfId="0" applyNumberFormat="1" applyFont="1" applyFill="1" applyBorder="1"/>
    <xf numFmtId="37" fontId="11" fillId="0" borderId="0" xfId="143" applyNumberFormat="1" applyFont="1" applyFill="1" applyBorder="1" applyAlignment="1">
      <alignment horizontal="right" vertical="center"/>
    </xf>
    <xf numFmtId="0" fontId="193" fillId="0" borderId="0" xfId="143" quotePrefix="1" applyNumberFormat="1" applyFont="1" applyBorder="1" applyAlignment="1">
      <alignment horizontal="right"/>
    </xf>
    <xf numFmtId="9" fontId="87" fillId="0" borderId="0" xfId="104" applyFont="1" applyFill="1" applyBorder="1"/>
    <xf numFmtId="228" fontId="11" fillId="0" borderId="47" xfId="104" applyNumberFormat="1" applyFont="1" applyFill="1" applyBorder="1"/>
    <xf numFmtId="169" fontId="70" fillId="0" borderId="0" xfId="37" applyNumberFormat="1" applyFont="1" applyAlignment="1">
      <alignment horizontal="right"/>
    </xf>
    <xf numFmtId="9" fontId="70" fillId="0" borderId="0" xfId="104" applyFont="1" applyAlignment="1">
      <alignment horizontal="right"/>
    </xf>
    <xf numFmtId="169" fontId="70" fillId="0" borderId="59" xfId="37" applyNumberFormat="1" applyFont="1" applyBorder="1"/>
    <xf numFmtId="3" fontId="70" fillId="15" borderId="0" xfId="104" applyNumberFormat="1" applyFont="1" applyFill="1" applyBorder="1"/>
    <xf numFmtId="172" fontId="70" fillId="15" borderId="0" xfId="104" applyNumberFormat="1" applyFont="1" applyFill="1" applyBorder="1"/>
    <xf numFmtId="9" fontId="70" fillId="15" borderId="0" xfId="104" applyFont="1" applyFill="1" applyBorder="1"/>
    <xf numFmtId="0" fontId="180" fillId="26" borderId="0" xfId="95" applyFont="1" applyFill="1" applyBorder="1" applyAlignment="1">
      <alignment horizontal="left" vertical="center"/>
    </xf>
    <xf numFmtId="169" fontId="77" fillId="0" borderId="0" xfId="143" applyNumberFormat="1" applyFont="1" applyBorder="1"/>
    <xf numFmtId="169" fontId="70" fillId="0" borderId="0" xfId="143" applyNumberFormat="1" applyFont="1" applyBorder="1"/>
    <xf numFmtId="9" fontId="98" fillId="0" borderId="0" xfId="104" applyFont="1" applyFill="1" applyBorder="1"/>
    <xf numFmtId="0" fontId="98" fillId="0" borderId="0" xfId="0" applyFont="1" applyFill="1"/>
    <xf numFmtId="0" fontId="98" fillId="0" borderId="0" xfId="0" applyFont="1"/>
    <xf numFmtId="173" fontId="98" fillId="0" borderId="0" xfId="104" applyNumberFormat="1" applyFont="1" applyBorder="1" applyAlignment="1">
      <alignment horizontal="right"/>
    </xf>
    <xf numFmtId="9" fontId="98" fillId="0" borderId="0" xfId="37" applyNumberFormat="1" applyFont="1" applyFill="1" applyBorder="1"/>
    <xf numFmtId="9" fontId="98" fillId="0" borderId="0" xfId="104" applyNumberFormat="1" applyFont="1" applyFill="1"/>
    <xf numFmtId="173" fontId="98" fillId="0" borderId="0" xfId="104" applyNumberFormat="1" applyFont="1" applyFill="1"/>
    <xf numFmtId="4" fontId="70" fillId="0" borderId="0" xfId="0" applyNumberFormat="1" applyFont="1" applyFill="1"/>
    <xf numFmtId="201" fontId="70" fillId="0" borderId="0" xfId="0" applyNumberFormat="1" applyFont="1" applyFill="1"/>
    <xf numFmtId="3" fontId="70" fillId="0" borderId="0" xfId="0" applyNumberFormat="1" applyFont="1" applyFill="1"/>
    <xf numFmtId="9" fontId="70" fillId="0" borderId="0" xfId="0" applyNumberFormat="1" applyFont="1" applyFill="1"/>
    <xf numFmtId="3" fontId="70" fillId="0" borderId="0" xfId="0" applyNumberFormat="1" applyFont="1"/>
    <xf numFmtId="0" fontId="70" fillId="0" borderId="0" xfId="0" applyFont="1" applyAlignment="1">
      <alignment horizontal="right"/>
    </xf>
    <xf numFmtId="9" fontId="70" fillId="0" borderId="0" xfId="0" applyNumberFormat="1" applyFont="1" applyAlignment="1">
      <alignment horizontal="right"/>
    </xf>
    <xf numFmtId="9" fontId="70" fillId="0" borderId="0" xfId="104" applyNumberFormat="1" applyFont="1" applyAlignment="1">
      <alignment horizontal="right"/>
    </xf>
    <xf numFmtId="173" fontId="70" fillId="0" borderId="0" xfId="0" applyNumberFormat="1" applyFont="1"/>
    <xf numFmtId="0" fontId="194" fillId="0" borderId="0" xfId="0" applyFont="1"/>
    <xf numFmtId="173" fontId="70" fillId="23" borderId="0" xfId="104" applyNumberFormat="1" applyFont="1" applyFill="1"/>
    <xf numFmtId="194" fontId="70" fillId="0" borderId="0" xfId="0" applyNumberFormat="1" applyFont="1" applyAlignment="1">
      <alignment horizontal="right"/>
    </xf>
    <xf numFmtId="232" fontId="70" fillId="0" borderId="0" xfId="164" applyNumberFormat="1" applyFont="1" applyAlignment="1">
      <alignment horizontal="right"/>
    </xf>
    <xf numFmtId="179" fontId="70" fillId="0" borderId="0" xfId="0" applyNumberFormat="1" applyFont="1" applyAlignment="1">
      <alignment horizontal="right"/>
    </xf>
    <xf numFmtId="234" fontId="70" fillId="0" borderId="0" xfId="0" applyNumberFormat="1" applyFont="1" applyBorder="1" applyAlignment="1">
      <alignment horizontal="right"/>
    </xf>
    <xf numFmtId="41" fontId="70" fillId="0" borderId="0" xfId="0" applyNumberFormat="1" applyFont="1"/>
    <xf numFmtId="168" fontId="70" fillId="0" borderId="0" xfId="0" applyNumberFormat="1" applyFont="1"/>
    <xf numFmtId="9" fontId="77" fillId="0" borderId="0" xfId="164" applyFont="1" applyBorder="1"/>
    <xf numFmtId="173" fontId="98" fillId="0" borderId="0" xfId="164" applyNumberFormat="1" applyFont="1" applyFill="1" applyBorder="1"/>
    <xf numFmtId="173" fontId="98" fillId="0" borderId="0" xfId="104" applyNumberFormat="1" applyFont="1" applyBorder="1"/>
    <xf numFmtId="173" fontId="70" fillId="0" borderId="0" xfId="164" applyNumberFormat="1" applyFont="1" applyFill="1" applyBorder="1"/>
    <xf numFmtId="173" fontId="77" fillId="0" borderId="0" xfId="104" applyNumberFormat="1" applyFont="1" applyFill="1" applyBorder="1"/>
    <xf numFmtId="173" fontId="77" fillId="0" borderId="0" xfId="164" applyNumberFormat="1" applyFont="1" applyFill="1" applyBorder="1"/>
    <xf numFmtId="169" fontId="77" fillId="0" borderId="0" xfId="143" applyNumberFormat="1" applyFont="1" applyFill="1" applyBorder="1"/>
    <xf numFmtId="181" fontId="87" fillId="0" borderId="0" xfId="37" applyNumberFormat="1" applyFont="1" applyFill="1"/>
    <xf numFmtId="169" fontId="64" fillId="0" borderId="0" xfId="37" applyNumberFormat="1" applyFont="1" applyFill="1" applyBorder="1" applyAlignment="1">
      <alignment horizontal="right"/>
    </xf>
    <xf numFmtId="173" fontId="31" fillId="0" borderId="0" xfId="104" applyNumberFormat="1" applyFont="1" applyFill="1" applyAlignment="1">
      <alignment horizontal="right"/>
    </xf>
    <xf numFmtId="9" fontId="87" fillId="0" borderId="0" xfId="118" applyFont="1" applyFill="1"/>
    <xf numFmtId="3" fontId="70" fillId="25" borderId="0" xfId="0" applyNumberFormat="1" applyFont="1" applyFill="1" applyBorder="1" applyAlignment="1">
      <alignment horizontal="right"/>
    </xf>
    <xf numFmtId="37" fontId="70" fillId="0" borderId="0" xfId="0" applyNumberFormat="1" applyFont="1" applyFill="1"/>
    <xf numFmtId="9" fontId="70" fillId="0" borderId="0" xfId="0" applyNumberFormat="1" applyFont="1"/>
    <xf numFmtId="169" fontId="70" fillId="0" borderId="0" xfId="0" applyNumberFormat="1" applyFont="1"/>
    <xf numFmtId="172" fontId="70" fillId="0" borderId="0" xfId="0" applyNumberFormat="1" applyFont="1" applyFill="1" applyBorder="1"/>
    <xf numFmtId="0" fontId="15" fillId="0" borderId="0" xfId="98" applyFont="1" applyFill="1" applyBorder="1"/>
    <xf numFmtId="41" fontId="77" fillId="25" borderId="0" xfId="0" applyNumberFormat="1" applyFont="1" applyFill="1" applyBorder="1"/>
    <xf numFmtId="173" fontId="11" fillId="25" borderId="0" xfId="104" applyNumberFormat="1" applyFont="1" applyFill="1" applyBorder="1" applyAlignment="1">
      <alignment horizontal="right"/>
    </xf>
    <xf numFmtId="195" fontId="17" fillId="0" borderId="0" xfId="0" applyNumberFormat="1" applyFont="1" applyFill="1" applyAlignment="1">
      <alignment horizontal="right"/>
    </xf>
    <xf numFmtId="180" fontId="28" fillId="24" borderId="0" xfId="95" applyNumberFormat="1" applyFont="1" applyFill="1" applyAlignment="1">
      <alignment horizontal="left" vertical="center"/>
    </xf>
    <xf numFmtId="0" fontId="17" fillId="0" borderId="0" xfId="95" applyFont="1" applyFill="1" applyAlignment="1">
      <alignment horizontal="left" vertical="center"/>
    </xf>
    <xf numFmtId="0" fontId="17" fillId="0" borderId="0" xfId="95" applyFont="1" applyFill="1" applyAlignment="1">
      <alignment vertical="center"/>
    </xf>
    <xf numFmtId="0" fontId="17" fillId="0" borderId="0" xfId="0" applyFont="1" applyFill="1" applyBorder="1" applyAlignment="1"/>
    <xf numFmtId="37" fontId="77" fillId="0" borderId="0" xfId="0" applyNumberFormat="1" applyFont="1" applyFill="1"/>
    <xf numFmtId="0" fontId="17" fillId="15" borderId="0" xfId="0" applyFont="1" applyFill="1" applyAlignment="1">
      <alignment horizontal="left"/>
    </xf>
    <xf numFmtId="9" fontId="87" fillId="0" borderId="0" xfId="104" applyFont="1" applyFill="1"/>
    <xf numFmtId="9" fontId="110" fillId="15" borderId="0" xfId="104" applyFont="1" applyFill="1" applyAlignment="1">
      <alignment horizontal="right"/>
    </xf>
    <xf numFmtId="9" fontId="87" fillId="21" borderId="0" xfId="104" applyFont="1" applyFill="1" applyAlignment="1">
      <alignment horizontal="right"/>
    </xf>
    <xf numFmtId="9" fontId="17" fillId="15" borderId="0" xfId="104" applyFont="1" applyFill="1" applyAlignment="1">
      <alignment horizontal="right"/>
    </xf>
    <xf numFmtId="9" fontId="17" fillId="15" borderId="0" xfId="104" applyFont="1" applyFill="1" applyBorder="1" applyAlignment="1">
      <alignment horizontal="right"/>
    </xf>
    <xf numFmtId="171" fontId="109" fillId="15" borderId="0" xfId="119" applyNumberFormat="1" applyFont="1" applyFill="1" applyAlignment="1">
      <alignment horizontal="right"/>
    </xf>
    <xf numFmtId="9" fontId="77" fillId="15" borderId="0" xfId="104" applyFont="1" applyFill="1" applyAlignment="1">
      <alignment horizontal="right"/>
    </xf>
    <xf numFmtId="173" fontId="91" fillId="0" borderId="0" xfId="104" applyNumberFormat="1" applyFont="1" applyFill="1"/>
    <xf numFmtId="169" fontId="87" fillId="0" borderId="0" xfId="119" applyNumberFormat="1" applyFont="1" applyFill="1" applyAlignment="1">
      <alignment horizontal="right"/>
    </xf>
    <xf numFmtId="9" fontId="87" fillId="0" borderId="0" xfId="104" applyFont="1" applyFill="1" applyAlignment="1">
      <alignment horizontal="right"/>
    </xf>
    <xf numFmtId="173" fontId="91" fillId="0" borderId="0" xfId="164" applyNumberFormat="1" applyFont="1" applyFill="1" applyBorder="1"/>
    <xf numFmtId="171" fontId="87" fillId="21" borderId="72" xfId="119" applyNumberFormat="1" applyFont="1" applyFill="1" applyBorder="1" applyAlignment="1">
      <alignment horizontal="right"/>
    </xf>
    <xf numFmtId="9" fontId="87" fillId="21" borderId="72" xfId="104" applyFont="1" applyFill="1" applyBorder="1" applyAlignment="1">
      <alignment horizontal="right"/>
    </xf>
    <xf numFmtId="9" fontId="87" fillId="0" borderId="0" xfId="118" applyNumberFormat="1" applyFont="1" applyFill="1" applyAlignment="1">
      <alignment horizontal="right"/>
    </xf>
    <xf numFmtId="9" fontId="195" fillId="0" borderId="0" xfId="118" applyFont="1" applyFill="1" applyAlignment="1">
      <alignment horizontal="center"/>
    </xf>
    <xf numFmtId="169" fontId="17" fillId="15" borderId="0" xfId="119" applyNumberFormat="1" applyFont="1" applyFill="1" applyAlignment="1">
      <alignment horizontal="right"/>
    </xf>
    <xf numFmtId="171" fontId="17" fillId="15" borderId="0" xfId="119" applyNumberFormat="1" applyFont="1" applyFill="1" applyAlignment="1">
      <alignment horizontal="right"/>
    </xf>
    <xf numFmtId="43" fontId="17" fillId="15" borderId="0" xfId="119" applyNumberFormat="1" applyFont="1" applyFill="1" applyAlignment="1">
      <alignment horizontal="right"/>
    </xf>
    <xf numFmtId="171" fontId="17" fillId="15" borderId="0" xfId="119" applyNumberFormat="1" applyFont="1" applyFill="1" applyBorder="1" applyAlignment="1">
      <alignment horizontal="right"/>
    </xf>
    <xf numFmtId="3" fontId="17" fillId="0" borderId="0" xfId="0" applyNumberFormat="1" applyFont="1" applyFill="1"/>
    <xf numFmtId="168" fontId="17" fillId="0" borderId="0" xfId="0" applyNumberFormat="1" applyFont="1" applyFill="1" applyAlignment="1">
      <alignment horizontal="right"/>
    </xf>
    <xf numFmtId="173" fontId="87" fillId="21" borderId="0" xfId="104" applyNumberFormat="1" applyFont="1" applyFill="1" applyBorder="1"/>
    <xf numFmtId="169" fontId="17" fillId="0" borderId="0" xfId="119" applyNumberFormat="1" applyFont="1" applyFill="1" applyBorder="1" applyAlignment="1">
      <alignment horizontal="right"/>
    </xf>
    <xf numFmtId="169" fontId="11" fillId="15" borderId="0" xfId="119" applyNumberFormat="1" applyFont="1" applyFill="1" applyBorder="1" applyAlignment="1">
      <alignment horizontal="right"/>
    </xf>
    <xf numFmtId="165" fontId="28" fillId="28" borderId="0" xfId="96" applyFont="1" applyFill="1" applyBorder="1" applyAlignment="1">
      <alignment horizontal="right"/>
    </xf>
    <xf numFmtId="9" fontId="11" fillId="15" borderId="0" xfId="118" applyFont="1" applyFill="1" applyBorder="1" applyAlignment="1">
      <alignment horizontal="right"/>
    </xf>
    <xf numFmtId="193" fontId="31" fillId="15" borderId="0" xfId="97" applyNumberFormat="1" applyFont="1" applyFill="1" applyBorder="1" applyAlignment="1">
      <alignment horizontal="right"/>
    </xf>
    <xf numFmtId="1" fontId="11" fillId="0" borderId="47" xfId="0" applyNumberFormat="1" applyFont="1" applyFill="1" applyBorder="1" applyAlignment="1">
      <alignment horizontal="right"/>
    </xf>
    <xf numFmtId="1" fontId="87" fillId="0" borderId="0" xfId="37" applyNumberFormat="1" applyFont="1" applyFill="1"/>
    <xf numFmtId="9" fontId="87" fillId="21" borderId="0" xfId="104" applyNumberFormat="1" applyFont="1" applyFill="1" applyAlignment="1">
      <alignment horizontal="right"/>
    </xf>
    <xf numFmtId="9" fontId="87" fillId="0" borderId="0" xfId="104" applyNumberFormat="1" applyFont="1" applyFill="1" applyAlignment="1">
      <alignment horizontal="right"/>
    </xf>
    <xf numFmtId="169" fontId="11" fillId="0" borderId="0" xfId="0" applyNumberFormat="1" applyFont="1" applyFill="1" applyBorder="1" applyAlignment="1">
      <alignment horizontal="right"/>
    </xf>
    <xf numFmtId="169" fontId="11" fillId="0" borderId="0" xfId="0" applyNumberFormat="1" applyFont="1" applyFill="1" applyAlignment="1">
      <alignment horizontal="right"/>
    </xf>
    <xf numFmtId="169" fontId="87" fillId="0" borderId="0" xfId="0" applyNumberFormat="1" applyFont="1" applyFill="1" applyAlignment="1">
      <alignment horizontal="right"/>
    </xf>
    <xf numFmtId="169" fontId="110" fillId="0" borderId="0" xfId="0" applyNumberFormat="1" applyFont="1" applyFill="1" applyAlignment="1">
      <alignment horizontal="right"/>
    </xf>
    <xf numFmtId="169" fontId="17" fillId="0" borderId="0" xfId="118" applyNumberFormat="1" applyFont="1" applyFill="1" applyAlignment="1">
      <alignment horizontal="right"/>
    </xf>
    <xf numFmtId="169" fontId="17" fillId="0" borderId="0" xfId="118" applyNumberFormat="1" applyFont="1" applyFill="1" applyBorder="1" applyAlignment="1">
      <alignment horizontal="right"/>
    </xf>
    <xf numFmtId="169" fontId="11" fillId="0" borderId="0" xfId="104" applyNumberFormat="1" applyFont="1" applyFill="1" applyBorder="1" applyAlignment="1">
      <alignment horizontal="right"/>
    </xf>
    <xf numFmtId="9" fontId="110" fillId="0" borderId="0" xfId="118" applyNumberFormat="1" applyFont="1" applyFill="1" applyAlignment="1">
      <alignment horizontal="right"/>
    </xf>
    <xf numFmtId="173" fontId="91" fillId="0" borderId="0" xfId="104" applyNumberFormat="1" applyFont="1" applyFill="1" applyBorder="1"/>
    <xf numFmtId="0" fontId="31" fillId="0" borderId="0" xfId="98" applyFont="1" applyBorder="1" applyAlignment="1">
      <alignment horizontal="right"/>
    </xf>
    <xf numFmtId="0" fontId="32" fillId="0" borderId="48" xfId="5792" applyFont="1" applyFill="1" applyBorder="1"/>
    <xf numFmtId="173" fontId="32" fillId="0" borderId="48" xfId="164" applyNumberFormat="1" applyFont="1" applyFill="1" applyBorder="1" applyAlignment="1">
      <alignment horizontal="right"/>
    </xf>
    <xf numFmtId="173" fontId="32" fillId="0" borderId="48" xfId="164" applyNumberFormat="1" applyFont="1" applyBorder="1" applyAlignment="1">
      <alignment horizontal="right"/>
    </xf>
    <xf numFmtId="173" fontId="168" fillId="0" borderId="48" xfId="164" applyNumberFormat="1" applyFont="1" applyBorder="1" applyAlignment="1">
      <alignment horizontal="right"/>
    </xf>
    <xf numFmtId="14" fontId="17" fillId="0" borderId="0" xfId="95" applyNumberFormat="1" applyFont="1" applyFill="1" applyBorder="1" applyAlignment="1">
      <alignment horizontal="right" vertical="center"/>
    </xf>
    <xf numFmtId="195" fontId="17" fillId="0" borderId="48" xfId="95" applyNumberFormat="1" applyFont="1" applyFill="1" applyBorder="1" applyAlignment="1">
      <alignment horizontal="right" vertical="center"/>
    </xf>
    <xf numFmtId="37" fontId="87" fillId="0" borderId="0" xfId="0" applyNumberFormat="1" applyFont="1"/>
    <xf numFmtId="0" fontId="11" fillId="25" borderId="0" xfId="110" applyFont="1" applyFill="1" applyBorder="1" applyProtection="1">
      <protection locked="0"/>
    </xf>
    <xf numFmtId="9" fontId="70" fillId="25" borderId="0" xfId="104" applyNumberFormat="1" applyFont="1" applyFill="1" applyBorder="1"/>
    <xf numFmtId="168" fontId="17" fillId="25" borderId="0" xfId="110" applyNumberFormat="1" applyFont="1" applyFill="1" applyBorder="1" applyProtection="1">
      <protection locked="0"/>
    </xf>
    <xf numFmtId="41" fontId="7" fillId="25" borderId="0" xfId="0" applyNumberFormat="1" applyFont="1" applyFill="1" applyBorder="1"/>
    <xf numFmtId="167" fontId="17" fillId="25" borderId="0" xfId="110" applyNumberFormat="1" applyFont="1" applyFill="1" applyBorder="1" applyProtection="1">
      <protection locked="0"/>
    </xf>
    <xf numFmtId="43" fontId="87" fillId="25" borderId="59" xfId="37" applyNumberFormat="1" applyFont="1" applyFill="1" applyBorder="1"/>
    <xf numFmtId="0" fontId="31" fillId="25" borderId="0" xfId="110" applyFont="1" applyFill="1" applyAlignment="1" applyProtection="1">
      <alignment horizontal="left"/>
      <protection locked="0"/>
    </xf>
    <xf numFmtId="180" fontId="92" fillId="99" borderId="0" xfId="96" applyNumberFormat="1" applyFont="1" applyFill="1" applyBorder="1" applyAlignment="1">
      <alignment horizontal="right" vertical="center"/>
    </xf>
    <xf numFmtId="0" fontId="92" fillId="99" borderId="0" xfId="0" applyFont="1" applyFill="1"/>
    <xf numFmtId="0" fontId="92" fillId="0" borderId="0" xfId="0" applyFont="1" applyFill="1"/>
    <xf numFmtId="180" fontId="92" fillId="0" borderId="0" xfId="96" applyNumberFormat="1" applyFont="1" applyFill="1" applyBorder="1" applyAlignment="1">
      <alignment horizontal="right" vertical="center"/>
    </xf>
    <xf numFmtId="0" fontId="92" fillId="0" borderId="0" xfId="0" applyFont="1" applyFill="1" applyBorder="1"/>
    <xf numFmtId="37" fontId="11" fillId="25" borderId="0" xfId="0" applyNumberFormat="1" applyFont="1" applyFill="1" applyAlignment="1">
      <alignment horizontal="right"/>
    </xf>
    <xf numFmtId="0" fontId="104" fillId="25" borderId="48" xfId="0" applyFont="1" applyFill="1" applyBorder="1"/>
    <xf numFmtId="0" fontId="17" fillId="25" borderId="48" xfId="0" applyFont="1" applyFill="1" applyBorder="1" applyAlignment="1">
      <alignment horizontal="right"/>
    </xf>
    <xf numFmtId="197" fontId="17" fillId="25" borderId="48" xfId="0" applyNumberFormat="1" applyFont="1" applyFill="1" applyBorder="1" applyAlignment="1">
      <alignment horizontal="right"/>
    </xf>
    <xf numFmtId="165" fontId="11" fillId="0" borderId="48" xfId="96" applyFont="1" applyBorder="1"/>
    <xf numFmtId="0" fontId="11" fillId="0" borderId="48" xfId="92" applyFont="1" applyBorder="1"/>
    <xf numFmtId="169" fontId="88" fillId="0" borderId="0" xfId="37" applyNumberFormat="1" applyFont="1" applyAlignment="1">
      <alignment horizontal="left" indent="1"/>
    </xf>
    <xf numFmtId="0" fontId="88" fillId="0" borderId="0" xfId="0" applyFont="1" applyAlignment="1">
      <alignment horizontal="left" indent="1"/>
    </xf>
    <xf numFmtId="9" fontId="88" fillId="0" borderId="0" xfId="104" applyFont="1" applyBorder="1"/>
    <xf numFmtId="171" fontId="87" fillId="21" borderId="0" xfId="143" applyNumberFormat="1" applyFont="1" applyFill="1" applyBorder="1"/>
    <xf numFmtId="0" fontId="88" fillId="0" borderId="0" xfId="0" applyFont="1" applyFill="1" applyAlignment="1">
      <alignment horizontal="left" indent="1"/>
    </xf>
    <xf numFmtId="169" fontId="88" fillId="0" borderId="0" xfId="0" applyNumberFormat="1" applyFont="1" applyFill="1" applyAlignment="1">
      <alignment horizontal="left" indent="1"/>
    </xf>
    <xf numFmtId="0" fontId="20" fillId="24" borderId="107" xfId="0" applyFont="1" applyFill="1" applyBorder="1"/>
    <xf numFmtId="0" fontId="15" fillId="24" borderId="107" xfId="98" applyFont="1" applyFill="1" applyBorder="1"/>
    <xf numFmtId="176" fontId="17" fillId="0" borderId="107" xfId="96" applyNumberFormat="1" applyFont="1" applyBorder="1"/>
    <xf numFmtId="0" fontId="17" fillId="0" borderId="107" xfId="0" applyFont="1" applyFill="1" applyBorder="1"/>
    <xf numFmtId="0" fontId="11" fillId="0" borderId="107" xfId="0" applyFont="1" applyFill="1" applyBorder="1" applyAlignment="1">
      <alignment horizontal="left" indent="1"/>
    </xf>
    <xf numFmtId="0" fontId="11" fillId="0" borderId="107" xfId="0" applyFont="1" applyFill="1" applyBorder="1" applyAlignment="1">
      <alignment horizontal="left"/>
    </xf>
    <xf numFmtId="0" fontId="11" fillId="0" borderId="107" xfId="0" applyFont="1" applyFill="1" applyBorder="1"/>
    <xf numFmtId="0" fontId="11" fillId="0" borderId="107" xfId="0" applyFont="1" applyBorder="1"/>
    <xf numFmtId="0" fontId="95" fillId="0" borderId="107" xfId="0" applyFont="1" applyFill="1" applyBorder="1"/>
    <xf numFmtId="0" fontId="73" fillId="0" borderId="107" xfId="0" applyFont="1" applyFill="1" applyBorder="1"/>
    <xf numFmtId="169" fontId="11" fillId="0" borderId="107" xfId="143" applyNumberFormat="1" applyFont="1" applyFill="1" applyBorder="1" applyAlignment="1">
      <alignment horizontal="left" indent="1"/>
    </xf>
    <xf numFmtId="0" fontId="11" fillId="0" borderId="107" xfId="0" quotePrefix="1" applyFont="1" applyFill="1" applyBorder="1" applyAlignment="1">
      <alignment horizontal="left" indent="1"/>
    </xf>
    <xf numFmtId="0" fontId="66" fillId="0" borderId="107" xfId="0" applyFont="1" applyFill="1" applyBorder="1"/>
    <xf numFmtId="169" fontId="66" fillId="0" borderId="107" xfId="143" applyNumberFormat="1" applyFont="1" applyFill="1" applyBorder="1"/>
    <xf numFmtId="169" fontId="65" fillId="0" borderId="107" xfId="143" applyNumberFormat="1" applyFont="1" applyFill="1" applyBorder="1" applyAlignment="1">
      <alignment horizontal="left" indent="1"/>
    </xf>
    <xf numFmtId="169" fontId="66" fillId="0" borderId="107" xfId="143" applyNumberFormat="1" applyFont="1" applyFill="1" applyBorder="1" applyAlignment="1">
      <alignment horizontal="left"/>
    </xf>
    <xf numFmtId="169" fontId="65" fillId="0" borderId="107" xfId="143" applyNumberFormat="1" applyFont="1" applyFill="1" applyBorder="1" applyAlignment="1">
      <alignment horizontal="left" indent="2"/>
    </xf>
    <xf numFmtId="169" fontId="95" fillId="0" borderId="107" xfId="143" applyNumberFormat="1" applyFont="1" applyBorder="1" applyAlignment="1"/>
    <xf numFmtId="0" fontId="17" fillId="0" borderId="107" xfId="92" applyFont="1" applyBorder="1" applyAlignment="1"/>
    <xf numFmtId="0" fontId="11" fillId="0" borderId="107" xfId="92" applyFont="1" applyBorder="1" applyAlignment="1">
      <alignment horizontal="left" indent="1"/>
    </xf>
    <xf numFmtId="169" fontId="73" fillId="0" borderId="107" xfId="143" applyNumberFormat="1" applyFont="1" applyBorder="1" applyAlignment="1">
      <alignment horizontal="left" indent="1"/>
    </xf>
    <xf numFmtId="174" fontId="87" fillId="0" borderId="107" xfId="143" applyNumberFormat="1" applyFont="1" applyFill="1" applyBorder="1" applyAlignment="1">
      <alignment horizontal="right" vertical="center"/>
    </xf>
    <xf numFmtId="0" fontId="17" fillId="0" borderId="107" xfId="0" applyFont="1" applyBorder="1"/>
    <xf numFmtId="169" fontId="95" fillId="0" borderId="107" xfId="143" applyNumberFormat="1" applyFont="1" applyFill="1" applyBorder="1" applyAlignment="1"/>
    <xf numFmtId="169" fontId="73" fillId="0" borderId="107" xfId="143" applyNumberFormat="1" applyFont="1" applyFill="1" applyBorder="1" applyAlignment="1">
      <alignment horizontal="left" indent="1"/>
    </xf>
    <xf numFmtId="0" fontId="95" fillId="0" borderId="107" xfId="92" applyFont="1" applyBorder="1" applyAlignment="1"/>
    <xf numFmtId="169" fontId="73" fillId="0" borderId="107" xfId="37" applyNumberFormat="1" applyFont="1" applyBorder="1" applyAlignment="1">
      <alignment horizontal="left" indent="1"/>
    </xf>
    <xf numFmtId="165" fontId="28" fillId="24" borderId="107" xfId="96" applyFont="1" applyFill="1" applyBorder="1" applyAlignment="1">
      <alignment horizontal="left" vertical="center"/>
    </xf>
    <xf numFmtId="0" fontId="11" fillId="0" borderId="107" xfId="0" applyFont="1" applyBorder="1" applyAlignment="1">
      <alignment horizontal="left" indent="1"/>
    </xf>
    <xf numFmtId="0" fontId="17" fillId="0" borderId="108" xfId="0" applyFont="1" applyBorder="1" applyAlignment="1">
      <alignment horizontal="left" vertical="center" indent="1"/>
    </xf>
    <xf numFmtId="0" fontId="11" fillId="0" borderId="107" xfId="0" applyFont="1" applyBorder="1" applyAlignment="1">
      <alignment horizontal="left"/>
    </xf>
    <xf numFmtId="0" fontId="11" fillId="0" borderId="107" xfId="0" applyFont="1" applyBorder="1" applyAlignment="1">
      <alignment horizontal="left" indent="2"/>
    </xf>
    <xf numFmtId="0" fontId="17" fillId="0" borderId="108" xfId="0" applyFont="1" applyFill="1" applyBorder="1" applyAlignment="1">
      <alignment horizontal="left" vertical="center" indent="1"/>
    </xf>
    <xf numFmtId="0" fontId="17" fillId="0" borderId="107" xfId="0" applyFont="1" applyFill="1" applyBorder="1" applyAlignment="1">
      <alignment horizontal="left"/>
    </xf>
    <xf numFmtId="165" fontId="88" fillId="0" borderId="107" xfId="96" applyFont="1" applyFill="1" applyBorder="1" applyAlignment="1">
      <alignment horizontal="left" vertical="center"/>
    </xf>
    <xf numFmtId="169" fontId="88" fillId="0" borderId="107" xfId="143" applyNumberFormat="1" applyFont="1" applyFill="1" applyBorder="1" applyAlignment="1"/>
    <xf numFmtId="0" fontId="64" fillId="0" borderId="107" xfId="0" applyFont="1" applyBorder="1" applyAlignment="1">
      <alignment horizontal="left" indent="1"/>
    </xf>
    <xf numFmtId="0" fontId="88" fillId="0" borderId="107" xfId="0" applyFont="1" applyBorder="1"/>
    <xf numFmtId="165" fontId="28" fillId="24" borderId="71" xfId="96" applyFont="1" applyFill="1" applyBorder="1" applyAlignment="1">
      <alignment horizontal="center" vertical="center"/>
    </xf>
    <xf numFmtId="204" fontId="28" fillId="24" borderId="48" xfId="96" applyNumberFormat="1" applyFont="1" applyFill="1" applyBorder="1" applyAlignment="1">
      <alignment horizontal="right" vertical="center"/>
    </xf>
    <xf numFmtId="14" fontId="17" fillId="0" borderId="48" xfId="93" applyNumberFormat="1" applyFont="1" applyFill="1" applyBorder="1"/>
    <xf numFmtId="203" fontId="11" fillId="0" borderId="48" xfId="0" applyNumberFormat="1" applyFont="1" applyBorder="1"/>
    <xf numFmtId="0" fontId="0" fillId="0" borderId="48" xfId="0" applyBorder="1"/>
    <xf numFmtId="9" fontId="73" fillId="0" borderId="0" xfId="104" applyFont="1" applyFill="1" applyBorder="1" applyAlignment="1">
      <alignment horizontal="right" vertical="center"/>
    </xf>
    <xf numFmtId="9" fontId="73" fillId="0" borderId="0" xfId="104" applyFont="1" applyFill="1" applyBorder="1"/>
    <xf numFmtId="9" fontId="73" fillId="0" borderId="47" xfId="104" applyFont="1" applyFill="1" applyBorder="1"/>
    <xf numFmtId="9" fontId="91" fillId="0" borderId="0" xfId="104" applyFont="1" applyFill="1" applyBorder="1"/>
    <xf numFmtId="15" fontId="87" fillId="0" borderId="17" xfId="0" applyNumberFormat="1" applyFont="1" applyFill="1" applyBorder="1"/>
    <xf numFmtId="165" fontId="17" fillId="0" borderId="0" xfId="96" applyFont="1" applyFill="1" applyBorder="1" applyAlignment="1">
      <alignment horizontal="center"/>
    </xf>
    <xf numFmtId="9" fontId="109" fillId="0" borderId="0" xfId="104" applyFont="1" applyFill="1" applyAlignment="1">
      <alignment horizontal="right"/>
    </xf>
    <xf numFmtId="171" fontId="87" fillId="21" borderId="72" xfId="119" applyNumberFormat="1" applyFont="1" applyFill="1" applyBorder="1" applyAlignment="1">
      <alignment horizontal="center"/>
    </xf>
    <xf numFmtId="0" fontId="11" fillId="0" borderId="0" xfId="0" applyFont="1" applyAlignment="1">
      <alignment horizontal="center"/>
    </xf>
    <xf numFmtId="0" fontId="17" fillId="0" borderId="0" xfId="0" applyFont="1" applyAlignment="1">
      <alignment horizontal="center"/>
    </xf>
    <xf numFmtId="0" fontId="65" fillId="0" borderId="0" xfId="0" applyFont="1" applyFill="1" applyBorder="1"/>
    <xf numFmtId="3" fontId="70" fillId="0" borderId="0" xfId="0" applyNumberFormat="1" applyFont="1" applyAlignment="1">
      <alignment horizontal="right"/>
    </xf>
    <xf numFmtId="173" fontId="98" fillId="0" borderId="0" xfId="104" applyNumberFormat="1" applyFont="1" applyAlignment="1">
      <alignment horizontal="right"/>
    </xf>
    <xf numFmtId="4" fontId="70" fillId="0" borderId="0" xfId="0" applyNumberFormat="1" applyFont="1" applyAlignment="1">
      <alignment horizontal="right"/>
    </xf>
    <xf numFmtId="198" fontId="70" fillId="0" borderId="0" xfId="0" applyNumberFormat="1" applyFont="1" applyAlignment="1">
      <alignment horizontal="right"/>
    </xf>
    <xf numFmtId="9" fontId="11" fillId="0" borderId="0" xfId="104" applyNumberFormat="1" applyFont="1" applyAlignment="1">
      <alignment horizontal="right"/>
    </xf>
    <xf numFmtId="200" fontId="11" fillId="0" borderId="0" xfId="104" applyNumberFormat="1" applyFont="1" applyAlignment="1">
      <alignment horizontal="right"/>
    </xf>
    <xf numFmtId="200" fontId="70" fillId="0" borderId="0" xfId="104" applyNumberFormat="1" applyFont="1" applyAlignment="1">
      <alignment horizontal="right"/>
    </xf>
    <xf numFmtId="9" fontId="70" fillId="23" borderId="0" xfId="104" applyNumberFormat="1" applyFont="1" applyFill="1" applyAlignment="1">
      <alignment horizontal="right"/>
    </xf>
    <xf numFmtId="3" fontId="11" fillId="0" borderId="0" xfId="0" applyNumberFormat="1" applyFont="1" applyAlignment="1">
      <alignment horizontal="right"/>
    </xf>
    <xf numFmtId="173" fontId="31" fillId="0" borderId="0" xfId="104" applyNumberFormat="1" applyFont="1" applyAlignment="1">
      <alignment horizontal="right"/>
    </xf>
    <xf numFmtId="4" fontId="11" fillId="0" borderId="0" xfId="0" applyNumberFormat="1" applyFont="1" applyAlignment="1">
      <alignment horizontal="right"/>
    </xf>
    <xf numFmtId="198" fontId="11" fillId="0" borderId="0" xfId="0" applyNumberFormat="1" applyFont="1" applyAlignment="1">
      <alignment horizontal="right"/>
    </xf>
    <xf numFmtId="205" fontId="17" fillId="0" borderId="48" xfId="0" applyNumberFormat="1" applyFont="1" applyFill="1" applyBorder="1" applyAlignment="1">
      <alignment horizontal="right"/>
    </xf>
    <xf numFmtId="9" fontId="197" fillId="25" borderId="0" xfId="104" applyFont="1" applyFill="1" applyAlignment="1">
      <alignment horizontal="right"/>
    </xf>
    <xf numFmtId="41" fontId="70" fillId="0" borderId="0" xfId="37" applyNumberFormat="1" applyFont="1" applyFill="1"/>
    <xf numFmtId="173" fontId="11" fillId="0" borderId="0" xfId="104" applyNumberFormat="1" applyFont="1" applyFill="1" applyAlignment="1">
      <alignment horizontal="right"/>
    </xf>
    <xf numFmtId="9" fontId="17" fillId="0" borderId="0" xfId="104" applyFont="1" applyFill="1" applyAlignment="1">
      <alignment horizontal="right"/>
    </xf>
    <xf numFmtId="9" fontId="102" fillId="0" borderId="0" xfId="104" applyFont="1" applyFill="1"/>
    <xf numFmtId="9" fontId="87" fillId="0" borderId="0" xfId="164" applyFont="1" applyFill="1" applyBorder="1"/>
    <xf numFmtId="9" fontId="102" fillId="0" borderId="0" xfId="164" applyFont="1" applyFill="1" applyBorder="1"/>
    <xf numFmtId="169" fontId="11" fillId="0" borderId="0" xfId="0" applyNumberFormat="1" applyFont="1" applyAlignment="1">
      <alignment horizontal="left" indent="1"/>
    </xf>
    <xf numFmtId="169" fontId="11" fillId="0" borderId="0" xfId="0" applyNumberFormat="1" applyFont="1" applyAlignment="1">
      <alignment horizontal="left" indent="2"/>
    </xf>
    <xf numFmtId="169" fontId="11" fillId="0" borderId="47" xfId="0" applyNumberFormat="1" applyFont="1" applyBorder="1"/>
    <xf numFmtId="169" fontId="11" fillId="0" borderId="0" xfId="92" applyNumberFormat="1" applyFont="1"/>
    <xf numFmtId="169" fontId="70" fillId="0" borderId="0" xfId="104" applyNumberFormat="1" applyFont="1" applyBorder="1"/>
    <xf numFmtId="9" fontId="70" fillId="0" borderId="0" xfId="104" applyNumberFormat="1" applyFont="1" applyFill="1" applyAlignment="1">
      <alignment horizontal="right"/>
    </xf>
    <xf numFmtId="169" fontId="70" fillId="0" borderId="0" xfId="37" applyNumberFormat="1" applyFont="1" applyFill="1" applyBorder="1" applyAlignment="1">
      <alignment horizontal="right"/>
    </xf>
    <xf numFmtId="1" fontId="17" fillId="0" borderId="0" xfId="0" applyNumberFormat="1" applyFont="1" applyFill="1" applyBorder="1" applyAlignment="1">
      <alignment horizontal="right"/>
    </xf>
    <xf numFmtId="1" fontId="17" fillId="0" borderId="0" xfId="0" applyNumberFormat="1" applyFont="1" applyFill="1" applyBorder="1"/>
    <xf numFmtId="1" fontId="17" fillId="0" borderId="47" xfId="0" applyNumberFormat="1" applyFont="1" applyFill="1" applyBorder="1"/>
    <xf numFmtId="1" fontId="11" fillId="0" borderId="47" xfId="0" applyNumberFormat="1" applyFont="1" applyFill="1" applyBorder="1"/>
    <xf numFmtId="43" fontId="99" fillId="0" borderId="0" xfId="37" applyFont="1" applyFill="1" applyBorder="1" applyAlignment="1">
      <alignment horizontal="left" indent="1"/>
    </xf>
    <xf numFmtId="9" fontId="99" fillId="0" borderId="0" xfId="104" applyFont="1" applyFill="1" applyBorder="1" applyAlignment="1">
      <alignment horizontal="left" indent="1"/>
    </xf>
    <xf numFmtId="0" fontId="99" fillId="0" borderId="0" xfId="0" applyFont="1" applyAlignment="1">
      <alignment horizontal="left" indent="1"/>
    </xf>
    <xf numFmtId="0" fontId="99" fillId="0" borderId="0" xfId="0" applyFont="1" applyFill="1" applyBorder="1" applyAlignment="1">
      <alignment horizontal="left" indent="1"/>
    </xf>
    <xf numFmtId="0" fontId="99" fillId="0" borderId="0" xfId="0" applyFont="1" applyBorder="1" applyAlignment="1">
      <alignment horizontal="left" indent="1"/>
    </xf>
    <xf numFmtId="169" fontId="88" fillId="0" borderId="0" xfId="37" applyNumberFormat="1" applyFont="1" applyBorder="1" applyAlignment="1">
      <alignment horizontal="left" indent="1"/>
    </xf>
    <xf numFmtId="43" fontId="88" fillId="0" borderId="0" xfId="37" applyFont="1" applyBorder="1" applyAlignment="1">
      <alignment horizontal="left" indent="1"/>
    </xf>
    <xf numFmtId="169" fontId="82" fillId="0" borderId="0" xfId="37" applyNumberFormat="1" applyFont="1" applyFill="1" applyBorder="1" applyAlignment="1">
      <alignment horizontal="left" indent="1"/>
    </xf>
    <xf numFmtId="0" fontId="172" fillId="0" borderId="0" xfId="0" applyFont="1" applyAlignment="1">
      <alignment horizontal="left" indent="1"/>
    </xf>
    <xf numFmtId="1" fontId="172" fillId="0" borderId="0" xfId="0" applyNumberFormat="1" applyFont="1" applyFill="1" applyBorder="1" applyAlignment="1">
      <alignment horizontal="left" indent="1"/>
    </xf>
    <xf numFmtId="37" fontId="70" fillId="0" borderId="0" xfId="0" applyNumberFormat="1" applyFont="1" applyBorder="1"/>
    <xf numFmtId="37" fontId="77" fillId="0" borderId="0" xfId="0" applyNumberFormat="1" applyFont="1" applyFill="1" applyBorder="1"/>
    <xf numFmtId="37" fontId="70" fillId="0" borderId="0" xfId="0" applyNumberFormat="1" applyFont="1" applyFill="1" applyBorder="1"/>
    <xf numFmtId="43" fontId="87" fillId="21" borderId="0" xfId="143" applyNumberFormat="1" applyFont="1" applyFill="1" applyBorder="1"/>
    <xf numFmtId="169" fontId="87" fillId="21" borderId="0" xfId="143" applyNumberFormat="1" applyFont="1" applyFill="1" applyBorder="1"/>
    <xf numFmtId="202" fontId="28" fillId="24" borderId="47" xfId="96" applyNumberFormat="1" applyFont="1" applyFill="1" applyBorder="1" applyAlignment="1">
      <alignment horizontal="right" vertical="center"/>
    </xf>
    <xf numFmtId="171" fontId="11" fillId="0" borderId="47" xfId="37" applyNumberFormat="1" applyFont="1" applyFill="1" applyBorder="1"/>
    <xf numFmtId="9" fontId="87" fillId="0" borderId="0" xfId="104" applyNumberFormat="1" applyFont="1" applyFill="1" applyBorder="1"/>
    <xf numFmtId="169" fontId="102" fillId="0" borderId="0" xfId="37" applyNumberFormat="1" applyFont="1" applyBorder="1"/>
    <xf numFmtId="169" fontId="99" fillId="23" borderId="0" xfId="37" applyNumberFormat="1" applyFont="1" applyFill="1" applyBorder="1"/>
    <xf numFmtId="165" fontId="11" fillId="23" borderId="0" xfId="96" applyFont="1" applyFill="1" applyBorder="1"/>
    <xf numFmtId="9" fontId="11" fillId="23" borderId="0" xfId="104" applyFont="1" applyFill="1" applyBorder="1"/>
    <xf numFmtId="165" fontId="88" fillId="23" borderId="0" xfId="96" applyFont="1" applyFill="1" applyBorder="1"/>
    <xf numFmtId="9" fontId="88" fillId="23" borderId="0" xfId="104" applyFont="1" applyFill="1" applyBorder="1"/>
    <xf numFmtId="9" fontId="11" fillId="23" borderId="0" xfId="164" applyFont="1" applyFill="1" applyBorder="1"/>
    <xf numFmtId="169" fontId="11" fillId="23" borderId="0" xfId="143" applyNumberFormat="1" applyFont="1" applyFill="1" applyBorder="1"/>
    <xf numFmtId="173" fontId="88" fillId="23" borderId="0" xfId="104" applyNumberFormat="1" applyFont="1" applyFill="1"/>
    <xf numFmtId="0" fontId="180" fillId="24" borderId="0" xfId="0" applyFont="1" applyFill="1" applyBorder="1"/>
    <xf numFmtId="241" fontId="28" fillId="24" borderId="0" xfId="95" applyNumberFormat="1" applyFont="1" applyFill="1" applyAlignment="1">
      <alignment horizontal="right" vertical="center"/>
    </xf>
    <xf numFmtId="241" fontId="17" fillId="0" borderId="48" xfId="95" applyNumberFormat="1" applyFont="1" applyFill="1" applyBorder="1" applyAlignment="1">
      <alignment horizontal="right" vertical="center"/>
    </xf>
    <xf numFmtId="177" fontId="70" fillId="0" borderId="0" xfId="104" applyNumberFormat="1" applyFont="1" applyBorder="1"/>
    <xf numFmtId="0" fontId="19" fillId="0" borderId="0" xfId="97" applyFont="1" applyFill="1" applyAlignment="1">
      <alignment horizontal="centerContinuous"/>
    </xf>
    <xf numFmtId="0" fontId="7" fillId="0" borderId="0" xfId="0" applyFont="1" applyAlignment="1">
      <alignment horizontal="centerContinuous"/>
    </xf>
    <xf numFmtId="173" fontId="70" fillId="0" borderId="0" xfId="97" applyNumberFormat="1" applyFont="1" applyFill="1" applyBorder="1"/>
    <xf numFmtId="193" fontId="70" fillId="0" borderId="0" xfId="0" applyNumberFormat="1" applyFont="1" applyBorder="1"/>
    <xf numFmtId="168" fontId="70" fillId="0" borderId="0" xfId="0" applyNumberFormat="1" applyFont="1" applyBorder="1"/>
    <xf numFmtId="193" fontId="70" fillId="0" borderId="0" xfId="0" applyNumberFormat="1" applyFont="1" applyFill="1" applyBorder="1"/>
    <xf numFmtId="193" fontId="87" fillId="0" borderId="0" xfId="97" applyNumberFormat="1" applyFont="1" applyFill="1" applyBorder="1"/>
    <xf numFmtId="168" fontId="87" fillId="0" borderId="0" xfId="97" applyNumberFormat="1" applyFont="1" applyFill="1" applyBorder="1"/>
    <xf numFmtId="173" fontId="87" fillId="0" borderId="0" xfId="97" applyNumberFormat="1" applyFont="1" applyFill="1" applyBorder="1"/>
    <xf numFmtId="193" fontId="87" fillId="0" borderId="0" xfId="0" applyNumberFormat="1" applyFont="1" applyFill="1" applyBorder="1"/>
    <xf numFmtId="168" fontId="91" fillId="25" borderId="0" xfId="0" applyNumberFormat="1" applyFont="1" applyFill="1"/>
    <xf numFmtId="173" fontId="91" fillId="0" borderId="1" xfId="97" applyNumberFormat="1" applyFont="1" applyFill="1" applyBorder="1"/>
    <xf numFmtId="0" fontId="88" fillId="0" borderId="107" xfId="0" applyFont="1" applyBorder="1" applyAlignment="1">
      <alignment horizontal="left" indent="1"/>
    </xf>
    <xf numFmtId="41" fontId="171" fillId="25" borderId="0" xfId="0" applyNumberFormat="1" applyFont="1" applyFill="1"/>
    <xf numFmtId="3" fontId="88" fillId="0" borderId="0" xfId="0" applyNumberFormat="1" applyFont="1" applyFill="1" applyAlignment="1">
      <alignment horizontal="right" indent="1"/>
    </xf>
    <xf numFmtId="169" fontId="88" fillId="0" borderId="0" xfId="0" applyNumberFormat="1" applyFont="1" applyFill="1" applyAlignment="1">
      <alignment horizontal="right" indent="1"/>
    </xf>
    <xf numFmtId="43" fontId="88" fillId="0" borderId="0" xfId="0" applyNumberFormat="1" applyFont="1" applyFill="1" applyAlignment="1">
      <alignment horizontal="right"/>
    </xf>
    <xf numFmtId="169" fontId="88" fillId="0" borderId="0" xfId="37" applyNumberFormat="1" applyFont="1" applyFill="1" applyAlignment="1">
      <alignment horizontal="right"/>
    </xf>
    <xf numFmtId="0" fontId="0" fillId="0" borderId="0" xfId="92" applyFont="1" applyFill="1"/>
    <xf numFmtId="0" fontId="0" fillId="0" borderId="0" xfId="0" applyFill="1"/>
    <xf numFmtId="176" fontId="11" fillId="0" borderId="47" xfId="91" applyNumberFormat="1" applyFont="1" applyBorder="1"/>
    <xf numFmtId="176" fontId="17" fillId="0" borderId="0" xfId="91" applyNumberFormat="1" applyFont="1" applyBorder="1" applyAlignment="1">
      <alignment horizontal="left" indent="1"/>
    </xf>
    <xf numFmtId="165" fontId="11" fillId="0" borderId="0" xfId="96" applyFont="1" applyBorder="1" applyAlignment="1">
      <alignment horizontal="left" indent="1"/>
    </xf>
    <xf numFmtId="176" fontId="17" fillId="0" borderId="0" xfId="91" applyNumberFormat="1" applyFont="1" applyBorder="1" applyAlignment="1">
      <alignment horizontal="left"/>
    </xf>
    <xf numFmtId="186" fontId="17" fillId="0" borderId="0" xfId="96" applyNumberFormat="1" applyFont="1" applyBorder="1" applyAlignment="1">
      <alignment horizontal="left" vertical="center" indent="1"/>
    </xf>
    <xf numFmtId="165" fontId="17" fillId="0" borderId="0" xfId="96" applyFont="1" applyBorder="1" applyAlignment="1">
      <alignment horizontal="left"/>
    </xf>
    <xf numFmtId="174" fontId="31" fillId="0" borderId="0" xfId="104" applyNumberFormat="1" applyFont="1" applyBorder="1"/>
    <xf numFmtId="165" fontId="31" fillId="0" borderId="0" xfId="96" applyFont="1" applyBorder="1" applyAlignment="1">
      <alignment horizontal="left" indent="1"/>
    </xf>
    <xf numFmtId="165" fontId="17" fillId="0" borderId="0" xfId="96" applyFont="1" applyFill="1" applyBorder="1" applyAlignment="1">
      <alignment horizontal="left"/>
    </xf>
    <xf numFmtId="165" fontId="31" fillId="0" borderId="0" xfId="96" applyFont="1" applyFill="1" applyBorder="1" applyAlignment="1">
      <alignment horizontal="left" indent="1"/>
    </xf>
    <xf numFmtId="165" fontId="17" fillId="0" borderId="0" xfId="96" applyFont="1" applyFill="1" applyBorder="1" applyAlignment="1">
      <alignment horizontal="left" vertical="center"/>
    </xf>
    <xf numFmtId="9" fontId="31" fillId="0" borderId="0" xfId="104" applyFont="1" applyFill="1" applyBorder="1"/>
    <xf numFmtId="9" fontId="31" fillId="0" borderId="47" xfId="104" applyFont="1" applyFill="1" applyBorder="1"/>
    <xf numFmtId="186" fontId="17" fillId="0" borderId="0" xfId="37" applyNumberFormat="1" applyFont="1" applyFill="1" applyBorder="1" applyAlignment="1">
      <alignment horizontal="left" vertical="center"/>
    </xf>
    <xf numFmtId="186" fontId="11" fillId="0" borderId="0" xfId="96" applyNumberFormat="1" applyFont="1" applyFill="1" applyBorder="1" applyAlignment="1">
      <alignment horizontal="left"/>
    </xf>
    <xf numFmtId="176" fontId="93" fillId="0" borderId="0" xfId="91" applyNumberFormat="1" applyFont="1" applyBorder="1"/>
    <xf numFmtId="43" fontId="17" fillId="25" borderId="0" xfId="37" applyFont="1" applyFill="1"/>
    <xf numFmtId="43" fontId="77" fillId="25" borderId="0" xfId="37" applyFont="1" applyFill="1"/>
    <xf numFmtId="222" fontId="77" fillId="25" borderId="0" xfId="0" applyNumberFormat="1" applyFont="1" applyFill="1"/>
    <xf numFmtId="43" fontId="77" fillId="25" borderId="0" xfId="143" applyFont="1" applyFill="1"/>
    <xf numFmtId="0" fontId="18" fillId="25" borderId="0" xfId="0" applyFont="1" applyFill="1" applyBorder="1"/>
    <xf numFmtId="9" fontId="18" fillId="25" borderId="0" xfId="104" applyFont="1" applyFill="1"/>
    <xf numFmtId="9" fontId="18" fillId="0" borderId="0" xfId="104" applyFont="1"/>
    <xf numFmtId="0" fontId="18" fillId="0" borderId="0" xfId="0" applyFont="1" applyBorder="1"/>
    <xf numFmtId="168" fontId="11" fillId="25" borderId="0" xfId="110" applyNumberFormat="1" applyFont="1" applyFill="1" applyAlignment="1" applyProtection="1">
      <alignment horizontal="left" indent="1"/>
      <protection locked="0"/>
    </xf>
    <xf numFmtId="169" fontId="104" fillId="0" borderId="0" xfId="143" applyNumberFormat="1" applyFont="1" applyFill="1" applyBorder="1" applyAlignment="1">
      <alignment horizontal="right" vertical="center"/>
    </xf>
    <xf numFmtId="167" fontId="11" fillId="25" borderId="0" xfId="110" applyNumberFormat="1" applyFont="1" applyFill="1" applyAlignment="1" applyProtection="1">
      <alignment horizontal="left" indent="1"/>
      <protection locked="0"/>
    </xf>
    <xf numFmtId="0" fontId="20" fillId="24" borderId="0" xfId="0" applyFont="1" applyFill="1"/>
    <xf numFmtId="0" fontId="15" fillId="24" borderId="0" xfId="0" applyFont="1" applyFill="1" applyBorder="1" applyAlignment="1">
      <alignment horizontal="left"/>
    </xf>
    <xf numFmtId="0" fontId="59" fillId="24" borderId="0" xfId="0" applyFont="1" applyFill="1" applyBorder="1" applyAlignment="1">
      <alignment horizontal="right"/>
    </xf>
    <xf numFmtId="0" fontId="59" fillId="0" borderId="0" xfId="0" applyFont="1" applyFill="1" applyBorder="1" applyAlignment="1">
      <alignment horizontal="right"/>
    </xf>
    <xf numFmtId="0" fontId="59" fillId="24" borderId="0" xfId="0" applyFont="1" applyFill="1" applyBorder="1" applyAlignment="1">
      <alignment horizontal="left"/>
    </xf>
    <xf numFmtId="0" fontId="0" fillId="27" borderId="109" xfId="0" applyFill="1" applyBorder="1" applyAlignment="1"/>
    <xf numFmtId="0" fontId="0" fillId="27" borderId="111" xfId="0" applyFill="1" applyBorder="1" applyAlignment="1"/>
    <xf numFmtId="0" fontId="0" fillId="27" borderId="112" xfId="0" applyFill="1" applyBorder="1" applyAlignment="1">
      <alignment horizontal="center"/>
    </xf>
    <xf numFmtId="0" fontId="0" fillId="27" borderId="113" xfId="0" applyFill="1" applyBorder="1" applyAlignment="1">
      <alignment horizontal="center"/>
    </xf>
    <xf numFmtId="0" fontId="0" fillId="27" borderId="114" xfId="0" applyFill="1" applyBorder="1" applyAlignment="1">
      <alignment horizontal="center"/>
    </xf>
    <xf numFmtId="0" fontId="0" fillId="98" borderId="112" xfId="0" applyFill="1" applyBorder="1" applyAlignment="1">
      <alignment horizontal="center"/>
    </xf>
    <xf numFmtId="0" fontId="0" fillId="98" borderId="113" xfId="0" applyFill="1" applyBorder="1" applyAlignment="1">
      <alignment horizontal="center"/>
    </xf>
    <xf numFmtId="0" fontId="0" fillId="0" borderId="0" xfId="0" applyFill="1" applyBorder="1" applyAlignment="1"/>
    <xf numFmtId="0" fontId="0" fillId="0" borderId="0" xfId="0" applyFill="1" applyBorder="1" applyAlignment="1">
      <alignment horizontal="center"/>
    </xf>
    <xf numFmtId="0" fontId="0" fillId="27" borderId="116" xfId="0" applyFill="1" applyBorder="1" applyAlignment="1">
      <alignment horizontal="center"/>
    </xf>
    <xf numFmtId="0" fontId="0" fillId="98" borderId="115" xfId="0" applyFill="1" applyBorder="1" applyAlignment="1">
      <alignment horizontal="center"/>
    </xf>
    <xf numFmtId="0" fontId="0" fillId="0" borderId="120" xfId="0" applyBorder="1"/>
    <xf numFmtId="0" fontId="0" fillId="0" borderId="121" xfId="0" applyBorder="1"/>
    <xf numFmtId="0" fontId="0" fillId="0" borderId="122" xfId="0" applyBorder="1"/>
    <xf numFmtId="0" fontId="0" fillId="0" borderId="105" xfId="0" applyBorder="1"/>
    <xf numFmtId="0" fontId="0" fillId="0" borderId="123" xfId="0" applyBorder="1"/>
    <xf numFmtId="0" fontId="18" fillId="105" borderId="11" xfId="0" applyFont="1" applyFill="1" applyBorder="1" applyAlignment="1">
      <alignment horizontal="center"/>
    </xf>
    <xf numFmtId="0" fontId="0" fillId="104" borderId="11" xfId="0" applyFill="1" applyBorder="1" applyAlignment="1">
      <alignment horizontal="center"/>
    </xf>
    <xf numFmtId="0" fontId="0" fillId="104" borderId="119" xfId="0" applyFill="1" applyBorder="1" applyAlignment="1">
      <alignment horizontal="center"/>
    </xf>
    <xf numFmtId="0" fontId="0" fillId="104" borderId="117" xfId="0" applyFill="1" applyBorder="1" applyAlignment="1">
      <alignment horizontal="center"/>
    </xf>
    <xf numFmtId="0" fontId="0" fillId="104" borderId="118" xfId="0" applyFill="1" applyBorder="1" applyAlignment="1">
      <alignment horizontal="center"/>
    </xf>
    <xf numFmtId="0" fontId="0" fillId="104" borderId="104" xfId="0" applyFill="1" applyBorder="1" applyAlignment="1">
      <alignment horizontal="center"/>
    </xf>
    <xf numFmtId="0" fontId="0" fillId="105" borderId="117" xfId="0" applyFill="1" applyBorder="1" applyAlignment="1">
      <alignment horizontal="center"/>
    </xf>
    <xf numFmtId="0" fontId="0" fillId="105" borderId="119" xfId="0" applyFill="1" applyBorder="1" applyAlignment="1">
      <alignment horizontal="center"/>
    </xf>
    <xf numFmtId="0" fontId="59" fillId="24" borderId="124" xfId="0" applyFont="1" applyFill="1" applyBorder="1" applyAlignment="1">
      <alignment horizontal="right"/>
    </xf>
    <xf numFmtId="0" fontId="0" fillId="0" borderId="125" xfId="0" applyBorder="1"/>
    <xf numFmtId="0" fontId="0" fillId="0" borderId="59" xfId="0" applyBorder="1"/>
    <xf numFmtId="0" fontId="0" fillId="0" borderId="126" xfId="0" applyBorder="1"/>
    <xf numFmtId="0" fontId="59" fillId="24" borderId="127" xfId="0" applyFont="1" applyFill="1" applyBorder="1" applyAlignment="1">
      <alignment horizontal="right"/>
    </xf>
    <xf numFmtId="0" fontId="0" fillId="0" borderId="127" xfId="0" applyBorder="1"/>
    <xf numFmtId="0" fontId="59" fillId="24" borderId="120" xfId="0" applyFont="1" applyFill="1" applyBorder="1" applyAlignment="1">
      <alignment horizontal="right"/>
    </xf>
    <xf numFmtId="0" fontId="0" fillId="0" borderId="132" xfId="0" applyBorder="1"/>
    <xf numFmtId="0" fontId="0" fillId="0" borderId="12" xfId="0" applyBorder="1"/>
    <xf numFmtId="0" fontId="0" fillId="0" borderId="133" xfId="0" applyBorder="1"/>
    <xf numFmtId="41" fontId="87" fillId="21" borderId="0" xfId="0" applyNumberFormat="1" applyFont="1" applyFill="1"/>
    <xf numFmtId="242" fontId="64" fillId="25" borderId="0" xfId="0" applyNumberFormat="1" applyFont="1" applyFill="1" applyAlignment="1">
      <alignment horizontal="right"/>
    </xf>
    <xf numFmtId="43" fontId="11" fillId="0" borderId="0" xfId="37" applyNumberFormat="1" applyFont="1" applyBorder="1"/>
    <xf numFmtId="174" fontId="88" fillId="0" borderId="0" xfId="37" applyNumberFormat="1" applyFont="1" applyFill="1" applyAlignment="1">
      <alignment horizontal="center"/>
    </xf>
    <xf numFmtId="166" fontId="11" fillId="0" borderId="0" xfId="92" applyNumberFormat="1" applyFont="1" applyAlignment="1">
      <alignment horizontal="right"/>
    </xf>
    <xf numFmtId="166" fontId="11" fillId="0" borderId="15" xfId="92" applyNumberFormat="1" applyFont="1" applyBorder="1" applyAlignment="1">
      <alignment horizontal="right"/>
    </xf>
    <xf numFmtId="165" fontId="31" fillId="0" borderId="0" xfId="96" applyFont="1" applyBorder="1" applyAlignment="1">
      <alignment horizontal="left" vertical="center" indent="1"/>
    </xf>
    <xf numFmtId="9" fontId="87" fillId="0" borderId="0" xfId="118" applyNumberFormat="1" applyFont="1" applyFill="1"/>
    <xf numFmtId="201" fontId="70" fillId="25" borderId="0" xfId="89" applyNumberFormat="1" applyFont="1" applyFill="1" applyAlignment="1">
      <alignment horizontal="right"/>
    </xf>
    <xf numFmtId="0" fontId="174" fillId="24" borderId="57" xfId="98" applyFont="1" applyFill="1" applyBorder="1" applyAlignment="1">
      <alignment horizontal="center"/>
    </xf>
    <xf numFmtId="0" fontId="11" fillId="0" borderId="0" xfId="6387" applyFont="1" applyFill="1"/>
    <xf numFmtId="166" fontId="11" fillId="0" borderId="47" xfId="0" applyNumberFormat="1" applyFont="1" applyBorder="1" applyAlignment="1">
      <alignment horizontal="right"/>
    </xf>
    <xf numFmtId="166" fontId="11" fillId="0" borderId="0" xfId="0" applyNumberFormat="1" applyFont="1" applyBorder="1" applyAlignment="1">
      <alignment horizontal="right"/>
    </xf>
    <xf numFmtId="1" fontId="17" fillId="0" borderId="0" xfId="96" applyNumberFormat="1" applyFont="1" applyFill="1" applyBorder="1" applyAlignment="1">
      <alignment horizontal="right" vertical="center"/>
    </xf>
    <xf numFmtId="1" fontId="28" fillId="0" borderId="0" xfId="96" applyNumberFormat="1" applyFont="1" applyFill="1" applyAlignment="1">
      <alignment horizontal="right" vertical="center"/>
    </xf>
    <xf numFmtId="204" fontId="28" fillId="0" borderId="0" xfId="96" applyNumberFormat="1" applyFont="1" applyFill="1" applyAlignment="1">
      <alignment horizontal="right" vertical="center"/>
    </xf>
    <xf numFmtId="204" fontId="28" fillId="0" borderId="0" xfId="96" applyNumberFormat="1" applyFont="1" applyFill="1" applyBorder="1" applyAlignment="1">
      <alignment horizontal="right" vertical="center"/>
    </xf>
    <xf numFmtId="204" fontId="28" fillId="0" borderId="47" xfId="96" applyNumberFormat="1" applyFont="1" applyFill="1" applyBorder="1" applyAlignment="1">
      <alignment horizontal="right" vertical="center"/>
    </xf>
    <xf numFmtId="173" fontId="11" fillId="0" borderId="0" xfId="97" applyNumberFormat="1" applyFont="1" applyFill="1" applyBorder="1" applyAlignment="1">
      <alignment horizontal="right"/>
    </xf>
    <xf numFmtId="14" fontId="11" fillId="0" borderId="0" xfId="0" applyNumberFormat="1" applyFont="1"/>
    <xf numFmtId="0" fontId="7" fillId="0" borderId="59" xfId="5792" applyBorder="1"/>
    <xf numFmtId="0" fontId="7" fillId="0" borderId="136" xfId="5792" applyBorder="1"/>
    <xf numFmtId="0" fontId="7" fillId="0" borderId="125" xfId="5792" applyBorder="1"/>
    <xf numFmtId="0" fontId="7" fillId="0" borderId="126" xfId="5792" applyBorder="1"/>
    <xf numFmtId="0" fontId="7" fillId="107" borderId="0" xfId="5792" applyFill="1"/>
    <xf numFmtId="0" fontId="11" fillId="0" borderId="100" xfId="0" applyFont="1" applyBorder="1"/>
    <xf numFmtId="0" fontId="11" fillId="0" borderId="137" xfId="0" applyFont="1" applyBorder="1" applyAlignment="1">
      <alignment horizontal="center"/>
    </xf>
    <xf numFmtId="0" fontId="11" fillId="0" borderId="100" xfId="0" applyFont="1" applyBorder="1" applyAlignment="1">
      <alignment horizontal="center"/>
    </xf>
    <xf numFmtId="0" fontId="11" fillId="0" borderId="138" xfId="0" applyFont="1" applyBorder="1" applyAlignment="1">
      <alignment horizontal="center"/>
    </xf>
    <xf numFmtId="0" fontId="11" fillId="0" borderId="139" xfId="0" applyFont="1" applyBorder="1" applyAlignment="1">
      <alignment horizontal="center"/>
    </xf>
    <xf numFmtId="0" fontId="11" fillId="0" borderId="140" xfId="0" applyFont="1" applyBorder="1" applyAlignment="1">
      <alignment horizontal="center"/>
    </xf>
    <xf numFmtId="0" fontId="11" fillId="0" borderId="29" xfId="0" applyFont="1" applyBorder="1" applyAlignment="1">
      <alignment vertical="center"/>
    </xf>
    <xf numFmtId="0" fontId="7" fillId="0" borderId="29" xfId="5792" applyBorder="1"/>
    <xf numFmtId="0" fontId="11" fillId="0" borderId="141" xfId="0" applyFont="1" applyBorder="1"/>
    <xf numFmtId="0" fontId="11" fillId="107" borderId="142" xfId="0" applyFont="1" applyFill="1" applyBorder="1"/>
    <xf numFmtId="0" fontId="11" fillId="107" borderId="13" xfId="0" applyFont="1" applyFill="1" applyBorder="1"/>
    <xf numFmtId="0" fontId="11" fillId="107" borderId="143" xfId="0" applyFont="1" applyFill="1" applyBorder="1"/>
    <xf numFmtId="0" fontId="7" fillId="0" borderId="100" xfId="5792" applyBorder="1"/>
    <xf numFmtId="0" fontId="11" fillId="0" borderId="140" xfId="0" applyFont="1" applyBorder="1"/>
    <xf numFmtId="0" fontId="11" fillId="0" borderId="137" xfId="0" applyFont="1" applyBorder="1"/>
    <xf numFmtId="0" fontId="11" fillId="0" borderId="138" xfId="0" applyFont="1" applyFill="1" applyBorder="1"/>
    <xf numFmtId="0" fontId="11" fillId="0" borderId="100" xfId="0" applyFont="1" applyFill="1" applyBorder="1"/>
    <xf numFmtId="0" fontId="11" fillId="107" borderId="139" xfId="0" applyFont="1" applyFill="1" applyBorder="1"/>
    <xf numFmtId="0" fontId="11" fillId="107" borderId="138" xfId="0" applyFont="1" applyFill="1" applyBorder="1"/>
    <xf numFmtId="0" fontId="11" fillId="107" borderId="100" xfId="0" applyFont="1" applyFill="1" applyBorder="1"/>
    <xf numFmtId="0" fontId="11" fillId="0" borderId="140" xfId="0" applyFont="1" applyFill="1" applyBorder="1"/>
    <xf numFmtId="0" fontId="11" fillId="0" borderId="139" xfId="0" applyFont="1" applyFill="1" applyBorder="1"/>
    <xf numFmtId="0" fontId="11" fillId="107" borderId="140" xfId="0" applyFont="1" applyFill="1" applyBorder="1"/>
    <xf numFmtId="0" fontId="11" fillId="0" borderId="141" xfId="0" applyFont="1" applyBorder="1" applyAlignment="1">
      <alignment vertical="center"/>
    </xf>
    <xf numFmtId="0" fontId="7" fillId="0" borderId="107" xfId="5792" applyBorder="1"/>
    <xf numFmtId="0" fontId="7" fillId="0" borderId="0" xfId="5792" applyFill="1"/>
    <xf numFmtId="169" fontId="31" fillId="0" borderId="0" xfId="37" applyNumberFormat="1" applyFont="1" applyBorder="1" applyAlignment="1">
      <alignment vertical="center"/>
    </xf>
    <xf numFmtId="173" fontId="31" fillId="0" borderId="0" xfId="104" applyNumberFormat="1" applyFont="1" applyBorder="1" applyAlignment="1">
      <alignment vertical="center"/>
    </xf>
    <xf numFmtId="173" fontId="31" fillId="0" borderId="47" xfId="104" applyNumberFormat="1" applyFont="1" applyBorder="1" applyAlignment="1">
      <alignment vertical="center"/>
    </xf>
    <xf numFmtId="173" fontId="98" fillId="0" borderId="0" xfId="104" applyNumberFormat="1" applyFont="1" applyBorder="1" applyAlignment="1">
      <alignment vertical="center"/>
    </xf>
    <xf numFmtId="0" fontId="32" fillId="0" borderId="0" xfId="5792" applyFont="1" applyFill="1" applyBorder="1"/>
    <xf numFmtId="173" fontId="32" fillId="0" borderId="0" xfId="164" applyNumberFormat="1" applyFont="1" applyFill="1" applyBorder="1" applyAlignment="1">
      <alignment horizontal="right"/>
    </xf>
    <xf numFmtId="173" fontId="32" fillId="0" borderId="0" xfId="164" applyNumberFormat="1" applyFont="1" applyBorder="1" applyAlignment="1">
      <alignment horizontal="right"/>
    </xf>
    <xf numFmtId="173" fontId="168" fillId="0" borderId="0" xfId="164" applyNumberFormat="1" applyFont="1" applyBorder="1" applyAlignment="1">
      <alignment horizontal="right"/>
    </xf>
    <xf numFmtId="0" fontId="88" fillId="0" borderId="0" xfId="5792" applyFont="1" applyBorder="1"/>
    <xf numFmtId="43" fontId="88" fillId="0" borderId="0" xfId="37" applyNumberFormat="1" applyFont="1" applyBorder="1"/>
    <xf numFmtId="169" fontId="167" fillId="0" borderId="0" xfId="37" applyNumberFormat="1" applyFont="1" applyFill="1" applyAlignment="1">
      <alignment horizontal="left" indent="1"/>
    </xf>
    <xf numFmtId="165" fontId="176" fillId="99" borderId="0" xfId="96" applyFont="1" applyFill="1" applyAlignment="1">
      <alignment horizontal="center" vertical="center"/>
    </xf>
    <xf numFmtId="165" fontId="176" fillId="99" borderId="0" xfId="96" applyFont="1" applyFill="1" applyAlignment="1">
      <alignment horizontal="left" vertical="center"/>
    </xf>
    <xf numFmtId="0" fontId="11" fillId="0" borderId="0" xfId="21316" applyFont="1" applyFill="1" applyBorder="1"/>
    <xf numFmtId="0" fontId="11" fillId="0" borderId="0" xfId="21316" applyFont="1" applyFill="1" applyBorder="1" applyAlignment="1">
      <alignment horizontal="left" indent="1"/>
    </xf>
    <xf numFmtId="0" fontId="11" fillId="0" borderId="0" xfId="21557" applyFont="1"/>
    <xf numFmtId="0" fontId="11" fillId="0" borderId="0" xfId="21557" applyFont="1" applyAlignment="1">
      <alignment horizontal="left" indent="1"/>
    </xf>
    <xf numFmtId="0" fontId="17" fillId="0" borderId="0" xfId="21557" applyFont="1"/>
    <xf numFmtId="173" fontId="31" fillId="0" borderId="0" xfId="164" applyNumberFormat="1" applyFont="1" applyAlignment="1">
      <alignment horizontal="left" indent="1"/>
    </xf>
    <xf numFmtId="173" fontId="11" fillId="0" borderId="0" xfId="164" applyNumberFormat="1" applyFont="1" applyAlignment="1">
      <alignment horizontal="left" indent="1"/>
    </xf>
    <xf numFmtId="0" fontId="31" fillId="0" borderId="0" xfId="21316" applyFont="1" applyFill="1" applyBorder="1"/>
    <xf numFmtId="0" fontId="17" fillId="0" borderId="0" xfId="21316" applyFont="1" applyFill="1" applyBorder="1"/>
    <xf numFmtId="0" fontId="17" fillId="0" borderId="0" xfId="21316" quotePrefix="1" applyFont="1" applyFill="1" applyBorder="1" applyAlignment="1">
      <alignment horizontal="left"/>
    </xf>
    <xf numFmtId="0" fontId="11" fillId="0" borderId="0" xfId="21316" quotePrefix="1" applyFont="1" applyFill="1" applyBorder="1" applyAlignment="1">
      <alignment horizontal="left"/>
    </xf>
    <xf numFmtId="0" fontId="31" fillId="0" borderId="0" xfId="21316" applyFont="1" applyFill="1" applyBorder="1" applyAlignment="1">
      <alignment horizontal="left"/>
    </xf>
    <xf numFmtId="1" fontId="87" fillId="21" borderId="0" xfId="0" applyNumberFormat="1" applyFont="1" applyFill="1" applyAlignment="1">
      <alignment horizontal="right"/>
    </xf>
    <xf numFmtId="0" fontId="11" fillId="15" borderId="0" xfId="0" applyFont="1" applyFill="1" applyAlignment="1">
      <alignment horizontal="left"/>
    </xf>
    <xf numFmtId="1" fontId="87" fillId="21" borderId="0" xfId="37" applyNumberFormat="1" applyFont="1" applyFill="1"/>
    <xf numFmtId="0" fontId="0" fillId="0" borderId="107" xfId="0" applyBorder="1"/>
    <xf numFmtId="0" fontId="17" fillId="0" borderId="144" xfId="0" applyFont="1" applyBorder="1" applyAlignment="1">
      <alignment horizontal="center"/>
    </xf>
    <xf numFmtId="0" fontId="102" fillId="21" borderId="144" xfId="0" applyFont="1" applyFill="1" applyBorder="1" applyAlignment="1">
      <alignment horizontal="center"/>
    </xf>
    <xf numFmtId="1" fontId="17" fillId="0" borderId="47" xfId="0" applyNumberFormat="1" applyFont="1" applyBorder="1"/>
    <xf numFmtId="1" fontId="17" fillId="0" borderId="0" xfId="0" applyNumberFormat="1" applyFont="1"/>
    <xf numFmtId="1" fontId="17" fillId="0" borderId="0" xfId="0" applyNumberFormat="1" applyFont="1" applyBorder="1"/>
    <xf numFmtId="173" fontId="11" fillId="0" borderId="47" xfId="0" applyNumberFormat="1" applyFont="1" applyBorder="1"/>
    <xf numFmtId="9" fontId="87" fillId="0" borderId="0" xfId="0" applyNumberFormat="1" applyFont="1"/>
    <xf numFmtId="0" fontId="11" fillId="0" borderId="0" xfId="5792" applyFont="1" applyFill="1" applyBorder="1" applyAlignment="1">
      <alignment horizontal="left" indent="1"/>
    </xf>
    <xf numFmtId="173" fontId="11" fillId="0" borderId="0" xfId="104" applyNumberFormat="1" applyFont="1" applyAlignment="1">
      <alignment horizontal="left" indent="1"/>
    </xf>
    <xf numFmtId="169" fontId="199" fillId="0" borderId="0" xfId="37" applyNumberFormat="1" applyFont="1" applyBorder="1" applyAlignment="1">
      <alignment horizontal="right"/>
    </xf>
    <xf numFmtId="169" fontId="11" fillId="0" borderId="0" xfId="37" applyNumberFormat="1" applyFont="1" applyFill="1" applyBorder="1" applyAlignment="1">
      <alignment horizontal="left" indent="1"/>
    </xf>
    <xf numFmtId="169" fontId="11" fillId="0" borderId="0" xfId="37" applyNumberFormat="1" applyFont="1" applyBorder="1" applyAlignment="1">
      <alignment horizontal="left" indent="1"/>
    </xf>
    <xf numFmtId="169" fontId="198" fillId="0" borderId="0" xfId="37" applyNumberFormat="1" applyFont="1" applyBorder="1" applyAlignment="1">
      <alignment horizontal="left" indent="1"/>
    </xf>
    <xf numFmtId="169" fontId="17" fillId="0" borderId="0" xfId="164" applyNumberFormat="1" applyFont="1" applyFill="1" applyBorder="1" applyAlignment="1">
      <alignment horizontal="right"/>
    </xf>
    <xf numFmtId="0" fontId="17" fillId="23" borderId="0" xfId="0" applyFont="1" applyFill="1"/>
    <xf numFmtId="0" fontId="70" fillId="23" borderId="0" xfId="0" applyFont="1" applyFill="1"/>
    <xf numFmtId="37" fontId="11" fillId="0" borderId="0" xfId="37" applyNumberFormat="1" applyFont="1" applyFill="1" applyAlignment="1">
      <alignment horizontal="right"/>
    </xf>
    <xf numFmtId="37" fontId="87" fillId="0" borderId="0" xfId="0" applyNumberFormat="1" applyFont="1" applyFill="1"/>
    <xf numFmtId="169" fontId="11" fillId="23" borderId="0" xfId="37" applyNumberFormat="1" applyFont="1" applyFill="1"/>
    <xf numFmtId="0" fontId="11" fillId="23" borderId="47" xfId="0" applyFont="1" applyFill="1" applyBorder="1"/>
    <xf numFmtId="169" fontId="70" fillId="0" borderId="25" xfId="37" applyNumberFormat="1" applyFont="1" applyFill="1" applyBorder="1"/>
    <xf numFmtId="37" fontId="77" fillId="0" borderId="25" xfId="0" applyNumberFormat="1" applyFont="1" applyFill="1" applyBorder="1"/>
    <xf numFmtId="37" fontId="77" fillId="0" borderId="14" xfId="0" applyNumberFormat="1" applyFont="1" applyBorder="1"/>
    <xf numFmtId="37" fontId="77" fillId="0" borderId="24" xfId="0" applyNumberFormat="1" applyFont="1" applyBorder="1"/>
    <xf numFmtId="169" fontId="70" fillId="0" borderId="15" xfId="37" applyNumberFormat="1" applyFont="1" applyFill="1" applyBorder="1"/>
    <xf numFmtId="169" fontId="70" fillId="0" borderId="145" xfId="37" applyNumberFormat="1" applyFont="1" applyFill="1" applyBorder="1"/>
    <xf numFmtId="37" fontId="77" fillId="0" borderId="21" xfId="0" applyNumberFormat="1" applyFont="1" applyBorder="1"/>
    <xf numFmtId="169" fontId="70" fillId="0" borderId="16" xfId="37" applyNumberFormat="1" applyFont="1" applyFill="1" applyBorder="1"/>
    <xf numFmtId="37" fontId="77" fillId="0" borderId="16" xfId="0" applyNumberFormat="1" applyFont="1" applyFill="1" applyBorder="1"/>
    <xf numFmtId="169" fontId="70" fillId="0" borderId="22" xfId="37" applyNumberFormat="1" applyFont="1" applyFill="1" applyBorder="1"/>
    <xf numFmtId="169" fontId="70" fillId="0" borderId="21" xfId="37" applyNumberFormat="1" applyFont="1" applyBorder="1"/>
    <xf numFmtId="169" fontId="70" fillId="0" borderId="14" xfId="37" applyNumberFormat="1" applyFont="1" applyBorder="1"/>
    <xf numFmtId="169" fontId="70" fillId="0" borderId="24" xfId="37" applyNumberFormat="1" applyFont="1" applyBorder="1"/>
    <xf numFmtId="169" fontId="70" fillId="0" borderId="16" xfId="37" applyNumberFormat="1" applyFont="1" applyBorder="1"/>
    <xf numFmtId="169" fontId="70" fillId="0" borderId="25" xfId="37" applyNumberFormat="1" applyFont="1" applyBorder="1"/>
    <xf numFmtId="169" fontId="70" fillId="0" borderId="22" xfId="37" applyNumberFormat="1" applyFont="1" applyBorder="1"/>
    <xf numFmtId="169" fontId="70" fillId="0" borderId="15" xfId="37" applyNumberFormat="1" applyFont="1" applyBorder="1"/>
    <xf numFmtId="169" fontId="70" fillId="0" borderId="145" xfId="37" applyNumberFormat="1" applyFont="1" applyBorder="1"/>
    <xf numFmtId="169" fontId="73" fillId="0" borderId="47" xfId="37" applyNumberFormat="1" applyFont="1" applyFill="1" applyBorder="1"/>
    <xf numFmtId="37" fontId="11" fillId="0" borderId="47" xfId="0" applyNumberFormat="1" applyFont="1" applyFill="1" applyBorder="1"/>
    <xf numFmtId="9" fontId="17" fillId="0" borderId="47" xfId="0" applyNumberFormat="1" applyFont="1" applyFill="1" applyBorder="1"/>
    <xf numFmtId="1" fontId="28" fillId="0" borderId="47" xfId="96" applyNumberFormat="1" applyFont="1" applyFill="1" applyBorder="1" applyAlignment="1">
      <alignment horizontal="right" vertical="center"/>
    </xf>
    <xf numFmtId="9" fontId="109" fillId="0" borderId="0" xfId="104" applyNumberFormat="1" applyFont="1" applyFill="1" applyAlignment="1">
      <alignment horizontal="right"/>
    </xf>
    <xf numFmtId="9" fontId="91" fillId="0" borderId="0" xfId="104" applyNumberFormat="1" applyFont="1" applyFill="1" applyBorder="1"/>
    <xf numFmtId="180" fontId="27" fillId="0" borderId="0" xfId="96" applyNumberFormat="1" applyFont="1" applyBorder="1" applyAlignment="1">
      <alignment horizontal="right" vertical="center"/>
    </xf>
    <xf numFmtId="1" fontId="88" fillId="0" borderId="0" xfId="0" applyNumberFormat="1" applyFont="1" applyFill="1" applyBorder="1" applyAlignment="1">
      <alignment horizontal="left" indent="1"/>
    </xf>
    <xf numFmtId="1" fontId="88" fillId="0" borderId="0" xfId="0" applyNumberFormat="1" applyFont="1" applyBorder="1" applyAlignment="1">
      <alignment horizontal="left" indent="1"/>
    </xf>
    <xf numFmtId="0" fontId="11" fillId="0" borderId="0" xfId="0" applyFont="1" applyFill="1" applyAlignment="1"/>
    <xf numFmtId="0" fontId="17" fillId="0" borderId="0" xfId="120" applyFont="1" applyFill="1" applyAlignment="1"/>
    <xf numFmtId="0" fontId="11" fillId="0" borderId="0" xfId="120" applyFont="1" applyFill="1" applyAlignment="1">
      <alignment horizontal="left" indent="1"/>
    </xf>
    <xf numFmtId="169" fontId="77" fillId="0" borderId="24" xfId="143" applyNumberFormat="1" applyFont="1" applyBorder="1"/>
    <xf numFmtId="169" fontId="77" fillId="0" borderId="25" xfId="143" applyNumberFormat="1" applyFont="1" applyBorder="1"/>
    <xf numFmtId="169" fontId="70" fillId="0" borderId="25" xfId="143" applyNumberFormat="1" applyFont="1" applyBorder="1"/>
    <xf numFmtId="169" fontId="70" fillId="0" borderId="15" xfId="143" applyNumberFormat="1" applyFont="1" applyBorder="1"/>
    <xf numFmtId="169" fontId="70" fillId="0" borderId="145" xfId="143" applyNumberFormat="1" applyFont="1" applyBorder="1"/>
    <xf numFmtId="169" fontId="77" fillId="0" borderId="21" xfId="143" applyNumberFormat="1" applyFont="1" applyBorder="1"/>
    <xf numFmtId="169" fontId="77" fillId="0" borderId="14" xfId="143" applyNumberFormat="1" applyFont="1" applyBorder="1"/>
    <xf numFmtId="169" fontId="77" fillId="0" borderId="16" xfId="143" applyNumberFormat="1" applyFont="1" applyBorder="1"/>
    <xf numFmtId="169" fontId="70" fillId="0" borderId="16" xfId="143" applyNumberFormat="1" applyFont="1" applyBorder="1"/>
    <xf numFmtId="169" fontId="70" fillId="0" borderId="22" xfId="143" applyNumberFormat="1" applyFont="1" applyBorder="1"/>
    <xf numFmtId="0" fontId="31" fillId="0" borderId="0" xfId="120" applyFont="1" applyFill="1" applyAlignment="1">
      <alignment horizontal="left" indent="1"/>
    </xf>
    <xf numFmtId="0" fontId="31" fillId="0" borderId="0" xfId="120" applyFont="1" applyFill="1" applyAlignment="1">
      <alignment horizontal="left" indent="2"/>
    </xf>
    <xf numFmtId="0" fontId="31" fillId="0" borderId="0" xfId="0" applyFont="1" applyFill="1" applyAlignment="1">
      <alignment horizontal="left" indent="2"/>
    </xf>
    <xf numFmtId="0" fontId="11" fillId="0" borderId="0" xfId="92" applyFont="1" applyFill="1" applyBorder="1"/>
    <xf numFmtId="186" fontId="11" fillId="0" borderId="0" xfId="92" applyNumberFormat="1" applyFont="1" applyFill="1" applyBorder="1"/>
    <xf numFmtId="186" fontId="11" fillId="0" borderId="0" xfId="0" applyNumberFormat="1" applyFont="1" applyFill="1" applyBorder="1"/>
    <xf numFmtId="186" fontId="11" fillId="0" borderId="47" xfId="0" applyNumberFormat="1" applyFont="1" applyFill="1" applyBorder="1"/>
    <xf numFmtId="186" fontId="11" fillId="0" borderId="0" xfId="0" applyNumberFormat="1" applyFont="1" applyFill="1"/>
    <xf numFmtId="1" fontId="92" fillId="24" borderId="47" xfId="96" applyNumberFormat="1" applyFont="1" applyFill="1" applyBorder="1" applyAlignment="1">
      <alignment horizontal="right" vertical="center"/>
    </xf>
    <xf numFmtId="165" fontId="11" fillId="0" borderId="47" xfId="96" applyFont="1" applyFill="1" applyBorder="1"/>
    <xf numFmtId="169" fontId="87" fillId="0" borderId="47" xfId="37" applyNumberFormat="1" applyFont="1" applyFill="1" applyBorder="1"/>
    <xf numFmtId="9" fontId="87" fillId="0" borderId="47" xfId="104" applyFont="1" applyFill="1" applyBorder="1"/>
    <xf numFmtId="0" fontId="0" fillId="0" borderId="47" xfId="0" applyBorder="1"/>
    <xf numFmtId="173" fontId="11" fillId="0" borderId="47" xfId="164" applyNumberFormat="1" applyFont="1" applyFill="1" applyBorder="1"/>
    <xf numFmtId="169" fontId="11" fillId="0" borderId="47" xfId="143" applyNumberFormat="1" applyFont="1" applyFill="1" applyBorder="1"/>
    <xf numFmtId="171" fontId="31" fillId="0" borderId="47" xfId="143" applyNumberFormat="1" applyFont="1" applyFill="1" applyBorder="1"/>
    <xf numFmtId="173" fontId="17" fillId="0" borderId="47" xfId="164" applyNumberFormat="1" applyFont="1" applyFill="1" applyBorder="1"/>
    <xf numFmtId="169" fontId="77" fillId="0" borderId="19" xfId="37" applyNumberFormat="1" applyFont="1" applyBorder="1"/>
    <xf numFmtId="169" fontId="77" fillId="0" borderId="20" xfId="37" applyNumberFormat="1" applyFont="1" applyBorder="1"/>
    <xf numFmtId="169" fontId="77" fillId="0" borderId="18" xfId="37" applyNumberFormat="1" applyFont="1" applyBorder="1"/>
    <xf numFmtId="173" fontId="31" fillId="0" borderId="0" xfId="104" applyNumberFormat="1" applyFont="1" applyFill="1" applyAlignment="1">
      <alignment horizontal="left" vertical="center" wrapText="1" indent="1"/>
    </xf>
    <xf numFmtId="169" fontId="73" fillId="0" borderId="0" xfId="37" applyNumberFormat="1" applyFont="1" applyAlignment="1">
      <alignment horizontal="left" indent="2"/>
    </xf>
    <xf numFmtId="0" fontId="11" fillId="0" borderId="0" xfId="0" applyFont="1" applyAlignment="1">
      <alignment horizontal="left"/>
    </xf>
    <xf numFmtId="169" fontId="95" fillId="0" borderId="0" xfId="143" applyNumberFormat="1" applyFont="1" applyFill="1" applyBorder="1" applyAlignment="1">
      <alignment horizontal="left"/>
    </xf>
    <xf numFmtId="169" fontId="167" fillId="0" borderId="0" xfId="37" applyNumberFormat="1" applyFont="1" applyAlignment="1">
      <alignment horizontal="left" indent="3"/>
    </xf>
    <xf numFmtId="171" fontId="91" fillId="0" borderId="0" xfId="37" applyNumberFormat="1" applyFont="1" applyFill="1" applyBorder="1"/>
    <xf numFmtId="169" fontId="11" fillId="0" borderId="0" xfId="38" applyNumberFormat="1" applyFont="1" applyFill="1" applyBorder="1" applyAlignment="1">
      <alignment horizontal="right"/>
    </xf>
    <xf numFmtId="169" fontId="99" fillId="0" borderId="47" xfId="37" applyNumberFormat="1" applyFont="1" applyBorder="1"/>
    <xf numFmtId="169" fontId="99" fillId="0" borderId="47" xfId="37" applyNumberFormat="1" applyFont="1" applyBorder="1" applyAlignment="1">
      <alignment horizontal="left"/>
    </xf>
    <xf numFmtId="169" fontId="99" fillId="0" borderId="47" xfId="37" applyNumberFormat="1" applyFont="1" applyFill="1" applyBorder="1"/>
    <xf numFmtId="171" fontId="99" fillId="0" borderId="47" xfId="37" applyNumberFormat="1" applyFont="1" applyFill="1" applyBorder="1"/>
    <xf numFmtId="9" fontId="77" fillId="15" borderId="0" xfId="104" applyNumberFormat="1" applyFont="1" applyFill="1" applyAlignment="1">
      <alignment horizontal="right"/>
    </xf>
    <xf numFmtId="173" fontId="70" fillId="0" borderId="25" xfId="104" applyNumberFormat="1" applyFont="1" applyBorder="1"/>
    <xf numFmtId="173" fontId="70" fillId="0" borderId="16" xfId="104" applyNumberFormat="1" applyFont="1" applyBorder="1"/>
    <xf numFmtId="173" fontId="70" fillId="0" borderId="145" xfId="104" applyNumberFormat="1" applyFont="1" applyBorder="1"/>
    <xf numFmtId="173" fontId="70" fillId="0" borderId="22" xfId="104" applyNumberFormat="1" applyFont="1" applyBorder="1"/>
    <xf numFmtId="173" fontId="77" fillId="0" borderId="14" xfId="104" applyNumberFormat="1" applyFont="1" applyBorder="1"/>
    <xf numFmtId="173" fontId="77" fillId="0" borderId="24" xfId="104" applyNumberFormat="1" applyFont="1" applyBorder="1"/>
    <xf numFmtId="173" fontId="77" fillId="0" borderId="21" xfId="104" applyNumberFormat="1" applyFont="1" applyBorder="1"/>
    <xf numFmtId="174" fontId="66" fillId="0" borderId="0" xfId="143" applyNumberFormat="1" applyFont="1" applyFill="1" applyBorder="1"/>
    <xf numFmtId="169" fontId="70" fillId="0" borderId="19" xfId="37" applyNumberFormat="1" applyFont="1" applyFill="1" applyBorder="1"/>
    <xf numFmtId="169" fontId="70" fillId="0" borderId="20" xfId="37" applyNumberFormat="1" applyFont="1" applyFill="1" applyBorder="1"/>
    <xf numFmtId="169" fontId="70" fillId="0" borderId="18" xfId="37" applyNumberFormat="1" applyFont="1" applyFill="1" applyBorder="1"/>
    <xf numFmtId="169" fontId="88" fillId="0" borderId="146" xfId="37" applyNumberFormat="1" applyFont="1" applyBorder="1" applyAlignment="1">
      <alignment horizontal="center"/>
    </xf>
    <xf numFmtId="43" fontId="11" fillId="0" borderId="0" xfId="92" applyNumberFormat="1" applyFont="1" applyFill="1" applyBorder="1"/>
    <xf numFmtId="241" fontId="28" fillId="24" borderId="47" xfId="95" applyNumberFormat="1" applyFont="1" applyFill="1" applyBorder="1" applyAlignment="1">
      <alignment horizontal="right" vertical="center"/>
    </xf>
    <xf numFmtId="173" fontId="11" fillId="0" borderId="47" xfId="104" applyNumberFormat="1" applyFont="1" applyFill="1" applyBorder="1" applyAlignment="1">
      <alignment horizontal="right" vertical="center"/>
    </xf>
    <xf numFmtId="0" fontId="11" fillId="0" borderId="47" xfId="95" applyFont="1" applyBorder="1" applyAlignment="1">
      <alignment horizontal="right" vertical="center"/>
    </xf>
    <xf numFmtId="185" fontId="11" fillId="0" borderId="47" xfId="37" applyNumberFormat="1" applyFont="1" applyFill="1" applyBorder="1" applyAlignment="1">
      <alignment horizontal="right" vertical="center"/>
    </xf>
    <xf numFmtId="171" fontId="11" fillId="0" borderId="101" xfId="37" applyNumberFormat="1" applyFont="1" applyBorder="1" applyAlignment="1">
      <alignment horizontal="right" vertical="center"/>
    </xf>
    <xf numFmtId="171" fontId="17" fillId="0" borderId="0" xfId="37" applyNumberFormat="1" applyFont="1" applyBorder="1"/>
    <xf numFmtId="171" fontId="102" fillId="0" borderId="0" xfId="143" applyNumberFormat="1" applyFont="1" applyFill="1" applyAlignment="1">
      <alignment horizontal="right"/>
    </xf>
    <xf numFmtId="0" fontId="17" fillId="0" borderId="0" xfId="93" applyFont="1" applyBorder="1"/>
    <xf numFmtId="169" fontId="95" fillId="0" borderId="0" xfId="37" applyNumberFormat="1" applyFont="1" applyFill="1" applyAlignment="1">
      <alignment horizontal="right"/>
    </xf>
    <xf numFmtId="169" fontId="31" fillId="0" borderId="47" xfId="37" applyNumberFormat="1" applyFont="1" applyBorder="1"/>
    <xf numFmtId="169" fontId="98" fillId="0" borderId="0" xfId="37" applyNumberFormat="1" applyFont="1"/>
    <xf numFmtId="169" fontId="11" fillId="0" borderId="0" xfId="119" applyNumberFormat="1" applyFont="1" applyFill="1" applyAlignment="1">
      <alignment horizontal="right"/>
    </xf>
    <xf numFmtId="9" fontId="77" fillId="0" borderId="0" xfId="104" applyFont="1" applyFill="1"/>
    <xf numFmtId="9" fontId="87" fillId="0" borderId="14" xfId="164" applyFont="1" applyFill="1" applyBorder="1"/>
    <xf numFmtId="9" fontId="87" fillId="0" borderId="24" xfId="164" applyFont="1" applyFill="1" applyBorder="1"/>
    <xf numFmtId="9" fontId="77" fillId="0" borderId="25" xfId="164" applyFont="1" applyBorder="1"/>
    <xf numFmtId="9" fontId="87" fillId="0" borderId="25" xfId="164" applyFont="1" applyFill="1" applyBorder="1"/>
    <xf numFmtId="9" fontId="102" fillId="0" borderId="25" xfId="164" applyFont="1" applyFill="1" applyBorder="1"/>
    <xf numFmtId="9" fontId="87" fillId="0" borderId="25" xfId="104" applyFont="1" applyFill="1" applyBorder="1"/>
    <xf numFmtId="9" fontId="87" fillId="0" borderId="21" xfId="164" applyFont="1" applyFill="1" applyBorder="1"/>
    <xf numFmtId="9" fontId="77" fillId="0" borderId="16" xfId="164" applyFont="1" applyBorder="1"/>
    <xf numFmtId="9" fontId="87" fillId="0" borderId="16" xfId="164" applyFont="1" applyFill="1" applyBorder="1"/>
    <xf numFmtId="9" fontId="102" fillId="0" borderId="16" xfId="164" applyFont="1" applyFill="1" applyBorder="1"/>
    <xf numFmtId="9" fontId="87" fillId="0" borderId="16" xfId="104" applyFont="1" applyFill="1" applyBorder="1"/>
    <xf numFmtId="9" fontId="87" fillId="0" borderId="15" xfId="104" applyFont="1" applyFill="1" applyBorder="1"/>
    <xf numFmtId="9" fontId="87" fillId="0" borderId="145" xfId="104" applyFont="1" applyFill="1" applyBorder="1"/>
    <xf numFmtId="9" fontId="87" fillId="0" borderId="22" xfId="104" applyFont="1" applyFill="1" applyBorder="1"/>
    <xf numFmtId="165" fontId="11" fillId="0" borderId="0" xfId="96" applyFont="1" applyFill="1" applyBorder="1" applyAlignment="1">
      <alignment horizontal="right"/>
    </xf>
    <xf numFmtId="0" fontId="0" fillId="0" borderId="0" xfId="0" applyAlignment="1">
      <alignment horizontal="justify" vertical="justify" wrapText="1"/>
    </xf>
    <xf numFmtId="0" fontId="201" fillId="0" borderId="0" xfId="0" applyFont="1" applyAlignment="1">
      <alignment horizontal="justify" vertical="justify" wrapText="1"/>
    </xf>
    <xf numFmtId="0" fontId="174" fillId="24" borderId="57" xfId="98" applyFont="1" applyFill="1" applyBorder="1" applyAlignment="1"/>
    <xf numFmtId="43" fontId="17" fillId="0" borderId="0" xfId="37" applyNumberFormat="1" applyFont="1" applyFill="1" applyBorder="1" applyAlignment="1">
      <alignment vertical="center"/>
    </xf>
    <xf numFmtId="174" fontId="28" fillId="24" borderId="0" xfId="98" applyNumberFormat="1" applyFont="1" applyFill="1" applyBorder="1"/>
    <xf numFmtId="0" fontId="11" fillId="107" borderId="137" xfId="0" applyFont="1" applyFill="1" applyBorder="1"/>
    <xf numFmtId="0" fontId="11" fillId="25" borderId="100" xfId="0" applyFont="1" applyFill="1" applyBorder="1"/>
    <xf numFmtId="0" fontId="11" fillId="25" borderId="138" xfId="0" applyFont="1" applyFill="1" applyBorder="1"/>
    <xf numFmtId="0" fontId="11" fillId="25" borderId="139" xfId="0" applyFont="1" applyFill="1" applyBorder="1"/>
    <xf numFmtId="4" fontId="11" fillId="0" borderId="0" xfId="0" applyNumberFormat="1" applyFont="1" applyFill="1" applyBorder="1" applyAlignment="1">
      <alignment horizontal="left"/>
    </xf>
    <xf numFmtId="0" fontId="18" fillId="27" borderId="0" xfId="5792" applyFont="1" applyFill="1"/>
    <xf numFmtId="0" fontId="7" fillId="27" borderId="0" xfId="5792" applyFill="1"/>
    <xf numFmtId="0" fontId="18" fillId="108" borderId="0" xfId="5792" applyFont="1" applyFill="1"/>
    <xf numFmtId="0" fontId="7" fillId="108" borderId="0" xfId="5792" applyFill="1"/>
    <xf numFmtId="0" fontId="18" fillId="109" borderId="0" xfId="5792" applyFont="1" applyFill="1"/>
    <xf numFmtId="0" fontId="7" fillId="109" borderId="0" xfId="5792" applyFill="1"/>
    <xf numFmtId="0" fontId="7" fillId="109" borderId="0" xfId="5792" applyFont="1" applyFill="1"/>
    <xf numFmtId="0" fontId="18" fillId="102" borderId="0" xfId="5792" applyFont="1" applyFill="1"/>
    <xf numFmtId="0" fontId="7" fillId="102" borderId="0" xfId="5792" applyFill="1"/>
    <xf numFmtId="0" fontId="0" fillId="27" borderId="110" xfId="0" applyFill="1" applyBorder="1" applyAlignment="1"/>
    <xf numFmtId="9" fontId="11" fillId="0" borderId="18" xfId="104" applyFont="1" applyBorder="1"/>
    <xf numFmtId="9" fontId="11" fillId="0" borderId="19" xfId="104" applyFont="1" applyBorder="1"/>
    <xf numFmtId="9" fontId="11" fillId="0" borderId="20" xfId="104" applyFont="1" applyBorder="1"/>
    <xf numFmtId="9" fontId="88" fillId="0" borderId="0" xfId="0" applyNumberFormat="1" applyFont="1"/>
    <xf numFmtId="0" fontId="17" fillId="25" borderId="0" xfId="0" applyFont="1" applyFill="1" applyBorder="1" applyAlignment="1">
      <alignment horizontal="center"/>
    </xf>
    <xf numFmtId="0" fontId="15" fillId="25" borderId="0" xfId="98" applyFont="1" applyFill="1" applyBorder="1"/>
    <xf numFmtId="0" fontId="15" fillId="25" borderId="0" xfId="0" applyFont="1" applyFill="1" applyBorder="1"/>
    <xf numFmtId="0" fontId="15" fillId="25" borderId="0" xfId="0" applyFont="1" applyFill="1" applyBorder="1" applyAlignment="1">
      <alignment horizontal="right"/>
    </xf>
    <xf numFmtId="0" fontId="196" fillId="25" borderId="0" xfId="0" applyFont="1" applyFill="1" applyBorder="1" applyAlignment="1">
      <alignment horizontal="right"/>
    </xf>
    <xf numFmtId="43" fontId="11" fillId="0" borderId="0" xfId="37" applyNumberFormat="1" applyFont="1" applyFill="1"/>
    <xf numFmtId="9" fontId="11" fillId="0" borderId="47" xfId="164" applyFont="1" applyBorder="1"/>
    <xf numFmtId="9" fontId="17" fillId="0" borderId="47" xfId="164" applyFont="1" applyBorder="1"/>
    <xf numFmtId="174" fontId="102" fillId="0" borderId="19" xfId="37" applyNumberFormat="1" applyFont="1" applyFill="1" applyBorder="1" applyAlignment="1">
      <alignment vertical="center"/>
    </xf>
    <xf numFmtId="173" fontId="87" fillId="0" borderId="0" xfId="164" applyNumberFormat="1" applyFont="1" applyBorder="1"/>
    <xf numFmtId="37" fontId="95" fillId="0" borderId="0" xfId="143" applyNumberFormat="1" applyFont="1" applyFill="1" applyBorder="1" applyAlignment="1">
      <alignment horizontal="right" vertical="center"/>
    </xf>
    <xf numFmtId="169" fontId="17" fillId="0" borderId="19" xfId="143" applyNumberFormat="1" applyFont="1" applyFill="1" applyBorder="1" applyAlignment="1">
      <alignment vertical="center"/>
    </xf>
    <xf numFmtId="169" fontId="11" fillId="0" borderId="0" xfId="143" applyNumberFormat="1" applyFont="1" applyFill="1"/>
    <xf numFmtId="171" fontId="17" fillId="0" borderId="19" xfId="143" applyNumberFormat="1" applyFont="1" applyBorder="1" applyAlignment="1">
      <alignment vertical="center"/>
    </xf>
    <xf numFmtId="43" fontId="64" fillId="0" borderId="0" xfId="143" applyFont="1" applyBorder="1"/>
    <xf numFmtId="174" fontId="102" fillId="0" borderId="19" xfId="143" applyNumberFormat="1" applyFont="1" applyFill="1" applyBorder="1" applyAlignment="1">
      <alignment vertical="center"/>
    </xf>
    <xf numFmtId="171" fontId="87" fillId="25" borderId="0" xfId="143" applyNumberFormat="1" applyFont="1" applyFill="1" applyAlignment="1">
      <alignment horizontal="right"/>
    </xf>
    <xf numFmtId="169" fontId="17" fillId="0" borderId="19" xfId="143" applyNumberFormat="1" applyFont="1" applyBorder="1" applyAlignment="1">
      <alignment vertical="center"/>
    </xf>
    <xf numFmtId="41" fontId="88" fillId="0" borderId="0" xfId="143" applyNumberFormat="1" applyFont="1" applyAlignment="1">
      <alignment horizontal="center"/>
    </xf>
    <xf numFmtId="167" fontId="11" fillId="23" borderId="37" xfId="97" applyNumberFormat="1" applyFont="1" applyFill="1" applyBorder="1" applyAlignment="1">
      <alignment horizontal="right"/>
    </xf>
    <xf numFmtId="0" fontId="174" fillId="24" borderId="56" xfId="98" applyFont="1" applyFill="1" applyBorder="1" applyAlignment="1"/>
    <xf numFmtId="0" fontId="174" fillId="24" borderId="58" xfId="98" applyFont="1" applyFill="1" applyBorder="1" applyAlignment="1"/>
    <xf numFmtId="0" fontId="174" fillId="24" borderId="70" xfId="98" applyFont="1" applyFill="1" applyBorder="1" applyAlignment="1"/>
    <xf numFmtId="0" fontId="174" fillId="24" borderId="48" xfId="98" applyFont="1" applyFill="1" applyBorder="1" applyAlignment="1"/>
    <xf numFmtId="15" fontId="87" fillId="0" borderId="0" xfId="0" applyNumberFormat="1" applyFont="1" applyFill="1" applyBorder="1"/>
    <xf numFmtId="1" fontId="95" fillId="0" borderId="42" xfId="0" applyNumberFormat="1" applyFont="1" applyFill="1" applyBorder="1"/>
    <xf numFmtId="0" fontId="95" fillId="0" borderId="42" xfId="0" applyNumberFormat="1" applyFont="1" applyFill="1" applyBorder="1"/>
    <xf numFmtId="195" fontId="95" fillId="0" borderId="42" xfId="0" applyNumberFormat="1" applyFont="1" applyFill="1" applyBorder="1"/>
    <xf numFmtId="0" fontId="95" fillId="0" borderId="42" xfId="0" applyFont="1" applyFill="1" applyBorder="1" applyAlignment="1">
      <alignment horizontal="center"/>
    </xf>
    <xf numFmtId="0" fontId="171" fillId="0" borderId="0" xfId="0" applyFont="1"/>
    <xf numFmtId="9" fontId="171" fillId="25" borderId="0" xfId="104" applyFont="1" applyFill="1" applyBorder="1" applyAlignment="1">
      <alignment horizontal="center"/>
    </xf>
    <xf numFmtId="0" fontId="95" fillId="25" borderId="42" xfId="97" applyFont="1" applyFill="1" applyBorder="1"/>
    <xf numFmtId="1" fontId="95" fillId="25" borderId="42" xfId="97" applyNumberFormat="1" applyFont="1" applyFill="1" applyBorder="1"/>
    <xf numFmtId="0" fontId="95" fillId="25" borderId="42" xfId="97" applyNumberFormat="1" applyFont="1" applyFill="1" applyBorder="1" applyAlignment="1">
      <alignment horizontal="right" vertical="center" wrapText="1"/>
    </xf>
    <xf numFmtId="195" fontId="95" fillId="25" borderId="42" xfId="97" applyNumberFormat="1" applyFont="1" applyFill="1" applyBorder="1" applyAlignment="1">
      <alignment horizontal="right" vertical="center" wrapText="1"/>
    </xf>
    <xf numFmtId="0" fontId="202" fillId="0" borderId="0" xfId="0" applyFont="1"/>
    <xf numFmtId="0" fontId="202" fillId="0" borderId="0" xfId="5792" applyFont="1"/>
    <xf numFmtId="0" fontId="203" fillId="0" borderId="0" xfId="0" applyFont="1"/>
    <xf numFmtId="0" fontId="202" fillId="0" borderId="0" xfId="0" applyFont="1" applyAlignment="1">
      <alignment horizontal="left" indent="1"/>
    </xf>
    <xf numFmtId="9" fontId="88" fillId="0" borderId="0" xfId="104" applyFont="1" applyFill="1" applyAlignment="1">
      <alignment horizontal="right"/>
    </xf>
    <xf numFmtId="3" fontId="87" fillId="25" borderId="0" xfId="0" applyNumberFormat="1" applyFont="1" applyFill="1"/>
    <xf numFmtId="183" fontId="11" fillId="26" borderId="0" xfId="37" applyNumberFormat="1" applyFont="1" applyFill="1" applyBorder="1"/>
    <xf numFmtId="183" fontId="11" fillId="26" borderId="0" xfId="143" applyNumberFormat="1" applyFont="1" applyFill="1" applyBorder="1"/>
    <xf numFmtId="165" fontId="176" fillId="111" borderId="0" xfId="96" applyFont="1" applyFill="1" applyAlignment="1">
      <alignment horizontal="center" vertical="center"/>
    </xf>
    <xf numFmtId="165" fontId="28" fillId="111" borderId="0" xfId="96" applyFont="1" applyFill="1"/>
    <xf numFmtId="165" fontId="28" fillId="111" borderId="0" xfId="96" applyFont="1" applyFill="1" applyBorder="1"/>
    <xf numFmtId="207" fontId="17" fillId="0" borderId="48" xfId="96" applyNumberFormat="1" applyFont="1" applyFill="1" applyBorder="1" applyAlignment="1">
      <alignment horizontal="right"/>
    </xf>
    <xf numFmtId="0" fontId="17" fillId="0" borderId="0" xfId="0" applyFont="1" applyFill="1" applyAlignment="1">
      <alignment horizontal="right"/>
    </xf>
    <xf numFmtId="0" fontId="17" fillId="15" borderId="0" xfId="0" applyFont="1" applyFill="1" applyAlignment="1">
      <alignment horizontal="right"/>
    </xf>
    <xf numFmtId="166" fontId="11" fillId="0" borderId="0" xfId="0" applyNumberFormat="1" applyFont="1" applyFill="1" applyBorder="1" applyAlignment="1">
      <alignment horizontal="right"/>
    </xf>
    <xf numFmtId="9" fontId="11" fillId="0" borderId="0" xfId="118" applyFont="1" applyFill="1" applyAlignment="1">
      <alignment horizontal="right"/>
    </xf>
    <xf numFmtId="165" fontId="28" fillId="0" borderId="0" xfId="96" applyFont="1" applyFill="1" applyAlignment="1">
      <alignment horizontal="right"/>
    </xf>
    <xf numFmtId="41" fontId="87" fillId="0" borderId="0" xfId="37" applyNumberFormat="1" applyFont="1" applyFill="1" applyAlignment="1">
      <alignment horizontal="right"/>
    </xf>
    <xf numFmtId="173" fontId="87" fillId="21" borderId="0" xfId="104" applyNumberFormat="1" applyFont="1" applyFill="1" applyAlignment="1">
      <alignment horizontal="right"/>
    </xf>
    <xf numFmtId="173" fontId="87" fillId="0" borderId="0" xfId="104" applyNumberFormat="1" applyFont="1" applyFill="1" applyAlignment="1">
      <alignment horizontal="right"/>
    </xf>
    <xf numFmtId="9" fontId="11" fillId="0" borderId="0" xfId="118" applyNumberFormat="1" applyFont="1" applyFill="1" applyAlignment="1">
      <alignment horizontal="right"/>
    </xf>
    <xf numFmtId="9" fontId="11" fillId="0" borderId="0" xfId="118" applyNumberFormat="1" applyFont="1" applyFill="1" applyBorder="1" applyAlignment="1">
      <alignment horizontal="right"/>
    </xf>
    <xf numFmtId="37" fontId="11" fillId="15" borderId="0" xfId="0" applyNumberFormat="1" applyFont="1" applyFill="1" applyAlignment="1">
      <alignment horizontal="right"/>
    </xf>
    <xf numFmtId="37" fontId="110" fillId="0" borderId="0" xfId="0" applyNumberFormat="1" applyFont="1" applyFill="1" applyAlignment="1">
      <alignment horizontal="right"/>
    </xf>
    <xf numFmtId="173" fontId="109" fillId="0" borderId="0" xfId="118" applyNumberFormat="1" applyFont="1" applyFill="1" applyAlignment="1">
      <alignment horizontal="right"/>
    </xf>
    <xf numFmtId="173" fontId="87" fillId="21" borderId="0" xfId="118" applyNumberFormat="1" applyFont="1" applyFill="1" applyAlignment="1">
      <alignment horizontal="right"/>
    </xf>
    <xf numFmtId="0" fontId="110" fillId="15" borderId="0" xfId="0" applyFont="1" applyFill="1" applyAlignment="1">
      <alignment horizontal="right"/>
    </xf>
    <xf numFmtId="165" fontId="28" fillId="25" borderId="0" xfId="96" applyFont="1" applyFill="1" applyAlignment="1">
      <alignment horizontal="right"/>
    </xf>
    <xf numFmtId="165" fontId="28" fillId="25" borderId="0" xfId="96" applyFont="1" applyFill="1" applyBorder="1" applyAlignment="1">
      <alignment horizontal="right"/>
    </xf>
    <xf numFmtId="0" fontId="17" fillId="0" borderId="0" xfId="0" applyFont="1" applyAlignment="1">
      <alignment horizontal="right"/>
    </xf>
    <xf numFmtId="9" fontId="87" fillId="0" borderId="0" xfId="104" applyFont="1" applyAlignment="1">
      <alignment horizontal="right"/>
    </xf>
    <xf numFmtId="9" fontId="17" fillId="25" borderId="0" xfId="104" applyNumberFormat="1" applyFont="1" applyFill="1" applyAlignment="1">
      <alignment horizontal="right"/>
    </xf>
    <xf numFmtId="9" fontId="17" fillId="25" borderId="0" xfId="104" applyNumberFormat="1" applyFont="1" applyFill="1" applyBorder="1" applyAlignment="1">
      <alignment horizontal="right"/>
    </xf>
    <xf numFmtId="9" fontId="87" fillId="15" borderId="0" xfId="104" applyNumberFormat="1" applyFont="1" applyFill="1" applyAlignment="1">
      <alignment horizontal="right"/>
    </xf>
    <xf numFmtId="9" fontId="77" fillId="0" borderId="0" xfId="0" applyNumberFormat="1" applyFont="1" applyAlignment="1">
      <alignment horizontal="right"/>
    </xf>
    <xf numFmtId="9" fontId="87" fillId="0" borderId="0" xfId="118" applyFont="1" applyFill="1" applyAlignment="1">
      <alignment horizontal="right"/>
    </xf>
    <xf numFmtId="1" fontId="17" fillId="25" borderId="0" xfId="0" applyNumberFormat="1" applyFont="1" applyFill="1" applyAlignment="1">
      <alignment horizontal="right"/>
    </xf>
    <xf numFmtId="169" fontId="17" fillId="25" borderId="0" xfId="37" applyNumberFormat="1" applyFont="1" applyFill="1" applyAlignment="1">
      <alignment horizontal="right"/>
    </xf>
    <xf numFmtId="169" fontId="77" fillId="25" borderId="0" xfId="37" applyNumberFormat="1" applyFont="1" applyFill="1" applyAlignment="1">
      <alignment horizontal="right"/>
    </xf>
    <xf numFmtId="0" fontId="11" fillId="25" borderId="0" xfId="0" applyFont="1" applyFill="1" applyAlignment="1">
      <alignment horizontal="left"/>
    </xf>
    <xf numFmtId="9" fontId="11" fillId="25" borderId="42" xfId="0" applyNumberFormat="1" applyFont="1" applyFill="1" applyBorder="1" applyAlignment="1">
      <alignment horizontal="right"/>
    </xf>
    <xf numFmtId="9" fontId="70" fillId="25" borderId="42" xfId="0" applyNumberFormat="1" applyFont="1" applyFill="1" applyBorder="1" applyAlignment="1">
      <alignment horizontal="right"/>
    </xf>
    <xf numFmtId="9" fontId="17" fillId="0" borderId="0" xfId="0" applyNumberFormat="1" applyFont="1"/>
    <xf numFmtId="0" fontId="204" fillId="15" borderId="0" xfId="0" applyFont="1" applyFill="1" applyAlignment="1">
      <alignment horizontal="left" indent="1"/>
    </xf>
    <xf numFmtId="168" fontId="204" fillId="0" borderId="0" xfId="0" applyNumberFormat="1" applyFont="1" applyFill="1" applyAlignment="1">
      <alignment horizontal="right"/>
    </xf>
    <xf numFmtId="0" fontId="204" fillId="0" borderId="0" xfId="0" applyFont="1" applyFill="1" applyAlignment="1">
      <alignment horizontal="right"/>
    </xf>
    <xf numFmtId="3" fontId="204" fillId="0" borderId="0" xfId="0" applyNumberFormat="1" applyFont="1" applyFill="1" applyAlignment="1">
      <alignment horizontal="right"/>
    </xf>
    <xf numFmtId="9" fontId="204" fillId="0" borderId="0" xfId="104" applyFont="1" applyFill="1" applyAlignment="1">
      <alignment horizontal="right"/>
    </xf>
    <xf numFmtId="41" fontId="11" fillId="25" borderId="0" xfId="37" applyNumberFormat="1" applyFont="1" applyFill="1" applyAlignment="1">
      <alignment horizontal="right"/>
    </xf>
    <xf numFmtId="173" fontId="167" fillId="25" borderId="0" xfId="104" applyNumberFormat="1" applyFont="1" applyFill="1" applyAlignment="1">
      <alignment horizontal="right"/>
    </xf>
    <xf numFmtId="173" fontId="167" fillId="25" borderId="0" xfId="104" applyNumberFormat="1" applyFont="1" applyFill="1"/>
    <xf numFmtId="43" fontId="99" fillId="0" borderId="0" xfId="143" applyNumberFormat="1" applyFont="1" applyBorder="1" applyAlignment="1">
      <alignment horizontal="left"/>
    </xf>
    <xf numFmtId="41" fontId="11" fillId="0" borderId="0" xfId="0" applyNumberFormat="1" applyFont="1" applyAlignment="1">
      <alignment horizontal="right"/>
    </xf>
    <xf numFmtId="0" fontId="88" fillId="0" borderId="0" xfId="92" applyFont="1" applyFill="1"/>
    <xf numFmtId="165" fontId="88" fillId="0" borderId="47" xfId="96" applyFont="1" applyBorder="1"/>
    <xf numFmtId="9" fontId="77" fillId="25" borderId="0" xfId="104" applyFont="1" applyFill="1" applyBorder="1" applyAlignment="1">
      <alignment horizontal="right"/>
    </xf>
    <xf numFmtId="171" fontId="70" fillId="25" borderId="0" xfId="143" applyNumberFormat="1" applyFont="1" applyFill="1" applyBorder="1"/>
    <xf numFmtId="169" fontId="70" fillId="25" borderId="0" xfId="143" applyNumberFormat="1" applyFont="1" applyFill="1" applyBorder="1"/>
    <xf numFmtId="186" fontId="11" fillId="25" borderId="0" xfId="0" applyNumberFormat="1" applyFont="1" applyFill="1" applyAlignment="1"/>
    <xf numFmtId="0" fontId="0" fillId="0" borderId="0" xfId="0" applyBorder="1" applyAlignment="1">
      <alignment horizontal="left"/>
    </xf>
    <xf numFmtId="206" fontId="0" fillId="0" borderId="0" xfId="0" applyNumberFormat="1"/>
    <xf numFmtId="0" fontId="0" fillId="0" borderId="0" xfId="0" applyAlignment="1">
      <alignment horizontal="center"/>
    </xf>
    <xf numFmtId="41" fontId="0" fillId="0" borderId="0" xfId="0" applyNumberFormat="1" applyAlignment="1">
      <alignment horizontal="center"/>
    </xf>
    <xf numFmtId="0" fontId="17" fillId="0" borderId="48" xfId="0" applyFont="1" applyBorder="1" applyAlignment="1">
      <alignment horizontal="center"/>
    </xf>
    <xf numFmtId="0" fontId="17" fillId="0" borderId="48" xfId="0" applyFont="1" applyBorder="1" applyAlignment="1"/>
    <xf numFmtId="0" fontId="0" fillId="0" borderId="19" xfId="0" applyBorder="1" applyAlignment="1">
      <alignment horizontal="center"/>
    </xf>
    <xf numFmtId="173" fontId="11" fillId="15" borderId="0" xfId="118" applyNumberFormat="1" applyFont="1" applyFill="1" applyAlignment="1">
      <alignment horizontal="center"/>
    </xf>
    <xf numFmtId="2" fontId="0" fillId="0" borderId="0" xfId="0" applyNumberFormat="1" applyAlignment="1">
      <alignment horizontal="center"/>
    </xf>
    <xf numFmtId="178" fontId="17" fillId="0" borderId="0" xfId="0" applyNumberFormat="1" applyFont="1" applyAlignment="1">
      <alignment horizontal="center"/>
    </xf>
    <xf numFmtId="174" fontId="77" fillId="0" borderId="0" xfId="143" applyNumberFormat="1" applyFont="1" applyFill="1"/>
    <xf numFmtId="0" fontId="17" fillId="15" borderId="0" xfId="0" quotePrefix="1" applyFont="1" applyFill="1"/>
    <xf numFmtId="15" fontId="204" fillId="0" borderId="17" xfId="0" applyNumberFormat="1" applyFont="1" applyFill="1" applyBorder="1"/>
    <xf numFmtId="3" fontId="204" fillId="0" borderId="0" xfId="0" applyNumberFormat="1" applyFont="1" applyFill="1"/>
    <xf numFmtId="3" fontId="204" fillId="0" borderId="0" xfId="0" applyNumberFormat="1" applyFont="1"/>
    <xf numFmtId="37" fontId="11" fillId="15" borderId="0" xfId="94" applyNumberFormat="1" applyFont="1" applyFill="1" applyAlignment="1">
      <alignment horizontal="center"/>
    </xf>
    <xf numFmtId="37" fontId="73" fillId="25" borderId="48" xfId="92" applyNumberFormat="1" applyFont="1" applyFill="1" applyBorder="1" applyAlignment="1">
      <alignment horizontal="center"/>
    </xf>
    <xf numFmtId="196" fontId="11" fillId="23" borderId="0" xfId="97" applyNumberFormat="1" applyFont="1" applyFill="1" applyAlignment="1">
      <alignment horizontal="right"/>
    </xf>
    <xf numFmtId="173" fontId="11" fillId="25" borderId="0" xfId="97" applyNumberFormat="1" applyFont="1" applyFill="1" applyBorder="1"/>
    <xf numFmtId="171" fontId="11" fillId="23" borderId="0" xfId="38" applyNumberFormat="1" applyFont="1" applyFill="1" applyBorder="1"/>
    <xf numFmtId="169" fontId="88" fillId="0" borderId="0" xfId="0" applyNumberFormat="1" applyFont="1" applyFill="1" applyAlignment="1">
      <alignment horizontal="right"/>
    </xf>
    <xf numFmtId="195" fontId="11" fillId="0" borderId="0" xfId="96" applyNumberFormat="1" applyFont="1" applyAlignment="1">
      <alignment wrapText="1"/>
    </xf>
    <xf numFmtId="37" fontId="17" fillId="0" borderId="47" xfId="37" applyNumberFormat="1" applyFont="1" applyFill="1" applyBorder="1" applyAlignment="1">
      <alignment horizontal="right"/>
    </xf>
    <xf numFmtId="43" fontId="99" fillId="0" borderId="47" xfId="37" applyFont="1" applyFill="1" applyBorder="1" applyAlignment="1">
      <alignment horizontal="left" indent="1"/>
    </xf>
    <xf numFmtId="169" fontId="88" fillId="0" borderId="101" xfId="37" applyNumberFormat="1" applyFont="1" applyBorder="1" applyAlignment="1">
      <alignment horizontal="left" indent="1"/>
    </xf>
    <xf numFmtId="43" fontId="11" fillId="0" borderId="47" xfId="92" applyNumberFormat="1" applyFont="1" applyFill="1" applyBorder="1"/>
    <xf numFmtId="0" fontId="11" fillId="25" borderId="0" xfId="97" applyFont="1" applyFill="1" applyBorder="1" applyAlignment="1">
      <alignment horizontal="center"/>
    </xf>
    <xf numFmtId="0" fontId="11" fillId="25" borderId="25" xfId="97" applyFont="1" applyFill="1" applyBorder="1"/>
    <xf numFmtId="0" fontId="17" fillId="25" borderId="25" xfId="97" applyFont="1" applyFill="1" applyBorder="1"/>
    <xf numFmtId="169" fontId="11" fillId="0" borderId="16" xfId="38" applyNumberFormat="1" applyFont="1" applyFill="1" applyBorder="1" applyAlignment="1">
      <alignment horizontal="right"/>
    </xf>
    <xf numFmtId="0" fontId="11" fillId="0" borderId="16" xfId="0" applyFont="1" applyBorder="1"/>
    <xf numFmtId="0" fontId="7" fillId="27" borderId="109" xfId="0" applyFont="1" applyFill="1" applyBorder="1" applyAlignment="1">
      <alignment horizontal="right"/>
    </xf>
    <xf numFmtId="37" fontId="66" fillId="0" borderId="0" xfId="143" applyNumberFormat="1" applyFont="1" applyFill="1" applyBorder="1" applyAlignment="1">
      <alignment horizontal="right"/>
    </xf>
    <xf numFmtId="37" fontId="102" fillId="0" borderId="0" xfId="143" applyNumberFormat="1" applyFont="1" applyFill="1" applyBorder="1"/>
    <xf numFmtId="9" fontId="11" fillId="0" borderId="149" xfId="104" applyFont="1" applyBorder="1"/>
    <xf numFmtId="9" fontId="70" fillId="25" borderId="0" xfId="104" applyNumberFormat="1" applyFont="1" applyFill="1" applyAlignment="1">
      <alignment horizontal="right"/>
    </xf>
    <xf numFmtId="9" fontId="87" fillId="25" borderId="48" xfId="104" applyFont="1" applyFill="1" applyBorder="1" applyAlignment="1">
      <alignment horizontal="center"/>
    </xf>
    <xf numFmtId="177" fontId="87" fillId="21" borderId="0" xfId="164" applyNumberFormat="1" applyFont="1" applyFill="1" applyAlignment="1">
      <alignment horizontal="right"/>
    </xf>
    <xf numFmtId="177" fontId="87" fillId="15" borderId="0" xfId="0" applyNumberFormat="1" applyFont="1" applyFill="1" applyAlignment="1">
      <alignment horizontal="center"/>
    </xf>
    <xf numFmtId="171" fontId="70" fillId="25" borderId="0" xfId="89" applyNumberFormat="1" applyFont="1" applyFill="1"/>
    <xf numFmtId="173" fontId="102" fillId="0" borderId="0" xfId="104" applyNumberFormat="1" applyFont="1" applyFill="1" applyBorder="1" applyAlignment="1">
      <alignment horizontal="right"/>
    </xf>
    <xf numFmtId="43" fontId="11" fillId="0" borderId="0" xfId="37" applyFont="1" applyFill="1" applyBorder="1" applyAlignment="1">
      <alignment horizontal="right"/>
    </xf>
    <xf numFmtId="43" fontId="87" fillId="0" borderId="0" xfId="37" applyFont="1" applyFill="1" applyAlignment="1">
      <alignment horizontal="right"/>
    </xf>
    <xf numFmtId="43" fontId="87" fillId="21" borderId="0" xfId="37" applyFont="1" applyFill="1" applyAlignment="1">
      <alignment horizontal="right"/>
    </xf>
    <xf numFmtId="10" fontId="11" fillId="0" borderId="0" xfId="104" applyNumberFormat="1" applyFont="1" applyFill="1"/>
    <xf numFmtId="9" fontId="72" fillId="0" borderId="0" xfId="104" applyFont="1" applyFill="1"/>
    <xf numFmtId="43" fontId="17" fillId="25" borderId="42" xfId="37" applyFont="1" applyFill="1" applyBorder="1" applyAlignment="1">
      <alignment horizontal="right"/>
    </xf>
    <xf numFmtId="171" fontId="70" fillId="0" borderId="14" xfId="37" applyNumberFormat="1" applyFont="1" applyBorder="1" applyAlignment="1">
      <alignment horizontal="right"/>
    </xf>
    <xf numFmtId="171" fontId="70" fillId="0" borderId="24" xfId="37" applyNumberFormat="1" applyFont="1" applyBorder="1" applyAlignment="1">
      <alignment horizontal="right"/>
    </xf>
    <xf numFmtId="171" fontId="70" fillId="0" borderId="150" xfId="37" applyNumberFormat="1" applyFont="1" applyBorder="1" applyAlignment="1">
      <alignment horizontal="right"/>
    </xf>
    <xf numFmtId="171" fontId="70" fillId="0" borderId="15" xfId="37" applyNumberFormat="1" applyFont="1" applyBorder="1" applyAlignment="1">
      <alignment horizontal="right"/>
    </xf>
    <xf numFmtId="171" fontId="70" fillId="0" borderId="145" xfId="37" applyNumberFormat="1" applyFont="1" applyBorder="1" applyAlignment="1">
      <alignment horizontal="right"/>
    </xf>
    <xf numFmtId="37" fontId="95" fillId="0" borderId="47" xfId="0" applyNumberFormat="1" applyFont="1" applyBorder="1"/>
    <xf numFmtId="169" fontId="17" fillId="0" borderId="47" xfId="143" applyNumberFormat="1" applyFont="1" applyBorder="1" applyAlignment="1">
      <alignment horizontal="right"/>
    </xf>
    <xf numFmtId="169" fontId="11" fillId="0" borderId="47" xfId="143" applyNumberFormat="1" applyFont="1" applyFill="1" applyBorder="1" applyAlignment="1">
      <alignment horizontal="right"/>
    </xf>
    <xf numFmtId="43" fontId="77" fillId="0" borderId="0" xfId="37" applyFont="1" applyFill="1" applyBorder="1" applyAlignment="1">
      <alignment horizontal="right" vertical="center"/>
    </xf>
    <xf numFmtId="9" fontId="87" fillId="112" borderId="0" xfId="104" applyFont="1" applyFill="1" applyBorder="1" applyAlignment="1">
      <alignment horizontal="right"/>
    </xf>
    <xf numFmtId="1" fontId="28" fillId="24" borderId="0" xfId="96" applyNumberFormat="1" applyFont="1" applyFill="1" applyBorder="1" applyAlignment="1">
      <alignment horizontal="right" vertical="center"/>
    </xf>
    <xf numFmtId="0" fontId="28" fillId="0" borderId="0" xfId="97" applyFont="1" applyFill="1" applyBorder="1"/>
    <xf numFmtId="0" fontId="28" fillId="0" borderId="0" xfId="97" applyFont="1" applyFill="1" applyBorder="1" applyAlignment="1">
      <alignment horizontal="right"/>
    </xf>
    <xf numFmtId="9" fontId="73" fillId="0" borderId="0" xfId="104" applyFont="1" applyAlignment="1">
      <alignment horizontal="right"/>
    </xf>
    <xf numFmtId="9" fontId="73" fillId="0" borderId="47" xfId="104" applyFont="1" applyBorder="1" applyAlignment="1">
      <alignment horizontal="right"/>
    </xf>
    <xf numFmtId="9" fontId="17" fillId="0" borderId="0" xfId="104" applyFont="1" applyBorder="1" applyAlignment="1">
      <alignment horizontal="right"/>
    </xf>
    <xf numFmtId="9" fontId="70" fillId="23" borderId="0" xfId="104" applyFont="1" applyFill="1"/>
    <xf numFmtId="171" fontId="87" fillId="25" borderId="0" xfId="37" applyNumberFormat="1" applyFont="1" applyFill="1" applyBorder="1"/>
    <xf numFmtId="171" fontId="87" fillId="25" borderId="47" xfId="37" applyNumberFormat="1" applyFont="1" applyFill="1" applyBorder="1"/>
    <xf numFmtId="43" fontId="77" fillId="25" borderId="0" xfId="37" applyFont="1" applyFill="1" applyBorder="1" applyAlignment="1">
      <alignment horizontal="right"/>
    </xf>
    <xf numFmtId="43" fontId="11" fillId="0" borderId="0" xfId="37" applyFont="1" applyFill="1" applyBorder="1" applyAlignment="1">
      <alignment horizontal="right" vertical="center"/>
    </xf>
    <xf numFmtId="43" fontId="11" fillId="0" borderId="0" xfId="37" applyFont="1" applyFill="1" applyAlignment="1">
      <alignment horizontal="right" vertical="center"/>
    </xf>
    <xf numFmtId="173" fontId="17" fillId="0" borderId="0" xfId="0" applyNumberFormat="1" applyFont="1"/>
    <xf numFmtId="173" fontId="11" fillId="0" borderId="0" xfId="118" applyNumberFormat="1" applyFont="1" applyFill="1" applyAlignment="1">
      <alignment horizontal="right"/>
    </xf>
    <xf numFmtId="173" fontId="11" fillId="0" borderId="0" xfId="118" applyNumberFormat="1" applyFont="1" applyFill="1" applyBorder="1" applyAlignment="1">
      <alignment horizontal="right"/>
    </xf>
    <xf numFmtId="173" fontId="87" fillId="0" borderId="0" xfId="118" applyNumberFormat="1" applyFont="1" applyFill="1" applyAlignment="1">
      <alignment horizontal="right"/>
    </xf>
    <xf numFmtId="43" fontId="70" fillId="0" borderId="0" xfId="95" applyNumberFormat="1" applyFont="1" applyFill="1" applyBorder="1" applyAlignment="1">
      <alignment horizontal="right" vertical="center"/>
    </xf>
    <xf numFmtId="9" fontId="17" fillId="0" borderId="0" xfId="104" applyFont="1" applyFill="1" applyBorder="1" applyAlignment="1">
      <alignment horizontal="right" vertical="center"/>
    </xf>
    <xf numFmtId="171" fontId="109" fillId="0" borderId="0" xfId="119" applyNumberFormat="1" applyFont="1" applyFill="1" applyBorder="1" applyAlignment="1">
      <alignment horizontal="right"/>
    </xf>
    <xf numFmtId="171" fontId="11" fillId="0" borderId="0" xfId="119" applyNumberFormat="1" applyFont="1" applyFill="1" applyAlignment="1">
      <alignment horizontal="right"/>
    </xf>
    <xf numFmtId="171" fontId="87" fillId="0" borderId="0" xfId="119" applyNumberFormat="1" applyFont="1" applyFill="1" applyAlignment="1">
      <alignment horizontal="right"/>
    </xf>
    <xf numFmtId="9" fontId="180" fillId="25" borderId="0" xfId="104" applyFont="1" applyFill="1" applyBorder="1"/>
    <xf numFmtId="169" fontId="95" fillId="0" borderId="0" xfId="37" applyNumberFormat="1" applyFont="1" applyAlignment="1">
      <alignment horizontal="left" indent="2"/>
    </xf>
    <xf numFmtId="0" fontId="77" fillId="0" borderId="0" xfId="0" applyFont="1" applyFill="1"/>
    <xf numFmtId="169" fontId="77" fillId="0" borderId="0" xfId="0" applyNumberFormat="1" applyFont="1" applyFill="1"/>
    <xf numFmtId="166" fontId="11" fillId="0" borderId="47" xfId="37" applyNumberFormat="1" applyFont="1" applyFill="1" applyBorder="1"/>
    <xf numFmtId="43" fontId="87" fillId="0" borderId="0" xfId="37" applyFont="1" applyFill="1" applyBorder="1"/>
    <xf numFmtId="169" fontId="91" fillId="0" borderId="0" xfId="37" applyNumberFormat="1" applyFont="1" applyFill="1" applyBorder="1"/>
    <xf numFmtId="169" fontId="70" fillId="0" borderId="151" xfId="143" applyNumberFormat="1" applyFont="1" applyBorder="1"/>
    <xf numFmtId="169" fontId="70" fillId="0" borderId="152" xfId="143" applyNumberFormat="1" applyFont="1" applyBorder="1"/>
    <xf numFmtId="169" fontId="70" fillId="0" borderId="153" xfId="143" applyNumberFormat="1" applyFont="1" applyBorder="1"/>
    <xf numFmtId="169" fontId="70" fillId="0" borderId="154" xfId="143" applyNumberFormat="1" applyFont="1" applyBorder="1"/>
    <xf numFmtId="169" fontId="70" fillId="0" borderId="155" xfId="143" applyNumberFormat="1" applyFont="1" applyBorder="1"/>
    <xf numFmtId="169" fontId="70" fillId="0" borderId="150" xfId="143" applyNumberFormat="1" applyFont="1" applyBorder="1"/>
    <xf numFmtId="173" fontId="73" fillId="0" borderId="0" xfId="104" applyNumberFormat="1" applyFont="1" applyAlignment="1">
      <alignment horizontal="right"/>
    </xf>
    <xf numFmtId="173" fontId="73" fillId="0" borderId="0" xfId="104" applyNumberFormat="1" applyFont="1"/>
    <xf numFmtId="9" fontId="87" fillId="21" borderId="72" xfId="37" applyNumberFormat="1" applyFont="1" applyFill="1" applyBorder="1" applyAlignment="1">
      <alignment horizontal="right"/>
    </xf>
    <xf numFmtId="173" fontId="87" fillId="21" borderId="72" xfId="37" applyNumberFormat="1" applyFont="1" applyFill="1" applyBorder="1" applyAlignment="1">
      <alignment horizontal="right"/>
    </xf>
    <xf numFmtId="169" fontId="87" fillId="21" borderId="0" xfId="37" applyNumberFormat="1" applyFont="1" applyFill="1" applyAlignment="1">
      <alignment horizontal="right"/>
    </xf>
    <xf numFmtId="173" fontId="87" fillId="21" borderId="72" xfId="104" applyNumberFormat="1" applyFont="1" applyFill="1" applyBorder="1" applyAlignment="1">
      <alignment horizontal="right"/>
    </xf>
    <xf numFmtId="173" fontId="17" fillId="0" borderId="0" xfId="104" applyNumberFormat="1" applyFont="1" applyFill="1" applyAlignment="1">
      <alignment horizontal="right"/>
    </xf>
    <xf numFmtId="173" fontId="17" fillId="0" borderId="0" xfId="104" applyNumberFormat="1" applyFont="1" applyFill="1" applyBorder="1" applyAlignment="1">
      <alignment horizontal="right"/>
    </xf>
    <xf numFmtId="173" fontId="109" fillId="0" borderId="0" xfId="104" applyNumberFormat="1" applyFont="1" applyFill="1" applyAlignment="1">
      <alignment horizontal="right"/>
    </xf>
    <xf numFmtId="169" fontId="109" fillId="0" borderId="0" xfId="37" applyNumberFormat="1" applyFont="1" applyFill="1" applyAlignment="1">
      <alignment horizontal="right"/>
    </xf>
    <xf numFmtId="169" fontId="17" fillId="0" borderId="0" xfId="37" applyNumberFormat="1" applyFont="1" applyFill="1" applyBorder="1" applyAlignment="1">
      <alignment horizontal="right"/>
    </xf>
    <xf numFmtId="9" fontId="0" fillId="0" borderId="0" xfId="0" applyNumberFormat="1" applyFill="1"/>
    <xf numFmtId="169" fontId="17" fillId="0" borderId="47" xfId="37" applyNumberFormat="1" applyFont="1" applyFill="1" applyBorder="1" applyAlignment="1">
      <alignment horizontal="right"/>
    </xf>
    <xf numFmtId="169" fontId="87" fillId="21" borderId="0" xfId="37" applyNumberFormat="1" applyFont="1" applyFill="1"/>
    <xf numFmtId="169" fontId="11" fillId="15" borderId="0" xfId="37" applyNumberFormat="1" applyFont="1" applyFill="1" applyAlignment="1">
      <alignment horizontal="right"/>
    </xf>
    <xf numFmtId="9" fontId="87" fillId="25" borderId="0" xfId="104" applyFont="1" applyFill="1"/>
    <xf numFmtId="0" fontId="11" fillId="0" borderId="0" xfId="0" applyFont="1" applyAlignment="1">
      <alignment horizontal="left" indent="3"/>
    </xf>
    <xf numFmtId="9" fontId="65" fillId="0" borderId="17" xfId="104" applyFont="1" applyFill="1" applyBorder="1"/>
    <xf numFmtId="169" fontId="67" fillId="0" borderId="0" xfId="37" applyNumberFormat="1" applyFont="1"/>
    <xf numFmtId="1" fontId="28" fillId="24" borderId="0" xfId="5792" applyNumberFormat="1" applyFont="1" applyFill="1" applyBorder="1"/>
    <xf numFmtId="173" fontId="73" fillId="0" borderId="0" xfId="104" applyNumberFormat="1" applyFont="1" applyBorder="1"/>
    <xf numFmtId="169" fontId="95" fillId="0" borderId="0" xfId="37" applyNumberFormat="1" applyFont="1" applyBorder="1"/>
    <xf numFmtId="1" fontId="11" fillId="0" borderId="0" xfId="5792" applyNumberFormat="1" applyFont="1" applyBorder="1"/>
    <xf numFmtId="223" fontId="11" fillId="0" borderId="0" xfId="37" applyNumberFormat="1" applyFont="1" applyBorder="1"/>
    <xf numFmtId="171" fontId="95" fillId="0" borderId="0" xfId="37" applyNumberFormat="1" applyFont="1" applyBorder="1"/>
    <xf numFmtId="171" fontId="87" fillId="0" borderId="0" xfId="37" applyNumberFormat="1" applyFont="1" applyBorder="1"/>
    <xf numFmtId="174" fontId="73" fillId="0" borderId="0" xfId="37" applyNumberFormat="1" applyFont="1" applyBorder="1"/>
    <xf numFmtId="171" fontId="73" fillId="0" borderId="0" xfId="37" applyNumberFormat="1" applyFont="1" applyBorder="1"/>
    <xf numFmtId="171" fontId="77" fillId="0" borderId="0" xfId="143" applyNumberFormat="1" applyFont="1" applyBorder="1"/>
    <xf numFmtId="171" fontId="70" fillId="0" borderId="0" xfId="143" applyNumberFormat="1" applyFont="1" applyBorder="1"/>
    <xf numFmtId="171" fontId="70" fillId="0" borderId="0" xfId="143" applyNumberFormat="1" applyFont="1" applyFill="1" applyBorder="1"/>
    <xf numFmtId="0" fontId="70" fillId="0" borderId="0" xfId="5792" applyFont="1" applyBorder="1"/>
    <xf numFmtId="0" fontId="17" fillId="0" borderId="0" xfId="5792" applyFont="1" applyFill="1" applyAlignment="1">
      <alignment horizontal="left"/>
    </xf>
    <xf numFmtId="0" fontId="11" fillId="0" borderId="0" xfId="5792" applyFont="1" applyFill="1" applyAlignment="1">
      <alignment wrapText="1"/>
    </xf>
    <xf numFmtId="9" fontId="87" fillId="0" borderId="0" xfId="104" applyFont="1" applyBorder="1"/>
    <xf numFmtId="9" fontId="87" fillId="0" borderId="47" xfId="104" applyFont="1" applyBorder="1"/>
    <xf numFmtId="0" fontId="17" fillId="25" borderId="0" xfId="0" applyFont="1" applyFill="1" applyBorder="1" applyAlignment="1">
      <alignment horizontal="center"/>
    </xf>
    <xf numFmtId="178" fontId="73" fillId="0" borderId="0" xfId="37" applyNumberFormat="1" applyFont="1" applyFill="1" applyBorder="1"/>
    <xf numFmtId="167" fontId="31" fillId="25" borderId="59" xfId="98" applyNumberFormat="1" applyFont="1" applyFill="1" applyBorder="1" applyAlignment="1">
      <alignment horizontal="right"/>
    </xf>
    <xf numFmtId="43" fontId="11" fillId="0" borderId="0" xfId="37" applyNumberFormat="1" applyFont="1"/>
    <xf numFmtId="242" fontId="70" fillId="25" borderId="0" xfId="37" applyNumberFormat="1" applyFont="1" applyFill="1"/>
    <xf numFmtId="174" fontId="11" fillId="0" borderId="47" xfId="37" applyNumberFormat="1" applyFont="1" applyFill="1" applyBorder="1"/>
    <xf numFmtId="43" fontId="88" fillId="25" borderId="0" xfId="37" applyNumberFormat="1" applyFont="1" applyFill="1"/>
    <xf numFmtId="174" fontId="77" fillId="0" borderId="0" xfId="37" applyNumberFormat="1" applyFont="1" applyFill="1" applyBorder="1" applyAlignment="1">
      <alignment vertical="center"/>
    </xf>
    <xf numFmtId="174" fontId="91" fillId="0" borderId="0" xfId="37" applyNumberFormat="1" applyFont="1" applyFill="1" applyBorder="1"/>
    <xf numFmtId="173" fontId="110" fillId="0" borderId="0" xfId="118" applyNumberFormat="1" applyFont="1" applyFill="1" applyAlignment="1">
      <alignment horizontal="right"/>
    </xf>
    <xf numFmtId="41" fontId="88" fillId="0" borderId="0" xfId="37" applyNumberFormat="1" applyFont="1" applyFill="1" applyAlignment="1">
      <alignment horizontal="center"/>
    </xf>
    <xf numFmtId="169" fontId="206" fillId="0" borderId="0" xfId="37" applyNumberFormat="1" applyFont="1" applyFill="1"/>
    <xf numFmtId="169" fontId="206" fillId="0" borderId="0" xfId="37" applyNumberFormat="1" applyFont="1" applyFill="1" applyAlignment="1">
      <alignment horizontal="right"/>
    </xf>
    <xf numFmtId="173" fontId="70" fillId="25" borderId="0" xfId="0" applyNumberFormat="1" applyFont="1" applyFill="1" applyBorder="1"/>
    <xf numFmtId="9" fontId="87" fillId="21" borderId="15" xfId="104" applyFont="1" applyFill="1" applyBorder="1"/>
    <xf numFmtId="3" fontId="11" fillId="15" borderId="15" xfId="0" applyNumberFormat="1" applyFont="1" applyFill="1" applyBorder="1"/>
    <xf numFmtId="207" fontId="95" fillId="0" borderId="42" xfId="37" applyNumberFormat="1" applyFont="1" applyFill="1" applyBorder="1" applyAlignment="1"/>
    <xf numFmtId="43" fontId="31" fillId="0" borderId="47" xfId="37" applyFont="1" applyBorder="1"/>
    <xf numFmtId="43" fontId="31" fillId="0" borderId="0" xfId="37" applyFont="1" applyBorder="1"/>
    <xf numFmtId="169" fontId="70" fillId="0" borderId="0" xfId="37" applyNumberFormat="1" applyFont="1" applyFill="1" applyAlignment="1">
      <alignment horizontal="right"/>
    </xf>
    <xf numFmtId="0" fontId="11" fillId="25" borderId="42" xfId="0" applyFont="1" applyFill="1" applyBorder="1" applyAlignment="1">
      <alignment horizontal="right"/>
    </xf>
    <xf numFmtId="0" fontId="11" fillId="25" borderId="42" xfId="0" applyFont="1" applyFill="1" applyBorder="1" applyAlignment="1"/>
    <xf numFmtId="197" fontId="11" fillId="15" borderId="57" xfId="0" applyNumberFormat="1" applyFont="1" applyFill="1" applyBorder="1" applyAlignment="1"/>
    <xf numFmtId="230" fontId="65" fillId="0" borderId="33" xfId="116" applyNumberFormat="1" applyFont="1" applyFill="1" applyBorder="1" applyAlignment="1"/>
    <xf numFmtId="230" fontId="66" fillId="0" borderId="33" xfId="116" applyNumberFormat="1" applyFont="1" applyFill="1" applyBorder="1" applyAlignment="1"/>
    <xf numFmtId="222" fontId="11" fillId="25" borderId="0" xfId="0" applyNumberFormat="1" applyFont="1" applyFill="1"/>
    <xf numFmtId="166" fontId="11" fillId="0" borderId="47" xfId="92" applyNumberFormat="1" applyFont="1" applyBorder="1" applyAlignment="1">
      <alignment horizontal="right"/>
    </xf>
    <xf numFmtId="166" fontId="70" fillId="0" borderId="0" xfId="92" applyNumberFormat="1" applyFont="1" applyAlignment="1">
      <alignment horizontal="right"/>
    </xf>
    <xf numFmtId="171" fontId="64" fillId="0" borderId="0" xfId="37" applyNumberFormat="1" applyFont="1" applyFill="1"/>
    <xf numFmtId="0" fontId="95" fillId="0" borderId="42" xfId="97" applyNumberFormat="1" applyFont="1" applyFill="1" applyBorder="1" applyAlignment="1">
      <alignment horizontal="right" vertical="center" wrapText="1"/>
    </xf>
    <xf numFmtId="195" fontId="11" fillId="25" borderId="37" xfId="97" applyNumberFormat="1" applyFont="1" applyFill="1" applyBorder="1" applyAlignment="1">
      <alignment horizontal="center"/>
    </xf>
    <xf numFmtId="195" fontId="11" fillId="25" borderId="0" xfId="97" applyNumberFormat="1" applyFont="1" applyFill="1" applyBorder="1" applyAlignment="1">
      <alignment horizontal="center"/>
    </xf>
    <xf numFmtId="195" fontId="11" fillId="25" borderId="42" xfId="97" applyNumberFormat="1" applyFont="1" applyFill="1" applyBorder="1" applyAlignment="1">
      <alignment horizontal="center"/>
    </xf>
    <xf numFmtId="9" fontId="11" fillId="23" borderId="0" xfId="104" applyFont="1" applyFill="1" applyAlignment="1">
      <alignment horizontal="right"/>
    </xf>
    <xf numFmtId="172" fontId="171" fillId="0" borderId="0" xfId="0" applyNumberFormat="1" applyFont="1"/>
    <xf numFmtId="9" fontId="102" fillId="112" borderId="0" xfId="104" applyFont="1" applyFill="1" applyBorder="1" applyAlignment="1">
      <alignment horizontal="right"/>
    </xf>
    <xf numFmtId="0" fontId="11" fillId="15" borderId="43" xfId="0" applyFont="1" applyFill="1" applyBorder="1"/>
    <xf numFmtId="9" fontId="11" fillId="15" borderId="43" xfId="0" applyNumberFormat="1" applyFont="1" applyFill="1" applyBorder="1" applyAlignment="1">
      <alignment horizontal="center"/>
    </xf>
    <xf numFmtId="177" fontId="70" fillId="0" borderId="43" xfId="164" applyNumberFormat="1" applyFont="1" applyFill="1" applyBorder="1" applyAlignment="1">
      <alignment horizontal="center"/>
    </xf>
    <xf numFmtId="177" fontId="70" fillId="25" borderId="0" xfId="164" applyNumberFormat="1" applyFont="1" applyFill="1" applyAlignment="1">
      <alignment horizontal="right"/>
    </xf>
    <xf numFmtId="0" fontId="17" fillId="26" borderId="57" xfId="0" applyFont="1" applyFill="1" applyBorder="1" applyAlignment="1">
      <alignment horizontal="center"/>
    </xf>
    <xf numFmtId="0" fontId="73" fillId="25" borderId="42" xfId="0" applyFont="1" applyFill="1" applyBorder="1"/>
    <xf numFmtId="9" fontId="11" fillId="25" borderId="15" xfId="0" applyNumberFormat="1" applyFont="1" applyFill="1" applyBorder="1" applyAlignment="1">
      <alignment horizontal="center"/>
    </xf>
    <xf numFmtId="168" fontId="11" fillId="25" borderId="0" xfId="0" applyNumberFormat="1" applyFont="1" applyFill="1" applyBorder="1" applyAlignment="1">
      <alignment horizontal="center"/>
    </xf>
    <xf numFmtId="0" fontId="0" fillId="0" borderId="15" xfId="0" applyBorder="1" applyAlignment="1">
      <alignment horizontal="center"/>
    </xf>
    <xf numFmtId="169" fontId="0" fillId="0" borderId="0" xfId="37" applyNumberFormat="1" applyFont="1"/>
    <xf numFmtId="0" fontId="7" fillId="0" borderId="0" xfId="0" applyFont="1" applyAlignment="1">
      <alignment horizontal="left"/>
    </xf>
    <xf numFmtId="0" fontId="11" fillId="0" borderId="0" xfId="0" applyFont="1" applyFill="1" applyAlignment="1">
      <alignment horizontal="left" indent="2"/>
    </xf>
    <xf numFmtId="0" fontId="73" fillId="0" borderId="0" xfId="0" applyFont="1" applyFill="1" applyAlignment="1">
      <alignment horizontal="left" indent="1"/>
    </xf>
    <xf numFmtId="0" fontId="207" fillId="0" borderId="0" xfId="21558" applyFont="1"/>
    <xf numFmtId="0" fontId="207" fillId="26" borderId="0" xfId="21558" applyFont="1" applyFill="1"/>
    <xf numFmtId="0" fontId="207" fillId="26" borderId="15" xfId="21558" applyFont="1" applyFill="1" applyBorder="1" applyAlignment="1">
      <alignment horizontal="right"/>
    </xf>
    <xf numFmtId="0" fontId="208" fillId="0" borderId="0" xfId="21558" applyFont="1"/>
    <xf numFmtId="169" fontId="208" fillId="0" borderId="0" xfId="21559" applyNumberFormat="1" applyFont="1" applyAlignment="1">
      <alignment horizontal="right"/>
    </xf>
    <xf numFmtId="0" fontId="209" fillId="0" borderId="0" xfId="21558" applyFont="1" applyAlignment="1">
      <alignment horizontal="right"/>
    </xf>
    <xf numFmtId="0" fontId="207" fillId="0" borderId="0" xfId="21558" applyFont="1" applyAlignment="1">
      <alignment horizontal="left" indent="1"/>
    </xf>
    <xf numFmtId="0" fontId="208" fillId="0" borderId="34" xfId="21558" applyFont="1" applyBorder="1"/>
    <xf numFmtId="169" fontId="208" fillId="0" borderId="34" xfId="21559" applyNumberFormat="1" applyFont="1" applyBorder="1" applyAlignment="1">
      <alignment horizontal="right"/>
    </xf>
    <xf numFmtId="0" fontId="209" fillId="0" borderId="34" xfId="21558" applyFont="1" applyBorder="1" applyAlignment="1">
      <alignment horizontal="right"/>
    </xf>
    <xf numFmtId="0" fontId="207" fillId="0" borderId="0" xfId="21558" applyFont="1" applyFill="1" applyBorder="1" applyAlignment="1">
      <alignment horizontal="left" indent="1"/>
    </xf>
    <xf numFmtId="0" fontId="209" fillId="0" borderId="0" xfId="21558" applyFont="1" applyBorder="1" applyAlignment="1">
      <alignment horizontal="right"/>
    </xf>
    <xf numFmtId="0" fontId="207" fillId="0" borderId="35" xfId="21558" applyFont="1" applyFill="1" applyBorder="1" applyAlignment="1">
      <alignment horizontal="left" indent="1"/>
    </xf>
    <xf numFmtId="0" fontId="209" fillId="0" borderId="35" xfId="21558" applyFont="1" applyBorder="1" applyAlignment="1">
      <alignment horizontal="right"/>
    </xf>
    <xf numFmtId="0" fontId="208" fillId="0" borderId="34" xfId="21558" applyFont="1" applyFill="1" applyBorder="1"/>
    <xf numFmtId="0" fontId="208" fillId="0" borderId="156" xfId="21558" applyFont="1" applyFill="1" applyBorder="1"/>
    <xf numFmtId="169" fontId="207" fillId="0" borderId="35" xfId="21559" applyNumberFormat="1" applyFont="1" applyBorder="1" applyAlignment="1">
      <alignment horizontal="right"/>
    </xf>
    <xf numFmtId="0" fontId="209" fillId="0" borderId="156" xfId="21558" applyFont="1" applyBorder="1" applyAlignment="1">
      <alignment horizontal="right"/>
    </xf>
    <xf numFmtId="0" fontId="208" fillId="0" borderId="0" xfId="21558" applyFont="1" applyFill="1"/>
    <xf numFmtId="0" fontId="207" fillId="0" borderId="15" xfId="21558" applyFont="1" applyFill="1" applyBorder="1" applyAlignment="1">
      <alignment horizontal="left" indent="1"/>
    </xf>
    <xf numFmtId="0" fontId="209" fillId="0" borderId="15" xfId="21558" applyFont="1" applyBorder="1" applyAlignment="1">
      <alignment horizontal="right"/>
    </xf>
    <xf numFmtId="0" fontId="208" fillId="0" borderId="0" xfId="21558" applyFont="1" applyBorder="1"/>
    <xf numFmtId="169" fontId="208" fillId="0" borderId="0" xfId="21559" applyNumberFormat="1" applyFont="1" applyBorder="1" applyAlignment="1">
      <alignment horizontal="right"/>
    </xf>
    <xf numFmtId="0" fontId="207" fillId="0" borderId="0" xfId="21558" applyFont="1" applyAlignment="1">
      <alignment horizontal="right"/>
    </xf>
    <xf numFmtId="0" fontId="207" fillId="0" borderId="0" xfId="21558" applyFont="1" applyAlignment="1">
      <alignment horizontal="center"/>
    </xf>
    <xf numFmtId="37" fontId="207" fillId="0" borderId="0" xfId="21558" applyNumberFormat="1" applyFont="1"/>
    <xf numFmtId="169" fontId="11" fillId="0" borderId="0" xfId="21559" applyNumberFormat="1" applyFont="1"/>
    <xf numFmtId="169" fontId="11" fillId="0" borderId="0" xfId="21559" applyNumberFormat="1" applyFont="1" applyFill="1"/>
    <xf numFmtId="0" fontId="207" fillId="0" borderId="0" xfId="21558" applyFont="1" applyFill="1" applyAlignment="1">
      <alignment horizontal="left" indent="1"/>
    </xf>
    <xf numFmtId="0" fontId="207" fillId="0" borderId="0" xfId="21558" applyFont="1" applyFill="1"/>
    <xf numFmtId="37" fontId="207" fillId="0" borderId="0" xfId="21558" applyNumberFormat="1" applyFont="1" applyFill="1"/>
    <xf numFmtId="169" fontId="208" fillId="0" borderId="0" xfId="21559" applyNumberFormat="1" applyFont="1"/>
    <xf numFmtId="169" fontId="207" fillId="0" borderId="0" xfId="21558" applyNumberFormat="1" applyFont="1"/>
    <xf numFmtId="0" fontId="207" fillId="0" borderId="0" xfId="21558" applyFont="1" applyFill="1" applyBorder="1"/>
    <xf numFmtId="1" fontId="207" fillId="0" borderId="0" xfId="21558" applyNumberFormat="1" applyFont="1"/>
    <xf numFmtId="0" fontId="208" fillId="0" borderId="18" xfId="21558" applyFont="1" applyBorder="1"/>
    <xf numFmtId="169" fontId="11" fillId="0" borderId="0" xfId="21559" applyNumberFormat="1" applyFont="1" applyAlignment="1">
      <alignment horizontal="right"/>
    </xf>
    <xf numFmtId="169" fontId="207" fillId="0" borderId="0" xfId="21559" applyNumberFormat="1" applyFont="1" applyBorder="1" applyAlignment="1">
      <alignment horizontal="right"/>
    </xf>
    <xf numFmtId="169" fontId="208" fillId="0" borderId="156" xfId="21559" applyNumberFormat="1" applyFont="1" applyBorder="1" applyAlignment="1">
      <alignment horizontal="right"/>
    </xf>
    <xf numFmtId="169" fontId="207" fillId="0" borderId="0" xfId="21559" applyNumberFormat="1" applyFont="1" applyAlignment="1">
      <alignment horizontal="right"/>
    </xf>
    <xf numFmtId="169" fontId="207" fillId="0" borderId="15" xfId="21559" applyNumberFormat="1" applyFont="1" applyBorder="1" applyAlignment="1">
      <alignment horizontal="right"/>
    </xf>
    <xf numFmtId="171" fontId="208" fillId="0" borderId="0" xfId="21559" applyNumberFormat="1" applyFont="1" applyFill="1" applyAlignment="1">
      <alignment horizontal="right"/>
    </xf>
    <xf numFmtId="171" fontId="207" fillId="0" borderId="0" xfId="21559" applyNumberFormat="1" applyFont="1" applyFill="1" applyAlignment="1">
      <alignment horizontal="right"/>
    </xf>
    <xf numFmtId="171" fontId="208" fillId="0" borderId="34" xfId="21559" applyNumberFormat="1" applyFont="1" applyFill="1" applyBorder="1" applyAlignment="1">
      <alignment horizontal="right"/>
    </xf>
    <xf numFmtId="171" fontId="207" fillId="0" borderId="0" xfId="21559" applyNumberFormat="1" applyFont="1" applyFill="1" applyBorder="1" applyAlignment="1">
      <alignment horizontal="right"/>
    </xf>
    <xf numFmtId="171" fontId="207" fillId="0" borderId="35" xfId="21559" applyNumberFormat="1" applyFont="1" applyFill="1" applyBorder="1" applyAlignment="1">
      <alignment horizontal="right"/>
    </xf>
    <xf numFmtId="171" fontId="208" fillId="0" borderId="34" xfId="21559" applyNumberFormat="1" applyFont="1" applyBorder="1" applyAlignment="1">
      <alignment horizontal="right"/>
    </xf>
    <xf numFmtId="171" fontId="208" fillId="0" borderId="156" xfId="21559" applyNumberFormat="1" applyFont="1" applyFill="1" applyBorder="1" applyAlignment="1">
      <alignment horizontal="right"/>
    </xf>
    <xf numFmtId="171" fontId="207" fillId="0" borderId="15" xfId="21559" applyNumberFormat="1" applyFont="1" applyFill="1" applyBorder="1" applyAlignment="1">
      <alignment horizontal="right"/>
    </xf>
    <xf numFmtId="171" fontId="208" fillId="0" borderId="0" xfId="21559" applyNumberFormat="1" applyFont="1" applyFill="1" applyBorder="1" applyAlignment="1">
      <alignment horizontal="right"/>
    </xf>
    <xf numFmtId="174" fontId="87" fillId="0" borderId="15" xfId="37" applyNumberFormat="1" applyFont="1" applyFill="1" applyBorder="1"/>
    <xf numFmtId="0" fontId="208" fillId="26" borderId="15" xfId="21558" applyFont="1" applyFill="1" applyBorder="1" applyAlignment="1">
      <alignment horizontal="left"/>
    </xf>
    <xf numFmtId="171" fontId="87" fillId="20" borderId="15" xfId="37" applyNumberFormat="1" applyFont="1" applyFill="1" applyBorder="1"/>
    <xf numFmtId="0" fontId="208" fillId="26" borderId="0" xfId="21558" applyFont="1" applyFill="1" applyAlignment="1">
      <alignment horizontal="right"/>
    </xf>
    <xf numFmtId="1" fontId="208" fillId="26" borderId="15" xfId="21558" applyNumberFormat="1" applyFont="1" applyFill="1" applyBorder="1" applyAlignment="1">
      <alignment horizontal="right"/>
    </xf>
    <xf numFmtId="0" fontId="208" fillId="26" borderId="15" xfId="21558" applyFont="1" applyFill="1" applyBorder="1" applyAlignment="1">
      <alignment horizontal="right"/>
    </xf>
    <xf numFmtId="169" fontId="208" fillId="0" borderId="0" xfId="21559" applyNumberFormat="1" applyFont="1" applyFill="1" applyAlignment="1">
      <alignment horizontal="right"/>
    </xf>
    <xf numFmtId="169" fontId="11" fillId="0" borderId="0" xfId="21559" applyNumberFormat="1" applyFont="1" applyFill="1" applyAlignment="1">
      <alignment horizontal="right"/>
    </xf>
    <xf numFmtId="169" fontId="208" fillId="0" borderId="34" xfId="21559" applyNumberFormat="1" applyFont="1" applyFill="1" applyBorder="1" applyAlignment="1">
      <alignment horizontal="right"/>
    </xf>
    <xf numFmtId="169" fontId="207" fillId="0" borderId="0" xfId="21559" applyNumberFormat="1" applyFont="1" applyFill="1" applyBorder="1" applyAlignment="1">
      <alignment horizontal="right"/>
    </xf>
    <xf numFmtId="169" fontId="207" fillId="0" borderId="35" xfId="21559" applyNumberFormat="1" applyFont="1" applyFill="1" applyBorder="1" applyAlignment="1">
      <alignment horizontal="right"/>
    </xf>
    <xf numFmtId="169" fontId="208" fillId="0" borderId="156" xfId="21559" applyNumberFormat="1" applyFont="1" applyFill="1" applyBorder="1" applyAlignment="1">
      <alignment horizontal="right"/>
    </xf>
    <xf numFmtId="169" fontId="207" fillId="0" borderId="0" xfId="21559" applyNumberFormat="1" applyFont="1" applyFill="1" applyAlignment="1">
      <alignment horizontal="right"/>
    </xf>
    <xf numFmtId="43" fontId="207" fillId="0" borderId="0" xfId="21558" applyNumberFormat="1" applyFont="1" applyFill="1"/>
    <xf numFmtId="171" fontId="0" fillId="0" borderId="0" xfId="0" applyNumberFormat="1"/>
    <xf numFmtId="171" fontId="208" fillId="0" borderId="19" xfId="21559" applyNumberFormat="1" applyFont="1" applyBorder="1"/>
    <xf numFmtId="168" fontId="87" fillId="0" borderId="0" xfId="0" applyNumberFormat="1" applyFont="1" applyFill="1" applyAlignment="1">
      <alignment horizontal="center"/>
    </xf>
    <xf numFmtId="169" fontId="87" fillId="23" borderId="0" xfId="143" applyNumberFormat="1" applyFont="1" applyFill="1" applyBorder="1" applyAlignment="1">
      <alignment horizontal="right" vertical="center"/>
    </xf>
    <xf numFmtId="169" fontId="87" fillId="23" borderId="0" xfId="37" applyNumberFormat="1" applyFont="1" applyFill="1" applyBorder="1" applyAlignment="1">
      <alignment horizontal="right" vertical="center"/>
    </xf>
    <xf numFmtId="0" fontId="207" fillId="26" borderId="15" xfId="21558" applyFont="1" applyFill="1" applyBorder="1"/>
    <xf numFmtId="9" fontId="207" fillId="0" borderId="0" xfId="104" applyFont="1" applyAlignment="1">
      <alignment horizontal="right" indent="1"/>
    </xf>
    <xf numFmtId="171" fontId="87" fillId="26" borderId="15" xfId="37" applyNumberFormat="1" applyFont="1" applyFill="1" applyBorder="1"/>
    <xf numFmtId="0" fontId="11" fillId="25" borderId="42" xfId="0" applyFont="1" applyFill="1" applyBorder="1" applyAlignment="1">
      <alignment horizontal="left" indent="1"/>
    </xf>
    <xf numFmtId="0" fontId="1" fillId="0" borderId="0" xfId="21561"/>
    <xf numFmtId="0" fontId="84" fillId="0" borderId="0" xfId="21561" applyFont="1" applyAlignment="1">
      <alignment vertical="center" wrapText="1"/>
    </xf>
    <xf numFmtId="0" fontId="83" fillId="0" borderId="0" xfId="21561" applyFont="1" applyAlignment="1">
      <alignment vertical="center" wrapText="1"/>
    </xf>
    <xf numFmtId="0" fontId="1" fillId="0" borderId="0" xfId="21561" applyAlignment="1">
      <alignment wrapText="1"/>
    </xf>
    <xf numFmtId="0" fontId="84" fillId="0" borderId="0" xfId="21561" applyFont="1" applyAlignment="1">
      <alignment vertical="center"/>
    </xf>
    <xf numFmtId="3" fontId="84" fillId="0" borderId="0" xfId="21561" applyNumberFormat="1" applyFont="1" applyAlignment="1">
      <alignment vertical="center"/>
    </xf>
    <xf numFmtId="9" fontId="84" fillId="0" borderId="0" xfId="21561" applyNumberFormat="1" applyFont="1" applyAlignment="1">
      <alignment vertical="center"/>
    </xf>
    <xf numFmtId="0" fontId="1" fillId="0" borderId="0" xfId="21561" applyAlignment="1">
      <alignment vertical="center" wrapText="1"/>
    </xf>
    <xf numFmtId="0" fontId="76" fillId="24" borderId="0" xfId="0" applyFont="1" applyFill="1" applyBorder="1" applyAlignment="1">
      <alignment horizontal="right"/>
    </xf>
    <xf numFmtId="193" fontId="60" fillId="0" borderId="37" xfId="97" applyNumberFormat="1" applyFont="1" applyFill="1" applyBorder="1" applyAlignment="1">
      <alignment horizontal="right"/>
    </xf>
    <xf numFmtId="0" fontId="19" fillId="0" borderId="0" xfId="97" applyFont="1" applyFill="1" applyAlignment="1">
      <alignment horizontal="center"/>
    </xf>
    <xf numFmtId="0" fontId="174" fillId="24" borderId="56" xfId="98" applyFont="1" applyFill="1" applyBorder="1" applyAlignment="1">
      <alignment horizontal="center"/>
    </xf>
    <xf numFmtId="0" fontId="174" fillId="24" borderId="57" xfId="98" applyFont="1" applyFill="1" applyBorder="1" applyAlignment="1">
      <alignment horizontal="center"/>
    </xf>
    <xf numFmtId="0" fontId="174" fillId="24" borderId="58" xfId="98" applyFont="1" applyFill="1" applyBorder="1" applyAlignment="1">
      <alignment horizontal="center"/>
    </xf>
    <xf numFmtId="0" fontId="80" fillId="24" borderId="53" xfId="98" applyFont="1" applyFill="1" applyBorder="1" applyAlignment="1">
      <alignment horizontal="center" vertical="center" textRotation="90"/>
    </xf>
    <xf numFmtId="0" fontId="80" fillId="24" borderId="54" xfId="98" applyFont="1" applyFill="1" applyBorder="1" applyAlignment="1">
      <alignment horizontal="center" vertical="center" textRotation="90"/>
    </xf>
    <xf numFmtId="0" fontId="80" fillId="24" borderId="52" xfId="98" applyFont="1" applyFill="1" applyBorder="1" applyAlignment="1">
      <alignment horizontal="center" vertical="center" textRotation="90"/>
    </xf>
    <xf numFmtId="0" fontId="22" fillId="24" borderId="49" xfId="0" applyFont="1" applyFill="1" applyBorder="1" applyAlignment="1">
      <alignment horizontal="center" vertical="center" textRotation="90"/>
    </xf>
    <xf numFmtId="0" fontId="22" fillId="24" borderId="50" xfId="0" applyFont="1" applyFill="1" applyBorder="1" applyAlignment="1">
      <alignment horizontal="center" vertical="center" textRotation="90"/>
    </xf>
    <xf numFmtId="0" fontId="22" fillId="24" borderId="51" xfId="0" applyFont="1" applyFill="1" applyBorder="1" applyAlignment="1">
      <alignment horizontal="center" vertical="center" textRotation="90"/>
    </xf>
    <xf numFmtId="0" fontId="22" fillId="24" borderId="55" xfId="0" applyFont="1" applyFill="1" applyBorder="1" applyAlignment="1">
      <alignment horizontal="center" vertical="center" textRotation="90"/>
    </xf>
    <xf numFmtId="0" fontId="174" fillId="24" borderId="70" xfId="98" applyFont="1" applyFill="1" applyBorder="1" applyAlignment="1">
      <alignment horizontal="center"/>
    </xf>
    <xf numFmtId="0" fontId="174" fillId="24" borderId="48" xfId="98" applyFont="1" applyFill="1" applyBorder="1" applyAlignment="1">
      <alignment horizontal="center"/>
    </xf>
    <xf numFmtId="0" fontId="174" fillId="24" borderId="71" xfId="98" applyFont="1" applyFill="1" applyBorder="1" applyAlignment="1">
      <alignment horizontal="center"/>
    </xf>
    <xf numFmtId="0" fontId="17" fillId="25" borderId="0" xfId="0" applyFont="1" applyFill="1" applyBorder="1" applyAlignment="1">
      <alignment horizontal="center"/>
    </xf>
    <xf numFmtId="235" fontId="173" fillId="0" borderId="17" xfId="0" applyNumberFormat="1" applyFont="1" applyFill="1" applyBorder="1" applyAlignment="1">
      <alignment horizontal="center"/>
    </xf>
    <xf numFmtId="14" fontId="173" fillId="0" borderId="17" xfId="0" applyNumberFormat="1" applyFont="1" applyFill="1" applyBorder="1" applyAlignment="1">
      <alignment horizontal="center"/>
    </xf>
    <xf numFmtId="0" fontId="11" fillId="0" borderId="36" xfId="0" applyFont="1" applyBorder="1" applyAlignment="1">
      <alignment horizontal="left" vertical="top" wrapText="1"/>
    </xf>
    <xf numFmtId="0" fontId="11" fillId="0" borderId="0" xfId="0" applyFont="1" applyBorder="1" applyAlignment="1">
      <alignment horizontal="left" vertical="top" wrapText="1"/>
    </xf>
    <xf numFmtId="0" fontId="0" fillId="0" borderId="15" xfId="0" applyBorder="1" applyAlignment="1">
      <alignment horizontal="center"/>
    </xf>
    <xf numFmtId="9" fontId="7" fillId="109" borderId="57" xfId="104" applyFont="1" applyFill="1" applyBorder="1" applyAlignment="1">
      <alignment horizontal="center"/>
    </xf>
    <xf numFmtId="9" fontId="7" fillId="109" borderId="58" xfId="104" applyFont="1" applyFill="1" applyBorder="1" applyAlignment="1">
      <alignment horizontal="center"/>
    </xf>
    <xf numFmtId="9" fontId="7" fillId="109" borderId="56" xfId="104" applyFont="1" applyFill="1" applyBorder="1" applyAlignment="1">
      <alignment horizontal="center"/>
    </xf>
    <xf numFmtId="9" fontId="7" fillId="110" borderId="56" xfId="5792" applyNumberFormat="1" applyFont="1" applyFill="1" applyBorder="1" applyAlignment="1">
      <alignment horizontal="center"/>
    </xf>
    <xf numFmtId="9" fontId="7" fillId="110" borderId="57" xfId="5792" applyNumberFormat="1" applyFont="1" applyFill="1" applyBorder="1" applyAlignment="1">
      <alignment horizontal="center"/>
    </xf>
    <xf numFmtId="9" fontId="7" fillId="110" borderId="58" xfId="5792" applyNumberFormat="1" applyFont="1" applyFill="1" applyBorder="1" applyAlignment="1">
      <alignment horizontal="center"/>
    </xf>
    <xf numFmtId="0" fontId="0" fillId="102" borderId="147" xfId="0" applyFill="1" applyBorder="1" applyAlignment="1">
      <alignment horizontal="center"/>
    </xf>
    <xf numFmtId="0" fontId="0" fillId="102" borderId="59" xfId="0" applyFill="1" applyBorder="1" applyAlignment="1">
      <alignment horizontal="center"/>
    </xf>
    <xf numFmtId="0" fontId="0" fillId="102" borderId="148" xfId="0" applyFill="1" applyBorder="1" applyAlignment="1">
      <alignment horizontal="center"/>
    </xf>
    <xf numFmtId="0" fontId="0" fillId="102" borderId="134" xfId="0" applyFill="1" applyBorder="1" applyAlignment="1">
      <alignment horizontal="center"/>
    </xf>
    <xf numFmtId="0" fontId="0" fillId="102" borderId="48" xfId="0" applyFill="1" applyBorder="1" applyAlignment="1">
      <alignment horizontal="center"/>
    </xf>
    <xf numFmtId="0" fontId="0" fillId="102" borderId="135" xfId="0" applyFill="1" applyBorder="1" applyAlignment="1">
      <alignment horizontal="center"/>
    </xf>
    <xf numFmtId="0" fontId="18" fillId="106" borderId="147" xfId="0" applyFont="1" applyFill="1" applyBorder="1" applyAlignment="1">
      <alignment horizontal="center"/>
    </xf>
    <xf numFmtId="0" fontId="18" fillId="106" borderId="59" xfId="0" applyFont="1" applyFill="1" applyBorder="1" applyAlignment="1">
      <alignment horizontal="center"/>
    </xf>
    <xf numFmtId="0" fontId="18" fillId="106" borderId="148" xfId="0" applyFont="1" applyFill="1" applyBorder="1" applyAlignment="1">
      <alignment horizontal="center"/>
    </xf>
    <xf numFmtId="0" fontId="18" fillId="106" borderId="134" xfId="0" applyFont="1" applyFill="1" applyBorder="1" applyAlignment="1">
      <alignment horizontal="center"/>
    </xf>
    <xf numFmtId="0" fontId="18" fillId="106" borderId="48" xfId="0" applyFont="1" applyFill="1" applyBorder="1" applyAlignment="1">
      <alignment horizontal="center"/>
    </xf>
    <xf numFmtId="0" fontId="18" fillId="106" borderId="135" xfId="0" applyFont="1" applyFill="1" applyBorder="1" applyAlignment="1">
      <alignment horizontal="center"/>
    </xf>
    <xf numFmtId="0" fontId="7" fillId="27" borderId="111" xfId="0" applyFont="1" applyFill="1" applyBorder="1" applyAlignment="1">
      <alignment horizontal="center"/>
    </xf>
    <xf numFmtId="0" fontId="0" fillId="27" borderId="109" xfId="0" applyFill="1" applyBorder="1" applyAlignment="1">
      <alignment horizontal="center"/>
    </xf>
    <xf numFmtId="0" fontId="0" fillId="27" borderId="110" xfId="0" applyFill="1" applyBorder="1" applyAlignment="1">
      <alignment horizontal="center"/>
    </xf>
    <xf numFmtId="0" fontId="7" fillId="103" borderId="128" xfId="0" applyFont="1" applyFill="1" applyBorder="1" applyAlignment="1">
      <alignment horizontal="center"/>
    </xf>
    <xf numFmtId="0" fontId="7" fillId="103" borderId="14" xfId="0" applyFont="1" applyFill="1" applyBorder="1" applyAlignment="1">
      <alignment horizontal="center"/>
    </xf>
    <xf numFmtId="0" fontId="7" fillId="103" borderId="129" xfId="0" applyFont="1" applyFill="1" applyBorder="1" applyAlignment="1">
      <alignment horizontal="center"/>
    </xf>
    <xf numFmtId="0" fontId="18" fillId="101" borderId="128" xfId="0" applyFont="1" applyFill="1" applyBorder="1" applyAlignment="1">
      <alignment horizontal="center"/>
    </xf>
    <xf numFmtId="0" fontId="18" fillId="101" borderId="14" xfId="0" applyFont="1" applyFill="1" applyBorder="1" applyAlignment="1">
      <alignment horizontal="center"/>
    </xf>
    <xf numFmtId="0" fontId="18" fillId="101" borderId="129" xfId="0" applyFont="1" applyFill="1" applyBorder="1" applyAlignment="1">
      <alignment horizontal="center"/>
    </xf>
    <xf numFmtId="0" fontId="7" fillId="103" borderId="130" xfId="0" applyFont="1" applyFill="1" applyBorder="1" applyAlignment="1">
      <alignment horizontal="center"/>
    </xf>
    <xf numFmtId="0" fontId="7" fillId="103" borderId="15" xfId="0" applyFont="1" applyFill="1" applyBorder="1" applyAlignment="1">
      <alignment horizontal="center"/>
    </xf>
    <xf numFmtId="0" fontId="7" fillId="103" borderId="131" xfId="0" applyFont="1" applyFill="1" applyBorder="1" applyAlignment="1">
      <alignment horizontal="center"/>
    </xf>
    <xf numFmtId="0" fontId="18" fillId="101" borderId="130" xfId="0" applyFont="1" applyFill="1" applyBorder="1" applyAlignment="1">
      <alignment horizontal="center"/>
    </xf>
    <xf numFmtId="0" fontId="18" fillId="101" borderId="15" xfId="0" applyFont="1" applyFill="1" applyBorder="1" applyAlignment="1">
      <alignment horizontal="center"/>
    </xf>
    <xf numFmtId="0" fontId="18" fillId="101" borderId="131" xfId="0" applyFont="1" applyFill="1" applyBorder="1" applyAlignment="1">
      <alignment horizontal="center"/>
    </xf>
    <xf numFmtId="0" fontId="18" fillId="98" borderId="111" xfId="0" applyFont="1" applyFill="1" applyBorder="1" applyAlignment="1">
      <alignment horizontal="center"/>
    </xf>
    <xf numFmtId="0" fontId="18" fillId="98" borderId="109" xfId="0" applyFont="1" applyFill="1" applyBorder="1" applyAlignment="1">
      <alignment horizontal="center"/>
    </xf>
    <xf numFmtId="0" fontId="18" fillId="98" borderId="110" xfId="0" applyFont="1" applyFill="1" applyBorder="1" applyAlignment="1">
      <alignment horizontal="center"/>
    </xf>
    <xf numFmtId="9" fontId="202" fillId="25" borderId="44" xfId="104" applyFont="1" applyFill="1" applyBorder="1" applyAlignment="1">
      <alignment horizontal="center"/>
    </xf>
    <xf numFmtId="9" fontId="202" fillId="25" borderId="45" xfId="104" applyFont="1" applyFill="1" applyBorder="1" applyAlignment="1">
      <alignment horizontal="center"/>
    </xf>
    <xf numFmtId="9" fontId="171" fillId="25" borderId="0" xfId="104" applyFont="1" applyFill="1" applyBorder="1" applyAlignment="1">
      <alignment horizontal="center"/>
    </xf>
    <xf numFmtId="9" fontId="202" fillId="25" borderId="0" xfId="104" applyFont="1" applyFill="1" applyBorder="1" applyAlignment="1">
      <alignment horizontal="center"/>
    </xf>
    <xf numFmtId="9" fontId="202" fillId="25" borderId="46" xfId="104" applyFont="1" applyFill="1" applyBorder="1" applyAlignment="1">
      <alignment horizontal="center"/>
    </xf>
    <xf numFmtId="0" fontId="17" fillId="0" borderId="0" xfId="0" applyFont="1" applyBorder="1" applyAlignment="1">
      <alignment horizontal="center"/>
    </xf>
    <xf numFmtId="0" fontId="17" fillId="0" borderId="15" xfId="0" applyFont="1" applyFill="1" applyBorder="1" applyAlignment="1">
      <alignment horizontal="left" wrapText="1"/>
    </xf>
    <xf numFmtId="0" fontId="28" fillId="18" borderId="15" xfId="98" applyFont="1" applyFill="1" applyBorder="1" applyAlignment="1">
      <alignment horizontal="center"/>
    </xf>
    <xf numFmtId="0" fontId="84" fillId="0" borderId="0" xfId="21561" applyFont="1" applyAlignment="1">
      <alignment vertical="center" wrapText="1"/>
    </xf>
    <xf numFmtId="0" fontId="84" fillId="0" borderId="0" xfId="21561" applyFont="1" applyAlignment="1">
      <alignment vertical="center"/>
    </xf>
    <xf numFmtId="0" fontId="83" fillId="0" borderId="0" xfId="21561" applyFont="1" applyAlignment="1">
      <alignment vertical="center" wrapText="1"/>
    </xf>
    <xf numFmtId="0" fontId="7" fillId="113" borderId="0" xfId="21562" applyFont="1" applyFill="1" applyAlignment="1">
      <alignment vertical="top"/>
    </xf>
    <xf numFmtId="0" fontId="7" fillId="113" borderId="0" xfId="5792" applyFill="1" applyAlignment="1">
      <alignment vertical="top"/>
    </xf>
    <xf numFmtId="0" fontId="7" fillId="113" borderId="0" xfId="5792" applyFill="1"/>
    <xf numFmtId="0" fontId="178" fillId="113" borderId="0" xfId="21562" applyFont="1" applyFill="1" applyAlignment="1">
      <alignment horizontal="left" vertical="top"/>
    </xf>
    <xf numFmtId="0" fontId="7" fillId="113" borderId="0" xfId="5792" applyFont="1" applyFill="1" applyAlignment="1">
      <alignment vertical="top"/>
    </xf>
    <xf numFmtId="0" fontId="21" fillId="113" borderId="0" xfId="21562" applyFont="1" applyFill="1" applyAlignment="1">
      <alignment vertical="top"/>
    </xf>
    <xf numFmtId="0" fontId="0" fillId="113" borderId="0" xfId="0" applyFill="1" applyAlignment="1">
      <alignment vertical="top"/>
    </xf>
    <xf numFmtId="0" fontId="84" fillId="113" borderId="0" xfId="0" applyFont="1" applyFill="1" applyAlignment="1">
      <alignment vertical="top"/>
    </xf>
    <xf numFmtId="0" fontId="83" fillId="113" borderId="0" xfId="0" applyFont="1" applyFill="1" applyAlignment="1">
      <alignment vertical="top"/>
    </xf>
    <xf numFmtId="0" fontId="83" fillId="113" borderId="0" xfId="0" applyFont="1" applyFill="1" applyAlignment="1">
      <alignment vertical="top"/>
    </xf>
    <xf numFmtId="0" fontId="84" fillId="113" borderId="0" xfId="0" applyFont="1" applyFill="1" applyAlignment="1">
      <alignment vertical="top"/>
    </xf>
    <xf numFmtId="0" fontId="0" fillId="113" borderId="0" xfId="0" applyFill="1" applyAlignment="1">
      <alignment vertical="top"/>
    </xf>
    <xf numFmtId="0" fontId="0" fillId="113" borderId="161" xfId="0" applyFill="1" applyBorder="1" applyAlignment="1">
      <alignment vertical="top"/>
    </xf>
    <xf numFmtId="0" fontId="84" fillId="113" borderId="157" xfId="0" applyFont="1" applyFill="1" applyBorder="1" applyAlignment="1">
      <alignment vertical="top"/>
    </xf>
    <xf numFmtId="0" fontId="84" fillId="113" borderId="158" xfId="0" applyFont="1" applyFill="1" applyBorder="1" applyAlignment="1">
      <alignment vertical="top"/>
    </xf>
    <xf numFmtId="0" fontId="84" fillId="113" borderId="159" xfId="0" applyFont="1" applyFill="1" applyBorder="1" applyAlignment="1">
      <alignment vertical="top"/>
    </xf>
    <xf numFmtId="0" fontId="84" fillId="113" borderId="160" xfId="0" applyFont="1" applyFill="1" applyBorder="1" applyAlignment="1">
      <alignment vertical="top"/>
    </xf>
    <xf numFmtId="9" fontId="84" fillId="113" borderId="157" xfId="0" applyNumberFormat="1" applyFont="1" applyFill="1" applyBorder="1" applyAlignment="1">
      <alignment vertical="top"/>
    </xf>
    <xf numFmtId="3" fontId="84" fillId="113" borderId="157" xfId="0" applyNumberFormat="1" applyFont="1" applyFill="1" applyBorder="1" applyAlignment="1">
      <alignment vertical="top"/>
    </xf>
    <xf numFmtId="0" fontId="0" fillId="113" borderId="162" xfId="0" applyFill="1" applyBorder="1" applyAlignment="1">
      <alignment vertical="top"/>
    </xf>
    <xf numFmtId="2" fontId="7" fillId="0" borderId="0" xfId="5792" applyNumberFormat="1" applyAlignment="1">
      <alignment horizontal="left"/>
    </xf>
    <xf numFmtId="0" fontId="7" fillId="0" borderId="0" xfId="5792" applyNumberFormat="1" applyAlignment="1">
      <alignment horizontal="left"/>
    </xf>
    <xf numFmtId="1" fontId="7" fillId="0" borderId="0" xfId="5792" applyNumberFormat="1" applyAlignment="1">
      <alignment horizontal="left"/>
    </xf>
    <xf numFmtId="0" fontId="7" fillId="0" borderId="0" xfId="5792" applyFont="1"/>
    <xf numFmtId="250" fontId="7" fillId="0" borderId="0" xfId="5792" applyNumberFormat="1" applyAlignment="1">
      <alignment horizontal="left"/>
    </xf>
    <xf numFmtId="49" fontId="7" fillId="0" borderId="0" xfId="5792" applyNumberFormat="1"/>
    <xf numFmtId="0" fontId="210" fillId="0" borderId="0" xfId="5792" applyFont="1" applyAlignment="1">
      <alignment wrapText="1"/>
    </xf>
    <xf numFmtId="0" fontId="210" fillId="0" borderId="0" xfId="5792" applyFont="1" applyAlignment="1">
      <alignment horizontal="left" wrapText="1" indent="3"/>
    </xf>
    <xf numFmtId="0" fontId="210" fillId="0" borderId="0" xfId="5792" applyFont="1" applyAlignment="1">
      <alignment horizontal="left" wrapText="1" indent="1"/>
    </xf>
    <xf numFmtId="0" fontId="212" fillId="0" borderId="0" xfId="5792" applyFont="1" applyAlignment="1">
      <alignment wrapText="1"/>
    </xf>
  </cellXfs>
  <cellStyles count="21563">
    <cellStyle name="_x0002_" xfId="122"/>
    <cellStyle name="_x0006_" xfId="185"/>
    <cellStyle name=" 1" xfId="1"/>
    <cellStyle name=" 1 2" xfId="186"/>
    <cellStyle name=" 1 2 2" xfId="21551"/>
    <cellStyle name=" 1 3" xfId="187"/>
    <cellStyle name=" 1 4" xfId="188"/>
    <cellStyle name=" 1_13-Endividamento" xfId="189"/>
    <cellStyle name="_x0002_ 10" xfId="190"/>
    <cellStyle name="_x0002_ 11" xfId="191"/>
    <cellStyle name="_x0002_ 12" xfId="192"/>
    <cellStyle name="_x0002_ 13" xfId="193"/>
    <cellStyle name="_x0002_ 14" xfId="194"/>
    <cellStyle name="_x0002_ 15" xfId="195"/>
    <cellStyle name="_x0002_ 16" xfId="196"/>
    <cellStyle name="_x0002_ 17" xfId="197"/>
    <cellStyle name="_x0002_ 18" xfId="198"/>
    <cellStyle name="_x0002_ 19" xfId="199"/>
    <cellStyle name="_x0002_ 2" xfId="200"/>
    <cellStyle name="_x0002_ 2 2" xfId="201"/>
    <cellStyle name="_x0002_ 2 3" xfId="202"/>
    <cellStyle name="_x0002_ 2 4" xfId="203"/>
    <cellStyle name="_x0002_ 3" xfId="204"/>
    <cellStyle name="_x0002_ 4" xfId="205"/>
    <cellStyle name="_x0002_ 5" xfId="206"/>
    <cellStyle name="_x0002_ 6" xfId="207"/>
    <cellStyle name="_x0002_ 7" xfId="208"/>
    <cellStyle name="_x0002_ 8" xfId="209"/>
    <cellStyle name="_x0002_ 9" xfId="210"/>
    <cellStyle name="_x000d__x000a_JournalTemplate=C:\COMFO\CTALK\JOURSTD.TPL_x000d__x000a_LbStateAddress=3 3 0 251 1 89 2 311_x000d__x000a_LbStateJou" xfId="211"/>
    <cellStyle name="%" xfId="123"/>
    <cellStyle name="%_Book2 (version 2)_Historical data - Cosan " xfId="124"/>
    <cellStyle name="?? [0]_#3?? ??_??????? " xfId="2"/>
    <cellStyle name="??_#3?? ??_??????? " xfId="3"/>
    <cellStyle name="?_x001d_?w _x001a_??_x000c_??U_x0001_%_x0013_|)_x0007__x0001__x0001_" xfId="212"/>
    <cellStyle name="?_x001d_?w_x0009__x001a_??_x000c_??U_x0001_%_x0013_|)_x0007__x0001__x0001_" xfId="213"/>
    <cellStyle name="?Q\?1@" xfId="125"/>
    <cellStyle name="?Q\?1@ 2" xfId="214"/>
    <cellStyle name="?Q\?1@ 3" xfId="215"/>
    <cellStyle name="?Q\?1@ 4" xfId="216"/>
    <cellStyle name="?Q\?1@_13-Endividamento" xfId="217"/>
    <cellStyle name="_100125-Templates Lubes Operações v3_Otavio" xfId="218"/>
    <cellStyle name="_100125-Templates Lubes Operações v3_Otavio_3-Balanço" xfId="219"/>
    <cellStyle name="_100125-Templates Lubes Operações v3_Otavio_Balanço" xfId="220"/>
    <cellStyle name="_100125-Templates Lubes Operações v3_Otavio_Plan1" xfId="221"/>
    <cellStyle name="_100125-Templates Lubes Operações v3_Otavio_Plan1_3-Balanço" xfId="222"/>
    <cellStyle name="_100125-Templates Lubes Operações v3_Otavio_Plan1_Balanço" xfId="223"/>
    <cellStyle name="_100202-DBV-Templates_Lubes_v17" xfId="224"/>
    <cellStyle name="_100202-DBV-Templates_Lubes_v17_3-Balanço" xfId="225"/>
    <cellStyle name="_100202-DBV-Templates_Lubes_v17_Balanço" xfId="226"/>
    <cellStyle name="_100202-DBV-Templates_Lubes_v17_Plan1" xfId="227"/>
    <cellStyle name="_100202-DBV-Templates_Lubes_v17_Plan1_3-Balanço" xfId="228"/>
    <cellStyle name="_100202-DBV-Templates_Lubes_v17_Plan1_Balanço" xfId="229"/>
    <cellStyle name="_100203-DBV-Template Outras Receitas v2" xfId="230"/>
    <cellStyle name="_100203-DBV-Template Outras Receitas v2_3-Balanço" xfId="231"/>
    <cellStyle name="_100203-DBV-Template Outras Receitas v2_Balanço" xfId="232"/>
    <cellStyle name="_100203-DBV-Template Outras Receitas v2_Plan1" xfId="233"/>
    <cellStyle name="_100203-DBV-Template Outras Receitas v2_Plan1_3-Balanço" xfId="234"/>
    <cellStyle name="_100203-DBV-Template Outras Receitas v2_Plan1_Balanço" xfId="235"/>
    <cellStyle name="_Book11" xfId="236"/>
    <cellStyle name="_Book11_3-Balanço" xfId="237"/>
    <cellStyle name="_Book11_Balanço" xfId="238"/>
    <cellStyle name="_Book11_Plan1" xfId="239"/>
    <cellStyle name="_Book11_Plan1_3-Balanço" xfId="240"/>
    <cellStyle name="_Book11_Plan1_Balanço" xfId="241"/>
    <cellStyle name="_Book12" xfId="242"/>
    <cellStyle name="_Book12_3-Balanço" xfId="243"/>
    <cellStyle name="_Book12_Balanço" xfId="244"/>
    <cellStyle name="_Book12_Plan1" xfId="245"/>
    <cellStyle name="_Book12_Plan1_3-Balanço" xfId="246"/>
    <cellStyle name="_Book12_Plan1_Balanço" xfId="247"/>
    <cellStyle name="_Cosan S.AxCCl" xfId="248"/>
    <cellStyle name="_Cosan S.AxCCl_Resumo" xfId="249"/>
    <cellStyle name="_Cosan S.AxStandard " xfId="250"/>
    <cellStyle name="_Dados" xfId="251"/>
    <cellStyle name="_Dados 2" xfId="252"/>
    <cellStyle name="_Dados 2_Resumo" xfId="253"/>
    <cellStyle name="_Dados 2_Safra 10-11 Derivativo" xfId="254"/>
    <cellStyle name="_Dados 3" xfId="255"/>
    <cellStyle name="_Dados 3_Resumo" xfId="256"/>
    <cellStyle name="_Dados 3_Safra 10-11 Derivativo" xfId="257"/>
    <cellStyle name="_Dados 4" xfId="258"/>
    <cellStyle name="_Dados 4_Resumo" xfId="259"/>
    <cellStyle name="_Dados 4_Safra 10-11 Derivativo" xfId="260"/>
    <cellStyle name="_Dados 5" xfId="261"/>
    <cellStyle name="_Dados 5_Resumo" xfId="262"/>
    <cellStyle name="_Dados 5_Safra 10-11 Derivativo" xfId="263"/>
    <cellStyle name="_Dados 6" xfId="264"/>
    <cellStyle name="_Dados 6_Resumo" xfId="265"/>
    <cellStyle name="_Dados 6_Safra 10-11 Derivativo" xfId="266"/>
    <cellStyle name="_Dados 7" xfId="267"/>
    <cellStyle name="_Dados 7_Resumo" xfId="268"/>
    <cellStyle name="_Dados 7_Safra 10-11 Derivativo" xfId="269"/>
    <cellStyle name="_DRE ORC Fuel 2010" xfId="270"/>
    <cellStyle name="_DRE ORC Fuel 2010 v46" xfId="271"/>
    <cellStyle name="_DRE ORC Fuel 2010 v46_3-Balanço" xfId="272"/>
    <cellStyle name="_DRE ORC Fuel 2010 v46_Balanço" xfId="273"/>
    <cellStyle name="_DRE ORC Fuel 2010 v46_Plan1" xfId="274"/>
    <cellStyle name="_DRE ORC Fuel 2010 v46_Plan1_3-Balanço" xfId="275"/>
    <cellStyle name="_DRE ORC Fuel 2010 v46_Plan1_Balanço" xfId="276"/>
    <cellStyle name="_DRE ORC Fuel 2010_3-Balanço" xfId="277"/>
    <cellStyle name="_DRE ORC Fuel 2010_Balanço" xfId="278"/>
    <cellStyle name="_DRE ORC Fuel 2010_Plan1" xfId="279"/>
    <cellStyle name="_DRE ORC Fuel 2010_Plan1_3-Balanço" xfId="280"/>
    <cellStyle name="_DRE ORC Fuel 2010_Plan1_Balanço" xfId="281"/>
    <cellStyle name="_DRE ORC S&amp;D 2010 V7" xfId="282"/>
    <cellStyle name="_DRE ORC S&amp;D 2010 V7_3-Balanço" xfId="283"/>
    <cellStyle name="_DRE ORC S&amp;D 2010 V7_Balanço" xfId="284"/>
    <cellStyle name="_DRE ORC S&amp;D 2010 V7_Plan1" xfId="285"/>
    <cellStyle name="_DRE ORC S&amp;D 2010 V7_Plan1_3-Balanço" xfId="286"/>
    <cellStyle name="_DRE ORC S&amp;D 2010 V7_Plan1_Balanço" xfId="287"/>
    <cellStyle name="_Lojas Conveniência" xfId="288"/>
    <cellStyle name="_Lojas Conveniência_3-Balanço" xfId="289"/>
    <cellStyle name="_Lojas Conveniência_Balanço" xfId="290"/>
    <cellStyle name="_Lojas Conveniência_Plan1" xfId="291"/>
    <cellStyle name="_Lojas Conveniência_Plan1_3-Balanço" xfId="292"/>
    <cellStyle name="_Lojas Conveniência_Plan1_Balanço" xfId="293"/>
    <cellStyle name="_RRS1_Valuation Anhanguera " xfId="4"/>
    <cellStyle name="_RRS1_Valuation Anhanguera  2" xfId="21307"/>
    <cellStyle name="_RRS1_Valuation Anhanguera  3" xfId="126"/>
    <cellStyle name="_RRS21_Valuation Anhanguera " xfId="5"/>
    <cellStyle name="_RRS21_Valuation Anhanguera  2" xfId="21308"/>
    <cellStyle name="_RRS21_Valuation Anhanguera  3" xfId="127"/>
    <cellStyle name="_Sheet2" xfId="294"/>
    <cellStyle name="_Sheet2 2" xfId="295"/>
    <cellStyle name="_Sheet2 2_Resumo" xfId="296"/>
    <cellStyle name="_Sheet2 2_Safra 10-11 Derivativo" xfId="297"/>
    <cellStyle name="_Sheet2 3" xfId="298"/>
    <cellStyle name="_Sheet2 3_Resumo" xfId="299"/>
    <cellStyle name="_Sheet2 3_Safra 10-11 Derivativo" xfId="300"/>
    <cellStyle name="_Sheet2 4" xfId="301"/>
    <cellStyle name="_Sheet2 4_Resumo" xfId="302"/>
    <cellStyle name="_Sheet2 4_Safra 10-11 Derivativo" xfId="303"/>
    <cellStyle name="_Sheet2 5" xfId="304"/>
    <cellStyle name="_Sheet2 5_Resumo" xfId="305"/>
    <cellStyle name="_Sheet2 5_Safra 10-11 Derivativo" xfId="306"/>
    <cellStyle name="_Sheet2 6" xfId="307"/>
    <cellStyle name="_Sheet2 6_Resumo" xfId="308"/>
    <cellStyle name="_Sheet2 6_Safra 10-11 Derivativo" xfId="309"/>
    <cellStyle name="_Sheet2 7" xfId="310"/>
    <cellStyle name="_Sheet2 7_Resumo" xfId="311"/>
    <cellStyle name="_Sheet2 7_Safra 10-11 Derivativo" xfId="312"/>
    <cellStyle name="_Sheet2_Resumo" xfId="313"/>
    <cellStyle name="_SUMMARY " xfId="6"/>
    <cellStyle name="_SUMMARY _RRST1" xfId="128"/>
    <cellStyle name="_SUMMARY _RRST1 2" xfId="21309"/>
    <cellStyle name="_SUMMARY _RRST7" xfId="129"/>
    <cellStyle name="_SUMMARY _RRST7 2" xfId="21310"/>
    <cellStyle name="_Swap - CCL 01 - Dezembro-09" xfId="314"/>
    <cellStyle name="_Swap - CCL 01 - Dezembro-09 2" xfId="315"/>
    <cellStyle name="_Swap - CCL 01 - Dezembro-09 2_Resumo" xfId="316"/>
    <cellStyle name="_Swap - CCL 01 - Dezembro-09 2_Safra 10-11 Derivativo" xfId="317"/>
    <cellStyle name="_Swap - CCL 01 - Dezembro-09 3" xfId="318"/>
    <cellStyle name="_Swap - CCL 01 - Dezembro-09 3_Resumo" xfId="319"/>
    <cellStyle name="_Swap - CCL 01 - Dezembro-09 3_Safra 10-11 Derivativo" xfId="320"/>
    <cellStyle name="_Swap - CCL 01 - Dezembro-09 4" xfId="321"/>
    <cellStyle name="_Swap - CCL 01 - Dezembro-09 4_Resumo" xfId="322"/>
    <cellStyle name="_Swap - CCL 01 - Dezembro-09 4_Safra 10-11 Derivativo" xfId="323"/>
    <cellStyle name="_Swap - CCL 01 - Dezembro-09 5" xfId="324"/>
    <cellStyle name="_Swap - CCL 01 - Dezembro-09 5_Resumo" xfId="325"/>
    <cellStyle name="_Swap - CCL 01 - Dezembro-09 5_Safra 10-11 Derivativo" xfId="326"/>
    <cellStyle name="_Swap - CCL 01 - Dezembro-09 6" xfId="327"/>
    <cellStyle name="_Swap - CCL 01 - Dezembro-09 6_Resumo" xfId="328"/>
    <cellStyle name="_Swap - CCL 01 - Dezembro-09 6_Safra 10-11 Derivativo" xfId="329"/>
    <cellStyle name="_Swap - CCL 01 - Dezembro-09 7" xfId="330"/>
    <cellStyle name="_Swap - CCL 01 - Dezembro-09 7_Resumo" xfId="331"/>
    <cellStyle name="_Swap - CCL 01 - Dezembro-09 7_Safra 10-11 Derivativo" xfId="332"/>
    <cellStyle name="_Swap - CCL 01 - Dezembro-09_Resumo" xfId="333"/>
    <cellStyle name="_Swap - CCL 02 - Dezembro-09" xfId="334"/>
    <cellStyle name="_Swap - CCL 02 - Dezembro-09 2" xfId="335"/>
    <cellStyle name="_Swap - CCL 02 - Dezembro-09 2_Resumo" xfId="336"/>
    <cellStyle name="_Swap - CCL 02 - Dezembro-09 2_Safra 10-11 Derivativo" xfId="337"/>
    <cellStyle name="_Swap - CCL 02 - Dezembro-09 3" xfId="338"/>
    <cellStyle name="_Swap - CCL 02 - Dezembro-09 3_Resumo" xfId="339"/>
    <cellStyle name="_Swap - CCL 02 - Dezembro-09 3_Safra 10-11 Derivativo" xfId="340"/>
    <cellStyle name="_Swap - CCL 02 - Dezembro-09 4" xfId="341"/>
    <cellStyle name="_Swap - CCL 02 - Dezembro-09 4_Resumo" xfId="342"/>
    <cellStyle name="_Swap - CCL 02 - Dezembro-09 4_Safra 10-11 Derivativo" xfId="343"/>
    <cellStyle name="_Swap - CCL 02 - Dezembro-09 5" xfId="344"/>
    <cellStyle name="_Swap - CCL 02 - Dezembro-09 5_Resumo" xfId="345"/>
    <cellStyle name="_Swap - CCL 02 - Dezembro-09 5_Safra 10-11 Derivativo" xfId="346"/>
    <cellStyle name="_Swap - CCL 02 - Dezembro-09 6" xfId="347"/>
    <cellStyle name="_Swap - CCL 02 - Dezembro-09 6_Resumo" xfId="348"/>
    <cellStyle name="_Swap - CCL 02 - Dezembro-09 6_Safra 10-11 Derivativo" xfId="349"/>
    <cellStyle name="_Swap - CCL 02 - Dezembro-09 7" xfId="350"/>
    <cellStyle name="_Swap - CCL 02 - Dezembro-09 7_Resumo" xfId="351"/>
    <cellStyle name="_Swap - CCL 02 - Dezembro-09 7_Safra 10-11 Derivativo" xfId="352"/>
    <cellStyle name="_Swap - CCL 02 - Dezembro-09_Resumo" xfId="353"/>
    <cellStyle name="_Swap - CCL 03 - Dezembro-09" xfId="354"/>
    <cellStyle name="_Swap - CCL 03 - Dezembro-09 2" xfId="355"/>
    <cellStyle name="_Swap - CCL 03 - Dezembro-09 2_Resumo" xfId="356"/>
    <cellStyle name="_Swap - CCL 03 - Dezembro-09 2_Safra 10-11 Derivativo" xfId="357"/>
    <cellStyle name="_Swap - CCL 03 - Dezembro-09 3" xfId="358"/>
    <cellStyle name="_Swap - CCL 03 - Dezembro-09 3_Resumo" xfId="359"/>
    <cellStyle name="_Swap - CCL 03 - Dezembro-09 3_Safra 10-11 Derivativo" xfId="360"/>
    <cellStyle name="_Swap - CCL 03 - Dezembro-09 4" xfId="361"/>
    <cellStyle name="_Swap - CCL 03 - Dezembro-09 4_Resumo" xfId="362"/>
    <cellStyle name="_Swap - CCL 03 - Dezembro-09 4_Safra 10-11 Derivativo" xfId="363"/>
    <cellStyle name="_Swap - CCL 03 - Dezembro-09 5" xfId="364"/>
    <cellStyle name="_Swap - CCL 03 - Dezembro-09 5_Resumo" xfId="365"/>
    <cellStyle name="_Swap - CCL 03 - Dezembro-09 5_Safra 10-11 Derivativo" xfId="366"/>
    <cellStyle name="_Swap - CCL 03 - Dezembro-09 6" xfId="367"/>
    <cellStyle name="_Swap - CCL 03 - Dezembro-09 6_Resumo" xfId="368"/>
    <cellStyle name="_Swap - CCL 03 - Dezembro-09 6_Safra 10-11 Derivativo" xfId="369"/>
    <cellStyle name="_Swap - CCL 03 - Dezembro-09 7" xfId="370"/>
    <cellStyle name="_Swap - CCL 03 - Dezembro-09 7_Resumo" xfId="371"/>
    <cellStyle name="_Swap - CCL 03 - Dezembro-09 7_Safra 10-11 Derivativo" xfId="372"/>
    <cellStyle name="_Swap - CCL 03 - Dezembro-09_Resumo" xfId="373"/>
    <cellStyle name="_Swap - CCL 04 - Dezembro-09" xfId="374"/>
    <cellStyle name="_Swap - CCL 04 - Dezembro-09 2" xfId="375"/>
    <cellStyle name="_Swap - CCL 04 - Dezembro-09 2_Resumo" xfId="376"/>
    <cellStyle name="_Swap - CCL 04 - Dezembro-09 2_Safra 10-11 Derivativo" xfId="377"/>
    <cellStyle name="_Swap - CCL 04 - Dezembro-09 3" xfId="378"/>
    <cellStyle name="_Swap - CCL 04 - Dezembro-09 3_Resumo" xfId="379"/>
    <cellStyle name="_Swap - CCL 04 - Dezembro-09 3_Safra 10-11 Derivativo" xfId="380"/>
    <cellStyle name="_Swap - CCL 04 - Dezembro-09 4" xfId="381"/>
    <cellStyle name="_Swap - CCL 04 - Dezembro-09 4_Resumo" xfId="382"/>
    <cellStyle name="_Swap - CCL 04 - Dezembro-09 4_Safra 10-11 Derivativo" xfId="383"/>
    <cellStyle name="_Swap - CCL 04 - Dezembro-09 5" xfId="384"/>
    <cellStyle name="_Swap - CCL 04 - Dezembro-09 5_Resumo" xfId="385"/>
    <cellStyle name="_Swap - CCL 04 - Dezembro-09 5_Safra 10-11 Derivativo" xfId="386"/>
    <cellStyle name="_Swap - CCL 04 - Dezembro-09 6" xfId="387"/>
    <cellStyle name="_Swap - CCL 04 - Dezembro-09 6_Resumo" xfId="388"/>
    <cellStyle name="_Swap - CCL 04 - Dezembro-09 6_Safra 10-11 Derivativo" xfId="389"/>
    <cellStyle name="_Swap - CCL 04 - Dezembro-09 7" xfId="390"/>
    <cellStyle name="_Swap - CCL 04 - Dezembro-09 7_Resumo" xfId="391"/>
    <cellStyle name="_Swap - CCL 04 - Dezembro-09 7_Safra 10-11 Derivativo" xfId="392"/>
    <cellStyle name="_Swap - CCL 04 - Dezembro-09_Resumo" xfId="393"/>
    <cellStyle name="_Swap - CCL 04 - Janeiro-10" xfId="394"/>
    <cellStyle name="_Swap - CCL 04 - Janeiro-10 2" xfId="395"/>
    <cellStyle name="_Swap - CCL 04 - Janeiro-10 2_Resumo" xfId="396"/>
    <cellStyle name="_Swap - CCL 04 - Janeiro-10 2_Safra 10-11 Derivativo" xfId="397"/>
    <cellStyle name="_Swap - CCL 04 - Janeiro-10 3" xfId="398"/>
    <cellStyle name="_Swap - CCL 04 - Janeiro-10 3_Resumo" xfId="399"/>
    <cellStyle name="_Swap - CCL 04 - Janeiro-10 3_Safra 10-11 Derivativo" xfId="400"/>
    <cellStyle name="_Swap - CCL 04 - Janeiro-10 4" xfId="401"/>
    <cellStyle name="_Swap - CCL 04 - Janeiro-10 4_Resumo" xfId="402"/>
    <cellStyle name="_Swap - CCL 04 - Janeiro-10 4_Safra 10-11 Derivativo" xfId="403"/>
    <cellStyle name="_Swap - CCL 04 - Janeiro-10 5" xfId="404"/>
    <cellStyle name="_Swap - CCL 04 - Janeiro-10 5_Resumo" xfId="405"/>
    <cellStyle name="_Swap - CCL 04 - Janeiro-10 5_Safra 10-11 Derivativo" xfId="406"/>
    <cellStyle name="_Swap - CCL 04 - Janeiro-10 6" xfId="407"/>
    <cellStyle name="_Swap - CCL 04 - Janeiro-10 6_Resumo" xfId="408"/>
    <cellStyle name="_Swap - CCL 04 - Janeiro-10 6_Safra 10-11 Derivativo" xfId="409"/>
    <cellStyle name="_Swap - CCL 04 - Janeiro-10 7" xfId="410"/>
    <cellStyle name="_Swap - CCL 04 - Janeiro-10 7_Resumo" xfId="411"/>
    <cellStyle name="_Swap - CCL 04 - Janeiro-10 7_Safra 10-11 Derivativo" xfId="412"/>
    <cellStyle name="_Swap - CCL 04 - Janeiro-10_Resumo" xfId="413"/>
    <cellStyle name="_Swap - CCL 05 - Janeiro-10" xfId="414"/>
    <cellStyle name="_Swap - CCL 05 - Janeiro-10 2" xfId="415"/>
    <cellStyle name="_Swap - CCL 05 - Janeiro-10 2_Resumo" xfId="416"/>
    <cellStyle name="_Swap - CCL 05 - Janeiro-10 2_Safra 10-11 Derivativo" xfId="417"/>
    <cellStyle name="_Swap - CCL 05 - Janeiro-10 3" xfId="418"/>
    <cellStyle name="_Swap - CCL 05 - Janeiro-10 3_Resumo" xfId="419"/>
    <cellStyle name="_Swap - CCL 05 - Janeiro-10 3_Safra 10-11 Derivativo" xfId="420"/>
    <cellStyle name="_Swap - CCL 05 - Janeiro-10 4" xfId="421"/>
    <cellStyle name="_Swap - CCL 05 - Janeiro-10 4_Resumo" xfId="422"/>
    <cellStyle name="_Swap - CCL 05 - Janeiro-10 4_Safra 10-11 Derivativo" xfId="423"/>
    <cellStyle name="_Swap - CCL 05 - Janeiro-10 5" xfId="424"/>
    <cellStyle name="_Swap - CCL 05 - Janeiro-10 5_Resumo" xfId="425"/>
    <cellStyle name="_Swap - CCL 05 - Janeiro-10 5_Safra 10-11 Derivativo" xfId="426"/>
    <cellStyle name="_Swap - CCL 05 - Janeiro-10 6" xfId="427"/>
    <cellStyle name="_Swap - CCL 05 - Janeiro-10 6_Resumo" xfId="428"/>
    <cellStyle name="_Swap - CCL 05 - Janeiro-10 6_Safra 10-11 Derivativo" xfId="429"/>
    <cellStyle name="_Swap - CCL 05 - Janeiro-10 7" xfId="430"/>
    <cellStyle name="_Swap - CCL 05 - Janeiro-10 7_Resumo" xfId="431"/>
    <cellStyle name="_Swap - CCL 05 - Janeiro-10 7_Safra 10-11 Derivativo" xfId="432"/>
    <cellStyle name="_Swap - CCL 05 - Janeiro-10_Resumo" xfId="433"/>
    <cellStyle name="_Swap - CCL 05 - Novembro-09" xfId="434"/>
    <cellStyle name="_Swap - CCL 05 - Novembro-09 2" xfId="435"/>
    <cellStyle name="_Swap - CCL 05 - Novembro-09_Resumo" xfId="436"/>
    <cellStyle name="_Swap - CCL 06 - Janeiro-10" xfId="437"/>
    <cellStyle name="_Swap - CCL 06 - Janeiro-10_Resumo" xfId="438"/>
    <cellStyle name="_Swap - CCL 06 - Novembro-09" xfId="439"/>
    <cellStyle name="_Swap - CCL 06 - Novembro-09_Resumo" xfId="440"/>
    <cellStyle name="_Swap - CCL 07 - Dezembro-09" xfId="441"/>
    <cellStyle name="_Swap - CCL 07 - Dezembro-09 (2)" xfId="442"/>
    <cellStyle name="_Swap - CCL 07 - Dezembro-09 (2)_Resumo" xfId="443"/>
    <cellStyle name="_Swap - CCL 07 - Dezembro-09_Resumo" xfId="444"/>
    <cellStyle name="_Swap - CCL 07 - Janeiro-10" xfId="445"/>
    <cellStyle name="_Swap - CCL 07 - Janeiro-10 (2)" xfId="446"/>
    <cellStyle name="_Swap - CCL 07 - Janeiro-10 (2)_Resumo" xfId="447"/>
    <cellStyle name="_Swap - CCL 07 - Janeiro-10_Resumo" xfId="448"/>
    <cellStyle name="_Swap - CCL 08 - Dezembro-09 (2)" xfId="449"/>
    <cellStyle name="_Swap - CCL 08 - Dezembro-09 (2)_Resumo" xfId="450"/>
    <cellStyle name="_Swap - CCL 09 - Novembro-09" xfId="451"/>
    <cellStyle name="_Swap - CCL 09 - Novembro-09 (2)" xfId="452"/>
    <cellStyle name="_Swap - CCL 09 - Novembro-09 (2)_Resumo" xfId="453"/>
    <cellStyle name="_Swap - CCL 09 - Novembro-09_Resumo" xfId="454"/>
    <cellStyle name="_Swap - CCL 10 - Dezembro-09" xfId="455"/>
    <cellStyle name="_Swap - CCL 10 - Dezembro-09_Resumo" xfId="456"/>
    <cellStyle name="_Swap - CCL 11 - Dezembro-09" xfId="457"/>
    <cellStyle name="_Swap - CCL 11 - Dezembro-09_Resumo" xfId="458"/>
    <cellStyle name="_Swap - CCL 11 - Janeiro-10" xfId="459"/>
    <cellStyle name="_Swap - CCL 11 - Janeiro-10 (2)" xfId="460"/>
    <cellStyle name="_Swap - CCL 11 - Janeiro-10 (2)_Resumo" xfId="461"/>
    <cellStyle name="_Swap - CCL 11 - Janeiro-10_Resumo" xfId="462"/>
    <cellStyle name="_Swap - CCL 12 - Novembro-09" xfId="463"/>
    <cellStyle name="_Swap - CCL 12 - Novembro-09_Resumo" xfId="464"/>
    <cellStyle name="_Swap - CCL 13 - Janeiro-10" xfId="465"/>
    <cellStyle name="_Swap - CCL 13 - Janeiro-10_Resumo" xfId="466"/>
    <cellStyle name="_Swap - CCL 13 - Novembro-09" xfId="467"/>
    <cellStyle name="_Swap - CCL 13 - Novembro-09_Resumo" xfId="468"/>
    <cellStyle name="_Swap - CCL 14 - Dezembro-09" xfId="469"/>
    <cellStyle name="_Swap - CCL 14 - Dezembro-09_Resumo" xfId="470"/>
    <cellStyle name="_Swap - CCL 15 - Dezembro-09" xfId="471"/>
    <cellStyle name="_Swap - CCL 15 - Dezembro-09_Resumo" xfId="472"/>
    <cellStyle name="_Swap - CCL 15 - Janeiro-10" xfId="473"/>
    <cellStyle name="_Swap - CCL 15 - Janeiro-10_Resumo" xfId="474"/>
    <cellStyle name="_Swap - CCL 16 - Dezembro-09" xfId="475"/>
    <cellStyle name="_Swap - CCL 16 - Dezembro-09_Resumo" xfId="476"/>
    <cellStyle name="_Swap - CCL 16 - Novembro-09" xfId="477"/>
    <cellStyle name="_Swap - CCL 16 - Novembro-09_Resumo" xfId="478"/>
    <cellStyle name="_Swap - CCL 17 - Dezembro-09" xfId="479"/>
    <cellStyle name="_Swap - CCL 17 - Dezembro-09_Resumo" xfId="480"/>
    <cellStyle name="_Swap - CCL 17 - Novembro-09" xfId="481"/>
    <cellStyle name="_Swap - CCL 17 - Novembro-09_Resumo" xfId="482"/>
    <cellStyle name="_Swap - CCL 18 - Dezembro-09" xfId="483"/>
    <cellStyle name="_Swap - CCL 18 - Dezembro-09_Resumo" xfId="484"/>
    <cellStyle name="_Swap - CCL 18 - Janeiro-10" xfId="485"/>
    <cellStyle name="_Swap - CCL 18 - Janeiro-10_Resumo" xfId="486"/>
    <cellStyle name="_Swap - CCL 18 - Novembro-09" xfId="487"/>
    <cellStyle name="_Swap - CCL 18 - Novembro-09_Resumo" xfId="488"/>
    <cellStyle name="_Swap - CCL 20 - Janeiro-10" xfId="489"/>
    <cellStyle name="_Swap - CCL 20 - Janeiro-10_Resumo" xfId="490"/>
    <cellStyle name="_Swap - CCL 21 - Dezembro-09" xfId="491"/>
    <cellStyle name="_Swap - CCL 21 - Dezembro-09_Resumo" xfId="492"/>
    <cellStyle name="_Swap - CCL 21 - Janeiro-10" xfId="493"/>
    <cellStyle name="_Swap - CCL 21 - Janeiro-10_Resumo" xfId="494"/>
    <cellStyle name="_Swap - CCL 22 - Dezembro-09" xfId="495"/>
    <cellStyle name="_Swap - CCL 22 - Dezembro-09_Resumo" xfId="496"/>
    <cellStyle name="_Swap - CCL 23 - Dezembro-09" xfId="497"/>
    <cellStyle name="_Swap - CCL 23 - Dezembro-09_Resumo" xfId="498"/>
    <cellStyle name="_Swap - CCL 24 - Dezembro-09" xfId="499"/>
    <cellStyle name="_Swap - CCL 24 - Dezembro-09_Resumo" xfId="500"/>
    <cellStyle name="_Swap - CCL 28 - Dezembro-09" xfId="501"/>
    <cellStyle name="_Swap - CCL 28 - Dezembro-09_Resumo" xfId="502"/>
    <cellStyle name="_Swap - CCL 29 - Dezembro-09" xfId="503"/>
    <cellStyle name="_Swap - CCL 29 - Dezembro-09_Resumo" xfId="504"/>
    <cellStyle name="_Swap - CCL 30 - Novembro-09" xfId="505"/>
    <cellStyle name="_Swap - CCL 30 - Novembro-09_Resumo" xfId="506"/>
    <cellStyle name="_Swap-Standard 14-Janeiro-10" xfId="507"/>
    <cellStyle name="_Swap-Standard 14-Janeiro-10_Resumo" xfId="508"/>
    <cellStyle name="_Tabela Consolidação v9" xfId="509"/>
    <cellStyle name="_Tabela Consolidação v9_3-Balanço" xfId="510"/>
    <cellStyle name="_Tabela Consolidação v9_Balanço" xfId="511"/>
    <cellStyle name="_Tabela Consolidação v9_Plan1" xfId="512"/>
    <cellStyle name="_Tabela Consolidação v9_Plan1_3-Balanço" xfId="513"/>
    <cellStyle name="_Tabela Consolidação v9_Plan1_Balanço" xfId="514"/>
    <cellStyle name="£ BP" xfId="515"/>
    <cellStyle name="£ BP 2" xfId="516"/>
    <cellStyle name="£ BP 3" xfId="517"/>
    <cellStyle name="£ BP 4" xfId="518"/>
    <cellStyle name="£ BP_13-Endividamento" xfId="519"/>
    <cellStyle name="¥ JY" xfId="520"/>
    <cellStyle name="¥ JY 2" xfId="521"/>
    <cellStyle name="¥ JY 3" xfId="522"/>
    <cellStyle name="¥ JY 4" xfId="523"/>
    <cellStyle name="¥ JY_13-Endividamento" xfId="524"/>
    <cellStyle name="+/-" xfId="525"/>
    <cellStyle name="=C:\WINNT35\SYSTEM32\COMMAND.COM" xfId="130"/>
    <cellStyle name="0_Capex &amp; Depreciation " xfId="7"/>
    <cellStyle name="0_Capex &amp; Depreciation  2" xfId="131"/>
    <cellStyle name="0_Capex &amp; Depreciation _RRST1" xfId="132"/>
    <cellStyle name="0_Capex &amp; Depreciation _RRST7" xfId="133"/>
    <cellStyle name="0_Valuing BP " xfId="8"/>
    <cellStyle name="0_Valuing BP  2" xfId="134"/>
    <cellStyle name="0_Valuing BP _RRST1" xfId="135"/>
    <cellStyle name="0_Valuing BP _RRST7" xfId="136"/>
    <cellStyle name="1_Historical data - Cosan " xfId="137"/>
    <cellStyle name="20% - Accent1" xfId="9" builtinId="30" customBuiltin="1"/>
    <cellStyle name="20% - Accent1 10" xfId="526"/>
    <cellStyle name="20% - Accent1 11" xfId="527"/>
    <cellStyle name="20% - Accent1 12" xfId="528"/>
    <cellStyle name="20% - Accent1 13" xfId="529"/>
    <cellStyle name="20% - Accent1 14" xfId="530"/>
    <cellStyle name="20% - Accent1 15" xfId="531"/>
    <cellStyle name="20% - Accent1 16" xfId="532"/>
    <cellStyle name="20% - Accent1 17" xfId="533"/>
    <cellStyle name="20% - Accent1 18" xfId="534"/>
    <cellStyle name="20% - Accent1 19" xfId="535"/>
    <cellStyle name="20% - Accent1 2" xfId="536"/>
    <cellStyle name="20% - Accent1 2 10" xfId="537"/>
    <cellStyle name="20% - Accent1 2 11" xfId="538"/>
    <cellStyle name="20% - Accent1 2 12" xfId="539"/>
    <cellStyle name="20% - Accent1 2 2" xfId="540"/>
    <cellStyle name="20% - Accent1 2 2 2" xfId="541"/>
    <cellStyle name="20% - Accent1 2 2 3" xfId="542"/>
    <cellStyle name="20% - Accent1 2 2 4" xfId="543"/>
    <cellStyle name="20% - Accent1 2 2 5" xfId="544"/>
    <cellStyle name="20% - Accent1 2 3" xfId="545"/>
    <cellStyle name="20% - Accent1 2 3 2" xfId="546"/>
    <cellStyle name="20% - Accent1 2 3 3" xfId="547"/>
    <cellStyle name="20% - Accent1 2 3 4" xfId="548"/>
    <cellStyle name="20% - Accent1 2 4" xfId="549"/>
    <cellStyle name="20% - Accent1 2 4 2" xfId="550"/>
    <cellStyle name="20% - Accent1 2 4 3" xfId="551"/>
    <cellStyle name="20% - Accent1 2 4 4" xfId="552"/>
    <cellStyle name="20% - Accent1 2 5" xfId="553"/>
    <cellStyle name="20% - Accent1 2 5 2" xfId="554"/>
    <cellStyle name="20% - Accent1 2 5 3" xfId="555"/>
    <cellStyle name="20% - Accent1 2 5 4" xfId="556"/>
    <cellStyle name="20% - Accent1 2 6" xfId="557"/>
    <cellStyle name="20% - Accent1 2 7" xfId="558"/>
    <cellStyle name="20% - Accent1 2 8" xfId="559"/>
    <cellStyle name="20% - Accent1 2 9" xfId="560"/>
    <cellStyle name="20% - Accent1 2_13-Endividamento" xfId="561"/>
    <cellStyle name="20% - Accent1 20" xfId="562"/>
    <cellStyle name="20% - Accent1 21" xfId="563"/>
    <cellStyle name="20% - Accent1 22" xfId="564"/>
    <cellStyle name="20% - Accent1 22 2" xfId="21325"/>
    <cellStyle name="20% - Accent1 22 2 2" xfId="21452"/>
    <cellStyle name="20% - Accent1 22 3" xfId="21408"/>
    <cellStyle name="20% - Accent1 3" xfId="565"/>
    <cellStyle name="20% - Accent1 3 10" xfId="566"/>
    <cellStyle name="20% - Accent1 3 2" xfId="567"/>
    <cellStyle name="20% - Accent1 3 2 2" xfId="568"/>
    <cellStyle name="20% - Accent1 3 2 3" xfId="569"/>
    <cellStyle name="20% - Accent1 3 2 4" xfId="570"/>
    <cellStyle name="20% - Accent1 3 3" xfId="571"/>
    <cellStyle name="20% - Accent1 3 3 2" xfId="572"/>
    <cellStyle name="20% - Accent1 3 3 3" xfId="573"/>
    <cellStyle name="20% - Accent1 3 3 4" xfId="574"/>
    <cellStyle name="20% - Accent1 3 4" xfId="575"/>
    <cellStyle name="20% - Accent1 3 4 2" xfId="576"/>
    <cellStyle name="20% - Accent1 3 4 3" xfId="577"/>
    <cellStyle name="20% - Accent1 3 4 4" xfId="578"/>
    <cellStyle name="20% - Accent1 3 5" xfId="579"/>
    <cellStyle name="20% - Accent1 3 5 2" xfId="580"/>
    <cellStyle name="20% - Accent1 3 5 3" xfId="581"/>
    <cellStyle name="20% - Accent1 3 5 4" xfId="582"/>
    <cellStyle name="20% - Accent1 3 6" xfId="583"/>
    <cellStyle name="20% - Accent1 3 7" xfId="584"/>
    <cellStyle name="20% - Accent1 3 8" xfId="585"/>
    <cellStyle name="20% - Accent1 3 9" xfId="586"/>
    <cellStyle name="20% - Accent1 4" xfId="587"/>
    <cellStyle name="20% - Accent1 5" xfId="588"/>
    <cellStyle name="20% - Accent1 6" xfId="589"/>
    <cellStyle name="20% - Accent1 7" xfId="590"/>
    <cellStyle name="20% - Accent1 8" xfId="591"/>
    <cellStyle name="20% - Accent1 9" xfId="592"/>
    <cellStyle name="20% - Accent2" xfId="10" builtinId="34" customBuiltin="1"/>
    <cellStyle name="20% - Accent2 10" xfId="593"/>
    <cellStyle name="20% - Accent2 11" xfId="594"/>
    <cellStyle name="20% - Accent2 12" xfId="595"/>
    <cellStyle name="20% - Accent2 13" xfId="596"/>
    <cellStyle name="20% - Accent2 14" xfId="597"/>
    <cellStyle name="20% - Accent2 15" xfId="598"/>
    <cellStyle name="20% - Accent2 16" xfId="599"/>
    <cellStyle name="20% - Accent2 17" xfId="600"/>
    <cellStyle name="20% - Accent2 18" xfId="601"/>
    <cellStyle name="20% - Accent2 19" xfId="602"/>
    <cellStyle name="20% - Accent2 2" xfId="603"/>
    <cellStyle name="20% - Accent2 2 10" xfId="604"/>
    <cellStyle name="20% - Accent2 2 11" xfId="605"/>
    <cellStyle name="20% - Accent2 2 12" xfId="606"/>
    <cellStyle name="20% - Accent2 2 2" xfId="607"/>
    <cellStyle name="20% - Accent2 2 2 2" xfId="608"/>
    <cellStyle name="20% - Accent2 2 2 3" xfId="609"/>
    <cellStyle name="20% - Accent2 2 2 4" xfId="610"/>
    <cellStyle name="20% - Accent2 2 2 5" xfId="611"/>
    <cellStyle name="20% - Accent2 2 3" xfId="612"/>
    <cellStyle name="20% - Accent2 2 3 2" xfId="613"/>
    <cellStyle name="20% - Accent2 2 3 3" xfId="614"/>
    <cellStyle name="20% - Accent2 2 3 4" xfId="615"/>
    <cellStyle name="20% - Accent2 2 4" xfId="616"/>
    <cellStyle name="20% - Accent2 2 4 2" xfId="617"/>
    <cellStyle name="20% - Accent2 2 4 3" xfId="618"/>
    <cellStyle name="20% - Accent2 2 4 4" xfId="619"/>
    <cellStyle name="20% - Accent2 2 5" xfId="620"/>
    <cellStyle name="20% - Accent2 2 5 2" xfId="621"/>
    <cellStyle name="20% - Accent2 2 5 3" xfId="622"/>
    <cellStyle name="20% - Accent2 2 5 4" xfId="623"/>
    <cellStyle name="20% - Accent2 2 6" xfId="624"/>
    <cellStyle name="20% - Accent2 2 7" xfId="625"/>
    <cellStyle name="20% - Accent2 2 8" xfId="626"/>
    <cellStyle name="20% - Accent2 2 9" xfId="627"/>
    <cellStyle name="20% - Accent2 2_13-Endividamento" xfId="628"/>
    <cellStyle name="20% - Accent2 20" xfId="629"/>
    <cellStyle name="20% - Accent2 21" xfId="630"/>
    <cellStyle name="20% - Accent2 22" xfId="631"/>
    <cellStyle name="20% - Accent2 22 2" xfId="21326"/>
    <cellStyle name="20% - Accent2 22 2 2" xfId="21453"/>
    <cellStyle name="20% - Accent2 22 3" xfId="21409"/>
    <cellStyle name="20% - Accent2 3" xfId="632"/>
    <cellStyle name="20% - Accent2 3 10" xfId="633"/>
    <cellStyle name="20% - Accent2 3 2" xfId="634"/>
    <cellStyle name="20% - Accent2 3 2 2" xfId="635"/>
    <cellStyle name="20% - Accent2 3 2 3" xfId="636"/>
    <cellStyle name="20% - Accent2 3 2 4" xfId="637"/>
    <cellStyle name="20% - Accent2 3 3" xfId="638"/>
    <cellStyle name="20% - Accent2 3 3 2" xfId="639"/>
    <cellStyle name="20% - Accent2 3 3 3" xfId="640"/>
    <cellStyle name="20% - Accent2 3 3 4" xfId="641"/>
    <cellStyle name="20% - Accent2 3 4" xfId="642"/>
    <cellStyle name="20% - Accent2 3 4 2" xfId="643"/>
    <cellStyle name="20% - Accent2 3 4 3" xfId="644"/>
    <cellStyle name="20% - Accent2 3 4 4" xfId="645"/>
    <cellStyle name="20% - Accent2 3 5" xfId="646"/>
    <cellStyle name="20% - Accent2 3 5 2" xfId="647"/>
    <cellStyle name="20% - Accent2 3 5 3" xfId="648"/>
    <cellStyle name="20% - Accent2 3 5 4" xfId="649"/>
    <cellStyle name="20% - Accent2 3 6" xfId="650"/>
    <cellStyle name="20% - Accent2 3 7" xfId="651"/>
    <cellStyle name="20% - Accent2 3 8" xfId="652"/>
    <cellStyle name="20% - Accent2 3 9" xfId="653"/>
    <cellStyle name="20% - Accent2 4" xfId="654"/>
    <cellStyle name="20% - Accent2 5" xfId="655"/>
    <cellStyle name="20% - Accent2 6" xfId="656"/>
    <cellStyle name="20% - Accent2 7" xfId="657"/>
    <cellStyle name="20% - Accent2 8" xfId="658"/>
    <cellStyle name="20% - Accent2 9" xfId="659"/>
    <cellStyle name="20% - Accent3" xfId="11" builtinId="38" customBuiltin="1"/>
    <cellStyle name="20% - Accent3 10" xfId="660"/>
    <cellStyle name="20% - Accent3 11" xfId="661"/>
    <cellStyle name="20% - Accent3 12" xfId="662"/>
    <cellStyle name="20% - Accent3 13" xfId="663"/>
    <cellStyle name="20% - Accent3 14" xfId="664"/>
    <cellStyle name="20% - Accent3 15" xfId="665"/>
    <cellStyle name="20% - Accent3 16" xfId="666"/>
    <cellStyle name="20% - Accent3 17" xfId="667"/>
    <cellStyle name="20% - Accent3 18" xfId="668"/>
    <cellStyle name="20% - Accent3 19" xfId="669"/>
    <cellStyle name="20% - Accent3 2" xfId="670"/>
    <cellStyle name="20% - Accent3 2 10" xfId="671"/>
    <cellStyle name="20% - Accent3 2 11" xfId="672"/>
    <cellStyle name="20% - Accent3 2 12" xfId="673"/>
    <cellStyle name="20% - Accent3 2 2" xfId="674"/>
    <cellStyle name="20% - Accent3 2 2 2" xfId="675"/>
    <cellStyle name="20% - Accent3 2 2 3" xfId="676"/>
    <cellStyle name="20% - Accent3 2 2 4" xfId="677"/>
    <cellStyle name="20% - Accent3 2 2 5" xfId="678"/>
    <cellStyle name="20% - Accent3 2 3" xfId="679"/>
    <cellStyle name="20% - Accent3 2 3 2" xfId="680"/>
    <cellStyle name="20% - Accent3 2 3 3" xfId="681"/>
    <cellStyle name="20% - Accent3 2 3 4" xfId="682"/>
    <cellStyle name="20% - Accent3 2 4" xfId="683"/>
    <cellStyle name="20% - Accent3 2 4 2" xfId="684"/>
    <cellStyle name="20% - Accent3 2 4 3" xfId="685"/>
    <cellStyle name="20% - Accent3 2 4 4" xfId="686"/>
    <cellStyle name="20% - Accent3 2 5" xfId="687"/>
    <cellStyle name="20% - Accent3 2 5 2" xfId="688"/>
    <cellStyle name="20% - Accent3 2 5 3" xfId="689"/>
    <cellStyle name="20% - Accent3 2 5 4" xfId="690"/>
    <cellStyle name="20% - Accent3 2 6" xfId="691"/>
    <cellStyle name="20% - Accent3 2 7" xfId="692"/>
    <cellStyle name="20% - Accent3 2 8" xfId="693"/>
    <cellStyle name="20% - Accent3 2 9" xfId="694"/>
    <cellStyle name="20% - Accent3 2_13-Endividamento" xfId="695"/>
    <cellStyle name="20% - Accent3 20" xfId="696"/>
    <cellStyle name="20% - Accent3 21" xfId="697"/>
    <cellStyle name="20% - Accent3 22" xfId="698"/>
    <cellStyle name="20% - Accent3 22 2" xfId="21327"/>
    <cellStyle name="20% - Accent3 22 2 2" xfId="21454"/>
    <cellStyle name="20% - Accent3 22 3" xfId="21410"/>
    <cellStyle name="20% - Accent3 3" xfId="699"/>
    <cellStyle name="20% - Accent3 3 10" xfId="700"/>
    <cellStyle name="20% - Accent3 3 2" xfId="701"/>
    <cellStyle name="20% - Accent3 3 2 2" xfId="702"/>
    <cellStyle name="20% - Accent3 3 2 3" xfId="703"/>
    <cellStyle name="20% - Accent3 3 2 4" xfId="704"/>
    <cellStyle name="20% - Accent3 3 3" xfId="705"/>
    <cellStyle name="20% - Accent3 3 3 2" xfId="706"/>
    <cellStyle name="20% - Accent3 3 3 3" xfId="707"/>
    <cellStyle name="20% - Accent3 3 3 4" xfId="708"/>
    <cellStyle name="20% - Accent3 3 4" xfId="709"/>
    <cellStyle name="20% - Accent3 3 4 2" xfId="710"/>
    <cellStyle name="20% - Accent3 3 4 3" xfId="711"/>
    <cellStyle name="20% - Accent3 3 4 4" xfId="712"/>
    <cellStyle name="20% - Accent3 3 5" xfId="713"/>
    <cellStyle name="20% - Accent3 3 5 2" xfId="714"/>
    <cellStyle name="20% - Accent3 3 5 3" xfId="715"/>
    <cellStyle name="20% - Accent3 3 5 4" xfId="716"/>
    <cellStyle name="20% - Accent3 3 6" xfId="717"/>
    <cellStyle name="20% - Accent3 3 7" xfId="718"/>
    <cellStyle name="20% - Accent3 3 8" xfId="719"/>
    <cellStyle name="20% - Accent3 3 9" xfId="720"/>
    <cellStyle name="20% - Accent3 4" xfId="721"/>
    <cellStyle name="20% - Accent3 5" xfId="722"/>
    <cellStyle name="20% - Accent3 6" xfId="723"/>
    <cellStyle name="20% - Accent3 7" xfId="724"/>
    <cellStyle name="20% - Accent3 8" xfId="725"/>
    <cellStyle name="20% - Accent3 9" xfId="726"/>
    <cellStyle name="20% - Accent4" xfId="12" builtinId="42" customBuiltin="1"/>
    <cellStyle name="20% - Accent4 10" xfId="727"/>
    <cellStyle name="20% - Accent4 11" xfId="728"/>
    <cellStyle name="20% - Accent4 12" xfId="729"/>
    <cellStyle name="20% - Accent4 13" xfId="730"/>
    <cellStyle name="20% - Accent4 14" xfId="731"/>
    <cellStyle name="20% - Accent4 15" xfId="732"/>
    <cellStyle name="20% - Accent4 16" xfId="733"/>
    <cellStyle name="20% - Accent4 17" xfId="734"/>
    <cellStyle name="20% - Accent4 18" xfId="735"/>
    <cellStyle name="20% - Accent4 19" xfId="736"/>
    <cellStyle name="20% - Accent4 2" xfId="737"/>
    <cellStyle name="20% - Accent4 2 10" xfId="738"/>
    <cellStyle name="20% - Accent4 2 11" xfId="739"/>
    <cellStyle name="20% - Accent4 2 12" xfId="740"/>
    <cellStyle name="20% - Accent4 2 2" xfId="741"/>
    <cellStyle name="20% - Accent4 2 2 2" xfId="742"/>
    <cellStyle name="20% - Accent4 2 2 3" xfId="743"/>
    <cellStyle name="20% - Accent4 2 2 4" xfId="744"/>
    <cellStyle name="20% - Accent4 2 2 5" xfId="745"/>
    <cellStyle name="20% - Accent4 2 3" xfId="746"/>
    <cellStyle name="20% - Accent4 2 3 2" xfId="747"/>
    <cellStyle name="20% - Accent4 2 3 3" xfId="748"/>
    <cellStyle name="20% - Accent4 2 3 4" xfId="749"/>
    <cellStyle name="20% - Accent4 2 4" xfId="750"/>
    <cellStyle name="20% - Accent4 2 4 2" xfId="751"/>
    <cellStyle name="20% - Accent4 2 4 3" xfId="752"/>
    <cellStyle name="20% - Accent4 2 4 4" xfId="753"/>
    <cellStyle name="20% - Accent4 2 5" xfId="754"/>
    <cellStyle name="20% - Accent4 2 5 2" xfId="755"/>
    <cellStyle name="20% - Accent4 2 5 3" xfId="756"/>
    <cellStyle name="20% - Accent4 2 5 4" xfId="757"/>
    <cellStyle name="20% - Accent4 2 6" xfId="758"/>
    <cellStyle name="20% - Accent4 2 7" xfId="759"/>
    <cellStyle name="20% - Accent4 2 8" xfId="760"/>
    <cellStyle name="20% - Accent4 2 9" xfId="761"/>
    <cellStyle name="20% - Accent4 2_13-Endividamento" xfId="762"/>
    <cellStyle name="20% - Accent4 20" xfId="763"/>
    <cellStyle name="20% - Accent4 21" xfId="764"/>
    <cellStyle name="20% - Accent4 22" xfId="765"/>
    <cellStyle name="20% - Accent4 22 2" xfId="21328"/>
    <cellStyle name="20% - Accent4 22 2 2" xfId="21455"/>
    <cellStyle name="20% - Accent4 22 3" xfId="21411"/>
    <cellStyle name="20% - Accent4 3" xfId="766"/>
    <cellStyle name="20% - Accent4 3 10" xfId="767"/>
    <cellStyle name="20% - Accent4 3 2" xfId="768"/>
    <cellStyle name="20% - Accent4 3 2 2" xfId="769"/>
    <cellStyle name="20% - Accent4 3 2 3" xfId="770"/>
    <cellStyle name="20% - Accent4 3 2 4" xfId="771"/>
    <cellStyle name="20% - Accent4 3 3" xfId="772"/>
    <cellStyle name="20% - Accent4 3 3 2" xfId="773"/>
    <cellStyle name="20% - Accent4 3 3 3" xfId="774"/>
    <cellStyle name="20% - Accent4 3 3 4" xfId="775"/>
    <cellStyle name="20% - Accent4 3 4" xfId="776"/>
    <cellStyle name="20% - Accent4 3 4 2" xfId="777"/>
    <cellStyle name="20% - Accent4 3 4 3" xfId="778"/>
    <cellStyle name="20% - Accent4 3 4 4" xfId="779"/>
    <cellStyle name="20% - Accent4 3 5" xfId="780"/>
    <cellStyle name="20% - Accent4 3 5 2" xfId="781"/>
    <cellStyle name="20% - Accent4 3 5 3" xfId="782"/>
    <cellStyle name="20% - Accent4 3 5 4" xfId="783"/>
    <cellStyle name="20% - Accent4 3 6" xfId="784"/>
    <cellStyle name="20% - Accent4 3 7" xfId="785"/>
    <cellStyle name="20% - Accent4 3 8" xfId="786"/>
    <cellStyle name="20% - Accent4 3 9" xfId="787"/>
    <cellStyle name="20% - Accent4 4" xfId="788"/>
    <cellStyle name="20% - Accent4 5" xfId="789"/>
    <cellStyle name="20% - Accent4 6" xfId="790"/>
    <cellStyle name="20% - Accent4 7" xfId="791"/>
    <cellStyle name="20% - Accent4 8" xfId="792"/>
    <cellStyle name="20% - Accent4 9" xfId="793"/>
    <cellStyle name="20% - Accent5" xfId="13" builtinId="46" customBuiltin="1"/>
    <cellStyle name="20% - Accent5 10" xfId="794"/>
    <cellStyle name="20% - Accent5 11" xfId="795"/>
    <cellStyle name="20% - Accent5 12" xfId="796"/>
    <cellStyle name="20% - Accent5 13" xfId="797"/>
    <cellStyle name="20% - Accent5 14" xfId="798"/>
    <cellStyle name="20% - Accent5 15" xfId="799"/>
    <cellStyle name="20% - Accent5 16" xfId="800"/>
    <cellStyle name="20% - Accent5 17" xfId="801"/>
    <cellStyle name="20% - Accent5 18" xfId="802"/>
    <cellStyle name="20% - Accent5 19" xfId="803"/>
    <cellStyle name="20% - Accent5 2" xfId="804"/>
    <cellStyle name="20% - Accent5 2 10" xfId="805"/>
    <cellStyle name="20% - Accent5 2 11" xfId="806"/>
    <cellStyle name="20% - Accent5 2 12" xfId="807"/>
    <cellStyle name="20% - Accent5 2 2" xfId="808"/>
    <cellStyle name="20% - Accent5 2 2 2" xfId="809"/>
    <cellStyle name="20% - Accent5 2 2 3" xfId="810"/>
    <cellStyle name="20% - Accent5 2 2 4" xfId="811"/>
    <cellStyle name="20% - Accent5 2 2 5" xfId="812"/>
    <cellStyle name="20% - Accent5 2 3" xfId="813"/>
    <cellStyle name="20% - Accent5 2 3 2" xfId="814"/>
    <cellStyle name="20% - Accent5 2 3 3" xfId="815"/>
    <cellStyle name="20% - Accent5 2 3 4" xfId="816"/>
    <cellStyle name="20% - Accent5 2 4" xfId="817"/>
    <cellStyle name="20% - Accent5 2 4 2" xfId="818"/>
    <cellStyle name="20% - Accent5 2 4 3" xfId="819"/>
    <cellStyle name="20% - Accent5 2 4 4" xfId="820"/>
    <cellStyle name="20% - Accent5 2 5" xfId="821"/>
    <cellStyle name="20% - Accent5 2 5 2" xfId="822"/>
    <cellStyle name="20% - Accent5 2 5 3" xfId="823"/>
    <cellStyle name="20% - Accent5 2 5 4" xfId="824"/>
    <cellStyle name="20% - Accent5 2 6" xfId="825"/>
    <cellStyle name="20% - Accent5 2 7" xfId="826"/>
    <cellStyle name="20% - Accent5 2 8" xfId="827"/>
    <cellStyle name="20% - Accent5 2 9" xfId="828"/>
    <cellStyle name="20% - Accent5 2_13-Endividamento" xfId="829"/>
    <cellStyle name="20% - Accent5 20" xfId="830"/>
    <cellStyle name="20% - Accent5 21" xfId="831"/>
    <cellStyle name="20% - Accent5 22" xfId="832"/>
    <cellStyle name="20% - Accent5 22 2" xfId="21329"/>
    <cellStyle name="20% - Accent5 22 2 2" xfId="21456"/>
    <cellStyle name="20% - Accent5 22 3" xfId="21412"/>
    <cellStyle name="20% - Accent5 3" xfId="833"/>
    <cellStyle name="20% - Accent5 3 10" xfId="834"/>
    <cellStyle name="20% - Accent5 3 2" xfId="835"/>
    <cellStyle name="20% - Accent5 3 2 2" xfId="836"/>
    <cellStyle name="20% - Accent5 3 2 3" xfId="837"/>
    <cellStyle name="20% - Accent5 3 2 4" xfId="838"/>
    <cellStyle name="20% - Accent5 3 3" xfId="839"/>
    <cellStyle name="20% - Accent5 3 3 2" xfId="840"/>
    <cellStyle name="20% - Accent5 3 3 3" xfId="841"/>
    <cellStyle name="20% - Accent5 3 3 4" xfId="842"/>
    <cellStyle name="20% - Accent5 3 4" xfId="843"/>
    <cellStyle name="20% - Accent5 3 4 2" xfId="844"/>
    <cellStyle name="20% - Accent5 3 4 3" xfId="845"/>
    <cellStyle name="20% - Accent5 3 4 4" xfId="846"/>
    <cellStyle name="20% - Accent5 3 5" xfId="847"/>
    <cellStyle name="20% - Accent5 3 5 2" xfId="848"/>
    <cellStyle name="20% - Accent5 3 5 3" xfId="849"/>
    <cellStyle name="20% - Accent5 3 5 4" xfId="850"/>
    <cellStyle name="20% - Accent5 3 6" xfId="851"/>
    <cellStyle name="20% - Accent5 3 7" xfId="852"/>
    <cellStyle name="20% - Accent5 3 8" xfId="853"/>
    <cellStyle name="20% - Accent5 3 9" xfId="854"/>
    <cellStyle name="20% - Accent5 4" xfId="855"/>
    <cellStyle name="20% - Accent5 5" xfId="856"/>
    <cellStyle name="20% - Accent5 6" xfId="857"/>
    <cellStyle name="20% - Accent5 7" xfId="858"/>
    <cellStyle name="20% - Accent5 8" xfId="859"/>
    <cellStyle name="20% - Accent5 9" xfId="860"/>
    <cellStyle name="20% - Accent6" xfId="14" builtinId="50" customBuiltin="1"/>
    <cellStyle name="20% - Accent6 10" xfId="861"/>
    <cellStyle name="20% - Accent6 11" xfId="862"/>
    <cellStyle name="20% - Accent6 12" xfId="863"/>
    <cellStyle name="20% - Accent6 13" xfId="864"/>
    <cellStyle name="20% - Accent6 14" xfId="865"/>
    <cellStyle name="20% - Accent6 15" xfId="866"/>
    <cellStyle name="20% - Accent6 16" xfId="867"/>
    <cellStyle name="20% - Accent6 17" xfId="868"/>
    <cellStyle name="20% - Accent6 18" xfId="869"/>
    <cellStyle name="20% - Accent6 19" xfId="870"/>
    <cellStyle name="20% - Accent6 2" xfId="871"/>
    <cellStyle name="20% - Accent6 2 10" xfId="872"/>
    <cellStyle name="20% - Accent6 2 11" xfId="873"/>
    <cellStyle name="20% - Accent6 2 12" xfId="874"/>
    <cellStyle name="20% - Accent6 2 2" xfId="875"/>
    <cellStyle name="20% - Accent6 2 2 2" xfId="876"/>
    <cellStyle name="20% - Accent6 2 2 3" xfId="877"/>
    <cellStyle name="20% - Accent6 2 2 4" xfId="878"/>
    <cellStyle name="20% - Accent6 2 2 5" xfId="879"/>
    <cellStyle name="20% - Accent6 2 3" xfId="880"/>
    <cellStyle name="20% - Accent6 2 3 2" xfId="881"/>
    <cellStyle name="20% - Accent6 2 3 3" xfId="882"/>
    <cellStyle name="20% - Accent6 2 3 4" xfId="883"/>
    <cellStyle name="20% - Accent6 2 4" xfId="884"/>
    <cellStyle name="20% - Accent6 2 4 2" xfId="885"/>
    <cellStyle name="20% - Accent6 2 4 3" xfId="886"/>
    <cellStyle name="20% - Accent6 2 4 4" xfId="887"/>
    <cellStyle name="20% - Accent6 2 5" xfId="888"/>
    <cellStyle name="20% - Accent6 2 5 2" xfId="889"/>
    <cellStyle name="20% - Accent6 2 5 3" xfId="890"/>
    <cellStyle name="20% - Accent6 2 5 4" xfId="891"/>
    <cellStyle name="20% - Accent6 2 6" xfId="892"/>
    <cellStyle name="20% - Accent6 2 7" xfId="893"/>
    <cellStyle name="20% - Accent6 2 8" xfId="894"/>
    <cellStyle name="20% - Accent6 2 9" xfId="895"/>
    <cellStyle name="20% - Accent6 2_13-Endividamento" xfId="896"/>
    <cellStyle name="20% - Accent6 20" xfId="897"/>
    <cellStyle name="20% - Accent6 21" xfId="898"/>
    <cellStyle name="20% - Accent6 22" xfId="899"/>
    <cellStyle name="20% - Accent6 22 2" xfId="21330"/>
    <cellStyle name="20% - Accent6 22 2 2" xfId="21457"/>
    <cellStyle name="20% - Accent6 22 3" xfId="21413"/>
    <cellStyle name="20% - Accent6 3" xfId="900"/>
    <cellStyle name="20% - Accent6 3 10" xfId="901"/>
    <cellStyle name="20% - Accent6 3 2" xfId="902"/>
    <cellStyle name="20% - Accent6 3 2 2" xfId="903"/>
    <cellStyle name="20% - Accent6 3 2 3" xfId="904"/>
    <cellStyle name="20% - Accent6 3 2 4" xfId="905"/>
    <cellStyle name="20% - Accent6 3 3" xfId="906"/>
    <cellStyle name="20% - Accent6 3 3 2" xfId="907"/>
    <cellStyle name="20% - Accent6 3 3 3" xfId="908"/>
    <cellStyle name="20% - Accent6 3 3 4" xfId="909"/>
    <cellStyle name="20% - Accent6 3 4" xfId="910"/>
    <cellStyle name="20% - Accent6 3 4 2" xfId="911"/>
    <cellStyle name="20% - Accent6 3 4 3" xfId="912"/>
    <cellStyle name="20% - Accent6 3 4 4" xfId="913"/>
    <cellStyle name="20% - Accent6 3 5" xfId="914"/>
    <cellStyle name="20% - Accent6 3 5 2" xfId="915"/>
    <cellStyle name="20% - Accent6 3 5 3" xfId="916"/>
    <cellStyle name="20% - Accent6 3 5 4" xfId="917"/>
    <cellStyle name="20% - Accent6 3 6" xfId="918"/>
    <cellStyle name="20% - Accent6 3 7" xfId="919"/>
    <cellStyle name="20% - Accent6 3 8" xfId="920"/>
    <cellStyle name="20% - Accent6 3 9" xfId="921"/>
    <cellStyle name="20% - Accent6 4" xfId="922"/>
    <cellStyle name="20% - Accent6 5" xfId="923"/>
    <cellStyle name="20% - Accent6 6" xfId="924"/>
    <cellStyle name="20% - Accent6 7" xfId="925"/>
    <cellStyle name="20% - Accent6 8" xfId="926"/>
    <cellStyle name="20% - Accent6 9" xfId="927"/>
    <cellStyle name="20% - Ênfase1 10" xfId="928"/>
    <cellStyle name="20% - Ênfase1 2" xfId="929"/>
    <cellStyle name="20% - Ênfase1 2 2" xfId="930"/>
    <cellStyle name="20% - Ênfase1 2 2 2" xfId="931"/>
    <cellStyle name="20% - Ênfase1 2 2 3" xfId="932"/>
    <cellStyle name="20% - Ênfase1 2 2 4" xfId="933"/>
    <cellStyle name="20% - Ênfase1 2 2_13-Endividamento" xfId="934"/>
    <cellStyle name="20% - Ênfase1 2 3" xfId="935"/>
    <cellStyle name="20% - Ênfase1 2 4" xfId="936"/>
    <cellStyle name="20% - Ênfase1 2 5" xfId="937"/>
    <cellStyle name="20% - Ênfase1 2 6" xfId="938"/>
    <cellStyle name="20% - Ênfase1 2 7" xfId="939"/>
    <cellStyle name="20% - Ênfase1 2 8" xfId="940"/>
    <cellStyle name="20% - Ênfase1 2 9" xfId="21497"/>
    <cellStyle name="20% - Ênfase1 2_11_Combinação de neg. Zanin" xfId="941"/>
    <cellStyle name="20% - Ênfase1 3" xfId="942"/>
    <cellStyle name="20% - Ênfase1 3 2" xfId="943"/>
    <cellStyle name="20% - Ênfase1 3 2 2" xfId="944"/>
    <cellStyle name="20% - Ênfase1 3 2 3" xfId="945"/>
    <cellStyle name="20% - Ênfase1 3 2 4" xfId="946"/>
    <cellStyle name="20% - Ênfase1 3 2_13-Endividamento" xfId="947"/>
    <cellStyle name="20% - Ênfase1 3 3" xfId="948"/>
    <cellStyle name="20% - Ênfase1 3 4" xfId="949"/>
    <cellStyle name="20% - Ênfase1 3 5" xfId="950"/>
    <cellStyle name="20% - Ênfase1 3_13-Endividamento" xfId="951"/>
    <cellStyle name="20% - Ênfase1 4" xfId="952"/>
    <cellStyle name="20% - Ênfase1 4 2" xfId="953"/>
    <cellStyle name="20% - Ênfase1 4 2 2" xfId="954"/>
    <cellStyle name="20% - Ênfase1 4 2 3" xfId="955"/>
    <cellStyle name="20% - Ênfase1 4 2 4" xfId="956"/>
    <cellStyle name="20% - Ênfase1 4 2_13-Endividamento" xfId="957"/>
    <cellStyle name="20% - Ênfase1 4 3" xfId="958"/>
    <cellStyle name="20% - Ênfase1 4 4" xfId="959"/>
    <cellStyle name="20% - Ênfase1 4 5" xfId="960"/>
    <cellStyle name="20% - Ênfase1 4_13-Endividamento" xfId="961"/>
    <cellStyle name="20% - Ênfase1 5" xfId="962"/>
    <cellStyle name="20% - Ênfase1 5 2" xfId="963"/>
    <cellStyle name="20% - Ênfase1 5 2 2" xfId="964"/>
    <cellStyle name="20% - Ênfase1 5 2 3" xfId="965"/>
    <cellStyle name="20% - Ênfase1 5 2 4" xfId="966"/>
    <cellStyle name="20% - Ênfase1 5 2_13-Endividamento" xfId="967"/>
    <cellStyle name="20% - Ênfase1 5 3" xfId="968"/>
    <cellStyle name="20% - Ênfase1 5 4" xfId="969"/>
    <cellStyle name="20% - Ênfase1 5 5" xfId="970"/>
    <cellStyle name="20% - Ênfase1 5_13-Endividamento" xfId="971"/>
    <cellStyle name="20% - Ênfase1 6" xfId="972"/>
    <cellStyle name="20% - Ênfase1 6 2" xfId="973"/>
    <cellStyle name="20% - Ênfase1 6 2 2" xfId="974"/>
    <cellStyle name="20% - Ênfase1 6 2 3" xfId="975"/>
    <cellStyle name="20% - Ênfase1 6 2 4" xfId="976"/>
    <cellStyle name="20% - Ênfase1 6 2_13-Endividamento" xfId="977"/>
    <cellStyle name="20% - Ênfase1 6 3" xfId="978"/>
    <cellStyle name="20% - Ênfase1 6 4" xfId="979"/>
    <cellStyle name="20% - Ênfase1 6 5" xfId="980"/>
    <cellStyle name="20% - Ênfase1 6_13-Endividamento" xfId="981"/>
    <cellStyle name="20% - Ênfase1 7" xfId="982"/>
    <cellStyle name="20% - Ênfase1 7 2" xfId="983"/>
    <cellStyle name="20% - Ênfase1 7 3" xfId="984"/>
    <cellStyle name="20% - Ênfase1 7 4" xfId="985"/>
    <cellStyle name="20% - Ênfase1 7_13-Endividamento" xfId="986"/>
    <cellStyle name="20% - Ênfase1 8" xfId="987"/>
    <cellStyle name="20% - Ênfase1 9" xfId="988"/>
    <cellStyle name="20% - Ênfase2 10" xfId="989"/>
    <cellStyle name="20% - Ênfase2 2" xfId="990"/>
    <cellStyle name="20% - Ênfase2 2 2" xfId="991"/>
    <cellStyle name="20% - Ênfase2 2 2 2" xfId="992"/>
    <cellStyle name="20% - Ênfase2 2 2 3" xfId="993"/>
    <cellStyle name="20% - Ênfase2 2 2 4" xfId="994"/>
    <cellStyle name="20% - Ênfase2 2 2_13-Endividamento" xfId="995"/>
    <cellStyle name="20% - Ênfase2 2 3" xfId="996"/>
    <cellStyle name="20% - Ênfase2 2 4" xfId="997"/>
    <cellStyle name="20% - Ênfase2 2 5" xfId="998"/>
    <cellStyle name="20% - Ênfase2 2 6" xfId="999"/>
    <cellStyle name="20% - Ênfase2 2 7" xfId="1000"/>
    <cellStyle name="20% - Ênfase2 2 8" xfId="1001"/>
    <cellStyle name="20% - Ênfase2 2 9" xfId="21498"/>
    <cellStyle name="20% - Ênfase2 2_11_Combinação de neg. Zanin" xfId="1002"/>
    <cellStyle name="20% - Ênfase2 3" xfId="1003"/>
    <cellStyle name="20% - Ênfase2 3 2" xfId="1004"/>
    <cellStyle name="20% - Ênfase2 3 2 2" xfId="1005"/>
    <cellStyle name="20% - Ênfase2 3 2 3" xfId="1006"/>
    <cellStyle name="20% - Ênfase2 3 2 4" xfId="1007"/>
    <cellStyle name="20% - Ênfase2 3 2_13-Endividamento" xfId="1008"/>
    <cellStyle name="20% - Ênfase2 3 3" xfId="1009"/>
    <cellStyle name="20% - Ênfase2 3 4" xfId="1010"/>
    <cellStyle name="20% - Ênfase2 3 5" xfId="1011"/>
    <cellStyle name="20% - Ênfase2 3_13-Endividamento" xfId="1012"/>
    <cellStyle name="20% - Ênfase2 4" xfId="1013"/>
    <cellStyle name="20% - Ênfase2 4 2" xfId="1014"/>
    <cellStyle name="20% - Ênfase2 4 2 2" xfId="1015"/>
    <cellStyle name="20% - Ênfase2 4 2 3" xfId="1016"/>
    <cellStyle name="20% - Ênfase2 4 2 4" xfId="1017"/>
    <cellStyle name="20% - Ênfase2 4 2_13-Endividamento" xfId="1018"/>
    <cellStyle name="20% - Ênfase2 4 3" xfId="1019"/>
    <cellStyle name="20% - Ênfase2 4 4" xfId="1020"/>
    <cellStyle name="20% - Ênfase2 4 5" xfId="1021"/>
    <cellStyle name="20% - Ênfase2 4_13-Endividamento" xfId="1022"/>
    <cellStyle name="20% - Ênfase2 5" xfId="1023"/>
    <cellStyle name="20% - Ênfase2 5 2" xfId="1024"/>
    <cellStyle name="20% - Ênfase2 5 2 2" xfId="1025"/>
    <cellStyle name="20% - Ênfase2 5 2 3" xfId="1026"/>
    <cellStyle name="20% - Ênfase2 5 2 4" xfId="1027"/>
    <cellStyle name="20% - Ênfase2 5 2_13-Endividamento" xfId="1028"/>
    <cellStyle name="20% - Ênfase2 5 3" xfId="1029"/>
    <cellStyle name="20% - Ênfase2 5 4" xfId="1030"/>
    <cellStyle name="20% - Ênfase2 5 5" xfId="1031"/>
    <cellStyle name="20% - Ênfase2 5_13-Endividamento" xfId="1032"/>
    <cellStyle name="20% - Ênfase2 6" xfId="1033"/>
    <cellStyle name="20% - Ênfase2 6 2" xfId="1034"/>
    <cellStyle name="20% - Ênfase2 6 2 2" xfId="1035"/>
    <cellStyle name="20% - Ênfase2 6 2 3" xfId="1036"/>
    <cellStyle name="20% - Ênfase2 6 2 4" xfId="1037"/>
    <cellStyle name="20% - Ênfase2 6 2_13-Endividamento" xfId="1038"/>
    <cellStyle name="20% - Ênfase2 6 3" xfId="1039"/>
    <cellStyle name="20% - Ênfase2 6 4" xfId="1040"/>
    <cellStyle name="20% - Ênfase2 6 5" xfId="1041"/>
    <cellStyle name="20% - Ênfase2 6_13-Endividamento" xfId="1042"/>
    <cellStyle name="20% - Ênfase2 7" xfId="1043"/>
    <cellStyle name="20% - Ênfase2 7 2" xfId="1044"/>
    <cellStyle name="20% - Ênfase2 7 3" xfId="1045"/>
    <cellStyle name="20% - Ênfase2 7 4" xfId="1046"/>
    <cellStyle name="20% - Ênfase2 7_13-Endividamento" xfId="1047"/>
    <cellStyle name="20% - Ênfase2 8" xfId="1048"/>
    <cellStyle name="20% - Ênfase2 9" xfId="1049"/>
    <cellStyle name="20% - Ênfase3 10" xfId="1050"/>
    <cellStyle name="20% - Ênfase3 2" xfId="1051"/>
    <cellStyle name="20% - Ênfase3 2 2" xfId="1052"/>
    <cellStyle name="20% - Ênfase3 2 2 2" xfId="1053"/>
    <cellStyle name="20% - Ênfase3 2 2 3" xfId="1054"/>
    <cellStyle name="20% - Ênfase3 2 2 4" xfId="1055"/>
    <cellStyle name="20% - Ênfase3 2 2_13-Endividamento" xfId="1056"/>
    <cellStyle name="20% - Ênfase3 2 3" xfId="1057"/>
    <cellStyle name="20% - Ênfase3 2 4" xfId="1058"/>
    <cellStyle name="20% - Ênfase3 2 5" xfId="1059"/>
    <cellStyle name="20% - Ênfase3 2 6" xfId="1060"/>
    <cellStyle name="20% - Ênfase3 2 7" xfId="1061"/>
    <cellStyle name="20% - Ênfase3 2 8" xfId="1062"/>
    <cellStyle name="20% - Ênfase3 2 9" xfId="21499"/>
    <cellStyle name="20% - Ênfase3 2_11_Combinação de neg. Zanin" xfId="1063"/>
    <cellStyle name="20% - Ênfase3 3" xfId="1064"/>
    <cellStyle name="20% - Ênfase3 3 2" xfId="1065"/>
    <cellStyle name="20% - Ênfase3 3 2 2" xfId="1066"/>
    <cellStyle name="20% - Ênfase3 3 2 3" xfId="1067"/>
    <cellStyle name="20% - Ênfase3 3 2 4" xfId="1068"/>
    <cellStyle name="20% - Ênfase3 3 2_13-Endividamento" xfId="1069"/>
    <cellStyle name="20% - Ênfase3 3 3" xfId="1070"/>
    <cellStyle name="20% - Ênfase3 3 4" xfId="1071"/>
    <cellStyle name="20% - Ênfase3 3 5" xfId="1072"/>
    <cellStyle name="20% - Ênfase3 3_13-Endividamento" xfId="1073"/>
    <cellStyle name="20% - Ênfase3 4" xfId="1074"/>
    <cellStyle name="20% - Ênfase3 4 2" xfId="1075"/>
    <cellStyle name="20% - Ênfase3 4 2 2" xfId="1076"/>
    <cellStyle name="20% - Ênfase3 4 2 3" xfId="1077"/>
    <cellStyle name="20% - Ênfase3 4 2 4" xfId="1078"/>
    <cellStyle name="20% - Ênfase3 4 2_13-Endividamento" xfId="1079"/>
    <cellStyle name="20% - Ênfase3 4 3" xfId="1080"/>
    <cellStyle name="20% - Ênfase3 4 4" xfId="1081"/>
    <cellStyle name="20% - Ênfase3 4 5" xfId="1082"/>
    <cellStyle name="20% - Ênfase3 4_13-Endividamento" xfId="1083"/>
    <cellStyle name="20% - Ênfase3 5" xfId="1084"/>
    <cellStyle name="20% - Ênfase3 5 2" xfId="1085"/>
    <cellStyle name="20% - Ênfase3 5 2 2" xfId="1086"/>
    <cellStyle name="20% - Ênfase3 5 2 3" xfId="1087"/>
    <cellStyle name="20% - Ênfase3 5 2 4" xfId="1088"/>
    <cellStyle name="20% - Ênfase3 5 2_13-Endividamento" xfId="1089"/>
    <cellStyle name="20% - Ênfase3 5 3" xfId="1090"/>
    <cellStyle name="20% - Ênfase3 5 4" xfId="1091"/>
    <cellStyle name="20% - Ênfase3 5 5" xfId="1092"/>
    <cellStyle name="20% - Ênfase3 5_13-Endividamento" xfId="1093"/>
    <cellStyle name="20% - Ênfase3 6" xfId="1094"/>
    <cellStyle name="20% - Ênfase3 6 2" xfId="1095"/>
    <cellStyle name="20% - Ênfase3 6 2 2" xfId="1096"/>
    <cellStyle name="20% - Ênfase3 6 2 3" xfId="1097"/>
    <cellStyle name="20% - Ênfase3 6 2 4" xfId="1098"/>
    <cellStyle name="20% - Ênfase3 6 2_13-Endividamento" xfId="1099"/>
    <cellStyle name="20% - Ênfase3 6 3" xfId="1100"/>
    <cellStyle name="20% - Ênfase3 6 4" xfId="1101"/>
    <cellStyle name="20% - Ênfase3 6 5" xfId="1102"/>
    <cellStyle name="20% - Ênfase3 6_13-Endividamento" xfId="1103"/>
    <cellStyle name="20% - Ênfase3 7" xfId="1104"/>
    <cellStyle name="20% - Ênfase3 7 2" xfId="1105"/>
    <cellStyle name="20% - Ênfase3 7 3" xfId="1106"/>
    <cellStyle name="20% - Ênfase3 7 4" xfId="1107"/>
    <cellStyle name="20% - Ênfase3 7_13-Endividamento" xfId="1108"/>
    <cellStyle name="20% - Ênfase3 8" xfId="1109"/>
    <cellStyle name="20% - Ênfase3 9" xfId="1110"/>
    <cellStyle name="20% - Ênfase4 10" xfId="1111"/>
    <cellStyle name="20% - Ênfase4 2" xfId="1112"/>
    <cellStyle name="20% - Ênfase4 2 2" xfId="1113"/>
    <cellStyle name="20% - Ênfase4 2 2 2" xfId="1114"/>
    <cellStyle name="20% - Ênfase4 2 2 3" xfId="1115"/>
    <cellStyle name="20% - Ênfase4 2 2 4" xfId="1116"/>
    <cellStyle name="20% - Ênfase4 2 2_13-Endividamento" xfId="1117"/>
    <cellStyle name="20% - Ênfase4 2 3" xfId="1118"/>
    <cellStyle name="20% - Ênfase4 2 4" xfId="1119"/>
    <cellStyle name="20% - Ênfase4 2 5" xfId="1120"/>
    <cellStyle name="20% - Ênfase4 2 6" xfId="1121"/>
    <cellStyle name="20% - Ênfase4 2 7" xfId="1122"/>
    <cellStyle name="20% - Ênfase4 2 8" xfId="1123"/>
    <cellStyle name="20% - Ênfase4 2 9" xfId="21500"/>
    <cellStyle name="20% - Ênfase4 2_11_Combinação de neg. Zanin" xfId="1124"/>
    <cellStyle name="20% - Ênfase4 3" xfId="1125"/>
    <cellStyle name="20% - Ênfase4 3 2" xfId="1126"/>
    <cellStyle name="20% - Ênfase4 3 2 2" xfId="1127"/>
    <cellStyle name="20% - Ênfase4 3 2 3" xfId="1128"/>
    <cellStyle name="20% - Ênfase4 3 2 4" xfId="1129"/>
    <cellStyle name="20% - Ênfase4 3 2_13-Endividamento" xfId="1130"/>
    <cellStyle name="20% - Ênfase4 3 3" xfId="1131"/>
    <cellStyle name="20% - Ênfase4 3 4" xfId="1132"/>
    <cellStyle name="20% - Ênfase4 3 5" xfId="1133"/>
    <cellStyle name="20% - Ênfase4 3_13-Endividamento" xfId="1134"/>
    <cellStyle name="20% - Ênfase4 4" xfId="1135"/>
    <cellStyle name="20% - Ênfase4 4 2" xfId="1136"/>
    <cellStyle name="20% - Ênfase4 4 2 2" xfId="1137"/>
    <cellStyle name="20% - Ênfase4 4 2 3" xfId="1138"/>
    <cellStyle name="20% - Ênfase4 4 2 4" xfId="1139"/>
    <cellStyle name="20% - Ênfase4 4 2_13-Endividamento" xfId="1140"/>
    <cellStyle name="20% - Ênfase4 4 3" xfId="1141"/>
    <cellStyle name="20% - Ênfase4 4 4" xfId="1142"/>
    <cellStyle name="20% - Ênfase4 4 5" xfId="1143"/>
    <cellStyle name="20% - Ênfase4 4_13-Endividamento" xfId="1144"/>
    <cellStyle name="20% - Ênfase4 5" xfId="1145"/>
    <cellStyle name="20% - Ênfase4 5 2" xfId="1146"/>
    <cellStyle name="20% - Ênfase4 5 2 2" xfId="1147"/>
    <cellStyle name="20% - Ênfase4 5 2 3" xfId="1148"/>
    <cellStyle name="20% - Ênfase4 5 2 4" xfId="1149"/>
    <cellStyle name="20% - Ênfase4 5 2_13-Endividamento" xfId="1150"/>
    <cellStyle name="20% - Ênfase4 5 3" xfId="1151"/>
    <cellStyle name="20% - Ênfase4 5 4" xfId="1152"/>
    <cellStyle name="20% - Ênfase4 5 5" xfId="1153"/>
    <cellStyle name="20% - Ênfase4 5_13-Endividamento" xfId="1154"/>
    <cellStyle name="20% - Ênfase4 6" xfId="1155"/>
    <cellStyle name="20% - Ênfase4 6 2" xfId="1156"/>
    <cellStyle name="20% - Ênfase4 6 2 2" xfId="1157"/>
    <cellStyle name="20% - Ênfase4 6 2 3" xfId="1158"/>
    <cellStyle name="20% - Ênfase4 6 2 4" xfId="1159"/>
    <cellStyle name="20% - Ênfase4 6 2_13-Endividamento" xfId="1160"/>
    <cellStyle name="20% - Ênfase4 6 3" xfId="1161"/>
    <cellStyle name="20% - Ênfase4 6 4" xfId="1162"/>
    <cellStyle name="20% - Ênfase4 6 5" xfId="1163"/>
    <cellStyle name="20% - Ênfase4 6_13-Endividamento" xfId="1164"/>
    <cellStyle name="20% - Ênfase4 7" xfId="1165"/>
    <cellStyle name="20% - Ênfase4 7 2" xfId="1166"/>
    <cellStyle name="20% - Ênfase4 7 3" xfId="1167"/>
    <cellStyle name="20% - Ênfase4 7 4" xfId="1168"/>
    <cellStyle name="20% - Ênfase4 7_13-Endividamento" xfId="1169"/>
    <cellStyle name="20% - Ênfase4 8" xfId="1170"/>
    <cellStyle name="20% - Ênfase4 9" xfId="1171"/>
    <cellStyle name="20% - Ênfase5 10" xfId="1172"/>
    <cellStyle name="20% - Ênfase5 2" xfId="1173"/>
    <cellStyle name="20% - Ênfase5 2 2" xfId="1174"/>
    <cellStyle name="20% - Ênfase5 2 2 2" xfId="1175"/>
    <cellStyle name="20% - Ênfase5 2 2 3" xfId="1176"/>
    <cellStyle name="20% - Ênfase5 2 2 4" xfId="1177"/>
    <cellStyle name="20% - Ênfase5 2 2_13-Endividamento" xfId="1178"/>
    <cellStyle name="20% - Ênfase5 2 3" xfId="1179"/>
    <cellStyle name="20% - Ênfase5 2 4" xfId="1180"/>
    <cellStyle name="20% - Ênfase5 2 5" xfId="1181"/>
    <cellStyle name="20% - Ênfase5 2 6" xfId="1182"/>
    <cellStyle name="20% - Ênfase5 2 7" xfId="1183"/>
    <cellStyle name="20% - Ênfase5 2 8" xfId="1184"/>
    <cellStyle name="20% - Ênfase5 2 9" xfId="21501"/>
    <cellStyle name="20% - Ênfase5 2_11_Combinação de neg. Zanin" xfId="1185"/>
    <cellStyle name="20% - Ênfase5 3" xfId="1186"/>
    <cellStyle name="20% - Ênfase5 3 2" xfId="1187"/>
    <cellStyle name="20% - Ênfase5 3 2 2" xfId="1188"/>
    <cellStyle name="20% - Ênfase5 3 2 3" xfId="1189"/>
    <cellStyle name="20% - Ênfase5 3 2 4" xfId="1190"/>
    <cellStyle name="20% - Ênfase5 3 2_13-Endividamento" xfId="1191"/>
    <cellStyle name="20% - Ênfase5 3 3" xfId="1192"/>
    <cellStyle name="20% - Ênfase5 3 4" xfId="1193"/>
    <cellStyle name="20% - Ênfase5 3 5" xfId="1194"/>
    <cellStyle name="20% - Ênfase5 3_13-Endividamento" xfId="1195"/>
    <cellStyle name="20% - Ênfase5 4" xfId="1196"/>
    <cellStyle name="20% - Ênfase5 4 2" xfId="1197"/>
    <cellStyle name="20% - Ênfase5 4 2 2" xfId="1198"/>
    <cellStyle name="20% - Ênfase5 4 2 3" xfId="1199"/>
    <cellStyle name="20% - Ênfase5 4 2 4" xfId="1200"/>
    <cellStyle name="20% - Ênfase5 4 2_13-Endividamento" xfId="1201"/>
    <cellStyle name="20% - Ênfase5 4 3" xfId="1202"/>
    <cellStyle name="20% - Ênfase5 4 4" xfId="1203"/>
    <cellStyle name="20% - Ênfase5 4 5" xfId="1204"/>
    <cellStyle name="20% - Ênfase5 4_13-Endividamento" xfId="1205"/>
    <cellStyle name="20% - Ênfase5 5" xfId="1206"/>
    <cellStyle name="20% - Ênfase5 5 2" xfId="1207"/>
    <cellStyle name="20% - Ênfase5 5 2 2" xfId="1208"/>
    <cellStyle name="20% - Ênfase5 5 2 3" xfId="1209"/>
    <cellStyle name="20% - Ênfase5 5 2 4" xfId="1210"/>
    <cellStyle name="20% - Ênfase5 5 2_13-Endividamento" xfId="1211"/>
    <cellStyle name="20% - Ênfase5 5 3" xfId="1212"/>
    <cellStyle name="20% - Ênfase5 5 4" xfId="1213"/>
    <cellStyle name="20% - Ênfase5 5 5" xfId="1214"/>
    <cellStyle name="20% - Ênfase5 5_13-Endividamento" xfId="1215"/>
    <cellStyle name="20% - Ênfase5 6" xfId="1216"/>
    <cellStyle name="20% - Ênfase5 6 2" xfId="1217"/>
    <cellStyle name="20% - Ênfase5 6 2 2" xfId="1218"/>
    <cellStyle name="20% - Ênfase5 6 2 3" xfId="1219"/>
    <cellStyle name="20% - Ênfase5 6 2 4" xfId="1220"/>
    <cellStyle name="20% - Ênfase5 6 2_13-Endividamento" xfId="1221"/>
    <cellStyle name="20% - Ênfase5 6 3" xfId="1222"/>
    <cellStyle name="20% - Ênfase5 6 4" xfId="1223"/>
    <cellStyle name="20% - Ênfase5 6 5" xfId="1224"/>
    <cellStyle name="20% - Ênfase5 6_13-Endividamento" xfId="1225"/>
    <cellStyle name="20% - Ênfase5 7" xfId="1226"/>
    <cellStyle name="20% - Ênfase5 7 2" xfId="1227"/>
    <cellStyle name="20% - Ênfase5 7 3" xfId="1228"/>
    <cellStyle name="20% - Ênfase5 7 4" xfId="1229"/>
    <cellStyle name="20% - Ênfase5 7_13-Endividamento" xfId="1230"/>
    <cellStyle name="20% - Ênfase5 8" xfId="1231"/>
    <cellStyle name="20% - Ênfase5 9" xfId="1232"/>
    <cellStyle name="20% - Ênfase6 10" xfId="1233"/>
    <cellStyle name="20% - Ênfase6 2" xfId="1234"/>
    <cellStyle name="20% - Ênfase6 2 2" xfId="1235"/>
    <cellStyle name="20% - Ênfase6 2 2 2" xfId="1236"/>
    <cellStyle name="20% - Ênfase6 2 2 3" xfId="1237"/>
    <cellStyle name="20% - Ênfase6 2 2 4" xfId="1238"/>
    <cellStyle name="20% - Ênfase6 2 2_13-Endividamento" xfId="1239"/>
    <cellStyle name="20% - Ênfase6 2 3" xfId="1240"/>
    <cellStyle name="20% - Ênfase6 2 4" xfId="1241"/>
    <cellStyle name="20% - Ênfase6 2 5" xfId="1242"/>
    <cellStyle name="20% - Ênfase6 2 6" xfId="1243"/>
    <cellStyle name="20% - Ênfase6 2 7" xfId="1244"/>
    <cellStyle name="20% - Ênfase6 2 8" xfId="1245"/>
    <cellStyle name="20% - Ênfase6 2 9" xfId="21502"/>
    <cellStyle name="20% - Ênfase6 2_11_Combinação de neg. Zanin" xfId="1246"/>
    <cellStyle name="20% - Ênfase6 3" xfId="1247"/>
    <cellStyle name="20% - Ênfase6 3 2" xfId="1248"/>
    <cellStyle name="20% - Ênfase6 3 2 2" xfId="1249"/>
    <cellStyle name="20% - Ênfase6 3 2 3" xfId="1250"/>
    <cellStyle name="20% - Ênfase6 3 2 4" xfId="1251"/>
    <cellStyle name="20% - Ênfase6 3 2_13-Endividamento" xfId="1252"/>
    <cellStyle name="20% - Ênfase6 3 3" xfId="1253"/>
    <cellStyle name="20% - Ênfase6 3 4" xfId="1254"/>
    <cellStyle name="20% - Ênfase6 3 5" xfId="1255"/>
    <cellStyle name="20% - Ênfase6 3_13-Endividamento" xfId="1256"/>
    <cellStyle name="20% - Ênfase6 4" xfId="1257"/>
    <cellStyle name="20% - Ênfase6 4 2" xfId="1258"/>
    <cellStyle name="20% - Ênfase6 4 2 2" xfId="1259"/>
    <cellStyle name="20% - Ênfase6 4 2 3" xfId="1260"/>
    <cellStyle name="20% - Ênfase6 4 2 4" xfId="1261"/>
    <cellStyle name="20% - Ênfase6 4 2_13-Endividamento" xfId="1262"/>
    <cellStyle name="20% - Ênfase6 4 3" xfId="1263"/>
    <cellStyle name="20% - Ênfase6 4 4" xfId="1264"/>
    <cellStyle name="20% - Ênfase6 4 5" xfId="1265"/>
    <cellStyle name="20% - Ênfase6 4_13-Endividamento" xfId="1266"/>
    <cellStyle name="20% - Ênfase6 5" xfId="1267"/>
    <cellStyle name="20% - Ênfase6 5 2" xfId="1268"/>
    <cellStyle name="20% - Ênfase6 5 2 2" xfId="1269"/>
    <cellStyle name="20% - Ênfase6 5 2 3" xfId="1270"/>
    <cellStyle name="20% - Ênfase6 5 2 4" xfId="1271"/>
    <cellStyle name="20% - Ênfase6 5 2_13-Endividamento" xfId="1272"/>
    <cellStyle name="20% - Ênfase6 5 3" xfId="1273"/>
    <cellStyle name="20% - Ênfase6 5 4" xfId="1274"/>
    <cellStyle name="20% - Ênfase6 5 5" xfId="1275"/>
    <cellStyle name="20% - Ênfase6 5_13-Endividamento" xfId="1276"/>
    <cellStyle name="20% - Ênfase6 6" xfId="1277"/>
    <cellStyle name="20% - Ênfase6 6 2" xfId="1278"/>
    <cellStyle name="20% - Ênfase6 6 2 2" xfId="1279"/>
    <cellStyle name="20% - Ênfase6 6 2 3" xfId="1280"/>
    <cellStyle name="20% - Ênfase6 6 2 4" xfId="1281"/>
    <cellStyle name="20% - Ênfase6 6 2_13-Endividamento" xfId="1282"/>
    <cellStyle name="20% - Ênfase6 6 3" xfId="1283"/>
    <cellStyle name="20% - Ênfase6 6 4" xfId="1284"/>
    <cellStyle name="20% - Ênfase6 6 5" xfId="1285"/>
    <cellStyle name="20% - Ênfase6 6_13-Endividamento" xfId="1286"/>
    <cellStyle name="20% - Ênfase6 7" xfId="1287"/>
    <cellStyle name="20% - Ênfase6 7 2" xfId="1288"/>
    <cellStyle name="20% - Ênfase6 7 3" xfId="1289"/>
    <cellStyle name="20% - Ênfase6 7 4" xfId="1290"/>
    <cellStyle name="20% - Ênfase6 7_13-Endividamento" xfId="1291"/>
    <cellStyle name="20% - Ênfase6 8" xfId="1292"/>
    <cellStyle name="20% - Ênfase6 9" xfId="1293"/>
    <cellStyle name="²B" xfId="1294"/>
    <cellStyle name="40% - Accent1" xfId="15" builtinId="31" customBuiltin="1"/>
    <cellStyle name="40% - Accent1 10" xfId="1295"/>
    <cellStyle name="40% - Accent1 11" xfId="1296"/>
    <cellStyle name="40% - Accent1 12" xfId="1297"/>
    <cellStyle name="40% - Accent1 13" xfId="1298"/>
    <cellStyle name="40% - Accent1 14" xfId="1299"/>
    <cellStyle name="40% - Accent1 15" xfId="1300"/>
    <cellStyle name="40% - Accent1 16" xfId="1301"/>
    <cellStyle name="40% - Accent1 17" xfId="1302"/>
    <cellStyle name="40% - Accent1 18" xfId="1303"/>
    <cellStyle name="40% - Accent1 19" xfId="1304"/>
    <cellStyle name="40% - Accent1 2" xfId="1305"/>
    <cellStyle name="40% - Accent1 2 10" xfId="1306"/>
    <cellStyle name="40% - Accent1 2 11" xfId="1307"/>
    <cellStyle name="40% - Accent1 2 12" xfId="1308"/>
    <cellStyle name="40% - Accent1 2 2" xfId="1309"/>
    <cellStyle name="40% - Accent1 2 2 2" xfId="1310"/>
    <cellStyle name="40% - Accent1 2 2 3" xfId="1311"/>
    <cellStyle name="40% - Accent1 2 2 4" xfId="1312"/>
    <cellStyle name="40% - Accent1 2 2 5" xfId="1313"/>
    <cellStyle name="40% - Accent1 2 3" xfId="1314"/>
    <cellStyle name="40% - Accent1 2 3 2" xfId="1315"/>
    <cellStyle name="40% - Accent1 2 3 3" xfId="1316"/>
    <cellStyle name="40% - Accent1 2 3 4" xfId="1317"/>
    <cellStyle name="40% - Accent1 2 4" xfId="1318"/>
    <cellStyle name="40% - Accent1 2 4 2" xfId="1319"/>
    <cellStyle name="40% - Accent1 2 4 3" xfId="1320"/>
    <cellStyle name="40% - Accent1 2 4 4" xfId="1321"/>
    <cellStyle name="40% - Accent1 2 5" xfId="1322"/>
    <cellStyle name="40% - Accent1 2 5 2" xfId="1323"/>
    <cellStyle name="40% - Accent1 2 5 3" xfId="1324"/>
    <cellStyle name="40% - Accent1 2 5 4" xfId="1325"/>
    <cellStyle name="40% - Accent1 2 6" xfId="1326"/>
    <cellStyle name="40% - Accent1 2 7" xfId="1327"/>
    <cellStyle name="40% - Accent1 2 8" xfId="1328"/>
    <cellStyle name="40% - Accent1 2 9" xfId="1329"/>
    <cellStyle name="40% - Accent1 2_13-Endividamento" xfId="1330"/>
    <cellStyle name="40% - Accent1 20" xfId="1331"/>
    <cellStyle name="40% - Accent1 21" xfId="1332"/>
    <cellStyle name="40% - Accent1 22" xfId="1333"/>
    <cellStyle name="40% - Accent1 22 2" xfId="21331"/>
    <cellStyle name="40% - Accent1 22 2 2" xfId="21458"/>
    <cellStyle name="40% - Accent1 22 3" xfId="21414"/>
    <cellStyle name="40% - Accent1 3" xfId="1334"/>
    <cellStyle name="40% - Accent1 3 10" xfId="1335"/>
    <cellStyle name="40% - Accent1 3 2" xfId="1336"/>
    <cellStyle name="40% - Accent1 3 2 2" xfId="1337"/>
    <cellStyle name="40% - Accent1 3 2 3" xfId="1338"/>
    <cellStyle name="40% - Accent1 3 2 4" xfId="1339"/>
    <cellStyle name="40% - Accent1 3 3" xfId="1340"/>
    <cellStyle name="40% - Accent1 3 3 2" xfId="1341"/>
    <cellStyle name="40% - Accent1 3 3 3" xfId="1342"/>
    <cellStyle name="40% - Accent1 3 3 4" xfId="1343"/>
    <cellStyle name="40% - Accent1 3 4" xfId="1344"/>
    <cellStyle name="40% - Accent1 3 4 2" xfId="1345"/>
    <cellStyle name="40% - Accent1 3 4 3" xfId="1346"/>
    <cellStyle name="40% - Accent1 3 4 4" xfId="1347"/>
    <cellStyle name="40% - Accent1 3 5" xfId="1348"/>
    <cellStyle name="40% - Accent1 3 5 2" xfId="1349"/>
    <cellStyle name="40% - Accent1 3 5 3" xfId="1350"/>
    <cellStyle name="40% - Accent1 3 5 4" xfId="1351"/>
    <cellStyle name="40% - Accent1 3 6" xfId="1352"/>
    <cellStyle name="40% - Accent1 3 7" xfId="1353"/>
    <cellStyle name="40% - Accent1 3 8" xfId="1354"/>
    <cellStyle name="40% - Accent1 3 9" xfId="1355"/>
    <cellStyle name="40% - Accent1 4" xfId="1356"/>
    <cellStyle name="40% - Accent1 5" xfId="1357"/>
    <cellStyle name="40% - Accent1 6" xfId="1358"/>
    <cellStyle name="40% - Accent1 7" xfId="1359"/>
    <cellStyle name="40% - Accent1 8" xfId="1360"/>
    <cellStyle name="40% - Accent1 9" xfId="1361"/>
    <cellStyle name="40% - Accent2" xfId="16" builtinId="35" customBuiltin="1"/>
    <cellStyle name="40% - Accent2 10" xfId="1362"/>
    <cellStyle name="40% - Accent2 11" xfId="1363"/>
    <cellStyle name="40% - Accent2 12" xfId="1364"/>
    <cellStyle name="40% - Accent2 13" xfId="1365"/>
    <cellStyle name="40% - Accent2 14" xfId="1366"/>
    <cellStyle name="40% - Accent2 15" xfId="1367"/>
    <cellStyle name="40% - Accent2 16" xfId="1368"/>
    <cellStyle name="40% - Accent2 17" xfId="1369"/>
    <cellStyle name="40% - Accent2 18" xfId="1370"/>
    <cellStyle name="40% - Accent2 19" xfId="1371"/>
    <cellStyle name="40% - Accent2 2" xfId="1372"/>
    <cellStyle name="40% - Accent2 2 10" xfId="1373"/>
    <cellStyle name="40% - Accent2 2 11" xfId="1374"/>
    <cellStyle name="40% - Accent2 2 12" xfId="1375"/>
    <cellStyle name="40% - Accent2 2 2" xfId="1376"/>
    <cellStyle name="40% - Accent2 2 2 2" xfId="1377"/>
    <cellStyle name="40% - Accent2 2 2 3" xfId="1378"/>
    <cellStyle name="40% - Accent2 2 2 4" xfId="1379"/>
    <cellStyle name="40% - Accent2 2 2 5" xfId="1380"/>
    <cellStyle name="40% - Accent2 2 3" xfId="1381"/>
    <cellStyle name="40% - Accent2 2 3 2" xfId="1382"/>
    <cellStyle name="40% - Accent2 2 3 3" xfId="1383"/>
    <cellStyle name="40% - Accent2 2 3 4" xfId="1384"/>
    <cellStyle name="40% - Accent2 2 4" xfId="1385"/>
    <cellStyle name="40% - Accent2 2 4 2" xfId="1386"/>
    <cellStyle name="40% - Accent2 2 4 3" xfId="1387"/>
    <cellStyle name="40% - Accent2 2 4 4" xfId="1388"/>
    <cellStyle name="40% - Accent2 2 5" xfId="1389"/>
    <cellStyle name="40% - Accent2 2 5 2" xfId="1390"/>
    <cellStyle name="40% - Accent2 2 5 3" xfId="1391"/>
    <cellStyle name="40% - Accent2 2 5 4" xfId="1392"/>
    <cellStyle name="40% - Accent2 2 6" xfId="1393"/>
    <cellStyle name="40% - Accent2 2 7" xfId="1394"/>
    <cellStyle name="40% - Accent2 2 8" xfId="1395"/>
    <cellStyle name="40% - Accent2 2 9" xfId="1396"/>
    <cellStyle name="40% - Accent2 2_13-Endividamento" xfId="1397"/>
    <cellStyle name="40% - Accent2 20" xfId="1398"/>
    <cellStyle name="40% - Accent2 21" xfId="1399"/>
    <cellStyle name="40% - Accent2 22" xfId="1400"/>
    <cellStyle name="40% - Accent2 22 2" xfId="21332"/>
    <cellStyle name="40% - Accent2 22 2 2" xfId="21459"/>
    <cellStyle name="40% - Accent2 22 3" xfId="21415"/>
    <cellStyle name="40% - Accent2 3" xfId="1401"/>
    <cellStyle name="40% - Accent2 3 10" xfId="1402"/>
    <cellStyle name="40% - Accent2 3 2" xfId="1403"/>
    <cellStyle name="40% - Accent2 3 2 2" xfId="1404"/>
    <cellStyle name="40% - Accent2 3 2 3" xfId="1405"/>
    <cellStyle name="40% - Accent2 3 2 4" xfId="1406"/>
    <cellStyle name="40% - Accent2 3 3" xfId="1407"/>
    <cellStyle name="40% - Accent2 3 3 2" xfId="1408"/>
    <cellStyle name="40% - Accent2 3 3 3" xfId="1409"/>
    <cellStyle name="40% - Accent2 3 3 4" xfId="1410"/>
    <cellStyle name="40% - Accent2 3 4" xfId="1411"/>
    <cellStyle name="40% - Accent2 3 4 2" xfId="1412"/>
    <cellStyle name="40% - Accent2 3 4 3" xfId="1413"/>
    <cellStyle name="40% - Accent2 3 4 4" xfId="1414"/>
    <cellStyle name="40% - Accent2 3 5" xfId="1415"/>
    <cellStyle name="40% - Accent2 3 5 2" xfId="1416"/>
    <cellStyle name="40% - Accent2 3 5 3" xfId="1417"/>
    <cellStyle name="40% - Accent2 3 5 4" xfId="1418"/>
    <cellStyle name="40% - Accent2 3 6" xfId="1419"/>
    <cellStyle name="40% - Accent2 3 7" xfId="1420"/>
    <cellStyle name="40% - Accent2 3 8" xfId="1421"/>
    <cellStyle name="40% - Accent2 3 9" xfId="1422"/>
    <cellStyle name="40% - Accent2 4" xfId="1423"/>
    <cellStyle name="40% - Accent2 5" xfId="1424"/>
    <cellStyle name="40% - Accent2 6" xfId="1425"/>
    <cellStyle name="40% - Accent2 7" xfId="1426"/>
    <cellStyle name="40% - Accent2 8" xfId="1427"/>
    <cellStyle name="40% - Accent2 9" xfId="1428"/>
    <cellStyle name="40% - Accent3" xfId="17" builtinId="39" customBuiltin="1"/>
    <cellStyle name="40% - Accent3 10" xfId="1429"/>
    <cellStyle name="40% - Accent3 11" xfId="1430"/>
    <cellStyle name="40% - Accent3 12" xfId="1431"/>
    <cellStyle name="40% - Accent3 13" xfId="1432"/>
    <cellStyle name="40% - Accent3 14" xfId="1433"/>
    <cellStyle name="40% - Accent3 15" xfId="1434"/>
    <cellStyle name="40% - Accent3 16" xfId="1435"/>
    <cellStyle name="40% - Accent3 17" xfId="1436"/>
    <cellStyle name="40% - Accent3 18" xfId="1437"/>
    <cellStyle name="40% - Accent3 19" xfId="1438"/>
    <cellStyle name="40% - Accent3 2" xfId="1439"/>
    <cellStyle name="40% - Accent3 2 10" xfId="1440"/>
    <cellStyle name="40% - Accent3 2 11" xfId="1441"/>
    <cellStyle name="40% - Accent3 2 12" xfId="1442"/>
    <cellStyle name="40% - Accent3 2 2" xfId="1443"/>
    <cellStyle name="40% - Accent3 2 2 2" xfId="1444"/>
    <cellStyle name="40% - Accent3 2 2 3" xfId="1445"/>
    <cellStyle name="40% - Accent3 2 2 4" xfId="1446"/>
    <cellStyle name="40% - Accent3 2 2 5" xfId="1447"/>
    <cellStyle name="40% - Accent3 2 3" xfId="1448"/>
    <cellStyle name="40% - Accent3 2 3 2" xfId="1449"/>
    <cellStyle name="40% - Accent3 2 3 3" xfId="1450"/>
    <cellStyle name="40% - Accent3 2 3 4" xfId="1451"/>
    <cellStyle name="40% - Accent3 2 4" xfId="1452"/>
    <cellStyle name="40% - Accent3 2 4 2" xfId="1453"/>
    <cellStyle name="40% - Accent3 2 4 3" xfId="1454"/>
    <cellStyle name="40% - Accent3 2 4 4" xfId="1455"/>
    <cellStyle name="40% - Accent3 2 5" xfId="1456"/>
    <cellStyle name="40% - Accent3 2 5 2" xfId="1457"/>
    <cellStyle name="40% - Accent3 2 5 3" xfId="1458"/>
    <cellStyle name="40% - Accent3 2 5 4" xfId="1459"/>
    <cellStyle name="40% - Accent3 2 6" xfId="1460"/>
    <cellStyle name="40% - Accent3 2 7" xfId="1461"/>
    <cellStyle name="40% - Accent3 2 8" xfId="1462"/>
    <cellStyle name="40% - Accent3 2 9" xfId="1463"/>
    <cellStyle name="40% - Accent3 2_13-Endividamento" xfId="1464"/>
    <cellStyle name="40% - Accent3 20" xfId="1465"/>
    <cellStyle name="40% - Accent3 21" xfId="1466"/>
    <cellStyle name="40% - Accent3 22" xfId="1467"/>
    <cellStyle name="40% - Accent3 22 2" xfId="21333"/>
    <cellStyle name="40% - Accent3 22 2 2" xfId="21460"/>
    <cellStyle name="40% - Accent3 22 3" xfId="21416"/>
    <cellStyle name="40% - Accent3 3" xfId="1468"/>
    <cellStyle name="40% - Accent3 3 10" xfId="1469"/>
    <cellStyle name="40% - Accent3 3 2" xfId="1470"/>
    <cellStyle name="40% - Accent3 3 2 2" xfId="1471"/>
    <cellStyle name="40% - Accent3 3 2 3" xfId="1472"/>
    <cellStyle name="40% - Accent3 3 2 4" xfId="1473"/>
    <cellStyle name="40% - Accent3 3 3" xfId="1474"/>
    <cellStyle name="40% - Accent3 3 3 2" xfId="1475"/>
    <cellStyle name="40% - Accent3 3 3 3" xfId="1476"/>
    <cellStyle name="40% - Accent3 3 3 4" xfId="1477"/>
    <cellStyle name="40% - Accent3 3 4" xfId="1478"/>
    <cellStyle name="40% - Accent3 3 4 2" xfId="1479"/>
    <cellStyle name="40% - Accent3 3 4 3" xfId="1480"/>
    <cellStyle name="40% - Accent3 3 4 4" xfId="1481"/>
    <cellStyle name="40% - Accent3 3 5" xfId="1482"/>
    <cellStyle name="40% - Accent3 3 5 2" xfId="1483"/>
    <cellStyle name="40% - Accent3 3 5 3" xfId="1484"/>
    <cellStyle name="40% - Accent3 3 5 4" xfId="1485"/>
    <cellStyle name="40% - Accent3 3 6" xfId="1486"/>
    <cellStyle name="40% - Accent3 3 7" xfId="1487"/>
    <cellStyle name="40% - Accent3 3 8" xfId="1488"/>
    <cellStyle name="40% - Accent3 3 9" xfId="1489"/>
    <cellStyle name="40% - Accent3 4" xfId="1490"/>
    <cellStyle name="40% - Accent3 5" xfId="1491"/>
    <cellStyle name="40% - Accent3 6" xfId="1492"/>
    <cellStyle name="40% - Accent3 7" xfId="1493"/>
    <cellStyle name="40% - Accent3 8" xfId="1494"/>
    <cellStyle name="40% - Accent3 9" xfId="1495"/>
    <cellStyle name="40% - Accent4" xfId="18" builtinId="43" customBuiltin="1"/>
    <cellStyle name="40% - Accent4 10" xfId="1496"/>
    <cellStyle name="40% - Accent4 11" xfId="1497"/>
    <cellStyle name="40% - Accent4 12" xfId="1498"/>
    <cellStyle name="40% - Accent4 13" xfId="1499"/>
    <cellStyle name="40% - Accent4 14" xfId="1500"/>
    <cellStyle name="40% - Accent4 15" xfId="1501"/>
    <cellStyle name="40% - Accent4 16" xfId="1502"/>
    <cellStyle name="40% - Accent4 17" xfId="1503"/>
    <cellStyle name="40% - Accent4 18" xfId="1504"/>
    <cellStyle name="40% - Accent4 19" xfId="1505"/>
    <cellStyle name="40% - Accent4 2" xfId="1506"/>
    <cellStyle name="40% - Accent4 2 10" xfId="1507"/>
    <cellStyle name="40% - Accent4 2 11" xfId="1508"/>
    <cellStyle name="40% - Accent4 2 12" xfId="1509"/>
    <cellStyle name="40% - Accent4 2 2" xfId="1510"/>
    <cellStyle name="40% - Accent4 2 2 2" xfId="1511"/>
    <cellStyle name="40% - Accent4 2 2 3" xfId="1512"/>
    <cellStyle name="40% - Accent4 2 2 4" xfId="1513"/>
    <cellStyle name="40% - Accent4 2 2 5" xfId="1514"/>
    <cellStyle name="40% - Accent4 2 3" xfId="1515"/>
    <cellStyle name="40% - Accent4 2 3 2" xfId="1516"/>
    <cellStyle name="40% - Accent4 2 3 3" xfId="1517"/>
    <cellStyle name="40% - Accent4 2 3 4" xfId="1518"/>
    <cellStyle name="40% - Accent4 2 4" xfId="1519"/>
    <cellStyle name="40% - Accent4 2 4 2" xfId="1520"/>
    <cellStyle name="40% - Accent4 2 4 3" xfId="1521"/>
    <cellStyle name="40% - Accent4 2 4 4" xfId="1522"/>
    <cellStyle name="40% - Accent4 2 5" xfId="1523"/>
    <cellStyle name="40% - Accent4 2 5 2" xfId="1524"/>
    <cellStyle name="40% - Accent4 2 5 3" xfId="1525"/>
    <cellStyle name="40% - Accent4 2 5 4" xfId="1526"/>
    <cellStyle name="40% - Accent4 2 6" xfId="1527"/>
    <cellStyle name="40% - Accent4 2 7" xfId="1528"/>
    <cellStyle name="40% - Accent4 2 8" xfId="1529"/>
    <cellStyle name="40% - Accent4 2 9" xfId="1530"/>
    <cellStyle name="40% - Accent4 2_13-Endividamento" xfId="1531"/>
    <cellStyle name="40% - Accent4 20" xfId="1532"/>
    <cellStyle name="40% - Accent4 21" xfId="1533"/>
    <cellStyle name="40% - Accent4 22" xfId="1534"/>
    <cellStyle name="40% - Accent4 22 2" xfId="21334"/>
    <cellStyle name="40% - Accent4 22 2 2" xfId="21461"/>
    <cellStyle name="40% - Accent4 22 3" xfId="21417"/>
    <cellStyle name="40% - Accent4 3" xfId="1535"/>
    <cellStyle name="40% - Accent4 3 10" xfId="1536"/>
    <cellStyle name="40% - Accent4 3 2" xfId="1537"/>
    <cellStyle name="40% - Accent4 3 2 2" xfId="1538"/>
    <cellStyle name="40% - Accent4 3 2 3" xfId="1539"/>
    <cellStyle name="40% - Accent4 3 2 4" xfId="1540"/>
    <cellStyle name="40% - Accent4 3 3" xfId="1541"/>
    <cellStyle name="40% - Accent4 3 3 2" xfId="1542"/>
    <cellStyle name="40% - Accent4 3 3 3" xfId="1543"/>
    <cellStyle name="40% - Accent4 3 3 4" xfId="1544"/>
    <cellStyle name="40% - Accent4 3 4" xfId="1545"/>
    <cellStyle name="40% - Accent4 3 4 2" xfId="1546"/>
    <cellStyle name="40% - Accent4 3 4 3" xfId="1547"/>
    <cellStyle name="40% - Accent4 3 4 4" xfId="1548"/>
    <cellStyle name="40% - Accent4 3 5" xfId="1549"/>
    <cellStyle name="40% - Accent4 3 5 2" xfId="1550"/>
    <cellStyle name="40% - Accent4 3 5 3" xfId="1551"/>
    <cellStyle name="40% - Accent4 3 5 4" xfId="1552"/>
    <cellStyle name="40% - Accent4 3 6" xfId="1553"/>
    <cellStyle name="40% - Accent4 3 7" xfId="1554"/>
    <cellStyle name="40% - Accent4 3 8" xfId="1555"/>
    <cellStyle name="40% - Accent4 3 9" xfId="1556"/>
    <cellStyle name="40% - Accent4 4" xfId="1557"/>
    <cellStyle name="40% - Accent4 5" xfId="1558"/>
    <cellStyle name="40% - Accent4 6" xfId="1559"/>
    <cellStyle name="40% - Accent4 7" xfId="1560"/>
    <cellStyle name="40% - Accent4 8" xfId="1561"/>
    <cellStyle name="40% - Accent4 9" xfId="1562"/>
    <cellStyle name="40% - Accent5" xfId="19" builtinId="47" customBuiltin="1"/>
    <cellStyle name="40% - Accent5 10" xfId="1563"/>
    <cellStyle name="40% - Accent5 11" xfId="1564"/>
    <cellStyle name="40% - Accent5 12" xfId="1565"/>
    <cellStyle name="40% - Accent5 13" xfId="1566"/>
    <cellStyle name="40% - Accent5 14" xfId="1567"/>
    <cellStyle name="40% - Accent5 15" xfId="1568"/>
    <cellStyle name="40% - Accent5 16" xfId="1569"/>
    <cellStyle name="40% - Accent5 17" xfId="1570"/>
    <cellStyle name="40% - Accent5 18" xfId="1571"/>
    <cellStyle name="40% - Accent5 19" xfId="1572"/>
    <cellStyle name="40% - Accent5 2" xfId="1573"/>
    <cellStyle name="40% - Accent5 2 10" xfId="1574"/>
    <cellStyle name="40% - Accent5 2 11" xfId="1575"/>
    <cellStyle name="40% - Accent5 2 12" xfId="1576"/>
    <cellStyle name="40% - Accent5 2 2" xfId="1577"/>
    <cellStyle name="40% - Accent5 2 2 2" xfId="1578"/>
    <cellStyle name="40% - Accent5 2 2 3" xfId="1579"/>
    <cellStyle name="40% - Accent5 2 2 4" xfId="1580"/>
    <cellStyle name="40% - Accent5 2 2 5" xfId="1581"/>
    <cellStyle name="40% - Accent5 2 3" xfId="1582"/>
    <cellStyle name="40% - Accent5 2 3 2" xfId="1583"/>
    <cellStyle name="40% - Accent5 2 3 3" xfId="1584"/>
    <cellStyle name="40% - Accent5 2 3 4" xfId="1585"/>
    <cellStyle name="40% - Accent5 2 4" xfId="1586"/>
    <cellStyle name="40% - Accent5 2 4 2" xfId="1587"/>
    <cellStyle name="40% - Accent5 2 4 3" xfId="1588"/>
    <cellStyle name="40% - Accent5 2 4 4" xfId="1589"/>
    <cellStyle name="40% - Accent5 2 5" xfId="1590"/>
    <cellStyle name="40% - Accent5 2 5 2" xfId="1591"/>
    <cellStyle name="40% - Accent5 2 5 3" xfId="1592"/>
    <cellStyle name="40% - Accent5 2 5 4" xfId="1593"/>
    <cellStyle name="40% - Accent5 2 6" xfId="1594"/>
    <cellStyle name="40% - Accent5 2 7" xfId="1595"/>
    <cellStyle name="40% - Accent5 2 8" xfId="1596"/>
    <cellStyle name="40% - Accent5 2 9" xfId="1597"/>
    <cellStyle name="40% - Accent5 2_13-Endividamento" xfId="1598"/>
    <cellStyle name="40% - Accent5 20" xfId="1599"/>
    <cellStyle name="40% - Accent5 21" xfId="1600"/>
    <cellStyle name="40% - Accent5 22" xfId="1601"/>
    <cellStyle name="40% - Accent5 22 2" xfId="21335"/>
    <cellStyle name="40% - Accent5 22 2 2" xfId="21462"/>
    <cellStyle name="40% - Accent5 22 3" xfId="21418"/>
    <cellStyle name="40% - Accent5 3" xfId="1602"/>
    <cellStyle name="40% - Accent5 3 10" xfId="1603"/>
    <cellStyle name="40% - Accent5 3 2" xfId="1604"/>
    <cellStyle name="40% - Accent5 3 2 2" xfId="1605"/>
    <cellStyle name="40% - Accent5 3 2 3" xfId="1606"/>
    <cellStyle name="40% - Accent5 3 2 4" xfId="1607"/>
    <cellStyle name="40% - Accent5 3 3" xfId="1608"/>
    <cellStyle name="40% - Accent5 3 3 2" xfId="1609"/>
    <cellStyle name="40% - Accent5 3 3 3" xfId="1610"/>
    <cellStyle name="40% - Accent5 3 3 4" xfId="1611"/>
    <cellStyle name="40% - Accent5 3 4" xfId="1612"/>
    <cellStyle name="40% - Accent5 3 4 2" xfId="1613"/>
    <cellStyle name="40% - Accent5 3 4 3" xfId="1614"/>
    <cellStyle name="40% - Accent5 3 4 4" xfId="1615"/>
    <cellStyle name="40% - Accent5 3 5" xfId="1616"/>
    <cellStyle name="40% - Accent5 3 5 2" xfId="1617"/>
    <cellStyle name="40% - Accent5 3 5 3" xfId="1618"/>
    <cellStyle name="40% - Accent5 3 5 4" xfId="1619"/>
    <cellStyle name="40% - Accent5 3 6" xfId="1620"/>
    <cellStyle name="40% - Accent5 3 7" xfId="1621"/>
    <cellStyle name="40% - Accent5 3 8" xfId="1622"/>
    <cellStyle name="40% - Accent5 3 9" xfId="1623"/>
    <cellStyle name="40% - Accent5 4" xfId="1624"/>
    <cellStyle name="40% - Accent5 5" xfId="1625"/>
    <cellStyle name="40% - Accent5 6" xfId="1626"/>
    <cellStyle name="40% - Accent5 7" xfId="1627"/>
    <cellStyle name="40% - Accent5 8" xfId="1628"/>
    <cellStyle name="40% - Accent5 9" xfId="1629"/>
    <cellStyle name="40% - Accent6" xfId="20" builtinId="51" customBuiltin="1"/>
    <cellStyle name="40% - Accent6 10" xfId="1630"/>
    <cellStyle name="40% - Accent6 11" xfId="1631"/>
    <cellStyle name="40% - Accent6 12" xfId="1632"/>
    <cellStyle name="40% - Accent6 13" xfId="1633"/>
    <cellStyle name="40% - Accent6 14" xfId="1634"/>
    <cellStyle name="40% - Accent6 15" xfId="1635"/>
    <cellStyle name="40% - Accent6 16" xfId="1636"/>
    <cellStyle name="40% - Accent6 17" xfId="1637"/>
    <cellStyle name="40% - Accent6 18" xfId="1638"/>
    <cellStyle name="40% - Accent6 19" xfId="1639"/>
    <cellStyle name="40% - Accent6 2" xfId="1640"/>
    <cellStyle name="40% - Accent6 2 10" xfId="1641"/>
    <cellStyle name="40% - Accent6 2 11" xfId="1642"/>
    <cellStyle name="40% - Accent6 2 12" xfId="1643"/>
    <cellStyle name="40% - Accent6 2 2" xfId="1644"/>
    <cellStyle name="40% - Accent6 2 2 2" xfId="1645"/>
    <cellStyle name="40% - Accent6 2 2 3" xfId="1646"/>
    <cellStyle name="40% - Accent6 2 2 4" xfId="1647"/>
    <cellStyle name="40% - Accent6 2 2 5" xfId="1648"/>
    <cellStyle name="40% - Accent6 2 3" xfId="1649"/>
    <cellStyle name="40% - Accent6 2 3 2" xfId="1650"/>
    <cellStyle name="40% - Accent6 2 3 3" xfId="1651"/>
    <cellStyle name="40% - Accent6 2 3 4" xfId="1652"/>
    <cellStyle name="40% - Accent6 2 4" xfId="1653"/>
    <cellStyle name="40% - Accent6 2 4 2" xfId="1654"/>
    <cellStyle name="40% - Accent6 2 4 3" xfId="1655"/>
    <cellStyle name="40% - Accent6 2 4 4" xfId="1656"/>
    <cellStyle name="40% - Accent6 2 5" xfId="1657"/>
    <cellStyle name="40% - Accent6 2 5 2" xfId="1658"/>
    <cellStyle name="40% - Accent6 2 5 3" xfId="1659"/>
    <cellStyle name="40% - Accent6 2 5 4" xfId="1660"/>
    <cellStyle name="40% - Accent6 2 6" xfId="1661"/>
    <cellStyle name="40% - Accent6 2 7" xfId="1662"/>
    <cellStyle name="40% - Accent6 2 8" xfId="1663"/>
    <cellStyle name="40% - Accent6 2 9" xfId="1664"/>
    <cellStyle name="40% - Accent6 2_13-Endividamento" xfId="1665"/>
    <cellStyle name="40% - Accent6 20" xfId="1666"/>
    <cellStyle name="40% - Accent6 21" xfId="1667"/>
    <cellStyle name="40% - Accent6 22" xfId="1668"/>
    <cellStyle name="40% - Accent6 22 2" xfId="21336"/>
    <cellStyle name="40% - Accent6 22 2 2" xfId="21463"/>
    <cellStyle name="40% - Accent6 22 3" xfId="21419"/>
    <cellStyle name="40% - Accent6 3" xfId="1669"/>
    <cellStyle name="40% - Accent6 3 10" xfId="1670"/>
    <cellStyle name="40% - Accent6 3 2" xfId="1671"/>
    <cellStyle name="40% - Accent6 3 2 2" xfId="1672"/>
    <cellStyle name="40% - Accent6 3 2 3" xfId="1673"/>
    <cellStyle name="40% - Accent6 3 2 4" xfId="1674"/>
    <cellStyle name="40% - Accent6 3 3" xfId="1675"/>
    <cellStyle name="40% - Accent6 3 3 2" xfId="1676"/>
    <cellStyle name="40% - Accent6 3 3 3" xfId="1677"/>
    <cellStyle name="40% - Accent6 3 3 4" xfId="1678"/>
    <cellStyle name="40% - Accent6 3 4" xfId="1679"/>
    <cellStyle name="40% - Accent6 3 4 2" xfId="1680"/>
    <cellStyle name="40% - Accent6 3 4 3" xfId="1681"/>
    <cellStyle name="40% - Accent6 3 4 4" xfId="1682"/>
    <cellStyle name="40% - Accent6 3 5" xfId="1683"/>
    <cellStyle name="40% - Accent6 3 5 2" xfId="1684"/>
    <cellStyle name="40% - Accent6 3 5 3" xfId="1685"/>
    <cellStyle name="40% - Accent6 3 5 4" xfId="1686"/>
    <cellStyle name="40% - Accent6 3 6" xfId="1687"/>
    <cellStyle name="40% - Accent6 3 7" xfId="1688"/>
    <cellStyle name="40% - Accent6 3 8" xfId="1689"/>
    <cellStyle name="40% - Accent6 3 9" xfId="1690"/>
    <cellStyle name="40% - Accent6 4" xfId="1691"/>
    <cellStyle name="40% - Accent6 5" xfId="1692"/>
    <cellStyle name="40% - Accent6 6" xfId="1693"/>
    <cellStyle name="40% - Accent6 7" xfId="1694"/>
    <cellStyle name="40% - Accent6 8" xfId="1695"/>
    <cellStyle name="40% - Accent6 9" xfId="1696"/>
    <cellStyle name="40% - Ênfase1 10" xfId="1697"/>
    <cellStyle name="40% - Ênfase1 2" xfId="1698"/>
    <cellStyle name="40% - Ênfase1 2 2" xfId="1699"/>
    <cellStyle name="40% - Ênfase1 2 2 2" xfId="1700"/>
    <cellStyle name="40% - Ênfase1 2 2 3" xfId="1701"/>
    <cellStyle name="40% - Ênfase1 2 2 4" xfId="1702"/>
    <cellStyle name="40% - Ênfase1 2 2_13-Endividamento" xfId="1703"/>
    <cellStyle name="40% - Ênfase1 2 3" xfId="1704"/>
    <cellStyle name="40% - Ênfase1 2 4" xfId="1705"/>
    <cellStyle name="40% - Ênfase1 2 5" xfId="1706"/>
    <cellStyle name="40% - Ênfase1 2 6" xfId="1707"/>
    <cellStyle name="40% - Ênfase1 2 7" xfId="1708"/>
    <cellStyle name="40% - Ênfase1 2 8" xfId="1709"/>
    <cellStyle name="40% - Ênfase1 2 9" xfId="21503"/>
    <cellStyle name="40% - Ênfase1 2_11_Combinação de neg. Zanin" xfId="1710"/>
    <cellStyle name="40% - Ênfase1 3" xfId="1711"/>
    <cellStyle name="40% - Ênfase1 3 2" xfId="1712"/>
    <cellStyle name="40% - Ênfase1 3 2 2" xfId="1713"/>
    <cellStyle name="40% - Ênfase1 3 2 3" xfId="1714"/>
    <cellStyle name="40% - Ênfase1 3 2 4" xfId="1715"/>
    <cellStyle name="40% - Ênfase1 3 2_13-Endividamento" xfId="1716"/>
    <cellStyle name="40% - Ênfase1 3 3" xfId="1717"/>
    <cellStyle name="40% - Ênfase1 3 4" xfId="1718"/>
    <cellStyle name="40% - Ênfase1 3 5" xfId="1719"/>
    <cellStyle name="40% - Ênfase1 3_11_Combinação de neg. Zanin" xfId="1720"/>
    <cellStyle name="40% - Ênfase1 4" xfId="1721"/>
    <cellStyle name="40% - Ênfase1 4 2" xfId="1722"/>
    <cellStyle name="40% - Ênfase1 4 2 2" xfId="1723"/>
    <cellStyle name="40% - Ênfase1 4 2 3" xfId="1724"/>
    <cellStyle name="40% - Ênfase1 4 2 4" xfId="1725"/>
    <cellStyle name="40% - Ênfase1 4 2_13-Endividamento" xfId="1726"/>
    <cellStyle name="40% - Ênfase1 4 3" xfId="1727"/>
    <cellStyle name="40% - Ênfase1 4 4" xfId="1728"/>
    <cellStyle name="40% - Ênfase1 4 5" xfId="1729"/>
    <cellStyle name="40% - Ênfase1 4_13-Endividamento" xfId="1730"/>
    <cellStyle name="40% - Ênfase1 5" xfId="1731"/>
    <cellStyle name="40% - Ênfase1 5 2" xfId="1732"/>
    <cellStyle name="40% - Ênfase1 5 2 2" xfId="1733"/>
    <cellStyle name="40% - Ênfase1 5 2 3" xfId="1734"/>
    <cellStyle name="40% - Ênfase1 5 2 4" xfId="1735"/>
    <cellStyle name="40% - Ênfase1 5 2_13-Endividamento" xfId="1736"/>
    <cellStyle name="40% - Ênfase1 5 3" xfId="1737"/>
    <cellStyle name="40% - Ênfase1 5 4" xfId="1738"/>
    <cellStyle name="40% - Ênfase1 5 5" xfId="1739"/>
    <cellStyle name="40% - Ênfase1 5_13-Endividamento" xfId="1740"/>
    <cellStyle name="40% - Ênfase1 6" xfId="1741"/>
    <cellStyle name="40% - Ênfase1 6 2" xfId="1742"/>
    <cellStyle name="40% - Ênfase1 6 2 2" xfId="1743"/>
    <cellStyle name="40% - Ênfase1 6 2 3" xfId="1744"/>
    <cellStyle name="40% - Ênfase1 6 2 4" xfId="1745"/>
    <cellStyle name="40% - Ênfase1 6 2_13-Endividamento" xfId="1746"/>
    <cellStyle name="40% - Ênfase1 6 3" xfId="1747"/>
    <cellStyle name="40% - Ênfase1 6 4" xfId="1748"/>
    <cellStyle name="40% - Ênfase1 6 5" xfId="1749"/>
    <cellStyle name="40% - Ênfase1 6_13-Endividamento" xfId="1750"/>
    <cellStyle name="40% - Ênfase1 7" xfId="1751"/>
    <cellStyle name="40% - Ênfase1 7 2" xfId="1752"/>
    <cellStyle name="40% - Ênfase1 7 3" xfId="1753"/>
    <cellStyle name="40% - Ênfase1 7 4" xfId="1754"/>
    <cellStyle name="40% - Ênfase1 7_13-Endividamento" xfId="1755"/>
    <cellStyle name="40% - Ênfase1 8" xfId="1756"/>
    <cellStyle name="40% - Ênfase1 9" xfId="1757"/>
    <cellStyle name="40% - Ênfase2 10" xfId="1758"/>
    <cellStyle name="40% - Ênfase2 2" xfId="1759"/>
    <cellStyle name="40% - Ênfase2 2 2" xfId="1760"/>
    <cellStyle name="40% - Ênfase2 2 2 2" xfId="1761"/>
    <cellStyle name="40% - Ênfase2 2 2 3" xfId="1762"/>
    <cellStyle name="40% - Ênfase2 2 2 4" xfId="1763"/>
    <cellStyle name="40% - Ênfase2 2 2_13-Endividamento" xfId="1764"/>
    <cellStyle name="40% - Ênfase2 2 3" xfId="1765"/>
    <cellStyle name="40% - Ênfase2 2 4" xfId="1766"/>
    <cellStyle name="40% - Ênfase2 2 5" xfId="1767"/>
    <cellStyle name="40% - Ênfase2 2 6" xfId="1768"/>
    <cellStyle name="40% - Ênfase2 2 7" xfId="1769"/>
    <cellStyle name="40% - Ênfase2 2 8" xfId="1770"/>
    <cellStyle name="40% - Ênfase2 2 9" xfId="21504"/>
    <cellStyle name="40% - Ênfase2 2_11_Combinação de neg. Zanin" xfId="1771"/>
    <cellStyle name="40% - Ênfase2 3" xfId="1772"/>
    <cellStyle name="40% - Ênfase2 3 2" xfId="1773"/>
    <cellStyle name="40% - Ênfase2 3 2 2" xfId="1774"/>
    <cellStyle name="40% - Ênfase2 3 2 3" xfId="1775"/>
    <cellStyle name="40% - Ênfase2 3 2 4" xfId="1776"/>
    <cellStyle name="40% - Ênfase2 3 2_13-Endividamento" xfId="1777"/>
    <cellStyle name="40% - Ênfase2 3 3" xfId="1778"/>
    <cellStyle name="40% - Ênfase2 3 4" xfId="1779"/>
    <cellStyle name="40% - Ênfase2 3 5" xfId="1780"/>
    <cellStyle name="40% - Ênfase2 3_11_Combinação de neg. Zanin" xfId="1781"/>
    <cellStyle name="40% - Ênfase2 4" xfId="1782"/>
    <cellStyle name="40% - Ênfase2 4 2" xfId="1783"/>
    <cellStyle name="40% - Ênfase2 4 2 2" xfId="1784"/>
    <cellStyle name="40% - Ênfase2 4 2 3" xfId="1785"/>
    <cellStyle name="40% - Ênfase2 4 2 4" xfId="1786"/>
    <cellStyle name="40% - Ênfase2 4 2_13-Endividamento" xfId="1787"/>
    <cellStyle name="40% - Ênfase2 4 3" xfId="1788"/>
    <cellStyle name="40% - Ênfase2 4 4" xfId="1789"/>
    <cellStyle name="40% - Ênfase2 4 5" xfId="1790"/>
    <cellStyle name="40% - Ênfase2 4_13-Endividamento" xfId="1791"/>
    <cellStyle name="40% - Ênfase2 5" xfId="1792"/>
    <cellStyle name="40% - Ênfase2 5 2" xfId="1793"/>
    <cellStyle name="40% - Ênfase2 5 2 2" xfId="1794"/>
    <cellStyle name="40% - Ênfase2 5 2 3" xfId="1795"/>
    <cellStyle name="40% - Ênfase2 5 2 4" xfId="1796"/>
    <cellStyle name="40% - Ênfase2 5 2_13-Endividamento" xfId="1797"/>
    <cellStyle name="40% - Ênfase2 5 3" xfId="1798"/>
    <cellStyle name="40% - Ênfase2 5 4" xfId="1799"/>
    <cellStyle name="40% - Ênfase2 5 5" xfId="1800"/>
    <cellStyle name="40% - Ênfase2 5_13-Endividamento" xfId="1801"/>
    <cellStyle name="40% - Ênfase2 6" xfId="1802"/>
    <cellStyle name="40% - Ênfase2 6 2" xfId="1803"/>
    <cellStyle name="40% - Ênfase2 6 2 2" xfId="1804"/>
    <cellStyle name="40% - Ênfase2 6 2 3" xfId="1805"/>
    <cellStyle name="40% - Ênfase2 6 2 4" xfId="1806"/>
    <cellStyle name="40% - Ênfase2 6 2_13-Endividamento" xfId="1807"/>
    <cellStyle name="40% - Ênfase2 6 3" xfId="1808"/>
    <cellStyle name="40% - Ênfase2 6 4" xfId="1809"/>
    <cellStyle name="40% - Ênfase2 6 5" xfId="1810"/>
    <cellStyle name="40% - Ênfase2 6_13-Endividamento" xfId="1811"/>
    <cellStyle name="40% - Ênfase2 7" xfId="1812"/>
    <cellStyle name="40% - Ênfase2 7 2" xfId="1813"/>
    <cellStyle name="40% - Ênfase2 7 3" xfId="1814"/>
    <cellStyle name="40% - Ênfase2 7 4" xfId="1815"/>
    <cellStyle name="40% - Ênfase2 7_13-Endividamento" xfId="1816"/>
    <cellStyle name="40% - Ênfase2 8" xfId="1817"/>
    <cellStyle name="40% - Ênfase2 9" xfId="1818"/>
    <cellStyle name="40% - Ênfase3 10" xfId="1819"/>
    <cellStyle name="40% - Ênfase3 2" xfId="1820"/>
    <cellStyle name="40% - Ênfase3 2 2" xfId="1821"/>
    <cellStyle name="40% - Ênfase3 2 2 2" xfId="1822"/>
    <cellStyle name="40% - Ênfase3 2 2 3" xfId="1823"/>
    <cellStyle name="40% - Ênfase3 2 2 4" xfId="1824"/>
    <cellStyle name="40% - Ênfase3 2 2_13-Endividamento" xfId="1825"/>
    <cellStyle name="40% - Ênfase3 2 3" xfId="1826"/>
    <cellStyle name="40% - Ênfase3 2 4" xfId="1827"/>
    <cellStyle name="40% - Ênfase3 2 5" xfId="1828"/>
    <cellStyle name="40% - Ênfase3 2 6" xfId="1829"/>
    <cellStyle name="40% - Ênfase3 2 7" xfId="1830"/>
    <cellStyle name="40% - Ênfase3 2 8" xfId="1831"/>
    <cellStyle name="40% - Ênfase3 2 9" xfId="21505"/>
    <cellStyle name="40% - Ênfase3 2_11_Combinação de neg. Zanin" xfId="1832"/>
    <cellStyle name="40% - Ênfase3 3" xfId="1833"/>
    <cellStyle name="40% - Ênfase3 3 2" xfId="1834"/>
    <cellStyle name="40% - Ênfase3 3 2 2" xfId="1835"/>
    <cellStyle name="40% - Ênfase3 3 2 3" xfId="1836"/>
    <cellStyle name="40% - Ênfase3 3 2 4" xfId="1837"/>
    <cellStyle name="40% - Ênfase3 3 2_13-Endividamento" xfId="1838"/>
    <cellStyle name="40% - Ênfase3 3 3" xfId="1839"/>
    <cellStyle name="40% - Ênfase3 3 4" xfId="1840"/>
    <cellStyle name="40% - Ênfase3 3 5" xfId="1841"/>
    <cellStyle name="40% - Ênfase3 3_11_Combinação de neg. Zanin" xfId="1842"/>
    <cellStyle name="40% - Ênfase3 4" xfId="1843"/>
    <cellStyle name="40% - Ênfase3 4 2" xfId="1844"/>
    <cellStyle name="40% - Ênfase3 4 2 2" xfId="1845"/>
    <cellStyle name="40% - Ênfase3 4 2 3" xfId="1846"/>
    <cellStyle name="40% - Ênfase3 4 2 4" xfId="1847"/>
    <cellStyle name="40% - Ênfase3 4 2_13-Endividamento" xfId="1848"/>
    <cellStyle name="40% - Ênfase3 4 3" xfId="1849"/>
    <cellStyle name="40% - Ênfase3 4 4" xfId="1850"/>
    <cellStyle name="40% - Ênfase3 4 5" xfId="1851"/>
    <cellStyle name="40% - Ênfase3 4_13-Endividamento" xfId="1852"/>
    <cellStyle name="40% - Ênfase3 5" xfId="1853"/>
    <cellStyle name="40% - Ênfase3 5 2" xfId="1854"/>
    <cellStyle name="40% - Ênfase3 5 2 2" xfId="1855"/>
    <cellStyle name="40% - Ênfase3 5 2 3" xfId="1856"/>
    <cellStyle name="40% - Ênfase3 5 2 4" xfId="1857"/>
    <cellStyle name="40% - Ênfase3 5 2_13-Endividamento" xfId="1858"/>
    <cellStyle name="40% - Ênfase3 5 3" xfId="1859"/>
    <cellStyle name="40% - Ênfase3 5 4" xfId="1860"/>
    <cellStyle name="40% - Ênfase3 5 5" xfId="1861"/>
    <cellStyle name="40% - Ênfase3 5_13-Endividamento" xfId="1862"/>
    <cellStyle name="40% - Ênfase3 6" xfId="1863"/>
    <cellStyle name="40% - Ênfase3 6 2" xfId="1864"/>
    <cellStyle name="40% - Ênfase3 6 2 2" xfId="1865"/>
    <cellStyle name="40% - Ênfase3 6 2 3" xfId="1866"/>
    <cellStyle name="40% - Ênfase3 6 2 4" xfId="1867"/>
    <cellStyle name="40% - Ênfase3 6 2_13-Endividamento" xfId="1868"/>
    <cellStyle name="40% - Ênfase3 6 3" xfId="1869"/>
    <cellStyle name="40% - Ênfase3 6 4" xfId="1870"/>
    <cellStyle name="40% - Ênfase3 6 5" xfId="1871"/>
    <cellStyle name="40% - Ênfase3 6_13-Endividamento" xfId="1872"/>
    <cellStyle name="40% - Ênfase3 7" xfId="1873"/>
    <cellStyle name="40% - Ênfase3 7 2" xfId="1874"/>
    <cellStyle name="40% - Ênfase3 7 3" xfId="1875"/>
    <cellStyle name="40% - Ênfase3 7 4" xfId="1876"/>
    <cellStyle name="40% - Ênfase3 7_13-Endividamento" xfId="1877"/>
    <cellStyle name="40% - Ênfase3 8" xfId="1878"/>
    <cellStyle name="40% - Ênfase3 9" xfId="1879"/>
    <cellStyle name="40% - Ênfase4 10" xfId="1880"/>
    <cellStyle name="40% - Ênfase4 2" xfId="1881"/>
    <cellStyle name="40% - Ênfase4 2 2" xfId="1882"/>
    <cellStyle name="40% - Ênfase4 2 2 2" xfId="1883"/>
    <cellStyle name="40% - Ênfase4 2 2 3" xfId="1884"/>
    <cellStyle name="40% - Ênfase4 2 2 4" xfId="1885"/>
    <cellStyle name="40% - Ênfase4 2 2_13-Endividamento" xfId="1886"/>
    <cellStyle name="40% - Ênfase4 2 3" xfId="1887"/>
    <cellStyle name="40% - Ênfase4 2 4" xfId="1888"/>
    <cellStyle name="40% - Ênfase4 2 5" xfId="1889"/>
    <cellStyle name="40% - Ênfase4 2 6" xfId="1890"/>
    <cellStyle name="40% - Ênfase4 2 7" xfId="1891"/>
    <cellStyle name="40% - Ênfase4 2 8" xfId="1892"/>
    <cellStyle name="40% - Ênfase4 2 9" xfId="21506"/>
    <cellStyle name="40% - Ênfase4 2_11_Combinação de neg. Zanin" xfId="1893"/>
    <cellStyle name="40% - Ênfase4 3" xfId="1894"/>
    <cellStyle name="40% - Ênfase4 3 2" xfId="1895"/>
    <cellStyle name="40% - Ênfase4 3 2 2" xfId="1896"/>
    <cellStyle name="40% - Ênfase4 3 2 3" xfId="1897"/>
    <cellStyle name="40% - Ênfase4 3 2 4" xfId="1898"/>
    <cellStyle name="40% - Ênfase4 3 2_13-Endividamento" xfId="1899"/>
    <cellStyle name="40% - Ênfase4 3 3" xfId="1900"/>
    <cellStyle name="40% - Ênfase4 3 4" xfId="1901"/>
    <cellStyle name="40% - Ênfase4 3 5" xfId="1902"/>
    <cellStyle name="40% - Ênfase4 3_11_Combinação de neg. Zanin" xfId="1903"/>
    <cellStyle name="40% - Ênfase4 4" xfId="1904"/>
    <cellStyle name="40% - Ênfase4 4 2" xfId="1905"/>
    <cellStyle name="40% - Ênfase4 4 2 2" xfId="1906"/>
    <cellStyle name="40% - Ênfase4 4 2 3" xfId="1907"/>
    <cellStyle name="40% - Ênfase4 4 2 4" xfId="1908"/>
    <cellStyle name="40% - Ênfase4 4 2_13-Endividamento" xfId="1909"/>
    <cellStyle name="40% - Ênfase4 4 3" xfId="1910"/>
    <cellStyle name="40% - Ênfase4 4 4" xfId="1911"/>
    <cellStyle name="40% - Ênfase4 4 5" xfId="1912"/>
    <cellStyle name="40% - Ênfase4 4_13-Endividamento" xfId="1913"/>
    <cellStyle name="40% - Ênfase4 5" xfId="1914"/>
    <cellStyle name="40% - Ênfase4 5 2" xfId="1915"/>
    <cellStyle name="40% - Ênfase4 5 2 2" xfId="1916"/>
    <cellStyle name="40% - Ênfase4 5 2 3" xfId="1917"/>
    <cellStyle name="40% - Ênfase4 5 2 4" xfId="1918"/>
    <cellStyle name="40% - Ênfase4 5 2_13-Endividamento" xfId="1919"/>
    <cellStyle name="40% - Ênfase4 5 3" xfId="1920"/>
    <cellStyle name="40% - Ênfase4 5 4" xfId="1921"/>
    <cellStyle name="40% - Ênfase4 5 5" xfId="1922"/>
    <cellStyle name="40% - Ênfase4 5_13-Endividamento" xfId="1923"/>
    <cellStyle name="40% - Ênfase4 6" xfId="1924"/>
    <cellStyle name="40% - Ênfase4 6 2" xfId="1925"/>
    <cellStyle name="40% - Ênfase4 6 2 2" xfId="1926"/>
    <cellStyle name="40% - Ênfase4 6 2 3" xfId="1927"/>
    <cellStyle name="40% - Ênfase4 6 2 4" xfId="1928"/>
    <cellStyle name="40% - Ênfase4 6 2_13-Endividamento" xfId="1929"/>
    <cellStyle name="40% - Ênfase4 6 3" xfId="1930"/>
    <cellStyle name="40% - Ênfase4 6 4" xfId="1931"/>
    <cellStyle name="40% - Ênfase4 6 5" xfId="1932"/>
    <cellStyle name="40% - Ênfase4 6_13-Endividamento" xfId="1933"/>
    <cellStyle name="40% - Ênfase4 7" xfId="1934"/>
    <cellStyle name="40% - Ênfase4 7 2" xfId="1935"/>
    <cellStyle name="40% - Ênfase4 7 3" xfId="1936"/>
    <cellStyle name="40% - Ênfase4 7 4" xfId="1937"/>
    <cellStyle name="40% - Ênfase4 7_13-Endividamento" xfId="1938"/>
    <cellStyle name="40% - Ênfase4 8" xfId="1939"/>
    <cellStyle name="40% - Ênfase4 9" xfId="1940"/>
    <cellStyle name="40% - Ênfase5 10" xfId="1941"/>
    <cellStyle name="40% - Ênfase5 2" xfId="1942"/>
    <cellStyle name="40% - Ênfase5 2 2" xfId="1943"/>
    <cellStyle name="40% - Ênfase5 2 2 2" xfId="1944"/>
    <cellStyle name="40% - Ênfase5 2 2 3" xfId="1945"/>
    <cellStyle name="40% - Ênfase5 2 2 4" xfId="1946"/>
    <cellStyle name="40% - Ênfase5 2 2_13-Endividamento" xfId="1947"/>
    <cellStyle name="40% - Ênfase5 2 3" xfId="1948"/>
    <cellStyle name="40% - Ênfase5 2 4" xfId="1949"/>
    <cellStyle name="40% - Ênfase5 2 5" xfId="1950"/>
    <cellStyle name="40% - Ênfase5 2 6" xfId="1951"/>
    <cellStyle name="40% - Ênfase5 2 7" xfId="1952"/>
    <cellStyle name="40% - Ênfase5 2 8" xfId="1953"/>
    <cellStyle name="40% - Ênfase5 2 9" xfId="21507"/>
    <cellStyle name="40% - Ênfase5 2_11_Combinação de neg. Zanin" xfId="1954"/>
    <cellStyle name="40% - Ênfase5 3" xfId="1955"/>
    <cellStyle name="40% - Ênfase5 3 2" xfId="1956"/>
    <cellStyle name="40% - Ênfase5 3 2 2" xfId="1957"/>
    <cellStyle name="40% - Ênfase5 3 2 3" xfId="1958"/>
    <cellStyle name="40% - Ênfase5 3 2 4" xfId="1959"/>
    <cellStyle name="40% - Ênfase5 3 2_13-Endividamento" xfId="1960"/>
    <cellStyle name="40% - Ênfase5 3 3" xfId="1961"/>
    <cellStyle name="40% - Ênfase5 3 4" xfId="1962"/>
    <cellStyle name="40% - Ênfase5 3 5" xfId="1963"/>
    <cellStyle name="40% - Ênfase5 3_11_Combinação de neg. Zanin" xfId="1964"/>
    <cellStyle name="40% - Ênfase5 4" xfId="1965"/>
    <cellStyle name="40% - Ênfase5 4 2" xfId="1966"/>
    <cellStyle name="40% - Ênfase5 4 2 2" xfId="1967"/>
    <cellStyle name="40% - Ênfase5 4 2 3" xfId="1968"/>
    <cellStyle name="40% - Ênfase5 4 2 4" xfId="1969"/>
    <cellStyle name="40% - Ênfase5 4 2_13-Endividamento" xfId="1970"/>
    <cellStyle name="40% - Ênfase5 4 3" xfId="1971"/>
    <cellStyle name="40% - Ênfase5 4 4" xfId="1972"/>
    <cellStyle name="40% - Ênfase5 4 5" xfId="1973"/>
    <cellStyle name="40% - Ênfase5 4_13-Endividamento" xfId="1974"/>
    <cellStyle name="40% - Ênfase5 5" xfId="1975"/>
    <cellStyle name="40% - Ênfase5 5 2" xfId="1976"/>
    <cellStyle name="40% - Ênfase5 5 2 2" xfId="1977"/>
    <cellStyle name="40% - Ênfase5 5 2 3" xfId="1978"/>
    <cellStyle name="40% - Ênfase5 5 2 4" xfId="1979"/>
    <cellStyle name="40% - Ênfase5 5 2_13-Endividamento" xfId="1980"/>
    <cellStyle name="40% - Ênfase5 5 3" xfId="1981"/>
    <cellStyle name="40% - Ênfase5 5 4" xfId="1982"/>
    <cellStyle name="40% - Ênfase5 5 5" xfId="1983"/>
    <cellStyle name="40% - Ênfase5 5_13-Endividamento" xfId="1984"/>
    <cellStyle name="40% - Ênfase5 6" xfId="1985"/>
    <cellStyle name="40% - Ênfase5 6 2" xfId="1986"/>
    <cellStyle name="40% - Ênfase5 6 2 2" xfId="1987"/>
    <cellStyle name="40% - Ênfase5 6 2 3" xfId="1988"/>
    <cellStyle name="40% - Ênfase5 6 2 4" xfId="1989"/>
    <cellStyle name="40% - Ênfase5 6 2_13-Endividamento" xfId="1990"/>
    <cellStyle name="40% - Ênfase5 6 3" xfId="1991"/>
    <cellStyle name="40% - Ênfase5 6 4" xfId="1992"/>
    <cellStyle name="40% - Ênfase5 6 5" xfId="1993"/>
    <cellStyle name="40% - Ênfase5 6_13-Endividamento" xfId="1994"/>
    <cellStyle name="40% - Ênfase5 7" xfId="1995"/>
    <cellStyle name="40% - Ênfase5 7 2" xfId="1996"/>
    <cellStyle name="40% - Ênfase5 7 3" xfId="1997"/>
    <cellStyle name="40% - Ênfase5 7 4" xfId="1998"/>
    <cellStyle name="40% - Ênfase5 7_13-Endividamento" xfId="1999"/>
    <cellStyle name="40% - Ênfase5 8" xfId="2000"/>
    <cellStyle name="40% - Ênfase5 9" xfId="2001"/>
    <cellStyle name="40% - Ênfase6 10" xfId="2002"/>
    <cellStyle name="40% - Ênfase6 2" xfId="2003"/>
    <cellStyle name="40% - Ênfase6 2 2" xfId="2004"/>
    <cellStyle name="40% - Ênfase6 2 2 2" xfId="2005"/>
    <cellStyle name="40% - Ênfase6 2 2 3" xfId="2006"/>
    <cellStyle name="40% - Ênfase6 2 2 4" xfId="2007"/>
    <cellStyle name="40% - Ênfase6 2 2_13-Endividamento" xfId="2008"/>
    <cellStyle name="40% - Ênfase6 2 3" xfId="2009"/>
    <cellStyle name="40% - Ênfase6 2 4" xfId="2010"/>
    <cellStyle name="40% - Ênfase6 2 5" xfId="2011"/>
    <cellStyle name="40% - Ênfase6 2 6" xfId="2012"/>
    <cellStyle name="40% - Ênfase6 2 7" xfId="2013"/>
    <cellStyle name="40% - Ênfase6 2 8" xfId="2014"/>
    <cellStyle name="40% - Ênfase6 2 9" xfId="21508"/>
    <cellStyle name="40% - Ênfase6 2_11_Combinação de neg. Zanin" xfId="2015"/>
    <cellStyle name="40% - Ênfase6 3" xfId="2016"/>
    <cellStyle name="40% - Ênfase6 3 2" xfId="2017"/>
    <cellStyle name="40% - Ênfase6 3 2 2" xfId="2018"/>
    <cellStyle name="40% - Ênfase6 3 2 3" xfId="2019"/>
    <cellStyle name="40% - Ênfase6 3 2 4" xfId="2020"/>
    <cellStyle name="40% - Ênfase6 3 2_13-Endividamento" xfId="2021"/>
    <cellStyle name="40% - Ênfase6 3 3" xfId="2022"/>
    <cellStyle name="40% - Ênfase6 3 4" xfId="2023"/>
    <cellStyle name="40% - Ênfase6 3 5" xfId="2024"/>
    <cellStyle name="40% - Ênfase6 3_11_Combinação de neg. Zanin" xfId="2025"/>
    <cellStyle name="40% - Ênfase6 4" xfId="2026"/>
    <cellStyle name="40% - Ênfase6 4 2" xfId="2027"/>
    <cellStyle name="40% - Ênfase6 4 2 2" xfId="2028"/>
    <cellStyle name="40% - Ênfase6 4 2 3" xfId="2029"/>
    <cellStyle name="40% - Ênfase6 4 2 4" xfId="2030"/>
    <cellStyle name="40% - Ênfase6 4 2_13-Endividamento" xfId="2031"/>
    <cellStyle name="40% - Ênfase6 4 3" xfId="2032"/>
    <cellStyle name="40% - Ênfase6 4 4" xfId="2033"/>
    <cellStyle name="40% - Ênfase6 4 5" xfId="2034"/>
    <cellStyle name="40% - Ênfase6 4_13-Endividamento" xfId="2035"/>
    <cellStyle name="40% - Ênfase6 5" xfId="2036"/>
    <cellStyle name="40% - Ênfase6 5 2" xfId="2037"/>
    <cellStyle name="40% - Ênfase6 5 2 2" xfId="2038"/>
    <cellStyle name="40% - Ênfase6 5 2 3" xfId="2039"/>
    <cellStyle name="40% - Ênfase6 5 2 4" xfId="2040"/>
    <cellStyle name="40% - Ênfase6 5 2_13-Endividamento" xfId="2041"/>
    <cellStyle name="40% - Ênfase6 5 3" xfId="2042"/>
    <cellStyle name="40% - Ênfase6 5 4" xfId="2043"/>
    <cellStyle name="40% - Ênfase6 5 5" xfId="2044"/>
    <cellStyle name="40% - Ênfase6 5_13-Endividamento" xfId="2045"/>
    <cellStyle name="40% - Ênfase6 6" xfId="2046"/>
    <cellStyle name="40% - Ênfase6 6 2" xfId="2047"/>
    <cellStyle name="40% - Ênfase6 6 2 2" xfId="2048"/>
    <cellStyle name="40% - Ênfase6 6 2 3" xfId="2049"/>
    <cellStyle name="40% - Ênfase6 6 2 4" xfId="2050"/>
    <cellStyle name="40% - Ênfase6 6 2_13-Endividamento" xfId="2051"/>
    <cellStyle name="40% - Ênfase6 6 3" xfId="2052"/>
    <cellStyle name="40% - Ênfase6 6 4" xfId="2053"/>
    <cellStyle name="40% - Ênfase6 6 5" xfId="2054"/>
    <cellStyle name="40% - Ênfase6 6_13-Endividamento" xfId="2055"/>
    <cellStyle name="40% - Ênfase6 7" xfId="2056"/>
    <cellStyle name="40% - Ênfase6 7 2" xfId="2057"/>
    <cellStyle name="40% - Ênfase6 7 3" xfId="2058"/>
    <cellStyle name="40% - Ênfase6 7 4" xfId="2059"/>
    <cellStyle name="40% - Ênfase6 7_13-Endividamento" xfId="2060"/>
    <cellStyle name="40% - Ênfase6 8" xfId="2061"/>
    <cellStyle name="40% - Ênfase6 9" xfId="2062"/>
    <cellStyle name="60% - Accent1" xfId="21" builtinId="32" customBuiltin="1"/>
    <cellStyle name="60% - Accent1 10" xfId="2063"/>
    <cellStyle name="60% - Accent1 11" xfId="2064"/>
    <cellStyle name="60% - Accent1 12" xfId="2065"/>
    <cellStyle name="60% - Accent1 13" xfId="2066"/>
    <cellStyle name="60% - Accent1 14" xfId="2067"/>
    <cellStyle name="60% - Accent1 15" xfId="2068"/>
    <cellStyle name="60% - Accent1 16" xfId="2069"/>
    <cellStyle name="60% - Accent1 17" xfId="2070"/>
    <cellStyle name="60% - Accent1 18" xfId="2071"/>
    <cellStyle name="60% - Accent1 19" xfId="2072"/>
    <cellStyle name="60% - Accent1 2" xfId="2073"/>
    <cellStyle name="60% - Accent1 2 2" xfId="2074"/>
    <cellStyle name="60% - Accent1 2 3" xfId="2075"/>
    <cellStyle name="60% - Accent1 2 4" xfId="2076"/>
    <cellStyle name="60% - Accent1 2 5" xfId="2077"/>
    <cellStyle name="60% - Accent1 2 6" xfId="2078"/>
    <cellStyle name="60% - Accent1 2 7" xfId="2079"/>
    <cellStyle name="60% - Accent1 2 8" xfId="2080"/>
    <cellStyle name="60% - Accent1 2_13-Endividamento" xfId="2081"/>
    <cellStyle name="60% - Accent1 20" xfId="2082"/>
    <cellStyle name="60% - Accent1 21" xfId="2083"/>
    <cellStyle name="60% - Accent1 22" xfId="2084"/>
    <cellStyle name="60% - Accent1 23" xfId="2085"/>
    <cellStyle name="60% - Accent1 24" xfId="2086"/>
    <cellStyle name="60% - Accent1 25" xfId="2087"/>
    <cellStyle name="60% - Accent1 26" xfId="2088"/>
    <cellStyle name="60% - Accent1 27" xfId="2089"/>
    <cellStyle name="60% - Accent1 28" xfId="2090"/>
    <cellStyle name="60% - Accent1 29" xfId="2091"/>
    <cellStyle name="60% - Accent1 3" xfId="2092"/>
    <cellStyle name="60% - Accent1 3 2" xfId="2093"/>
    <cellStyle name="60% - Accent1 3 3" xfId="2094"/>
    <cellStyle name="60% - Accent1 3 4" xfId="2095"/>
    <cellStyle name="60% - Accent1 3 5" xfId="2096"/>
    <cellStyle name="60% - Accent1 3 6" xfId="2097"/>
    <cellStyle name="60% - Accent1 30" xfId="2098"/>
    <cellStyle name="60% - Accent1 31" xfId="2099"/>
    <cellStyle name="60% - Accent1 32" xfId="2100"/>
    <cellStyle name="60% - Accent1 33" xfId="2101"/>
    <cellStyle name="60% - Accent1 34" xfId="2102"/>
    <cellStyle name="60% - Accent1 35" xfId="2103"/>
    <cellStyle name="60% - Accent1 36" xfId="2104"/>
    <cellStyle name="60% - Accent1 37" xfId="2105"/>
    <cellStyle name="60% - Accent1 38" xfId="2106"/>
    <cellStyle name="60% - Accent1 39" xfId="2107"/>
    <cellStyle name="60% - Accent1 4" xfId="2108"/>
    <cellStyle name="60% - Accent1 40" xfId="2109"/>
    <cellStyle name="60% - Accent1 41" xfId="2110"/>
    <cellStyle name="60% - Accent1 42" xfId="2111"/>
    <cellStyle name="60% - Accent1 43" xfId="2112"/>
    <cellStyle name="60% - Accent1 44" xfId="2113"/>
    <cellStyle name="60% - Accent1 45" xfId="2114"/>
    <cellStyle name="60% - Accent1 46" xfId="2115"/>
    <cellStyle name="60% - Accent1 47" xfId="2116"/>
    <cellStyle name="60% - Accent1 48" xfId="2117"/>
    <cellStyle name="60% - Accent1 49" xfId="2118"/>
    <cellStyle name="60% - Accent1 5" xfId="2119"/>
    <cellStyle name="60% - Accent1 50" xfId="2120"/>
    <cellStyle name="60% - Accent1 51" xfId="2121"/>
    <cellStyle name="60% - Accent1 52" xfId="2122"/>
    <cellStyle name="60% - Accent1 53" xfId="2123"/>
    <cellStyle name="60% - Accent1 54" xfId="2124"/>
    <cellStyle name="60% - Accent1 55" xfId="2125"/>
    <cellStyle name="60% - Accent1 56" xfId="2126"/>
    <cellStyle name="60% - Accent1 57" xfId="2127"/>
    <cellStyle name="60% - Accent1 58" xfId="2128"/>
    <cellStyle name="60% - Accent1 59" xfId="2129"/>
    <cellStyle name="60% - Accent1 6" xfId="2130"/>
    <cellStyle name="60% - Accent1 60" xfId="2131"/>
    <cellStyle name="60% - Accent1 61" xfId="2132"/>
    <cellStyle name="60% - Accent1 62" xfId="2133"/>
    <cellStyle name="60% - Accent1 63" xfId="2134"/>
    <cellStyle name="60% - Accent1 64" xfId="2135"/>
    <cellStyle name="60% - Accent1 65" xfId="2136"/>
    <cellStyle name="60% - Accent1 66" xfId="2137"/>
    <cellStyle name="60% - Accent1 67" xfId="2138"/>
    <cellStyle name="60% - Accent1 68" xfId="2139"/>
    <cellStyle name="60% - Accent1 69" xfId="2140"/>
    <cellStyle name="60% - Accent1 7" xfId="2141"/>
    <cellStyle name="60% - Accent1 70" xfId="2142"/>
    <cellStyle name="60% - Accent1 71" xfId="2143"/>
    <cellStyle name="60% - Accent1 72" xfId="2144"/>
    <cellStyle name="60% - Accent1 73" xfId="2145"/>
    <cellStyle name="60% - Accent1 74" xfId="2146"/>
    <cellStyle name="60% - Accent1 75" xfId="2147"/>
    <cellStyle name="60% - Accent1 76" xfId="2148"/>
    <cellStyle name="60% - Accent1 77" xfId="2149"/>
    <cellStyle name="60% - Accent1 78" xfId="2150"/>
    <cellStyle name="60% - Accent1 79" xfId="2151"/>
    <cellStyle name="60% - Accent1 8" xfId="2152"/>
    <cellStyle name="60% - Accent1 80" xfId="2153"/>
    <cellStyle name="60% - Accent1 81" xfId="2154"/>
    <cellStyle name="60% - Accent1 82" xfId="2155"/>
    <cellStyle name="60% - Accent1 83" xfId="2156"/>
    <cellStyle name="60% - Accent1 84" xfId="2157"/>
    <cellStyle name="60% - Accent1 85" xfId="2158"/>
    <cellStyle name="60% - Accent1 86" xfId="2159"/>
    <cellStyle name="60% - Accent1 87" xfId="2160"/>
    <cellStyle name="60% - Accent1 88" xfId="2161"/>
    <cellStyle name="60% - Accent1 89" xfId="2162"/>
    <cellStyle name="60% - Accent1 9" xfId="2163"/>
    <cellStyle name="60% - Accent1 90" xfId="2164"/>
    <cellStyle name="60% - Accent1 91" xfId="2165"/>
    <cellStyle name="60% - Accent1 92" xfId="2166"/>
    <cellStyle name="60% - Accent1 93" xfId="2167"/>
    <cellStyle name="60% - Accent2" xfId="22" builtinId="36" customBuiltin="1"/>
    <cellStyle name="60% - Accent2 10" xfId="2168"/>
    <cellStyle name="60% - Accent2 11" xfId="2169"/>
    <cellStyle name="60% - Accent2 12" xfId="2170"/>
    <cellStyle name="60% - Accent2 13" xfId="2171"/>
    <cellStyle name="60% - Accent2 14" xfId="2172"/>
    <cellStyle name="60% - Accent2 15" xfId="2173"/>
    <cellStyle name="60% - Accent2 16" xfId="2174"/>
    <cellStyle name="60% - Accent2 17" xfId="2175"/>
    <cellStyle name="60% - Accent2 18" xfId="2176"/>
    <cellStyle name="60% - Accent2 19" xfId="2177"/>
    <cellStyle name="60% - Accent2 2" xfId="2178"/>
    <cellStyle name="60% - Accent2 2 2" xfId="2179"/>
    <cellStyle name="60% - Accent2 2 3" xfId="2180"/>
    <cellStyle name="60% - Accent2 2 4" xfId="2181"/>
    <cellStyle name="60% - Accent2 2 5" xfId="2182"/>
    <cellStyle name="60% - Accent2 2 6" xfId="2183"/>
    <cellStyle name="60% - Accent2 2 7" xfId="2184"/>
    <cellStyle name="60% - Accent2 2 8" xfId="2185"/>
    <cellStyle name="60% - Accent2 2_13-Endividamento" xfId="2186"/>
    <cellStyle name="60% - Accent2 20" xfId="2187"/>
    <cellStyle name="60% - Accent2 21" xfId="2188"/>
    <cellStyle name="60% - Accent2 22" xfId="2189"/>
    <cellStyle name="60% - Accent2 23" xfId="2190"/>
    <cellStyle name="60% - Accent2 24" xfId="2191"/>
    <cellStyle name="60% - Accent2 25" xfId="2192"/>
    <cellStyle name="60% - Accent2 26" xfId="2193"/>
    <cellStyle name="60% - Accent2 27" xfId="2194"/>
    <cellStyle name="60% - Accent2 28" xfId="2195"/>
    <cellStyle name="60% - Accent2 29" xfId="2196"/>
    <cellStyle name="60% - Accent2 3" xfId="2197"/>
    <cellStyle name="60% - Accent2 3 2" xfId="2198"/>
    <cellStyle name="60% - Accent2 3 3" xfId="2199"/>
    <cellStyle name="60% - Accent2 3 4" xfId="2200"/>
    <cellStyle name="60% - Accent2 3 5" xfId="2201"/>
    <cellStyle name="60% - Accent2 3 6" xfId="2202"/>
    <cellStyle name="60% - Accent2 30" xfId="2203"/>
    <cellStyle name="60% - Accent2 31" xfId="2204"/>
    <cellStyle name="60% - Accent2 32" xfId="2205"/>
    <cellStyle name="60% - Accent2 33" xfId="2206"/>
    <cellStyle name="60% - Accent2 34" xfId="2207"/>
    <cellStyle name="60% - Accent2 35" xfId="2208"/>
    <cellStyle name="60% - Accent2 36" xfId="2209"/>
    <cellStyle name="60% - Accent2 37" xfId="2210"/>
    <cellStyle name="60% - Accent2 38" xfId="2211"/>
    <cellStyle name="60% - Accent2 39" xfId="2212"/>
    <cellStyle name="60% - Accent2 4" xfId="2213"/>
    <cellStyle name="60% - Accent2 40" xfId="2214"/>
    <cellStyle name="60% - Accent2 41" xfId="2215"/>
    <cellStyle name="60% - Accent2 42" xfId="2216"/>
    <cellStyle name="60% - Accent2 43" xfId="2217"/>
    <cellStyle name="60% - Accent2 44" xfId="2218"/>
    <cellStyle name="60% - Accent2 45" xfId="2219"/>
    <cellStyle name="60% - Accent2 46" xfId="2220"/>
    <cellStyle name="60% - Accent2 47" xfId="2221"/>
    <cellStyle name="60% - Accent2 48" xfId="2222"/>
    <cellStyle name="60% - Accent2 49" xfId="2223"/>
    <cellStyle name="60% - Accent2 5" xfId="2224"/>
    <cellStyle name="60% - Accent2 50" xfId="2225"/>
    <cellStyle name="60% - Accent2 51" xfId="2226"/>
    <cellStyle name="60% - Accent2 52" xfId="2227"/>
    <cellStyle name="60% - Accent2 53" xfId="2228"/>
    <cellStyle name="60% - Accent2 54" xfId="2229"/>
    <cellStyle name="60% - Accent2 55" xfId="2230"/>
    <cellStyle name="60% - Accent2 56" xfId="2231"/>
    <cellStyle name="60% - Accent2 57" xfId="2232"/>
    <cellStyle name="60% - Accent2 58" xfId="2233"/>
    <cellStyle name="60% - Accent2 59" xfId="2234"/>
    <cellStyle name="60% - Accent2 6" xfId="2235"/>
    <cellStyle name="60% - Accent2 60" xfId="2236"/>
    <cellStyle name="60% - Accent2 61" xfId="2237"/>
    <cellStyle name="60% - Accent2 62" xfId="2238"/>
    <cellStyle name="60% - Accent2 63" xfId="2239"/>
    <cellStyle name="60% - Accent2 64" xfId="2240"/>
    <cellStyle name="60% - Accent2 65" xfId="2241"/>
    <cellStyle name="60% - Accent2 66" xfId="2242"/>
    <cellStyle name="60% - Accent2 67" xfId="2243"/>
    <cellStyle name="60% - Accent2 68" xfId="2244"/>
    <cellStyle name="60% - Accent2 69" xfId="2245"/>
    <cellStyle name="60% - Accent2 7" xfId="2246"/>
    <cellStyle name="60% - Accent2 70" xfId="2247"/>
    <cellStyle name="60% - Accent2 71" xfId="2248"/>
    <cellStyle name="60% - Accent2 72" xfId="2249"/>
    <cellStyle name="60% - Accent2 73" xfId="2250"/>
    <cellStyle name="60% - Accent2 74" xfId="2251"/>
    <cellStyle name="60% - Accent2 75" xfId="2252"/>
    <cellStyle name="60% - Accent2 76" xfId="2253"/>
    <cellStyle name="60% - Accent2 77" xfId="2254"/>
    <cellStyle name="60% - Accent2 78" xfId="2255"/>
    <cellStyle name="60% - Accent2 79" xfId="2256"/>
    <cellStyle name="60% - Accent2 8" xfId="2257"/>
    <cellStyle name="60% - Accent2 80" xfId="2258"/>
    <cellStyle name="60% - Accent2 81" xfId="2259"/>
    <cellStyle name="60% - Accent2 82" xfId="2260"/>
    <cellStyle name="60% - Accent2 83" xfId="2261"/>
    <cellStyle name="60% - Accent2 84" xfId="2262"/>
    <cellStyle name="60% - Accent2 85" xfId="2263"/>
    <cellStyle name="60% - Accent2 86" xfId="2264"/>
    <cellStyle name="60% - Accent2 87" xfId="2265"/>
    <cellStyle name="60% - Accent2 88" xfId="2266"/>
    <cellStyle name="60% - Accent2 89" xfId="2267"/>
    <cellStyle name="60% - Accent2 9" xfId="2268"/>
    <cellStyle name="60% - Accent2 90" xfId="2269"/>
    <cellStyle name="60% - Accent2 91" xfId="2270"/>
    <cellStyle name="60% - Accent2 92" xfId="2271"/>
    <cellStyle name="60% - Accent2 93" xfId="2272"/>
    <cellStyle name="60% - Accent3" xfId="23" builtinId="40" customBuiltin="1"/>
    <cellStyle name="60% - Accent3 10" xfId="2273"/>
    <cellStyle name="60% - Accent3 11" xfId="2274"/>
    <cellStyle name="60% - Accent3 12" xfId="2275"/>
    <cellStyle name="60% - Accent3 13" xfId="2276"/>
    <cellStyle name="60% - Accent3 14" xfId="2277"/>
    <cellStyle name="60% - Accent3 15" xfId="2278"/>
    <cellStyle name="60% - Accent3 16" xfId="2279"/>
    <cellStyle name="60% - Accent3 17" xfId="2280"/>
    <cellStyle name="60% - Accent3 18" xfId="2281"/>
    <cellStyle name="60% - Accent3 19" xfId="2282"/>
    <cellStyle name="60% - Accent3 2" xfId="2283"/>
    <cellStyle name="60% - Accent3 2 2" xfId="2284"/>
    <cellStyle name="60% - Accent3 2 3" xfId="2285"/>
    <cellStyle name="60% - Accent3 2 4" xfId="2286"/>
    <cellStyle name="60% - Accent3 2 5" xfId="2287"/>
    <cellStyle name="60% - Accent3 2 6" xfId="2288"/>
    <cellStyle name="60% - Accent3 2 7" xfId="2289"/>
    <cellStyle name="60% - Accent3 2 8" xfId="2290"/>
    <cellStyle name="60% - Accent3 2_13-Endividamento" xfId="2291"/>
    <cellStyle name="60% - Accent3 20" xfId="2292"/>
    <cellStyle name="60% - Accent3 21" xfId="2293"/>
    <cellStyle name="60% - Accent3 22" xfId="2294"/>
    <cellStyle name="60% - Accent3 23" xfId="2295"/>
    <cellStyle name="60% - Accent3 24" xfId="2296"/>
    <cellStyle name="60% - Accent3 25" xfId="2297"/>
    <cellStyle name="60% - Accent3 26" xfId="2298"/>
    <cellStyle name="60% - Accent3 27" xfId="2299"/>
    <cellStyle name="60% - Accent3 28" xfId="2300"/>
    <cellStyle name="60% - Accent3 29" xfId="2301"/>
    <cellStyle name="60% - Accent3 3" xfId="2302"/>
    <cellStyle name="60% - Accent3 3 2" xfId="2303"/>
    <cellStyle name="60% - Accent3 3 3" xfId="2304"/>
    <cellStyle name="60% - Accent3 3 4" xfId="2305"/>
    <cellStyle name="60% - Accent3 3 5" xfId="2306"/>
    <cellStyle name="60% - Accent3 3 6" xfId="2307"/>
    <cellStyle name="60% - Accent3 30" xfId="2308"/>
    <cellStyle name="60% - Accent3 31" xfId="2309"/>
    <cellStyle name="60% - Accent3 32" xfId="2310"/>
    <cellStyle name="60% - Accent3 33" xfId="2311"/>
    <cellStyle name="60% - Accent3 34" xfId="2312"/>
    <cellStyle name="60% - Accent3 35" xfId="2313"/>
    <cellStyle name="60% - Accent3 36" xfId="2314"/>
    <cellStyle name="60% - Accent3 37" xfId="2315"/>
    <cellStyle name="60% - Accent3 38" xfId="2316"/>
    <cellStyle name="60% - Accent3 39" xfId="2317"/>
    <cellStyle name="60% - Accent3 4" xfId="2318"/>
    <cellStyle name="60% - Accent3 40" xfId="2319"/>
    <cellStyle name="60% - Accent3 41" xfId="2320"/>
    <cellStyle name="60% - Accent3 42" xfId="2321"/>
    <cellStyle name="60% - Accent3 43" xfId="2322"/>
    <cellStyle name="60% - Accent3 44" xfId="2323"/>
    <cellStyle name="60% - Accent3 45" xfId="2324"/>
    <cellStyle name="60% - Accent3 46" xfId="2325"/>
    <cellStyle name="60% - Accent3 47" xfId="2326"/>
    <cellStyle name="60% - Accent3 48" xfId="2327"/>
    <cellStyle name="60% - Accent3 49" xfId="2328"/>
    <cellStyle name="60% - Accent3 5" xfId="2329"/>
    <cellStyle name="60% - Accent3 50" xfId="2330"/>
    <cellStyle name="60% - Accent3 51" xfId="2331"/>
    <cellStyle name="60% - Accent3 52" xfId="2332"/>
    <cellStyle name="60% - Accent3 53" xfId="2333"/>
    <cellStyle name="60% - Accent3 54" xfId="2334"/>
    <cellStyle name="60% - Accent3 55" xfId="2335"/>
    <cellStyle name="60% - Accent3 56" xfId="2336"/>
    <cellStyle name="60% - Accent3 57" xfId="2337"/>
    <cellStyle name="60% - Accent3 58" xfId="2338"/>
    <cellStyle name="60% - Accent3 59" xfId="2339"/>
    <cellStyle name="60% - Accent3 6" xfId="2340"/>
    <cellStyle name="60% - Accent3 60" xfId="2341"/>
    <cellStyle name="60% - Accent3 61" xfId="2342"/>
    <cellStyle name="60% - Accent3 62" xfId="2343"/>
    <cellStyle name="60% - Accent3 63" xfId="2344"/>
    <cellStyle name="60% - Accent3 64" xfId="2345"/>
    <cellStyle name="60% - Accent3 65" xfId="2346"/>
    <cellStyle name="60% - Accent3 66" xfId="2347"/>
    <cellStyle name="60% - Accent3 67" xfId="2348"/>
    <cellStyle name="60% - Accent3 68" xfId="2349"/>
    <cellStyle name="60% - Accent3 69" xfId="2350"/>
    <cellStyle name="60% - Accent3 7" xfId="2351"/>
    <cellStyle name="60% - Accent3 70" xfId="2352"/>
    <cellStyle name="60% - Accent3 71" xfId="2353"/>
    <cellStyle name="60% - Accent3 72" xfId="2354"/>
    <cellStyle name="60% - Accent3 73" xfId="2355"/>
    <cellStyle name="60% - Accent3 74" xfId="2356"/>
    <cellStyle name="60% - Accent3 75" xfId="2357"/>
    <cellStyle name="60% - Accent3 76" xfId="2358"/>
    <cellStyle name="60% - Accent3 77" xfId="2359"/>
    <cellStyle name="60% - Accent3 78" xfId="2360"/>
    <cellStyle name="60% - Accent3 79" xfId="2361"/>
    <cellStyle name="60% - Accent3 8" xfId="2362"/>
    <cellStyle name="60% - Accent3 80" xfId="2363"/>
    <cellStyle name="60% - Accent3 81" xfId="2364"/>
    <cellStyle name="60% - Accent3 82" xfId="2365"/>
    <cellStyle name="60% - Accent3 83" xfId="2366"/>
    <cellStyle name="60% - Accent3 84" xfId="2367"/>
    <cellStyle name="60% - Accent3 85" xfId="2368"/>
    <cellStyle name="60% - Accent3 86" xfId="2369"/>
    <cellStyle name="60% - Accent3 87" xfId="2370"/>
    <cellStyle name="60% - Accent3 88" xfId="2371"/>
    <cellStyle name="60% - Accent3 89" xfId="2372"/>
    <cellStyle name="60% - Accent3 9" xfId="2373"/>
    <cellStyle name="60% - Accent3 90" xfId="2374"/>
    <cellStyle name="60% - Accent3 91" xfId="2375"/>
    <cellStyle name="60% - Accent3 92" xfId="2376"/>
    <cellStyle name="60% - Accent3 93" xfId="2377"/>
    <cellStyle name="60% - Accent4" xfId="24" builtinId="44" customBuiltin="1"/>
    <cellStyle name="60% - Accent4 10" xfId="2378"/>
    <cellStyle name="60% - Accent4 11" xfId="2379"/>
    <cellStyle name="60% - Accent4 12" xfId="2380"/>
    <cellStyle name="60% - Accent4 13" xfId="2381"/>
    <cellStyle name="60% - Accent4 14" xfId="2382"/>
    <cellStyle name="60% - Accent4 15" xfId="2383"/>
    <cellStyle name="60% - Accent4 16" xfId="2384"/>
    <cellStyle name="60% - Accent4 17" xfId="2385"/>
    <cellStyle name="60% - Accent4 18" xfId="2386"/>
    <cellStyle name="60% - Accent4 19" xfId="2387"/>
    <cellStyle name="60% - Accent4 2" xfId="2388"/>
    <cellStyle name="60% - Accent4 2 2" xfId="2389"/>
    <cellStyle name="60% - Accent4 2 3" xfId="2390"/>
    <cellStyle name="60% - Accent4 2 4" xfId="2391"/>
    <cellStyle name="60% - Accent4 2 5" xfId="2392"/>
    <cellStyle name="60% - Accent4 2 6" xfId="2393"/>
    <cellStyle name="60% - Accent4 2 7" xfId="2394"/>
    <cellStyle name="60% - Accent4 2 8" xfId="2395"/>
    <cellStyle name="60% - Accent4 2_13-Endividamento" xfId="2396"/>
    <cellStyle name="60% - Accent4 20" xfId="2397"/>
    <cellStyle name="60% - Accent4 21" xfId="2398"/>
    <cellStyle name="60% - Accent4 22" xfId="2399"/>
    <cellStyle name="60% - Accent4 23" xfId="2400"/>
    <cellStyle name="60% - Accent4 24" xfId="2401"/>
    <cellStyle name="60% - Accent4 25" xfId="2402"/>
    <cellStyle name="60% - Accent4 26" xfId="2403"/>
    <cellStyle name="60% - Accent4 27" xfId="2404"/>
    <cellStyle name="60% - Accent4 28" xfId="2405"/>
    <cellStyle name="60% - Accent4 29" xfId="2406"/>
    <cellStyle name="60% - Accent4 3" xfId="2407"/>
    <cellStyle name="60% - Accent4 3 2" xfId="2408"/>
    <cellStyle name="60% - Accent4 3 3" xfId="2409"/>
    <cellStyle name="60% - Accent4 3 4" xfId="2410"/>
    <cellStyle name="60% - Accent4 3 5" xfId="2411"/>
    <cellStyle name="60% - Accent4 3 6" xfId="2412"/>
    <cellStyle name="60% - Accent4 30" xfId="2413"/>
    <cellStyle name="60% - Accent4 31" xfId="2414"/>
    <cellStyle name="60% - Accent4 32" xfId="2415"/>
    <cellStyle name="60% - Accent4 33" xfId="2416"/>
    <cellStyle name="60% - Accent4 34" xfId="2417"/>
    <cellStyle name="60% - Accent4 35" xfId="2418"/>
    <cellStyle name="60% - Accent4 36" xfId="2419"/>
    <cellStyle name="60% - Accent4 37" xfId="2420"/>
    <cellStyle name="60% - Accent4 38" xfId="2421"/>
    <cellStyle name="60% - Accent4 39" xfId="2422"/>
    <cellStyle name="60% - Accent4 4" xfId="2423"/>
    <cellStyle name="60% - Accent4 40" xfId="2424"/>
    <cellStyle name="60% - Accent4 41" xfId="2425"/>
    <cellStyle name="60% - Accent4 42" xfId="2426"/>
    <cellStyle name="60% - Accent4 43" xfId="2427"/>
    <cellStyle name="60% - Accent4 44" xfId="2428"/>
    <cellStyle name="60% - Accent4 45" xfId="2429"/>
    <cellStyle name="60% - Accent4 46" xfId="2430"/>
    <cellStyle name="60% - Accent4 47" xfId="2431"/>
    <cellStyle name="60% - Accent4 48" xfId="2432"/>
    <cellStyle name="60% - Accent4 49" xfId="2433"/>
    <cellStyle name="60% - Accent4 5" xfId="2434"/>
    <cellStyle name="60% - Accent4 50" xfId="2435"/>
    <cellStyle name="60% - Accent4 51" xfId="2436"/>
    <cellStyle name="60% - Accent4 52" xfId="2437"/>
    <cellStyle name="60% - Accent4 53" xfId="2438"/>
    <cellStyle name="60% - Accent4 54" xfId="2439"/>
    <cellStyle name="60% - Accent4 55" xfId="2440"/>
    <cellStyle name="60% - Accent4 56" xfId="2441"/>
    <cellStyle name="60% - Accent4 57" xfId="2442"/>
    <cellStyle name="60% - Accent4 58" xfId="2443"/>
    <cellStyle name="60% - Accent4 59" xfId="2444"/>
    <cellStyle name="60% - Accent4 6" xfId="2445"/>
    <cellStyle name="60% - Accent4 60" xfId="2446"/>
    <cellStyle name="60% - Accent4 61" xfId="2447"/>
    <cellStyle name="60% - Accent4 62" xfId="2448"/>
    <cellStyle name="60% - Accent4 63" xfId="2449"/>
    <cellStyle name="60% - Accent4 64" xfId="2450"/>
    <cellStyle name="60% - Accent4 65" xfId="2451"/>
    <cellStyle name="60% - Accent4 66" xfId="2452"/>
    <cellStyle name="60% - Accent4 67" xfId="2453"/>
    <cellStyle name="60% - Accent4 68" xfId="2454"/>
    <cellStyle name="60% - Accent4 69" xfId="2455"/>
    <cellStyle name="60% - Accent4 7" xfId="2456"/>
    <cellStyle name="60% - Accent4 70" xfId="2457"/>
    <cellStyle name="60% - Accent4 71" xfId="2458"/>
    <cellStyle name="60% - Accent4 72" xfId="2459"/>
    <cellStyle name="60% - Accent4 73" xfId="2460"/>
    <cellStyle name="60% - Accent4 74" xfId="2461"/>
    <cellStyle name="60% - Accent4 75" xfId="2462"/>
    <cellStyle name="60% - Accent4 76" xfId="2463"/>
    <cellStyle name="60% - Accent4 77" xfId="2464"/>
    <cellStyle name="60% - Accent4 78" xfId="2465"/>
    <cellStyle name="60% - Accent4 79" xfId="2466"/>
    <cellStyle name="60% - Accent4 8" xfId="2467"/>
    <cellStyle name="60% - Accent4 80" xfId="2468"/>
    <cellStyle name="60% - Accent4 81" xfId="2469"/>
    <cellStyle name="60% - Accent4 82" xfId="2470"/>
    <cellStyle name="60% - Accent4 83" xfId="2471"/>
    <cellStyle name="60% - Accent4 84" xfId="2472"/>
    <cellStyle name="60% - Accent4 85" xfId="2473"/>
    <cellStyle name="60% - Accent4 86" xfId="2474"/>
    <cellStyle name="60% - Accent4 87" xfId="2475"/>
    <cellStyle name="60% - Accent4 88" xfId="2476"/>
    <cellStyle name="60% - Accent4 89" xfId="2477"/>
    <cellStyle name="60% - Accent4 9" xfId="2478"/>
    <cellStyle name="60% - Accent4 90" xfId="2479"/>
    <cellStyle name="60% - Accent4 91" xfId="2480"/>
    <cellStyle name="60% - Accent4 92" xfId="2481"/>
    <cellStyle name="60% - Accent4 93" xfId="2482"/>
    <cellStyle name="60% - Accent5" xfId="25" builtinId="48" customBuiltin="1"/>
    <cellStyle name="60% - Accent5 10" xfId="2483"/>
    <cellStyle name="60% - Accent5 11" xfId="2484"/>
    <cellStyle name="60% - Accent5 12" xfId="2485"/>
    <cellStyle name="60% - Accent5 13" xfId="2486"/>
    <cellStyle name="60% - Accent5 14" xfId="2487"/>
    <cellStyle name="60% - Accent5 15" xfId="2488"/>
    <cellStyle name="60% - Accent5 16" xfId="2489"/>
    <cellStyle name="60% - Accent5 17" xfId="2490"/>
    <cellStyle name="60% - Accent5 18" xfId="2491"/>
    <cellStyle name="60% - Accent5 19" xfId="2492"/>
    <cellStyle name="60% - Accent5 2" xfId="2493"/>
    <cellStyle name="60% - Accent5 2 2" xfId="2494"/>
    <cellStyle name="60% - Accent5 2 3" xfId="2495"/>
    <cellStyle name="60% - Accent5 2 4" xfId="2496"/>
    <cellStyle name="60% - Accent5 2 5" xfId="2497"/>
    <cellStyle name="60% - Accent5 2 6" xfId="2498"/>
    <cellStyle name="60% - Accent5 2 7" xfId="2499"/>
    <cellStyle name="60% - Accent5 2 8" xfId="2500"/>
    <cellStyle name="60% - Accent5 2_13-Endividamento" xfId="2501"/>
    <cellStyle name="60% - Accent5 20" xfId="2502"/>
    <cellStyle name="60% - Accent5 21" xfId="2503"/>
    <cellStyle name="60% - Accent5 22" xfId="2504"/>
    <cellStyle name="60% - Accent5 23" xfId="2505"/>
    <cellStyle name="60% - Accent5 24" xfId="2506"/>
    <cellStyle name="60% - Accent5 25" xfId="2507"/>
    <cellStyle name="60% - Accent5 26" xfId="2508"/>
    <cellStyle name="60% - Accent5 27" xfId="2509"/>
    <cellStyle name="60% - Accent5 28" xfId="2510"/>
    <cellStyle name="60% - Accent5 29" xfId="2511"/>
    <cellStyle name="60% - Accent5 3" xfId="2512"/>
    <cellStyle name="60% - Accent5 3 2" xfId="2513"/>
    <cellStyle name="60% - Accent5 3 3" xfId="2514"/>
    <cellStyle name="60% - Accent5 3 4" xfId="2515"/>
    <cellStyle name="60% - Accent5 3 5" xfId="2516"/>
    <cellStyle name="60% - Accent5 3 6" xfId="2517"/>
    <cellStyle name="60% - Accent5 30" xfId="2518"/>
    <cellStyle name="60% - Accent5 31" xfId="2519"/>
    <cellStyle name="60% - Accent5 32" xfId="2520"/>
    <cellStyle name="60% - Accent5 33" xfId="2521"/>
    <cellStyle name="60% - Accent5 34" xfId="2522"/>
    <cellStyle name="60% - Accent5 35" xfId="2523"/>
    <cellStyle name="60% - Accent5 36" xfId="2524"/>
    <cellStyle name="60% - Accent5 37" xfId="2525"/>
    <cellStyle name="60% - Accent5 38" xfId="2526"/>
    <cellStyle name="60% - Accent5 39" xfId="2527"/>
    <cellStyle name="60% - Accent5 4" xfId="2528"/>
    <cellStyle name="60% - Accent5 40" xfId="2529"/>
    <cellStyle name="60% - Accent5 41" xfId="2530"/>
    <cellStyle name="60% - Accent5 42" xfId="2531"/>
    <cellStyle name="60% - Accent5 43" xfId="2532"/>
    <cellStyle name="60% - Accent5 44" xfId="2533"/>
    <cellStyle name="60% - Accent5 45" xfId="2534"/>
    <cellStyle name="60% - Accent5 46" xfId="2535"/>
    <cellStyle name="60% - Accent5 47" xfId="2536"/>
    <cellStyle name="60% - Accent5 48" xfId="2537"/>
    <cellStyle name="60% - Accent5 49" xfId="2538"/>
    <cellStyle name="60% - Accent5 5" xfId="2539"/>
    <cellStyle name="60% - Accent5 50" xfId="2540"/>
    <cellStyle name="60% - Accent5 51" xfId="2541"/>
    <cellStyle name="60% - Accent5 52" xfId="2542"/>
    <cellStyle name="60% - Accent5 53" xfId="2543"/>
    <cellStyle name="60% - Accent5 54" xfId="2544"/>
    <cellStyle name="60% - Accent5 55" xfId="2545"/>
    <cellStyle name="60% - Accent5 56" xfId="2546"/>
    <cellStyle name="60% - Accent5 57" xfId="2547"/>
    <cellStyle name="60% - Accent5 58" xfId="2548"/>
    <cellStyle name="60% - Accent5 59" xfId="2549"/>
    <cellStyle name="60% - Accent5 6" xfId="2550"/>
    <cellStyle name="60% - Accent5 60" xfId="2551"/>
    <cellStyle name="60% - Accent5 61" xfId="2552"/>
    <cellStyle name="60% - Accent5 62" xfId="2553"/>
    <cellStyle name="60% - Accent5 63" xfId="2554"/>
    <cellStyle name="60% - Accent5 64" xfId="2555"/>
    <cellStyle name="60% - Accent5 65" xfId="2556"/>
    <cellStyle name="60% - Accent5 66" xfId="2557"/>
    <cellStyle name="60% - Accent5 67" xfId="2558"/>
    <cellStyle name="60% - Accent5 68" xfId="2559"/>
    <cellStyle name="60% - Accent5 69" xfId="2560"/>
    <cellStyle name="60% - Accent5 7" xfId="2561"/>
    <cellStyle name="60% - Accent5 70" xfId="2562"/>
    <cellStyle name="60% - Accent5 71" xfId="2563"/>
    <cellStyle name="60% - Accent5 72" xfId="2564"/>
    <cellStyle name="60% - Accent5 73" xfId="2565"/>
    <cellStyle name="60% - Accent5 74" xfId="2566"/>
    <cellStyle name="60% - Accent5 75" xfId="2567"/>
    <cellStyle name="60% - Accent5 76" xfId="2568"/>
    <cellStyle name="60% - Accent5 77" xfId="2569"/>
    <cellStyle name="60% - Accent5 78" xfId="2570"/>
    <cellStyle name="60% - Accent5 79" xfId="2571"/>
    <cellStyle name="60% - Accent5 8" xfId="2572"/>
    <cellStyle name="60% - Accent5 80" xfId="2573"/>
    <cellStyle name="60% - Accent5 81" xfId="2574"/>
    <cellStyle name="60% - Accent5 82" xfId="2575"/>
    <cellStyle name="60% - Accent5 83" xfId="2576"/>
    <cellStyle name="60% - Accent5 84" xfId="2577"/>
    <cellStyle name="60% - Accent5 85" xfId="2578"/>
    <cellStyle name="60% - Accent5 86" xfId="2579"/>
    <cellStyle name="60% - Accent5 87" xfId="2580"/>
    <cellStyle name="60% - Accent5 88" xfId="2581"/>
    <cellStyle name="60% - Accent5 89" xfId="2582"/>
    <cellStyle name="60% - Accent5 9" xfId="2583"/>
    <cellStyle name="60% - Accent5 90" xfId="2584"/>
    <cellStyle name="60% - Accent5 91" xfId="2585"/>
    <cellStyle name="60% - Accent5 92" xfId="2586"/>
    <cellStyle name="60% - Accent5 93" xfId="2587"/>
    <cellStyle name="60% - Accent6" xfId="26" builtinId="52" customBuiltin="1"/>
    <cellStyle name="60% - Accent6 10" xfId="2588"/>
    <cellStyle name="60% - Accent6 11" xfId="2589"/>
    <cellStyle name="60% - Accent6 12" xfId="2590"/>
    <cellStyle name="60% - Accent6 13" xfId="2591"/>
    <cellStyle name="60% - Accent6 14" xfId="2592"/>
    <cellStyle name="60% - Accent6 15" xfId="2593"/>
    <cellStyle name="60% - Accent6 16" xfId="2594"/>
    <cellStyle name="60% - Accent6 17" xfId="2595"/>
    <cellStyle name="60% - Accent6 18" xfId="2596"/>
    <cellStyle name="60% - Accent6 19" xfId="2597"/>
    <cellStyle name="60% - Accent6 2" xfId="2598"/>
    <cellStyle name="60% - Accent6 2 2" xfId="2599"/>
    <cellStyle name="60% - Accent6 2 3" xfId="2600"/>
    <cellStyle name="60% - Accent6 2 4" xfId="2601"/>
    <cellStyle name="60% - Accent6 2 5" xfId="2602"/>
    <cellStyle name="60% - Accent6 2 6" xfId="2603"/>
    <cellStyle name="60% - Accent6 2 7" xfId="2604"/>
    <cellStyle name="60% - Accent6 2 8" xfId="2605"/>
    <cellStyle name="60% - Accent6 2_13-Endividamento" xfId="2606"/>
    <cellStyle name="60% - Accent6 20" xfId="2607"/>
    <cellStyle name="60% - Accent6 21" xfId="2608"/>
    <cellStyle name="60% - Accent6 22" xfId="2609"/>
    <cellStyle name="60% - Accent6 23" xfId="2610"/>
    <cellStyle name="60% - Accent6 24" xfId="2611"/>
    <cellStyle name="60% - Accent6 25" xfId="2612"/>
    <cellStyle name="60% - Accent6 26" xfId="2613"/>
    <cellStyle name="60% - Accent6 27" xfId="2614"/>
    <cellStyle name="60% - Accent6 28" xfId="2615"/>
    <cellStyle name="60% - Accent6 29" xfId="2616"/>
    <cellStyle name="60% - Accent6 3" xfId="2617"/>
    <cellStyle name="60% - Accent6 3 2" xfId="2618"/>
    <cellStyle name="60% - Accent6 3 3" xfId="2619"/>
    <cellStyle name="60% - Accent6 3 4" xfId="2620"/>
    <cellStyle name="60% - Accent6 3 5" xfId="2621"/>
    <cellStyle name="60% - Accent6 3 6" xfId="2622"/>
    <cellStyle name="60% - Accent6 30" xfId="2623"/>
    <cellStyle name="60% - Accent6 31" xfId="2624"/>
    <cellStyle name="60% - Accent6 32" xfId="2625"/>
    <cellStyle name="60% - Accent6 33" xfId="2626"/>
    <cellStyle name="60% - Accent6 34" xfId="2627"/>
    <cellStyle name="60% - Accent6 35" xfId="2628"/>
    <cellStyle name="60% - Accent6 36" xfId="2629"/>
    <cellStyle name="60% - Accent6 37" xfId="2630"/>
    <cellStyle name="60% - Accent6 38" xfId="2631"/>
    <cellStyle name="60% - Accent6 39" xfId="2632"/>
    <cellStyle name="60% - Accent6 4" xfId="2633"/>
    <cellStyle name="60% - Accent6 40" xfId="2634"/>
    <cellStyle name="60% - Accent6 41" xfId="2635"/>
    <cellStyle name="60% - Accent6 42" xfId="2636"/>
    <cellStyle name="60% - Accent6 43" xfId="2637"/>
    <cellStyle name="60% - Accent6 44" xfId="2638"/>
    <cellStyle name="60% - Accent6 45" xfId="2639"/>
    <cellStyle name="60% - Accent6 46" xfId="2640"/>
    <cellStyle name="60% - Accent6 47" xfId="2641"/>
    <cellStyle name="60% - Accent6 48" xfId="2642"/>
    <cellStyle name="60% - Accent6 49" xfId="2643"/>
    <cellStyle name="60% - Accent6 5" xfId="2644"/>
    <cellStyle name="60% - Accent6 50" xfId="2645"/>
    <cellStyle name="60% - Accent6 51" xfId="2646"/>
    <cellStyle name="60% - Accent6 52" xfId="2647"/>
    <cellStyle name="60% - Accent6 53" xfId="2648"/>
    <cellStyle name="60% - Accent6 54" xfId="2649"/>
    <cellStyle name="60% - Accent6 55" xfId="2650"/>
    <cellStyle name="60% - Accent6 56" xfId="2651"/>
    <cellStyle name="60% - Accent6 57" xfId="2652"/>
    <cellStyle name="60% - Accent6 58" xfId="2653"/>
    <cellStyle name="60% - Accent6 59" xfId="2654"/>
    <cellStyle name="60% - Accent6 6" xfId="2655"/>
    <cellStyle name="60% - Accent6 60" xfId="2656"/>
    <cellStyle name="60% - Accent6 61" xfId="2657"/>
    <cellStyle name="60% - Accent6 62" xfId="2658"/>
    <cellStyle name="60% - Accent6 63" xfId="2659"/>
    <cellStyle name="60% - Accent6 64" xfId="2660"/>
    <cellStyle name="60% - Accent6 65" xfId="2661"/>
    <cellStyle name="60% - Accent6 66" xfId="2662"/>
    <cellStyle name="60% - Accent6 67" xfId="2663"/>
    <cellStyle name="60% - Accent6 68" xfId="2664"/>
    <cellStyle name="60% - Accent6 69" xfId="2665"/>
    <cellStyle name="60% - Accent6 7" xfId="2666"/>
    <cellStyle name="60% - Accent6 70" xfId="2667"/>
    <cellStyle name="60% - Accent6 71" xfId="2668"/>
    <cellStyle name="60% - Accent6 72" xfId="2669"/>
    <cellStyle name="60% - Accent6 73" xfId="2670"/>
    <cellStyle name="60% - Accent6 74" xfId="2671"/>
    <cellStyle name="60% - Accent6 75" xfId="2672"/>
    <cellStyle name="60% - Accent6 76" xfId="2673"/>
    <cellStyle name="60% - Accent6 77" xfId="2674"/>
    <cellStyle name="60% - Accent6 78" xfId="2675"/>
    <cellStyle name="60% - Accent6 79" xfId="2676"/>
    <cellStyle name="60% - Accent6 8" xfId="2677"/>
    <cellStyle name="60% - Accent6 80" xfId="2678"/>
    <cellStyle name="60% - Accent6 81" xfId="2679"/>
    <cellStyle name="60% - Accent6 82" xfId="2680"/>
    <cellStyle name="60% - Accent6 83" xfId="2681"/>
    <cellStyle name="60% - Accent6 84" xfId="2682"/>
    <cellStyle name="60% - Accent6 85" xfId="2683"/>
    <cellStyle name="60% - Accent6 86" xfId="2684"/>
    <cellStyle name="60% - Accent6 87" xfId="2685"/>
    <cellStyle name="60% - Accent6 88" xfId="2686"/>
    <cellStyle name="60% - Accent6 89" xfId="2687"/>
    <cellStyle name="60% - Accent6 9" xfId="2688"/>
    <cellStyle name="60% - Accent6 90" xfId="2689"/>
    <cellStyle name="60% - Accent6 91" xfId="2690"/>
    <cellStyle name="60% - Accent6 92" xfId="2691"/>
    <cellStyle name="60% - Accent6 93" xfId="2692"/>
    <cellStyle name="60% - Ênfase1 10" xfId="2693"/>
    <cellStyle name="60% - Ênfase1 2" xfId="2694"/>
    <cellStyle name="60% - Ênfase1 2 2" xfId="2695"/>
    <cellStyle name="60% - Ênfase1 2 3" xfId="2696"/>
    <cellStyle name="60% - Ênfase1 2 4" xfId="2697"/>
    <cellStyle name="60% - Ênfase1 2 5" xfId="2698"/>
    <cellStyle name="60% - Ênfase1 2 6" xfId="2699"/>
    <cellStyle name="60% - Ênfase1 2 7" xfId="2700"/>
    <cellStyle name="60% - Ênfase1 2 8" xfId="21509"/>
    <cellStyle name="60% - Ênfase1 2_11_Combinação de neg. Zanin" xfId="2701"/>
    <cellStyle name="60% - Ênfase1 3" xfId="2702"/>
    <cellStyle name="60% - Ênfase1 3 2" xfId="2703"/>
    <cellStyle name="60% - Ênfase1 3 3" xfId="2704"/>
    <cellStyle name="60% - Ênfase1 3 4" xfId="2705"/>
    <cellStyle name="60% - Ênfase1 3_13-Endividamento" xfId="2706"/>
    <cellStyle name="60% - Ênfase1 4" xfId="2707"/>
    <cellStyle name="60% - Ênfase1 4 2" xfId="2708"/>
    <cellStyle name="60% - Ênfase1 4 3" xfId="2709"/>
    <cellStyle name="60% - Ênfase1 4 4" xfId="2710"/>
    <cellStyle name="60% - Ênfase1 4_13-Endividamento" xfId="2711"/>
    <cellStyle name="60% - Ênfase1 5" xfId="2712"/>
    <cellStyle name="60% - Ênfase1 5 2" xfId="2713"/>
    <cellStyle name="60% - Ênfase1 5 3" xfId="2714"/>
    <cellStyle name="60% - Ênfase1 5 4" xfId="2715"/>
    <cellStyle name="60% - Ênfase1 5_13-Endividamento" xfId="2716"/>
    <cellStyle name="60% - Ênfase1 6" xfId="2717"/>
    <cellStyle name="60% - Ênfase1 6 2" xfId="2718"/>
    <cellStyle name="60% - Ênfase1 6 3" xfId="2719"/>
    <cellStyle name="60% - Ênfase1 6 4" xfId="2720"/>
    <cellStyle name="60% - Ênfase1 6_13-Endividamento" xfId="2721"/>
    <cellStyle name="60% - Ênfase1 7" xfId="2722"/>
    <cellStyle name="60% - Ênfase1 7 2" xfId="2723"/>
    <cellStyle name="60% - Ênfase1 7 3" xfId="2724"/>
    <cellStyle name="60% - Ênfase1 7 4" xfId="2725"/>
    <cellStyle name="60% - Ênfase1 7_13-Endividamento" xfId="2726"/>
    <cellStyle name="60% - Ênfase1 8" xfId="2727"/>
    <cellStyle name="60% - Ênfase1 9" xfId="2728"/>
    <cellStyle name="60% - Ênfase2 10" xfId="2729"/>
    <cellStyle name="60% - Ênfase2 2" xfId="2730"/>
    <cellStyle name="60% - Ênfase2 2 2" xfId="2731"/>
    <cellStyle name="60% - Ênfase2 2 3" xfId="2732"/>
    <cellStyle name="60% - Ênfase2 2 4" xfId="2733"/>
    <cellStyle name="60% - Ênfase2 2 5" xfId="2734"/>
    <cellStyle name="60% - Ênfase2 2 6" xfId="2735"/>
    <cellStyle name="60% - Ênfase2 2 7" xfId="2736"/>
    <cellStyle name="60% - Ênfase2 2 8" xfId="21510"/>
    <cellStyle name="60% - Ênfase2 2_11_Combinação de neg. Zanin" xfId="2737"/>
    <cellStyle name="60% - Ênfase2 3" xfId="2738"/>
    <cellStyle name="60% - Ênfase2 3 2" xfId="2739"/>
    <cellStyle name="60% - Ênfase2 3 3" xfId="2740"/>
    <cellStyle name="60% - Ênfase2 3 4" xfId="2741"/>
    <cellStyle name="60% - Ênfase2 3_13-Endividamento" xfId="2742"/>
    <cellStyle name="60% - Ênfase2 4" xfId="2743"/>
    <cellStyle name="60% - Ênfase2 4 2" xfId="2744"/>
    <cellStyle name="60% - Ênfase2 4 3" xfId="2745"/>
    <cellStyle name="60% - Ênfase2 4 4" xfId="2746"/>
    <cellStyle name="60% - Ênfase2 4_13-Endividamento" xfId="2747"/>
    <cellStyle name="60% - Ênfase2 5" xfId="2748"/>
    <cellStyle name="60% - Ênfase2 5 2" xfId="2749"/>
    <cellStyle name="60% - Ênfase2 5 3" xfId="2750"/>
    <cellStyle name="60% - Ênfase2 5 4" xfId="2751"/>
    <cellStyle name="60% - Ênfase2 5_13-Endividamento" xfId="2752"/>
    <cellStyle name="60% - Ênfase2 6" xfId="2753"/>
    <cellStyle name="60% - Ênfase2 6 2" xfId="2754"/>
    <cellStyle name="60% - Ênfase2 6 3" xfId="2755"/>
    <cellStyle name="60% - Ênfase2 6 4" xfId="2756"/>
    <cellStyle name="60% - Ênfase2 6_13-Endividamento" xfId="2757"/>
    <cellStyle name="60% - Ênfase2 7" xfId="2758"/>
    <cellStyle name="60% - Ênfase2 7 2" xfId="2759"/>
    <cellStyle name="60% - Ênfase2 7 3" xfId="2760"/>
    <cellStyle name="60% - Ênfase2 7 4" xfId="2761"/>
    <cellStyle name="60% - Ênfase2 7_13-Endividamento" xfId="2762"/>
    <cellStyle name="60% - Ênfase2 8" xfId="2763"/>
    <cellStyle name="60% - Ênfase2 9" xfId="2764"/>
    <cellStyle name="60% - Ênfase3 10" xfId="2765"/>
    <cellStyle name="60% - Ênfase3 2" xfId="2766"/>
    <cellStyle name="60% - Ênfase3 2 2" xfId="2767"/>
    <cellStyle name="60% - Ênfase3 2 3" xfId="2768"/>
    <cellStyle name="60% - Ênfase3 2 4" xfId="2769"/>
    <cellStyle name="60% - Ênfase3 2 5" xfId="2770"/>
    <cellStyle name="60% - Ênfase3 2 6" xfId="2771"/>
    <cellStyle name="60% - Ênfase3 2 7" xfId="2772"/>
    <cellStyle name="60% - Ênfase3 2 8" xfId="21511"/>
    <cellStyle name="60% - Ênfase3 2_11_Combinação de neg. Zanin" xfId="2773"/>
    <cellStyle name="60% - Ênfase3 3" xfId="2774"/>
    <cellStyle name="60% - Ênfase3 3 2" xfId="2775"/>
    <cellStyle name="60% - Ênfase3 3 3" xfId="2776"/>
    <cellStyle name="60% - Ênfase3 3 4" xfId="2777"/>
    <cellStyle name="60% - Ênfase3 3_13-Endividamento" xfId="2778"/>
    <cellStyle name="60% - Ênfase3 4" xfId="2779"/>
    <cellStyle name="60% - Ênfase3 4 2" xfId="2780"/>
    <cellStyle name="60% - Ênfase3 4 3" xfId="2781"/>
    <cellStyle name="60% - Ênfase3 4 4" xfId="2782"/>
    <cellStyle name="60% - Ênfase3 4_13-Endividamento" xfId="2783"/>
    <cellStyle name="60% - Ênfase3 5" xfId="2784"/>
    <cellStyle name="60% - Ênfase3 5 2" xfId="2785"/>
    <cellStyle name="60% - Ênfase3 5 3" xfId="2786"/>
    <cellStyle name="60% - Ênfase3 5 4" xfId="2787"/>
    <cellStyle name="60% - Ênfase3 5_13-Endividamento" xfId="2788"/>
    <cellStyle name="60% - Ênfase3 6" xfId="2789"/>
    <cellStyle name="60% - Ênfase3 6 2" xfId="2790"/>
    <cellStyle name="60% - Ênfase3 6 3" xfId="2791"/>
    <cellStyle name="60% - Ênfase3 6 4" xfId="2792"/>
    <cellStyle name="60% - Ênfase3 6_13-Endividamento" xfId="2793"/>
    <cellStyle name="60% - Ênfase3 7" xfId="2794"/>
    <cellStyle name="60% - Ênfase3 7 2" xfId="2795"/>
    <cellStyle name="60% - Ênfase3 7 3" xfId="2796"/>
    <cellStyle name="60% - Ênfase3 7 4" xfId="2797"/>
    <cellStyle name="60% - Ênfase3 7_13-Endividamento" xfId="2798"/>
    <cellStyle name="60% - Ênfase3 8" xfId="2799"/>
    <cellStyle name="60% - Ênfase3 9" xfId="2800"/>
    <cellStyle name="60% - Ênfase4 10" xfId="2801"/>
    <cellStyle name="60% - Ênfase4 2" xfId="2802"/>
    <cellStyle name="60% - Ênfase4 2 2" xfId="2803"/>
    <cellStyle name="60% - Ênfase4 2 3" xfId="2804"/>
    <cellStyle name="60% - Ênfase4 2 4" xfId="2805"/>
    <cellStyle name="60% - Ênfase4 2 5" xfId="2806"/>
    <cellStyle name="60% - Ênfase4 2 6" xfId="2807"/>
    <cellStyle name="60% - Ênfase4 2 7" xfId="2808"/>
    <cellStyle name="60% - Ênfase4 2 8" xfId="21512"/>
    <cellStyle name="60% - Ênfase4 2_11_Combinação de neg. Zanin" xfId="2809"/>
    <cellStyle name="60% - Ênfase4 3" xfId="2810"/>
    <cellStyle name="60% - Ênfase4 3 2" xfId="2811"/>
    <cellStyle name="60% - Ênfase4 3 3" xfId="2812"/>
    <cellStyle name="60% - Ênfase4 3 4" xfId="2813"/>
    <cellStyle name="60% - Ênfase4 3_13-Endividamento" xfId="2814"/>
    <cellStyle name="60% - Ênfase4 4" xfId="2815"/>
    <cellStyle name="60% - Ênfase4 4 2" xfId="2816"/>
    <cellStyle name="60% - Ênfase4 4 3" xfId="2817"/>
    <cellStyle name="60% - Ênfase4 4 4" xfId="2818"/>
    <cellStyle name="60% - Ênfase4 4_13-Endividamento" xfId="2819"/>
    <cellStyle name="60% - Ênfase4 5" xfId="2820"/>
    <cellStyle name="60% - Ênfase4 5 2" xfId="2821"/>
    <cellStyle name="60% - Ênfase4 5 3" xfId="2822"/>
    <cellStyle name="60% - Ênfase4 5 4" xfId="2823"/>
    <cellStyle name="60% - Ênfase4 5_13-Endividamento" xfId="2824"/>
    <cellStyle name="60% - Ênfase4 6" xfId="2825"/>
    <cellStyle name="60% - Ênfase4 6 2" xfId="2826"/>
    <cellStyle name="60% - Ênfase4 6 3" xfId="2827"/>
    <cellStyle name="60% - Ênfase4 6 4" xfId="2828"/>
    <cellStyle name="60% - Ênfase4 6_13-Endividamento" xfId="2829"/>
    <cellStyle name="60% - Ênfase4 7" xfId="2830"/>
    <cellStyle name="60% - Ênfase4 7 2" xfId="2831"/>
    <cellStyle name="60% - Ênfase4 7 3" xfId="2832"/>
    <cellStyle name="60% - Ênfase4 7 4" xfId="2833"/>
    <cellStyle name="60% - Ênfase4 7_13-Endividamento" xfId="2834"/>
    <cellStyle name="60% - Ênfase4 8" xfId="2835"/>
    <cellStyle name="60% - Ênfase4 9" xfId="2836"/>
    <cellStyle name="60% - Ênfase5 10" xfId="2837"/>
    <cellStyle name="60% - Ênfase5 2" xfId="2838"/>
    <cellStyle name="60% - Ênfase5 2 2" xfId="2839"/>
    <cellStyle name="60% - Ênfase5 2 3" xfId="2840"/>
    <cellStyle name="60% - Ênfase5 2 4" xfId="2841"/>
    <cellStyle name="60% - Ênfase5 2 5" xfId="2842"/>
    <cellStyle name="60% - Ênfase5 2 6" xfId="2843"/>
    <cellStyle name="60% - Ênfase5 2 7" xfId="2844"/>
    <cellStyle name="60% - Ênfase5 2 8" xfId="21513"/>
    <cellStyle name="60% - Ênfase5 2_11_Combinação de neg. Zanin" xfId="2845"/>
    <cellStyle name="60% - Ênfase5 3" xfId="2846"/>
    <cellStyle name="60% - Ênfase5 3 2" xfId="2847"/>
    <cellStyle name="60% - Ênfase5 3 3" xfId="2848"/>
    <cellStyle name="60% - Ênfase5 3 4" xfId="2849"/>
    <cellStyle name="60% - Ênfase5 3_13-Endividamento" xfId="2850"/>
    <cellStyle name="60% - Ênfase5 4" xfId="2851"/>
    <cellStyle name="60% - Ênfase5 4 2" xfId="2852"/>
    <cellStyle name="60% - Ênfase5 4 3" xfId="2853"/>
    <cellStyle name="60% - Ênfase5 4 4" xfId="2854"/>
    <cellStyle name="60% - Ênfase5 4_13-Endividamento" xfId="2855"/>
    <cellStyle name="60% - Ênfase5 5" xfId="2856"/>
    <cellStyle name="60% - Ênfase5 5 2" xfId="2857"/>
    <cellStyle name="60% - Ênfase5 5 3" xfId="2858"/>
    <cellStyle name="60% - Ênfase5 5 4" xfId="2859"/>
    <cellStyle name="60% - Ênfase5 5_13-Endividamento" xfId="2860"/>
    <cellStyle name="60% - Ênfase5 6" xfId="2861"/>
    <cellStyle name="60% - Ênfase5 6 2" xfId="2862"/>
    <cellStyle name="60% - Ênfase5 6 3" xfId="2863"/>
    <cellStyle name="60% - Ênfase5 6 4" xfId="2864"/>
    <cellStyle name="60% - Ênfase5 6_13-Endividamento" xfId="2865"/>
    <cellStyle name="60% - Ênfase5 7" xfId="2866"/>
    <cellStyle name="60% - Ênfase5 7 2" xfId="2867"/>
    <cellStyle name="60% - Ênfase5 7 3" xfId="2868"/>
    <cellStyle name="60% - Ênfase5 7 4" xfId="2869"/>
    <cellStyle name="60% - Ênfase5 7_13-Endividamento" xfId="2870"/>
    <cellStyle name="60% - Ênfase5 8" xfId="2871"/>
    <cellStyle name="60% - Ênfase5 9" xfId="2872"/>
    <cellStyle name="60% - Ênfase6 10" xfId="2873"/>
    <cellStyle name="60% - Ênfase6 2" xfId="2874"/>
    <cellStyle name="60% - Ênfase6 2 2" xfId="2875"/>
    <cellStyle name="60% - Ênfase6 2 3" xfId="2876"/>
    <cellStyle name="60% - Ênfase6 2 4" xfId="2877"/>
    <cellStyle name="60% - Ênfase6 2 5" xfId="2878"/>
    <cellStyle name="60% - Ênfase6 2 6" xfId="2879"/>
    <cellStyle name="60% - Ênfase6 2 7" xfId="2880"/>
    <cellStyle name="60% - Ênfase6 2 8" xfId="21514"/>
    <cellStyle name="60% - Ênfase6 2_11_Combinação de neg. Zanin" xfId="2881"/>
    <cellStyle name="60% - Ênfase6 3" xfId="2882"/>
    <cellStyle name="60% - Ênfase6 3 2" xfId="2883"/>
    <cellStyle name="60% - Ênfase6 3 3" xfId="2884"/>
    <cellStyle name="60% - Ênfase6 3 4" xfId="2885"/>
    <cellStyle name="60% - Ênfase6 3_13-Endividamento" xfId="2886"/>
    <cellStyle name="60% - Ênfase6 4" xfId="2887"/>
    <cellStyle name="60% - Ênfase6 4 2" xfId="2888"/>
    <cellStyle name="60% - Ênfase6 4 3" xfId="2889"/>
    <cellStyle name="60% - Ênfase6 4 4" xfId="2890"/>
    <cellStyle name="60% - Ênfase6 4_13-Endividamento" xfId="2891"/>
    <cellStyle name="60% - Ênfase6 5" xfId="2892"/>
    <cellStyle name="60% - Ênfase6 5 2" xfId="2893"/>
    <cellStyle name="60% - Ênfase6 5 3" xfId="2894"/>
    <cellStyle name="60% - Ênfase6 5 4" xfId="2895"/>
    <cellStyle name="60% - Ênfase6 5_13-Endividamento" xfId="2896"/>
    <cellStyle name="60% - Ênfase6 6" xfId="2897"/>
    <cellStyle name="60% - Ênfase6 6 2" xfId="2898"/>
    <cellStyle name="60% - Ênfase6 6 3" xfId="2899"/>
    <cellStyle name="60% - Ênfase6 6 4" xfId="2900"/>
    <cellStyle name="60% - Ênfase6 6_13-Endividamento" xfId="2901"/>
    <cellStyle name="60% - Ênfase6 7" xfId="2902"/>
    <cellStyle name="60% - Ênfase6 7 2" xfId="2903"/>
    <cellStyle name="60% - Ênfase6 7 3" xfId="2904"/>
    <cellStyle name="60% - Ênfase6 7 4" xfId="2905"/>
    <cellStyle name="60% - Ênfase6 7_13-Endividamento" xfId="2906"/>
    <cellStyle name="60% - Ênfase6 8" xfId="2907"/>
    <cellStyle name="60% - Ênfase6 9" xfId="2908"/>
    <cellStyle name="A3 297 x 420 mm" xfId="2909"/>
    <cellStyle name="A3 297 x 420 mm 2" xfId="2910"/>
    <cellStyle name="A3 297 x 420 mm 3" xfId="2911"/>
    <cellStyle name="Accent1" xfId="27" builtinId="29" customBuiltin="1"/>
    <cellStyle name="Accent1 10" xfId="2912"/>
    <cellStyle name="Accent1 11" xfId="2913"/>
    <cellStyle name="Accent1 12" xfId="2914"/>
    <cellStyle name="Accent1 13" xfId="2915"/>
    <cellStyle name="Accent1 14" xfId="2916"/>
    <cellStyle name="Accent1 15" xfId="2917"/>
    <cellStyle name="Accent1 16" xfId="2918"/>
    <cellStyle name="Accent1 17" xfId="2919"/>
    <cellStyle name="Accent1 18" xfId="2920"/>
    <cellStyle name="Accent1 19" xfId="2921"/>
    <cellStyle name="Accent1 2" xfId="2922"/>
    <cellStyle name="Accent1 2 2" xfId="2923"/>
    <cellStyle name="Accent1 2 3" xfId="2924"/>
    <cellStyle name="Accent1 2 4" xfId="2925"/>
    <cellStyle name="Accent1 2 5" xfId="2926"/>
    <cellStyle name="Accent1 2 6" xfId="2927"/>
    <cellStyle name="Accent1 2 7" xfId="2928"/>
    <cellStyle name="Accent1 2 8" xfId="2929"/>
    <cellStyle name="Accent1 2_13-Endividamento" xfId="2930"/>
    <cellStyle name="Accent1 20" xfId="2931"/>
    <cellStyle name="Accent1 21" xfId="2932"/>
    <cellStyle name="Accent1 22" xfId="2933"/>
    <cellStyle name="Accent1 23" xfId="2934"/>
    <cellStyle name="Accent1 24" xfId="2935"/>
    <cellStyle name="Accent1 25" xfId="2936"/>
    <cellStyle name="Accent1 26" xfId="2937"/>
    <cellStyle name="Accent1 27" xfId="2938"/>
    <cellStyle name="Accent1 28" xfId="2939"/>
    <cellStyle name="Accent1 29" xfId="2940"/>
    <cellStyle name="Accent1 3" xfId="2941"/>
    <cellStyle name="Accent1 3 2" xfId="2942"/>
    <cellStyle name="Accent1 3 3" xfId="2943"/>
    <cellStyle name="Accent1 3 4" xfId="2944"/>
    <cellStyle name="Accent1 3 5" xfId="2945"/>
    <cellStyle name="Accent1 3 6" xfId="2946"/>
    <cellStyle name="Accent1 30" xfId="2947"/>
    <cellStyle name="Accent1 31" xfId="2948"/>
    <cellStyle name="Accent1 32" xfId="2949"/>
    <cellStyle name="Accent1 33" xfId="2950"/>
    <cellStyle name="Accent1 34" xfId="2951"/>
    <cellStyle name="Accent1 35" xfId="2952"/>
    <cellStyle name="Accent1 36" xfId="2953"/>
    <cellStyle name="Accent1 37" xfId="2954"/>
    <cellStyle name="Accent1 38" xfId="2955"/>
    <cellStyle name="Accent1 39" xfId="2956"/>
    <cellStyle name="Accent1 4" xfId="2957"/>
    <cellStyle name="Accent1 40" xfId="2958"/>
    <cellStyle name="Accent1 41" xfId="2959"/>
    <cellStyle name="Accent1 42" xfId="2960"/>
    <cellStyle name="Accent1 43" xfId="2961"/>
    <cellStyle name="Accent1 44" xfId="2962"/>
    <cellStyle name="Accent1 45" xfId="2963"/>
    <cellStyle name="Accent1 46" xfId="2964"/>
    <cellStyle name="Accent1 47" xfId="2965"/>
    <cellStyle name="Accent1 48" xfId="2966"/>
    <cellStyle name="Accent1 49" xfId="2967"/>
    <cellStyle name="Accent1 5" xfId="2968"/>
    <cellStyle name="Accent1 50" xfId="2969"/>
    <cellStyle name="Accent1 51" xfId="2970"/>
    <cellStyle name="Accent1 52" xfId="2971"/>
    <cellStyle name="Accent1 53" xfId="2972"/>
    <cellStyle name="Accent1 54" xfId="2973"/>
    <cellStyle name="Accent1 55" xfId="2974"/>
    <cellStyle name="Accent1 56" xfId="2975"/>
    <cellStyle name="Accent1 57" xfId="2976"/>
    <cellStyle name="Accent1 58" xfId="2977"/>
    <cellStyle name="Accent1 59" xfId="2978"/>
    <cellStyle name="Accent1 6" xfId="2979"/>
    <cellStyle name="Accent1 60" xfId="2980"/>
    <cellStyle name="Accent1 61" xfId="2981"/>
    <cellStyle name="Accent1 62" xfId="2982"/>
    <cellStyle name="Accent1 63" xfId="2983"/>
    <cellStyle name="Accent1 64" xfId="2984"/>
    <cellStyle name="Accent1 65" xfId="2985"/>
    <cellStyle name="Accent1 66" xfId="2986"/>
    <cellStyle name="Accent1 67" xfId="2987"/>
    <cellStyle name="Accent1 68" xfId="2988"/>
    <cellStyle name="Accent1 69" xfId="2989"/>
    <cellStyle name="Accent1 7" xfId="2990"/>
    <cellStyle name="Accent1 70" xfId="2991"/>
    <cellStyle name="Accent1 71" xfId="2992"/>
    <cellStyle name="Accent1 72" xfId="2993"/>
    <cellStyle name="Accent1 73" xfId="2994"/>
    <cellStyle name="Accent1 74" xfId="2995"/>
    <cellStyle name="Accent1 75" xfId="2996"/>
    <cellStyle name="Accent1 76" xfId="2997"/>
    <cellStyle name="Accent1 77" xfId="2998"/>
    <cellStyle name="Accent1 78" xfId="2999"/>
    <cellStyle name="Accent1 79" xfId="3000"/>
    <cellStyle name="Accent1 8" xfId="3001"/>
    <cellStyle name="Accent1 80" xfId="3002"/>
    <cellStyle name="Accent1 81" xfId="3003"/>
    <cellStyle name="Accent1 82" xfId="3004"/>
    <cellStyle name="Accent1 83" xfId="3005"/>
    <cellStyle name="Accent1 84" xfId="3006"/>
    <cellStyle name="Accent1 85" xfId="3007"/>
    <cellStyle name="Accent1 86" xfId="3008"/>
    <cellStyle name="Accent1 87" xfId="3009"/>
    <cellStyle name="Accent1 88" xfId="3010"/>
    <cellStyle name="Accent1 89" xfId="3011"/>
    <cellStyle name="Accent1 9" xfId="3012"/>
    <cellStyle name="Accent1 90" xfId="3013"/>
    <cellStyle name="Accent1 91" xfId="3014"/>
    <cellStyle name="Accent1 92" xfId="3015"/>
    <cellStyle name="Accent1 93" xfId="3016"/>
    <cellStyle name="Accent2" xfId="28" builtinId="33" customBuiltin="1"/>
    <cellStyle name="Accent2 10" xfId="3017"/>
    <cellStyle name="Accent2 11" xfId="3018"/>
    <cellStyle name="Accent2 12" xfId="3019"/>
    <cellStyle name="Accent2 13" xfId="3020"/>
    <cellStyle name="Accent2 14" xfId="3021"/>
    <cellStyle name="Accent2 15" xfId="3022"/>
    <cellStyle name="Accent2 16" xfId="3023"/>
    <cellStyle name="Accent2 17" xfId="3024"/>
    <cellStyle name="Accent2 18" xfId="3025"/>
    <cellStyle name="Accent2 19" xfId="3026"/>
    <cellStyle name="Accent2 2" xfId="3027"/>
    <cellStyle name="Accent2 2 2" xfId="3028"/>
    <cellStyle name="Accent2 2 3" xfId="3029"/>
    <cellStyle name="Accent2 2 4" xfId="3030"/>
    <cellStyle name="Accent2 2 5" xfId="3031"/>
    <cellStyle name="Accent2 2 6" xfId="3032"/>
    <cellStyle name="Accent2 2 7" xfId="3033"/>
    <cellStyle name="Accent2 2 8" xfId="3034"/>
    <cellStyle name="Accent2 2_13-Endividamento" xfId="3035"/>
    <cellStyle name="Accent2 20" xfId="3036"/>
    <cellStyle name="Accent2 21" xfId="3037"/>
    <cellStyle name="Accent2 22" xfId="3038"/>
    <cellStyle name="Accent2 23" xfId="3039"/>
    <cellStyle name="Accent2 24" xfId="3040"/>
    <cellStyle name="Accent2 25" xfId="3041"/>
    <cellStyle name="Accent2 26" xfId="3042"/>
    <cellStyle name="Accent2 27" xfId="3043"/>
    <cellStyle name="Accent2 28" xfId="3044"/>
    <cellStyle name="Accent2 29" xfId="3045"/>
    <cellStyle name="Accent2 3" xfId="3046"/>
    <cellStyle name="Accent2 3 2" xfId="3047"/>
    <cellStyle name="Accent2 3 3" xfId="3048"/>
    <cellStyle name="Accent2 3 4" xfId="3049"/>
    <cellStyle name="Accent2 3 5" xfId="3050"/>
    <cellStyle name="Accent2 3 6" xfId="3051"/>
    <cellStyle name="Accent2 30" xfId="3052"/>
    <cellStyle name="Accent2 31" xfId="3053"/>
    <cellStyle name="Accent2 32" xfId="3054"/>
    <cellStyle name="Accent2 33" xfId="3055"/>
    <cellStyle name="Accent2 34" xfId="3056"/>
    <cellStyle name="Accent2 35" xfId="3057"/>
    <cellStyle name="Accent2 36" xfId="3058"/>
    <cellStyle name="Accent2 37" xfId="3059"/>
    <cellStyle name="Accent2 38" xfId="3060"/>
    <cellStyle name="Accent2 39" xfId="3061"/>
    <cellStyle name="Accent2 4" xfId="3062"/>
    <cellStyle name="Accent2 40" xfId="3063"/>
    <cellStyle name="Accent2 41" xfId="3064"/>
    <cellStyle name="Accent2 42" xfId="3065"/>
    <cellStyle name="Accent2 43" xfId="3066"/>
    <cellStyle name="Accent2 44" xfId="3067"/>
    <cellStyle name="Accent2 45" xfId="3068"/>
    <cellStyle name="Accent2 46" xfId="3069"/>
    <cellStyle name="Accent2 47" xfId="3070"/>
    <cellStyle name="Accent2 48" xfId="3071"/>
    <cellStyle name="Accent2 49" xfId="3072"/>
    <cellStyle name="Accent2 5" xfId="3073"/>
    <cellStyle name="Accent2 50" xfId="3074"/>
    <cellStyle name="Accent2 51" xfId="3075"/>
    <cellStyle name="Accent2 52" xfId="3076"/>
    <cellStyle name="Accent2 53" xfId="3077"/>
    <cellStyle name="Accent2 54" xfId="3078"/>
    <cellStyle name="Accent2 55" xfId="3079"/>
    <cellStyle name="Accent2 56" xfId="3080"/>
    <cellStyle name="Accent2 57" xfId="3081"/>
    <cellStyle name="Accent2 58" xfId="3082"/>
    <cellStyle name="Accent2 59" xfId="3083"/>
    <cellStyle name="Accent2 6" xfId="3084"/>
    <cellStyle name="Accent2 60" xfId="3085"/>
    <cellStyle name="Accent2 61" xfId="3086"/>
    <cellStyle name="Accent2 62" xfId="3087"/>
    <cellStyle name="Accent2 63" xfId="3088"/>
    <cellStyle name="Accent2 64" xfId="3089"/>
    <cellStyle name="Accent2 65" xfId="3090"/>
    <cellStyle name="Accent2 66" xfId="3091"/>
    <cellStyle name="Accent2 67" xfId="3092"/>
    <cellStyle name="Accent2 68" xfId="3093"/>
    <cellStyle name="Accent2 69" xfId="3094"/>
    <cellStyle name="Accent2 7" xfId="3095"/>
    <cellStyle name="Accent2 70" xfId="3096"/>
    <cellStyle name="Accent2 71" xfId="3097"/>
    <cellStyle name="Accent2 72" xfId="3098"/>
    <cellStyle name="Accent2 73" xfId="3099"/>
    <cellStyle name="Accent2 74" xfId="3100"/>
    <cellStyle name="Accent2 75" xfId="3101"/>
    <cellStyle name="Accent2 76" xfId="3102"/>
    <cellStyle name="Accent2 77" xfId="3103"/>
    <cellStyle name="Accent2 78" xfId="3104"/>
    <cellStyle name="Accent2 79" xfId="3105"/>
    <cellStyle name="Accent2 8" xfId="3106"/>
    <cellStyle name="Accent2 80" xfId="3107"/>
    <cellStyle name="Accent2 81" xfId="3108"/>
    <cellStyle name="Accent2 82" xfId="3109"/>
    <cellStyle name="Accent2 83" xfId="3110"/>
    <cellStyle name="Accent2 84" xfId="3111"/>
    <cellStyle name="Accent2 85" xfId="3112"/>
    <cellStyle name="Accent2 86" xfId="3113"/>
    <cellStyle name="Accent2 87" xfId="3114"/>
    <cellStyle name="Accent2 88" xfId="3115"/>
    <cellStyle name="Accent2 89" xfId="3116"/>
    <cellStyle name="Accent2 9" xfId="3117"/>
    <cellStyle name="Accent2 90" xfId="3118"/>
    <cellStyle name="Accent2 91" xfId="3119"/>
    <cellStyle name="Accent2 92" xfId="3120"/>
    <cellStyle name="Accent2 93" xfId="3121"/>
    <cellStyle name="Accent3" xfId="29" builtinId="37" customBuiltin="1"/>
    <cellStyle name="Accent3 10" xfId="3122"/>
    <cellStyle name="Accent3 11" xfId="3123"/>
    <cellStyle name="Accent3 12" xfId="3124"/>
    <cellStyle name="Accent3 13" xfId="3125"/>
    <cellStyle name="Accent3 14" xfId="3126"/>
    <cellStyle name="Accent3 15" xfId="3127"/>
    <cellStyle name="Accent3 16" xfId="3128"/>
    <cellStyle name="Accent3 17" xfId="3129"/>
    <cellStyle name="Accent3 18" xfId="3130"/>
    <cellStyle name="Accent3 19" xfId="3131"/>
    <cellStyle name="Accent3 2" xfId="3132"/>
    <cellStyle name="Accent3 2 2" xfId="3133"/>
    <cellStyle name="Accent3 2 3" xfId="3134"/>
    <cellStyle name="Accent3 2 4" xfId="3135"/>
    <cellStyle name="Accent3 2 5" xfId="3136"/>
    <cellStyle name="Accent3 2 6" xfId="3137"/>
    <cellStyle name="Accent3 2 7" xfId="3138"/>
    <cellStyle name="Accent3 2 8" xfId="3139"/>
    <cellStyle name="Accent3 2_13-Endividamento" xfId="3140"/>
    <cellStyle name="Accent3 20" xfId="3141"/>
    <cellStyle name="Accent3 21" xfId="3142"/>
    <cellStyle name="Accent3 22" xfId="3143"/>
    <cellStyle name="Accent3 23" xfId="3144"/>
    <cellStyle name="Accent3 24" xfId="3145"/>
    <cellStyle name="Accent3 25" xfId="3146"/>
    <cellStyle name="Accent3 26" xfId="3147"/>
    <cellStyle name="Accent3 27" xfId="3148"/>
    <cellStyle name="Accent3 28" xfId="3149"/>
    <cellStyle name="Accent3 29" xfId="3150"/>
    <cellStyle name="Accent3 3" xfId="3151"/>
    <cellStyle name="Accent3 3 2" xfId="3152"/>
    <cellStyle name="Accent3 3 3" xfId="3153"/>
    <cellStyle name="Accent3 3 4" xfId="3154"/>
    <cellStyle name="Accent3 3 5" xfId="3155"/>
    <cellStyle name="Accent3 3 6" xfId="3156"/>
    <cellStyle name="Accent3 30" xfId="3157"/>
    <cellStyle name="Accent3 31" xfId="3158"/>
    <cellStyle name="Accent3 32" xfId="3159"/>
    <cellStyle name="Accent3 33" xfId="3160"/>
    <cellStyle name="Accent3 34" xfId="3161"/>
    <cellStyle name="Accent3 35" xfId="3162"/>
    <cellStyle name="Accent3 36" xfId="3163"/>
    <cellStyle name="Accent3 37" xfId="3164"/>
    <cellStyle name="Accent3 38" xfId="3165"/>
    <cellStyle name="Accent3 39" xfId="3166"/>
    <cellStyle name="Accent3 4" xfId="3167"/>
    <cellStyle name="Accent3 40" xfId="3168"/>
    <cellStyle name="Accent3 41" xfId="3169"/>
    <cellStyle name="Accent3 42" xfId="3170"/>
    <cellStyle name="Accent3 43" xfId="3171"/>
    <cellStyle name="Accent3 44" xfId="3172"/>
    <cellStyle name="Accent3 45" xfId="3173"/>
    <cellStyle name="Accent3 46" xfId="3174"/>
    <cellStyle name="Accent3 47" xfId="3175"/>
    <cellStyle name="Accent3 48" xfId="3176"/>
    <cellStyle name="Accent3 49" xfId="3177"/>
    <cellStyle name="Accent3 5" xfId="3178"/>
    <cellStyle name="Accent3 50" xfId="3179"/>
    <cellStyle name="Accent3 51" xfId="3180"/>
    <cellStyle name="Accent3 52" xfId="3181"/>
    <cellStyle name="Accent3 53" xfId="3182"/>
    <cellStyle name="Accent3 54" xfId="3183"/>
    <cellStyle name="Accent3 55" xfId="3184"/>
    <cellStyle name="Accent3 56" xfId="3185"/>
    <cellStyle name="Accent3 57" xfId="3186"/>
    <cellStyle name="Accent3 58" xfId="3187"/>
    <cellStyle name="Accent3 59" xfId="3188"/>
    <cellStyle name="Accent3 6" xfId="3189"/>
    <cellStyle name="Accent3 60" xfId="3190"/>
    <cellStyle name="Accent3 61" xfId="3191"/>
    <cellStyle name="Accent3 62" xfId="3192"/>
    <cellStyle name="Accent3 63" xfId="3193"/>
    <cellStyle name="Accent3 64" xfId="3194"/>
    <cellStyle name="Accent3 65" xfId="3195"/>
    <cellStyle name="Accent3 66" xfId="3196"/>
    <cellStyle name="Accent3 67" xfId="3197"/>
    <cellStyle name="Accent3 68" xfId="3198"/>
    <cellStyle name="Accent3 69" xfId="3199"/>
    <cellStyle name="Accent3 7" xfId="3200"/>
    <cellStyle name="Accent3 70" xfId="3201"/>
    <cellStyle name="Accent3 71" xfId="3202"/>
    <cellStyle name="Accent3 72" xfId="3203"/>
    <cellStyle name="Accent3 73" xfId="3204"/>
    <cellStyle name="Accent3 74" xfId="3205"/>
    <cellStyle name="Accent3 75" xfId="3206"/>
    <cellStyle name="Accent3 76" xfId="3207"/>
    <cellStyle name="Accent3 77" xfId="3208"/>
    <cellStyle name="Accent3 78" xfId="3209"/>
    <cellStyle name="Accent3 79" xfId="3210"/>
    <cellStyle name="Accent3 8" xfId="3211"/>
    <cellStyle name="Accent3 80" xfId="3212"/>
    <cellStyle name="Accent3 81" xfId="3213"/>
    <cellStyle name="Accent3 82" xfId="3214"/>
    <cellStyle name="Accent3 83" xfId="3215"/>
    <cellStyle name="Accent3 84" xfId="3216"/>
    <cellStyle name="Accent3 85" xfId="3217"/>
    <cellStyle name="Accent3 86" xfId="3218"/>
    <cellStyle name="Accent3 87" xfId="3219"/>
    <cellStyle name="Accent3 88" xfId="3220"/>
    <cellStyle name="Accent3 89" xfId="3221"/>
    <cellStyle name="Accent3 9" xfId="3222"/>
    <cellStyle name="Accent3 90" xfId="3223"/>
    <cellStyle name="Accent3 91" xfId="3224"/>
    <cellStyle name="Accent3 92" xfId="3225"/>
    <cellStyle name="Accent3 93" xfId="3226"/>
    <cellStyle name="Accent4" xfId="30" builtinId="41" customBuiltin="1"/>
    <cellStyle name="Accent4 10" xfId="3227"/>
    <cellStyle name="Accent4 11" xfId="3228"/>
    <cellStyle name="Accent4 12" xfId="3229"/>
    <cellStyle name="Accent4 13" xfId="3230"/>
    <cellStyle name="Accent4 14" xfId="3231"/>
    <cellStyle name="Accent4 15" xfId="3232"/>
    <cellStyle name="Accent4 16" xfId="3233"/>
    <cellStyle name="Accent4 17" xfId="3234"/>
    <cellStyle name="Accent4 18" xfId="3235"/>
    <cellStyle name="Accent4 19" xfId="3236"/>
    <cellStyle name="Accent4 2" xfId="3237"/>
    <cellStyle name="Accent4 2 2" xfId="3238"/>
    <cellStyle name="Accent4 2 3" xfId="3239"/>
    <cellStyle name="Accent4 2 4" xfId="3240"/>
    <cellStyle name="Accent4 2 5" xfId="3241"/>
    <cellStyle name="Accent4 2 6" xfId="3242"/>
    <cellStyle name="Accent4 2 7" xfId="3243"/>
    <cellStyle name="Accent4 2 8" xfId="3244"/>
    <cellStyle name="Accent4 2_13-Endividamento" xfId="3245"/>
    <cellStyle name="Accent4 20" xfId="3246"/>
    <cellStyle name="Accent4 21" xfId="3247"/>
    <cellStyle name="Accent4 22" xfId="3248"/>
    <cellStyle name="Accent4 23" xfId="3249"/>
    <cellStyle name="Accent4 24" xfId="3250"/>
    <cellStyle name="Accent4 25" xfId="3251"/>
    <cellStyle name="Accent4 26" xfId="3252"/>
    <cellStyle name="Accent4 27" xfId="3253"/>
    <cellStyle name="Accent4 28" xfId="3254"/>
    <cellStyle name="Accent4 29" xfId="3255"/>
    <cellStyle name="Accent4 3" xfId="3256"/>
    <cellStyle name="Accent4 3 2" xfId="3257"/>
    <cellStyle name="Accent4 3 3" xfId="3258"/>
    <cellStyle name="Accent4 3 4" xfId="3259"/>
    <cellStyle name="Accent4 3 5" xfId="3260"/>
    <cellStyle name="Accent4 3 6" xfId="3261"/>
    <cellStyle name="Accent4 30" xfId="3262"/>
    <cellStyle name="Accent4 31" xfId="3263"/>
    <cellStyle name="Accent4 32" xfId="3264"/>
    <cellStyle name="Accent4 33" xfId="3265"/>
    <cellStyle name="Accent4 34" xfId="3266"/>
    <cellStyle name="Accent4 35" xfId="3267"/>
    <cellStyle name="Accent4 36" xfId="3268"/>
    <cellStyle name="Accent4 37" xfId="3269"/>
    <cellStyle name="Accent4 38" xfId="3270"/>
    <cellStyle name="Accent4 39" xfId="3271"/>
    <cellStyle name="Accent4 4" xfId="3272"/>
    <cellStyle name="Accent4 40" xfId="3273"/>
    <cellStyle name="Accent4 41" xfId="3274"/>
    <cellStyle name="Accent4 42" xfId="3275"/>
    <cellStyle name="Accent4 43" xfId="3276"/>
    <cellStyle name="Accent4 44" xfId="3277"/>
    <cellStyle name="Accent4 45" xfId="3278"/>
    <cellStyle name="Accent4 46" xfId="3279"/>
    <cellStyle name="Accent4 47" xfId="3280"/>
    <cellStyle name="Accent4 48" xfId="3281"/>
    <cellStyle name="Accent4 49" xfId="3282"/>
    <cellStyle name="Accent4 5" xfId="3283"/>
    <cellStyle name="Accent4 50" xfId="3284"/>
    <cellStyle name="Accent4 51" xfId="3285"/>
    <cellStyle name="Accent4 52" xfId="3286"/>
    <cellStyle name="Accent4 53" xfId="3287"/>
    <cellStyle name="Accent4 54" xfId="3288"/>
    <cellStyle name="Accent4 55" xfId="3289"/>
    <cellStyle name="Accent4 56" xfId="3290"/>
    <cellStyle name="Accent4 57" xfId="3291"/>
    <cellStyle name="Accent4 58" xfId="3292"/>
    <cellStyle name="Accent4 59" xfId="3293"/>
    <cellStyle name="Accent4 6" xfId="3294"/>
    <cellStyle name="Accent4 60" xfId="3295"/>
    <cellStyle name="Accent4 61" xfId="3296"/>
    <cellStyle name="Accent4 62" xfId="3297"/>
    <cellStyle name="Accent4 63" xfId="3298"/>
    <cellStyle name="Accent4 64" xfId="3299"/>
    <cellStyle name="Accent4 65" xfId="3300"/>
    <cellStyle name="Accent4 66" xfId="3301"/>
    <cellStyle name="Accent4 67" xfId="3302"/>
    <cellStyle name="Accent4 68" xfId="3303"/>
    <cellStyle name="Accent4 69" xfId="3304"/>
    <cellStyle name="Accent4 7" xfId="3305"/>
    <cellStyle name="Accent4 70" xfId="3306"/>
    <cellStyle name="Accent4 71" xfId="3307"/>
    <cellStyle name="Accent4 72" xfId="3308"/>
    <cellStyle name="Accent4 73" xfId="3309"/>
    <cellStyle name="Accent4 74" xfId="3310"/>
    <cellStyle name="Accent4 75" xfId="3311"/>
    <cellStyle name="Accent4 76" xfId="3312"/>
    <cellStyle name="Accent4 77" xfId="3313"/>
    <cellStyle name="Accent4 78" xfId="3314"/>
    <cellStyle name="Accent4 79" xfId="3315"/>
    <cellStyle name="Accent4 8" xfId="3316"/>
    <cellStyle name="Accent4 80" xfId="3317"/>
    <cellStyle name="Accent4 81" xfId="3318"/>
    <cellStyle name="Accent4 82" xfId="3319"/>
    <cellStyle name="Accent4 83" xfId="3320"/>
    <cellStyle name="Accent4 84" xfId="3321"/>
    <cellStyle name="Accent4 85" xfId="3322"/>
    <cellStyle name="Accent4 86" xfId="3323"/>
    <cellStyle name="Accent4 87" xfId="3324"/>
    <cellStyle name="Accent4 88" xfId="3325"/>
    <cellStyle name="Accent4 89" xfId="3326"/>
    <cellStyle name="Accent4 9" xfId="3327"/>
    <cellStyle name="Accent4 90" xfId="3328"/>
    <cellStyle name="Accent4 91" xfId="3329"/>
    <cellStyle name="Accent4 92" xfId="3330"/>
    <cellStyle name="Accent4 93" xfId="3331"/>
    <cellStyle name="Accent5" xfId="31" builtinId="45" customBuiltin="1"/>
    <cellStyle name="Accent5 10" xfId="3332"/>
    <cellStyle name="Accent5 11" xfId="3333"/>
    <cellStyle name="Accent5 12" xfId="3334"/>
    <cellStyle name="Accent5 13" xfId="3335"/>
    <cellStyle name="Accent5 14" xfId="3336"/>
    <cellStyle name="Accent5 15" xfId="3337"/>
    <cellStyle name="Accent5 16" xfId="3338"/>
    <cellStyle name="Accent5 17" xfId="3339"/>
    <cellStyle name="Accent5 18" xfId="3340"/>
    <cellStyle name="Accent5 19" xfId="3341"/>
    <cellStyle name="Accent5 2" xfId="3342"/>
    <cellStyle name="Accent5 2 2" xfId="3343"/>
    <cellStyle name="Accent5 2 3" xfId="3344"/>
    <cellStyle name="Accent5 2 4" xfId="3345"/>
    <cellStyle name="Accent5 2 5" xfId="3346"/>
    <cellStyle name="Accent5 2 6" xfId="3347"/>
    <cellStyle name="Accent5 2 7" xfId="3348"/>
    <cellStyle name="Accent5 2 8" xfId="3349"/>
    <cellStyle name="Accent5 20" xfId="3350"/>
    <cellStyle name="Accent5 21" xfId="3351"/>
    <cellStyle name="Accent5 22" xfId="3352"/>
    <cellStyle name="Accent5 3" xfId="3353"/>
    <cellStyle name="Accent5 3 2" xfId="3354"/>
    <cellStyle name="Accent5 3 3" xfId="3355"/>
    <cellStyle name="Accent5 3 4" xfId="3356"/>
    <cellStyle name="Accent5 3 5" xfId="3357"/>
    <cellStyle name="Accent5 3 6" xfId="3358"/>
    <cellStyle name="Accent5 4" xfId="3359"/>
    <cellStyle name="Accent5 5" xfId="3360"/>
    <cellStyle name="Accent5 6" xfId="3361"/>
    <cellStyle name="Accent5 7" xfId="3362"/>
    <cellStyle name="Accent5 8" xfId="3363"/>
    <cellStyle name="Accent5 9" xfId="3364"/>
    <cellStyle name="Accent6" xfId="32" builtinId="49" customBuiltin="1"/>
    <cellStyle name="Accent6 10" xfId="3365"/>
    <cellStyle name="Accent6 11" xfId="3366"/>
    <cellStyle name="Accent6 12" xfId="3367"/>
    <cellStyle name="Accent6 13" xfId="3368"/>
    <cellStyle name="Accent6 14" xfId="3369"/>
    <cellStyle name="Accent6 15" xfId="3370"/>
    <cellStyle name="Accent6 16" xfId="3371"/>
    <cellStyle name="Accent6 17" xfId="3372"/>
    <cellStyle name="Accent6 18" xfId="3373"/>
    <cellStyle name="Accent6 19" xfId="3374"/>
    <cellStyle name="Accent6 2" xfId="3375"/>
    <cellStyle name="Accent6 2 2" xfId="3376"/>
    <cellStyle name="Accent6 2 3" xfId="3377"/>
    <cellStyle name="Accent6 2 4" xfId="3378"/>
    <cellStyle name="Accent6 2 5" xfId="3379"/>
    <cellStyle name="Accent6 2 6" xfId="3380"/>
    <cellStyle name="Accent6 2 7" xfId="3381"/>
    <cellStyle name="Accent6 2 8" xfId="3382"/>
    <cellStyle name="Accent6 2_13-Endividamento" xfId="3383"/>
    <cellStyle name="Accent6 20" xfId="3384"/>
    <cellStyle name="Accent6 21" xfId="3385"/>
    <cellStyle name="Accent6 22" xfId="3386"/>
    <cellStyle name="Accent6 23" xfId="3387"/>
    <cellStyle name="Accent6 24" xfId="3388"/>
    <cellStyle name="Accent6 25" xfId="3389"/>
    <cellStyle name="Accent6 26" xfId="3390"/>
    <cellStyle name="Accent6 27" xfId="3391"/>
    <cellStyle name="Accent6 28" xfId="3392"/>
    <cellStyle name="Accent6 29" xfId="3393"/>
    <cellStyle name="Accent6 3" xfId="3394"/>
    <cellStyle name="Accent6 3 2" xfId="3395"/>
    <cellStyle name="Accent6 3 3" xfId="3396"/>
    <cellStyle name="Accent6 3 4" xfId="3397"/>
    <cellStyle name="Accent6 3 5" xfId="3398"/>
    <cellStyle name="Accent6 3 6" xfId="3399"/>
    <cellStyle name="Accent6 30" xfId="3400"/>
    <cellStyle name="Accent6 31" xfId="3401"/>
    <cellStyle name="Accent6 32" xfId="3402"/>
    <cellStyle name="Accent6 33" xfId="3403"/>
    <cellStyle name="Accent6 34" xfId="3404"/>
    <cellStyle name="Accent6 35" xfId="3405"/>
    <cellStyle name="Accent6 36" xfId="3406"/>
    <cellStyle name="Accent6 37" xfId="3407"/>
    <cellStyle name="Accent6 38" xfId="3408"/>
    <cellStyle name="Accent6 39" xfId="3409"/>
    <cellStyle name="Accent6 4" xfId="3410"/>
    <cellStyle name="Accent6 40" xfId="3411"/>
    <cellStyle name="Accent6 41" xfId="3412"/>
    <cellStyle name="Accent6 42" xfId="3413"/>
    <cellStyle name="Accent6 43" xfId="3414"/>
    <cellStyle name="Accent6 44" xfId="3415"/>
    <cellStyle name="Accent6 45" xfId="3416"/>
    <cellStyle name="Accent6 46" xfId="3417"/>
    <cellStyle name="Accent6 47" xfId="3418"/>
    <cellStyle name="Accent6 48" xfId="3419"/>
    <cellStyle name="Accent6 49" xfId="3420"/>
    <cellStyle name="Accent6 5" xfId="3421"/>
    <cellStyle name="Accent6 50" xfId="3422"/>
    <cellStyle name="Accent6 51" xfId="3423"/>
    <cellStyle name="Accent6 52" xfId="3424"/>
    <cellStyle name="Accent6 53" xfId="3425"/>
    <cellStyle name="Accent6 54" xfId="3426"/>
    <cellStyle name="Accent6 55" xfId="3427"/>
    <cellStyle name="Accent6 56" xfId="3428"/>
    <cellStyle name="Accent6 57" xfId="3429"/>
    <cellStyle name="Accent6 58" xfId="3430"/>
    <cellStyle name="Accent6 59" xfId="3431"/>
    <cellStyle name="Accent6 6" xfId="3432"/>
    <cellStyle name="Accent6 60" xfId="3433"/>
    <cellStyle name="Accent6 61" xfId="3434"/>
    <cellStyle name="Accent6 62" xfId="3435"/>
    <cellStyle name="Accent6 63" xfId="3436"/>
    <cellStyle name="Accent6 64" xfId="3437"/>
    <cellStyle name="Accent6 65" xfId="3438"/>
    <cellStyle name="Accent6 66" xfId="3439"/>
    <cellStyle name="Accent6 67" xfId="3440"/>
    <cellStyle name="Accent6 68" xfId="3441"/>
    <cellStyle name="Accent6 69" xfId="3442"/>
    <cellStyle name="Accent6 7" xfId="3443"/>
    <cellStyle name="Accent6 70" xfId="3444"/>
    <cellStyle name="Accent6 71" xfId="3445"/>
    <cellStyle name="Accent6 72" xfId="3446"/>
    <cellStyle name="Accent6 73" xfId="3447"/>
    <cellStyle name="Accent6 74" xfId="3448"/>
    <cellStyle name="Accent6 75" xfId="3449"/>
    <cellStyle name="Accent6 76" xfId="3450"/>
    <cellStyle name="Accent6 77" xfId="3451"/>
    <cellStyle name="Accent6 78" xfId="3452"/>
    <cellStyle name="Accent6 79" xfId="3453"/>
    <cellStyle name="Accent6 8" xfId="3454"/>
    <cellStyle name="Accent6 80" xfId="3455"/>
    <cellStyle name="Accent6 81" xfId="3456"/>
    <cellStyle name="Accent6 82" xfId="3457"/>
    <cellStyle name="Accent6 83" xfId="3458"/>
    <cellStyle name="Accent6 84" xfId="3459"/>
    <cellStyle name="Accent6 85" xfId="3460"/>
    <cellStyle name="Accent6 86" xfId="3461"/>
    <cellStyle name="Accent6 87" xfId="3462"/>
    <cellStyle name="Accent6 88" xfId="3463"/>
    <cellStyle name="Accent6 89" xfId="3464"/>
    <cellStyle name="Accent6 9" xfId="3465"/>
    <cellStyle name="Accent6 90" xfId="3466"/>
    <cellStyle name="Accent6 91" xfId="3467"/>
    <cellStyle name="Accent6 92" xfId="3468"/>
    <cellStyle name="Accent6 93" xfId="3469"/>
    <cellStyle name="Adjustable" xfId="3470"/>
    <cellStyle name="AFE" xfId="3471"/>
    <cellStyle name="AFE 2" xfId="3472"/>
    <cellStyle name="AFE_3-Balanço" xfId="3473"/>
    <cellStyle name="Amount_EQU_RIGH.XLS_Equity market_Preferred Securities " xfId="21389"/>
    <cellStyle name="Área" xfId="3474"/>
    <cellStyle name="args.style" xfId="3475"/>
    <cellStyle name="Array" xfId="3476"/>
    <cellStyle name="Array Enter" xfId="3477"/>
    <cellStyle name="Array Enter 2" xfId="3478"/>
    <cellStyle name="Array_3-Balanço" xfId="3479"/>
    <cellStyle name="Bad" xfId="33" builtinId="27" customBuiltin="1"/>
    <cellStyle name="Bad 10" xfId="3480"/>
    <cellStyle name="Bad 11" xfId="3481"/>
    <cellStyle name="Bad 12" xfId="3482"/>
    <cellStyle name="Bad 13" xfId="3483"/>
    <cellStyle name="Bad 14" xfId="3484"/>
    <cellStyle name="Bad 15" xfId="3485"/>
    <cellStyle name="Bad 16" xfId="3486"/>
    <cellStyle name="Bad 17" xfId="3487"/>
    <cellStyle name="Bad 18" xfId="3488"/>
    <cellStyle name="Bad 19" xfId="3489"/>
    <cellStyle name="Bad 2" xfId="3490"/>
    <cellStyle name="Bad 2 2" xfId="3491"/>
    <cellStyle name="Bad 2 3" xfId="3492"/>
    <cellStyle name="Bad 2 4" xfId="3493"/>
    <cellStyle name="Bad 2 5" xfId="3494"/>
    <cellStyle name="Bad 2 6" xfId="3495"/>
    <cellStyle name="Bad 2 7" xfId="3496"/>
    <cellStyle name="Bad 2 8" xfId="3497"/>
    <cellStyle name="Bad 2_13-Endividamento" xfId="3498"/>
    <cellStyle name="Bad 20" xfId="3499"/>
    <cellStyle name="Bad 21" xfId="3500"/>
    <cellStyle name="Bad 22" xfId="3501"/>
    <cellStyle name="Bad 23" xfId="3502"/>
    <cellStyle name="Bad 24" xfId="3503"/>
    <cellStyle name="Bad 25" xfId="3504"/>
    <cellStyle name="Bad 26" xfId="3505"/>
    <cellStyle name="Bad 27" xfId="3506"/>
    <cellStyle name="Bad 28" xfId="3507"/>
    <cellStyle name="Bad 29" xfId="3508"/>
    <cellStyle name="Bad 3" xfId="3509"/>
    <cellStyle name="Bad 3 2" xfId="3510"/>
    <cellStyle name="Bad 3 3" xfId="3511"/>
    <cellStyle name="Bad 3 4" xfId="3512"/>
    <cellStyle name="Bad 3 5" xfId="3513"/>
    <cellStyle name="Bad 3 6" xfId="3514"/>
    <cellStyle name="Bad 30" xfId="3515"/>
    <cellStyle name="Bad 31" xfId="3516"/>
    <cellStyle name="Bad 32" xfId="3517"/>
    <cellStyle name="Bad 33" xfId="3518"/>
    <cellStyle name="Bad 34" xfId="3519"/>
    <cellStyle name="Bad 35" xfId="3520"/>
    <cellStyle name="Bad 36" xfId="3521"/>
    <cellStyle name="Bad 37" xfId="3522"/>
    <cellStyle name="Bad 38" xfId="3523"/>
    <cellStyle name="Bad 39" xfId="3524"/>
    <cellStyle name="Bad 4" xfId="3525"/>
    <cellStyle name="Bad 40" xfId="3526"/>
    <cellStyle name="Bad 41" xfId="3527"/>
    <cellStyle name="Bad 42" xfId="3528"/>
    <cellStyle name="Bad 43" xfId="3529"/>
    <cellStyle name="Bad 44" xfId="3530"/>
    <cellStyle name="Bad 45" xfId="3531"/>
    <cellStyle name="Bad 46" xfId="3532"/>
    <cellStyle name="Bad 47" xfId="3533"/>
    <cellStyle name="Bad 48" xfId="3534"/>
    <cellStyle name="Bad 49" xfId="3535"/>
    <cellStyle name="Bad 5" xfId="3536"/>
    <cellStyle name="Bad 50" xfId="3537"/>
    <cellStyle name="Bad 51" xfId="3538"/>
    <cellStyle name="Bad 52" xfId="3539"/>
    <cellStyle name="Bad 53" xfId="3540"/>
    <cellStyle name="Bad 54" xfId="3541"/>
    <cellStyle name="Bad 55" xfId="3542"/>
    <cellStyle name="Bad 56" xfId="3543"/>
    <cellStyle name="Bad 57" xfId="3544"/>
    <cellStyle name="Bad 58" xfId="3545"/>
    <cellStyle name="Bad 59" xfId="3546"/>
    <cellStyle name="Bad 6" xfId="3547"/>
    <cellStyle name="Bad 60" xfId="3548"/>
    <cellStyle name="Bad 61" xfId="3549"/>
    <cellStyle name="Bad 62" xfId="3550"/>
    <cellStyle name="Bad 63" xfId="3551"/>
    <cellStyle name="Bad 64" xfId="3552"/>
    <cellStyle name="Bad 65" xfId="3553"/>
    <cellStyle name="Bad 66" xfId="3554"/>
    <cellStyle name="Bad 67" xfId="3555"/>
    <cellStyle name="Bad 68" xfId="3556"/>
    <cellStyle name="Bad 69" xfId="3557"/>
    <cellStyle name="Bad 7" xfId="3558"/>
    <cellStyle name="Bad 70" xfId="3559"/>
    <cellStyle name="Bad 71" xfId="3560"/>
    <cellStyle name="Bad 72" xfId="3561"/>
    <cellStyle name="Bad 73" xfId="3562"/>
    <cellStyle name="Bad 74" xfId="3563"/>
    <cellStyle name="Bad 75" xfId="3564"/>
    <cellStyle name="Bad 76" xfId="3565"/>
    <cellStyle name="Bad 77" xfId="3566"/>
    <cellStyle name="Bad 78" xfId="3567"/>
    <cellStyle name="Bad 79" xfId="3568"/>
    <cellStyle name="Bad 8" xfId="3569"/>
    <cellStyle name="Bad 80" xfId="3570"/>
    <cellStyle name="Bad 81" xfId="3571"/>
    <cellStyle name="Bad 82" xfId="3572"/>
    <cellStyle name="Bad 83" xfId="3573"/>
    <cellStyle name="Bad 84" xfId="3574"/>
    <cellStyle name="Bad 85" xfId="3575"/>
    <cellStyle name="Bad 86" xfId="3576"/>
    <cellStyle name="Bad 87" xfId="3577"/>
    <cellStyle name="Bad 88" xfId="3578"/>
    <cellStyle name="Bad 89" xfId="3579"/>
    <cellStyle name="Bad 9" xfId="3580"/>
    <cellStyle name="Bad 90" xfId="3581"/>
    <cellStyle name="Bad 91" xfId="3582"/>
    <cellStyle name="Bad 92" xfId="3583"/>
    <cellStyle name="Bad 93" xfId="3584"/>
    <cellStyle name="Bad 94" xfId="21361"/>
    <cellStyle name="Bad 95" xfId="21379"/>
    <cellStyle name="Bad 96" xfId="21386"/>
    <cellStyle name="Bad 97" xfId="138"/>
    <cellStyle name="Black" xfId="3585"/>
    <cellStyle name="Blue" xfId="3586"/>
    <cellStyle name="Body" xfId="3587"/>
    <cellStyle name="Body 2" xfId="3588"/>
    <cellStyle name="Body 3" xfId="3589"/>
    <cellStyle name="Bold/Border" xfId="3590"/>
    <cellStyle name="Bold/Border 2" xfId="3591"/>
    <cellStyle name="Bold/Border 3" xfId="3592"/>
    <cellStyle name="Bold/Border 3 2" xfId="3593"/>
    <cellStyle name="Bold/Border 4" xfId="3594"/>
    <cellStyle name="Bold/Border 4 2" xfId="3595"/>
    <cellStyle name="Bold/Border 5" xfId="3596"/>
    <cellStyle name="Bold/Border_13-Endividamento" xfId="3597"/>
    <cellStyle name="Bol-Data" xfId="3598"/>
    <cellStyle name="Bol-Data 2" xfId="3599"/>
    <cellStyle name="bolet" xfId="3600"/>
    <cellStyle name="Boletim" xfId="3601"/>
    <cellStyle name="Bom 10" xfId="3602"/>
    <cellStyle name="Bom 2" xfId="3603"/>
    <cellStyle name="Bom 2 2" xfId="3604"/>
    <cellStyle name="Bom 2 3" xfId="3605"/>
    <cellStyle name="Bom 2 4" xfId="3606"/>
    <cellStyle name="Bom 2 5" xfId="3607"/>
    <cellStyle name="Bom 2 6" xfId="3608"/>
    <cellStyle name="Bom 2 7" xfId="3609"/>
    <cellStyle name="Bom 2 8" xfId="21515"/>
    <cellStyle name="Bom 2_11_Combinação de neg. Zanin" xfId="3610"/>
    <cellStyle name="Bom 3" xfId="3611"/>
    <cellStyle name="Bom 3 2" xfId="3612"/>
    <cellStyle name="Bom 3 3" xfId="3613"/>
    <cellStyle name="Bom 3 4" xfId="3614"/>
    <cellStyle name="Bom 3_13-Endividamento" xfId="3615"/>
    <cellStyle name="Bom 4" xfId="3616"/>
    <cellStyle name="Bom 4 2" xfId="3617"/>
    <cellStyle name="Bom 4 3" xfId="3618"/>
    <cellStyle name="Bom 4 4" xfId="3619"/>
    <cellStyle name="Bom 4_13-Endividamento" xfId="3620"/>
    <cellStyle name="Bom 5" xfId="3621"/>
    <cellStyle name="Bom 5 2" xfId="3622"/>
    <cellStyle name="Bom 5 3" xfId="3623"/>
    <cellStyle name="Bom 5 4" xfId="3624"/>
    <cellStyle name="Bom 5_13-Endividamento" xfId="3625"/>
    <cellStyle name="Bom 6" xfId="3626"/>
    <cellStyle name="Bom 6 2" xfId="3627"/>
    <cellStyle name="Bom 6 3" xfId="3628"/>
    <cellStyle name="Bom 6 4" xfId="3629"/>
    <cellStyle name="Bom 6_13-Endividamento" xfId="3630"/>
    <cellStyle name="Bom 7" xfId="3631"/>
    <cellStyle name="Bom 7 2" xfId="3632"/>
    <cellStyle name="Bom 7 3" xfId="3633"/>
    <cellStyle name="Bom 7 4" xfId="3634"/>
    <cellStyle name="Bom 7_13-Endividamento" xfId="3635"/>
    <cellStyle name="Bom 8" xfId="3636"/>
    <cellStyle name="Bom 9" xfId="3637"/>
    <cellStyle name="Bottom bold border" xfId="3638"/>
    <cellStyle name="Bottom bold border 2" xfId="3639"/>
    <cellStyle name="Bottom bold border_13-Endividamento" xfId="3640"/>
    <cellStyle name="Bottom single border" xfId="3641"/>
    <cellStyle name="Bottom single border 2" xfId="3642"/>
    <cellStyle name="Bottom single border 3" xfId="3643"/>
    <cellStyle name="Bottom single border 4" xfId="3644"/>
    <cellStyle name="Bottom single border_13-Endividamento" xfId="3645"/>
    <cellStyle name="Bullet" xfId="3646"/>
    <cellStyle name="Bullet 2" xfId="3647"/>
    <cellStyle name="Bullet 3" xfId="3648"/>
    <cellStyle name="Bullet 4" xfId="3649"/>
    <cellStyle name="Bullet_13-Endividamento" xfId="3650"/>
    <cellStyle name="c_HardInc " xfId="34"/>
    <cellStyle name="c_HardInc  2" xfId="139"/>
    <cellStyle name="c_HardInc _RRST1" xfId="140"/>
    <cellStyle name="c_HardInc _RRST7" xfId="141"/>
    <cellStyle name="Calculation" xfId="35" builtinId="22" customBuiltin="1"/>
    <cellStyle name="Calculation 10" xfId="3651"/>
    <cellStyle name="Calculation 10 2" xfId="3652"/>
    <cellStyle name="Calculation 11" xfId="3653"/>
    <cellStyle name="Calculation 11 2" xfId="3654"/>
    <cellStyle name="Calculation 12" xfId="3655"/>
    <cellStyle name="Calculation 12 2" xfId="3656"/>
    <cellStyle name="Calculation 13" xfId="3657"/>
    <cellStyle name="Calculation 13 2" xfId="3658"/>
    <cellStyle name="Calculation 14" xfId="3659"/>
    <cellStyle name="Calculation 14 2" xfId="3660"/>
    <cellStyle name="Calculation 15" xfId="3661"/>
    <cellStyle name="Calculation 15 2" xfId="3662"/>
    <cellStyle name="Calculation 16" xfId="3663"/>
    <cellStyle name="Calculation 16 2" xfId="3664"/>
    <cellStyle name="Calculation 17" xfId="3665"/>
    <cellStyle name="Calculation 17 2" xfId="3666"/>
    <cellStyle name="Calculation 18" xfId="3667"/>
    <cellStyle name="Calculation 18 2" xfId="3668"/>
    <cellStyle name="Calculation 19" xfId="3669"/>
    <cellStyle name="Calculation 19 2" xfId="3670"/>
    <cellStyle name="Calculation 2" xfId="3671"/>
    <cellStyle name="Calculation 2 10" xfId="3672"/>
    <cellStyle name="Calculation 2 2" xfId="3673"/>
    <cellStyle name="Calculation 2 2 2" xfId="3674"/>
    <cellStyle name="Calculation 2 3" xfId="3675"/>
    <cellStyle name="Calculation 2 3 2" xfId="3676"/>
    <cellStyle name="Calculation 2 4" xfId="3677"/>
    <cellStyle name="Calculation 2 4 2" xfId="3678"/>
    <cellStyle name="Calculation 2 5" xfId="3679"/>
    <cellStyle name="Calculation 2 5 2" xfId="3680"/>
    <cellStyle name="Calculation 2 6" xfId="3681"/>
    <cellStyle name="Calculation 2 6 2" xfId="3682"/>
    <cellStyle name="Calculation 2 7" xfId="3683"/>
    <cellStyle name="Calculation 2 7 2" xfId="3684"/>
    <cellStyle name="Calculation 2 8" xfId="3685"/>
    <cellStyle name="Calculation 2 8 2" xfId="3686"/>
    <cellStyle name="Calculation 2 9" xfId="3687"/>
    <cellStyle name="Calculation 2_13-Endividamento" xfId="3688"/>
    <cellStyle name="Calculation 20" xfId="3689"/>
    <cellStyle name="Calculation 20 2" xfId="3690"/>
    <cellStyle name="Calculation 21" xfId="3691"/>
    <cellStyle name="Calculation 21 2" xfId="3692"/>
    <cellStyle name="Calculation 22" xfId="3693"/>
    <cellStyle name="Calculation 22 2" xfId="3694"/>
    <cellStyle name="Calculation 23" xfId="3695"/>
    <cellStyle name="Calculation 23 2" xfId="3696"/>
    <cellStyle name="Calculation 24" xfId="3697"/>
    <cellStyle name="Calculation 24 2" xfId="3698"/>
    <cellStyle name="Calculation 25" xfId="3699"/>
    <cellStyle name="Calculation 26" xfId="3700"/>
    <cellStyle name="Calculation 27" xfId="3701"/>
    <cellStyle name="Calculation 28" xfId="3702"/>
    <cellStyle name="Calculation 29" xfId="3703"/>
    <cellStyle name="Calculation 3" xfId="3704"/>
    <cellStyle name="Calculation 3 2" xfId="3705"/>
    <cellStyle name="Calculation 3 2 2" xfId="3706"/>
    <cellStyle name="Calculation 3 3" xfId="3707"/>
    <cellStyle name="Calculation 3 3 2" xfId="3708"/>
    <cellStyle name="Calculation 3 4" xfId="3709"/>
    <cellStyle name="Calculation 3 4 2" xfId="3710"/>
    <cellStyle name="Calculation 3 5" xfId="3711"/>
    <cellStyle name="Calculation 3 5 2" xfId="3712"/>
    <cellStyle name="Calculation 3 6" xfId="3713"/>
    <cellStyle name="Calculation 3 6 2" xfId="3714"/>
    <cellStyle name="Calculation 3 7" xfId="3715"/>
    <cellStyle name="Calculation 3_HACC" xfId="3716"/>
    <cellStyle name="Calculation 30" xfId="3717"/>
    <cellStyle name="Calculation 31" xfId="3718"/>
    <cellStyle name="Calculation 32" xfId="3719"/>
    <cellStyle name="Calculation 33" xfId="3720"/>
    <cellStyle name="Calculation 34" xfId="3721"/>
    <cellStyle name="Calculation 35" xfId="3722"/>
    <cellStyle name="Calculation 36" xfId="3723"/>
    <cellStyle name="Calculation 37" xfId="3724"/>
    <cellStyle name="Calculation 38" xfId="3725"/>
    <cellStyle name="Calculation 39" xfId="3726"/>
    <cellStyle name="Calculation 4" xfId="3727"/>
    <cellStyle name="Calculation 4 2" xfId="3728"/>
    <cellStyle name="Calculation 40" xfId="3729"/>
    <cellStyle name="Calculation 41" xfId="3730"/>
    <cellStyle name="Calculation 42" xfId="3731"/>
    <cellStyle name="Calculation 43" xfId="3732"/>
    <cellStyle name="Calculation 44" xfId="3733"/>
    <cellStyle name="Calculation 45" xfId="3734"/>
    <cellStyle name="Calculation 46" xfId="3735"/>
    <cellStyle name="Calculation 47" xfId="3736"/>
    <cellStyle name="Calculation 48" xfId="3737"/>
    <cellStyle name="Calculation 49" xfId="3738"/>
    <cellStyle name="Calculation 5" xfId="3739"/>
    <cellStyle name="Calculation 5 2" xfId="3740"/>
    <cellStyle name="Calculation 50" xfId="3741"/>
    <cellStyle name="Calculation 51" xfId="3742"/>
    <cellStyle name="Calculation 52" xfId="3743"/>
    <cellStyle name="Calculation 53" xfId="3744"/>
    <cellStyle name="Calculation 54" xfId="3745"/>
    <cellStyle name="Calculation 55" xfId="3746"/>
    <cellStyle name="Calculation 56" xfId="3747"/>
    <cellStyle name="Calculation 57" xfId="3748"/>
    <cellStyle name="Calculation 58" xfId="3749"/>
    <cellStyle name="Calculation 59" xfId="3750"/>
    <cellStyle name="Calculation 6" xfId="3751"/>
    <cellStyle name="Calculation 6 2" xfId="3752"/>
    <cellStyle name="Calculation 60" xfId="3753"/>
    <cellStyle name="Calculation 61" xfId="3754"/>
    <cellStyle name="Calculation 62" xfId="3755"/>
    <cellStyle name="Calculation 63" xfId="3756"/>
    <cellStyle name="Calculation 64" xfId="3757"/>
    <cellStyle name="Calculation 65" xfId="3758"/>
    <cellStyle name="Calculation 66" xfId="3759"/>
    <cellStyle name="Calculation 67" xfId="3760"/>
    <cellStyle name="Calculation 68" xfId="3761"/>
    <cellStyle name="Calculation 69" xfId="3762"/>
    <cellStyle name="Calculation 7" xfId="3763"/>
    <cellStyle name="Calculation 7 2" xfId="3764"/>
    <cellStyle name="Calculation 70" xfId="3765"/>
    <cellStyle name="Calculation 71" xfId="3766"/>
    <cellStyle name="Calculation 72" xfId="3767"/>
    <cellStyle name="Calculation 73" xfId="3768"/>
    <cellStyle name="Calculation 74" xfId="3769"/>
    <cellStyle name="Calculation 75" xfId="3770"/>
    <cellStyle name="Calculation 76" xfId="3771"/>
    <cellStyle name="Calculation 77" xfId="3772"/>
    <cellStyle name="Calculation 78" xfId="3773"/>
    <cellStyle name="Calculation 79" xfId="3774"/>
    <cellStyle name="Calculation 8" xfId="3775"/>
    <cellStyle name="Calculation 8 2" xfId="3776"/>
    <cellStyle name="Calculation 80" xfId="3777"/>
    <cellStyle name="Calculation 81" xfId="3778"/>
    <cellStyle name="Calculation 82" xfId="3779"/>
    <cellStyle name="Calculation 83" xfId="3780"/>
    <cellStyle name="Calculation 84" xfId="3781"/>
    <cellStyle name="Calculation 85" xfId="3782"/>
    <cellStyle name="Calculation 86" xfId="3783"/>
    <cellStyle name="Calculation 87" xfId="3784"/>
    <cellStyle name="Calculation 88" xfId="3785"/>
    <cellStyle name="Calculation 89" xfId="3786"/>
    <cellStyle name="Calculation 9" xfId="3787"/>
    <cellStyle name="Calculation 9 2" xfId="3788"/>
    <cellStyle name="Calculation 90" xfId="3789"/>
    <cellStyle name="Calculation 91" xfId="3790"/>
    <cellStyle name="Calculation 92" xfId="3791"/>
    <cellStyle name="Calculation 93" xfId="3792"/>
    <cellStyle name="Calculation 94" xfId="3793"/>
    <cellStyle name="Calculation 95" xfId="3794"/>
    <cellStyle name="Cálculo 10" xfId="3795"/>
    <cellStyle name="Cálculo 2" xfId="3796"/>
    <cellStyle name="Cálculo 2 2" xfId="3797"/>
    <cellStyle name="Cálculo 2 2 2" xfId="3798"/>
    <cellStyle name="Cálculo 2 2_COSAN SA CONSOLID_MÊS" xfId="3799"/>
    <cellStyle name="Cálculo 2 3" xfId="3800"/>
    <cellStyle name="Cálculo 2 3 2" xfId="3801"/>
    <cellStyle name="Cálculo 2 4" xfId="3802"/>
    <cellStyle name="Cálculo 2 4 2" xfId="3803"/>
    <cellStyle name="Cálculo 2 4_COSAN SA CONSOLID_MÊS" xfId="3804"/>
    <cellStyle name="Cálculo 2 5" xfId="3805"/>
    <cellStyle name="Cálculo 2 5 2" xfId="3806"/>
    <cellStyle name="Cálculo 2 6" xfId="3807"/>
    <cellStyle name="Cálculo 2 6 2" xfId="3808"/>
    <cellStyle name="Cálculo 2 7" xfId="3809"/>
    <cellStyle name="Cálculo 2 7 2" xfId="3810"/>
    <cellStyle name="Cálculo 2 8" xfId="3811"/>
    <cellStyle name="Cálculo 2 9" xfId="21516"/>
    <cellStyle name="Cálculo 2_11_Combinação de neg. Zanin" xfId="3812"/>
    <cellStyle name="Cálculo 3" xfId="3813"/>
    <cellStyle name="Cálculo 3 2" xfId="3814"/>
    <cellStyle name="Cálculo 3 2 2" xfId="3815"/>
    <cellStyle name="Cálculo 3 3" xfId="3816"/>
    <cellStyle name="Cálculo 3 3 2" xfId="3817"/>
    <cellStyle name="Cálculo 3 4" xfId="3818"/>
    <cellStyle name="Cálculo 3 4 2" xfId="3819"/>
    <cellStyle name="Cálculo 3 5" xfId="3820"/>
    <cellStyle name="Cálculo 3_13-Endividamento" xfId="3821"/>
    <cellStyle name="Cálculo 4" xfId="3822"/>
    <cellStyle name="Cálculo 4 2" xfId="3823"/>
    <cellStyle name="Cálculo 4 2 2" xfId="3824"/>
    <cellStyle name="Cálculo 4 3" xfId="3825"/>
    <cellStyle name="Cálculo 4 3 2" xfId="3826"/>
    <cellStyle name="Cálculo 4 4" xfId="3827"/>
    <cellStyle name="Cálculo 4 4 2" xfId="3828"/>
    <cellStyle name="Cálculo 4 5" xfId="3829"/>
    <cellStyle name="Cálculo 4_13-Endividamento" xfId="3830"/>
    <cellStyle name="Cálculo 5" xfId="3831"/>
    <cellStyle name="Cálculo 5 2" xfId="3832"/>
    <cellStyle name="Cálculo 5 2 2" xfId="3833"/>
    <cellStyle name="Cálculo 5 3" xfId="3834"/>
    <cellStyle name="Cálculo 5 3 2" xfId="3835"/>
    <cellStyle name="Cálculo 5 4" xfId="3836"/>
    <cellStyle name="Cálculo 5 4 2" xfId="3837"/>
    <cellStyle name="Cálculo 5 5" xfId="3838"/>
    <cellStyle name="Cálculo 5_13-Endividamento" xfId="3839"/>
    <cellStyle name="Cálculo 6" xfId="3840"/>
    <cellStyle name="Cálculo 6 2" xfId="3841"/>
    <cellStyle name="Cálculo 6 2 2" xfId="3842"/>
    <cellStyle name="Cálculo 6 3" xfId="3843"/>
    <cellStyle name="Cálculo 6 3 2" xfId="3844"/>
    <cellStyle name="Cálculo 6 4" xfId="3845"/>
    <cellStyle name="Cálculo 6 4 2" xfId="3846"/>
    <cellStyle name="Cálculo 6 5" xfId="3847"/>
    <cellStyle name="Cálculo 6_13-Endividamento" xfId="3848"/>
    <cellStyle name="Cálculo 7" xfId="3849"/>
    <cellStyle name="Cálculo 7 2" xfId="3850"/>
    <cellStyle name="Cálculo 7 2 2" xfId="3851"/>
    <cellStyle name="Cálculo 7 3" xfId="3852"/>
    <cellStyle name="Cálculo 7 3 2" xfId="3853"/>
    <cellStyle name="Cálculo 7 4" xfId="3854"/>
    <cellStyle name="Cálculo 7 4 2" xfId="3855"/>
    <cellStyle name="Cálculo 7 5" xfId="3856"/>
    <cellStyle name="Cálculo 7_13-Endividamento" xfId="3857"/>
    <cellStyle name="Cálculo 8" xfId="3858"/>
    <cellStyle name="Cálculo 8 2" xfId="3859"/>
    <cellStyle name="Cálculo 8_COSAN SA CONSOLID_MÊS" xfId="3860"/>
    <cellStyle name="Cálculo 9" xfId="3861"/>
    <cellStyle name="Cambiar to&amp;do" xfId="3862"/>
    <cellStyle name="Cambiar to&amp;do 2" xfId="3863"/>
    <cellStyle name="Cambiar to&amp;do 3" xfId="3864"/>
    <cellStyle name="Cambiar to&amp;do 4" xfId="3865"/>
    <cellStyle name="Cambiar to&amp;do_13-Endividamento" xfId="3866"/>
    <cellStyle name="Cancel 2 2 2" xfId="3867"/>
    <cellStyle name="Cancel 3 2" xfId="3868"/>
    <cellStyle name="čárky [0]_Business Plan MCE" xfId="3869"/>
    <cellStyle name="čárky_Business Plan MCE" xfId="3870"/>
    <cellStyle name="Célula de Verificação 10" xfId="3871"/>
    <cellStyle name="Célula de Verificação 2" xfId="3872"/>
    <cellStyle name="Célula de Verificação 2 2" xfId="3873"/>
    <cellStyle name="Célula de Verificação 2 3" xfId="3874"/>
    <cellStyle name="Célula de Verificação 2 4" xfId="3875"/>
    <cellStyle name="Célula de Verificação 2 5" xfId="3876"/>
    <cellStyle name="Célula de Verificação 2 6" xfId="3877"/>
    <cellStyle name="Célula de Verificação 2 7" xfId="3878"/>
    <cellStyle name="Célula de Verificação 2 8" xfId="21517"/>
    <cellStyle name="Célula de Verificação 2_11_Combinação de neg. Zanin" xfId="3879"/>
    <cellStyle name="Célula de Verificação 3" xfId="3880"/>
    <cellStyle name="Célula de Verificação 3 2" xfId="3881"/>
    <cellStyle name="Célula de Verificação 3 3" xfId="3882"/>
    <cellStyle name="Célula de Verificação 3 4" xfId="3883"/>
    <cellStyle name="Célula de Verificação 3_13-Endividamento" xfId="3884"/>
    <cellStyle name="Célula de Verificação 4" xfId="3885"/>
    <cellStyle name="Célula de Verificação 4 2" xfId="3886"/>
    <cellStyle name="Célula de Verificação 4 3" xfId="3887"/>
    <cellStyle name="Célula de Verificação 4 4" xfId="3888"/>
    <cellStyle name="Célula de Verificação 4_13-Endividamento" xfId="3889"/>
    <cellStyle name="Célula de Verificação 5" xfId="3890"/>
    <cellStyle name="Célula de Verificação 5 2" xfId="3891"/>
    <cellStyle name="Célula de Verificação 5 3" xfId="3892"/>
    <cellStyle name="Célula de Verificação 5 4" xfId="3893"/>
    <cellStyle name="Célula de Verificação 5_13-Endividamento" xfId="3894"/>
    <cellStyle name="Célula de Verificação 6" xfId="3895"/>
    <cellStyle name="Célula de Verificação 6 2" xfId="3896"/>
    <cellStyle name="Célula de Verificação 6 3" xfId="3897"/>
    <cellStyle name="Célula de Verificação 6 4" xfId="3898"/>
    <cellStyle name="Célula de Verificação 6_13-Endividamento" xfId="3899"/>
    <cellStyle name="Célula de Verificação 7" xfId="3900"/>
    <cellStyle name="Célula de Verificação 7 2" xfId="3901"/>
    <cellStyle name="Célula de Verificação 7 3" xfId="3902"/>
    <cellStyle name="Célula de Verificação 7 4" xfId="3903"/>
    <cellStyle name="Célula de Verificação 7_13-Endividamento" xfId="3904"/>
    <cellStyle name="Célula de Verificação 8" xfId="3905"/>
    <cellStyle name="Célula de Verificação 9" xfId="3906"/>
    <cellStyle name="Célula Vinculada 10" xfId="3907"/>
    <cellStyle name="Célula Vinculada 2" xfId="3908"/>
    <cellStyle name="Célula Vinculada 2 2" xfId="3909"/>
    <cellStyle name="Célula Vinculada 2 3" xfId="3910"/>
    <cellStyle name="Célula Vinculada 2 3 2" xfId="3911"/>
    <cellStyle name="Célula Vinculada 2 4" xfId="3912"/>
    <cellStyle name="Célula Vinculada 2 5" xfId="3913"/>
    <cellStyle name="Célula Vinculada 2 6" xfId="3914"/>
    <cellStyle name="Célula Vinculada 2 7" xfId="21518"/>
    <cellStyle name="Célula Vinculada 2_11_Combinação de neg. Zanin" xfId="3915"/>
    <cellStyle name="Célula Vinculada 3" xfId="3916"/>
    <cellStyle name="Célula Vinculada 3 2" xfId="3917"/>
    <cellStyle name="Célula Vinculada 3 2 2" xfId="3918"/>
    <cellStyle name="Célula Vinculada 3 3" xfId="3919"/>
    <cellStyle name="Célula Vinculada 3 3 2" xfId="3920"/>
    <cellStyle name="Célula Vinculada 3 4" xfId="3921"/>
    <cellStyle name="Célula Vinculada 3_Despesa por natureza" xfId="3922"/>
    <cellStyle name="Célula Vinculada 4" xfId="3923"/>
    <cellStyle name="Célula Vinculada 4 2" xfId="3924"/>
    <cellStyle name="Célula Vinculada 4 2 2" xfId="3925"/>
    <cellStyle name="Célula Vinculada 4 3" xfId="3926"/>
    <cellStyle name="Célula Vinculada 4 3 2" xfId="3927"/>
    <cellStyle name="Célula Vinculada 4 4" xfId="3928"/>
    <cellStyle name="Célula Vinculada 4_Despesa por natureza" xfId="3929"/>
    <cellStyle name="Célula Vinculada 5" xfId="3930"/>
    <cellStyle name="Célula Vinculada 5 2" xfId="3931"/>
    <cellStyle name="Célula Vinculada 5 2 2" xfId="3932"/>
    <cellStyle name="Célula Vinculada 5 3" xfId="3933"/>
    <cellStyle name="Célula Vinculada 5 3 2" xfId="3934"/>
    <cellStyle name="Célula Vinculada 5 4" xfId="3935"/>
    <cellStyle name="Célula Vinculada 6" xfId="3936"/>
    <cellStyle name="Célula Vinculada 6 2" xfId="3937"/>
    <cellStyle name="Célula Vinculada 6 2 2" xfId="3938"/>
    <cellStyle name="Célula Vinculada 6 3" xfId="3939"/>
    <cellStyle name="Célula Vinculada 6 3 2" xfId="3940"/>
    <cellStyle name="Célula Vinculada 6 4" xfId="3941"/>
    <cellStyle name="Célula Vinculada 7" xfId="3942"/>
    <cellStyle name="Célula Vinculada 7 2" xfId="3943"/>
    <cellStyle name="Célula Vinculada 7 3" xfId="3944"/>
    <cellStyle name="Célula Vinculada 7 4" xfId="3945"/>
    <cellStyle name="Célula Vinculada 7_13-Endividamento" xfId="3946"/>
    <cellStyle name="Célula Vinculada 8" xfId="3947"/>
    <cellStyle name="Célula Vinculada 9" xfId="3948"/>
    <cellStyle name="Centered Heading" xfId="3949"/>
    <cellStyle name="Centered Heading 2" xfId="3950"/>
    <cellStyle name="Centered Heading 3" xfId="3951"/>
    <cellStyle name="Centered Heading_COSAN SA CONSOLID_MÊS" xfId="3952"/>
    <cellStyle name="CenterHead" xfId="3953"/>
    <cellStyle name="CenterHead 2" xfId="3954"/>
    <cellStyle name="CenterHead 3" xfId="3955"/>
    <cellStyle name="CenterHead_COSAN SA CONSOLID_MÊS" xfId="3956"/>
    <cellStyle name="Check Cell" xfId="36" builtinId="23" customBuiltin="1"/>
    <cellStyle name="Check Cell 10" xfId="3957"/>
    <cellStyle name="Check Cell 11" xfId="3958"/>
    <cellStyle name="Check Cell 2" xfId="3959"/>
    <cellStyle name="Check Cell 2 2" xfId="3960"/>
    <cellStyle name="Check Cell 2 3" xfId="3961"/>
    <cellStyle name="Check Cell 2 4" xfId="3962"/>
    <cellStyle name="Check Cell 2 5" xfId="3963"/>
    <cellStyle name="Check Cell 2 6" xfId="3964"/>
    <cellStyle name="Check Cell 2 7" xfId="3965"/>
    <cellStyle name="Check Cell 2 8" xfId="3966"/>
    <cellStyle name="Check Cell 2_HACC" xfId="3967"/>
    <cellStyle name="Check Cell 3" xfId="3968"/>
    <cellStyle name="Check Cell 3 2" xfId="3969"/>
    <cellStyle name="Check Cell 3 3" xfId="3970"/>
    <cellStyle name="Check Cell 3 4" xfId="3971"/>
    <cellStyle name="Check Cell 3 5" xfId="3972"/>
    <cellStyle name="Check Cell 3 6" xfId="3973"/>
    <cellStyle name="Check Cell 3_HACC" xfId="3974"/>
    <cellStyle name="Check Cell 4" xfId="3975"/>
    <cellStyle name="Check Cell 5" xfId="3976"/>
    <cellStyle name="Check Cell 6" xfId="3977"/>
    <cellStyle name="Check Cell 7" xfId="3978"/>
    <cellStyle name="Check Cell 8" xfId="3979"/>
    <cellStyle name="Check Cell 9" xfId="3980"/>
    <cellStyle name="claudio" xfId="3981"/>
    <cellStyle name="colhead" xfId="3982"/>
    <cellStyle name="Column_Title" xfId="3983"/>
    <cellStyle name="Comma" xfId="37" builtinId="3"/>
    <cellStyle name="Comma  - Style1" xfId="3984"/>
    <cellStyle name="Comma  - Style1 2" xfId="3985"/>
    <cellStyle name="Comma  - Style1 3" xfId="3986"/>
    <cellStyle name="Comma  - Style1 4" xfId="3987"/>
    <cellStyle name="Comma  - Style1_13-Endividamento" xfId="3988"/>
    <cellStyle name="Comma  - Style2" xfId="3989"/>
    <cellStyle name="Comma  - Style2 2" xfId="3990"/>
    <cellStyle name="Comma  - Style2 3" xfId="3991"/>
    <cellStyle name="Comma  - Style2 4" xfId="3992"/>
    <cellStyle name="Comma  - Style2_13-Endividamento" xfId="3993"/>
    <cellStyle name="Comma  - Style3" xfId="3994"/>
    <cellStyle name="Comma  - Style3 2" xfId="3995"/>
    <cellStyle name="Comma  - Style3 3" xfId="3996"/>
    <cellStyle name="Comma  - Style3 4" xfId="3997"/>
    <cellStyle name="Comma  - Style3_13-Endividamento" xfId="3998"/>
    <cellStyle name="Comma  - Style4" xfId="3999"/>
    <cellStyle name="Comma  - Style4 2" xfId="4000"/>
    <cellStyle name="Comma  - Style4 3" xfId="4001"/>
    <cellStyle name="Comma  - Style4 4" xfId="4002"/>
    <cellStyle name="Comma  - Style4_13-Endividamento" xfId="4003"/>
    <cellStyle name="Comma  - Style5" xfId="4004"/>
    <cellStyle name="Comma  - Style5 2" xfId="4005"/>
    <cellStyle name="Comma  - Style5 3" xfId="4006"/>
    <cellStyle name="Comma  - Style5 4" xfId="4007"/>
    <cellStyle name="Comma  - Style5_13-Endividamento" xfId="4008"/>
    <cellStyle name="Comma  - Style6" xfId="4009"/>
    <cellStyle name="Comma  - Style6 2" xfId="4010"/>
    <cellStyle name="Comma  - Style6 3" xfId="4011"/>
    <cellStyle name="Comma  - Style6 4" xfId="4012"/>
    <cellStyle name="Comma  - Style6_13-Endividamento" xfId="4013"/>
    <cellStyle name="Comma  - Style7" xfId="4014"/>
    <cellStyle name="Comma  - Style7 2" xfId="4015"/>
    <cellStyle name="Comma  - Style7 3" xfId="4016"/>
    <cellStyle name="Comma  - Style7 4" xfId="4017"/>
    <cellStyle name="Comma  - Style7_13-Endividamento" xfId="4018"/>
    <cellStyle name="Comma  - Style8" xfId="4019"/>
    <cellStyle name="Comma  - Style8 2" xfId="4020"/>
    <cellStyle name="Comma  - Style8 3" xfId="4021"/>
    <cellStyle name="Comma  - Style8 4" xfId="4022"/>
    <cellStyle name="Comma  - Style8_13-Endividamento" xfId="4023"/>
    <cellStyle name="Comma [0] 2" xfId="4024"/>
    <cellStyle name="Comma 0" xfId="4025"/>
    <cellStyle name="Comma 0 10" xfId="4026"/>
    <cellStyle name="Comma 0 11" xfId="4027"/>
    <cellStyle name="Comma 0 12" xfId="4028"/>
    <cellStyle name="Comma 0 13" xfId="4029"/>
    <cellStyle name="Comma 0 14" xfId="4030"/>
    <cellStyle name="Comma 0 15" xfId="4031"/>
    <cellStyle name="Comma 0 16" xfId="4032"/>
    <cellStyle name="Comma 0 17" xfId="4033"/>
    <cellStyle name="Comma 0 18" xfId="4034"/>
    <cellStyle name="Comma 0 19" xfId="4035"/>
    <cellStyle name="Comma 0 2" xfId="4036"/>
    <cellStyle name="Comma 0 2 2" xfId="4037"/>
    <cellStyle name="Comma 0 2 2 2" xfId="4038"/>
    <cellStyle name="Comma 0 2 2 3" xfId="4039"/>
    <cellStyle name="Comma 0 2 2 4" xfId="4040"/>
    <cellStyle name="Comma 0 2 2_13-Endividamento" xfId="4041"/>
    <cellStyle name="Comma 0 2 3" xfId="4042"/>
    <cellStyle name="Comma 0 2 3 2" xfId="4043"/>
    <cellStyle name="Comma 0 2 3_13-Endividamento" xfId="4044"/>
    <cellStyle name="Comma 0 2 4" xfId="4045"/>
    <cellStyle name="Comma 0 2 5" xfId="4046"/>
    <cellStyle name="Comma 0 2 6" xfId="4047"/>
    <cellStyle name="Comma 0 2 7" xfId="4048"/>
    <cellStyle name="Comma 0 2 8" xfId="4049"/>
    <cellStyle name="Comma 0 2_13-Endividamento" xfId="4050"/>
    <cellStyle name="Comma 0 20" xfId="4051"/>
    <cellStyle name="Comma 0 21" xfId="4052"/>
    <cellStyle name="Comma 0 22" xfId="4053"/>
    <cellStyle name="Comma 0 23" xfId="4054"/>
    <cellStyle name="Comma 0 24" xfId="4055"/>
    <cellStyle name="Comma 0 25" xfId="4056"/>
    <cellStyle name="Comma 0 26" xfId="4057"/>
    <cellStyle name="Comma 0 27" xfId="4058"/>
    <cellStyle name="Comma 0 28" xfId="4059"/>
    <cellStyle name="Comma 0 29" xfId="4060"/>
    <cellStyle name="Comma 0 3" xfId="4061"/>
    <cellStyle name="Comma 0 3 2" xfId="4062"/>
    <cellStyle name="Comma 0 3 2 2" xfId="4063"/>
    <cellStyle name="Comma 0 3 2 3" xfId="4064"/>
    <cellStyle name="Comma 0 3 2 4" xfId="4065"/>
    <cellStyle name="Comma 0 3 2_13-Endividamento" xfId="4066"/>
    <cellStyle name="Comma 0 3 3" xfId="4067"/>
    <cellStyle name="Comma 0 3 3 2" xfId="4068"/>
    <cellStyle name="Comma 0 3 3_13-Endividamento" xfId="4069"/>
    <cellStyle name="Comma 0 3 4" xfId="4070"/>
    <cellStyle name="Comma 0 3 5" xfId="4071"/>
    <cellStyle name="Comma 0 3 6" xfId="4072"/>
    <cellStyle name="Comma 0 3 7" xfId="4073"/>
    <cellStyle name="Comma 0 3 8" xfId="4074"/>
    <cellStyle name="Comma 0 3_13-Endividamento" xfId="4075"/>
    <cellStyle name="Comma 0 30" xfId="4076"/>
    <cellStyle name="Comma 0 31" xfId="4077"/>
    <cellStyle name="Comma 0 32" xfId="4078"/>
    <cellStyle name="Comma 0 33" xfId="4079"/>
    <cellStyle name="Comma 0 34" xfId="4080"/>
    <cellStyle name="Comma 0 35" xfId="4081"/>
    <cellStyle name="Comma 0 36" xfId="4082"/>
    <cellStyle name="Comma 0 37" xfId="4083"/>
    <cellStyle name="Comma 0 37 2" xfId="4084"/>
    <cellStyle name="Comma 0 38" xfId="4085"/>
    <cellStyle name="Comma 0 39" xfId="4086"/>
    <cellStyle name="Comma 0 4" xfId="4087"/>
    <cellStyle name="Comma 0 4 2" xfId="4088"/>
    <cellStyle name="Comma 0 4 3" xfId="4089"/>
    <cellStyle name="Comma 0 4 4" xfId="4090"/>
    <cellStyle name="Comma 0 4 5" xfId="4091"/>
    <cellStyle name="Comma 0 4 6" xfId="4092"/>
    <cellStyle name="Comma 0 4_13-Endividamento" xfId="4093"/>
    <cellStyle name="Comma 0 40" xfId="4094"/>
    <cellStyle name="Comma 0 41" xfId="4095"/>
    <cellStyle name="Comma 0 42" xfId="4096"/>
    <cellStyle name="Comma 0 5" xfId="4097"/>
    <cellStyle name="Comma 0 5 2" xfId="4098"/>
    <cellStyle name="Comma 0 5 3" xfId="4099"/>
    <cellStyle name="Comma 0 6" xfId="4100"/>
    <cellStyle name="Comma 0 6 2" xfId="4101"/>
    <cellStyle name="Comma 0 6 3" xfId="4102"/>
    <cellStyle name="Comma 0 7" xfId="4103"/>
    <cellStyle name="Comma 0 7 2" xfId="4104"/>
    <cellStyle name="Comma 0 8" xfId="4105"/>
    <cellStyle name="Comma 0 9" xfId="4106"/>
    <cellStyle name="Comma 0*" xfId="4107"/>
    <cellStyle name="Comma 0* 10" xfId="4108"/>
    <cellStyle name="Comma 0* 11" xfId="4109"/>
    <cellStyle name="Comma 0* 12" xfId="4110"/>
    <cellStyle name="Comma 0* 13" xfId="4111"/>
    <cellStyle name="Comma 0* 14" xfId="4112"/>
    <cellStyle name="Comma 0* 15" xfId="4113"/>
    <cellStyle name="Comma 0* 16" xfId="4114"/>
    <cellStyle name="Comma 0* 17" xfId="4115"/>
    <cellStyle name="Comma 0* 18" xfId="4116"/>
    <cellStyle name="Comma 0* 19" xfId="4117"/>
    <cellStyle name="Comma 0* 2" xfId="4118"/>
    <cellStyle name="Comma 0* 2 2" xfId="4119"/>
    <cellStyle name="Comma 0* 2 2 2" xfId="4120"/>
    <cellStyle name="Comma 0* 2 2 3" xfId="4121"/>
    <cellStyle name="Comma 0* 2 2 4" xfId="4122"/>
    <cellStyle name="Comma 0* 2 2_13-Endividamento" xfId="4123"/>
    <cellStyle name="Comma 0* 2 3" xfId="4124"/>
    <cellStyle name="Comma 0* 2 3 2" xfId="4125"/>
    <cellStyle name="Comma 0* 2 3_13-Endividamento" xfId="4126"/>
    <cellStyle name="Comma 0* 2 4" xfId="4127"/>
    <cellStyle name="Comma 0* 2 5" xfId="4128"/>
    <cellStyle name="Comma 0* 2 6" xfId="4129"/>
    <cellStyle name="Comma 0* 2 7" xfId="4130"/>
    <cellStyle name="Comma 0* 2 8" xfId="4131"/>
    <cellStyle name="Comma 0* 2_13-Endividamento" xfId="4132"/>
    <cellStyle name="Comma 0* 20" xfId="4133"/>
    <cellStyle name="Comma 0* 21" xfId="4134"/>
    <cellStyle name="Comma 0* 22" xfId="4135"/>
    <cellStyle name="Comma 0* 23" xfId="4136"/>
    <cellStyle name="Comma 0* 24" xfId="4137"/>
    <cellStyle name="Comma 0* 25" xfId="4138"/>
    <cellStyle name="Comma 0* 26" xfId="4139"/>
    <cellStyle name="Comma 0* 27" xfId="4140"/>
    <cellStyle name="Comma 0* 28" xfId="4141"/>
    <cellStyle name="Comma 0* 29" xfId="4142"/>
    <cellStyle name="Comma 0* 3" xfId="4143"/>
    <cellStyle name="Comma 0* 3 2" xfId="4144"/>
    <cellStyle name="Comma 0* 3 2 2" xfId="4145"/>
    <cellStyle name="Comma 0* 3 2 3" xfId="4146"/>
    <cellStyle name="Comma 0* 3 2 4" xfId="4147"/>
    <cellStyle name="Comma 0* 3 2_13-Endividamento" xfId="4148"/>
    <cellStyle name="Comma 0* 3 3" xfId="4149"/>
    <cellStyle name="Comma 0* 3 3 2" xfId="4150"/>
    <cellStyle name="Comma 0* 3 3_13-Endividamento" xfId="4151"/>
    <cellStyle name="Comma 0* 3 4" xfId="4152"/>
    <cellStyle name="Comma 0* 3 5" xfId="4153"/>
    <cellStyle name="Comma 0* 3 6" xfId="4154"/>
    <cellStyle name="Comma 0* 3 7" xfId="4155"/>
    <cellStyle name="Comma 0* 3 8" xfId="4156"/>
    <cellStyle name="Comma 0* 3_13-Endividamento" xfId="4157"/>
    <cellStyle name="Comma 0* 30" xfId="4158"/>
    <cellStyle name="Comma 0* 31" xfId="4159"/>
    <cellStyle name="Comma 0* 32" xfId="4160"/>
    <cellStyle name="Comma 0* 33" xfId="4161"/>
    <cellStyle name="Comma 0* 34" xfId="4162"/>
    <cellStyle name="Comma 0* 35" xfId="4163"/>
    <cellStyle name="Comma 0* 36" xfId="4164"/>
    <cellStyle name="Comma 0* 37" xfId="4165"/>
    <cellStyle name="Comma 0* 37 2" xfId="4166"/>
    <cellStyle name="Comma 0* 37_Base Partes Relacionadas" xfId="4167"/>
    <cellStyle name="Comma 0* 38" xfId="4168"/>
    <cellStyle name="Comma 0* 39" xfId="4169"/>
    <cellStyle name="Comma 0* 4" xfId="4170"/>
    <cellStyle name="Comma 0* 4 2" xfId="4171"/>
    <cellStyle name="Comma 0* 4 3" xfId="4172"/>
    <cellStyle name="Comma 0* 4 4" xfId="4173"/>
    <cellStyle name="Comma 0* 4 5" xfId="4174"/>
    <cellStyle name="Comma 0* 4 6" xfId="4175"/>
    <cellStyle name="Comma 0* 4_13-Endividamento" xfId="4176"/>
    <cellStyle name="Comma 0* 40" xfId="4177"/>
    <cellStyle name="Comma 0* 41" xfId="4178"/>
    <cellStyle name="Comma 0* 42" xfId="4179"/>
    <cellStyle name="Comma 0* 5" xfId="4180"/>
    <cellStyle name="Comma 0* 5 2" xfId="4181"/>
    <cellStyle name="Comma 0* 5 3" xfId="4182"/>
    <cellStyle name="Comma 0* 5_Base Partes Relacionadas" xfId="4183"/>
    <cellStyle name="Comma 0* 6" xfId="4184"/>
    <cellStyle name="Comma 0* 6 2" xfId="4185"/>
    <cellStyle name="Comma 0* 6 3" xfId="4186"/>
    <cellStyle name="Comma 0* 6_Base Partes Relacionadas" xfId="4187"/>
    <cellStyle name="Comma 0* 7" xfId="4188"/>
    <cellStyle name="Comma 0* 7 2" xfId="4189"/>
    <cellStyle name="Comma 0* 7_Base Partes Relacionadas" xfId="4190"/>
    <cellStyle name="Comma 0* 8" xfId="4191"/>
    <cellStyle name="Comma 0* 9" xfId="4192"/>
    <cellStyle name="Comma 0*_13-Endividamento" xfId="4193"/>
    <cellStyle name="Comma 0.0" xfId="4194"/>
    <cellStyle name="Comma 0.00" xfId="4195"/>
    <cellStyle name="Comma 0.000" xfId="4196"/>
    <cellStyle name="Comma 0_13-Endividamento" xfId="4197"/>
    <cellStyle name="Comma 10" xfId="4198"/>
    <cellStyle name="Comma 11" xfId="4199"/>
    <cellStyle name="Comma 12" xfId="4200"/>
    <cellStyle name="Comma 13" xfId="4201"/>
    <cellStyle name="Comma 14" xfId="4202"/>
    <cellStyle name="Comma 15" xfId="4203"/>
    <cellStyle name="Comma 15 2" xfId="4204"/>
    <cellStyle name="Comma 15 3" xfId="4205"/>
    <cellStyle name="Comma 15_Base Partes Relacionadas" xfId="4206"/>
    <cellStyle name="Comma 16" xfId="4207"/>
    <cellStyle name="Comma 17" xfId="4208"/>
    <cellStyle name="Comma 18" xfId="4209"/>
    <cellStyle name="Comma 19" xfId="4210"/>
    <cellStyle name="Comma 2" xfId="142"/>
    <cellStyle name="Comma 2 10" xfId="4211"/>
    <cellStyle name="Comma 2 11" xfId="4212"/>
    <cellStyle name="Comma 2 12" xfId="4213"/>
    <cellStyle name="Comma 2 13" xfId="4214"/>
    <cellStyle name="Comma 2 14" xfId="4215"/>
    <cellStyle name="Comma 2 15" xfId="4216"/>
    <cellStyle name="Comma 2 16" xfId="4217"/>
    <cellStyle name="Comma 2 17" xfId="4218"/>
    <cellStyle name="Comma 2 18" xfId="4219"/>
    <cellStyle name="Comma 2 19" xfId="4220"/>
    <cellStyle name="Comma 2 2" xfId="143"/>
    <cellStyle name="Comma 2 2 2" xfId="4221"/>
    <cellStyle name="Comma 2 2_13-Endividamento" xfId="4222"/>
    <cellStyle name="Comma 2 3" xfId="4223"/>
    <cellStyle name="Comma 2 3 2" xfId="4224"/>
    <cellStyle name="Comma 2 3_13-Endividamento" xfId="4225"/>
    <cellStyle name="Comma 2 4" xfId="4226"/>
    <cellStyle name="Comma 2 4 2" xfId="21491"/>
    <cellStyle name="Comma 2 5" xfId="4227"/>
    <cellStyle name="Comma 2 6" xfId="4228"/>
    <cellStyle name="Comma 2 7" xfId="4229"/>
    <cellStyle name="Comma 2 8" xfId="4230"/>
    <cellStyle name="Comma 2 9" xfId="4231"/>
    <cellStyle name="Comma 2_Base Partes Relacionadas" xfId="4232"/>
    <cellStyle name="Comma 20" xfId="4233"/>
    <cellStyle name="Comma 21" xfId="4234"/>
    <cellStyle name="Comma 21 2" xfId="4235"/>
    <cellStyle name="Comma 21_Base Partes Relacionadas" xfId="4236"/>
    <cellStyle name="Comma 22" xfId="4237"/>
    <cellStyle name="Comma 22 2" xfId="4238"/>
    <cellStyle name="Comma 22 3" xfId="4239"/>
    <cellStyle name="Comma 22_Base Partes Relacionadas" xfId="4240"/>
    <cellStyle name="Comma 23" xfId="4241"/>
    <cellStyle name="Comma 24" xfId="4242"/>
    <cellStyle name="Comma 24 2" xfId="4243"/>
    <cellStyle name="Comma 24 3" xfId="4244"/>
    <cellStyle name="Comma 24_13-Endividamento" xfId="4245"/>
    <cellStyle name="Comma 25" xfId="4246"/>
    <cellStyle name="Comma 26" xfId="4247"/>
    <cellStyle name="Comma 27" xfId="4248"/>
    <cellStyle name="Comma 28" xfId="4249"/>
    <cellStyle name="Comma 29" xfId="4250"/>
    <cellStyle name="Comma 29 2" xfId="4251"/>
    <cellStyle name="Comma 29_Base Partes Relacionadas" xfId="4252"/>
    <cellStyle name="Comma 3" xfId="144"/>
    <cellStyle name="Comma 3 10" xfId="4253"/>
    <cellStyle name="Comma 3 11" xfId="4254"/>
    <cellStyle name="Comma 3 12" xfId="4255"/>
    <cellStyle name="Comma 3 13" xfId="4256"/>
    <cellStyle name="Comma 3 14" xfId="4257"/>
    <cellStyle name="Comma 3 15" xfId="4258"/>
    <cellStyle name="Comma 3 16" xfId="4259"/>
    <cellStyle name="Comma 3 17" xfId="4260"/>
    <cellStyle name="Comma 3 18" xfId="4261"/>
    <cellStyle name="Comma 3 19" xfId="4262"/>
    <cellStyle name="Comma 3 2" xfId="4263"/>
    <cellStyle name="Comma 3 20" xfId="4264"/>
    <cellStyle name="Comma 3 21" xfId="4265"/>
    <cellStyle name="Comma 3 22" xfId="4266"/>
    <cellStyle name="Comma 3 23" xfId="21312"/>
    <cellStyle name="Comma 3 23 2" xfId="21449"/>
    <cellStyle name="Comma 3 24" xfId="21405"/>
    <cellStyle name="Comma 3 25" xfId="21548"/>
    <cellStyle name="Comma 3 3" xfId="4267"/>
    <cellStyle name="Comma 3 4" xfId="4268"/>
    <cellStyle name="Comma 3 5" xfId="4269"/>
    <cellStyle name="Comma 3 6" xfId="4270"/>
    <cellStyle name="Comma 3 7" xfId="4271"/>
    <cellStyle name="Comma 3 8" xfId="4272"/>
    <cellStyle name="Comma 3 9" xfId="4273"/>
    <cellStyle name="Comma 3_Base Partes Relacionadas" xfId="4274"/>
    <cellStyle name="Comma 30" xfId="4275"/>
    <cellStyle name="Comma 31" xfId="4276"/>
    <cellStyle name="Comma 32" xfId="4277"/>
    <cellStyle name="Comma 33" xfId="4278"/>
    <cellStyle name="Comma 34" xfId="4279"/>
    <cellStyle name="Comma 35" xfId="4280"/>
    <cellStyle name="Comma 35 2" xfId="4281"/>
    <cellStyle name="Comma 35_Base Partes Relacionadas" xfId="4282"/>
    <cellStyle name="Comma 36" xfId="4283"/>
    <cellStyle name="Comma 37" xfId="4284"/>
    <cellStyle name="Comma 38" xfId="4285"/>
    <cellStyle name="Comma 39" xfId="4286"/>
    <cellStyle name="Comma 4" xfId="119"/>
    <cellStyle name="Comma 4 2" xfId="4287"/>
    <cellStyle name="Comma 4 3" xfId="4288"/>
    <cellStyle name="Comma 4 4" xfId="4289"/>
    <cellStyle name="Comma 4 5" xfId="4290"/>
    <cellStyle name="Comma 4 6" xfId="4291"/>
    <cellStyle name="Comma 4 7" xfId="4292"/>
    <cellStyle name="Comma 4 8" xfId="21550"/>
    <cellStyle name="Comma 4_13-Endividamento" xfId="4293"/>
    <cellStyle name="Comma 40" xfId="4294"/>
    <cellStyle name="Comma 41" xfId="4295"/>
    <cellStyle name="Comma 42" xfId="4296"/>
    <cellStyle name="Comma 43" xfId="4297"/>
    <cellStyle name="Comma 44" xfId="4298"/>
    <cellStyle name="Comma 45" xfId="4299"/>
    <cellStyle name="Comma 46" xfId="4300"/>
    <cellStyle name="Comma 47" xfId="4301"/>
    <cellStyle name="Comma 48" xfId="4302"/>
    <cellStyle name="Comma 49" xfId="4303"/>
    <cellStyle name="Comma 5" xfId="4304"/>
    <cellStyle name="Comma 5 2" xfId="4305"/>
    <cellStyle name="Comma 5 2 2" xfId="4306"/>
    <cellStyle name="Comma 5 2_13-Endividamento" xfId="4307"/>
    <cellStyle name="Comma 5 3" xfId="4308"/>
    <cellStyle name="Comma 5_13-Endividamento" xfId="4309"/>
    <cellStyle name="Comma 50" xfId="4310"/>
    <cellStyle name="Comma 51" xfId="4311"/>
    <cellStyle name="Comma 52" xfId="4312"/>
    <cellStyle name="Comma 53" xfId="4313"/>
    <cellStyle name="Comma 54" xfId="4314"/>
    <cellStyle name="Comma 55" xfId="4315"/>
    <cellStyle name="Comma 56" xfId="4316"/>
    <cellStyle name="Comma 57" xfId="4317"/>
    <cellStyle name="Comma 58" xfId="4318"/>
    <cellStyle name="Comma 59" xfId="4319"/>
    <cellStyle name="Comma 6" xfId="4320"/>
    <cellStyle name="Comma 6 2" xfId="4321"/>
    <cellStyle name="Comma 6_13-Endividamento" xfId="4322"/>
    <cellStyle name="Comma 60" xfId="4323"/>
    <cellStyle name="Comma 61" xfId="4324"/>
    <cellStyle name="Comma 62" xfId="4325"/>
    <cellStyle name="Comma 63" xfId="4326"/>
    <cellStyle name="Comma 64" xfId="4327"/>
    <cellStyle name="Comma 65" xfId="4328"/>
    <cellStyle name="Comma 66" xfId="4329"/>
    <cellStyle name="Comma 67" xfId="4330"/>
    <cellStyle name="Comma 68" xfId="4331"/>
    <cellStyle name="Comma 69" xfId="4332"/>
    <cellStyle name="Comma 7" xfId="4333"/>
    <cellStyle name="Comma 7 2" xfId="4334"/>
    <cellStyle name="Comma 7_13-Endividamento" xfId="4335"/>
    <cellStyle name="Comma 70" xfId="4336"/>
    <cellStyle name="Comma 71" xfId="4337"/>
    <cellStyle name="Comma 72" xfId="4338"/>
    <cellStyle name="Comma 73" xfId="4339"/>
    <cellStyle name="Comma 74" xfId="4340"/>
    <cellStyle name="Comma 75" xfId="4341"/>
    <cellStyle name="Comma 76" xfId="4342"/>
    <cellStyle name="Comma 77" xfId="4343"/>
    <cellStyle name="Comma 78" xfId="4344"/>
    <cellStyle name="Comma 79" xfId="4345"/>
    <cellStyle name="Comma 8" xfId="4346"/>
    <cellStyle name="Comma 8 2" xfId="4347"/>
    <cellStyle name="Comma 8_13-Endividamento" xfId="4348"/>
    <cellStyle name="Comma 80" xfId="4349"/>
    <cellStyle name="Comma 81" xfId="21302"/>
    <cellStyle name="Comma 81 2" xfId="21355"/>
    <cellStyle name="Comma 81 2 2" xfId="21482"/>
    <cellStyle name="Comma 81 3" xfId="21445"/>
    <cellStyle name="Comma 82" xfId="21304"/>
    <cellStyle name="Comma 82 2" xfId="21357"/>
    <cellStyle name="Comma 82 2 2" xfId="21484"/>
    <cellStyle name="Comma 82 3" xfId="21447"/>
    <cellStyle name="Comma 83" xfId="21311"/>
    <cellStyle name="Comma 84" xfId="21362"/>
    <cellStyle name="Comma 85" xfId="21380"/>
    <cellStyle name="Comma 86" xfId="21385"/>
    <cellStyle name="Comma 87" xfId="21401"/>
    <cellStyle name="Comma 88" xfId="21443"/>
    <cellStyle name="Comma 89" xfId="21493"/>
    <cellStyle name="Comma 9" xfId="4350"/>
    <cellStyle name="Comma 9 2" xfId="4351"/>
    <cellStyle name="Comma 9 3" xfId="4352"/>
    <cellStyle name="Comma 9_Base Partes Relacionadas" xfId="4353"/>
    <cellStyle name="Comma 90" xfId="21559"/>
    <cellStyle name="Comma_ODPV_Model (5)" xfId="38"/>
    <cellStyle name="Comma0" xfId="4354"/>
    <cellStyle name="Comma0 - Estilo2" xfId="4355"/>
    <cellStyle name="Comma0 - Estilo2 2" xfId="4356"/>
    <cellStyle name="Comma0 - Estilo2 3" xfId="4357"/>
    <cellStyle name="Comma0 - Estilo2_13-Endividamento" xfId="4358"/>
    <cellStyle name="Comma0 - Estilo3" xfId="4359"/>
    <cellStyle name="Comma0 - Modelo1" xfId="4360"/>
    <cellStyle name="Comma0 - Modelo1 2" xfId="4361"/>
    <cellStyle name="Comma0 - Modelo1 3" xfId="4362"/>
    <cellStyle name="Comma0 - Modelo1_Base Partes Relacionadas" xfId="4363"/>
    <cellStyle name="Comma0 - Style1" xfId="4364"/>
    <cellStyle name="Comma0 - Style1 2" xfId="4365"/>
    <cellStyle name="Comma0 - Style1 3" xfId="4366"/>
    <cellStyle name="Comma0 - Style1_Base Partes Relacionadas" xfId="4367"/>
    <cellStyle name="Comma0 2" xfId="4368"/>
    <cellStyle name="Comma0_Base Partes Relacionadas" xfId="4369"/>
    <cellStyle name="Comma1 - Estilo1" xfId="4370"/>
    <cellStyle name="Comma1 - Modelo2" xfId="4371"/>
    <cellStyle name="Comma1 - Modelo2 2" xfId="4372"/>
    <cellStyle name="Comma1 - Modelo2 3" xfId="4373"/>
    <cellStyle name="Comma1 - Modelo2_Base Partes Relacionadas" xfId="4374"/>
    <cellStyle name="Comma1 - Style2" xfId="4375"/>
    <cellStyle name="Comma1 - Style2 2" xfId="4376"/>
    <cellStyle name="Comma1 - Style2 3" xfId="4377"/>
    <cellStyle name="Comma1 - Style2_Base Partes Relacionadas" xfId="4378"/>
    <cellStyle name="Company Name" xfId="4379"/>
    <cellStyle name="Company Name 2" xfId="4380"/>
    <cellStyle name="Company Name 3" xfId="4381"/>
    <cellStyle name="Company Name_Base Partes Relacionadas" xfId="4382"/>
    <cellStyle name="CompanyName" xfId="4383"/>
    <cellStyle name="CompanyName 2" xfId="4384"/>
    <cellStyle name="CompanyName 3" xfId="4385"/>
    <cellStyle name="CompanyName 4" xfId="4386"/>
    <cellStyle name="CompanyName 5" xfId="4387"/>
    <cellStyle name="CompanyName_13-Endividamento" xfId="4388"/>
    <cellStyle name="Cur" xfId="145"/>
    <cellStyle name="Curren - Style2" xfId="4389"/>
    <cellStyle name="Curren - Style2 2" xfId="4390"/>
    <cellStyle name="Curren - Style2 3" xfId="4391"/>
    <cellStyle name="Curren - Style2_Base Partes Relacionadas" xfId="4392"/>
    <cellStyle name="Currency" xfId="39" builtinId="4"/>
    <cellStyle name="Currency 0.0" xfId="4393"/>
    <cellStyle name="Currency 0.00" xfId="4394"/>
    <cellStyle name="Currency 0.000" xfId="4395"/>
    <cellStyle name="Currency 10" xfId="21442"/>
    <cellStyle name="Currency 13" xfId="4396"/>
    <cellStyle name="Currency 2" xfId="182"/>
    <cellStyle name="Currency 2 2" xfId="4397"/>
    <cellStyle name="Currency 2_Base Partes Relacionadas" xfId="4398"/>
    <cellStyle name="Currency 23" xfId="4399"/>
    <cellStyle name="Currency 24" xfId="4400"/>
    <cellStyle name="Currency 3" xfId="21313"/>
    <cellStyle name="Currency 33" xfId="4401"/>
    <cellStyle name="Currency 38" xfId="4402"/>
    <cellStyle name="Currency 39" xfId="4403"/>
    <cellStyle name="Currency 4" xfId="21363"/>
    <cellStyle name="Currency 5" xfId="4404"/>
    <cellStyle name="Currency 5 2" xfId="4405"/>
    <cellStyle name="Currency 5_Base Partes Relacionadas" xfId="4406"/>
    <cellStyle name="Currency 6" xfId="21381"/>
    <cellStyle name="Currency 7" xfId="21384"/>
    <cellStyle name="Currency 8" xfId="146"/>
    <cellStyle name="Currency 9" xfId="21402"/>
    <cellStyle name="Currency0" xfId="4407"/>
    <cellStyle name="Currency0 2" xfId="4408"/>
    <cellStyle name="Currency0_Base Partes Relacionadas" xfId="4409"/>
    <cellStyle name="Dash" xfId="4410"/>
    <cellStyle name="Dash 2" xfId="4411"/>
    <cellStyle name="Dash 3" xfId="4412"/>
    <cellStyle name="Dash 4" xfId="4413"/>
    <cellStyle name="Dash 5" xfId="4414"/>
    <cellStyle name="Dash_13-Endividamento" xfId="4415"/>
    <cellStyle name="Data" xfId="4416"/>
    <cellStyle name="Date" xfId="4417"/>
    <cellStyle name="Dezimal [0]_Compiling Utility Macros" xfId="4418"/>
    <cellStyle name="Dezimal_Compiling Utility Macros" xfId="4419"/>
    <cellStyle name="Dia" xfId="4420"/>
    <cellStyle name="Dia 2" xfId="4421"/>
    <cellStyle name="Dia 3" xfId="4422"/>
    <cellStyle name="Dia_Base Partes Relacionadas" xfId="4423"/>
    <cellStyle name="Dollar" xfId="4424"/>
    <cellStyle name="Dollar 2" xfId="4425"/>
    <cellStyle name="Dollar 3" xfId="4426"/>
    <cellStyle name="Dollar 4" xfId="4427"/>
    <cellStyle name="Dollar 5" xfId="4428"/>
    <cellStyle name="Dollar_ Pies " xfId="21390"/>
    <cellStyle name="Eliana" xfId="4429"/>
    <cellStyle name="Encabez1" xfId="4430"/>
    <cellStyle name="Encabez1 2" xfId="4431"/>
    <cellStyle name="Encabez1 3" xfId="4432"/>
    <cellStyle name="Encabez1_Base Partes Relacionadas" xfId="4433"/>
    <cellStyle name="Encabez2" xfId="4434"/>
    <cellStyle name="Encabez2 2" xfId="4435"/>
    <cellStyle name="Encabez2 3" xfId="4436"/>
    <cellStyle name="Encabez2_Base Partes Relacionadas" xfId="4437"/>
    <cellStyle name="Ênfase1 10" xfId="4438"/>
    <cellStyle name="Ênfase1 2" xfId="4439"/>
    <cellStyle name="Ênfase1 2 2" xfId="4440"/>
    <cellStyle name="Ênfase1 2 3" xfId="4441"/>
    <cellStyle name="Ênfase1 2 4" xfId="4442"/>
    <cellStyle name="Ênfase1 2 5" xfId="4443"/>
    <cellStyle name="Ênfase1 2 6" xfId="4444"/>
    <cellStyle name="Ênfase1 2 7" xfId="4445"/>
    <cellStyle name="Ênfase1 2 8" xfId="21519"/>
    <cellStyle name="Ênfase1 2_11_Combinação de neg. Zanin" xfId="4446"/>
    <cellStyle name="Ênfase1 3" xfId="4447"/>
    <cellStyle name="Ênfase1 3 2" xfId="4448"/>
    <cellStyle name="Ênfase1 3 3" xfId="4449"/>
    <cellStyle name="Ênfase1 3 4" xfId="4450"/>
    <cellStyle name="Ênfase1 3_13-Endividamento" xfId="4451"/>
    <cellStyle name="Ênfase1 4" xfId="4452"/>
    <cellStyle name="Ênfase1 4 2" xfId="4453"/>
    <cellStyle name="Ênfase1 4 3" xfId="4454"/>
    <cellStyle name="Ênfase1 4 4" xfId="4455"/>
    <cellStyle name="Ênfase1 4_13-Endividamento" xfId="4456"/>
    <cellStyle name="Ênfase1 5" xfId="4457"/>
    <cellStyle name="Ênfase1 5 2" xfId="4458"/>
    <cellStyle name="Ênfase1 5 3" xfId="4459"/>
    <cellStyle name="Ênfase1 5 4" xfId="4460"/>
    <cellStyle name="Ênfase1 5_13-Endividamento" xfId="4461"/>
    <cellStyle name="Ênfase1 6" xfId="4462"/>
    <cellStyle name="Ênfase1 6 2" xfId="4463"/>
    <cellStyle name="Ênfase1 6 3" xfId="4464"/>
    <cellStyle name="Ênfase1 6 4" xfId="4465"/>
    <cellStyle name="Ênfase1 6_13-Endividamento" xfId="4466"/>
    <cellStyle name="Ênfase1 7" xfId="4467"/>
    <cellStyle name="Ênfase1 7 2" xfId="4468"/>
    <cellStyle name="Ênfase1 7 3" xfId="4469"/>
    <cellStyle name="Ênfase1 7 4" xfId="4470"/>
    <cellStyle name="Ênfase1 7_13-Endividamento" xfId="4471"/>
    <cellStyle name="Ênfase1 8" xfId="4472"/>
    <cellStyle name="Ênfase1 9" xfId="4473"/>
    <cellStyle name="Ênfase2 10" xfId="4474"/>
    <cellStyle name="Ênfase2 2" xfId="4475"/>
    <cellStyle name="Ênfase2 2 2" xfId="4476"/>
    <cellStyle name="Ênfase2 2 3" xfId="4477"/>
    <cellStyle name="Ênfase2 2 4" xfId="4478"/>
    <cellStyle name="Ênfase2 2 5" xfId="4479"/>
    <cellStyle name="Ênfase2 2 6" xfId="4480"/>
    <cellStyle name="Ênfase2 2 7" xfId="4481"/>
    <cellStyle name="Ênfase2 2 8" xfId="21520"/>
    <cellStyle name="Ênfase2 2_11_Combinação de neg. Zanin" xfId="4482"/>
    <cellStyle name="Ênfase2 3" xfId="4483"/>
    <cellStyle name="Ênfase2 3 2" xfId="4484"/>
    <cellStyle name="Ênfase2 3 3" xfId="4485"/>
    <cellStyle name="Ênfase2 3 4" xfId="4486"/>
    <cellStyle name="Ênfase2 3_13-Endividamento" xfId="4487"/>
    <cellStyle name="Ênfase2 4" xfId="4488"/>
    <cellStyle name="Ênfase2 4 2" xfId="4489"/>
    <cellStyle name="Ênfase2 4 3" xfId="4490"/>
    <cellStyle name="Ênfase2 4 4" xfId="4491"/>
    <cellStyle name="Ênfase2 4_13-Endividamento" xfId="4492"/>
    <cellStyle name="Ênfase2 5" xfId="4493"/>
    <cellStyle name="Ênfase2 5 2" xfId="4494"/>
    <cellStyle name="Ênfase2 5 3" xfId="4495"/>
    <cellStyle name="Ênfase2 5 4" xfId="4496"/>
    <cellStyle name="Ênfase2 5_13-Endividamento" xfId="4497"/>
    <cellStyle name="Ênfase2 6" xfId="4498"/>
    <cellStyle name="Ênfase2 6 2" xfId="4499"/>
    <cellStyle name="Ênfase2 6 3" xfId="4500"/>
    <cellStyle name="Ênfase2 6 4" xfId="4501"/>
    <cellStyle name="Ênfase2 6_13-Endividamento" xfId="4502"/>
    <cellStyle name="Ênfase2 7" xfId="4503"/>
    <cellStyle name="Ênfase2 7 2" xfId="4504"/>
    <cellStyle name="Ênfase2 7 3" xfId="4505"/>
    <cellStyle name="Ênfase2 7 4" xfId="4506"/>
    <cellStyle name="Ênfase2 7_13-Endividamento" xfId="4507"/>
    <cellStyle name="Ênfase2 8" xfId="4508"/>
    <cellStyle name="Ênfase2 9" xfId="4509"/>
    <cellStyle name="Ênfase3 10" xfId="4510"/>
    <cellStyle name="Ênfase3 2" xfId="4511"/>
    <cellStyle name="Ênfase3 2 2" xfId="4512"/>
    <cellStyle name="Ênfase3 2 3" xfId="4513"/>
    <cellStyle name="Ênfase3 2 4" xfId="4514"/>
    <cellStyle name="Ênfase3 2 5" xfId="4515"/>
    <cellStyle name="Ênfase3 2 6" xfId="4516"/>
    <cellStyle name="Ênfase3 2 7" xfId="4517"/>
    <cellStyle name="Ênfase3 2 8" xfId="21521"/>
    <cellStyle name="Ênfase3 2_11_Combinação de neg. Zanin" xfId="4518"/>
    <cellStyle name="Ênfase3 3" xfId="4519"/>
    <cellStyle name="Ênfase3 3 2" xfId="4520"/>
    <cellStyle name="Ênfase3 3 3" xfId="4521"/>
    <cellStyle name="Ênfase3 3 4" xfId="4522"/>
    <cellStyle name="Ênfase3 3_13-Endividamento" xfId="4523"/>
    <cellStyle name="Ênfase3 4" xfId="4524"/>
    <cellStyle name="Ênfase3 4 2" xfId="4525"/>
    <cellStyle name="Ênfase3 4 3" xfId="4526"/>
    <cellStyle name="Ênfase3 4 4" xfId="4527"/>
    <cellStyle name="Ênfase3 4_13-Endividamento" xfId="4528"/>
    <cellStyle name="Ênfase3 5" xfId="4529"/>
    <cellStyle name="Ênfase3 5 2" xfId="4530"/>
    <cellStyle name="Ênfase3 5 3" xfId="4531"/>
    <cellStyle name="Ênfase3 5 4" xfId="4532"/>
    <cellStyle name="Ênfase3 5_13-Endividamento" xfId="4533"/>
    <cellStyle name="Ênfase3 6" xfId="4534"/>
    <cellStyle name="Ênfase3 6 2" xfId="4535"/>
    <cellStyle name="Ênfase3 6 3" xfId="4536"/>
    <cellStyle name="Ênfase3 6 4" xfId="4537"/>
    <cellStyle name="Ênfase3 6_13-Endividamento" xfId="4538"/>
    <cellStyle name="Ênfase3 7" xfId="4539"/>
    <cellStyle name="Ênfase3 7 2" xfId="4540"/>
    <cellStyle name="Ênfase3 7 3" xfId="4541"/>
    <cellStyle name="Ênfase3 7 4" xfId="4542"/>
    <cellStyle name="Ênfase3 7_13-Endividamento" xfId="4543"/>
    <cellStyle name="Ênfase3 8" xfId="4544"/>
    <cellStyle name="Ênfase3 9" xfId="4545"/>
    <cellStyle name="Ênfase4 10" xfId="4546"/>
    <cellStyle name="Ênfase4 2" xfId="4547"/>
    <cellStyle name="Ênfase4 2 2" xfId="4548"/>
    <cellStyle name="Ênfase4 2 3" xfId="4549"/>
    <cellStyle name="Ênfase4 2 4" xfId="4550"/>
    <cellStyle name="Ênfase4 2 5" xfId="4551"/>
    <cellStyle name="Ênfase4 2 6" xfId="4552"/>
    <cellStyle name="Ênfase4 2 7" xfId="4553"/>
    <cellStyle name="Ênfase4 2 8" xfId="21522"/>
    <cellStyle name="Ênfase4 2_11_Combinação de neg. Zanin" xfId="4554"/>
    <cellStyle name="Ênfase4 3" xfId="4555"/>
    <cellStyle name="Ênfase4 3 2" xfId="4556"/>
    <cellStyle name="Ênfase4 3 3" xfId="4557"/>
    <cellStyle name="Ênfase4 3 4" xfId="4558"/>
    <cellStyle name="Ênfase4 3_13-Endividamento" xfId="4559"/>
    <cellStyle name="Ênfase4 4" xfId="4560"/>
    <cellStyle name="Ênfase4 4 2" xfId="4561"/>
    <cellStyle name="Ênfase4 4 3" xfId="4562"/>
    <cellStyle name="Ênfase4 4 4" xfId="4563"/>
    <cellStyle name="Ênfase4 4_13-Endividamento" xfId="4564"/>
    <cellStyle name="Ênfase4 5" xfId="4565"/>
    <cellStyle name="Ênfase4 5 2" xfId="4566"/>
    <cellStyle name="Ênfase4 5 3" xfId="4567"/>
    <cellStyle name="Ênfase4 5 4" xfId="4568"/>
    <cellStyle name="Ênfase4 5_13-Endividamento" xfId="4569"/>
    <cellStyle name="Ênfase4 6" xfId="4570"/>
    <cellStyle name="Ênfase4 6 2" xfId="4571"/>
    <cellStyle name="Ênfase4 6 3" xfId="4572"/>
    <cellStyle name="Ênfase4 6 4" xfId="4573"/>
    <cellStyle name="Ênfase4 6_13-Endividamento" xfId="4574"/>
    <cellStyle name="Ênfase4 7" xfId="4575"/>
    <cellStyle name="Ênfase4 7 2" xfId="4576"/>
    <cellStyle name="Ênfase4 7 3" xfId="4577"/>
    <cellStyle name="Ênfase4 7 4" xfId="4578"/>
    <cellStyle name="Ênfase4 7_13-Endividamento" xfId="4579"/>
    <cellStyle name="Ênfase4 8" xfId="4580"/>
    <cellStyle name="Ênfase4 9" xfId="4581"/>
    <cellStyle name="Ênfase5 10" xfId="4582"/>
    <cellStyle name="Ênfase5 2" xfId="4583"/>
    <cellStyle name="Ênfase5 2 2" xfId="4584"/>
    <cellStyle name="Ênfase5 2 3" xfId="4585"/>
    <cellStyle name="Ênfase5 2 4" xfId="4586"/>
    <cellStyle name="Ênfase5 2 5" xfId="4587"/>
    <cellStyle name="Ênfase5 2 6" xfId="4588"/>
    <cellStyle name="Ênfase5 2 7" xfId="4589"/>
    <cellStyle name="Ênfase5 2 8" xfId="21523"/>
    <cellStyle name="Ênfase5 2_11_Combinação de neg. Zanin" xfId="4590"/>
    <cellStyle name="Ênfase5 3" xfId="4591"/>
    <cellStyle name="Ênfase5 3 2" xfId="4592"/>
    <cellStyle name="Ênfase5 3 3" xfId="4593"/>
    <cellStyle name="Ênfase5 3 4" xfId="4594"/>
    <cellStyle name="Ênfase5 3_13-Endividamento" xfId="4595"/>
    <cellStyle name="Ênfase5 4" xfId="4596"/>
    <cellStyle name="Ênfase5 4 2" xfId="4597"/>
    <cellStyle name="Ênfase5 4 3" xfId="4598"/>
    <cellStyle name="Ênfase5 4 4" xfId="4599"/>
    <cellStyle name="Ênfase5 4_13-Endividamento" xfId="4600"/>
    <cellStyle name="Ênfase5 5" xfId="4601"/>
    <cellStyle name="Ênfase5 5 2" xfId="4602"/>
    <cellStyle name="Ênfase5 5 3" xfId="4603"/>
    <cellStyle name="Ênfase5 5 4" xfId="4604"/>
    <cellStyle name="Ênfase5 5_13-Endividamento" xfId="4605"/>
    <cellStyle name="Ênfase5 6" xfId="4606"/>
    <cellStyle name="Ênfase5 6 2" xfId="4607"/>
    <cellStyle name="Ênfase5 6 3" xfId="4608"/>
    <cellStyle name="Ênfase5 6 4" xfId="4609"/>
    <cellStyle name="Ênfase5 6_13-Endividamento" xfId="4610"/>
    <cellStyle name="Ênfase5 7" xfId="4611"/>
    <cellStyle name="Ênfase5 7 2" xfId="4612"/>
    <cellStyle name="Ênfase5 7 3" xfId="4613"/>
    <cellStyle name="Ênfase5 7 4" xfId="4614"/>
    <cellStyle name="Ênfase5 7_13-Endividamento" xfId="4615"/>
    <cellStyle name="Ênfase5 8" xfId="4616"/>
    <cellStyle name="Ênfase5 9" xfId="4617"/>
    <cellStyle name="Ênfase6 10" xfId="4618"/>
    <cellStyle name="Ênfase6 2" xfId="4619"/>
    <cellStyle name="Ênfase6 2 2" xfId="4620"/>
    <cellStyle name="Ênfase6 2 3" xfId="4621"/>
    <cellStyle name="Ênfase6 2 4" xfId="4622"/>
    <cellStyle name="Ênfase6 2 5" xfId="4623"/>
    <cellStyle name="Ênfase6 2 6" xfId="4624"/>
    <cellStyle name="Ênfase6 2 7" xfId="4625"/>
    <cellStyle name="Ênfase6 2 8" xfId="21524"/>
    <cellStyle name="Ênfase6 2_11_Combinação de neg. Zanin" xfId="4626"/>
    <cellStyle name="Ênfase6 3" xfId="4627"/>
    <cellStyle name="Ênfase6 3 2" xfId="4628"/>
    <cellStyle name="Ênfase6 3 3" xfId="4629"/>
    <cellStyle name="Ênfase6 3 4" xfId="4630"/>
    <cellStyle name="Ênfase6 3_13-Endividamento" xfId="4631"/>
    <cellStyle name="Ênfase6 4" xfId="4632"/>
    <cellStyle name="Ênfase6 4 2" xfId="4633"/>
    <cellStyle name="Ênfase6 4 3" xfId="4634"/>
    <cellStyle name="Ênfase6 4 4" xfId="4635"/>
    <cellStyle name="Ênfase6 4_13-Endividamento" xfId="4636"/>
    <cellStyle name="Ênfase6 5" xfId="4637"/>
    <cellStyle name="Ênfase6 5 2" xfId="4638"/>
    <cellStyle name="Ênfase6 5 3" xfId="4639"/>
    <cellStyle name="Ênfase6 5 4" xfId="4640"/>
    <cellStyle name="Ênfase6 5_13-Endividamento" xfId="4641"/>
    <cellStyle name="Ênfase6 6" xfId="4642"/>
    <cellStyle name="Ênfase6 6 2" xfId="4643"/>
    <cellStyle name="Ênfase6 6 3" xfId="4644"/>
    <cellStyle name="Ênfase6 6 4" xfId="4645"/>
    <cellStyle name="Ênfase6 6_13-Endividamento" xfId="4646"/>
    <cellStyle name="Ênfase6 7" xfId="4647"/>
    <cellStyle name="Ênfase6 7 2" xfId="4648"/>
    <cellStyle name="Ênfase6 7 3" xfId="4649"/>
    <cellStyle name="Ênfase6 7 4" xfId="4650"/>
    <cellStyle name="Ênfase6 7_13-Endividamento" xfId="4651"/>
    <cellStyle name="Ênfase6 8" xfId="4652"/>
    <cellStyle name="Ênfase6 9" xfId="4653"/>
    <cellStyle name="Entrada 10" xfId="4654"/>
    <cellStyle name="Entrada 2" xfId="4655"/>
    <cellStyle name="Entrada 2 2" xfId="4656"/>
    <cellStyle name="Entrada 2 2 2" xfId="4657"/>
    <cellStyle name="Entrada 2 2_Base Partes Relacionadas" xfId="4658"/>
    <cellStyle name="Entrada 2 3" xfId="4659"/>
    <cellStyle name="Entrada 2 3 2" xfId="4660"/>
    <cellStyle name="Entrada 2 3_Base Partes Relacionadas" xfId="4661"/>
    <cellStyle name="Entrada 2 4" xfId="4662"/>
    <cellStyle name="Entrada 2 4 2" xfId="4663"/>
    <cellStyle name="Entrada 2 4_Base Partes Relacionadas" xfId="4664"/>
    <cellStyle name="Entrada 2 5" xfId="4665"/>
    <cellStyle name="Entrada 2 5 2" xfId="4666"/>
    <cellStyle name="Entrada 2 5_Base Partes Relacionadas" xfId="4667"/>
    <cellStyle name="Entrada 2 6" xfId="4668"/>
    <cellStyle name="Entrada 2 6 2" xfId="4669"/>
    <cellStyle name="Entrada 2 6_Base Partes Relacionadas" xfId="4670"/>
    <cellStyle name="Entrada 2 7" xfId="4671"/>
    <cellStyle name="Entrada 2 7 2" xfId="4672"/>
    <cellStyle name="Entrada 2 7_Base Partes Relacionadas" xfId="4673"/>
    <cellStyle name="Entrada 2 8" xfId="4674"/>
    <cellStyle name="Entrada 2 9" xfId="21525"/>
    <cellStyle name="Entrada 2_11_Combinação de neg. Zanin" xfId="4675"/>
    <cellStyle name="Entrada 3" xfId="4676"/>
    <cellStyle name="Entrada 3 2" xfId="4677"/>
    <cellStyle name="Entrada 3 2 2" xfId="4678"/>
    <cellStyle name="Entrada 3 2_Base Partes Relacionadas" xfId="4679"/>
    <cellStyle name="Entrada 3 3" xfId="4680"/>
    <cellStyle name="Entrada 3 3 2" xfId="4681"/>
    <cellStyle name="Entrada 3 3_Base Partes Relacionadas" xfId="4682"/>
    <cellStyle name="Entrada 3 4" xfId="4683"/>
    <cellStyle name="Entrada 3 4 2" xfId="4684"/>
    <cellStyle name="Entrada 3 4_Base Partes Relacionadas" xfId="4685"/>
    <cellStyle name="Entrada 3 5" xfId="4686"/>
    <cellStyle name="Entrada 3_13-Endividamento" xfId="4687"/>
    <cellStyle name="Entrada 4" xfId="4688"/>
    <cellStyle name="Entrada 4 2" xfId="4689"/>
    <cellStyle name="Entrada 4 2 2" xfId="4690"/>
    <cellStyle name="Entrada 4 2_Base Partes Relacionadas" xfId="4691"/>
    <cellStyle name="Entrada 4 3" xfId="4692"/>
    <cellStyle name="Entrada 4 3 2" xfId="4693"/>
    <cellStyle name="Entrada 4 3_Base Partes Relacionadas" xfId="4694"/>
    <cellStyle name="Entrada 4 4" xfId="4695"/>
    <cellStyle name="Entrada 4 4 2" xfId="4696"/>
    <cellStyle name="Entrada 4 4_Base Partes Relacionadas" xfId="4697"/>
    <cellStyle name="Entrada 4 5" xfId="4698"/>
    <cellStyle name="Entrada 4_13-Endividamento" xfId="4699"/>
    <cellStyle name="Entrada 5" xfId="4700"/>
    <cellStyle name="Entrada 5 2" xfId="4701"/>
    <cellStyle name="Entrada 5 2 2" xfId="4702"/>
    <cellStyle name="Entrada 5 2_Base Partes Relacionadas" xfId="4703"/>
    <cellStyle name="Entrada 5 3" xfId="4704"/>
    <cellStyle name="Entrada 5 3 2" xfId="4705"/>
    <cellStyle name="Entrada 5 3_Base Partes Relacionadas" xfId="4706"/>
    <cellStyle name="Entrada 5 4" xfId="4707"/>
    <cellStyle name="Entrada 5 4 2" xfId="4708"/>
    <cellStyle name="Entrada 5 4_Base Partes Relacionadas" xfId="4709"/>
    <cellStyle name="Entrada 5 5" xfId="4710"/>
    <cellStyle name="Entrada 5_13-Endividamento" xfId="4711"/>
    <cellStyle name="Entrada 6" xfId="4712"/>
    <cellStyle name="Entrada 6 2" xfId="4713"/>
    <cellStyle name="Entrada 6 2 2" xfId="4714"/>
    <cellStyle name="Entrada 6 2_Base Partes Relacionadas" xfId="4715"/>
    <cellStyle name="Entrada 6 3" xfId="4716"/>
    <cellStyle name="Entrada 6 3 2" xfId="4717"/>
    <cellStyle name="Entrada 6 3_Base Partes Relacionadas" xfId="4718"/>
    <cellStyle name="Entrada 6 4" xfId="4719"/>
    <cellStyle name="Entrada 6 4 2" xfId="4720"/>
    <cellStyle name="Entrada 6 4_Base Partes Relacionadas" xfId="4721"/>
    <cellStyle name="Entrada 6 5" xfId="4722"/>
    <cellStyle name="Entrada 6_13-Endividamento" xfId="4723"/>
    <cellStyle name="Entrada 7" xfId="4724"/>
    <cellStyle name="Entrada 7 2" xfId="4725"/>
    <cellStyle name="Entrada 7 2 2" xfId="4726"/>
    <cellStyle name="Entrada 7 2_Base Partes Relacionadas" xfId="4727"/>
    <cellStyle name="Entrada 7 3" xfId="4728"/>
    <cellStyle name="Entrada 7 3 2" xfId="4729"/>
    <cellStyle name="Entrada 7 3_Base Partes Relacionadas" xfId="4730"/>
    <cellStyle name="Entrada 7 4" xfId="4731"/>
    <cellStyle name="Entrada 7 4 2" xfId="4732"/>
    <cellStyle name="Entrada 7 5" xfId="4733"/>
    <cellStyle name="Entrada 7_13-Endividamento" xfId="4734"/>
    <cellStyle name="Entrada 8" xfId="4735"/>
    <cellStyle name="Entrada 8 2" xfId="4736"/>
    <cellStyle name="Entrada 8_Base Partes Relacionadas" xfId="4737"/>
    <cellStyle name="Entrada 9" xfId="4738"/>
    <cellStyle name="Escondido" xfId="4739"/>
    <cellStyle name="Estilo 1" xfId="4740"/>
    <cellStyle name="Estilo 1 2" xfId="4741"/>
    <cellStyle name="Estilo 1 2 2" xfId="4742"/>
    <cellStyle name="Estilo 1 2 3" xfId="4743"/>
    <cellStyle name="Estilo 1 2 4" xfId="4744"/>
    <cellStyle name="Estilo 1 2_13-Endividamento" xfId="4745"/>
    <cellStyle name="Estilo 1 3" xfId="4746"/>
    <cellStyle name="Estilo 1 4" xfId="4747"/>
    <cellStyle name="Estilo 1 5" xfId="4748"/>
    <cellStyle name="Estilo 1_13-Endividamento" xfId="4749"/>
    <cellStyle name="Euro" xfId="4750"/>
    <cellStyle name="Euro 10" xfId="4751"/>
    <cellStyle name="Euro 11" xfId="4752"/>
    <cellStyle name="Euro 12" xfId="4753"/>
    <cellStyle name="Euro 13" xfId="4754"/>
    <cellStyle name="Euro 14" xfId="4755"/>
    <cellStyle name="Euro 15" xfId="4756"/>
    <cellStyle name="Euro 16" xfId="4757"/>
    <cellStyle name="Euro 17" xfId="4758"/>
    <cellStyle name="Euro 18" xfId="4759"/>
    <cellStyle name="Euro 19" xfId="4760"/>
    <cellStyle name="Euro 2" xfId="4761"/>
    <cellStyle name="Euro 2 2" xfId="4762"/>
    <cellStyle name="Euro 2 2 2" xfId="4763"/>
    <cellStyle name="Euro 2 2 3" xfId="4764"/>
    <cellStyle name="Euro 2 2_13-Endividamento" xfId="4765"/>
    <cellStyle name="Euro 2 3" xfId="4766"/>
    <cellStyle name="Euro 2 4" xfId="4767"/>
    <cellStyle name="Euro 2 5" xfId="4768"/>
    <cellStyle name="Euro 2_13-Endividamento" xfId="4769"/>
    <cellStyle name="Euro 20" xfId="4770"/>
    <cellStyle name="Euro 3" xfId="4771"/>
    <cellStyle name="Euro 3 2" xfId="4772"/>
    <cellStyle name="Euro 3 2 2" xfId="4773"/>
    <cellStyle name="Euro 3 2 3" xfId="4774"/>
    <cellStyle name="Euro 3 2_13-Endividamento" xfId="4775"/>
    <cellStyle name="Euro 3 3" xfId="4776"/>
    <cellStyle name="Euro 3 4" xfId="4777"/>
    <cellStyle name="Euro 3_13-Endividamento" xfId="4778"/>
    <cellStyle name="Euro 4" xfId="4779"/>
    <cellStyle name="Euro 4 2" xfId="4780"/>
    <cellStyle name="Euro 4_13-Endividamento" xfId="4781"/>
    <cellStyle name="Euro 5" xfId="4782"/>
    <cellStyle name="Euro 6" xfId="4783"/>
    <cellStyle name="Euro 7" xfId="4784"/>
    <cellStyle name="Euro 8" xfId="4785"/>
    <cellStyle name="Euro 9" xfId="4786"/>
    <cellStyle name="Euro_13-Endividamento" xfId="4787"/>
    <cellStyle name="Explanatory Text" xfId="40" builtinId="53" customBuiltin="1"/>
    <cellStyle name="Explanatory Text 10" xfId="4788"/>
    <cellStyle name="Explanatory Text 11" xfId="4789"/>
    <cellStyle name="Explanatory Text 12" xfId="4790"/>
    <cellStyle name="Explanatory Text 13" xfId="4791"/>
    <cellStyle name="Explanatory Text 14" xfId="4792"/>
    <cellStyle name="Explanatory Text 15" xfId="4793"/>
    <cellStyle name="Explanatory Text 2" xfId="4794"/>
    <cellStyle name="Explanatory Text 2 2" xfId="4795"/>
    <cellStyle name="Explanatory Text 2 3" xfId="4796"/>
    <cellStyle name="Explanatory Text 2 4" xfId="4797"/>
    <cellStyle name="Explanatory Text 2 5" xfId="4798"/>
    <cellStyle name="Explanatory Text 2 6" xfId="4799"/>
    <cellStyle name="Explanatory Text 2_Base Partes Relacionadas" xfId="4800"/>
    <cellStyle name="Explanatory Text 3" xfId="4801"/>
    <cellStyle name="Explanatory Text 3 2" xfId="4802"/>
    <cellStyle name="Explanatory Text 3 3" xfId="4803"/>
    <cellStyle name="Explanatory Text 3 4" xfId="4804"/>
    <cellStyle name="Explanatory Text 3 5" xfId="4805"/>
    <cellStyle name="Explanatory Text 3_Base Partes Relacionadas" xfId="4806"/>
    <cellStyle name="Explanatory Text 4" xfId="4807"/>
    <cellStyle name="Explanatory Text 5" xfId="4808"/>
    <cellStyle name="Explanatory Text 6" xfId="4809"/>
    <cellStyle name="Explanatory Text 7" xfId="4810"/>
    <cellStyle name="F2" xfId="4811"/>
    <cellStyle name="F2 2" xfId="4812"/>
    <cellStyle name="F2 3" xfId="4813"/>
    <cellStyle name="F2_Base Partes Relacionadas" xfId="4814"/>
    <cellStyle name="F3" xfId="4815"/>
    <cellStyle name="F3 2" xfId="4816"/>
    <cellStyle name="F3 3" xfId="4817"/>
    <cellStyle name="F3_Base Partes Relacionadas" xfId="4818"/>
    <cellStyle name="F4" xfId="4819"/>
    <cellStyle name="F4 2" xfId="4820"/>
    <cellStyle name="F4 3" xfId="4821"/>
    <cellStyle name="F4_Base Partes Relacionadas" xfId="4822"/>
    <cellStyle name="F5" xfId="4823"/>
    <cellStyle name="F5 2" xfId="4824"/>
    <cellStyle name="F5 3" xfId="4825"/>
    <cellStyle name="F5_Base Partes Relacionadas" xfId="4826"/>
    <cellStyle name="F6" xfId="4827"/>
    <cellStyle name="F6 2" xfId="4828"/>
    <cellStyle name="F6 3" xfId="4829"/>
    <cellStyle name="F6_Base Partes Relacionadas" xfId="4830"/>
    <cellStyle name="F7" xfId="4831"/>
    <cellStyle name="F7 2" xfId="4832"/>
    <cellStyle name="F7 3" xfId="4833"/>
    <cellStyle name="F7_Base Partes Relacionadas" xfId="4834"/>
    <cellStyle name="F8" xfId="4835"/>
    <cellStyle name="F8 2" xfId="4836"/>
    <cellStyle name="F8 3" xfId="4837"/>
    <cellStyle name="F8_Base Partes Relacionadas" xfId="4838"/>
    <cellStyle name="Fijo" xfId="4839"/>
    <cellStyle name="Fijo 2" xfId="4840"/>
    <cellStyle name="Fijo 3" xfId="4841"/>
    <cellStyle name="Fijo_Base Partes Relacionadas" xfId="4842"/>
    <cellStyle name="Financiero" xfId="4843"/>
    <cellStyle name="Financiero 2" xfId="4844"/>
    <cellStyle name="Financiero 3" xfId="4845"/>
    <cellStyle name="Financiero_Base Partes Relacionadas" xfId="4846"/>
    <cellStyle name="Fixed" xfId="4847"/>
    <cellStyle name="Fixed 10" xfId="4848"/>
    <cellStyle name="Fixed 11" xfId="4849"/>
    <cellStyle name="Fixed 12" xfId="4850"/>
    <cellStyle name="Fixed 13" xfId="4851"/>
    <cellStyle name="Fixed 14" xfId="4852"/>
    <cellStyle name="Fixed 15" xfId="4853"/>
    <cellStyle name="Fixed 16" xfId="4854"/>
    <cellStyle name="Fixed 17" xfId="4855"/>
    <cellStyle name="Fixed 18" xfId="4856"/>
    <cellStyle name="Fixed 19" xfId="4857"/>
    <cellStyle name="Fixed 2" xfId="4858"/>
    <cellStyle name="Fixed 2 2" xfId="4859"/>
    <cellStyle name="Fixed 2 2 2" xfId="4860"/>
    <cellStyle name="Fixed 2 2 3" xfId="4861"/>
    <cellStyle name="Fixed 2 2 4" xfId="4862"/>
    <cellStyle name="Fixed 2 2_13-Endividamento" xfId="4863"/>
    <cellStyle name="Fixed 2 3" xfId="4864"/>
    <cellStyle name="Fixed 2 3 2" xfId="4865"/>
    <cellStyle name="Fixed 2 3_13-Endividamento" xfId="4866"/>
    <cellStyle name="Fixed 2 4" xfId="4867"/>
    <cellStyle name="Fixed 2 5" xfId="4868"/>
    <cellStyle name="Fixed 2 6" xfId="4869"/>
    <cellStyle name="Fixed 2 7" xfId="4870"/>
    <cellStyle name="Fixed 2_13-Endividamento" xfId="4871"/>
    <cellStyle name="Fixed 20" xfId="4872"/>
    <cellStyle name="Fixed 21" xfId="4873"/>
    <cellStyle name="Fixed 22" xfId="4874"/>
    <cellStyle name="Fixed 23" xfId="4875"/>
    <cellStyle name="Fixed 24" xfId="4876"/>
    <cellStyle name="Fixed 25" xfId="4877"/>
    <cellStyle name="Fixed 26" xfId="4878"/>
    <cellStyle name="Fixed 27" xfId="4879"/>
    <cellStyle name="Fixed 28" xfId="4880"/>
    <cellStyle name="Fixed 29" xfId="4881"/>
    <cellStyle name="Fixed 3" xfId="4882"/>
    <cellStyle name="Fixed 3 2" xfId="4883"/>
    <cellStyle name="Fixed 3 2 2" xfId="4884"/>
    <cellStyle name="Fixed 3 2 3" xfId="4885"/>
    <cellStyle name="Fixed 3 2 4" xfId="4886"/>
    <cellStyle name="Fixed 3 2_13-Endividamento" xfId="4887"/>
    <cellStyle name="Fixed 3 3" xfId="4888"/>
    <cellStyle name="Fixed 3 3 2" xfId="4889"/>
    <cellStyle name="Fixed 3 3_13-Endividamento" xfId="4890"/>
    <cellStyle name="Fixed 3 4" xfId="4891"/>
    <cellStyle name="Fixed 3 5" xfId="4892"/>
    <cellStyle name="Fixed 3 6" xfId="4893"/>
    <cellStyle name="Fixed 3 7" xfId="4894"/>
    <cellStyle name="Fixed 3_13-Endividamento" xfId="4895"/>
    <cellStyle name="Fixed 30" xfId="4896"/>
    <cellStyle name="Fixed 31" xfId="4897"/>
    <cellStyle name="Fixed 32" xfId="4898"/>
    <cellStyle name="Fixed 33" xfId="4899"/>
    <cellStyle name="Fixed 34" xfId="4900"/>
    <cellStyle name="Fixed 35" xfId="4901"/>
    <cellStyle name="Fixed 36" xfId="4902"/>
    <cellStyle name="Fixed 37" xfId="4903"/>
    <cellStyle name="Fixed 38" xfId="4904"/>
    <cellStyle name="Fixed 4" xfId="4905"/>
    <cellStyle name="Fixed 4 2" xfId="4906"/>
    <cellStyle name="Fixed 4 3" xfId="4907"/>
    <cellStyle name="Fixed 4 4" xfId="4908"/>
    <cellStyle name="Fixed 4 5" xfId="4909"/>
    <cellStyle name="Fixed 4_13-Endividamento" xfId="4910"/>
    <cellStyle name="Fixed 5" xfId="4911"/>
    <cellStyle name="Fixed 5 2" xfId="4912"/>
    <cellStyle name="Fixed 5_Base Partes Relacionadas" xfId="4913"/>
    <cellStyle name="Fixed 6" xfId="4914"/>
    <cellStyle name="Fixed 6 2" xfId="4915"/>
    <cellStyle name="Fixed 6_Base Partes Relacionadas" xfId="4916"/>
    <cellStyle name="Fixed 7" xfId="4917"/>
    <cellStyle name="Fixed 8" xfId="4918"/>
    <cellStyle name="Fixed 9" xfId="4919"/>
    <cellStyle name="Fixed_13-Endividamento" xfId="4920"/>
    <cellStyle name="Fixo" xfId="4921"/>
    <cellStyle name="Good" xfId="41" builtinId="26" customBuiltin="1"/>
    <cellStyle name="Good 10" xfId="4922"/>
    <cellStyle name="Good 11" xfId="4923"/>
    <cellStyle name="Good 2" xfId="4924"/>
    <cellStyle name="Good 2 2" xfId="4925"/>
    <cellStyle name="Good 2 3" xfId="4926"/>
    <cellStyle name="Good 2 4" xfId="4927"/>
    <cellStyle name="Good 2 5" xfId="4928"/>
    <cellStyle name="Good 2 6" xfId="4929"/>
    <cellStyle name="Good 2_13-Endividamento" xfId="4930"/>
    <cellStyle name="Good 3" xfId="4931"/>
    <cellStyle name="Good 3 2" xfId="4932"/>
    <cellStyle name="Good 3 3" xfId="4933"/>
    <cellStyle name="Good 3 4" xfId="4934"/>
    <cellStyle name="Good 3 5" xfId="4935"/>
    <cellStyle name="Good 3_Base Partes Relacionadas" xfId="4936"/>
    <cellStyle name="Good 4" xfId="4937"/>
    <cellStyle name="Good 5" xfId="4938"/>
    <cellStyle name="Good 6" xfId="4939"/>
    <cellStyle name="Good 7" xfId="4940"/>
    <cellStyle name="Good 8" xfId="4941"/>
    <cellStyle name="Good 9" xfId="4942"/>
    <cellStyle name="Green" xfId="4943"/>
    <cellStyle name="Grey" xfId="4944"/>
    <cellStyle name="Grey 10" xfId="4945"/>
    <cellStyle name="Grey 11" xfId="4946"/>
    <cellStyle name="Grey 12" xfId="4947"/>
    <cellStyle name="Grey 13" xfId="4948"/>
    <cellStyle name="Grey 14" xfId="4949"/>
    <cellStyle name="Grey 15" xfId="4950"/>
    <cellStyle name="Grey 16" xfId="4951"/>
    <cellStyle name="Grey 17" xfId="4952"/>
    <cellStyle name="Grey 18" xfId="4953"/>
    <cellStyle name="Grey 19" xfId="4954"/>
    <cellStyle name="Grey 2" xfId="4955"/>
    <cellStyle name="Grey 2 2" xfId="4956"/>
    <cellStyle name="Grey 20" xfId="4957"/>
    <cellStyle name="Grey 21" xfId="4958"/>
    <cellStyle name="Grey 22" xfId="4959"/>
    <cellStyle name="Grey 23" xfId="4960"/>
    <cellStyle name="Grey 24" xfId="4961"/>
    <cellStyle name="Grey 3" xfId="4962"/>
    <cellStyle name="Grey 4" xfId="4963"/>
    <cellStyle name="Grey 5" xfId="4964"/>
    <cellStyle name="Grey 6" xfId="4965"/>
    <cellStyle name="Grey 7" xfId="4966"/>
    <cellStyle name="Grey 8" xfId="4967"/>
    <cellStyle name="Grey 9" xfId="4968"/>
    <cellStyle name="Grey_13-Endividamento" xfId="4969"/>
    <cellStyle name="Grupo" xfId="4970"/>
    <cellStyle name="heade4r" xfId="4971"/>
    <cellStyle name="Header" xfId="4972"/>
    <cellStyle name="header 2" xfId="4973"/>
    <cellStyle name="Header 3" xfId="4974"/>
    <cellStyle name="Header 4" xfId="4975"/>
    <cellStyle name="Header 5" xfId="4976"/>
    <cellStyle name="Header_13-Endividamento" xfId="4977"/>
    <cellStyle name="Header1" xfId="4978"/>
    <cellStyle name="header1 2" xfId="4979"/>
    <cellStyle name="Header1 3" xfId="4980"/>
    <cellStyle name="Header1 4" xfId="4981"/>
    <cellStyle name="Header1 5" xfId="4982"/>
    <cellStyle name="Header1_13-Endividamento" xfId="4983"/>
    <cellStyle name="Header2" xfId="4984"/>
    <cellStyle name="Header2 2" xfId="4985"/>
    <cellStyle name="Header2 2 2" xfId="4986"/>
    <cellStyle name="Header2 3" xfId="4987"/>
    <cellStyle name="Header2 4" xfId="4988"/>
    <cellStyle name="Header2 5" xfId="4989"/>
    <cellStyle name="Header2 6" xfId="4990"/>
    <cellStyle name="Header2_13-Endividamento" xfId="4991"/>
    <cellStyle name="Heading" xfId="4992"/>
    <cellStyle name="Heading 1" xfId="42" builtinId="16" customBuiltin="1"/>
    <cellStyle name="Heading 1 2" xfId="4993"/>
    <cellStyle name="Heading 1 2 2" xfId="4994"/>
    <cellStyle name="Heading 1 2 3" xfId="4995"/>
    <cellStyle name="Heading 1 2 4" xfId="4996"/>
    <cellStyle name="Heading 1 2 5" xfId="4997"/>
    <cellStyle name="Heading 1 2 6" xfId="4998"/>
    <cellStyle name="Heading 1 2_13-Endividamento" xfId="4999"/>
    <cellStyle name="Heading 1 3" xfId="5000"/>
    <cellStyle name="Heading 1 3 2" xfId="5001"/>
    <cellStyle name="Heading 1 3 3" xfId="5002"/>
    <cellStyle name="Heading 1 3 4" xfId="5003"/>
    <cellStyle name="Heading 1 3 5" xfId="5004"/>
    <cellStyle name="Heading 1 3_Base Partes Relacionadas" xfId="5005"/>
    <cellStyle name="Heading 1 4" xfId="5006"/>
    <cellStyle name="Heading 1 5" xfId="5007"/>
    <cellStyle name="Heading 1 6" xfId="5008"/>
    <cellStyle name="Heading 1 7" xfId="5009"/>
    <cellStyle name="Heading 2" xfId="43" builtinId="17" customBuiltin="1"/>
    <cellStyle name="Heading 2 2" xfId="5010"/>
    <cellStyle name="Heading 2 2 2" xfId="5011"/>
    <cellStyle name="Heading 2 2 3" xfId="5012"/>
    <cellStyle name="Heading 2 2 4" xfId="5013"/>
    <cellStyle name="Heading 2 2 5" xfId="5014"/>
    <cellStyle name="Heading 2 2 6" xfId="5015"/>
    <cellStyle name="Heading 2 2_13-Endividamento" xfId="5016"/>
    <cellStyle name="Heading 2 3" xfId="5017"/>
    <cellStyle name="Heading 2 3 2" xfId="5018"/>
    <cellStyle name="Heading 2 3 3" xfId="5019"/>
    <cellStyle name="Heading 2 3 4" xfId="5020"/>
    <cellStyle name="Heading 2 3 5" xfId="5021"/>
    <cellStyle name="Heading 2 3_Base Partes Relacionadas" xfId="5022"/>
    <cellStyle name="Heading 2 4" xfId="5023"/>
    <cellStyle name="Heading 2 5" xfId="5024"/>
    <cellStyle name="Heading 2 6" xfId="5025"/>
    <cellStyle name="Heading 2 7" xfId="5026"/>
    <cellStyle name="Heading 3" xfId="44" builtinId="18" customBuiltin="1"/>
    <cellStyle name="Heading 3 2" xfId="5027"/>
    <cellStyle name="Heading 3 2 2" xfId="5028"/>
    <cellStyle name="Heading 3 2 3" xfId="5029"/>
    <cellStyle name="Heading 3 2 4" xfId="5030"/>
    <cellStyle name="Heading 3 2 5" xfId="5031"/>
    <cellStyle name="Heading 3 2 6" xfId="5032"/>
    <cellStyle name="Heading 3 2_13-Endividamento" xfId="5033"/>
    <cellStyle name="Heading 3 3" xfId="5034"/>
    <cellStyle name="Heading 3 3 2" xfId="5035"/>
    <cellStyle name="Heading 3 3 3" xfId="5036"/>
    <cellStyle name="Heading 3 3 4" xfId="5037"/>
    <cellStyle name="Heading 3 3 5" xfId="5038"/>
    <cellStyle name="Heading 3 3_Base Partes Relacionadas" xfId="5039"/>
    <cellStyle name="Heading 3 4" xfId="5040"/>
    <cellStyle name="Heading 3 5" xfId="5041"/>
    <cellStyle name="Heading 3 6" xfId="5042"/>
    <cellStyle name="Heading 3 7" xfId="5043"/>
    <cellStyle name="Heading 4" xfId="45" builtinId="19" customBuiltin="1"/>
    <cellStyle name="Heading 4 2" xfId="5044"/>
    <cellStyle name="Heading 4 2 2" xfId="5045"/>
    <cellStyle name="Heading 4 2 3" xfId="5046"/>
    <cellStyle name="Heading 4 2 4" xfId="5047"/>
    <cellStyle name="Heading 4 2 5" xfId="5048"/>
    <cellStyle name="Heading 4 2 6" xfId="5049"/>
    <cellStyle name="Heading 4 2_13-Endividamento" xfId="5050"/>
    <cellStyle name="Heading 4 3" xfId="5051"/>
    <cellStyle name="Heading 4 3 2" xfId="5052"/>
    <cellStyle name="Heading 4 3 3" xfId="5053"/>
    <cellStyle name="Heading 4 3 4" xfId="5054"/>
    <cellStyle name="Heading 4 3 5" xfId="5055"/>
    <cellStyle name="Heading 4 3_Base Partes Relacionadas" xfId="5056"/>
    <cellStyle name="Heading 4 4" xfId="5057"/>
    <cellStyle name="Heading 4 5" xfId="5058"/>
    <cellStyle name="Heading 4 6" xfId="5059"/>
    <cellStyle name="Heading 4 7" xfId="5060"/>
    <cellStyle name="Heading 5" xfId="5061"/>
    <cellStyle name="Heading 6" xfId="5062"/>
    <cellStyle name="Heading 7" xfId="5063"/>
    <cellStyle name="Heading 8" xfId="5064"/>
    <cellStyle name="Heading 9" xfId="5065"/>
    <cellStyle name="Heading No Underline" xfId="5066"/>
    <cellStyle name="Heading No Underline 2" xfId="5067"/>
    <cellStyle name="Heading No Underline 3" xfId="5068"/>
    <cellStyle name="Heading No Underline_Base Partes Relacionadas" xfId="5069"/>
    <cellStyle name="Heading With Underline" xfId="5070"/>
    <cellStyle name="Heading With Underline 2" xfId="5071"/>
    <cellStyle name="Heading With Underline 3" xfId="5072"/>
    <cellStyle name="Heading With Underline_Base Partes Relacionadas" xfId="5073"/>
    <cellStyle name="Headings" xfId="5074"/>
    <cellStyle name="hidebold" xfId="5075"/>
    <cellStyle name="hidenorm" xfId="5076"/>
    <cellStyle name="Hipervínculo" xfId="5077"/>
    <cellStyle name="Hipervínculo visitado" xfId="5078"/>
    <cellStyle name="Hipervínculo_Base Partes Relacionadas" xfId="5079"/>
    <cellStyle name="Hyperlink" xfId="46" builtinId="8"/>
    <cellStyle name="Hyperlink 2" xfId="121"/>
    <cellStyle name="Hyperlink 2 2" xfId="5081"/>
    <cellStyle name="Hyperlink 2 3" xfId="5082"/>
    <cellStyle name="Hyperlink 2 4" xfId="5083"/>
    <cellStyle name="Hyperlink 2 5" xfId="5080"/>
    <cellStyle name="Hyperlink 2_13-Endividamento" xfId="5084"/>
    <cellStyle name="Hyperlink 3" xfId="5085"/>
    <cellStyle name="Incorreto 10" xfId="5086"/>
    <cellStyle name="Incorreto 2" xfId="5087"/>
    <cellStyle name="Incorreto 2 2" xfId="5088"/>
    <cellStyle name="Incorreto 2 3" xfId="5089"/>
    <cellStyle name="Incorreto 2 4" xfId="5090"/>
    <cellStyle name="Incorreto 2 5" xfId="5091"/>
    <cellStyle name="Incorreto 2 6" xfId="5092"/>
    <cellStyle name="Incorreto 2 7" xfId="5093"/>
    <cellStyle name="Incorreto 2 8" xfId="21526"/>
    <cellStyle name="Incorreto 2_11_Combinação de neg. Zanin" xfId="5094"/>
    <cellStyle name="Incorreto 3" xfId="5095"/>
    <cellStyle name="Incorreto 3 2" xfId="5096"/>
    <cellStyle name="Incorreto 3 3" xfId="5097"/>
    <cellStyle name="Incorreto 3 4" xfId="5098"/>
    <cellStyle name="Incorreto 3_13-Endividamento" xfId="5099"/>
    <cellStyle name="Incorreto 4" xfId="5100"/>
    <cellStyle name="Incorreto 4 2" xfId="5101"/>
    <cellStyle name="Incorreto 4 3" xfId="5102"/>
    <cellStyle name="Incorreto 4 4" xfId="5103"/>
    <cellStyle name="Incorreto 4_13-Endividamento" xfId="5104"/>
    <cellStyle name="Incorreto 5" xfId="5105"/>
    <cellStyle name="Incorreto 5 2" xfId="5106"/>
    <cellStyle name="Incorreto 5 3" xfId="5107"/>
    <cellStyle name="Incorreto 5 4" xfId="5108"/>
    <cellStyle name="Incorreto 5_13-Endividamento" xfId="5109"/>
    <cellStyle name="Incorreto 6" xfId="5110"/>
    <cellStyle name="Incorreto 6 2" xfId="5111"/>
    <cellStyle name="Incorreto 6 3" xfId="5112"/>
    <cellStyle name="Incorreto 6 4" xfId="5113"/>
    <cellStyle name="Incorreto 6_13-Endividamento" xfId="5114"/>
    <cellStyle name="Incorreto 7" xfId="5115"/>
    <cellStyle name="Incorreto 7 2" xfId="5116"/>
    <cellStyle name="Incorreto 7 3" xfId="5117"/>
    <cellStyle name="Incorreto 7 4" xfId="5118"/>
    <cellStyle name="Incorreto 7_13-Endividamento" xfId="5119"/>
    <cellStyle name="Incorreto 8" xfId="5120"/>
    <cellStyle name="Incorreto 9" xfId="5121"/>
    <cellStyle name="Indefinido" xfId="5122"/>
    <cellStyle name="Indefinido 2" xfId="5123"/>
    <cellStyle name="Indefinido 3" xfId="5124"/>
    <cellStyle name="Indefinido 4" xfId="5125"/>
    <cellStyle name="Indefinido 5" xfId="5126"/>
    <cellStyle name="Indefinido_13-Endividamento" xfId="5127"/>
    <cellStyle name="InLink_Acquis_CapitalCost " xfId="21391"/>
    <cellStyle name="Input" xfId="47" builtinId="20" customBuiltin="1"/>
    <cellStyle name="Input (1dp#)_ Pies " xfId="21392"/>
    <cellStyle name="Input [yellow]" xfId="5128"/>
    <cellStyle name="Input [yellow] 10" xfId="5129"/>
    <cellStyle name="Input [yellow] 10 2" xfId="5130"/>
    <cellStyle name="Input [yellow] 10_Base Partes Relacionadas" xfId="5131"/>
    <cellStyle name="Input [yellow] 11" xfId="5132"/>
    <cellStyle name="Input [yellow] 11 2" xfId="5133"/>
    <cellStyle name="Input [yellow] 11_Base Partes Relacionadas" xfId="5134"/>
    <cellStyle name="Input [yellow] 12" xfId="5135"/>
    <cellStyle name="Input [yellow] 12 2" xfId="5136"/>
    <cellStyle name="Input [yellow] 12_Base Partes Relacionadas" xfId="5137"/>
    <cellStyle name="Input [yellow] 13" xfId="5138"/>
    <cellStyle name="Input [yellow] 13 2" xfId="5139"/>
    <cellStyle name="Input [yellow] 13_Base Partes Relacionadas" xfId="5140"/>
    <cellStyle name="Input [yellow] 14" xfId="5141"/>
    <cellStyle name="Input [yellow] 14 2" xfId="5142"/>
    <cellStyle name="Input [yellow] 14_Base Partes Relacionadas" xfId="5143"/>
    <cellStyle name="Input [yellow] 15" xfId="5144"/>
    <cellStyle name="Input [yellow] 15 2" xfId="5145"/>
    <cellStyle name="Input [yellow] 15_Base Partes Relacionadas" xfId="5146"/>
    <cellStyle name="Input [yellow] 16" xfId="5147"/>
    <cellStyle name="Input [yellow] 16 2" xfId="5148"/>
    <cellStyle name="Input [yellow] 16_Base Partes Relacionadas" xfId="5149"/>
    <cellStyle name="Input [yellow] 17" xfId="5150"/>
    <cellStyle name="Input [yellow] 17 2" xfId="5151"/>
    <cellStyle name="Input [yellow] 17_Base Partes Relacionadas" xfId="5152"/>
    <cellStyle name="Input [yellow] 18" xfId="5153"/>
    <cellStyle name="Input [yellow] 18 2" xfId="5154"/>
    <cellStyle name="Input [yellow] 18_Base Partes Relacionadas" xfId="5155"/>
    <cellStyle name="Input [yellow] 19" xfId="5156"/>
    <cellStyle name="Input [yellow] 19 2" xfId="5157"/>
    <cellStyle name="Input [yellow] 19_Base Partes Relacionadas" xfId="5158"/>
    <cellStyle name="Input [yellow] 2" xfId="5159"/>
    <cellStyle name="Input [yellow] 2 2" xfId="5160"/>
    <cellStyle name="Input [yellow] 2 3" xfId="5161"/>
    <cellStyle name="Input [yellow] 2_Base Partes Relacionadas" xfId="5162"/>
    <cellStyle name="Input [yellow] 20" xfId="5163"/>
    <cellStyle name="Input [yellow] 20 2" xfId="5164"/>
    <cellStyle name="Input [yellow] 20_Base Partes Relacionadas" xfId="5165"/>
    <cellStyle name="Input [yellow] 21" xfId="5166"/>
    <cellStyle name="Input [yellow] 21 2" xfId="5167"/>
    <cellStyle name="Input [yellow] 21_Base Partes Relacionadas" xfId="5168"/>
    <cellStyle name="Input [yellow] 22" xfId="5169"/>
    <cellStyle name="Input [yellow] 22 2" xfId="5170"/>
    <cellStyle name="Input [yellow] 22_Base Partes Relacionadas" xfId="5171"/>
    <cellStyle name="Input [yellow] 23" xfId="5172"/>
    <cellStyle name="Input [yellow] 23 2" xfId="5173"/>
    <cellStyle name="Input [yellow] 23_Base Partes Relacionadas" xfId="5174"/>
    <cellStyle name="Input [yellow] 24" xfId="5175"/>
    <cellStyle name="Input [yellow] 25" xfId="5176"/>
    <cellStyle name="Input [yellow] 3" xfId="5177"/>
    <cellStyle name="Input [yellow] 3 2" xfId="5178"/>
    <cellStyle name="Input [yellow] 3_Base Partes Relacionadas" xfId="5179"/>
    <cellStyle name="Input [yellow] 4" xfId="5180"/>
    <cellStyle name="Input [yellow] 4 2" xfId="5181"/>
    <cellStyle name="Input [yellow] 4_Base Partes Relacionadas" xfId="5182"/>
    <cellStyle name="Input [yellow] 5" xfId="5183"/>
    <cellStyle name="Input [yellow] 5 2" xfId="5184"/>
    <cellStyle name="Input [yellow] 5_Base Partes Relacionadas" xfId="5185"/>
    <cellStyle name="Input [yellow] 6" xfId="5186"/>
    <cellStyle name="Input [yellow] 6 2" xfId="5187"/>
    <cellStyle name="Input [yellow] 6_Base Partes Relacionadas" xfId="5188"/>
    <cellStyle name="Input [yellow] 7" xfId="5189"/>
    <cellStyle name="Input [yellow] 7 2" xfId="5190"/>
    <cellStyle name="Input [yellow] 7_Base Partes Relacionadas" xfId="5191"/>
    <cellStyle name="Input [yellow] 8" xfId="5192"/>
    <cellStyle name="Input [yellow] 8 2" xfId="5193"/>
    <cellStyle name="Input [yellow] 8_Base Partes Relacionadas" xfId="5194"/>
    <cellStyle name="Input [yellow] 9" xfId="5195"/>
    <cellStyle name="Input [yellow] 9 2" xfId="5196"/>
    <cellStyle name="Input [yellow] 9_Base Partes Relacionadas" xfId="5197"/>
    <cellStyle name="Input [yellow]_13-Endividamento" xfId="5198"/>
    <cellStyle name="Input 10" xfId="5199"/>
    <cellStyle name="Input 11" xfId="5200"/>
    <cellStyle name="Input 12" xfId="5201"/>
    <cellStyle name="Input 13" xfId="5202"/>
    <cellStyle name="Input 14" xfId="5203"/>
    <cellStyle name="Input 15" xfId="5204"/>
    <cellStyle name="Input 16" xfId="5205"/>
    <cellStyle name="Input 17" xfId="5206"/>
    <cellStyle name="Input 18" xfId="5207"/>
    <cellStyle name="Input 19" xfId="5208"/>
    <cellStyle name="Input 2" xfId="5209"/>
    <cellStyle name="Input 2 10" xfId="5210"/>
    <cellStyle name="Input 2 10 2" xfId="5211"/>
    <cellStyle name="Input 2 10_Base Partes Relacionadas" xfId="5212"/>
    <cellStyle name="Input 2 11" xfId="5213"/>
    <cellStyle name="Input 2 11 2" xfId="5214"/>
    <cellStyle name="Input 2 11_Base Partes Relacionadas" xfId="5215"/>
    <cellStyle name="Input 2 12" xfId="5216"/>
    <cellStyle name="Input 2 12 2" xfId="5217"/>
    <cellStyle name="Input 2 12_Base Partes Relacionadas" xfId="5218"/>
    <cellStyle name="Input 2 13" xfId="5219"/>
    <cellStyle name="Input 2 13 2" xfId="5220"/>
    <cellStyle name="Input 2 13_Base Partes Relacionadas" xfId="5221"/>
    <cellStyle name="Input 2 14" xfId="5222"/>
    <cellStyle name="Input 2 14 2" xfId="5223"/>
    <cellStyle name="Input 2 14_Base Partes Relacionadas" xfId="5224"/>
    <cellStyle name="Input 2 15" xfId="5225"/>
    <cellStyle name="Input 2 15 2" xfId="5226"/>
    <cellStyle name="Input 2 15_Base Partes Relacionadas" xfId="5227"/>
    <cellStyle name="Input 2 16" xfId="5228"/>
    <cellStyle name="Input 2 16 2" xfId="5229"/>
    <cellStyle name="Input 2 16_Base Partes Relacionadas" xfId="5230"/>
    <cellStyle name="Input 2 17" xfId="5231"/>
    <cellStyle name="Input 2 17 2" xfId="5232"/>
    <cellStyle name="Input 2 17_Base Partes Relacionadas" xfId="5233"/>
    <cellStyle name="Input 2 18" xfId="5234"/>
    <cellStyle name="Input 2 19" xfId="5235"/>
    <cellStyle name="Input 2 2" xfId="5236"/>
    <cellStyle name="Input 2 2 2" xfId="5237"/>
    <cellStyle name="Input 2 2_Base Partes Relacionadas" xfId="5238"/>
    <cellStyle name="Input 2 3" xfId="5239"/>
    <cellStyle name="Input 2 3 2" xfId="5240"/>
    <cellStyle name="Input 2 3_Base Partes Relacionadas" xfId="5241"/>
    <cellStyle name="Input 2 4" xfId="5242"/>
    <cellStyle name="Input 2 4 2" xfId="5243"/>
    <cellStyle name="Input 2 4_Base Partes Relacionadas" xfId="5244"/>
    <cellStyle name="Input 2 5" xfId="5245"/>
    <cellStyle name="Input 2 5 2" xfId="5246"/>
    <cellStyle name="Input 2 5_Base Partes Relacionadas" xfId="5247"/>
    <cellStyle name="Input 2 6" xfId="5248"/>
    <cellStyle name="Input 2 6 2" xfId="5249"/>
    <cellStyle name="Input 2 6_Base Partes Relacionadas" xfId="5250"/>
    <cellStyle name="Input 2 7" xfId="5251"/>
    <cellStyle name="Input 2 7 2" xfId="5252"/>
    <cellStyle name="Input 2 7_Base Partes Relacionadas" xfId="5253"/>
    <cellStyle name="Input 2 8" xfId="5254"/>
    <cellStyle name="Input 2 8 2" xfId="5255"/>
    <cellStyle name="Input 2 8_Base Partes Relacionadas" xfId="5256"/>
    <cellStyle name="Input 2 9" xfId="5257"/>
    <cellStyle name="Input 2 9 2" xfId="5258"/>
    <cellStyle name="Input 2 9_Base Partes Relacionadas" xfId="5259"/>
    <cellStyle name="Input 2_13-Endividamento" xfId="5260"/>
    <cellStyle name="Input 20" xfId="5261"/>
    <cellStyle name="Input 21" xfId="5262"/>
    <cellStyle name="Input 22" xfId="5263"/>
    <cellStyle name="Input 23" xfId="5264"/>
    <cellStyle name="Input 24" xfId="5265"/>
    <cellStyle name="Input 25" xfId="5266"/>
    <cellStyle name="Input 26" xfId="5267"/>
    <cellStyle name="Input 27" xfId="5268"/>
    <cellStyle name="Input 28" xfId="5269"/>
    <cellStyle name="Input 29" xfId="5270"/>
    <cellStyle name="Input 3" xfId="5271"/>
    <cellStyle name="Input 3 2" xfId="5272"/>
    <cellStyle name="Input 3 2 2" xfId="5273"/>
    <cellStyle name="Input 3 2_Base Partes Relacionadas" xfId="5274"/>
    <cellStyle name="Input 3 3" xfId="5275"/>
    <cellStyle name="Input 3 3 2" xfId="5276"/>
    <cellStyle name="Input 3 3_Base Partes Relacionadas" xfId="5277"/>
    <cellStyle name="Input 3 4" xfId="5278"/>
    <cellStyle name="Input 3 4 2" xfId="5279"/>
    <cellStyle name="Input 3 4_Base Partes Relacionadas" xfId="5280"/>
    <cellStyle name="Input 3 5" xfId="5281"/>
    <cellStyle name="Input 3 5 2" xfId="5282"/>
    <cellStyle name="Input 3 5_Base Partes Relacionadas" xfId="5283"/>
    <cellStyle name="Input 3 6" xfId="5284"/>
    <cellStyle name="Input 3 7" xfId="5285"/>
    <cellStyle name="Input 3_13-Endividamento" xfId="5286"/>
    <cellStyle name="Input 30" xfId="5287"/>
    <cellStyle name="Input 31" xfId="5288"/>
    <cellStyle name="Input 32" xfId="5289"/>
    <cellStyle name="Input 33" xfId="5290"/>
    <cellStyle name="Input 34" xfId="5291"/>
    <cellStyle name="Input 35" xfId="5292"/>
    <cellStyle name="Input 36" xfId="5293"/>
    <cellStyle name="Input 37" xfId="5294"/>
    <cellStyle name="Input 38" xfId="5295"/>
    <cellStyle name="Input 39" xfId="5296"/>
    <cellStyle name="Input 4" xfId="5297"/>
    <cellStyle name="Input 40" xfId="5298"/>
    <cellStyle name="Input 41" xfId="5299"/>
    <cellStyle name="Input 42" xfId="5300"/>
    <cellStyle name="Input 43" xfId="5301"/>
    <cellStyle name="Input 44" xfId="5302"/>
    <cellStyle name="Input 45" xfId="5303"/>
    <cellStyle name="Input 46" xfId="5304"/>
    <cellStyle name="Input 47" xfId="5305"/>
    <cellStyle name="Input 48" xfId="5306"/>
    <cellStyle name="Input 49" xfId="5307"/>
    <cellStyle name="Input 5" xfId="5308"/>
    <cellStyle name="Input 50" xfId="5309"/>
    <cellStyle name="Input 51" xfId="5310"/>
    <cellStyle name="Input 52" xfId="5311"/>
    <cellStyle name="Input 53" xfId="5312"/>
    <cellStyle name="Input 54" xfId="5313"/>
    <cellStyle name="Input 55" xfId="5314"/>
    <cellStyle name="Input 56" xfId="5315"/>
    <cellStyle name="Input 57" xfId="5316"/>
    <cellStyle name="Input 58" xfId="5317"/>
    <cellStyle name="Input 59" xfId="5318"/>
    <cellStyle name="Input 6" xfId="5319"/>
    <cellStyle name="Input 60" xfId="5320"/>
    <cellStyle name="Input 61" xfId="5321"/>
    <cellStyle name="Input 62" xfId="5322"/>
    <cellStyle name="Input 63" xfId="5323"/>
    <cellStyle name="Input 64" xfId="5324"/>
    <cellStyle name="Input 65" xfId="5325"/>
    <cellStyle name="Input 66" xfId="5326"/>
    <cellStyle name="Input 67" xfId="5327"/>
    <cellStyle name="Input 68" xfId="5328"/>
    <cellStyle name="Input 69" xfId="5329"/>
    <cellStyle name="Input 7" xfId="5330"/>
    <cellStyle name="Input 70" xfId="5331"/>
    <cellStyle name="Input 71" xfId="5332"/>
    <cellStyle name="Input 72" xfId="5333"/>
    <cellStyle name="Input 73" xfId="5334"/>
    <cellStyle name="Input 74" xfId="5335"/>
    <cellStyle name="Input 75" xfId="5336"/>
    <cellStyle name="Input 76" xfId="5337"/>
    <cellStyle name="Input 77" xfId="5338"/>
    <cellStyle name="Input 78" xfId="5339"/>
    <cellStyle name="Input 79" xfId="5340"/>
    <cellStyle name="Input 8" xfId="5341"/>
    <cellStyle name="Input 80" xfId="5342"/>
    <cellStyle name="Input 81" xfId="5343"/>
    <cellStyle name="Input 82" xfId="5344"/>
    <cellStyle name="Input 83" xfId="5345"/>
    <cellStyle name="Input 84" xfId="5346"/>
    <cellStyle name="Input 85" xfId="5347"/>
    <cellStyle name="Input 86" xfId="5348"/>
    <cellStyle name="Input 87" xfId="5349"/>
    <cellStyle name="Input 88" xfId="5350"/>
    <cellStyle name="Input 89" xfId="5351"/>
    <cellStyle name="Input 9" xfId="5352"/>
    <cellStyle name="Input 90" xfId="5353"/>
    <cellStyle name="Input 91" xfId="5354"/>
    <cellStyle name="Input 92" xfId="5355"/>
    <cellStyle name="Input 93" xfId="5356"/>
    <cellStyle name="Input Cells" xfId="5357"/>
    <cellStyle name="InputBlueFont" xfId="5358"/>
    <cellStyle name="InputBlueFont 2" xfId="5359"/>
    <cellStyle name="InputBlueFont 3" xfId="5360"/>
    <cellStyle name="InputBlueFont_13-Endividamento" xfId="5361"/>
    <cellStyle name="Integer" xfId="5362"/>
    <cellStyle name="Integer 10" xfId="5363"/>
    <cellStyle name="Integer 11" xfId="5364"/>
    <cellStyle name="Integer 12" xfId="5365"/>
    <cellStyle name="Integer 13" xfId="5366"/>
    <cellStyle name="Integer 14" xfId="5367"/>
    <cellStyle name="Integer 15" xfId="5368"/>
    <cellStyle name="Integer 16" xfId="5369"/>
    <cellStyle name="Integer 17" xfId="5370"/>
    <cellStyle name="Integer 18" xfId="5371"/>
    <cellStyle name="Integer 19" xfId="5372"/>
    <cellStyle name="Integer 2" xfId="5373"/>
    <cellStyle name="Integer 2 2" xfId="5374"/>
    <cellStyle name="Integer 2 2 2" xfId="5375"/>
    <cellStyle name="Integer 2 2 3" xfId="5376"/>
    <cellStyle name="Integer 2 2 4" xfId="5377"/>
    <cellStyle name="Integer 2 2_13-Endividamento" xfId="5378"/>
    <cellStyle name="Integer 2 3" xfId="5379"/>
    <cellStyle name="Integer 2 3 2" xfId="5380"/>
    <cellStyle name="Integer 2 3_13-Endividamento" xfId="5381"/>
    <cellStyle name="Integer 2 4" xfId="5382"/>
    <cellStyle name="Integer 2 5" xfId="5383"/>
    <cellStyle name="Integer 2 6" xfId="5384"/>
    <cellStyle name="Integer 2 7" xfId="5385"/>
    <cellStyle name="Integer 2_13-Endividamento" xfId="5386"/>
    <cellStyle name="Integer 20" xfId="5387"/>
    <cellStyle name="Integer 21" xfId="5388"/>
    <cellStyle name="Integer 22" xfId="5389"/>
    <cellStyle name="Integer 23" xfId="5390"/>
    <cellStyle name="Integer 24" xfId="5391"/>
    <cellStyle name="Integer 25" xfId="5392"/>
    <cellStyle name="Integer 26" xfId="5393"/>
    <cellStyle name="Integer 27" xfId="5394"/>
    <cellStyle name="Integer 28" xfId="5395"/>
    <cellStyle name="Integer 29" xfId="5396"/>
    <cellStyle name="Integer 3" xfId="5397"/>
    <cellStyle name="Integer 3 2" xfId="5398"/>
    <cellStyle name="Integer 3 2 2" xfId="5399"/>
    <cellStyle name="Integer 3 2 3" xfId="5400"/>
    <cellStyle name="Integer 3 2 4" xfId="5401"/>
    <cellStyle name="Integer 3 2_13-Endividamento" xfId="5402"/>
    <cellStyle name="Integer 3 3" xfId="5403"/>
    <cellStyle name="Integer 3 3 2" xfId="5404"/>
    <cellStyle name="Integer 3 3_13-Endividamento" xfId="5405"/>
    <cellStyle name="Integer 3 4" xfId="5406"/>
    <cellStyle name="Integer 3 5" xfId="5407"/>
    <cellStyle name="Integer 3 6" xfId="5408"/>
    <cellStyle name="Integer 3 7" xfId="5409"/>
    <cellStyle name="Integer 3_13-Endividamento" xfId="5410"/>
    <cellStyle name="Integer 30" xfId="5411"/>
    <cellStyle name="Integer 31" xfId="5412"/>
    <cellStyle name="Integer 32" xfId="5413"/>
    <cellStyle name="Integer 33" xfId="5414"/>
    <cellStyle name="Integer 34" xfId="5415"/>
    <cellStyle name="Integer 35" xfId="5416"/>
    <cellStyle name="Integer 36" xfId="5417"/>
    <cellStyle name="Integer 37" xfId="5418"/>
    <cellStyle name="Integer 38" xfId="5419"/>
    <cellStyle name="Integer 4" xfId="5420"/>
    <cellStyle name="Integer 4 2" xfId="5421"/>
    <cellStyle name="Integer 4 3" xfId="5422"/>
    <cellStyle name="Integer 4 4" xfId="5423"/>
    <cellStyle name="Integer 4 5" xfId="5424"/>
    <cellStyle name="Integer 4_13-Endividamento" xfId="5425"/>
    <cellStyle name="Integer 5" xfId="5426"/>
    <cellStyle name="Integer 5 2" xfId="5427"/>
    <cellStyle name="Integer 5_15-FINANCEIRAS" xfId="5428"/>
    <cellStyle name="Integer 6" xfId="5429"/>
    <cellStyle name="Integer 6 2" xfId="5430"/>
    <cellStyle name="Integer 6_15-FINANCEIRAS" xfId="5431"/>
    <cellStyle name="Integer 7" xfId="5432"/>
    <cellStyle name="Integer 8" xfId="5433"/>
    <cellStyle name="Integer 9" xfId="5434"/>
    <cellStyle name="Integer_13-Endividamento" xfId="5435"/>
    <cellStyle name="Item" xfId="5436"/>
    <cellStyle name="l]_x000d__x000a_Path=h:_x000d__x000a_Name=Diana Chang_x000d__x000a_DDEApps=nsf,nsg,nsh,ntf,ns2,ors,org_x000d__x000a_SmartIcons=Read Message_x000d__x000a__x000d__x000a__x000d__x000a_[cc:Edit" xfId="5437"/>
    <cellStyle name="l]_x000d__x000a_Path=h:_x000d__x000a_Name=Diana Chang_x000d__x000a_DDEApps=nsf,nsg,nsh,ntf,ns2,ors,org_x000d__x000a_SmartIcons=Read Message_x000d__x000a__x000d__x000a__x000d__x000a_[cc:Edit 2" xfId="5438"/>
    <cellStyle name="l]_x000d__x000a_Path=h:_x000d__x000a_Name=Diana Chang_x000d__x000a_DDEApps=nsf,nsg,nsh,ntf,ns2,ors,org_x000d__x000a_SmartIcons=Read Message_x000d__x000a__x000d__x000a__x000d__x000a_[cc:Edit 3" xfId="5439"/>
    <cellStyle name="l]_x000d__x000a_Path=h:_x000d__x000a_Name=Diana Chang_x000d__x000a_DDEApps=nsf,nsg,nsh,ntf,ns2,ors,org_x000d__x000a_SmartIcons=Read Message_x000d__x000a__x000d__x000a__x000d__x000a_[cc:Edit 4" xfId="5440"/>
    <cellStyle name="l]_x000d__x000a_Path=h:_x000d__x000a_Name=Diana Chang_x000d__x000a_DDEApps=nsf,nsg,nsh,ntf,ns2,ors,org_x000d__x000a_SmartIcons=Read Message_x000d__x000a__x000d__x000a__x000d__x000a_[cc:Edit_13-Endividamento" xfId="5441"/>
    <cellStyle name="Linked Cell" xfId="48" builtinId="24" customBuiltin="1"/>
    <cellStyle name="Linked Cell 2" xfId="5442"/>
    <cellStyle name="Linked Cell 2 2" xfId="5443"/>
    <cellStyle name="Linked Cell 2 2 2" xfId="5444"/>
    <cellStyle name="Linked Cell 2 2_Base Partes Relacionadas" xfId="5445"/>
    <cellStyle name="Linked Cell 2 3" xfId="5446"/>
    <cellStyle name="Linked Cell 2 3 2" xfId="5447"/>
    <cellStyle name="Linked Cell 2 3_Base Partes Relacionadas" xfId="5448"/>
    <cellStyle name="Linked Cell 2 4" xfId="5449"/>
    <cellStyle name="Linked Cell 2 4 2" xfId="5450"/>
    <cellStyle name="Linked Cell 2 4_Base Partes Relacionadas" xfId="5451"/>
    <cellStyle name="Linked Cell 2 5" xfId="5452"/>
    <cellStyle name="Linked Cell 2 5 2" xfId="5453"/>
    <cellStyle name="Linked Cell 2 5_Base Partes Relacionadas" xfId="5454"/>
    <cellStyle name="Linked Cell 2 6" xfId="5455"/>
    <cellStyle name="Linked Cell 2 6 2" xfId="5456"/>
    <cellStyle name="Linked Cell 2 6_Base Partes Relacionadas" xfId="5457"/>
    <cellStyle name="Linked Cell 2_13-Endividamento" xfId="5458"/>
    <cellStyle name="Linked Cell 3" xfId="5459"/>
    <cellStyle name="Linked Cell 3 2" xfId="5460"/>
    <cellStyle name="Linked Cell 3 2 2" xfId="5461"/>
    <cellStyle name="Linked Cell 3 2_Base Partes Relacionadas" xfId="5462"/>
    <cellStyle name="Linked Cell 3 3" xfId="5463"/>
    <cellStyle name="Linked Cell 3 3 2" xfId="5464"/>
    <cellStyle name="Linked Cell 3 3_Base Partes Relacionadas" xfId="5465"/>
    <cellStyle name="Linked Cell 3 4" xfId="5466"/>
    <cellStyle name="Linked Cell 3 4 2" xfId="5467"/>
    <cellStyle name="Linked Cell 3 4_Base Partes Relacionadas" xfId="5468"/>
    <cellStyle name="Linked Cell 3 5" xfId="5469"/>
    <cellStyle name="Linked Cell 3 5 2" xfId="5470"/>
    <cellStyle name="Linked Cell 3 5_Base Partes Relacionadas" xfId="5471"/>
    <cellStyle name="Linked Cell 3 6" xfId="5472"/>
    <cellStyle name="Linked Cell 3_15-FINANCEIRAS" xfId="5473"/>
    <cellStyle name="Linked Cell 4" xfId="5474"/>
    <cellStyle name="Linked Cell 5" xfId="5475"/>
    <cellStyle name="Linked Cell 5 2" xfId="5476"/>
    <cellStyle name="Linked Cell 5_Base Partes Relacionadas" xfId="5477"/>
    <cellStyle name="Linked Cell 6" xfId="5478"/>
    <cellStyle name="Linked Cell 7" xfId="5479"/>
    <cellStyle name="Linked Cell 8" xfId="5480"/>
    <cellStyle name="Linked Cell 9" xfId="5481"/>
    <cellStyle name="Linked Cells" xfId="5482"/>
    <cellStyle name="m_Macros (2)_IBM18_Margaux Final Annexe Debt 131101 " xfId="49"/>
    <cellStyle name="m_Macros (2)_IBM18_Margaux Final Annexe Debt 131101  2" xfId="147"/>
    <cellStyle name="m_Macros (2)_Margaux Final Annexe Debt 131101 " xfId="50"/>
    <cellStyle name="m_Macros (2)_Margaux Final Annexe Debt 131101  2" xfId="148"/>
    <cellStyle name="m_Macros (2)_SPAD4_Margaux Final Annexe Debt 131101 " xfId="51"/>
    <cellStyle name="m_Macros (2)_SPAD4_Margaux Final Annexe Debt 131101  2" xfId="149"/>
    <cellStyle name="m_Macros (3)_Ibm21_Margaux Final Annexe Debt 131101 " xfId="52"/>
    <cellStyle name="m_Macros (3)_Margaux Final Annexe Debt 131101 " xfId="53"/>
    <cellStyle name="m_Macros (3)_perry13_Margaux Final Annexe Debt 131101 " xfId="54"/>
    <cellStyle name="m_Macros (3)_perry13_Margaux Final Annexe Debt 131101  2" xfId="150"/>
    <cellStyle name="m_Macros (3)_SPAD4_Margaux Final Annexe Debt 131101 " xfId="55"/>
    <cellStyle name="m_Macros (3)_ZeusCF1_Margaux Final Annexe Debt 131101 " xfId="56"/>
    <cellStyle name="m_Macros_IBM18_Margaux Final Annexe Debt 131101 " xfId="57"/>
    <cellStyle name="m_Macros_IBM18_Margaux Final Annexe Debt 131101  2" xfId="151"/>
    <cellStyle name="m_Macros_Margaux Final Annexe Debt 131101 " xfId="58"/>
    <cellStyle name="m_Macros_Margaux Final Annexe Debt 131101  2" xfId="152"/>
    <cellStyle name="m_Macros_SPAD4_Margaux Final Annexe Debt 131101 " xfId="59"/>
    <cellStyle name="m_Macros_SPAD4_Margaux Final Annexe Debt 131101  2" xfId="153"/>
    <cellStyle name="m_Manager (2)_1_Ibm21_Margaux Final Annexe Debt 131101 " xfId="60"/>
    <cellStyle name="m_Manager (2)_1_Margaux Final Annexe Debt 131101 " xfId="61"/>
    <cellStyle name="m_Manager (2)_1_perry13_Margaux Final Annexe Debt 131101 " xfId="62"/>
    <cellStyle name="m_Manager (2)_1_perry13_Margaux Final Annexe Debt 131101  2" xfId="154"/>
    <cellStyle name="m_Manager (2)_1_SPAD4_Margaux Final Annexe Debt 131101 " xfId="63"/>
    <cellStyle name="m_Manager (2)_1_ZeusCF1_Margaux Final Annexe Debt 131101 " xfId="64"/>
    <cellStyle name="m_Manager (2)_IBM18_Margaux Final Annexe Debt 131101 " xfId="65"/>
    <cellStyle name="m_Manager (2)_IBM18_Margaux Final Annexe Debt 131101  2" xfId="155"/>
    <cellStyle name="m_Manager (2)_Margaux Final Annexe Debt 131101 " xfId="66"/>
    <cellStyle name="m_Manager (2)_Margaux Final Annexe Debt 131101  2" xfId="156"/>
    <cellStyle name="m_Manager (2)_SPAD4_Margaux Final Annexe Debt 131101 " xfId="67"/>
    <cellStyle name="m_Manager (2)_SPAD4_Margaux Final Annexe Debt 131101  2" xfId="157"/>
    <cellStyle name="m_Manager_Margaux Final Annexe Debt 131101 " xfId="68"/>
    <cellStyle name="m_Margaux Final Annexe Debt 131101 " xfId="69"/>
    <cellStyle name="MacroCode" xfId="5483"/>
    <cellStyle name="MainHead" xfId="5484"/>
    <cellStyle name="MainHead 2" xfId="5485"/>
    <cellStyle name="MainHead 3" xfId="5486"/>
    <cellStyle name="MainHead_15-FINANCEIRAS" xfId="5487"/>
    <cellStyle name="měny_Business Plan MCE" xfId="5488"/>
    <cellStyle name="meu" xfId="5489"/>
    <cellStyle name="meu 2" xfId="5490"/>
    <cellStyle name="meu 3" xfId="5491"/>
    <cellStyle name="meu_15-FINANCEIRAS" xfId="5492"/>
    <cellStyle name="Microsoft " xfId="5493"/>
    <cellStyle name="Microsoft  2" xfId="5494"/>
    <cellStyle name="Microsoft  3" xfId="5495"/>
    <cellStyle name="Microsoft _15-FINANCEIRAS" xfId="5496"/>
    <cellStyle name="Microsoft E" xfId="5497"/>
    <cellStyle name="Microsoft E 2" xfId="5498"/>
    <cellStyle name="Microsoft E 3" xfId="5499"/>
    <cellStyle name="Microsoft E 4" xfId="5500"/>
    <cellStyle name="Microsoft E_13-Endividamento" xfId="5501"/>
    <cellStyle name="Microsoft Exc" xfId="5502"/>
    <cellStyle name="Microsoft Exc 2" xfId="5503"/>
    <cellStyle name="Microsoft Exc 3" xfId="5504"/>
    <cellStyle name="Microsoft Exc 4" xfId="5505"/>
    <cellStyle name="Microsoft Exc_13-Endividamento" xfId="5506"/>
    <cellStyle name="Microsoft Excel found an error in the formula you entered. Do you want to accept the correction proposed below?_x000a__x000a_|_x000a__x000a_• To accept the correction, click Yes._x000a_• To close this message and correct the formula yourself, click No." xfId="5507"/>
    <cellStyle name="Microsoft Excel found an error in the formula you entered. Do you want to accept the correction proposed below?_x000a__x000a_|_x000a__x000a_• To accept the correction, click Yes._x000a_• To close this message and correct the formula yourself, click No. 2" xfId="5508"/>
    <cellStyle name="Microsoft Excel found an error in the formula you entered. Do you want to accept the correction proposed below?_x000a__x000a_|_x000a__x000a_• To accept the correction, click Yes._x000a_• To close this message and correct the formula yourself, click No. 2 2" xfId="5509"/>
    <cellStyle name="Microsoft Excel found an error in the formula you entered. Do you want to accept the correction proposed below?_x000a__x000a_|_x000a__x000a_• To accept the correction, click Yes._x000a_• To close this message and correct the formula yourself, click No. 2 3" xfId="5510"/>
    <cellStyle name="Microsoft Excel found an error in the formula you entered. Do you want to accept the correction proposed below?_x000a__x000a_|_x000a__x000a_• To accept the correction, click Yes._x000a_• To close this message and correct the formula yourself, click No. 2 4" xfId="5511"/>
    <cellStyle name="Microsoft Excel found an error in the formula you entered. Do you want to accept the correction proposed below?_x000a__x000a_|_x000a__x000a_• To accept the correction, click Yes._x000a_• To close this message and correct the formula yourself, click No. 2_13-Endividamento" xfId="5512"/>
    <cellStyle name="Microsoft Excel found an error in the formula you entered. Do you want to accept the correction proposed below?_x000a__x000a_|_x000a__x000a_• To accept the correction, click Yes._x000a_• To close this message and correct the formula yourself, click No. 3" xfId="5513"/>
    <cellStyle name="Microsoft Excel found an error in the formula you entered. Do you want to accept the correction proposed below?_x000a__x000a_|_x000a__x000a_• To accept the correction, click Yes._x000a_• To close this message and correct the formula yourself, click No. 4" xfId="5514"/>
    <cellStyle name="Microsoft Excel found an error in the formula you entered. Do you want to accept the correction proposed below?_x000a__x000a_|_x000a__x000a_• To accept the correction, click Yes._x000a_• To close this message and correct the formula yourself, click No. 5" xfId="5515"/>
    <cellStyle name="Microsoft Excel found an error in the formula you entered. Do you want to accept the correction proposed below?_x000a__x000a_|_x000a__x000a_• To accept the correction, click Yes._x000a_• To close this message and correct the formula yourself, click No. 5 2" xfId="5516"/>
    <cellStyle name="Microsoft Excel found an error in the formula you entered. Do you want to accept the correction proposed below?_x000a__x000a_|_x000a__x000a_• To accept the correction, click Yes._x000a_• To close this message and correct the formula yourself, click No. 5_15-FINANCEIRAS" xfId="5517"/>
    <cellStyle name="Microsoft Excel found an error in the formula you entered. Do you want to accept the correction proposed below?_x000a__x000a_|_x000a__x000a_• To accept the correction, click Yes._x000a_• To close this message and correct the formula yourself, click No. 6" xfId="5518"/>
    <cellStyle name="Microsoft Excel found an error in the formula you entered. Do you want to accept the correction proposed below?_x000a__x000a_|_x000a__x000a_• To accept the correction, click Yes._x000a_• To close this message and correct the formula yourself, click No._13-Endividamento" xfId="5519"/>
    <cellStyle name="Mike" xfId="5520"/>
    <cellStyle name="Mike 2" xfId="5521"/>
    <cellStyle name="Mike_15-FINANCEIRAS" xfId="5522"/>
    <cellStyle name="Millares [0]_10 AVERIAS MASIVAS + ANT" xfId="5523"/>
    <cellStyle name="Millares_10 AVERIAS MASIVAS + ANT" xfId="5524"/>
    <cellStyle name="Milliers [0]_amortissement" xfId="5525"/>
    <cellStyle name="Milliers_amortissement" xfId="5526"/>
    <cellStyle name="MLComma0" xfId="158"/>
    <cellStyle name="MLComma0 2" xfId="5527"/>
    <cellStyle name="MLComma0 2 2" xfId="5528"/>
    <cellStyle name="MLComma0 2_15-FINANCEIRAS" xfId="5529"/>
    <cellStyle name="MLComma0 3" xfId="5530"/>
    <cellStyle name="MLComma0 3 2" xfId="5531"/>
    <cellStyle name="MLComma0 3_15-FINANCEIRAS" xfId="5532"/>
    <cellStyle name="MLComma0 4" xfId="5533"/>
    <cellStyle name="MLComma0 5" xfId="21314"/>
    <cellStyle name="MLComma0 6" xfId="21364"/>
    <cellStyle name="MLComma0 7" xfId="21377"/>
    <cellStyle name="MLComma0_15-FINANCEIRAS" xfId="5534"/>
    <cellStyle name="MLDollar0" xfId="5535"/>
    <cellStyle name="MLDollar0 2" xfId="5536"/>
    <cellStyle name="MLDollar0 2 2" xfId="5537"/>
    <cellStyle name="MLDollar0 2_15-FINANCEIRAS" xfId="5538"/>
    <cellStyle name="MLDollar0 3" xfId="5539"/>
    <cellStyle name="MLDollar0 3 2" xfId="5540"/>
    <cellStyle name="MLDollar0 3_15-FINANCEIRAS" xfId="5541"/>
    <cellStyle name="MLDollar0 4" xfId="5542"/>
    <cellStyle name="MLDollar0_15-FINANCEIRAS" xfId="5543"/>
    <cellStyle name="MLEuro0" xfId="5544"/>
    <cellStyle name="MLEuro0 2" xfId="5545"/>
    <cellStyle name="MLEuro0 2 2" xfId="5546"/>
    <cellStyle name="MLEuro0 2_15-FINANCEIRAS" xfId="5547"/>
    <cellStyle name="MLEuro0 3" xfId="5548"/>
    <cellStyle name="MLEuro0 3 2" xfId="5549"/>
    <cellStyle name="MLEuro0 3_15-FINANCEIRAS" xfId="5550"/>
    <cellStyle name="MLEuro0 4" xfId="5551"/>
    <cellStyle name="MLEuro0_15-FINANCEIRAS" xfId="5552"/>
    <cellStyle name="MLMultiple0" xfId="5553"/>
    <cellStyle name="MLMultiple0 2" xfId="5554"/>
    <cellStyle name="MLMultiple0 2 2" xfId="5555"/>
    <cellStyle name="MLMultiple0 2_15-FINANCEIRAS" xfId="5556"/>
    <cellStyle name="MLMultiple0 3" xfId="5557"/>
    <cellStyle name="MLMultiple0 3 2" xfId="5558"/>
    <cellStyle name="MLMultiple0 3_15-FINANCEIRAS" xfId="5559"/>
    <cellStyle name="MLMultiple0 4" xfId="5560"/>
    <cellStyle name="MLMultiple0_15-FINANCEIRAS" xfId="5561"/>
    <cellStyle name="MLPercent0" xfId="5562"/>
    <cellStyle name="MLPercent0 2" xfId="5563"/>
    <cellStyle name="MLPercent0 2 2" xfId="5564"/>
    <cellStyle name="MLPercent0 2_15-FINANCEIRAS" xfId="5565"/>
    <cellStyle name="MLPercent0 3" xfId="5566"/>
    <cellStyle name="MLPercent0 3 2" xfId="5567"/>
    <cellStyle name="MLPercent0 3_15-FINANCEIRAS" xfId="5568"/>
    <cellStyle name="MLPercent0 4" xfId="5569"/>
    <cellStyle name="MLPercent0_15-FINANCEIRAS" xfId="5570"/>
    <cellStyle name="MLPound0" xfId="5571"/>
    <cellStyle name="MLPound0 2" xfId="5572"/>
    <cellStyle name="MLPound0 2 2" xfId="5573"/>
    <cellStyle name="MLPound0 2_15-FINANCEIRAS" xfId="5574"/>
    <cellStyle name="MLPound0 3" xfId="5575"/>
    <cellStyle name="MLPound0 3 2" xfId="5576"/>
    <cellStyle name="MLPound0 3_15-FINANCEIRAS" xfId="5577"/>
    <cellStyle name="MLPound0 4" xfId="5578"/>
    <cellStyle name="MLPound0_15-FINANCEIRAS" xfId="5579"/>
    <cellStyle name="MLYen0" xfId="5580"/>
    <cellStyle name="MLYen0 2" xfId="5581"/>
    <cellStyle name="MLYen0 2 2" xfId="5582"/>
    <cellStyle name="MLYen0 2_15-FINANCEIRAS" xfId="5583"/>
    <cellStyle name="MLYen0 3" xfId="5584"/>
    <cellStyle name="MLYen0 3 2" xfId="5585"/>
    <cellStyle name="MLYen0 3_15-FINANCEIRAS" xfId="5586"/>
    <cellStyle name="MLYen0 4" xfId="5587"/>
    <cellStyle name="MLYen0_15-FINANCEIRAS" xfId="5588"/>
    <cellStyle name="Moeda 2" xfId="5589"/>
    <cellStyle name="Moeda 2 2" xfId="5590"/>
    <cellStyle name="Moeda 2 2 2" xfId="5591"/>
    <cellStyle name="Moeda 2 2 2 2" xfId="5592"/>
    <cellStyle name="Moeda 2 2 2_15-FINANCEIRAS" xfId="5593"/>
    <cellStyle name="Moeda 2 2 3" xfId="5594"/>
    <cellStyle name="Moeda 2 2_15-FINANCEIRAS" xfId="5595"/>
    <cellStyle name="Moeda 2 3" xfId="5596"/>
    <cellStyle name="Moeda 2 3 2" xfId="5597"/>
    <cellStyle name="Moeda 2 3_15-FINANCEIRAS" xfId="5598"/>
    <cellStyle name="Moeda 2 4" xfId="5599"/>
    <cellStyle name="Moeda 2 4 2" xfId="5600"/>
    <cellStyle name="Moeda 2 4_15-FINANCEIRAS" xfId="5601"/>
    <cellStyle name="Moeda 2 5" xfId="5602"/>
    <cellStyle name="Moeda 2 6" xfId="5603"/>
    <cellStyle name="Moeda 2 6 2" xfId="21337"/>
    <cellStyle name="Moeda 2 6 2 2" xfId="21464"/>
    <cellStyle name="Moeda 2 6 3" xfId="21420"/>
    <cellStyle name="Moeda 2 7" xfId="21527"/>
    <cellStyle name="Moeda 2_15-FINANCEIRAS" xfId="5604"/>
    <cellStyle name="Moeda 3" xfId="5605"/>
    <cellStyle name="Moeda 3 2" xfId="5606"/>
    <cellStyle name="Moeda 3 2 2" xfId="5607"/>
    <cellStyle name="Moeda 3 2_15-FINANCEIRAS" xfId="5608"/>
    <cellStyle name="Moeda 3 3" xfId="5609"/>
    <cellStyle name="Moeda 3_15-FINANCEIRAS" xfId="5610"/>
    <cellStyle name="Moneda [0]_10 AVERIAS MASIVAS + ANT" xfId="5611"/>
    <cellStyle name="Moneda_10 AVERIAS MASIVAS + ANT" xfId="5612"/>
    <cellStyle name="Monétaire [0]_amortissement" xfId="5613"/>
    <cellStyle name="Monétaire_amortissement" xfId="5614"/>
    <cellStyle name="Monetario" xfId="5615"/>
    <cellStyle name="Monetario 2" xfId="5616"/>
    <cellStyle name="Monetario 2 2" xfId="5617"/>
    <cellStyle name="Monetario 2_15-FINANCEIRAS" xfId="5618"/>
    <cellStyle name="Monetario 3" xfId="5619"/>
    <cellStyle name="Monetario 3 2" xfId="5620"/>
    <cellStyle name="Monetario 3_15-FINANCEIRAS" xfId="5621"/>
    <cellStyle name="Monetario 4" xfId="5622"/>
    <cellStyle name="Monetario_15-FINANCEIRAS" xfId="5623"/>
    <cellStyle name="Multiple [0]" xfId="5624"/>
    <cellStyle name="Multiple [0] 2" xfId="5625"/>
    <cellStyle name="Multiple [0] 2 2" xfId="5626"/>
    <cellStyle name="Multiple [0] 2_15-FINANCEIRAS" xfId="5627"/>
    <cellStyle name="Multiple [0] 3" xfId="5628"/>
    <cellStyle name="Multiple [0]_15-FINANCEIRAS" xfId="5629"/>
    <cellStyle name="Multiple [1]" xfId="5630"/>
    <cellStyle name="Multiple [1] 2" xfId="5631"/>
    <cellStyle name="Multiple [1] 2 2" xfId="5632"/>
    <cellStyle name="Multiple [1] 2_15-FINANCEIRAS" xfId="5633"/>
    <cellStyle name="Multiple [1] 3" xfId="5634"/>
    <cellStyle name="Multiple [1]_15-FINANCEIRAS" xfId="5635"/>
    <cellStyle name="Multiple [2]" xfId="5636"/>
    <cellStyle name="Multiple [2] 2" xfId="5637"/>
    <cellStyle name="Multiple [2] 2 2" xfId="5638"/>
    <cellStyle name="Multiple [2] 2_15-FINANCEIRAS" xfId="5639"/>
    <cellStyle name="Multiple [2] 3" xfId="5640"/>
    <cellStyle name="Multiple [2]_15-FINANCEIRAS" xfId="5641"/>
    <cellStyle name="n_Ibm21_Margaux Final Annexe Debt 131101 " xfId="70"/>
    <cellStyle name="n_IS (functional) and BS " xfId="71"/>
    <cellStyle name="n_IS (traditional) and BS " xfId="72"/>
    <cellStyle name="n_Macros (3)_BPPerry2_Margaux Final Annexe Debt 131101 " xfId="73"/>
    <cellStyle name="n_Macros (3)_IBM18_Margaux Final Annexe Debt 131101 " xfId="74"/>
    <cellStyle name="n_Macros (3)_SPAD4_Margaux Final Annexe Debt 131101 " xfId="75"/>
    <cellStyle name="n_Manager (2)_BPPerry2_Margaux Final Annexe Debt 131101 " xfId="76"/>
    <cellStyle name="n_Manager (2)_IBM18_Margaux Final Annexe Debt 131101 " xfId="77"/>
    <cellStyle name="n_Manager (2)_SPAD4_Margaux Final Annexe Debt 131101 " xfId="78"/>
    <cellStyle name="n_Manager_Ibm21_Margaux Final Annexe Debt 131101 " xfId="79"/>
    <cellStyle name="n_Manager_Margaux Final Annexe Debt 131101 " xfId="80"/>
    <cellStyle name="n_Manager_SPAD4_Margaux Final Annexe Debt 131101 " xfId="81"/>
    <cellStyle name="n_Manager_ZeusCF1_Margaux Final Annexe Debt 131101 " xfId="82"/>
    <cellStyle name="n_Margaux Final Annexe Debt 131101 " xfId="83"/>
    <cellStyle name="n_page 1_IS (functional) and BS " xfId="84"/>
    <cellStyle name="n_perry13_Margaux Final Annexe Debt 131101 " xfId="85"/>
    <cellStyle name="n_perry13_Margaux Final Annexe Debt 131101  2" xfId="159"/>
    <cellStyle name="n_SPAD4_Margaux Final Annexe Debt 131101 " xfId="86"/>
    <cellStyle name="n_ZeusCF1_Margaux Final Annexe Debt 131101 " xfId="87"/>
    <cellStyle name="neg0.0_CapitalCost " xfId="21393"/>
    <cellStyle name="Neutra 10" xfId="5642"/>
    <cellStyle name="Neutra 2" xfId="5643"/>
    <cellStyle name="Neutra 2 2" xfId="5644"/>
    <cellStyle name="Neutra 2 2 2" xfId="5645"/>
    <cellStyle name="Neutra 2 2_15-FINANCEIRAS" xfId="5646"/>
    <cellStyle name="Neutra 2 3" xfId="5647"/>
    <cellStyle name="Neutra 2 3 2" xfId="5648"/>
    <cellStyle name="Neutra 2 3_15-FINANCEIRAS" xfId="5649"/>
    <cellStyle name="Neutra 2 4" xfId="5650"/>
    <cellStyle name="Neutra 2 4 2" xfId="5651"/>
    <cellStyle name="Neutra 2 4_15-FINANCEIRAS" xfId="5652"/>
    <cellStyle name="Neutra 2 5" xfId="5653"/>
    <cellStyle name="Neutra 2 5 2" xfId="5654"/>
    <cellStyle name="Neutra 2 5_15-FINANCEIRAS" xfId="5655"/>
    <cellStyle name="Neutra 2 6" xfId="5656"/>
    <cellStyle name="Neutra 2 6 2" xfId="5657"/>
    <cellStyle name="Neutra 2 6_15-FINANCEIRAS" xfId="5658"/>
    <cellStyle name="Neutra 2 7" xfId="5659"/>
    <cellStyle name="Neutra 2 7 2" xfId="5660"/>
    <cellStyle name="Neutra 2 7_15-FINANCEIRAS" xfId="5661"/>
    <cellStyle name="Neutra 2 8" xfId="5662"/>
    <cellStyle name="Neutra 2 9" xfId="21528"/>
    <cellStyle name="Neutra 2_11_Combinação de neg. Zanin" xfId="5663"/>
    <cellStyle name="Neutra 3" xfId="5664"/>
    <cellStyle name="Neutra 3 2" xfId="5665"/>
    <cellStyle name="Neutra 3 2 2" xfId="5666"/>
    <cellStyle name="Neutra 3 2_15-FINANCEIRAS" xfId="5667"/>
    <cellStyle name="Neutra 3 3" xfId="5668"/>
    <cellStyle name="Neutra 3 3 2" xfId="5669"/>
    <cellStyle name="Neutra 3 3_15-FINANCEIRAS" xfId="5670"/>
    <cellStyle name="Neutra 3 4" xfId="5671"/>
    <cellStyle name="Neutra 3 4 2" xfId="5672"/>
    <cellStyle name="Neutra 3 4_15-FINANCEIRAS" xfId="5673"/>
    <cellStyle name="Neutra 3 5" xfId="5674"/>
    <cellStyle name="Neutra 3_13-Endividamento" xfId="5675"/>
    <cellStyle name="Neutra 4" xfId="5676"/>
    <cellStyle name="Neutra 4 2" xfId="5677"/>
    <cellStyle name="Neutra 4 2 2" xfId="5678"/>
    <cellStyle name="Neutra 4 2_15-FINANCEIRAS" xfId="5679"/>
    <cellStyle name="Neutra 4 3" xfId="5680"/>
    <cellStyle name="Neutra 4 3 2" xfId="5681"/>
    <cellStyle name="Neutra 4 3_15-FINANCEIRAS" xfId="5682"/>
    <cellStyle name="Neutra 4 4" xfId="5683"/>
    <cellStyle name="Neutra 4 4 2" xfId="5684"/>
    <cellStyle name="Neutra 4 4_15-FINANCEIRAS" xfId="5685"/>
    <cellStyle name="Neutra 4 5" xfId="5686"/>
    <cellStyle name="Neutra 4_13-Endividamento" xfId="5687"/>
    <cellStyle name="Neutra 5" xfId="5688"/>
    <cellStyle name="Neutra 5 2" xfId="5689"/>
    <cellStyle name="Neutra 5 2 2" xfId="5690"/>
    <cellStyle name="Neutra 5 2_15-FINANCEIRAS" xfId="5691"/>
    <cellStyle name="Neutra 5 3" xfId="5692"/>
    <cellStyle name="Neutra 5 3 2" xfId="5693"/>
    <cellStyle name="Neutra 5 3_15-FINANCEIRAS" xfId="5694"/>
    <cellStyle name="Neutra 5 4" xfId="5695"/>
    <cellStyle name="Neutra 5 4 2" xfId="5696"/>
    <cellStyle name="Neutra 5 4_15-FINANCEIRAS" xfId="5697"/>
    <cellStyle name="Neutra 5 5" xfId="5698"/>
    <cellStyle name="Neutra 5_13-Endividamento" xfId="5699"/>
    <cellStyle name="Neutra 6" xfId="5700"/>
    <cellStyle name="Neutra 6 2" xfId="5701"/>
    <cellStyle name="Neutra 6 2 2" xfId="5702"/>
    <cellStyle name="Neutra 6 2_15-FINANCEIRAS" xfId="5703"/>
    <cellStyle name="Neutra 6 3" xfId="5704"/>
    <cellStyle name="Neutra 6 3 2" xfId="5705"/>
    <cellStyle name="Neutra 6 3_15-FINANCEIRAS" xfId="5706"/>
    <cellStyle name="Neutra 6 4" xfId="5707"/>
    <cellStyle name="Neutra 6 4 2" xfId="5708"/>
    <cellStyle name="Neutra 6 4_15-FINANCEIRAS" xfId="5709"/>
    <cellStyle name="Neutra 6 5" xfId="5710"/>
    <cellStyle name="Neutra 6_13-Endividamento" xfId="5711"/>
    <cellStyle name="Neutra 7" xfId="5712"/>
    <cellStyle name="Neutra 7 2" xfId="5713"/>
    <cellStyle name="Neutra 7 2 2" xfId="5714"/>
    <cellStyle name="Neutra 7 2_15-FINANCEIRAS" xfId="5715"/>
    <cellStyle name="Neutra 7 3" xfId="5716"/>
    <cellStyle name="Neutra 7 3 2" xfId="5717"/>
    <cellStyle name="Neutra 7 3_15-FINANCEIRAS" xfId="5718"/>
    <cellStyle name="Neutra 7 4" xfId="5719"/>
    <cellStyle name="Neutra 7 4 2" xfId="5720"/>
    <cellStyle name="Neutra 7 4_15-FINANCEIRAS" xfId="5721"/>
    <cellStyle name="Neutra 7 5" xfId="5722"/>
    <cellStyle name="Neutra 7_13-Endividamento" xfId="5723"/>
    <cellStyle name="Neutra 8" xfId="5724"/>
    <cellStyle name="Neutra 8 2" xfId="5725"/>
    <cellStyle name="Neutra 8_15-FINANCEIRAS" xfId="5726"/>
    <cellStyle name="Neutra 9" xfId="5727"/>
    <cellStyle name="Neutral" xfId="88" builtinId="28" customBuiltin="1"/>
    <cellStyle name="Neutral 10" xfId="5728"/>
    <cellStyle name="Neutral 11" xfId="5729"/>
    <cellStyle name="Neutral 2" xfId="5730"/>
    <cellStyle name="Neutral 2 2" xfId="5731"/>
    <cellStyle name="Neutral 2 2 2" xfId="5732"/>
    <cellStyle name="Neutral 2 2_15-FINANCEIRAS" xfId="5733"/>
    <cellStyle name="Neutral 2 3" xfId="5734"/>
    <cellStyle name="Neutral 2 3 2" xfId="5735"/>
    <cellStyle name="Neutral 2 3_15-FINANCEIRAS" xfId="5736"/>
    <cellStyle name="Neutral 2 4" xfId="5737"/>
    <cellStyle name="Neutral 2 4 2" xfId="5738"/>
    <cellStyle name="Neutral 2 4_15-FINANCEIRAS" xfId="5739"/>
    <cellStyle name="Neutral 2 5" xfId="5740"/>
    <cellStyle name="Neutral 2 5 2" xfId="5741"/>
    <cellStyle name="Neutral 2 5_15-FINANCEIRAS" xfId="5742"/>
    <cellStyle name="Neutral 2 6" xfId="5743"/>
    <cellStyle name="Neutral 2 6 2" xfId="5744"/>
    <cellStyle name="Neutral 2 6_15-FINANCEIRAS" xfId="5745"/>
    <cellStyle name="Neutral 2 7" xfId="5746"/>
    <cellStyle name="Neutral 2_13-Endividamento" xfId="5747"/>
    <cellStyle name="Neutral 3" xfId="5748"/>
    <cellStyle name="Neutral 3 2" xfId="5749"/>
    <cellStyle name="Neutral 3 2 2" xfId="5750"/>
    <cellStyle name="Neutral 3 2_15-FINANCEIRAS" xfId="5751"/>
    <cellStyle name="Neutral 3 3" xfId="5752"/>
    <cellStyle name="Neutral 3 3 2" xfId="5753"/>
    <cellStyle name="Neutral 3 3_15-FINANCEIRAS" xfId="5754"/>
    <cellStyle name="Neutral 3 4" xfId="5755"/>
    <cellStyle name="Neutral 3 4 2" xfId="5756"/>
    <cellStyle name="Neutral 3 4_15-FINANCEIRAS" xfId="5757"/>
    <cellStyle name="Neutral 3 5" xfId="5758"/>
    <cellStyle name="Neutral 3 5 2" xfId="5759"/>
    <cellStyle name="Neutral 3 5_15-FINANCEIRAS" xfId="5760"/>
    <cellStyle name="Neutral 3 6" xfId="5761"/>
    <cellStyle name="Neutral 3_15-FINANCEIRAS" xfId="5762"/>
    <cellStyle name="Neutral 4" xfId="5763"/>
    <cellStyle name="Neutral 4 2" xfId="5764"/>
    <cellStyle name="Neutral 4_15-FINANCEIRAS" xfId="5765"/>
    <cellStyle name="Neutral 5" xfId="5766"/>
    <cellStyle name="Neutral 5 2" xfId="5767"/>
    <cellStyle name="Neutral 5_15-FINANCEIRAS" xfId="5768"/>
    <cellStyle name="Neutral 6" xfId="5769"/>
    <cellStyle name="Neutral 6 2" xfId="5770"/>
    <cellStyle name="Neutral 6_15-FINANCEIRAS" xfId="5771"/>
    <cellStyle name="Neutral 7" xfId="5772"/>
    <cellStyle name="Neutral 8" xfId="5773"/>
    <cellStyle name="Neutral 9" xfId="5774"/>
    <cellStyle name="NO" xfId="5775"/>
    <cellStyle name="No Border" xfId="5776"/>
    <cellStyle name="No Border 2" xfId="5777"/>
    <cellStyle name="No Border 2 2" xfId="5778"/>
    <cellStyle name="No Border 2_15-FINANCEIRAS" xfId="5779"/>
    <cellStyle name="No Border 3" xfId="5780"/>
    <cellStyle name="No Border 3 2" xfId="5781"/>
    <cellStyle name="No Border 3_15-FINANCEIRAS" xfId="5782"/>
    <cellStyle name="No Border 4" xfId="5783"/>
    <cellStyle name="No Border 4 2" xfId="5784"/>
    <cellStyle name="No Border 4_15-FINANCEIRAS" xfId="5785"/>
    <cellStyle name="No Border 5" xfId="5786"/>
    <cellStyle name="No Border_13-Endividamento" xfId="5787"/>
    <cellStyle name="no dec" xfId="5788"/>
    <cellStyle name="no dec 2" xfId="5789"/>
    <cellStyle name="no dec_15-FINANCEIRAS" xfId="5790"/>
    <cellStyle name="NO_Base Partes Relacionadas" xfId="5791"/>
    <cellStyle name="Normal" xfId="0" builtinId="0"/>
    <cellStyle name="Normal - Style1" xfId="5792"/>
    <cellStyle name="Normal - Style1 10" xfId="5793"/>
    <cellStyle name="Normal - Style1 10 2" xfId="5794"/>
    <cellStyle name="Normal - Style1 10_15-FINANCEIRAS" xfId="5795"/>
    <cellStyle name="Normal - Style1 11" xfId="5796"/>
    <cellStyle name="Normal - Style1 11 2" xfId="5797"/>
    <cellStyle name="Normal - Style1 11_15-FINANCEIRAS" xfId="5798"/>
    <cellStyle name="Normal - Style1 12" xfId="5799"/>
    <cellStyle name="Normal - Style1 12 2" xfId="5800"/>
    <cellStyle name="Normal - Style1 12_15-FINANCEIRAS" xfId="5801"/>
    <cellStyle name="Normal - Style1 13" xfId="5802"/>
    <cellStyle name="Normal - Style1 13 2" xfId="5803"/>
    <cellStyle name="Normal - Style1 13_15-FINANCEIRAS" xfId="5804"/>
    <cellStyle name="Normal - Style1 14" xfId="5805"/>
    <cellStyle name="Normal - Style1 14 2" xfId="5806"/>
    <cellStyle name="Normal - Style1 14_15-FINANCEIRAS" xfId="5807"/>
    <cellStyle name="Normal - Style1 15" xfId="5808"/>
    <cellStyle name="Normal - Style1 15 2" xfId="5809"/>
    <cellStyle name="Normal - Style1 15_15-FINANCEIRAS" xfId="5810"/>
    <cellStyle name="Normal - Style1 16" xfId="5811"/>
    <cellStyle name="Normal - Style1 16 2" xfId="5812"/>
    <cellStyle name="Normal - Style1 16_15-FINANCEIRAS" xfId="5813"/>
    <cellStyle name="Normal - Style1 17" xfId="5814"/>
    <cellStyle name="Normal - Style1 17 2" xfId="5815"/>
    <cellStyle name="Normal - Style1 17_15-FINANCEIRAS" xfId="5816"/>
    <cellStyle name="Normal - Style1 18" xfId="5817"/>
    <cellStyle name="Normal - Style1 18 2" xfId="5818"/>
    <cellStyle name="Normal - Style1 18_15-FINANCEIRAS" xfId="5819"/>
    <cellStyle name="Normal - Style1 19" xfId="5820"/>
    <cellStyle name="Normal - Style1 19 2" xfId="5821"/>
    <cellStyle name="Normal - Style1 19_15-FINANCEIRAS" xfId="5822"/>
    <cellStyle name="Normal - Style1 2" xfId="5823"/>
    <cellStyle name="Normal - Style1 2 2" xfId="5824"/>
    <cellStyle name="Normal - Style1 2 2 2" xfId="5825"/>
    <cellStyle name="Normal - Style1 2 2 2 2" xfId="5826"/>
    <cellStyle name="Normal - Style1 2 2 2_15-FINANCEIRAS" xfId="5827"/>
    <cellStyle name="Normal - Style1 2 2 3" xfId="5828"/>
    <cellStyle name="Normal - Style1 2 2 3 2" xfId="5829"/>
    <cellStyle name="Normal - Style1 2 2 3_15-FINANCEIRAS" xfId="5830"/>
    <cellStyle name="Normal - Style1 2 2 4" xfId="5831"/>
    <cellStyle name="Normal - Style1 2 2 4 2" xfId="5832"/>
    <cellStyle name="Normal - Style1 2 2 4_15-FINANCEIRAS" xfId="5833"/>
    <cellStyle name="Normal - Style1 2 2 5" xfId="5834"/>
    <cellStyle name="Normal - Style1 2 2_13-Endividamento" xfId="5835"/>
    <cellStyle name="Normal - Style1 2 3" xfId="5836"/>
    <cellStyle name="Normal - Style1 2 3 2" xfId="5837"/>
    <cellStyle name="Normal - Style1 2 3 2 2" xfId="5838"/>
    <cellStyle name="Normal - Style1 2 3 2_15-FINANCEIRAS" xfId="5839"/>
    <cellStyle name="Normal - Style1 2 3 3" xfId="5840"/>
    <cellStyle name="Normal - Style1 2 3_13-Endividamento" xfId="5841"/>
    <cellStyle name="Normal - Style1 2 4" xfId="5842"/>
    <cellStyle name="Normal - Style1 2 4 2" xfId="5843"/>
    <cellStyle name="Normal - Style1 2 4_15-FINANCEIRAS" xfId="5844"/>
    <cellStyle name="Normal - Style1 2 5" xfId="5845"/>
    <cellStyle name="Normal - Style1 2 5 2" xfId="5846"/>
    <cellStyle name="Normal - Style1 2 5_15-FINANCEIRAS" xfId="5847"/>
    <cellStyle name="Normal - Style1 2 6" xfId="5848"/>
    <cellStyle name="Normal - Style1 2 6 2" xfId="5849"/>
    <cellStyle name="Normal - Style1 2 6_15-FINANCEIRAS" xfId="5850"/>
    <cellStyle name="Normal - Style1 2 7" xfId="5851"/>
    <cellStyle name="Normal - Style1 2 7 2" xfId="5852"/>
    <cellStyle name="Normal - Style1 2 7_15-FINANCEIRAS" xfId="5853"/>
    <cellStyle name="Normal - Style1 2 8" xfId="5854"/>
    <cellStyle name="Normal - Style1 2_13-Endividamento" xfId="5855"/>
    <cellStyle name="Normal - Style1 20" xfId="5856"/>
    <cellStyle name="Normal - Style1 20 2" xfId="5857"/>
    <cellStyle name="Normal - Style1 20_15-FINANCEIRAS" xfId="5858"/>
    <cellStyle name="Normal - Style1 21" xfId="5859"/>
    <cellStyle name="Normal - Style1 21 2" xfId="5860"/>
    <cellStyle name="Normal - Style1 21_15-FINANCEIRAS" xfId="5861"/>
    <cellStyle name="Normal - Style1 22" xfId="5862"/>
    <cellStyle name="Normal - Style1 22 2" xfId="5863"/>
    <cellStyle name="Normal - Style1 22_15-FINANCEIRAS" xfId="5864"/>
    <cellStyle name="Normal - Style1 23" xfId="5865"/>
    <cellStyle name="Normal - Style1 23 2" xfId="5866"/>
    <cellStyle name="Normal - Style1 23_15-FINANCEIRAS" xfId="5867"/>
    <cellStyle name="Normal - Style1 24" xfId="5868"/>
    <cellStyle name="Normal - Style1 24 2" xfId="5869"/>
    <cellStyle name="Normal - Style1 24_15-FINANCEIRAS" xfId="5870"/>
    <cellStyle name="Normal - Style1 25" xfId="5871"/>
    <cellStyle name="Normal - Style1 25 2" xfId="5872"/>
    <cellStyle name="Normal - Style1 25_15-FINANCEIRAS" xfId="5873"/>
    <cellStyle name="Normal - Style1 26" xfId="5874"/>
    <cellStyle name="Normal - Style1 26 2" xfId="5875"/>
    <cellStyle name="Normal - Style1 26_15-FINANCEIRAS" xfId="5876"/>
    <cellStyle name="Normal - Style1 27" xfId="5877"/>
    <cellStyle name="Normal - Style1 27 2" xfId="5878"/>
    <cellStyle name="Normal - Style1 27_15-FINANCEIRAS" xfId="5879"/>
    <cellStyle name="Normal - Style1 28" xfId="5880"/>
    <cellStyle name="Normal - Style1 28 2" xfId="5881"/>
    <cellStyle name="Normal - Style1 28_15-FINANCEIRAS" xfId="5882"/>
    <cellStyle name="Normal - Style1 29" xfId="5883"/>
    <cellStyle name="Normal - Style1 29 2" xfId="5884"/>
    <cellStyle name="Normal - Style1 29_15-FINANCEIRAS" xfId="5885"/>
    <cellStyle name="Normal - Style1 3" xfId="5886"/>
    <cellStyle name="Normal - Style1 3 2" xfId="5887"/>
    <cellStyle name="Normal - Style1 3 2 2" xfId="5888"/>
    <cellStyle name="Normal - Style1 3 2 2 2" xfId="5889"/>
    <cellStyle name="Normal - Style1 3 2 2_15-FINANCEIRAS" xfId="5890"/>
    <cellStyle name="Normal - Style1 3 2 3" xfId="5891"/>
    <cellStyle name="Normal - Style1 3 2 3 2" xfId="5892"/>
    <cellStyle name="Normal - Style1 3 2 3_15-FINANCEIRAS" xfId="5893"/>
    <cellStyle name="Normal - Style1 3 2 4" xfId="5894"/>
    <cellStyle name="Normal - Style1 3 2 4 2" xfId="5895"/>
    <cellStyle name="Normal - Style1 3 2 4_15-FINANCEIRAS" xfId="5896"/>
    <cellStyle name="Normal - Style1 3 2 5" xfId="5897"/>
    <cellStyle name="Normal - Style1 3 2_13-Endividamento" xfId="5898"/>
    <cellStyle name="Normal - Style1 3 3" xfId="5899"/>
    <cellStyle name="Normal - Style1 3 3 2" xfId="5900"/>
    <cellStyle name="Normal - Style1 3 3 2 2" xfId="5901"/>
    <cellStyle name="Normal - Style1 3 3 2_15-FINANCEIRAS" xfId="5902"/>
    <cellStyle name="Normal - Style1 3 3 3" xfId="5903"/>
    <cellStyle name="Normal - Style1 3 3_13-Endividamento" xfId="5904"/>
    <cellStyle name="Normal - Style1 3 4" xfId="5905"/>
    <cellStyle name="Normal - Style1 3 4 2" xfId="5906"/>
    <cellStyle name="Normal - Style1 3 4_15-FINANCEIRAS" xfId="5907"/>
    <cellStyle name="Normal - Style1 3 5" xfId="5908"/>
    <cellStyle name="Normal - Style1 3 5 2" xfId="5909"/>
    <cellStyle name="Normal - Style1 3 5_15-FINANCEIRAS" xfId="5910"/>
    <cellStyle name="Normal - Style1 3 6" xfId="5911"/>
    <cellStyle name="Normal - Style1 3 6 2" xfId="5912"/>
    <cellStyle name="Normal - Style1 3 6_15-FINANCEIRAS" xfId="5913"/>
    <cellStyle name="Normal - Style1 3 7" xfId="5914"/>
    <cellStyle name="Normal - Style1 3 7 2" xfId="5915"/>
    <cellStyle name="Normal - Style1 3 7_15-FINANCEIRAS" xfId="5916"/>
    <cellStyle name="Normal - Style1 3 8" xfId="5917"/>
    <cellStyle name="Normal - Style1 3_13-Endividamento" xfId="5918"/>
    <cellStyle name="Normal - Style1 30" xfId="5919"/>
    <cellStyle name="Normal - Style1 30 2" xfId="5920"/>
    <cellStyle name="Normal - Style1 30_15-FINANCEIRAS" xfId="5921"/>
    <cellStyle name="Normal - Style1 31" xfId="5922"/>
    <cellStyle name="Normal - Style1 31 2" xfId="5923"/>
    <cellStyle name="Normal - Style1 31_15-FINANCEIRAS" xfId="5924"/>
    <cellStyle name="Normal - Style1 32" xfId="5925"/>
    <cellStyle name="Normal - Style1 32 2" xfId="5926"/>
    <cellStyle name="Normal - Style1 32_15-FINANCEIRAS" xfId="5927"/>
    <cellStyle name="Normal - Style1 33" xfId="5928"/>
    <cellStyle name="Normal - Style1 33 2" xfId="5929"/>
    <cellStyle name="Normal - Style1 33_15-FINANCEIRAS" xfId="5930"/>
    <cellStyle name="Normal - Style1 34" xfId="5931"/>
    <cellStyle name="Normal - Style1 34 2" xfId="5932"/>
    <cellStyle name="Normal - Style1 34_15-FINANCEIRAS" xfId="5933"/>
    <cellStyle name="Normal - Style1 35" xfId="5934"/>
    <cellStyle name="Normal - Style1 35 2" xfId="5935"/>
    <cellStyle name="Normal - Style1 35_15-FINANCEIRAS" xfId="5936"/>
    <cellStyle name="Normal - Style1 36" xfId="5937"/>
    <cellStyle name="Normal - Style1 36 2" xfId="5938"/>
    <cellStyle name="Normal - Style1 36_15-FINANCEIRAS" xfId="5939"/>
    <cellStyle name="Normal - Style1 37" xfId="5940"/>
    <cellStyle name="Normal - Style1 37 2" xfId="5941"/>
    <cellStyle name="Normal - Style1 37_15-FINANCEIRAS" xfId="5942"/>
    <cellStyle name="Normal - Style1 4" xfId="5943"/>
    <cellStyle name="Normal - Style1 4 2" xfId="5944"/>
    <cellStyle name="Normal - Style1 4 2 2" xfId="5945"/>
    <cellStyle name="Normal - Style1 4 2_15-FINANCEIRAS" xfId="5946"/>
    <cellStyle name="Normal - Style1 4 3" xfId="5947"/>
    <cellStyle name="Normal - Style1 4 3 2" xfId="5948"/>
    <cellStyle name="Normal - Style1 4 3_15-FINANCEIRAS" xfId="5949"/>
    <cellStyle name="Normal - Style1 4 4" xfId="5950"/>
    <cellStyle name="Normal - Style1 4 4 2" xfId="5951"/>
    <cellStyle name="Normal - Style1 4 4_15-FINANCEIRAS" xfId="5952"/>
    <cellStyle name="Normal - Style1 4 5" xfId="5953"/>
    <cellStyle name="Normal - Style1 4 5 2" xfId="5954"/>
    <cellStyle name="Normal - Style1 4 5_15-FINANCEIRAS" xfId="5955"/>
    <cellStyle name="Normal - Style1 4 6" xfId="5956"/>
    <cellStyle name="Normal - Style1 4_13-Endividamento" xfId="5957"/>
    <cellStyle name="Normal - Style1 5" xfId="5958"/>
    <cellStyle name="Normal - Style1 5 2" xfId="5959"/>
    <cellStyle name="Normal - Style1 5 2 2" xfId="5960"/>
    <cellStyle name="Normal - Style1 5 2_15-FINANCEIRAS" xfId="5961"/>
    <cellStyle name="Normal - Style1 5 3" xfId="5962"/>
    <cellStyle name="Normal - Style1 5_15-FINANCEIRAS" xfId="5963"/>
    <cellStyle name="Normal - Style1 6" xfId="5964"/>
    <cellStyle name="Normal - Style1 6 2" xfId="5965"/>
    <cellStyle name="Normal - Style1 6 2 2" xfId="5966"/>
    <cellStyle name="Normal - Style1 6 2_15-FINANCEIRAS" xfId="5967"/>
    <cellStyle name="Normal - Style1 6 3" xfId="5968"/>
    <cellStyle name="Normal - Style1 6_15-FINANCEIRAS" xfId="5969"/>
    <cellStyle name="Normal - Style1 7" xfId="5970"/>
    <cellStyle name="Normal - Style1 7 2" xfId="5971"/>
    <cellStyle name="Normal - Style1 7_15-FINANCEIRAS" xfId="5972"/>
    <cellStyle name="Normal - Style1 8" xfId="5973"/>
    <cellStyle name="Normal - Style1 8 2" xfId="5974"/>
    <cellStyle name="Normal - Style1 8_15-FINANCEIRAS" xfId="5975"/>
    <cellStyle name="Normal - Style1 9" xfId="5976"/>
    <cellStyle name="Normal - Style1 9 2" xfId="5977"/>
    <cellStyle name="Normal - Style1 9_15-FINANCEIRAS" xfId="5978"/>
    <cellStyle name="Normal - Style1_13-Endividamento" xfId="5979"/>
    <cellStyle name="Normal 10" xfId="5980"/>
    <cellStyle name="Normal 10 2" xfId="5981"/>
    <cellStyle name="Normal 10 2 2" xfId="5982"/>
    <cellStyle name="Normal 10 2_15-FINANCEIRAS" xfId="5983"/>
    <cellStyle name="Normal 10 3" xfId="5984"/>
    <cellStyle name="Normal 10 3 2" xfId="5985"/>
    <cellStyle name="Normal 10 3_15-FINANCEIRAS" xfId="5986"/>
    <cellStyle name="Normal 10 4" xfId="5987"/>
    <cellStyle name="Normal 10 4 2" xfId="5988"/>
    <cellStyle name="Normal 10 4_15-FINANCEIRAS" xfId="5989"/>
    <cellStyle name="Normal 10 5" xfId="5990"/>
    <cellStyle name="Normal 10 6" xfId="5991"/>
    <cellStyle name="Normal 10_13-Endividamento" xfId="5992"/>
    <cellStyle name="Normal 11" xfId="5993"/>
    <cellStyle name="Normal 11 2" xfId="5994"/>
    <cellStyle name="Normal 11 2 2" xfId="5995"/>
    <cellStyle name="Normal 11 2_15-FINANCEIRAS" xfId="5996"/>
    <cellStyle name="Normal 11 3" xfId="5997"/>
    <cellStyle name="Normal 11 3 2" xfId="5998"/>
    <cellStyle name="Normal 11 3_15-FINANCEIRAS" xfId="5999"/>
    <cellStyle name="Normal 11 4" xfId="6000"/>
    <cellStyle name="Normal 11 4 2" xfId="6001"/>
    <cellStyle name="Normal 11 4_15-FINANCEIRAS" xfId="6002"/>
    <cellStyle name="Normal 11 5" xfId="6003"/>
    <cellStyle name="Normal 11 6" xfId="6004"/>
    <cellStyle name="Normal 11_13-Endividamento" xfId="6005"/>
    <cellStyle name="Normal 12" xfId="6006"/>
    <cellStyle name="Normal 12 2" xfId="6007"/>
    <cellStyle name="Normal 12 2 2" xfId="6008"/>
    <cellStyle name="Normal 12 2_15-FINANCEIRAS" xfId="6009"/>
    <cellStyle name="Normal 12 3" xfId="6010"/>
    <cellStyle name="Normal 12 3 2" xfId="6011"/>
    <cellStyle name="Normal 12 3_15-FINANCEIRAS" xfId="6012"/>
    <cellStyle name="Normal 12 4" xfId="6013"/>
    <cellStyle name="Normal 12 4 2" xfId="6014"/>
    <cellStyle name="Normal 12 4_15-FINANCEIRAS" xfId="6015"/>
    <cellStyle name="Normal 12 5" xfId="6016"/>
    <cellStyle name="Normal 12 6" xfId="6017"/>
    <cellStyle name="Normal 12_13-Endividamento" xfId="6018"/>
    <cellStyle name="Normal 13" xfId="6019"/>
    <cellStyle name="Normal 13 2" xfId="6020"/>
    <cellStyle name="Normal 13 2 2" xfId="6021"/>
    <cellStyle name="Normal 13 2_15-FINANCEIRAS" xfId="6022"/>
    <cellStyle name="Normal 13 3" xfId="6023"/>
    <cellStyle name="Normal 13 3 2" xfId="6024"/>
    <cellStyle name="Normal 13 3_15-FINANCEIRAS" xfId="6025"/>
    <cellStyle name="Normal 13 4" xfId="6026"/>
    <cellStyle name="Normal 13 4 2" xfId="6027"/>
    <cellStyle name="Normal 13 4_15-FINANCEIRAS" xfId="6028"/>
    <cellStyle name="Normal 13 5" xfId="6029"/>
    <cellStyle name="Normal 13 6" xfId="6030"/>
    <cellStyle name="Normal 13_13-Endividamento" xfId="6031"/>
    <cellStyle name="Normal 14" xfId="6032"/>
    <cellStyle name="Normal 14 2" xfId="6033"/>
    <cellStyle name="Normal 14 2 2" xfId="6034"/>
    <cellStyle name="Normal 14 2_15-FINANCEIRAS" xfId="6035"/>
    <cellStyle name="Normal 14 3" xfId="6036"/>
    <cellStyle name="Normal 14 3 2" xfId="6037"/>
    <cellStyle name="Normal 14 3_15-FINANCEIRAS" xfId="6038"/>
    <cellStyle name="Normal 14 4" xfId="6039"/>
    <cellStyle name="Normal 14 4 2" xfId="6040"/>
    <cellStyle name="Normal 14 4_15-FINANCEIRAS" xfId="6041"/>
    <cellStyle name="Normal 14 5" xfId="6042"/>
    <cellStyle name="Normal 14 6" xfId="6043"/>
    <cellStyle name="Normal 14_13-Endividamento" xfId="6044"/>
    <cellStyle name="Normal 15" xfId="6045"/>
    <cellStyle name="Normal 15 2" xfId="6046"/>
    <cellStyle name="Normal 15 2 2" xfId="6047"/>
    <cellStyle name="Normal 15 2_15-FINANCEIRAS" xfId="6048"/>
    <cellStyle name="Normal 15 3" xfId="6049"/>
    <cellStyle name="Normal 15 3 2" xfId="6050"/>
    <cellStyle name="Normal 15 3_15-FINANCEIRAS" xfId="6051"/>
    <cellStyle name="Normal 15 4" xfId="6052"/>
    <cellStyle name="Normal 15 4 2" xfId="6053"/>
    <cellStyle name="Normal 15 4_15-FINANCEIRAS" xfId="6054"/>
    <cellStyle name="Normal 15 5" xfId="6055"/>
    <cellStyle name="Normal 15_13-Endividamento" xfId="6056"/>
    <cellStyle name="Normal 16" xfId="6057"/>
    <cellStyle name="Normal 16 2" xfId="6058"/>
    <cellStyle name="Normal 16 2 2" xfId="6059"/>
    <cellStyle name="Normal 16 2_15-FINANCEIRAS" xfId="6060"/>
    <cellStyle name="Normal 16 3" xfId="6061"/>
    <cellStyle name="Normal 16 3 2" xfId="6062"/>
    <cellStyle name="Normal 16 3_15-FINANCEIRAS" xfId="6063"/>
    <cellStyle name="Normal 16 4" xfId="6064"/>
    <cellStyle name="Normal 16 5" xfId="6065"/>
    <cellStyle name="Normal 16_13-Endividamento" xfId="6066"/>
    <cellStyle name="Normal 17" xfId="6067"/>
    <cellStyle name="Normal 17 2" xfId="6068"/>
    <cellStyle name="Normal 17 2 2" xfId="6069"/>
    <cellStyle name="Normal 17 2_15-FINANCEIRAS" xfId="6070"/>
    <cellStyle name="Normal 17 3" xfId="6071"/>
    <cellStyle name="Normal 17 3 2" xfId="6072"/>
    <cellStyle name="Normal 17 3_15-FINANCEIRAS" xfId="6073"/>
    <cellStyle name="Normal 17 4" xfId="6074"/>
    <cellStyle name="Normal 17 4 2" xfId="6075"/>
    <cellStyle name="Normal 17 4_15-FINANCEIRAS" xfId="6076"/>
    <cellStyle name="Normal 17 5" xfId="6077"/>
    <cellStyle name="Normal 17 6" xfId="6078"/>
    <cellStyle name="Normal 17_13-Endividamento" xfId="6079"/>
    <cellStyle name="Normal 18" xfId="6080"/>
    <cellStyle name="Normal 18 2" xfId="6081"/>
    <cellStyle name="Normal 18 2 2" xfId="6082"/>
    <cellStyle name="Normal 18 2_15-FINANCEIRAS" xfId="6083"/>
    <cellStyle name="Normal 18 3" xfId="6084"/>
    <cellStyle name="Normal 18 3 2" xfId="6085"/>
    <cellStyle name="Normal 18 3_15-FINANCEIRAS" xfId="6086"/>
    <cellStyle name="Normal 18 4" xfId="6087"/>
    <cellStyle name="Normal 18 5" xfId="6088"/>
    <cellStyle name="Normal 18_13-Endividamento" xfId="6089"/>
    <cellStyle name="Normal 19" xfId="6090"/>
    <cellStyle name="Normal 19 2" xfId="6091"/>
    <cellStyle name="Normal 19 2 2" xfId="6092"/>
    <cellStyle name="Normal 19 2_15-FINANCEIRAS" xfId="6093"/>
    <cellStyle name="Normal 19 3" xfId="6094"/>
    <cellStyle name="Normal 19 4" xfId="6095"/>
    <cellStyle name="Normal 19_13-Endividamento" xfId="6096"/>
    <cellStyle name="Normal 2" xfId="160"/>
    <cellStyle name="Normal 2 10" xfId="6097"/>
    <cellStyle name="Normal 2 10 2" xfId="6098"/>
    <cellStyle name="Normal 2 10 2 2" xfId="6099"/>
    <cellStyle name="Normal 2 10 2_15-FINANCEIRAS" xfId="6100"/>
    <cellStyle name="Normal 2 10 3" xfId="6101"/>
    <cellStyle name="Normal 2 10_13-Endividamento" xfId="6102"/>
    <cellStyle name="Normal 2 11" xfId="6103"/>
    <cellStyle name="Normal 2 11 2" xfId="6104"/>
    <cellStyle name="Normal 2 11 2 2" xfId="6105"/>
    <cellStyle name="Normal 2 11 2_15-FINANCEIRAS" xfId="6106"/>
    <cellStyle name="Normal 2 11 3" xfId="6107"/>
    <cellStyle name="Normal 2 11_13-Endividamento" xfId="6108"/>
    <cellStyle name="Normal 2 12" xfId="6109"/>
    <cellStyle name="Normal 2 12 2" xfId="6110"/>
    <cellStyle name="Normal 2 12_15-FINANCEIRAS" xfId="6111"/>
    <cellStyle name="Normal 2 13" xfId="6112"/>
    <cellStyle name="Normal 2 14" xfId="6113"/>
    <cellStyle name="Normal 2 15" xfId="6114"/>
    <cellStyle name="Normal 2 15 2" xfId="21338"/>
    <cellStyle name="Normal 2 15 2 2" xfId="21465"/>
    <cellStyle name="Normal 2 15 3" xfId="21421"/>
    <cellStyle name="Normal 2 16" xfId="21315"/>
    <cellStyle name="Normal 2 17" xfId="21365"/>
    <cellStyle name="Normal 2 18" xfId="21376"/>
    <cellStyle name="Normal 2 2" xfId="161"/>
    <cellStyle name="Normal 2 2 10" xfId="6115"/>
    <cellStyle name="Normal 2 2 11" xfId="6116"/>
    <cellStyle name="Normal 2 2 12" xfId="6117"/>
    <cellStyle name="Normal 2 2 2" xfId="6118"/>
    <cellStyle name="Normal 2 2 2 2" xfId="6119"/>
    <cellStyle name="Normal 2 2 2 2 2" xfId="6120"/>
    <cellStyle name="Normal 2 2 2 2_15-FINANCEIRAS" xfId="6121"/>
    <cellStyle name="Normal 2 2 2 3" xfId="6122"/>
    <cellStyle name="Normal 2 2 2 3 2" xfId="6123"/>
    <cellStyle name="Normal 2 2 2 3_15-FINANCEIRAS" xfId="6124"/>
    <cellStyle name="Normal 2 2 2 4" xfId="6125"/>
    <cellStyle name="Normal 2 2 2 4 2" xfId="6126"/>
    <cellStyle name="Normal 2 2 2 4_15-FINANCEIRAS" xfId="6127"/>
    <cellStyle name="Normal 2 2 2 5" xfId="6128"/>
    <cellStyle name="Normal 2 2 2_13-Endividamento" xfId="6129"/>
    <cellStyle name="Normal 2 2 3" xfId="6130"/>
    <cellStyle name="Normal 2 2 3 2" xfId="6131"/>
    <cellStyle name="Normal 2 2 3_15-FINANCEIRAS" xfId="6132"/>
    <cellStyle name="Normal 2 2 4" xfId="6133"/>
    <cellStyle name="Normal 2 2 4 2" xfId="6134"/>
    <cellStyle name="Normal 2 2 4_15-FINANCEIRAS" xfId="6135"/>
    <cellStyle name="Normal 2 2 5" xfId="6136"/>
    <cellStyle name="Normal 2 2 5 2" xfId="6137"/>
    <cellStyle name="Normal 2 2 5_15-FINANCEIRAS" xfId="6138"/>
    <cellStyle name="Normal 2 2 6" xfId="6139"/>
    <cellStyle name="Normal 2 2 7" xfId="6140"/>
    <cellStyle name="Normal 2 2 8" xfId="6141"/>
    <cellStyle name="Normal 2 2 9" xfId="6142"/>
    <cellStyle name="Normal 2 2_13-Endividamento" xfId="6143"/>
    <cellStyle name="Normal 2 3" xfId="183"/>
    <cellStyle name="Normal 2 3 2" xfId="6144"/>
    <cellStyle name="Normal 2 3 2 2" xfId="6145"/>
    <cellStyle name="Normal 2 3 2 2 2" xfId="6146"/>
    <cellStyle name="Normal 2 3 2 2_15-FINANCEIRAS" xfId="6147"/>
    <cellStyle name="Normal 2 3 2 3" xfId="6148"/>
    <cellStyle name="Normal 2 3 2 3 2" xfId="6149"/>
    <cellStyle name="Normal 2 3 2 3_15-FINANCEIRAS" xfId="6150"/>
    <cellStyle name="Normal 2 3 2 4" xfId="6151"/>
    <cellStyle name="Normal 2 3 2 4 2" xfId="6152"/>
    <cellStyle name="Normal 2 3 2 4_15-FINANCEIRAS" xfId="6153"/>
    <cellStyle name="Normal 2 3 2 5" xfId="6154"/>
    <cellStyle name="Normal 2 3 2_13-Endividamento" xfId="6155"/>
    <cellStyle name="Normal 2 3 3" xfId="6156"/>
    <cellStyle name="Normal 2 3 3 2" xfId="6157"/>
    <cellStyle name="Normal 2 3 3_15-FINANCEIRAS" xfId="6158"/>
    <cellStyle name="Normal 2 3 4" xfId="6159"/>
    <cellStyle name="Normal 2 3 4 2" xfId="6160"/>
    <cellStyle name="Normal 2 3 4_15-FINANCEIRAS" xfId="6161"/>
    <cellStyle name="Normal 2 3 5" xfId="6162"/>
    <cellStyle name="Normal 2 3 5 2" xfId="6163"/>
    <cellStyle name="Normal 2 3 5_15-FINANCEIRAS" xfId="6164"/>
    <cellStyle name="Normal 2 3 6" xfId="6165"/>
    <cellStyle name="Normal 2 3 7" xfId="21529"/>
    <cellStyle name="Normal 2 3_13-Endividamento" xfId="6166"/>
    <cellStyle name="Normal 2 4" xfId="6167"/>
    <cellStyle name="Normal 2 4 2" xfId="6168"/>
    <cellStyle name="Normal 2 4 2 2" xfId="6169"/>
    <cellStyle name="Normal 2 4 2 2 2" xfId="6170"/>
    <cellStyle name="Normal 2 4 2 2_15-FINANCEIRAS" xfId="6171"/>
    <cellStyle name="Normal 2 4 2 3" xfId="6172"/>
    <cellStyle name="Normal 2 4 2 3 2" xfId="6173"/>
    <cellStyle name="Normal 2 4 2 3_15-FINANCEIRAS" xfId="6174"/>
    <cellStyle name="Normal 2 4 2 4" xfId="6175"/>
    <cellStyle name="Normal 2 4 2 4 2" xfId="6176"/>
    <cellStyle name="Normal 2 4 2 4_15-FINANCEIRAS" xfId="6177"/>
    <cellStyle name="Normal 2 4 2 5" xfId="6178"/>
    <cellStyle name="Normal 2 4 2_13-Endividamento" xfId="6179"/>
    <cellStyle name="Normal 2 4 3" xfId="6180"/>
    <cellStyle name="Normal 2 4 3 2" xfId="6181"/>
    <cellStyle name="Normal 2 4 3_15-FINANCEIRAS" xfId="6182"/>
    <cellStyle name="Normal 2 4 4" xfId="6183"/>
    <cellStyle name="Normal 2 4 4 2" xfId="6184"/>
    <cellStyle name="Normal 2 4 4_15-FINANCEIRAS" xfId="6185"/>
    <cellStyle name="Normal 2 4 5" xfId="6186"/>
    <cellStyle name="Normal 2 4 5 2" xfId="6187"/>
    <cellStyle name="Normal 2 4 5_15-FINANCEIRAS" xfId="6188"/>
    <cellStyle name="Normal 2 4 6" xfId="6189"/>
    <cellStyle name="Normal 2 4_13-Endividamento" xfId="6190"/>
    <cellStyle name="Normal 2 5" xfId="6191"/>
    <cellStyle name="Normal 2 5 2" xfId="6192"/>
    <cellStyle name="Normal 2 5 2 2" xfId="6193"/>
    <cellStyle name="Normal 2 5 2 2 2" xfId="6194"/>
    <cellStyle name="Normal 2 5 2 2_15-FINANCEIRAS" xfId="6195"/>
    <cellStyle name="Normal 2 5 2 3" xfId="6196"/>
    <cellStyle name="Normal 2 5 2 3 2" xfId="6197"/>
    <cellStyle name="Normal 2 5 2 3_15-FINANCEIRAS" xfId="6198"/>
    <cellStyle name="Normal 2 5 2 4" xfId="6199"/>
    <cellStyle name="Normal 2 5 2 4 2" xfId="6200"/>
    <cellStyle name="Normal 2 5 2 4_15-FINANCEIRAS" xfId="6201"/>
    <cellStyle name="Normal 2 5 2 5" xfId="6202"/>
    <cellStyle name="Normal 2 5 2_13-Endividamento" xfId="6203"/>
    <cellStyle name="Normal 2 5 3" xfId="6204"/>
    <cellStyle name="Normal 2 5 3 2" xfId="6205"/>
    <cellStyle name="Normal 2 5 3_15-FINANCEIRAS" xfId="6206"/>
    <cellStyle name="Normal 2 5 4" xfId="6207"/>
    <cellStyle name="Normal 2 5 4 2" xfId="6208"/>
    <cellStyle name="Normal 2 5 4_15-FINANCEIRAS" xfId="6209"/>
    <cellStyle name="Normal 2 5 5" xfId="6210"/>
    <cellStyle name="Normal 2 5 5 2" xfId="6211"/>
    <cellStyle name="Normal 2 5 5_15-FINANCEIRAS" xfId="6212"/>
    <cellStyle name="Normal 2 5 6" xfId="6213"/>
    <cellStyle name="Normal 2 5_13-Endividamento" xfId="6214"/>
    <cellStyle name="Normal 2 6" xfId="6215"/>
    <cellStyle name="Normal 2 6 2" xfId="6216"/>
    <cellStyle name="Normal 2 6 2 2" xfId="6217"/>
    <cellStyle name="Normal 2 6 2 2 2" xfId="6218"/>
    <cellStyle name="Normal 2 6 2 2_15-FINANCEIRAS" xfId="6219"/>
    <cellStyle name="Normal 2 6 2 3" xfId="6220"/>
    <cellStyle name="Normal 2 6 2 3 2" xfId="6221"/>
    <cellStyle name="Normal 2 6 2 3_15-FINANCEIRAS" xfId="6222"/>
    <cellStyle name="Normal 2 6 2 4" xfId="6223"/>
    <cellStyle name="Normal 2 6 2 4 2" xfId="6224"/>
    <cellStyle name="Normal 2 6 2 4_15-FINANCEIRAS" xfId="6225"/>
    <cellStyle name="Normal 2 6 2 5" xfId="6226"/>
    <cellStyle name="Normal 2 6 2_13-Endividamento" xfId="6227"/>
    <cellStyle name="Normal 2 6 3" xfId="6228"/>
    <cellStyle name="Normal 2 6 3 2" xfId="6229"/>
    <cellStyle name="Normal 2 6 3_15-FINANCEIRAS" xfId="6230"/>
    <cellStyle name="Normal 2 6 4" xfId="6231"/>
    <cellStyle name="Normal 2 6 4 2" xfId="6232"/>
    <cellStyle name="Normal 2 6 4_15-FINANCEIRAS" xfId="6233"/>
    <cellStyle name="Normal 2 6 5" xfId="6234"/>
    <cellStyle name="Normal 2 6 5 2" xfId="6235"/>
    <cellStyle name="Normal 2 6 5_15-FINANCEIRAS" xfId="6236"/>
    <cellStyle name="Normal 2 6 6" xfId="6237"/>
    <cellStyle name="Normal 2 6_13-Endividamento" xfId="6238"/>
    <cellStyle name="Normal 2 7" xfId="6239"/>
    <cellStyle name="Normal 2 7 2" xfId="6240"/>
    <cellStyle name="Normal 2 7 2 2" xfId="6241"/>
    <cellStyle name="Normal 2 7 2_15-FINANCEIRAS" xfId="6242"/>
    <cellStyle name="Normal 2 7 3" xfId="6243"/>
    <cellStyle name="Normal 2 7 3 2" xfId="6244"/>
    <cellStyle name="Normal 2 7 3_15-FINANCEIRAS" xfId="6245"/>
    <cellStyle name="Normal 2 7 4" xfId="6246"/>
    <cellStyle name="Normal 2 7 4 2" xfId="6247"/>
    <cellStyle name="Normal 2 7 4_15-FINANCEIRAS" xfId="6248"/>
    <cellStyle name="Normal 2 7 5" xfId="6249"/>
    <cellStyle name="Normal 2 7_13-Endividamento" xfId="6250"/>
    <cellStyle name="Normal 2 8" xfId="6251"/>
    <cellStyle name="Normal 2 8 2" xfId="6252"/>
    <cellStyle name="Normal 2 8 2 2" xfId="6253"/>
    <cellStyle name="Normal 2 8 2_15-FINANCEIRAS" xfId="6254"/>
    <cellStyle name="Normal 2 8 3" xfId="6255"/>
    <cellStyle name="Normal 2 8_13-Endividamento" xfId="6256"/>
    <cellStyle name="Normal 2 9" xfId="6257"/>
    <cellStyle name="Normal 2 9 2" xfId="6258"/>
    <cellStyle name="Normal 2 9 2 2" xfId="6259"/>
    <cellStyle name="Normal 2 9 2_15-FINANCEIRAS" xfId="6260"/>
    <cellStyle name="Normal 2 9 3" xfId="6261"/>
    <cellStyle name="Normal 2 9_13-Endividamento" xfId="6262"/>
    <cellStyle name="Normal 2_11_Combinação de neg. Zanin" xfId="6263"/>
    <cellStyle name="Normal 20" xfId="6264"/>
    <cellStyle name="Normal 20 2" xfId="6265"/>
    <cellStyle name="Normal 20 3" xfId="6266"/>
    <cellStyle name="Normal 20_15-FINANCEIRAS" xfId="6267"/>
    <cellStyle name="Normal 21" xfId="6268"/>
    <cellStyle name="Normal 21 2" xfId="6269"/>
    <cellStyle name="Normal 21 3" xfId="6270"/>
    <cellStyle name="Normal 21_15-FINANCEIRAS" xfId="6271"/>
    <cellStyle name="Normal 22" xfId="6272"/>
    <cellStyle name="Normal 22 2" xfId="6273"/>
    <cellStyle name="Normal 22 3" xfId="6274"/>
    <cellStyle name="Normal 22_15-FINANCEIRAS" xfId="6275"/>
    <cellStyle name="Normal 23" xfId="6276"/>
    <cellStyle name="Normal 23 2" xfId="6277"/>
    <cellStyle name="Normal 23 3" xfId="6278"/>
    <cellStyle name="Normal 23_15-FINANCEIRAS" xfId="6279"/>
    <cellStyle name="Normal 24" xfId="6280"/>
    <cellStyle name="Normal 24 2" xfId="6281"/>
    <cellStyle name="Normal 24_15-FINANCEIRAS" xfId="6282"/>
    <cellStyle name="Normal 25" xfId="6283"/>
    <cellStyle name="Normal 25 2" xfId="6284"/>
    <cellStyle name="Normal 25 2 2" xfId="6285"/>
    <cellStyle name="Normal 25 2_15-FINANCEIRAS" xfId="6286"/>
    <cellStyle name="Normal 25 3" xfId="6287"/>
    <cellStyle name="Normal 25_13-Endividamento" xfId="6288"/>
    <cellStyle name="Normal 26" xfId="6289"/>
    <cellStyle name="Normal 26 2" xfId="6290"/>
    <cellStyle name="Normal 26_15-FINANCEIRAS" xfId="6291"/>
    <cellStyle name="Normal 27" xfId="6292"/>
    <cellStyle name="Normal 27 2" xfId="6293"/>
    <cellStyle name="Normal 27_15-FINANCEIRAS" xfId="6294"/>
    <cellStyle name="Normal 28" xfId="6295"/>
    <cellStyle name="Normal 28 2" xfId="6296"/>
    <cellStyle name="Normal 28_15-FINANCEIRAS" xfId="6297"/>
    <cellStyle name="Normal 29" xfId="6298"/>
    <cellStyle name="Normal 29 2" xfId="6299"/>
    <cellStyle name="Normal 29 2 2" xfId="6300"/>
    <cellStyle name="Normal 29 2_15-FINANCEIRAS" xfId="6301"/>
    <cellStyle name="Normal 29 3" xfId="6302"/>
    <cellStyle name="Normal 29 3 2" xfId="6303"/>
    <cellStyle name="Normal 29 3_15-FINANCEIRAS" xfId="6304"/>
    <cellStyle name="Normal 29 4" xfId="6305"/>
    <cellStyle name="Normal 29_13-Endividamento" xfId="6306"/>
    <cellStyle name="Normal 3" xfId="89"/>
    <cellStyle name="Normal 3 10" xfId="6307"/>
    <cellStyle name="Normal 3 10 2" xfId="6308"/>
    <cellStyle name="Normal 3 10_15-FINANCEIRAS" xfId="6309"/>
    <cellStyle name="Normal 3 11" xfId="6310"/>
    <cellStyle name="Normal 3 11 2" xfId="6311"/>
    <cellStyle name="Normal 3 11_15-FINANCEIRAS" xfId="6312"/>
    <cellStyle name="Normal 3 12" xfId="6313"/>
    <cellStyle name="Normal 3 13" xfId="21316"/>
    <cellStyle name="Normal 3 14" xfId="21366"/>
    <cellStyle name="Normal 3 15" xfId="21375"/>
    <cellStyle name="Normal 3 16" xfId="21403"/>
    <cellStyle name="Normal 3 17" xfId="21441"/>
    <cellStyle name="Normal 3 18" xfId="21494"/>
    <cellStyle name="Normal 3 2" xfId="6314"/>
    <cellStyle name="Normal 3 2 2" xfId="6315"/>
    <cellStyle name="Normal 3 2 2 2" xfId="6316"/>
    <cellStyle name="Normal 3 2 2_15-FINANCEIRAS" xfId="6317"/>
    <cellStyle name="Normal 3 2 3" xfId="6318"/>
    <cellStyle name="Normal 3 2 3 2" xfId="6319"/>
    <cellStyle name="Normal 3 2 3_15-FINANCEIRAS" xfId="6320"/>
    <cellStyle name="Normal 3 2 4" xfId="6321"/>
    <cellStyle name="Normal 3 2 4 2" xfId="6322"/>
    <cellStyle name="Normal 3 2 4_15-FINANCEIRAS" xfId="6323"/>
    <cellStyle name="Normal 3 2 5" xfId="6324"/>
    <cellStyle name="Normal 3 2 6" xfId="21530"/>
    <cellStyle name="Normal 3 2_13-Endividamento" xfId="6325"/>
    <cellStyle name="Normal 3 3" xfId="6326"/>
    <cellStyle name="Normal 3 3 2" xfId="6327"/>
    <cellStyle name="Normal 3 3 2 2" xfId="6328"/>
    <cellStyle name="Normal 3 3 2_15-FINANCEIRAS" xfId="6329"/>
    <cellStyle name="Normal 3 3 3" xfId="6330"/>
    <cellStyle name="Normal 3 3_13-Endividamento" xfId="6331"/>
    <cellStyle name="Normal 3 4" xfId="6332"/>
    <cellStyle name="Normal 3 4 2" xfId="6333"/>
    <cellStyle name="Normal 3 4_15-FINANCEIRAS" xfId="6334"/>
    <cellStyle name="Normal 3 5" xfId="6335"/>
    <cellStyle name="Normal 3 5 2" xfId="6336"/>
    <cellStyle name="Normal 3 5_15-FINANCEIRAS" xfId="6337"/>
    <cellStyle name="Normal 3 6" xfId="120"/>
    <cellStyle name="Normal 3 6 2" xfId="6338"/>
    <cellStyle name="Normal 3 6_15-FINANCEIRAS" xfId="6339"/>
    <cellStyle name="Normal 3 7" xfId="6340"/>
    <cellStyle name="Normal 3 7 2" xfId="6341"/>
    <cellStyle name="Normal 3 7_15-FINANCEIRAS" xfId="6342"/>
    <cellStyle name="Normal 3 8" xfId="6343"/>
    <cellStyle name="Normal 3 8 2" xfId="6344"/>
    <cellStyle name="Normal 3 8_15-FINANCEIRAS" xfId="6345"/>
    <cellStyle name="Normal 3 9" xfId="6346"/>
    <cellStyle name="Normal 3 9 2" xfId="6347"/>
    <cellStyle name="Normal 3 9_15-FINANCEIRAS" xfId="6348"/>
    <cellStyle name="Normal 3_13-Endividamento" xfId="6349"/>
    <cellStyle name="Normal 30" xfId="6350"/>
    <cellStyle name="Normal 30 2" xfId="6351"/>
    <cellStyle name="Normal 30_15-FINANCEIRAS" xfId="6352"/>
    <cellStyle name="Normal 31" xfId="6353"/>
    <cellStyle name="Normal 31 2" xfId="6354"/>
    <cellStyle name="Normal 31 2 2" xfId="6355"/>
    <cellStyle name="Normal 31 2_15-FINANCEIRAS" xfId="6356"/>
    <cellStyle name="Normal 31 3" xfId="6357"/>
    <cellStyle name="Normal 31_13-Endividamento" xfId="6358"/>
    <cellStyle name="Normal 32" xfId="6359"/>
    <cellStyle name="Normal 32 2" xfId="6360"/>
    <cellStyle name="Normal 32_15-FINANCEIRAS" xfId="6361"/>
    <cellStyle name="Normal 33" xfId="6362"/>
    <cellStyle name="Normal 33 2" xfId="6363"/>
    <cellStyle name="Normal 33_15-FINANCEIRAS" xfId="6364"/>
    <cellStyle name="Normal 34" xfId="6365"/>
    <cellStyle name="Normal 34 2" xfId="6366"/>
    <cellStyle name="Normal 34_15-FINANCEIRAS" xfId="6367"/>
    <cellStyle name="Normal 35" xfId="6368"/>
    <cellStyle name="Normal 35 2" xfId="6369"/>
    <cellStyle name="Normal 35_15-FINANCEIRAS" xfId="6370"/>
    <cellStyle name="Normal 36" xfId="6371"/>
    <cellStyle name="Normal 36 2" xfId="6372"/>
    <cellStyle name="Normal 36_15-FINANCEIRAS" xfId="6373"/>
    <cellStyle name="Normal 37" xfId="6374"/>
    <cellStyle name="Normal 37 2" xfId="6375"/>
    <cellStyle name="Normal 37_15-FINANCEIRAS" xfId="6376"/>
    <cellStyle name="Normal 38" xfId="6377"/>
    <cellStyle name="Normal 38 2" xfId="6378"/>
    <cellStyle name="Normal 38_15-FINANCEIRAS" xfId="6379"/>
    <cellStyle name="Normal 39" xfId="6380"/>
    <cellStyle name="Normal 39 2" xfId="6381"/>
    <cellStyle name="Normal 39_15-FINANCEIRAS" xfId="6382"/>
    <cellStyle name="Normal 4" xfId="162"/>
    <cellStyle name="Normal 4 10" xfId="6383"/>
    <cellStyle name="Normal 4 10 2" xfId="6384"/>
    <cellStyle name="Normal 4 10_15-FINANCEIRAS" xfId="6385"/>
    <cellStyle name="Normal 4 11" xfId="6386"/>
    <cellStyle name="Normal 4 12" xfId="6387"/>
    <cellStyle name="Normal 4 13" xfId="21317"/>
    <cellStyle name="Normal 4 13 2" xfId="21450"/>
    <cellStyle name="Normal 4 14" xfId="21367"/>
    <cellStyle name="Normal 4 14 2" xfId="21486"/>
    <cellStyle name="Normal 4 15" xfId="21374"/>
    <cellStyle name="Normal 4 15 2" xfId="21489"/>
    <cellStyle name="Normal 4 16" xfId="21406"/>
    <cellStyle name="Normal 4 17" xfId="21438"/>
    <cellStyle name="Normal 4 18" xfId="21531"/>
    <cellStyle name="Normal 4 2" xfId="6388"/>
    <cellStyle name="Normal 4 2 2" xfId="6389"/>
    <cellStyle name="Normal 4 2 2 2" xfId="6390"/>
    <cellStyle name="Normal 4 2 2_15-FINANCEIRAS" xfId="6391"/>
    <cellStyle name="Normal 4 2 3" xfId="6392"/>
    <cellStyle name="Normal 4 2 3 2" xfId="6393"/>
    <cellStyle name="Normal 4 2 3_15-FINANCEIRAS" xfId="6394"/>
    <cellStyle name="Normal 4 2 4" xfId="6395"/>
    <cellStyle name="Normal 4 2 4 2" xfId="6396"/>
    <cellStyle name="Normal 4 2 4_15-FINANCEIRAS" xfId="6397"/>
    <cellStyle name="Normal 4 2 5" xfId="6398"/>
    <cellStyle name="Normal 4 2_13-Endividamento" xfId="6399"/>
    <cellStyle name="Normal 4 3" xfId="6400"/>
    <cellStyle name="Normal 4 3 2" xfId="6401"/>
    <cellStyle name="Normal 4 3_15-FINANCEIRAS" xfId="6402"/>
    <cellStyle name="Normal 4 4" xfId="6403"/>
    <cellStyle name="Normal 4 4 2" xfId="6404"/>
    <cellStyle name="Normal 4 4_15-FINANCEIRAS" xfId="6405"/>
    <cellStyle name="Normal 4 5" xfId="6406"/>
    <cellStyle name="Normal 4 5 2" xfId="6407"/>
    <cellStyle name="Normal 4 5_15-FINANCEIRAS" xfId="6408"/>
    <cellStyle name="Normal 4 6" xfId="6409"/>
    <cellStyle name="Normal 4 6 2" xfId="6410"/>
    <cellStyle name="Normal 4 6_15-FINANCEIRAS" xfId="6411"/>
    <cellStyle name="Normal 4 7" xfId="6412"/>
    <cellStyle name="Normal 4 7 2" xfId="6413"/>
    <cellStyle name="Normal 4 7_15-FINANCEIRAS" xfId="6414"/>
    <cellStyle name="Normal 4 8" xfId="6415"/>
    <cellStyle name="Normal 4 8 2" xfId="6416"/>
    <cellStyle name="Normal 4 8_15-FINANCEIRAS" xfId="6417"/>
    <cellStyle name="Normal 4 9" xfId="6418"/>
    <cellStyle name="Normal 4 9 2" xfId="6419"/>
    <cellStyle name="Normal 4 9_15-FINANCEIRAS" xfId="6420"/>
    <cellStyle name="Normal 4_13-Endividamento" xfId="6421"/>
    <cellStyle name="Normal 40" xfId="6422"/>
    <cellStyle name="Normal 40 2" xfId="6423"/>
    <cellStyle name="Normal 40_15-FINANCEIRAS" xfId="6424"/>
    <cellStyle name="Normal 41" xfId="6425"/>
    <cellStyle name="Normal 41 2" xfId="6426"/>
    <cellStyle name="Normal 41_15-FINANCEIRAS" xfId="6427"/>
    <cellStyle name="Normal 42" xfId="6428"/>
    <cellStyle name="Normal 42 2" xfId="6429"/>
    <cellStyle name="Normal 42_15-FINANCEIRAS" xfId="6430"/>
    <cellStyle name="Normal 43" xfId="6431"/>
    <cellStyle name="Normal 43 2" xfId="6432"/>
    <cellStyle name="Normal 43_15-FINANCEIRAS" xfId="6433"/>
    <cellStyle name="Normal 44" xfId="6434"/>
    <cellStyle name="Normal 44 2" xfId="6435"/>
    <cellStyle name="Normal 44_15-FINANCEIRAS" xfId="6436"/>
    <cellStyle name="Normal 45" xfId="6437"/>
    <cellStyle name="Normal 45 2" xfId="6438"/>
    <cellStyle name="Normal 45_15-FINANCEIRAS" xfId="6439"/>
    <cellStyle name="Normal 46" xfId="6440"/>
    <cellStyle name="Normal 46 2" xfId="6441"/>
    <cellStyle name="Normal 46_15-FINANCEIRAS" xfId="6442"/>
    <cellStyle name="Normal 47" xfId="6443"/>
    <cellStyle name="Normal 47 2" xfId="6444"/>
    <cellStyle name="Normal 47_15-FINANCEIRAS" xfId="6445"/>
    <cellStyle name="Normal 48" xfId="6446"/>
    <cellStyle name="Normal 48 2" xfId="6447"/>
    <cellStyle name="Normal 48_15-FINANCEIRAS" xfId="6448"/>
    <cellStyle name="Normal 49" xfId="6449"/>
    <cellStyle name="Normal 49 2" xfId="6450"/>
    <cellStyle name="Normal 49_15-FINANCEIRAS" xfId="6451"/>
    <cellStyle name="Normal 5" xfId="6452"/>
    <cellStyle name="Normal 5 10" xfId="6453"/>
    <cellStyle name="Normal 5 10 2" xfId="6454"/>
    <cellStyle name="Normal 5 10_15-FINANCEIRAS" xfId="6455"/>
    <cellStyle name="Normal 5 11" xfId="6456"/>
    <cellStyle name="Normal 5 12" xfId="6457"/>
    <cellStyle name="Normal 5 13" xfId="21532"/>
    <cellStyle name="Normal 5 2" xfId="6458"/>
    <cellStyle name="Normal 5 2 2" xfId="6459"/>
    <cellStyle name="Normal 5 2 2 2" xfId="6460"/>
    <cellStyle name="Normal 5 2 2 3" xfId="21556"/>
    <cellStyle name="Normal 5 2 2_15-FINANCEIRAS" xfId="6461"/>
    <cellStyle name="Normal 5 2 3" xfId="6462"/>
    <cellStyle name="Normal 5 2 3 2" xfId="6463"/>
    <cellStyle name="Normal 5 2 3_15-FINANCEIRAS" xfId="6464"/>
    <cellStyle name="Normal 5 2 4" xfId="6465"/>
    <cellStyle name="Normal 5 2 5" xfId="21546"/>
    <cellStyle name="Normal 5 2_13-Endividamento" xfId="6466"/>
    <cellStyle name="Normal 5 3" xfId="6467"/>
    <cellStyle name="Normal 5 3 2" xfId="6468"/>
    <cellStyle name="Normal 5 3 3" xfId="21555"/>
    <cellStyle name="Normal 5 3_15-FINANCEIRAS" xfId="6469"/>
    <cellStyle name="Normal 5 4" xfId="6470"/>
    <cellStyle name="Normal 5 4 2" xfId="6471"/>
    <cellStyle name="Normal 5 4_15-FINANCEIRAS" xfId="6472"/>
    <cellStyle name="Normal 5 5" xfId="6473"/>
    <cellStyle name="Normal 5 5 2" xfId="6474"/>
    <cellStyle name="Normal 5 5_15-FINANCEIRAS" xfId="6475"/>
    <cellStyle name="Normal 5 6" xfId="6476"/>
    <cellStyle name="Normal 5 6 2" xfId="6477"/>
    <cellStyle name="Normal 5 6_15-FINANCEIRAS" xfId="6478"/>
    <cellStyle name="Normal 5 7" xfId="6479"/>
    <cellStyle name="Normal 5 7 2" xfId="6480"/>
    <cellStyle name="Normal 5 7_15-FINANCEIRAS" xfId="6481"/>
    <cellStyle name="Normal 5 8" xfId="6482"/>
    <cellStyle name="Normal 5 8 2" xfId="6483"/>
    <cellStyle name="Normal 5 8_15-FINANCEIRAS" xfId="6484"/>
    <cellStyle name="Normal 5 9" xfId="6485"/>
    <cellStyle name="Normal 5 9 2" xfId="6486"/>
    <cellStyle name="Normal 5 9_15-FINANCEIRAS" xfId="6487"/>
    <cellStyle name="Normal 5_13-Endividamento" xfId="6488"/>
    <cellStyle name="Normal 50" xfId="6489"/>
    <cellStyle name="Normal 50 2" xfId="6490"/>
    <cellStyle name="Normal 50_15-FINANCEIRAS" xfId="6491"/>
    <cellStyle name="Normal 51" xfId="6492"/>
    <cellStyle name="Normal 51 2" xfId="6493"/>
    <cellStyle name="Normal 51_15-FINANCEIRAS" xfId="6494"/>
    <cellStyle name="Normal 52" xfId="6495"/>
    <cellStyle name="Normal 52 2" xfId="6496"/>
    <cellStyle name="Normal 52_15-FINANCEIRAS" xfId="6497"/>
    <cellStyle name="Normal 53" xfId="6498"/>
    <cellStyle name="Normal 53 2" xfId="6499"/>
    <cellStyle name="Normal 53_15-FINANCEIRAS" xfId="6500"/>
    <cellStyle name="Normal 54" xfId="6501"/>
    <cellStyle name="Normal 55" xfId="6502"/>
    <cellStyle name="Normal 55 2" xfId="6503"/>
    <cellStyle name="Normal 55 2 2" xfId="21339"/>
    <cellStyle name="Normal 55 2 2 2" xfId="21466"/>
    <cellStyle name="Normal 55 2 3" xfId="21422"/>
    <cellStyle name="Normal 56" xfId="6504"/>
    <cellStyle name="Normal 57" xfId="6505"/>
    <cellStyle name="Normal 58" xfId="6506"/>
    <cellStyle name="Normal 59" xfId="6507"/>
    <cellStyle name="Normal 59 2" xfId="21340"/>
    <cellStyle name="Normal 59 2 2" xfId="21467"/>
    <cellStyle name="Normal 59 3" xfId="21423"/>
    <cellStyle name="Normal 6" xfId="6508"/>
    <cellStyle name="Normal 6 2" xfId="6509"/>
    <cellStyle name="Normal 6 2 2" xfId="6510"/>
    <cellStyle name="Normal 6 2 2 2" xfId="6511"/>
    <cellStyle name="Normal 6 2 2 2 2" xfId="6512"/>
    <cellStyle name="Normal 6 2 2 2_15-FINANCEIRAS" xfId="6513"/>
    <cellStyle name="Normal 6 2 2 3" xfId="6514"/>
    <cellStyle name="Normal 6 2 2 3 2" xfId="6515"/>
    <cellStyle name="Normal 6 2 2 3_15-FINANCEIRAS" xfId="6516"/>
    <cellStyle name="Normal 6 2 2 4" xfId="6517"/>
    <cellStyle name="Normal 6 2 2_13-Endividamento" xfId="6518"/>
    <cellStyle name="Normal 6 2 3" xfId="6519"/>
    <cellStyle name="Normal 6 2 3 2" xfId="6520"/>
    <cellStyle name="Normal 6 2 3_15-FINANCEIRAS" xfId="6521"/>
    <cellStyle name="Normal 6 2 4" xfId="6522"/>
    <cellStyle name="Normal 6 2 4 2" xfId="6523"/>
    <cellStyle name="Normal 6 2 4_15-FINANCEIRAS" xfId="6524"/>
    <cellStyle name="Normal 6 2 5" xfId="6525"/>
    <cellStyle name="Normal 6 2_13-Endividamento" xfId="6526"/>
    <cellStyle name="Normal 6 3" xfId="6527"/>
    <cellStyle name="Normal 6 3 2" xfId="6528"/>
    <cellStyle name="Normal 6 3_15-FINANCEIRAS" xfId="6529"/>
    <cellStyle name="Normal 6 4" xfId="6530"/>
    <cellStyle name="Normal 6 4 2" xfId="6531"/>
    <cellStyle name="Normal 6 4_15-FINANCEIRAS" xfId="6532"/>
    <cellStyle name="Normal 6 5" xfId="6533"/>
    <cellStyle name="Normal 6 5 2" xfId="6534"/>
    <cellStyle name="Normal 6 5_15-FINANCEIRAS" xfId="6535"/>
    <cellStyle name="Normal 6 6" xfId="6536"/>
    <cellStyle name="Normal 6 7" xfId="21547"/>
    <cellStyle name="Normal 6_13-Endividamento" xfId="6537"/>
    <cellStyle name="Normal 60" xfId="21306"/>
    <cellStyle name="Normal 61" xfId="21360"/>
    <cellStyle name="Normal 62" xfId="21378"/>
    <cellStyle name="Normal 63" xfId="6538"/>
    <cellStyle name="Normal 63 2" xfId="6539"/>
    <cellStyle name="Normal 63 2 2" xfId="21341"/>
    <cellStyle name="Normal 63 2 2 2" xfId="21468"/>
    <cellStyle name="Normal 63 2 3" xfId="21424"/>
    <cellStyle name="Normal 64" xfId="6540"/>
    <cellStyle name="Normal 64 2" xfId="21342"/>
    <cellStyle name="Normal 64 2 2" xfId="21469"/>
    <cellStyle name="Normal 64 3" xfId="21425"/>
    <cellStyle name="Normal 65" xfId="21387"/>
    <cellStyle name="Normal 66" xfId="21359"/>
    <cellStyle name="Normal 67" xfId="6541"/>
    <cellStyle name="Normal 67 2" xfId="6542"/>
    <cellStyle name="Normal 67 2 2" xfId="21343"/>
    <cellStyle name="Normal 67 2 2 2" xfId="21470"/>
    <cellStyle name="Normal 67 2 3" xfId="21426"/>
    <cellStyle name="Normal 68" xfId="6543"/>
    <cellStyle name="Normal 68 2" xfId="21344"/>
    <cellStyle name="Normal 68 2 2" xfId="21471"/>
    <cellStyle name="Normal 68 3" xfId="21427"/>
    <cellStyle name="Normal 69" xfId="6544"/>
    <cellStyle name="Normal 69 2" xfId="21345"/>
    <cellStyle name="Normal 69 2 2" xfId="21472"/>
    <cellStyle name="Normal 69 3" xfId="21428"/>
    <cellStyle name="Normal 7" xfId="6545"/>
    <cellStyle name="Normal 7 2" xfId="6546"/>
    <cellStyle name="Normal 7 2 2" xfId="6547"/>
    <cellStyle name="Normal 7 2 2 2" xfId="6548"/>
    <cellStyle name="Normal 7 2 2_15-FINANCEIRAS" xfId="6549"/>
    <cellStyle name="Normal 7 2 3" xfId="6550"/>
    <cellStyle name="Normal 7 2 3 2" xfId="6551"/>
    <cellStyle name="Normal 7 2 3_15-FINANCEIRAS" xfId="6552"/>
    <cellStyle name="Normal 7 2 4" xfId="6553"/>
    <cellStyle name="Normal 7 2_13-Endividamento" xfId="6554"/>
    <cellStyle name="Normal 7 3" xfId="6555"/>
    <cellStyle name="Normal 7 3 2" xfId="6556"/>
    <cellStyle name="Normal 7 3_15-FINANCEIRAS" xfId="6557"/>
    <cellStyle name="Normal 7 4" xfId="6558"/>
    <cellStyle name="Normal 7 4 2" xfId="6559"/>
    <cellStyle name="Normal 7 4_15-FINANCEIRAS" xfId="6560"/>
    <cellStyle name="Normal 7 5" xfId="6561"/>
    <cellStyle name="Normal 7 5 2" xfId="6562"/>
    <cellStyle name="Normal 7 5_15-FINANCEIRAS" xfId="6563"/>
    <cellStyle name="Normal 7 6" xfId="6564"/>
    <cellStyle name="Normal 7 7" xfId="6565"/>
    <cellStyle name="Normal 7 8" xfId="21554"/>
    <cellStyle name="Normal 7_13-Endividamento" xfId="6566"/>
    <cellStyle name="Normal 70" xfId="6567"/>
    <cellStyle name="Normal 70 2" xfId="21346"/>
    <cellStyle name="Normal 70 2 2" xfId="21473"/>
    <cellStyle name="Normal 70 3" xfId="21429"/>
    <cellStyle name="Normal 71" xfId="21371"/>
    <cellStyle name="Normal 72" xfId="21394"/>
    <cellStyle name="Normal 72 2" xfId="21490"/>
    <cellStyle name="Normal 73" xfId="21444"/>
    <cellStyle name="Normal 74" xfId="21492"/>
    <cellStyle name="Normal 75" xfId="21558"/>
    <cellStyle name="Normal 76" xfId="21561"/>
    <cellStyle name="Normal 8" xfId="6568"/>
    <cellStyle name="Normal 8 2" xfId="6569"/>
    <cellStyle name="Normal 8 2 2" xfId="6570"/>
    <cellStyle name="Normal 8 2 2 2" xfId="6571"/>
    <cellStyle name="Normal 8 2 2_15-FINANCEIRAS" xfId="6572"/>
    <cellStyle name="Normal 8 2 3" xfId="6573"/>
    <cellStyle name="Normal 8 2 3 2" xfId="6574"/>
    <cellStyle name="Normal 8 2 3_15-FINANCEIRAS" xfId="6575"/>
    <cellStyle name="Normal 8 2 4" xfId="6576"/>
    <cellStyle name="Normal 8 2_13-Endividamento" xfId="6577"/>
    <cellStyle name="Normal 8 3" xfId="6578"/>
    <cellStyle name="Normal 8 3 2" xfId="6579"/>
    <cellStyle name="Normal 8 3_15-FINANCEIRAS" xfId="6580"/>
    <cellStyle name="Normal 8 4" xfId="6581"/>
    <cellStyle name="Normal 8 4 2" xfId="6582"/>
    <cellStyle name="Normal 8 4_15-FINANCEIRAS" xfId="6583"/>
    <cellStyle name="Normal 8 5" xfId="6584"/>
    <cellStyle name="Normal 8 5 2" xfId="6585"/>
    <cellStyle name="Normal 8 5_15-FINANCEIRAS" xfId="6586"/>
    <cellStyle name="Normal 8 6" xfId="6587"/>
    <cellStyle name="Normal 8 7" xfId="6588"/>
    <cellStyle name="Normal 8_13-Endividamento" xfId="6589"/>
    <cellStyle name="Normal 9" xfId="6590"/>
    <cellStyle name="Normal 9 2" xfId="6591"/>
    <cellStyle name="Normal 9 2 2" xfId="6592"/>
    <cellStyle name="Normal 9 2 2 2" xfId="6593"/>
    <cellStyle name="Normal 9 2 2_15-FINANCEIRAS" xfId="6594"/>
    <cellStyle name="Normal 9 2 3" xfId="6595"/>
    <cellStyle name="Normal 9 2 3 2" xfId="6596"/>
    <cellStyle name="Normal 9 2 3_15-FINANCEIRAS" xfId="6597"/>
    <cellStyle name="Normal 9 2 4" xfId="6598"/>
    <cellStyle name="Normal 9 2_13-Endividamento" xfId="6599"/>
    <cellStyle name="Normal 9 3" xfId="6600"/>
    <cellStyle name="Normal 9 3 2" xfId="6601"/>
    <cellStyle name="Normal 9 3_15-FINANCEIRAS" xfId="6602"/>
    <cellStyle name="Normal 9 4" xfId="6603"/>
    <cellStyle name="Normal 9 4 2" xfId="6604"/>
    <cellStyle name="Normal 9 4_15-FINANCEIRAS" xfId="6605"/>
    <cellStyle name="Normal 9 5" xfId="6606"/>
    <cellStyle name="Normal 9 5 2" xfId="6607"/>
    <cellStyle name="Normal 9 5_15-FINANCEIRAS" xfId="6608"/>
    <cellStyle name="Normal 9 6" xfId="6609"/>
    <cellStyle name="Normal 9 7" xfId="6610"/>
    <cellStyle name="Normal 9_13-Endividamento" xfId="6611"/>
    <cellStyle name="Normal_Basilea_DASA3" xfId="90"/>
    <cellStyle name="Normal_BOX - FINANCIALS" xfId="91"/>
    <cellStyle name="Normal_Debt" xfId="21557"/>
    <cellStyle name="Normal_DisclaimerSheet Samples" xfId="21562"/>
    <cellStyle name="Normal_LAEP Valuation2 (2)" xfId="92"/>
    <cellStyle name="Normal_LAEP Valuation2 (2)_SMTO-hist-perf" xfId="93"/>
    <cellStyle name="Normal_Latam Sugar Valuation" xfId="94"/>
    <cellStyle name="Normal_Localiza 78" xfId="95"/>
    <cellStyle name="Normal_NEW MODEL v2b" xfId="96"/>
    <cellStyle name="Normal_ODPV_Model (5)" xfId="97"/>
    <cellStyle name="Normal_ODPV_Model (5)_RADL3model_copy" xfId="116"/>
    <cellStyle name="Normal_Orco Property Group" xfId="98"/>
    <cellStyle name="Normal_RADL3model_copy" xfId="117"/>
    <cellStyle name="Normal_sheet" xfId="99"/>
    <cellStyle name="Normal_WORKING prjget2007_new" xfId="100"/>
    <cellStyle name="normální_Business Plan MCE" xfId="6612"/>
    <cellStyle name="Nota 10" xfId="6613"/>
    <cellStyle name="Nota 2" xfId="6614"/>
    <cellStyle name="Nota 2 10" xfId="6615"/>
    <cellStyle name="Nota 2 11" xfId="21533"/>
    <cellStyle name="Nota 2 2" xfId="6616"/>
    <cellStyle name="Nota 2 2 2" xfId="6617"/>
    <cellStyle name="Nota 2 2 2 2" xfId="6618"/>
    <cellStyle name="Nota 2 2 2 2 2" xfId="6619"/>
    <cellStyle name="Nota 2 2 2 2_15-FINANCEIRAS" xfId="6620"/>
    <cellStyle name="Nota 2 2 2 3" xfId="6621"/>
    <cellStyle name="Nota 2 2 2_13-Endividamento" xfId="6622"/>
    <cellStyle name="Nota 2 2 3" xfId="6623"/>
    <cellStyle name="Nota 2 2 3 2" xfId="6624"/>
    <cellStyle name="Nota 2 2 3_15-FINANCEIRAS" xfId="6625"/>
    <cellStyle name="Nota 2 2 4" xfId="6626"/>
    <cellStyle name="Nota 2 2 4 2" xfId="6627"/>
    <cellStyle name="Nota 2 2 4_15-FINANCEIRAS" xfId="6628"/>
    <cellStyle name="Nota 2 2 5" xfId="6629"/>
    <cellStyle name="Nota 2 2 6" xfId="6630"/>
    <cellStyle name="Nota 2 2_13-Endividamento" xfId="6631"/>
    <cellStyle name="Nota 2 3" xfId="6632"/>
    <cellStyle name="Nota 2 3 2" xfId="6633"/>
    <cellStyle name="Nota 2 3 2 2" xfId="6634"/>
    <cellStyle name="Nota 2 3 2_15-FINANCEIRAS" xfId="6635"/>
    <cellStyle name="Nota 2 3 3" xfId="6636"/>
    <cellStyle name="Nota 2 3_13-Endividamento" xfId="6637"/>
    <cellStyle name="Nota 2 4" xfId="6638"/>
    <cellStyle name="Nota 2 4 2" xfId="6639"/>
    <cellStyle name="Nota 2 4_15-FINANCEIRAS" xfId="6640"/>
    <cellStyle name="Nota 2 5" xfId="6641"/>
    <cellStyle name="Nota 2 5 2" xfId="6642"/>
    <cellStyle name="Nota 2 5_15-FINANCEIRAS" xfId="6643"/>
    <cellStyle name="Nota 2 6" xfId="6644"/>
    <cellStyle name="Nota 2 6 2" xfId="6645"/>
    <cellStyle name="Nota 2 6_15-FINANCEIRAS" xfId="6646"/>
    <cellStyle name="Nota 2 7" xfId="6647"/>
    <cellStyle name="Nota 2 7 2" xfId="6648"/>
    <cellStyle name="Nota 2 7_15-FINANCEIRAS" xfId="6649"/>
    <cellStyle name="Nota 2 8" xfId="6650"/>
    <cellStyle name="Nota 2 8 2" xfId="6651"/>
    <cellStyle name="Nota 2 8_15-FINANCEIRAS" xfId="6652"/>
    <cellStyle name="Nota 2 9" xfId="6653"/>
    <cellStyle name="Nota 2_11_Combinação de neg. Zanin" xfId="6654"/>
    <cellStyle name="Nota 3" xfId="6655"/>
    <cellStyle name="Nota 3 2" xfId="6656"/>
    <cellStyle name="Nota 3 2 2" xfId="6657"/>
    <cellStyle name="Nota 3 2 2 2" xfId="6658"/>
    <cellStyle name="Nota 3 2 2_15-FINANCEIRAS" xfId="6659"/>
    <cellStyle name="Nota 3 2 3" xfId="6660"/>
    <cellStyle name="Nota 3 2 3 2" xfId="6661"/>
    <cellStyle name="Nota 3 2 3_15-FINANCEIRAS" xfId="6662"/>
    <cellStyle name="Nota 3 2 4" xfId="6663"/>
    <cellStyle name="Nota 3 2 4 2" xfId="6664"/>
    <cellStyle name="Nota 3 2 4_15-FINANCEIRAS" xfId="6665"/>
    <cellStyle name="Nota 3 2 5" xfId="6666"/>
    <cellStyle name="Nota 3 2_13-Endividamento" xfId="6667"/>
    <cellStyle name="Nota 3 3" xfId="6668"/>
    <cellStyle name="Nota 3 3 2" xfId="6669"/>
    <cellStyle name="Nota 3 3_15-FINANCEIRAS" xfId="6670"/>
    <cellStyle name="Nota 3 4" xfId="6671"/>
    <cellStyle name="Nota 3 4 2" xfId="6672"/>
    <cellStyle name="Nota 3 4_15-FINANCEIRAS" xfId="6673"/>
    <cellStyle name="Nota 3 5" xfId="6674"/>
    <cellStyle name="Nota 3 5 2" xfId="6675"/>
    <cellStyle name="Nota 3 5_15-FINANCEIRAS" xfId="6676"/>
    <cellStyle name="Nota 3 6" xfId="6677"/>
    <cellStyle name="Nota 3_13-Endividamento" xfId="6678"/>
    <cellStyle name="Nota 4" xfId="6679"/>
    <cellStyle name="Nota 4 2" xfId="6680"/>
    <cellStyle name="Nota 4 2 2" xfId="6681"/>
    <cellStyle name="Nota 4 2 2 2" xfId="6682"/>
    <cellStyle name="Nota 4 2 2_15-FINANCEIRAS" xfId="6683"/>
    <cellStyle name="Nota 4 2 3" xfId="6684"/>
    <cellStyle name="Nota 4 2 3 2" xfId="6685"/>
    <cellStyle name="Nota 4 2 3_15-FINANCEIRAS" xfId="6686"/>
    <cellStyle name="Nota 4 2 4" xfId="6687"/>
    <cellStyle name="Nota 4 2 4 2" xfId="6688"/>
    <cellStyle name="Nota 4 2 4_15-FINANCEIRAS" xfId="6689"/>
    <cellStyle name="Nota 4 2 5" xfId="6690"/>
    <cellStyle name="Nota 4 2_13-Endividamento" xfId="6691"/>
    <cellStyle name="Nota 4 3" xfId="6692"/>
    <cellStyle name="Nota 4 3 2" xfId="6693"/>
    <cellStyle name="Nota 4 3_15-FINANCEIRAS" xfId="6694"/>
    <cellStyle name="Nota 4 4" xfId="6695"/>
    <cellStyle name="Nota 4 4 2" xfId="6696"/>
    <cellStyle name="Nota 4 4_15-FINANCEIRAS" xfId="6697"/>
    <cellStyle name="Nota 4 5" xfId="6698"/>
    <cellStyle name="Nota 4 5 2" xfId="6699"/>
    <cellStyle name="Nota 4 5_15-FINANCEIRAS" xfId="6700"/>
    <cellStyle name="Nota 4 6" xfId="6701"/>
    <cellStyle name="Nota 4_13-Endividamento" xfId="6702"/>
    <cellStyle name="Nota 5" xfId="6703"/>
    <cellStyle name="Nota 5 2" xfId="6704"/>
    <cellStyle name="Nota 5 2 2" xfId="6705"/>
    <cellStyle name="Nota 5 2 2 2" xfId="6706"/>
    <cellStyle name="Nota 5 2 2_15-FINANCEIRAS" xfId="6707"/>
    <cellStyle name="Nota 5 2 3" xfId="6708"/>
    <cellStyle name="Nota 5 2 3 2" xfId="6709"/>
    <cellStyle name="Nota 5 2 3_15-FINANCEIRAS" xfId="6710"/>
    <cellStyle name="Nota 5 2 4" xfId="6711"/>
    <cellStyle name="Nota 5 2 4 2" xfId="6712"/>
    <cellStyle name="Nota 5 2 4_15-FINANCEIRAS" xfId="6713"/>
    <cellStyle name="Nota 5 2 5" xfId="6714"/>
    <cellStyle name="Nota 5 2_13-Endividamento" xfId="6715"/>
    <cellStyle name="Nota 5 3" xfId="6716"/>
    <cellStyle name="Nota 5 3 2" xfId="6717"/>
    <cellStyle name="Nota 5 3_15-FINANCEIRAS" xfId="6718"/>
    <cellStyle name="Nota 5 4" xfId="6719"/>
    <cellStyle name="Nota 5 4 2" xfId="6720"/>
    <cellStyle name="Nota 5 4_15-FINANCEIRAS" xfId="6721"/>
    <cellStyle name="Nota 5 5" xfId="6722"/>
    <cellStyle name="Nota 5 5 2" xfId="6723"/>
    <cellStyle name="Nota 5 5_15-FINANCEIRAS" xfId="6724"/>
    <cellStyle name="Nota 5 6" xfId="6725"/>
    <cellStyle name="Nota 5_13-Endividamento" xfId="6726"/>
    <cellStyle name="Nota 6" xfId="6727"/>
    <cellStyle name="Nota 6 2" xfId="6728"/>
    <cellStyle name="Nota 6 2 2" xfId="6729"/>
    <cellStyle name="Nota 6 2 2 2" xfId="6730"/>
    <cellStyle name="Nota 6 2 2_15-FINANCEIRAS" xfId="6731"/>
    <cellStyle name="Nota 6 2 3" xfId="6732"/>
    <cellStyle name="Nota 6 2 3 2" xfId="6733"/>
    <cellStyle name="Nota 6 2 3_15-FINANCEIRAS" xfId="6734"/>
    <cellStyle name="Nota 6 2 4" xfId="6735"/>
    <cellStyle name="Nota 6 2 4 2" xfId="6736"/>
    <cellStyle name="Nota 6 2 4_15-FINANCEIRAS" xfId="6737"/>
    <cellStyle name="Nota 6 2 5" xfId="6738"/>
    <cellStyle name="Nota 6 2_13-Endividamento" xfId="6739"/>
    <cellStyle name="Nota 6 3" xfId="6740"/>
    <cellStyle name="Nota 6 3 2" xfId="6741"/>
    <cellStyle name="Nota 6 3_15-FINANCEIRAS" xfId="6742"/>
    <cellStyle name="Nota 6 4" xfId="6743"/>
    <cellStyle name="Nota 6 4 2" xfId="6744"/>
    <cellStyle name="Nota 6 4_15-FINANCEIRAS" xfId="6745"/>
    <cellStyle name="Nota 6 5" xfId="6746"/>
    <cellStyle name="Nota 6 5 2" xfId="6747"/>
    <cellStyle name="Nota 6 5_15-FINANCEIRAS" xfId="6748"/>
    <cellStyle name="Nota 6 6" xfId="6749"/>
    <cellStyle name="Nota 6_13-Endividamento" xfId="6750"/>
    <cellStyle name="Nota 7" xfId="6751"/>
    <cellStyle name="Nota 7 2" xfId="6752"/>
    <cellStyle name="Nota 7 2 2" xfId="6753"/>
    <cellStyle name="Nota 7 2_15-FINANCEIRAS" xfId="6754"/>
    <cellStyle name="Nota 7 3" xfId="6755"/>
    <cellStyle name="Nota 7 3 2" xfId="6756"/>
    <cellStyle name="Nota 7 3_15-FINANCEIRAS" xfId="6757"/>
    <cellStyle name="Nota 7 4" xfId="6758"/>
    <cellStyle name="Nota 7 4 2" xfId="6759"/>
    <cellStyle name="Nota 7 4_15-FINANCEIRAS" xfId="6760"/>
    <cellStyle name="Nota 7 5" xfId="6761"/>
    <cellStyle name="Nota 7_13-Endividamento" xfId="6762"/>
    <cellStyle name="Nota 8" xfId="6763"/>
    <cellStyle name="Nota 8 2" xfId="6764"/>
    <cellStyle name="Nota 8_15-FINANCEIRAS" xfId="6765"/>
    <cellStyle name="Nota 9" xfId="6766"/>
    <cellStyle name="Note" xfId="101" builtinId="10" customBuiltin="1"/>
    <cellStyle name="Note 2" xfId="6767"/>
    <cellStyle name="Note 2 2" xfId="6768"/>
    <cellStyle name="Note 2 2 2" xfId="6769"/>
    <cellStyle name="Note 2 2 2 2" xfId="6770"/>
    <cellStyle name="Note 2 2 2_15-FINANCEIRAS" xfId="6771"/>
    <cellStyle name="Note 2 2 3" xfId="6772"/>
    <cellStyle name="Note 2 2 4" xfId="6773"/>
    <cellStyle name="Note 2 2_13-Endividamento" xfId="6774"/>
    <cellStyle name="Note 2 3" xfId="6775"/>
    <cellStyle name="Note 2 3 2" xfId="6776"/>
    <cellStyle name="Note 2 3_15-FINANCEIRAS" xfId="6777"/>
    <cellStyle name="Note 2 4" xfId="6778"/>
    <cellStyle name="Note 2 4 2" xfId="6779"/>
    <cellStyle name="Note 2 4_15-FINANCEIRAS" xfId="6780"/>
    <cellStyle name="Note 2 5" xfId="6781"/>
    <cellStyle name="Note 2 5 2" xfId="6782"/>
    <cellStyle name="Note 2 5_15-FINANCEIRAS" xfId="6783"/>
    <cellStyle name="Note 2 6" xfId="6784"/>
    <cellStyle name="Note 2 6 2" xfId="6785"/>
    <cellStyle name="Note 2 6_15-FINANCEIRAS" xfId="6786"/>
    <cellStyle name="Note 2 7" xfId="6787"/>
    <cellStyle name="Note 2 7 2" xfId="6788"/>
    <cellStyle name="Note 2 7_15-FINANCEIRAS" xfId="6789"/>
    <cellStyle name="Note 2 8" xfId="6790"/>
    <cellStyle name="Note 2 9" xfId="6791"/>
    <cellStyle name="Note 2_13-Endividamento" xfId="6792"/>
    <cellStyle name="Note 3" xfId="6793"/>
    <cellStyle name="Note 3 2" xfId="6794"/>
    <cellStyle name="Note 3 2 2" xfId="6795"/>
    <cellStyle name="Note 3 2_15-FINANCEIRAS" xfId="6796"/>
    <cellStyle name="Note 3 3" xfId="6797"/>
    <cellStyle name="Note 3 3 2" xfId="6798"/>
    <cellStyle name="Note 3 3_15-FINANCEIRAS" xfId="6799"/>
    <cellStyle name="Note 3 4" xfId="6800"/>
    <cellStyle name="Note 3 4 2" xfId="6801"/>
    <cellStyle name="Note 3 4_15-FINANCEIRAS" xfId="6802"/>
    <cellStyle name="Note 3 5" xfId="6803"/>
    <cellStyle name="Note 3 5 2" xfId="6804"/>
    <cellStyle name="Note 3 5_15-FINANCEIRAS" xfId="6805"/>
    <cellStyle name="Note 3 6" xfId="6806"/>
    <cellStyle name="Note 3 6 2" xfId="6807"/>
    <cellStyle name="Note 3 6_15-FINANCEIRAS" xfId="6808"/>
    <cellStyle name="Note 3 7" xfId="6809"/>
    <cellStyle name="Note 3 8" xfId="6810"/>
    <cellStyle name="Note 3_13-Endividamento" xfId="6811"/>
    <cellStyle name="Note 4" xfId="6812"/>
    <cellStyle name="Note 4 2" xfId="6813"/>
    <cellStyle name="Note 4_15-FINANCEIRAS" xfId="6814"/>
    <cellStyle name="Note 5" xfId="6815"/>
    <cellStyle name="Note 5 2" xfId="6816"/>
    <cellStyle name="Note 5_15-FINANCEIRAS" xfId="6817"/>
    <cellStyle name="Note 6" xfId="6818"/>
    <cellStyle name="Note 6 2" xfId="6819"/>
    <cellStyle name="Note 6_15-FINANCEIRAS" xfId="6820"/>
    <cellStyle name="Note 7" xfId="6821"/>
    <cellStyle name="Note 8" xfId="6822"/>
    <cellStyle name="Note 9" xfId="6823"/>
    <cellStyle name="Note 9 2" xfId="21347"/>
    <cellStyle name="Note 9 2 2" xfId="21474"/>
    <cellStyle name="Note 9 3" xfId="21430"/>
    <cellStyle name="Number" xfId="6824"/>
    <cellStyle name="Number [0]" xfId="6825"/>
    <cellStyle name="Number [0] 2" xfId="6826"/>
    <cellStyle name="Number [0] 2 2" xfId="6827"/>
    <cellStyle name="Number [0] 2_15-FINANCEIRAS" xfId="6828"/>
    <cellStyle name="Number [0] 3" xfId="6829"/>
    <cellStyle name="Number [0]_15-FINANCEIRAS" xfId="6830"/>
    <cellStyle name="Number [1]" xfId="6831"/>
    <cellStyle name="Number [1] 2" xfId="6832"/>
    <cellStyle name="Number [1] 2 2" xfId="6833"/>
    <cellStyle name="Number [1] 2_15-FINANCEIRAS" xfId="6834"/>
    <cellStyle name="Number [1] 3" xfId="6835"/>
    <cellStyle name="Number [1]_15-FINANCEIRAS" xfId="6836"/>
    <cellStyle name="Number [2]" xfId="6837"/>
    <cellStyle name="Number [2] 2" xfId="6838"/>
    <cellStyle name="Number [2] 2 2" xfId="6839"/>
    <cellStyle name="Number [2] 2_15-FINANCEIRAS" xfId="6840"/>
    <cellStyle name="Number [2] 3" xfId="6841"/>
    <cellStyle name="Number [2]_15-FINANCEIRAS" xfId="6842"/>
    <cellStyle name="Number 2" xfId="6843"/>
    <cellStyle name="Number 2 2" xfId="6844"/>
    <cellStyle name="Number 2_15-FINANCEIRAS" xfId="6845"/>
    <cellStyle name="Number 3" xfId="6846"/>
    <cellStyle name="Number_13-Endividamento" xfId="6847"/>
    <cellStyle name="Output" xfId="102" builtinId="21" customBuiltin="1"/>
    <cellStyle name="Output (1dp#)_ Pies " xfId="21395"/>
    <cellStyle name="Output (1dpx)_ Pies " xfId="21396"/>
    <cellStyle name="Output 10" xfId="6848"/>
    <cellStyle name="Output 11" xfId="6849"/>
    <cellStyle name="Output 2" xfId="6850"/>
    <cellStyle name="Output 2 2" xfId="6851"/>
    <cellStyle name="Output 2 2 2" xfId="6852"/>
    <cellStyle name="Output 2 2_15-FINANCEIRAS" xfId="6853"/>
    <cellStyle name="Output 2 3" xfId="6854"/>
    <cellStyle name="Output 2 3 2" xfId="6855"/>
    <cellStyle name="Output 2 3_15-FINANCEIRAS" xfId="6856"/>
    <cellStyle name="Output 2 4" xfId="6857"/>
    <cellStyle name="Output 2 4 2" xfId="6858"/>
    <cellStyle name="Output 2 4_15-FINANCEIRAS" xfId="6859"/>
    <cellStyle name="Output 2 5" xfId="6860"/>
    <cellStyle name="Output 2 5 2" xfId="6861"/>
    <cellStyle name="Output 2 5_15-FINANCEIRAS" xfId="6862"/>
    <cellStyle name="Output 2 6" xfId="6863"/>
    <cellStyle name="Output 2 6 2" xfId="6864"/>
    <cellStyle name="Output 2 6_15-FINANCEIRAS" xfId="6865"/>
    <cellStyle name="Output 2 7" xfId="6866"/>
    <cellStyle name="Output 2_13-Endividamento" xfId="6867"/>
    <cellStyle name="Output 3" xfId="6868"/>
    <cellStyle name="Output 3 2" xfId="6869"/>
    <cellStyle name="Output 3 2 2" xfId="6870"/>
    <cellStyle name="Output 3 2_15-FINANCEIRAS" xfId="6871"/>
    <cellStyle name="Output 3 3" xfId="6872"/>
    <cellStyle name="Output 3 3 2" xfId="6873"/>
    <cellStyle name="Output 3 3_15-FINANCEIRAS" xfId="6874"/>
    <cellStyle name="Output 3 4" xfId="6875"/>
    <cellStyle name="Output 3 4 2" xfId="6876"/>
    <cellStyle name="Output 3 4_15-FINANCEIRAS" xfId="6877"/>
    <cellStyle name="Output 3 5" xfId="6878"/>
    <cellStyle name="Output 3 5 2" xfId="6879"/>
    <cellStyle name="Output 3 5_15-FINANCEIRAS" xfId="6880"/>
    <cellStyle name="Output 3 6" xfId="6881"/>
    <cellStyle name="Output 3_15-FINANCEIRAS" xfId="6882"/>
    <cellStyle name="Output 4" xfId="6883"/>
    <cellStyle name="Output 4 2" xfId="6884"/>
    <cellStyle name="Output 4_15-FINANCEIRAS" xfId="6885"/>
    <cellStyle name="Output 5" xfId="6886"/>
    <cellStyle name="Output 5 2" xfId="6887"/>
    <cellStyle name="Output 5_15-FINANCEIRAS" xfId="6888"/>
    <cellStyle name="Output 6" xfId="6889"/>
    <cellStyle name="Output 6 2" xfId="6890"/>
    <cellStyle name="Output 6_15-FINANCEIRAS" xfId="6891"/>
    <cellStyle name="Output 7" xfId="6892"/>
    <cellStyle name="Output 7 2" xfId="6893"/>
    <cellStyle name="Output 7_15-FINANCEIRAS" xfId="6894"/>
    <cellStyle name="Output 8" xfId="6895"/>
    <cellStyle name="Output 8 2" xfId="6896"/>
    <cellStyle name="Output 8_15-FINANCEIRAS" xfId="6897"/>
    <cellStyle name="Output 9" xfId="6898"/>
    <cellStyle name="Output 9 2" xfId="6899"/>
    <cellStyle name="Output 9_15-FINANCEIRAS" xfId="6900"/>
    <cellStyle name="p " xfId="103"/>
    <cellStyle name="p  2" xfId="163"/>
    <cellStyle name="Pattern5" xfId="6901"/>
    <cellStyle name="Pattern5 2" xfId="6902"/>
    <cellStyle name="Pattern5_15-FINANCEIRAS" xfId="6903"/>
    <cellStyle name="per.style" xfId="6904"/>
    <cellStyle name="Percen - Estilo1" xfId="6905"/>
    <cellStyle name="Percen - Estilo1 2" xfId="6906"/>
    <cellStyle name="Percen - Estilo1 2 2" xfId="6907"/>
    <cellStyle name="Percen - Estilo1 2_15-FINANCEIRAS" xfId="6908"/>
    <cellStyle name="Percen - Estilo1 3" xfId="6909"/>
    <cellStyle name="Percen - Estilo1 3 2" xfId="6910"/>
    <cellStyle name="Percen - Estilo1 3_15-FINANCEIRAS" xfId="6911"/>
    <cellStyle name="Percen - Estilo1 4" xfId="6912"/>
    <cellStyle name="Percen - Estilo1_13-Endividamento" xfId="6913"/>
    <cellStyle name="Percen - Estilo2" xfId="6914"/>
    <cellStyle name="Percen - Estilo2 2" xfId="6915"/>
    <cellStyle name="Percen - Estilo2_15-FINANCEIRAS" xfId="6916"/>
    <cellStyle name="Percent" xfId="104" builtinId="5"/>
    <cellStyle name="Percent %" xfId="6917"/>
    <cellStyle name="Percent % 2" xfId="6918"/>
    <cellStyle name="Percent % Long Underline" xfId="6919"/>
    <cellStyle name="Percent % Long Underline 2" xfId="6920"/>
    <cellStyle name="Percent % Long Underline_15-FINANCEIRAS" xfId="6921"/>
    <cellStyle name="Percent %_15-FINANCEIRAS" xfId="6922"/>
    <cellStyle name="Percent (0)" xfId="6923"/>
    <cellStyle name="Percent (0) 2" xfId="6924"/>
    <cellStyle name="Percent (0)_15-FINANCEIRAS" xfId="6925"/>
    <cellStyle name="Percent [0]" xfId="6926"/>
    <cellStyle name="Percent [0] 2" xfId="6927"/>
    <cellStyle name="Percent [0] 2 2" xfId="6928"/>
    <cellStyle name="Percent [0] 2_15-FINANCEIRAS" xfId="6929"/>
    <cellStyle name="Percent [0] 3" xfId="6930"/>
    <cellStyle name="Percent [0]_15-FINANCEIRAS" xfId="6931"/>
    <cellStyle name="Percent [1]" xfId="6932"/>
    <cellStyle name="Percent [1] 2" xfId="6933"/>
    <cellStyle name="Percent [1] 2 2" xfId="6934"/>
    <cellStyle name="Percent [1] 2_15-FINANCEIRAS" xfId="6935"/>
    <cellStyle name="Percent [1] 3" xfId="6936"/>
    <cellStyle name="Percent [1]_15-FINANCEIRAS" xfId="6937"/>
    <cellStyle name="Percent [2]" xfId="6938"/>
    <cellStyle name="Percent [2] 10" xfId="6939"/>
    <cellStyle name="Percent [2] 10 2" xfId="6940"/>
    <cellStyle name="Percent [2] 10_15-FINANCEIRAS" xfId="6941"/>
    <cellStyle name="Percent [2] 11" xfId="6942"/>
    <cellStyle name="Percent [2] 11 2" xfId="6943"/>
    <cellStyle name="Percent [2] 11_15-FINANCEIRAS" xfId="6944"/>
    <cellStyle name="Percent [2] 12" xfId="6945"/>
    <cellStyle name="Percent [2] 12 2" xfId="6946"/>
    <cellStyle name="Percent [2] 12_15-FINANCEIRAS" xfId="6947"/>
    <cellStyle name="Percent [2] 13" xfId="6948"/>
    <cellStyle name="Percent [2] 13 2" xfId="6949"/>
    <cellStyle name="Percent [2] 13_15-FINANCEIRAS" xfId="6950"/>
    <cellStyle name="Percent [2] 14" xfId="6951"/>
    <cellStyle name="Percent [2] 14 2" xfId="6952"/>
    <cellStyle name="Percent [2] 14_15-FINANCEIRAS" xfId="6953"/>
    <cellStyle name="Percent [2] 15" xfId="6954"/>
    <cellStyle name="Percent [2] 15 2" xfId="6955"/>
    <cellStyle name="Percent [2] 15_15-FINANCEIRAS" xfId="6956"/>
    <cellStyle name="Percent [2] 16" xfId="6957"/>
    <cellStyle name="Percent [2] 16 2" xfId="6958"/>
    <cellStyle name="Percent [2] 16_15-FINANCEIRAS" xfId="6959"/>
    <cellStyle name="Percent [2] 17" xfId="6960"/>
    <cellStyle name="Percent [2] 17 2" xfId="6961"/>
    <cellStyle name="Percent [2] 17_15-FINANCEIRAS" xfId="6962"/>
    <cellStyle name="Percent [2] 18" xfId="6963"/>
    <cellStyle name="Percent [2] 18 2" xfId="6964"/>
    <cellStyle name="Percent [2] 18_15-FINANCEIRAS" xfId="6965"/>
    <cellStyle name="Percent [2] 19" xfId="6966"/>
    <cellStyle name="Percent [2] 19 2" xfId="6967"/>
    <cellStyle name="Percent [2] 19_15-FINANCEIRAS" xfId="6968"/>
    <cellStyle name="Percent [2] 2" xfId="6969"/>
    <cellStyle name="Percent [2] 2 2" xfId="6970"/>
    <cellStyle name="Percent [2] 2 2 2" xfId="6971"/>
    <cellStyle name="Percent [2] 2 2_15-FINANCEIRAS" xfId="6972"/>
    <cellStyle name="Percent [2] 2 3" xfId="6973"/>
    <cellStyle name="Percent [2] 2 3 2" xfId="6974"/>
    <cellStyle name="Percent [2] 2 3_15-FINANCEIRAS" xfId="6975"/>
    <cellStyle name="Percent [2] 2 4" xfId="6976"/>
    <cellStyle name="Percent [2] 2 4 2" xfId="6977"/>
    <cellStyle name="Percent [2] 2 4_15-FINANCEIRAS" xfId="6978"/>
    <cellStyle name="Percent [2] 2 5" xfId="6979"/>
    <cellStyle name="Percent [2] 2 5 2" xfId="6980"/>
    <cellStyle name="Percent [2] 2 5_15-FINANCEIRAS" xfId="6981"/>
    <cellStyle name="Percent [2] 2 6" xfId="6982"/>
    <cellStyle name="Percent [2] 2_15-FINANCEIRAS" xfId="6983"/>
    <cellStyle name="Percent [2] 20" xfId="6984"/>
    <cellStyle name="Percent [2] 20 2" xfId="6985"/>
    <cellStyle name="Percent [2] 20_15-FINANCEIRAS" xfId="6986"/>
    <cellStyle name="Percent [2] 21" xfId="6987"/>
    <cellStyle name="Percent [2] 21 2" xfId="6988"/>
    <cellStyle name="Percent [2] 21_15-FINANCEIRAS" xfId="6989"/>
    <cellStyle name="Percent [2] 22" xfId="6990"/>
    <cellStyle name="Percent [2] 22 2" xfId="6991"/>
    <cellStyle name="Percent [2] 22_15-FINANCEIRAS" xfId="6992"/>
    <cellStyle name="Percent [2] 23" xfId="6993"/>
    <cellStyle name="Percent [2] 23 2" xfId="6994"/>
    <cellStyle name="Percent [2] 23_15-FINANCEIRAS" xfId="6995"/>
    <cellStyle name="Percent [2] 24" xfId="6996"/>
    <cellStyle name="Percent [2] 24 2" xfId="6997"/>
    <cellStyle name="Percent [2] 24_15-FINANCEIRAS" xfId="6998"/>
    <cellStyle name="Percent [2] 25" xfId="6999"/>
    <cellStyle name="Percent [2] 25 2" xfId="7000"/>
    <cellStyle name="Percent [2] 25_15-FINANCEIRAS" xfId="7001"/>
    <cellStyle name="Percent [2] 26" xfId="7002"/>
    <cellStyle name="Percent [2] 26 2" xfId="7003"/>
    <cellStyle name="Percent [2] 26_15-FINANCEIRAS" xfId="7004"/>
    <cellStyle name="Percent [2] 27" xfId="7005"/>
    <cellStyle name="Percent [2] 27 2" xfId="7006"/>
    <cellStyle name="Percent [2] 27_15-FINANCEIRAS" xfId="7007"/>
    <cellStyle name="Percent [2] 28" xfId="7008"/>
    <cellStyle name="Percent [2] 28 2" xfId="7009"/>
    <cellStyle name="Percent [2] 28_15-FINANCEIRAS" xfId="7010"/>
    <cellStyle name="Percent [2] 29" xfId="7011"/>
    <cellStyle name="Percent [2] 29 2" xfId="7012"/>
    <cellStyle name="Percent [2] 29_15-FINANCEIRAS" xfId="7013"/>
    <cellStyle name="Percent [2] 3" xfId="7014"/>
    <cellStyle name="Percent [2] 3 2" xfId="7015"/>
    <cellStyle name="Percent [2] 3 2 2" xfId="7016"/>
    <cellStyle name="Percent [2] 3 2_15-FINANCEIRAS" xfId="7017"/>
    <cellStyle name="Percent [2] 3 3" xfId="7018"/>
    <cellStyle name="Percent [2] 3 3 2" xfId="7019"/>
    <cellStyle name="Percent [2] 3 3_15-FINANCEIRAS" xfId="7020"/>
    <cellStyle name="Percent [2] 3 4" xfId="7021"/>
    <cellStyle name="Percent [2] 3 4 2" xfId="7022"/>
    <cellStyle name="Percent [2] 3 4_15-FINANCEIRAS" xfId="7023"/>
    <cellStyle name="Percent [2] 3 5" xfId="7024"/>
    <cellStyle name="Percent [2] 3 5 2" xfId="7025"/>
    <cellStyle name="Percent [2] 3 5_15-FINANCEIRAS" xfId="7026"/>
    <cellStyle name="Percent [2] 3 6" xfId="7027"/>
    <cellStyle name="Percent [2] 3_15-FINANCEIRAS" xfId="7028"/>
    <cellStyle name="Percent [2] 30" xfId="7029"/>
    <cellStyle name="Percent [2] 30 2" xfId="7030"/>
    <cellStyle name="Percent [2] 30_15-FINANCEIRAS" xfId="7031"/>
    <cellStyle name="Percent [2] 31" xfId="7032"/>
    <cellStyle name="Percent [2] 31 2" xfId="7033"/>
    <cellStyle name="Percent [2] 31_15-FINANCEIRAS" xfId="7034"/>
    <cellStyle name="Percent [2] 32" xfId="7035"/>
    <cellStyle name="Percent [2] 32 2" xfId="7036"/>
    <cellStyle name="Percent [2] 32_15-FINANCEIRAS" xfId="7037"/>
    <cellStyle name="Percent [2] 33" xfId="7038"/>
    <cellStyle name="Percent [2] 33 2" xfId="7039"/>
    <cellStyle name="Percent [2] 33_15-FINANCEIRAS" xfId="7040"/>
    <cellStyle name="Percent [2] 34" xfId="7041"/>
    <cellStyle name="Percent [2] 34 2" xfId="7042"/>
    <cellStyle name="Percent [2] 34_15-FINANCEIRAS" xfId="7043"/>
    <cellStyle name="Percent [2] 35" xfId="7044"/>
    <cellStyle name="Percent [2] 35 2" xfId="7045"/>
    <cellStyle name="Percent [2] 35_15-FINANCEIRAS" xfId="7046"/>
    <cellStyle name="Percent [2] 36" xfId="7047"/>
    <cellStyle name="Percent [2] 36 2" xfId="7048"/>
    <cellStyle name="Percent [2] 36_15-FINANCEIRAS" xfId="7049"/>
    <cellStyle name="Percent [2] 37" xfId="7050"/>
    <cellStyle name="Percent [2] 4" xfId="7051"/>
    <cellStyle name="Percent [2] 4 2" xfId="7052"/>
    <cellStyle name="Percent [2] 4 2 2" xfId="7053"/>
    <cellStyle name="Percent [2] 4 2_15-FINANCEIRAS" xfId="7054"/>
    <cellStyle name="Percent [2] 4 3" xfId="7055"/>
    <cellStyle name="Percent [2] 4 3 2" xfId="7056"/>
    <cellStyle name="Percent [2] 4 3_15-FINANCEIRAS" xfId="7057"/>
    <cellStyle name="Percent [2] 4 4" xfId="7058"/>
    <cellStyle name="Percent [2] 4 4 2" xfId="7059"/>
    <cellStyle name="Percent [2] 4 4_15-FINANCEIRAS" xfId="7060"/>
    <cellStyle name="Percent [2] 4 5" xfId="7061"/>
    <cellStyle name="Percent [2] 4_15-FINANCEIRAS" xfId="7062"/>
    <cellStyle name="Percent [2] 5" xfId="7063"/>
    <cellStyle name="Percent [2] 5 2" xfId="7064"/>
    <cellStyle name="Percent [2] 5 2 2" xfId="7065"/>
    <cellStyle name="Percent [2] 5 2_15-FINANCEIRAS" xfId="7066"/>
    <cellStyle name="Percent [2] 5 3" xfId="7067"/>
    <cellStyle name="Percent [2] 5_15-FINANCEIRAS" xfId="7068"/>
    <cellStyle name="Percent [2] 6" xfId="7069"/>
    <cellStyle name="Percent [2] 6 2" xfId="7070"/>
    <cellStyle name="Percent [2] 6 2 2" xfId="7071"/>
    <cellStyle name="Percent [2] 6 2_15-FINANCEIRAS" xfId="7072"/>
    <cellStyle name="Percent [2] 6 3" xfId="7073"/>
    <cellStyle name="Percent [2] 6_15-FINANCEIRAS" xfId="7074"/>
    <cellStyle name="Percent [2] 7" xfId="7075"/>
    <cellStyle name="Percent [2] 7 2" xfId="7076"/>
    <cellStyle name="Percent [2] 7_15-FINANCEIRAS" xfId="7077"/>
    <cellStyle name="Percent [2] 8" xfId="7078"/>
    <cellStyle name="Percent [2] 8 2" xfId="7079"/>
    <cellStyle name="Percent [2] 8_15-FINANCEIRAS" xfId="7080"/>
    <cellStyle name="Percent [2] 9" xfId="7081"/>
    <cellStyle name="Percent [2] 9 2" xfId="7082"/>
    <cellStyle name="Percent [2] 9_15-FINANCEIRAS" xfId="7083"/>
    <cellStyle name="Percent [2]_15-FINANCEIRAS" xfId="7084"/>
    <cellStyle name="Percent 0.0%" xfId="7085"/>
    <cellStyle name="Percent 0.0% 2" xfId="7086"/>
    <cellStyle name="Percent 0.0% Long Underline" xfId="7087"/>
    <cellStyle name="Percent 0.0% Long Underline 2" xfId="7088"/>
    <cellStyle name="Percent 0.0% Long Underline_15-FINANCEIRAS" xfId="7089"/>
    <cellStyle name="Percent 0.0%_15-FINANCEIRAS" xfId="7090"/>
    <cellStyle name="Percent 0.00%" xfId="7091"/>
    <cellStyle name="Percent 0.00% 2" xfId="7092"/>
    <cellStyle name="Percent 0.00% Long Underline" xfId="7093"/>
    <cellStyle name="Percent 0.00% Long Underline 2" xfId="7094"/>
    <cellStyle name="Percent 0.00% Long Underline_15-FINANCEIRAS" xfId="7095"/>
    <cellStyle name="Percent 0.00%_15-FINANCEIRAS" xfId="7096"/>
    <cellStyle name="Percent 0.000%" xfId="7097"/>
    <cellStyle name="Percent 0.000% 2" xfId="7098"/>
    <cellStyle name="Percent 0.000% Long Underline" xfId="7099"/>
    <cellStyle name="Percent 0.000% Long Underline 2" xfId="7100"/>
    <cellStyle name="Percent 0.000% Long Underline_15-FINANCEIRAS" xfId="7101"/>
    <cellStyle name="Percent 0.000%_15-FINANCEIRAS" xfId="7102"/>
    <cellStyle name="Percent 10" xfId="7103"/>
    <cellStyle name="Percent 10 2" xfId="7104"/>
    <cellStyle name="Percent 10_15-FINANCEIRAS" xfId="7105"/>
    <cellStyle name="Percent 11" xfId="7106"/>
    <cellStyle name="Percent 11 2" xfId="7107"/>
    <cellStyle name="Percent 11_15-FINANCEIRAS" xfId="7108"/>
    <cellStyle name="Percent 12" xfId="7109"/>
    <cellStyle name="Percent 12 2" xfId="7110"/>
    <cellStyle name="Percent 12_15-FINANCEIRAS" xfId="7111"/>
    <cellStyle name="Percent 13" xfId="7112"/>
    <cellStyle name="Percent 13 2" xfId="7113"/>
    <cellStyle name="Percent 13_15-FINANCEIRAS" xfId="7114"/>
    <cellStyle name="Percent 14" xfId="7115"/>
    <cellStyle name="Percent 14 2" xfId="7116"/>
    <cellStyle name="Percent 14_15-FINANCEIRAS" xfId="7117"/>
    <cellStyle name="Percent 15" xfId="7118"/>
    <cellStyle name="Percent 15 2" xfId="7119"/>
    <cellStyle name="Percent 15_15-FINANCEIRAS" xfId="7120"/>
    <cellStyle name="Percent 16" xfId="7121"/>
    <cellStyle name="Percent 16 2" xfId="7122"/>
    <cellStyle name="Percent 16_15-FINANCEIRAS" xfId="7123"/>
    <cellStyle name="Percent 17" xfId="7124"/>
    <cellStyle name="Percent 17 2" xfId="7125"/>
    <cellStyle name="Percent 17_15-FINANCEIRAS" xfId="7126"/>
    <cellStyle name="Percent 18" xfId="7127"/>
    <cellStyle name="Percent 18 2" xfId="7128"/>
    <cellStyle name="Percent 18_15-FINANCEIRAS" xfId="7129"/>
    <cellStyle name="Percent 19" xfId="7130"/>
    <cellStyle name="Percent 19 2" xfId="7131"/>
    <cellStyle name="Percent 19_15-FINANCEIRAS" xfId="7132"/>
    <cellStyle name="Percent 2" xfId="164"/>
    <cellStyle name="Percent 2 10" xfId="7133"/>
    <cellStyle name="Percent 2 10 2" xfId="7134"/>
    <cellStyle name="Percent 2 10_15-FINANCEIRAS" xfId="7135"/>
    <cellStyle name="Percent 2 11" xfId="7136"/>
    <cellStyle name="Percent 2 11 2" xfId="7137"/>
    <cellStyle name="Percent 2 11_15-FINANCEIRAS" xfId="7138"/>
    <cellStyle name="Percent 2 12" xfId="7139"/>
    <cellStyle name="Percent 2 12 2" xfId="7140"/>
    <cellStyle name="Percent 2 12_15-FINANCEIRAS" xfId="7141"/>
    <cellStyle name="Percent 2 13" xfId="7142"/>
    <cellStyle name="Percent 2 13 2" xfId="7143"/>
    <cellStyle name="Percent 2 13_15-FINANCEIRAS" xfId="7144"/>
    <cellStyle name="Percent 2 14" xfId="7145"/>
    <cellStyle name="Percent 2 14 2" xfId="7146"/>
    <cellStyle name="Percent 2 14_15-FINANCEIRAS" xfId="7147"/>
    <cellStyle name="Percent 2 15" xfId="7148"/>
    <cellStyle name="Percent 2 15 2" xfId="7149"/>
    <cellStyle name="Percent 2 15_15-FINANCEIRAS" xfId="7150"/>
    <cellStyle name="Percent 2 16" xfId="7151"/>
    <cellStyle name="Percent 2 16 2" xfId="7152"/>
    <cellStyle name="Percent 2 16_15-FINANCEIRAS" xfId="7153"/>
    <cellStyle name="Percent 2 17" xfId="7154"/>
    <cellStyle name="Percent 2 17 2" xfId="7155"/>
    <cellStyle name="Percent 2 17_15-FINANCEIRAS" xfId="7156"/>
    <cellStyle name="Percent 2 18" xfId="7157"/>
    <cellStyle name="Percent 2 18 2" xfId="7158"/>
    <cellStyle name="Percent 2 18_15-FINANCEIRAS" xfId="7159"/>
    <cellStyle name="Percent 2 19" xfId="7160"/>
    <cellStyle name="Percent 2 19 2" xfId="7161"/>
    <cellStyle name="Percent 2 19_15-FINANCEIRAS" xfId="7162"/>
    <cellStyle name="Percent 2 2" xfId="118"/>
    <cellStyle name="Percent 2 2 2" xfId="7163"/>
    <cellStyle name="Percent 2 2 2 2" xfId="7164"/>
    <cellStyle name="Percent 2 2 2_15-FINANCEIRAS" xfId="7165"/>
    <cellStyle name="Percent 2 2 3" xfId="7166"/>
    <cellStyle name="Percent 2 2_15-FINANCEIRAS" xfId="7167"/>
    <cellStyle name="Percent 2 20" xfId="7168"/>
    <cellStyle name="Percent 2 21" xfId="21319"/>
    <cellStyle name="Percent 2 22" xfId="21369"/>
    <cellStyle name="Percent 2 23" xfId="21373"/>
    <cellStyle name="Percent 2 3" xfId="7169"/>
    <cellStyle name="Percent 2 3 2" xfId="7170"/>
    <cellStyle name="Percent 2 3_15-FINANCEIRAS" xfId="7171"/>
    <cellStyle name="Percent 2 4" xfId="7172"/>
    <cellStyle name="Percent 2 4 2" xfId="7173"/>
    <cellStyle name="Percent 2 4_15-FINANCEIRAS" xfId="7174"/>
    <cellStyle name="Percent 2 5" xfId="7175"/>
    <cellStyle name="Percent 2 5 2" xfId="7176"/>
    <cellStyle name="Percent 2 5_15-FINANCEIRAS" xfId="7177"/>
    <cellStyle name="Percent 2 6" xfId="7178"/>
    <cellStyle name="Percent 2 6 2" xfId="7179"/>
    <cellStyle name="Percent 2 6_15-FINANCEIRAS" xfId="7180"/>
    <cellStyle name="Percent 2 7" xfId="7181"/>
    <cellStyle name="Percent 2 7 2" xfId="7182"/>
    <cellStyle name="Percent 2 7_15-FINANCEIRAS" xfId="7183"/>
    <cellStyle name="Percent 2 8" xfId="7184"/>
    <cellStyle name="Percent 2 8 2" xfId="7185"/>
    <cellStyle name="Percent 2 8_15-FINANCEIRAS" xfId="7186"/>
    <cellStyle name="Percent 2 9" xfId="7187"/>
    <cellStyle name="Percent 2 9 2" xfId="7188"/>
    <cellStyle name="Percent 2 9_15-FINANCEIRAS" xfId="7189"/>
    <cellStyle name="Percent 2_15-FINANCEIRAS" xfId="7190"/>
    <cellStyle name="Percent 20" xfId="7191"/>
    <cellStyle name="Percent 20 2" xfId="7192"/>
    <cellStyle name="Percent 20_15-FINANCEIRAS" xfId="7193"/>
    <cellStyle name="Percent 21" xfId="7194"/>
    <cellStyle name="Percent 21 2" xfId="7195"/>
    <cellStyle name="Percent 21_15-FINANCEIRAS" xfId="7196"/>
    <cellStyle name="Percent 22" xfId="21303"/>
    <cellStyle name="Percent 22 2" xfId="21356"/>
    <cellStyle name="Percent 22 2 2" xfId="21483"/>
    <cellStyle name="Percent 22 3" xfId="21446"/>
    <cellStyle name="Percent 23" xfId="21305"/>
    <cellStyle name="Percent 23 2" xfId="21358"/>
    <cellStyle name="Percent 23 2 2" xfId="21485"/>
    <cellStyle name="Percent 23 3" xfId="21448"/>
    <cellStyle name="Percent 24" xfId="21318"/>
    <cellStyle name="Percent 25" xfId="21368"/>
    <cellStyle name="Percent 26" xfId="21382"/>
    <cellStyle name="Percent 27" xfId="21383"/>
    <cellStyle name="Percent 28" xfId="21404"/>
    <cellStyle name="Percent 29" xfId="21439"/>
    <cellStyle name="Percent 3" xfId="165"/>
    <cellStyle name="Percent 3 2" xfId="7197"/>
    <cellStyle name="Percent 3 2 2" xfId="7198"/>
    <cellStyle name="Percent 3 2_15-FINANCEIRAS" xfId="7199"/>
    <cellStyle name="Percent 3 3" xfId="7200"/>
    <cellStyle name="Percent 3 4" xfId="21320"/>
    <cellStyle name="Percent 3 4 2" xfId="21451"/>
    <cellStyle name="Percent 3 5" xfId="21370"/>
    <cellStyle name="Percent 3 5 2" xfId="21487"/>
    <cellStyle name="Percent 3 6" xfId="21372"/>
    <cellStyle name="Percent 3 6 2" xfId="21488"/>
    <cellStyle name="Percent 3 7" xfId="21407"/>
    <cellStyle name="Percent 3 8" xfId="21437"/>
    <cellStyle name="Percent 3_15-FINANCEIRAS" xfId="7201"/>
    <cellStyle name="Percent 30" xfId="21495"/>
    <cellStyle name="Percent 31" xfId="21560"/>
    <cellStyle name="Percent 4" xfId="7202"/>
    <cellStyle name="Percent 4 2" xfId="7203"/>
    <cellStyle name="Percent 4_15-FINANCEIRAS" xfId="7204"/>
    <cellStyle name="Percent 5" xfId="7205"/>
    <cellStyle name="Percent 5 2" xfId="7206"/>
    <cellStyle name="Percent 5 2 2" xfId="7207"/>
    <cellStyle name="Percent 5 2_15-FINANCEIRAS" xfId="7208"/>
    <cellStyle name="Percent 5 3" xfId="7209"/>
    <cellStyle name="Percent 5_15-FINANCEIRAS" xfId="7210"/>
    <cellStyle name="Percent 6" xfId="7211"/>
    <cellStyle name="Percent 6 2" xfId="7212"/>
    <cellStyle name="Percent 6 2 2" xfId="7213"/>
    <cellStyle name="Percent 6 2 2 2" xfId="7214"/>
    <cellStyle name="Percent 6 2 2_15-FINANCEIRAS" xfId="7215"/>
    <cellStyle name="Percent 6 2 3" xfId="7216"/>
    <cellStyle name="Percent 6 2_15-FINANCEIRAS" xfId="7217"/>
    <cellStyle name="Percent 6 3" xfId="7218"/>
    <cellStyle name="Percent 6 3 2" xfId="7219"/>
    <cellStyle name="Percent 6 3_15-FINANCEIRAS" xfId="7220"/>
    <cellStyle name="Percent 6 4" xfId="7221"/>
    <cellStyle name="Percent 6_15-FINANCEIRAS" xfId="7222"/>
    <cellStyle name="Percent 7" xfId="7223"/>
    <cellStyle name="Percent 7 2" xfId="7224"/>
    <cellStyle name="Percent 7_15-FINANCEIRAS" xfId="7225"/>
    <cellStyle name="Percent 8" xfId="7226"/>
    <cellStyle name="Percent 8 2" xfId="7227"/>
    <cellStyle name="Percent 8_15-FINANCEIRAS" xfId="7228"/>
    <cellStyle name="Percent 9" xfId="7229"/>
    <cellStyle name="Percent 9 2" xfId="7230"/>
    <cellStyle name="Percent 9_15-FINANCEIRAS" xfId="7231"/>
    <cellStyle name="PercentChange_ Pies " xfId="21397"/>
    <cellStyle name="Percentual" xfId="7232"/>
    <cellStyle name="Percentual 2" xfId="7233"/>
    <cellStyle name="Percentual_15-FINANCEIRAS" xfId="7234"/>
    <cellStyle name="Ponto" xfId="7235"/>
    <cellStyle name="Ponto 2" xfId="7236"/>
    <cellStyle name="Ponto_15-FINANCEIRAS" xfId="7237"/>
    <cellStyle name="Porcentagem 10" xfId="7238"/>
    <cellStyle name="Porcentagem 10 2" xfId="7239"/>
    <cellStyle name="Porcentagem 10 3" xfId="21552"/>
    <cellStyle name="Porcentagem 10_15-FINANCEIRAS" xfId="7240"/>
    <cellStyle name="Porcentagem 11" xfId="7241"/>
    <cellStyle name="Porcentagem 11 2" xfId="7242"/>
    <cellStyle name="Porcentagem 11_15-FINANCEIRAS" xfId="7243"/>
    <cellStyle name="Porcentagem 12" xfId="7244"/>
    <cellStyle name="Porcentagem 12 2" xfId="7245"/>
    <cellStyle name="Porcentagem 12_15-FINANCEIRAS" xfId="7246"/>
    <cellStyle name="Porcentagem 13" xfId="7247"/>
    <cellStyle name="Porcentagem 13 2" xfId="7248"/>
    <cellStyle name="Porcentagem 13_15-FINANCEIRAS" xfId="7249"/>
    <cellStyle name="Porcentagem 14" xfId="7250"/>
    <cellStyle name="Porcentagem 14 2" xfId="7251"/>
    <cellStyle name="Porcentagem 14_15-FINANCEIRAS" xfId="7252"/>
    <cellStyle name="Porcentagem 15" xfId="7253"/>
    <cellStyle name="Porcentagem 15 2" xfId="21348"/>
    <cellStyle name="Porcentagem 15 2 2" xfId="21475"/>
    <cellStyle name="Porcentagem 15 3" xfId="21431"/>
    <cellStyle name="Porcentagem 2" xfId="7254"/>
    <cellStyle name="Porcentagem 2 10" xfId="7255"/>
    <cellStyle name="Porcentagem 2 11" xfId="7256"/>
    <cellStyle name="Porcentagem 2 2" xfId="7257"/>
    <cellStyle name="Porcentagem 2 2 2" xfId="7258"/>
    <cellStyle name="Porcentagem 2 2 2 2" xfId="7259"/>
    <cellStyle name="Porcentagem 2 2 2_15-FINANCEIRAS" xfId="7260"/>
    <cellStyle name="Porcentagem 2 2 3" xfId="7261"/>
    <cellStyle name="Porcentagem 2 2 4" xfId="7262"/>
    <cellStyle name="Porcentagem 2 2_15-FINANCEIRAS" xfId="7263"/>
    <cellStyle name="Porcentagem 2 3" xfId="7264"/>
    <cellStyle name="Porcentagem 2 3 2" xfId="7265"/>
    <cellStyle name="Porcentagem 2 3 2 2" xfId="7266"/>
    <cellStyle name="Porcentagem 2 3 2_15-FINANCEIRAS" xfId="7267"/>
    <cellStyle name="Porcentagem 2 3 3" xfId="7268"/>
    <cellStyle name="Porcentagem 2 3_15-FINANCEIRAS" xfId="7269"/>
    <cellStyle name="Porcentagem 2 4" xfId="7270"/>
    <cellStyle name="Porcentagem 2 4 2" xfId="7271"/>
    <cellStyle name="Porcentagem 2 4 2 2" xfId="7272"/>
    <cellStyle name="Porcentagem 2 4 2_15-FINANCEIRAS" xfId="7273"/>
    <cellStyle name="Porcentagem 2 4 3" xfId="7274"/>
    <cellStyle name="Porcentagem 2 4_15-FINANCEIRAS" xfId="7275"/>
    <cellStyle name="Porcentagem 2 5" xfId="7276"/>
    <cellStyle name="Porcentagem 2 5 2" xfId="7277"/>
    <cellStyle name="Porcentagem 2 5 2 2" xfId="7278"/>
    <cellStyle name="Porcentagem 2 5 2_15-FINANCEIRAS" xfId="7279"/>
    <cellStyle name="Porcentagem 2 5 3" xfId="7280"/>
    <cellStyle name="Porcentagem 2 5_15-FINANCEIRAS" xfId="7281"/>
    <cellStyle name="Porcentagem 2 6" xfId="7282"/>
    <cellStyle name="Porcentagem 2 6 2" xfId="7283"/>
    <cellStyle name="Porcentagem 2 6 2 2" xfId="7284"/>
    <cellStyle name="Porcentagem 2 6 2_15-FINANCEIRAS" xfId="7285"/>
    <cellStyle name="Porcentagem 2 6 3" xfId="7286"/>
    <cellStyle name="Porcentagem 2 6_15-FINANCEIRAS" xfId="7287"/>
    <cellStyle name="Porcentagem 2 7" xfId="7288"/>
    <cellStyle name="Porcentagem 2 8" xfId="7289"/>
    <cellStyle name="Porcentagem 2 9" xfId="7290"/>
    <cellStyle name="Porcentagem 2_15-FINANCEIRAS" xfId="7291"/>
    <cellStyle name="Porcentagem 3" xfId="7292"/>
    <cellStyle name="Porcentagem 3 2" xfId="7293"/>
    <cellStyle name="Porcentagem 3 2 2" xfId="7294"/>
    <cellStyle name="Porcentagem 3 2 2 2" xfId="7295"/>
    <cellStyle name="Porcentagem 3 2 2_15-FINANCEIRAS" xfId="7296"/>
    <cellStyle name="Porcentagem 3 2 3" xfId="7297"/>
    <cellStyle name="Porcentagem 3 2_15-FINANCEIRAS" xfId="7298"/>
    <cellStyle name="Porcentagem 3 3" xfId="7299"/>
    <cellStyle name="Porcentagem 3 3 2" xfId="7300"/>
    <cellStyle name="Porcentagem 3 3_15-FINANCEIRAS" xfId="7301"/>
    <cellStyle name="Porcentagem 3 4" xfId="7302"/>
    <cellStyle name="Porcentagem 3 4 2" xfId="7303"/>
    <cellStyle name="Porcentagem 3 4_15-FINANCEIRAS" xfId="7304"/>
    <cellStyle name="Porcentagem 3 5" xfId="7305"/>
    <cellStyle name="Porcentagem 3 6" xfId="21534"/>
    <cellStyle name="Porcentagem 3_15-FINANCEIRAS" xfId="7306"/>
    <cellStyle name="Porcentagem 4" xfId="7307"/>
    <cellStyle name="Porcentagem 4 2" xfId="7308"/>
    <cellStyle name="Porcentagem 4 2 2" xfId="7309"/>
    <cellStyle name="Porcentagem 4 2 2 2" xfId="7310"/>
    <cellStyle name="Porcentagem 4 2 2 2 2" xfId="7311"/>
    <cellStyle name="Porcentagem 4 2 2 2_15-FINANCEIRAS" xfId="7312"/>
    <cellStyle name="Porcentagem 4 2 2 3" xfId="7313"/>
    <cellStyle name="Porcentagem 4 2 2_15-FINANCEIRAS" xfId="7314"/>
    <cellStyle name="Porcentagem 4 2 3" xfId="7315"/>
    <cellStyle name="Porcentagem 4 2 3 2" xfId="7316"/>
    <cellStyle name="Porcentagem 4 2 3_15-FINANCEIRAS" xfId="7317"/>
    <cellStyle name="Porcentagem 4 2 4" xfId="7318"/>
    <cellStyle name="Porcentagem 4 2_15-FINANCEIRAS" xfId="7319"/>
    <cellStyle name="Porcentagem 4 3" xfId="7320"/>
    <cellStyle name="Porcentagem 4 3 2" xfId="7321"/>
    <cellStyle name="Porcentagem 4 3 2 2" xfId="7322"/>
    <cellStyle name="Porcentagem 4 3 2_15-FINANCEIRAS" xfId="7323"/>
    <cellStyle name="Porcentagem 4 3 3" xfId="7324"/>
    <cellStyle name="Porcentagem 4 3_15-FINANCEIRAS" xfId="7325"/>
    <cellStyle name="Porcentagem 4 4" xfId="7326"/>
    <cellStyle name="Porcentagem 4 4 2" xfId="7327"/>
    <cellStyle name="Porcentagem 4 4_15-FINANCEIRAS" xfId="7328"/>
    <cellStyle name="Porcentagem 4 5" xfId="7329"/>
    <cellStyle name="Porcentagem 4 5 2" xfId="7330"/>
    <cellStyle name="Porcentagem 4 5_15-FINANCEIRAS" xfId="7331"/>
    <cellStyle name="Porcentagem 4 6" xfId="7332"/>
    <cellStyle name="Porcentagem 4_15-FINANCEIRAS" xfId="7333"/>
    <cellStyle name="Porcentagem 5" xfId="7334"/>
    <cellStyle name="Porcentagem 5 2" xfId="7335"/>
    <cellStyle name="Porcentagem 5 2 2" xfId="7336"/>
    <cellStyle name="Porcentagem 5 2 2 2" xfId="7337"/>
    <cellStyle name="Porcentagem 5 2 2_15-FINANCEIRAS" xfId="7338"/>
    <cellStyle name="Porcentagem 5 2 3" xfId="7339"/>
    <cellStyle name="Porcentagem 5 2_15-FINANCEIRAS" xfId="7340"/>
    <cellStyle name="Porcentagem 5 3" xfId="7341"/>
    <cellStyle name="Porcentagem 5 3 2" xfId="7342"/>
    <cellStyle name="Porcentagem 5 3_15-FINANCEIRAS" xfId="7343"/>
    <cellStyle name="Porcentagem 5 4" xfId="7344"/>
    <cellStyle name="Porcentagem 5 4 2" xfId="7345"/>
    <cellStyle name="Porcentagem 5 4_15-FINANCEIRAS" xfId="7346"/>
    <cellStyle name="Porcentagem 5 5" xfId="7347"/>
    <cellStyle name="Porcentagem 5_15-FINANCEIRAS" xfId="7348"/>
    <cellStyle name="Porcentagem 6" xfId="7349"/>
    <cellStyle name="Porcentagem 6 2" xfId="7350"/>
    <cellStyle name="Porcentagem 6 2 2" xfId="7351"/>
    <cellStyle name="Porcentagem 6 2_15-FINANCEIRAS" xfId="7352"/>
    <cellStyle name="Porcentagem 6 3" xfId="7353"/>
    <cellStyle name="Porcentagem 6_15-FINANCEIRAS" xfId="7354"/>
    <cellStyle name="Porcentagem 7" xfId="7355"/>
    <cellStyle name="Porcentagem 7 2" xfId="7356"/>
    <cellStyle name="Porcentagem 7 2 2" xfId="7357"/>
    <cellStyle name="Porcentagem 7 2_15-FINANCEIRAS" xfId="7358"/>
    <cellStyle name="Porcentagem 7 3" xfId="7359"/>
    <cellStyle name="Porcentagem 7_15-FINANCEIRAS" xfId="7360"/>
    <cellStyle name="Porcentagem 8" xfId="7361"/>
    <cellStyle name="Porcentagem 8 2" xfId="7362"/>
    <cellStyle name="Porcentagem 8_15-FINANCEIRAS" xfId="7363"/>
    <cellStyle name="Porcentagem 9" xfId="7364"/>
    <cellStyle name="Porcentagem 9 2" xfId="7365"/>
    <cellStyle name="Porcentagem 9_15-FINANCEIRAS" xfId="7366"/>
    <cellStyle name="Porcentaje" xfId="7367"/>
    <cellStyle name="Porcentaje 2" xfId="7368"/>
    <cellStyle name="Porcentaje 2 2" xfId="7369"/>
    <cellStyle name="Porcentaje 2_15-FINANCEIRAS" xfId="7370"/>
    <cellStyle name="Porcentaje 3" xfId="7371"/>
    <cellStyle name="Porcentaje 3 2" xfId="7372"/>
    <cellStyle name="Porcentaje 3_15-FINANCEIRAS" xfId="7373"/>
    <cellStyle name="Porcentaje 4" xfId="7374"/>
    <cellStyle name="Porcentaje_15-FINANCEIRAS" xfId="7375"/>
    <cellStyle name="Produto" xfId="7376"/>
    <cellStyle name="RatioX_ Pies " xfId="21398"/>
    <cellStyle name="Red" xfId="7377"/>
    <cellStyle name="Red 2" xfId="7378"/>
    <cellStyle name="Red Text" xfId="7379"/>
    <cellStyle name="Red Text 2" xfId="7380"/>
    <cellStyle name="Red Text_15-FINANCEIRAS" xfId="7381"/>
    <cellStyle name="Red_15-FINANCEIRAS" xfId="7382"/>
    <cellStyle name="RM" xfId="7383"/>
    <cellStyle name="RM 2" xfId="7384"/>
    <cellStyle name="RM_15-FINANCEIRAS" xfId="7385"/>
    <cellStyle name="RRSInstruction" xfId="105"/>
    <cellStyle name="RRSInstruction 2" xfId="181"/>
    <cellStyle name="RRSInstruction 3" xfId="166"/>
    <cellStyle name="s_HardInc " xfId="106"/>
    <cellStyle name="s_HardInc  2" xfId="167"/>
    <cellStyle name="s_HardInc _RRST1" xfId="168"/>
    <cellStyle name="s_HardInc _RRST7" xfId="169"/>
    <cellStyle name="s_Valuation " xfId="107"/>
    <cellStyle name="s_Valuation  2" xfId="7386"/>
    <cellStyle name="s_Valuation  2 2" xfId="7387"/>
    <cellStyle name="s_Valuation  2 2_15-FINANCEIRAS" xfId="7388"/>
    <cellStyle name="s_Valuation  2 3" xfId="7389"/>
    <cellStyle name="s_Valuation  2_13-Endividamento" xfId="7390"/>
    <cellStyle name="s_Valuation  2_15-FINANCEIRAS" xfId="7391"/>
    <cellStyle name="s_Valuation  2_15-FINANCEIRAS_1" xfId="7392"/>
    <cellStyle name="s_Valuation  2_3-Balanço" xfId="7393"/>
    <cellStyle name="s_Valuation  2_3-Balanço 2" xfId="7394"/>
    <cellStyle name="s_Valuation  2_3-Balanço 2_15-FINANCEIRAS" xfId="7395"/>
    <cellStyle name="s_Valuation  2_3-Balanço_1" xfId="7396"/>
    <cellStyle name="s_Valuation  2_3-Balanço_15-FINANCEIRAS" xfId="7397"/>
    <cellStyle name="s_Valuation  2_3-Balanço_15-FINANCEIRAS_1" xfId="7398"/>
    <cellStyle name="s_Valuation  2_3-Balanço_3-Balanço" xfId="7399"/>
    <cellStyle name="s_Valuation  2_3-Balanço_7-Estoque" xfId="7400"/>
    <cellStyle name="s_Valuation  2_4-DMPL" xfId="7401"/>
    <cellStyle name="s_Valuation  2_4-DMPL 2" xfId="7402"/>
    <cellStyle name="s_Valuation  2_4-DMPL 2_15-FINANCEIRAS" xfId="7403"/>
    <cellStyle name="s_Valuation  2_4-DMPL_15-FINANCEIRAS" xfId="7404"/>
    <cellStyle name="s_Valuation  2_4-DMPL_15-FINANCEIRAS_1" xfId="7405"/>
    <cellStyle name="s_Valuation  2_4-DMPL_3-Balanço" xfId="7406"/>
    <cellStyle name="s_Valuation  2_7-Estoque" xfId="7407"/>
    <cellStyle name="s_Valuation  2_8-Impostos" xfId="7408"/>
    <cellStyle name="s_Valuation  2_8-Impostos 2" xfId="7409"/>
    <cellStyle name="s_Valuation  2_8-Impostos 2_15-FINANCEIRAS" xfId="7410"/>
    <cellStyle name="s_Valuation  2_8-Impostos_15-FINANCEIRAS" xfId="7411"/>
    <cellStyle name="s_Valuation  2_8-Impostos_15-FINANCEIRAS_1" xfId="7412"/>
    <cellStyle name="s_Valuation  2_8-Impostos_3-Balanço" xfId="7413"/>
    <cellStyle name="s_Valuation  2_Balanço" xfId="7414"/>
    <cellStyle name="s_Valuation  3" xfId="7415"/>
    <cellStyle name="s_Valuation  3 2" xfId="7416"/>
    <cellStyle name="s_Valuation  3 2_15-FINANCEIRAS" xfId="7417"/>
    <cellStyle name="s_Valuation  3 3" xfId="7418"/>
    <cellStyle name="s_Valuation  3_15-FINANCEIRAS" xfId="7419"/>
    <cellStyle name="s_Valuation  3_15-FINANCEIRAS_1" xfId="7420"/>
    <cellStyle name="s_Valuation  3_3-Balanço" xfId="7421"/>
    <cellStyle name="s_Valuation  3_7-Estoque" xfId="7422"/>
    <cellStyle name="s_Valuation  4" xfId="7423"/>
    <cellStyle name="s_Valuation  4 2" xfId="7424"/>
    <cellStyle name="s_Valuation  4 2_15-FINANCEIRAS" xfId="7425"/>
    <cellStyle name="s_Valuation  4_15-FINANCEIRAS" xfId="7426"/>
    <cellStyle name="s_Valuation  4_15-FINANCEIRAS_1" xfId="7427"/>
    <cellStyle name="s_Valuation  4_3-Balanço" xfId="7428"/>
    <cellStyle name="s_Valuation  5" xfId="7429"/>
    <cellStyle name="s_Valuation  6" xfId="170"/>
    <cellStyle name="s_Valuation  7" xfId="21496"/>
    <cellStyle name="s_Valuation _13-Endividamento" xfId="7430"/>
    <cellStyle name="s_Valuation _15-FINANCEIRAS" xfId="7431"/>
    <cellStyle name="s_Valuation _15-FINANCEIRAS_1" xfId="7432"/>
    <cellStyle name="s_Valuation _26_Instrumentos Financeiros" xfId="7433"/>
    <cellStyle name="s_Valuation _26_Instrumentos Financeiros 2" xfId="7434"/>
    <cellStyle name="s_Valuation _26_Instrumentos Financeiros 2_15-FINANCEIRAS" xfId="7435"/>
    <cellStyle name="s_Valuation _26_Instrumentos Financeiros_1" xfId="7436"/>
    <cellStyle name="s_Valuation _26_Instrumentos Financeiros_1 2" xfId="7437"/>
    <cellStyle name="s_Valuation _26_Instrumentos Financeiros_1 2_15-FINANCEIRAS" xfId="7438"/>
    <cellStyle name="s_Valuation _26_Instrumentos Financeiros_1_15-FINANCEIRAS" xfId="7439"/>
    <cellStyle name="s_Valuation _26_Instrumentos Financeiros_1_15-FINANCEIRAS_1" xfId="7440"/>
    <cellStyle name="s_Valuation _26_Instrumentos Financeiros_1_3-Balanço" xfId="7441"/>
    <cellStyle name="s_Valuation _26_Instrumentos Financeiros_1_7-Estoque" xfId="7442"/>
    <cellStyle name="s_Valuation _26_Instrumentos Financeiros_15-FINANCEIRAS" xfId="7443"/>
    <cellStyle name="s_Valuation _26_Instrumentos Financeiros_15-FINANCEIRAS_1" xfId="7444"/>
    <cellStyle name="s_Valuation _26_Instrumentos Financeiros_2" xfId="7445"/>
    <cellStyle name="s_Valuation _26_Instrumentos Financeiros_2 2" xfId="7446"/>
    <cellStyle name="s_Valuation _26_Instrumentos Financeiros_2 2_15-FINANCEIRAS" xfId="7447"/>
    <cellStyle name="s_Valuation _26_Instrumentos Financeiros_2_15-FINANCEIRAS" xfId="7448"/>
    <cellStyle name="s_Valuation _26_Instrumentos Financeiros_2_15-FINANCEIRAS_1" xfId="7449"/>
    <cellStyle name="s_Valuation _26_Instrumentos Financeiros_2_3-Balanço" xfId="7450"/>
    <cellStyle name="s_Valuation _26_Instrumentos Financeiros_2_7-Estoque" xfId="7451"/>
    <cellStyle name="s_Valuation _26_Instrumentos Financeiros_3-Balanço" xfId="7452"/>
    <cellStyle name="s_Valuation _26_Instrumentos Financeiros_7-Estoque" xfId="7453"/>
    <cellStyle name="s_Valuation _2-DRE" xfId="7454"/>
    <cellStyle name="s_Valuation _2-DRE 2" xfId="7455"/>
    <cellStyle name="s_Valuation _2-DRE 2_15-FINANCEIRAS" xfId="7456"/>
    <cellStyle name="s_Valuation _2-DRE_1" xfId="7457"/>
    <cellStyle name="s_Valuation _2-DRE_15-FINANCEIRAS" xfId="7458"/>
    <cellStyle name="s_Valuation _2-DRE_15-FINANCEIRAS_1" xfId="7459"/>
    <cellStyle name="s_Valuation _2-DRE_3-Balanço" xfId="7460"/>
    <cellStyle name="s_Valuation _2-DRE_7-Estoque" xfId="7461"/>
    <cellStyle name="s_Valuation _3-Balanço" xfId="7462"/>
    <cellStyle name="s_Valuation _3-Balanço 2" xfId="7463"/>
    <cellStyle name="s_Valuation _3-Balanço 2_15-FINANCEIRAS" xfId="7464"/>
    <cellStyle name="s_Valuation _3-Balanço_1" xfId="7465"/>
    <cellStyle name="s_Valuation _3-Balanço_15-FINANCEIRAS" xfId="7466"/>
    <cellStyle name="s_Valuation _3-Balanço_15-FINANCEIRAS_1" xfId="7467"/>
    <cellStyle name="s_Valuation _3-Balanço_2" xfId="7468"/>
    <cellStyle name="s_Valuation _3-Balanço_3-Balanço" xfId="7469"/>
    <cellStyle name="s_Valuation _3-Balanço_7-Estoque" xfId="7470"/>
    <cellStyle name="s_Valuation _7-Estoque" xfId="7471"/>
    <cellStyle name="s_Valuation _Acerto FV e Ajustes Manuais" xfId="7472"/>
    <cellStyle name="s_Valuation _BS CFO" xfId="7473"/>
    <cellStyle name="s_Valuation _BS CFO 2" xfId="7474"/>
    <cellStyle name="s_Valuation _BS CFO 2 2" xfId="7475"/>
    <cellStyle name="s_Valuation _BS CFO 2 2_15-FINANCEIRAS" xfId="7476"/>
    <cellStyle name="s_Valuation _BS CFO 2_15-FINANCEIRAS" xfId="7477"/>
    <cellStyle name="s_Valuation _BS CFO 2_15-FINANCEIRAS_1" xfId="7478"/>
    <cellStyle name="s_Valuation _BS CFO 2_3-Balanço" xfId="7479"/>
    <cellStyle name="s_Valuation _BS CFO 2_7-Estoque" xfId="7480"/>
    <cellStyle name="s_Valuation _BS CFO 3" xfId="7481"/>
    <cellStyle name="s_Valuation _BS CFO 3 2" xfId="7482"/>
    <cellStyle name="s_Valuation _BS CFO 3 2_15-FINANCEIRAS" xfId="7483"/>
    <cellStyle name="s_Valuation _BS CFO 3_15-FINANCEIRAS" xfId="7484"/>
    <cellStyle name="s_Valuation _BS CFO 3_15-FINANCEIRAS_1" xfId="7485"/>
    <cellStyle name="s_Valuation _BS CFO 3_3-Balanço" xfId="7486"/>
    <cellStyle name="s_Valuation _BS CFO 3_7-Estoque" xfId="7487"/>
    <cellStyle name="s_Valuation _BS CFO 4" xfId="7488"/>
    <cellStyle name="s_Valuation _BS CFO 4 2" xfId="7489"/>
    <cellStyle name="s_Valuation _BS CFO 4 2_15-FINANCEIRAS" xfId="7490"/>
    <cellStyle name="s_Valuation _BS CFO 4_15-FINANCEIRAS" xfId="7491"/>
    <cellStyle name="s_Valuation _BS CFO 4_15-FINANCEIRAS_1" xfId="7492"/>
    <cellStyle name="s_Valuation _BS CFO 4_3-Balanço" xfId="7493"/>
    <cellStyle name="s_Valuation _BS CFO 5" xfId="7494"/>
    <cellStyle name="s_Valuation _BS CFO 5_15-FINANCEIRAS" xfId="7495"/>
    <cellStyle name="s_Valuation _BS CFO_13-Endividamento" xfId="7496"/>
    <cellStyle name="s_Valuation _BS CFO_15-FINANCEIRAS" xfId="7497"/>
    <cellStyle name="s_Valuation _BS CFO_15-FINANCEIRAS_1" xfId="7498"/>
    <cellStyle name="s_Valuation _BS CFO_26_Instrumentos Financeiros" xfId="7499"/>
    <cellStyle name="s_Valuation _BS CFO_26_Instrumentos Financeiros 2" xfId="7500"/>
    <cellStyle name="s_Valuation _BS CFO_26_Instrumentos Financeiros 2_15-FINANCEIRAS" xfId="7501"/>
    <cellStyle name="s_Valuation _BS CFO_26_Instrumentos Financeiros_1" xfId="7502"/>
    <cellStyle name="s_Valuation _BS CFO_26_Instrumentos Financeiros_1 2" xfId="7503"/>
    <cellStyle name="s_Valuation _BS CFO_26_Instrumentos Financeiros_1 2_15-FINANCEIRAS" xfId="7504"/>
    <cellStyle name="s_Valuation _BS CFO_26_Instrumentos Financeiros_1_15-FINANCEIRAS" xfId="7505"/>
    <cellStyle name="s_Valuation _BS CFO_26_Instrumentos Financeiros_1_15-FINANCEIRAS_1" xfId="7506"/>
    <cellStyle name="s_Valuation _BS CFO_26_Instrumentos Financeiros_1_3-Balanço" xfId="7507"/>
    <cellStyle name="s_Valuation _BS CFO_26_Instrumentos Financeiros_1_7-Estoque" xfId="7508"/>
    <cellStyle name="s_Valuation _BS CFO_26_Instrumentos Financeiros_15-FINANCEIRAS" xfId="7509"/>
    <cellStyle name="s_Valuation _BS CFO_26_Instrumentos Financeiros_15-FINANCEIRAS_1" xfId="7510"/>
    <cellStyle name="s_Valuation _BS CFO_26_Instrumentos Financeiros_3-Balanço" xfId="7511"/>
    <cellStyle name="s_Valuation _BS CFO_26_Instrumentos Financeiros_7-Estoque" xfId="7512"/>
    <cellStyle name="s_Valuation _BS CFO_2-DRE" xfId="7513"/>
    <cellStyle name="s_Valuation _BS CFO_2-DRE 2" xfId="7514"/>
    <cellStyle name="s_Valuation _BS CFO_2-DRE 2_15-FINANCEIRAS" xfId="7515"/>
    <cellStyle name="s_Valuation _BS CFO_2-DRE_15-FINANCEIRAS" xfId="7516"/>
    <cellStyle name="s_Valuation _BS CFO_2-DRE_15-FINANCEIRAS_1" xfId="7517"/>
    <cellStyle name="s_Valuation _BS CFO_2-DRE_3-Balanço" xfId="7518"/>
    <cellStyle name="s_Valuation _BS CFO_2-DRE_7-Estoque" xfId="7519"/>
    <cellStyle name="s_Valuation _BS CFO_3-Balanço" xfId="7520"/>
    <cellStyle name="s_Valuation _BS CFO_3-Balanço 2" xfId="7521"/>
    <cellStyle name="s_Valuation _BS CFO_3-Balanço 2_15-FINANCEIRAS" xfId="7522"/>
    <cellStyle name="s_Valuation _BS CFO_3-Balanço_1" xfId="7523"/>
    <cellStyle name="s_Valuation _BS CFO_3-Balanço_1 2" xfId="7524"/>
    <cellStyle name="s_Valuation _BS CFO_3-Balanço_1 2_15-FINANCEIRAS" xfId="7525"/>
    <cellStyle name="s_Valuation _BS CFO_3-Balanço_1_15-FINANCEIRAS" xfId="7526"/>
    <cellStyle name="s_Valuation _BS CFO_3-Balanço_1_15-FINANCEIRAS_1" xfId="7527"/>
    <cellStyle name="s_Valuation _BS CFO_3-Balanço_1_3-Balanço" xfId="7528"/>
    <cellStyle name="s_Valuation _BS CFO_3-Balanço_1_7-Estoque" xfId="7529"/>
    <cellStyle name="s_Valuation _BS CFO_3-Balanço_15-FINANCEIRAS" xfId="7530"/>
    <cellStyle name="s_Valuation _BS CFO_3-Balanço_15-FINANCEIRAS_1" xfId="7531"/>
    <cellStyle name="s_Valuation _BS CFO_3-Balanço_2" xfId="7532"/>
    <cellStyle name="s_Valuation _BS CFO_3-Balanço_3-Balanço" xfId="7533"/>
    <cellStyle name="s_Valuation _BS CFO_3-Balanço_7-Estoque" xfId="7534"/>
    <cellStyle name="s_Valuation _BS CFO_4-DMPL" xfId="7535"/>
    <cellStyle name="s_Valuation _BS CFO_4-DMPL 2" xfId="7536"/>
    <cellStyle name="s_Valuation _BS CFO_4-DMPL 2_15-FINANCEIRAS" xfId="7537"/>
    <cellStyle name="s_Valuation _BS CFO_4-DMPL_15-FINANCEIRAS" xfId="7538"/>
    <cellStyle name="s_Valuation _BS CFO_4-DMPL_15-FINANCEIRAS_1" xfId="7539"/>
    <cellStyle name="s_Valuation _BS CFO_4-DMPL_3-Balanço" xfId="7540"/>
    <cellStyle name="s_Valuation _BS CFO_7-Estoque" xfId="7541"/>
    <cellStyle name="s_Valuation _BS CFO_8-Impostos" xfId="7542"/>
    <cellStyle name="s_Valuation _BS CFO_8-Impostos 2" xfId="7543"/>
    <cellStyle name="s_Valuation _BS CFO_8-Impostos 2_15-FINANCEIRAS" xfId="7544"/>
    <cellStyle name="s_Valuation _BS CFO_8-Impostos_15-FINANCEIRAS" xfId="7545"/>
    <cellStyle name="s_Valuation _BS CFO_8-Impostos_15-FINANCEIRAS_1" xfId="7546"/>
    <cellStyle name="s_Valuation _BS CFO_8-Impostos_3-Balanço" xfId="7547"/>
    <cellStyle name="s_Valuation _BS CFO_Acerto FV e Ajustes Manuais" xfId="7548"/>
    <cellStyle name="s_Valuation _BS CFO_Balanço" xfId="7549"/>
    <cellStyle name="s_Valuation _BS CFO_Caixa restrito" xfId="7550"/>
    <cellStyle name="s_Valuation _BS CFO_Caixa restrito_7-Estoque" xfId="7551"/>
    <cellStyle name="s_Valuation _BS CFO_COSAN SA CONSOLID_MÊS" xfId="7552"/>
    <cellStyle name="s_Valuation _BS CFO_Display" xfId="7553"/>
    <cellStyle name="s_Valuation _BS CFO_Display 2" xfId="7554"/>
    <cellStyle name="s_Valuation _BS CFO_Display 2_15-FINANCEIRAS" xfId="7555"/>
    <cellStyle name="s_Valuation _BS CFO_Display_15-FINANCEIRAS" xfId="7556"/>
    <cellStyle name="s_Valuation _BS CFO_Display_15-FINANCEIRAS_1" xfId="7557"/>
    <cellStyle name="s_Valuation _BS CFO_Display_3-Balanço" xfId="7558"/>
    <cellStyle name="s_Valuation _BS CFO_Display_7-Estoque" xfId="7559"/>
    <cellStyle name="s_Valuation _BS CFO_Instrumentos Financeiros" xfId="7560"/>
    <cellStyle name="s_Valuation _BS CFO_Instrumentos Financeiros 2" xfId="7561"/>
    <cellStyle name="s_Valuation _BS CFO_Instrumentos Financeiros 2_15-FINANCEIRAS" xfId="7562"/>
    <cellStyle name="s_Valuation _BS CFO_Instrumentos Financeiros_15-FINANCEIRAS" xfId="7563"/>
    <cellStyle name="s_Valuation _BS CFO_Instrumentos Financeiros_15-FINANCEIRAS_1" xfId="7564"/>
    <cellStyle name="s_Valuation _BS CFO_Instrumentos Financeiros_3-Balanço" xfId="7565"/>
    <cellStyle name="s_Valuation _BS CFO_Instrumentos Financeiros_7-Estoque" xfId="7566"/>
    <cellStyle name="s_Valuation _BS CFO_Mapa 3T12" xfId="7567"/>
    <cellStyle name="s_Valuation _BS CFO_Mapa 3T12 2" xfId="7568"/>
    <cellStyle name="s_Valuation _BS CFO_Mapa 3T12 2_15-FINANCEIRAS" xfId="7569"/>
    <cellStyle name="s_Valuation _BS CFO_Mapa 3T12_15-FINANCEIRAS" xfId="7570"/>
    <cellStyle name="s_Valuation _BS CFO_Mapa 3T12_15-FINANCEIRAS_1" xfId="7571"/>
    <cellStyle name="s_Valuation _BS CFO_Mapa 3T12_3-Balanço" xfId="7572"/>
    <cellStyle name="s_Valuation _BS CFO_Plan2" xfId="7573"/>
    <cellStyle name="s_Valuation _BS CFO_Plan2 2" xfId="7574"/>
    <cellStyle name="s_Valuation _BS CFO_Plan2 2_15-FINANCEIRAS" xfId="7575"/>
    <cellStyle name="s_Valuation _BS CFO_Plan2_15-FINANCEIRAS" xfId="7576"/>
    <cellStyle name="s_Valuation _BS CFO_Plan2_15-FINANCEIRAS_1" xfId="7577"/>
    <cellStyle name="s_Valuation _BS CFO_Plan2_3-Balanço" xfId="7578"/>
    <cellStyle name="s_Valuation _BS CFO_Plan2_7-Estoque" xfId="7579"/>
    <cellStyle name="s_Valuation _BS Csan CPC 02 &lt;SAP&gt;" xfId="7580"/>
    <cellStyle name="s_Valuation _BS Csan CPC 02 &lt;SAP&gt; 2" xfId="7581"/>
    <cellStyle name="s_Valuation _BS Csan CPC 02 &lt;SAP&gt; 2 2" xfId="7582"/>
    <cellStyle name="s_Valuation _BS Csan CPC 02 &lt;SAP&gt; 2 2_15-FINANCEIRAS" xfId="7583"/>
    <cellStyle name="s_Valuation _BS Csan CPC 02 &lt;SAP&gt; 2 3" xfId="7584"/>
    <cellStyle name="s_Valuation _BS Csan CPC 02 &lt;SAP&gt; 2_13-Endividamento" xfId="7585"/>
    <cellStyle name="s_Valuation _BS Csan CPC 02 &lt;SAP&gt; 2_15-FINANCEIRAS" xfId="7586"/>
    <cellStyle name="s_Valuation _BS Csan CPC 02 &lt;SAP&gt; 2_15-FINANCEIRAS_1" xfId="7587"/>
    <cellStyle name="s_Valuation _BS Csan CPC 02 &lt;SAP&gt; 2_3-Balanço" xfId="7588"/>
    <cellStyle name="s_Valuation _BS Csan CPC 02 &lt;SAP&gt; 2_3-Balanço 2" xfId="7589"/>
    <cellStyle name="s_Valuation _BS Csan CPC 02 &lt;SAP&gt; 2_3-Balanço 2_15-FINANCEIRAS" xfId="7590"/>
    <cellStyle name="s_Valuation _BS Csan CPC 02 &lt;SAP&gt; 2_3-Balanço_1" xfId="7591"/>
    <cellStyle name="s_Valuation _BS Csan CPC 02 &lt;SAP&gt; 2_3-Balanço_15-FINANCEIRAS" xfId="7592"/>
    <cellStyle name="s_Valuation _BS Csan CPC 02 &lt;SAP&gt; 2_3-Balanço_15-FINANCEIRAS_1" xfId="7593"/>
    <cellStyle name="s_Valuation _BS Csan CPC 02 &lt;SAP&gt; 2_3-Balanço_3-Balanço" xfId="7594"/>
    <cellStyle name="s_Valuation _BS Csan CPC 02 &lt;SAP&gt; 2_3-Balanço_7-Estoque" xfId="7595"/>
    <cellStyle name="s_Valuation _BS Csan CPC 02 &lt;SAP&gt; 2_4-DMPL" xfId="7596"/>
    <cellStyle name="s_Valuation _BS Csan CPC 02 &lt;SAP&gt; 2_4-DMPL 2" xfId="7597"/>
    <cellStyle name="s_Valuation _BS Csan CPC 02 &lt;SAP&gt; 2_4-DMPL 2_15-FINANCEIRAS" xfId="7598"/>
    <cellStyle name="s_Valuation _BS Csan CPC 02 &lt;SAP&gt; 2_4-DMPL_15-FINANCEIRAS" xfId="7599"/>
    <cellStyle name="s_Valuation _BS Csan CPC 02 &lt;SAP&gt; 2_4-DMPL_15-FINANCEIRAS_1" xfId="7600"/>
    <cellStyle name="s_Valuation _BS Csan CPC 02 &lt;SAP&gt; 2_4-DMPL_3-Balanço" xfId="7601"/>
    <cellStyle name="s_Valuation _BS Csan CPC 02 &lt;SAP&gt; 2_7-Estoque" xfId="7602"/>
    <cellStyle name="s_Valuation _BS Csan CPC 02 &lt;SAP&gt; 2_8-Impostos" xfId="7603"/>
    <cellStyle name="s_Valuation _BS Csan CPC 02 &lt;SAP&gt; 2_8-Impostos 2" xfId="7604"/>
    <cellStyle name="s_Valuation _BS Csan CPC 02 &lt;SAP&gt; 2_8-Impostos 2_15-FINANCEIRAS" xfId="7605"/>
    <cellStyle name="s_Valuation _BS Csan CPC 02 &lt;SAP&gt; 2_8-Impostos_15-FINANCEIRAS" xfId="7606"/>
    <cellStyle name="s_Valuation _BS Csan CPC 02 &lt;SAP&gt; 2_8-Impostos_15-FINANCEIRAS_1" xfId="7607"/>
    <cellStyle name="s_Valuation _BS Csan CPC 02 &lt;SAP&gt; 2_8-Impostos_3-Balanço" xfId="7608"/>
    <cellStyle name="s_Valuation _BS Csan CPC 02 &lt;SAP&gt; 2_Balanço" xfId="7609"/>
    <cellStyle name="s_Valuation _BS Csan CPC 02 &lt;SAP&gt; 3" xfId="7610"/>
    <cellStyle name="s_Valuation _BS Csan CPC 02 &lt;SAP&gt; 3 2" xfId="7611"/>
    <cellStyle name="s_Valuation _BS Csan CPC 02 &lt;SAP&gt; 3 2_15-FINANCEIRAS" xfId="7612"/>
    <cellStyle name="s_Valuation _BS Csan CPC 02 &lt;SAP&gt; 3 3" xfId="7613"/>
    <cellStyle name="s_Valuation _BS Csan CPC 02 &lt;SAP&gt; 3_15-FINANCEIRAS" xfId="7614"/>
    <cellStyle name="s_Valuation _BS Csan CPC 02 &lt;SAP&gt; 3_15-FINANCEIRAS_1" xfId="7615"/>
    <cellStyle name="s_Valuation _BS Csan CPC 02 &lt;SAP&gt; 3_3-Balanço" xfId="7616"/>
    <cellStyle name="s_Valuation _BS Csan CPC 02 &lt;SAP&gt; 3_7-Estoque" xfId="7617"/>
    <cellStyle name="s_Valuation _BS Csan CPC 02 &lt;SAP&gt; 4" xfId="7618"/>
    <cellStyle name="s_Valuation _BS Csan CPC 02 &lt;SAP&gt; 4 2" xfId="7619"/>
    <cellStyle name="s_Valuation _BS Csan CPC 02 &lt;SAP&gt; 4 2_15-FINANCEIRAS" xfId="7620"/>
    <cellStyle name="s_Valuation _BS Csan CPC 02 &lt;SAP&gt; 4_15-FINANCEIRAS" xfId="7621"/>
    <cellStyle name="s_Valuation _BS Csan CPC 02 &lt;SAP&gt; 4_15-FINANCEIRAS_1" xfId="7622"/>
    <cellStyle name="s_Valuation _BS Csan CPC 02 &lt;SAP&gt; 4_3-Balanço" xfId="7623"/>
    <cellStyle name="s_Valuation _BS Csan CPC 02 &lt;SAP&gt; 5" xfId="7624"/>
    <cellStyle name="s_Valuation _BS Csan CPC 02 &lt;SAP&gt; 5_15-FINANCEIRAS" xfId="7625"/>
    <cellStyle name="s_Valuation _BS Csan CPC 02 &lt;SAP&gt; 6" xfId="7626"/>
    <cellStyle name="s_Valuation _BS Csan CPC 02 &lt;SAP&gt;_13-Endividamento" xfId="7627"/>
    <cellStyle name="s_Valuation _BS Csan CPC 02 &lt;SAP&gt;_15-FINANCEIRAS" xfId="7628"/>
    <cellStyle name="s_Valuation _BS Csan CPC 02 &lt;SAP&gt;_15-FINANCEIRAS_1" xfId="7629"/>
    <cellStyle name="s_Valuation _BS Csan CPC 02 &lt;SAP&gt;_26_Instrumentos Financeiros" xfId="7630"/>
    <cellStyle name="s_Valuation _BS Csan CPC 02 &lt;SAP&gt;_26_Instrumentos Financeiros 2" xfId="7631"/>
    <cellStyle name="s_Valuation _BS Csan CPC 02 &lt;SAP&gt;_26_Instrumentos Financeiros 2_15-FINANCEIRAS" xfId="7632"/>
    <cellStyle name="s_Valuation _BS Csan CPC 02 &lt;SAP&gt;_26_Instrumentos Financeiros_1" xfId="7633"/>
    <cellStyle name="s_Valuation _BS Csan CPC 02 &lt;SAP&gt;_26_Instrumentos Financeiros_1 2" xfId="7634"/>
    <cellStyle name="s_Valuation _BS Csan CPC 02 &lt;SAP&gt;_26_Instrumentos Financeiros_1 2_15-FINANCEIRAS" xfId="7635"/>
    <cellStyle name="s_Valuation _BS Csan CPC 02 &lt;SAP&gt;_26_Instrumentos Financeiros_1_15-FINANCEIRAS" xfId="7636"/>
    <cellStyle name="s_Valuation _BS Csan CPC 02 &lt;SAP&gt;_26_Instrumentos Financeiros_1_15-FINANCEIRAS_1" xfId="7637"/>
    <cellStyle name="s_Valuation _BS Csan CPC 02 &lt;SAP&gt;_26_Instrumentos Financeiros_1_3-Balanço" xfId="7638"/>
    <cellStyle name="s_Valuation _BS Csan CPC 02 &lt;SAP&gt;_26_Instrumentos Financeiros_1_7-Estoque" xfId="7639"/>
    <cellStyle name="s_Valuation _BS Csan CPC 02 &lt;SAP&gt;_26_Instrumentos Financeiros_15-FINANCEIRAS" xfId="7640"/>
    <cellStyle name="s_Valuation _BS Csan CPC 02 &lt;SAP&gt;_26_Instrumentos Financeiros_15-FINANCEIRAS_1" xfId="7641"/>
    <cellStyle name="s_Valuation _BS Csan CPC 02 &lt;SAP&gt;_26_Instrumentos Financeiros_3-Balanço" xfId="7642"/>
    <cellStyle name="s_Valuation _BS Csan CPC 02 &lt;SAP&gt;_26_Instrumentos Financeiros_7-Estoque" xfId="7643"/>
    <cellStyle name="s_Valuation _BS Csan CPC 02 &lt;SAP&gt;_2-DRE" xfId="7644"/>
    <cellStyle name="s_Valuation _BS Csan CPC 02 &lt;SAP&gt;_2-DRE 2" xfId="7645"/>
    <cellStyle name="s_Valuation _BS Csan CPC 02 &lt;SAP&gt;_2-DRE 2_15-FINANCEIRAS" xfId="7646"/>
    <cellStyle name="s_Valuation _BS Csan CPC 02 &lt;SAP&gt;_2-DRE_1" xfId="7647"/>
    <cellStyle name="s_Valuation _BS Csan CPC 02 &lt;SAP&gt;_2-DRE_15-FINANCEIRAS" xfId="7648"/>
    <cellStyle name="s_Valuation _BS Csan CPC 02 &lt;SAP&gt;_2-DRE_15-FINANCEIRAS_1" xfId="7649"/>
    <cellStyle name="s_Valuation _BS Csan CPC 02 &lt;SAP&gt;_2-DRE_3-Balanço" xfId="7650"/>
    <cellStyle name="s_Valuation _BS Csan CPC 02 &lt;SAP&gt;_2-DRE_7-Estoque" xfId="7651"/>
    <cellStyle name="s_Valuation _BS Csan CPC 02 &lt;SAP&gt;_3-Balanço" xfId="7652"/>
    <cellStyle name="s_Valuation _BS Csan CPC 02 &lt;SAP&gt;_3-Balanço 2" xfId="7653"/>
    <cellStyle name="s_Valuation _BS Csan CPC 02 &lt;SAP&gt;_3-Balanço 2_15-FINANCEIRAS" xfId="7654"/>
    <cellStyle name="s_Valuation _BS Csan CPC 02 &lt;SAP&gt;_3-Balanço_1" xfId="7655"/>
    <cellStyle name="s_Valuation _BS Csan CPC 02 &lt;SAP&gt;_3-Balanço_1 2" xfId="7656"/>
    <cellStyle name="s_Valuation _BS Csan CPC 02 &lt;SAP&gt;_3-Balanço_1 2_15-FINANCEIRAS" xfId="7657"/>
    <cellStyle name="s_Valuation _BS Csan CPC 02 &lt;SAP&gt;_3-Balanço_1_15-FINANCEIRAS" xfId="7658"/>
    <cellStyle name="s_Valuation _BS Csan CPC 02 &lt;SAP&gt;_3-Balanço_1_15-FINANCEIRAS_1" xfId="7659"/>
    <cellStyle name="s_Valuation _BS Csan CPC 02 &lt;SAP&gt;_3-Balanço_1_3-Balanço" xfId="7660"/>
    <cellStyle name="s_Valuation _BS Csan CPC 02 &lt;SAP&gt;_3-Balanço_1_7-Estoque" xfId="7661"/>
    <cellStyle name="s_Valuation _BS Csan CPC 02 &lt;SAP&gt;_3-Balanço_15-FINANCEIRAS" xfId="7662"/>
    <cellStyle name="s_Valuation _BS Csan CPC 02 &lt;SAP&gt;_3-Balanço_15-FINANCEIRAS_1" xfId="7663"/>
    <cellStyle name="s_Valuation _BS Csan CPC 02 &lt;SAP&gt;_3-Balanço_2" xfId="7664"/>
    <cellStyle name="s_Valuation _BS Csan CPC 02 &lt;SAP&gt;_3-Balanço_3" xfId="7665"/>
    <cellStyle name="s_Valuation _BS Csan CPC 02 &lt;SAP&gt;_3-Balanço_3-Balanço" xfId="7666"/>
    <cellStyle name="s_Valuation _BS Csan CPC 02 &lt;SAP&gt;_3-Balanço_7-Estoque" xfId="7667"/>
    <cellStyle name="s_Valuation _BS Csan CPC 02 &lt;SAP&gt;_4-DMPL" xfId="7668"/>
    <cellStyle name="s_Valuation _BS Csan CPC 02 &lt;SAP&gt;_4-DMPL 2" xfId="7669"/>
    <cellStyle name="s_Valuation _BS Csan CPC 02 &lt;SAP&gt;_4-DMPL 2_15-FINANCEIRAS" xfId="7670"/>
    <cellStyle name="s_Valuation _BS Csan CPC 02 &lt;SAP&gt;_4-DMPL_15-FINANCEIRAS" xfId="7671"/>
    <cellStyle name="s_Valuation _BS Csan CPC 02 &lt;SAP&gt;_4-DMPL_15-FINANCEIRAS_1" xfId="7672"/>
    <cellStyle name="s_Valuation _BS Csan CPC 02 &lt;SAP&gt;_4-DMPL_3-Balanço" xfId="7673"/>
    <cellStyle name="s_Valuation _BS Csan CPC 02 &lt;SAP&gt;_7-Estoque" xfId="7674"/>
    <cellStyle name="s_Valuation _BS Csan CPC 02 &lt;SAP&gt;_8-Impostos" xfId="7675"/>
    <cellStyle name="s_Valuation _BS Csan CPC 02 &lt;SAP&gt;_8-Impostos 2" xfId="7676"/>
    <cellStyle name="s_Valuation _BS Csan CPC 02 &lt;SAP&gt;_8-Impostos 2_15-FINANCEIRAS" xfId="7677"/>
    <cellStyle name="s_Valuation _BS Csan CPC 02 &lt;SAP&gt;_8-Impostos_15-FINANCEIRAS" xfId="7678"/>
    <cellStyle name="s_Valuation _BS Csan CPC 02 &lt;SAP&gt;_8-Impostos_15-FINANCEIRAS_1" xfId="7679"/>
    <cellStyle name="s_Valuation _BS Csan CPC 02 &lt;SAP&gt;_8-Impostos_3-Balanço" xfId="7680"/>
    <cellStyle name="s_Valuation _BS Csan CPC 02 &lt;SAP&gt;_Acerto FV e Ajustes Manuais" xfId="7681"/>
    <cellStyle name="s_Valuation _BS Csan CPC 02 &lt;SAP&gt;_Balanço" xfId="7682"/>
    <cellStyle name="s_Valuation _BS Csan CPC 02 &lt;SAP&gt;_BS Cnsl CAA &lt;SAP&gt;" xfId="7683"/>
    <cellStyle name="s_Valuation _BS Csan CPC 02 &lt;SAP&gt;_BS Cnsl CAA &lt;SAP&gt; 2" xfId="7684"/>
    <cellStyle name="s_Valuation _BS Csan CPC 02 &lt;SAP&gt;_BS Cnsl CAA &lt;SAP&gt; 2 2" xfId="7685"/>
    <cellStyle name="s_Valuation _BS Csan CPC 02 &lt;SAP&gt;_BS Cnsl CAA &lt;SAP&gt; 2 2_15-FINANCEIRAS" xfId="7686"/>
    <cellStyle name="s_Valuation _BS Csan CPC 02 &lt;SAP&gt;_BS Cnsl CAA &lt;SAP&gt; 2 3" xfId="7687"/>
    <cellStyle name="s_Valuation _BS Csan CPC 02 &lt;SAP&gt;_BS Cnsl CAA &lt;SAP&gt; 2_15-FINANCEIRAS" xfId="7688"/>
    <cellStyle name="s_Valuation _BS Csan CPC 02 &lt;SAP&gt;_BS Cnsl CAA &lt;SAP&gt; 2_15-FINANCEIRAS_1" xfId="7689"/>
    <cellStyle name="s_Valuation _BS Csan CPC 02 &lt;SAP&gt;_BS Cnsl CAA &lt;SAP&gt; 2_3-Balanço" xfId="7690"/>
    <cellStyle name="s_Valuation _BS Csan CPC 02 &lt;SAP&gt;_BS Cnsl CAA &lt;SAP&gt; 2_7-Estoque" xfId="7691"/>
    <cellStyle name="s_Valuation _BS Csan CPC 02 &lt;SAP&gt;_BS Cnsl CAA &lt;SAP&gt; 3" xfId="7692"/>
    <cellStyle name="s_Valuation _BS Csan CPC 02 &lt;SAP&gt;_BS Cnsl CAA &lt;SAP&gt; 3 2" xfId="7693"/>
    <cellStyle name="s_Valuation _BS Csan CPC 02 &lt;SAP&gt;_BS Cnsl CAA &lt;SAP&gt; 3 2_15-FINANCEIRAS" xfId="7694"/>
    <cellStyle name="s_Valuation _BS Csan CPC 02 &lt;SAP&gt;_BS Cnsl CAA &lt;SAP&gt; 3 3" xfId="7695"/>
    <cellStyle name="s_Valuation _BS Csan CPC 02 &lt;SAP&gt;_BS Cnsl CAA &lt;SAP&gt; 3_15-FINANCEIRAS" xfId="7696"/>
    <cellStyle name="s_Valuation _BS Csan CPC 02 &lt;SAP&gt;_BS Cnsl CAA &lt;SAP&gt; 3_15-FINANCEIRAS_1" xfId="7697"/>
    <cellStyle name="s_Valuation _BS Csan CPC 02 &lt;SAP&gt;_BS Cnsl CAA &lt;SAP&gt; 3_3-Balanço" xfId="7698"/>
    <cellStyle name="s_Valuation _BS Csan CPC 02 &lt;SAP&gt;_BS Cnsl CAA &lt;SAP&gt; 3_7-Estoque" xfId="7699"/>
    <cellStyle name="s_Valuation _BS Csan CPC 02 &lt;SAP&gt;_BS Cnsl CAA &lt;SAP&gt; 4" xfId="7700"/>
    <cellStyle name="s_Valuation _BS Csan CPC 02 &lt;SAP&gt;_BS Cnsl CAA &lt;SAP&gt; 4 2" xfId="7701"/>
    <cellStyle name="s_Valuation _BS Csan CPC 02 &lt;SAP&gt;_BS Cnsl CAA &lt;SAP&gt; 4 2_15-FINANCEIRAS" xfId="7702"/>
    <cellStyle name="s_Valuation _BS Csan CPC 02 &lt;SAP&gt;_BS Cnsl CAA &lt;SAP&gt; 4_15-FINANCEIRAS" xfId="7703"/>
    <cellStyle name="s_Valuation _BS Csan CPC 02 &lt;SAP&gt;_BS Cnsl CAA &lt;SAP&gt; 4_15-FINANCEIRAS_1" xfId="7704"/>
    <cellStyle name="s_Valuation _BS Csan CPC 02 &lt;SAP&gt;_BS Cnsl CAA &lt;SAP&gt; 4_3-Balanço" xfId="7705"/>
    <cellStyle name="s_Valuation _BS Csan CPC 02 &lt;SAP&gt;_BS Cnsl CAA &lt;SAP&gt; 5" xfId="7706"/>
    <cellStyle name="s_Valuation _BS Csan CPC 02 &lt;SAP&gt;_BS Cnsl CAA &lt;SAP&gt; 5_15-FINANCEIRAS" xfId="7707"/>
    <cellStyle name="s_Valuation _BS Csan CPC 02 &lt;SAP&gt;_BS Cnsl CAA &lt;SAP&gt; 6" xfId="7708"/>
    <cellStyle name="s_Valuation _BS Csan CPC 02 &lt;SAP&gt;_BS Cnsl CAA &lt;SAP&gt;_13-Endividamento" xfId="7709"/>
    <cellStyle name="s_Valuation _BS Csan CPC 02 &lt;SAP&gt;_BS Cnsl CAA &lt;SAP&gt;_15-FINANCEIRAS" xfId="7710"/>
    <cellStyle name="s_Valuation _BS Csan CPC 02 &lt;SAP&gt;_BS Cnsl CAA &lt;SAP&gt;_15-FINANCEIRAS_1" xfId="7711"/>
    <cellStyle name="s_Valuation _BS Csan CPC 02 &lt;SAP&gt;_BS Cnsl CAA &lt;SAP&gt;_26_Instrumentos Financeiros" xfId="7712"/>
    <cellStyle name="s_Valuation _BS Csan CPC 02 &lt;SAP&gt;_BS Cnsl CAA &lt;SAP&gt;_26_Instrumentos Financeiros 2" xfId="7713"/>
    <cellStyle name="s_Valuation _BS Csan CPC 02 &lt;SAP&gt;_BS Cnsl CAA &lt;SAP&gt;_26_Instrumentos Financeiros 2_15-FINANCEIRAS" xfId="7714"/>
    <cellStyle name="s_Valuation _BS Csan CPC 02 &lt;SAP&gt;_BS Cnsl CAA &lt;SAP&gt;_26_Instrumentos Financeiros_1" xfId="7715"/>
    <cellStyle name="s_Valuation _BS Csan CPC 02 &lt;SAP&gt;_BS Cnsl CAA &lt;SAP&gt;_26_Instrumentos Financeiros_1 2" xfId="7716"/>
    <cellStyle name="s_Valuation _BS Csan CPC 02 &lt;SAP&gt;_BS Cnsl CAA &lt;SAP&gt;_26_Instrumentos Financeiros_1 2_15-FINANCEIRAS" xfId="7717"/>
    <cellStyle name="s_Valuation _BS Csan CPC 02 &lt;SAP&gt;_BS Cnsl CAA &lt;SAP&gt;_26_Instrumentos Financeiros_1_15-FINANCEIRAS" xfId="7718"/>
    <cellStyle name="s_Valuation _BS Csan CPC 02 &lt;SAP&gt;_BS Cnsl CAA &lt;SAP&gt;_26_Instrumentos Financeiros_1_15-FINANCEIRAS_1" xfId="7719"/>
    <cellStyle name="s_Valuation _BS Csan CPC 02 &lt;SAP&gt;_BS Cnsl CAA &lt;SAP&gt;_26_Instrumentos Financeiros_1_3-Balanço" xfId="7720"/>
    <cellStyle name="s_Valuation _BS Csan CPC 02 &lt;SAP&gt;_BS Cnsl CAA &lt;SAP&gt;_26_Instrumentos Financeiros_1_7-Estoque" xfId="7721"/>
    <cellStyle name="s_Valuation _BS Csan CPC 02 &lt;SAP&gt;_BS Cnsl CAA &lt;SAP&gt;_26_Instrumentos Financeiros_15-FINANCEIRAS" xfId="7722"/>
    <cellStyle name="s_Valuation _BS Csan CPC 02 &lt;SAP&gt;_BS Cnsl CAA &lt;SAP&gt;_26_Instrumentos Financeiros_15-FINANCEIRAS_1" xfId="7723"/>
    <cellStyle name="s_Valuation _BS Csan CPC 02 &lt;SAP&gt;_BS Cnsl CAA &lt;SAP&gt;_26_Instrumentos Financeiros_3-Balanço" xfId="7724"/>
    <cellStyle name="s_Valuation _BS Csan CPC 02 &lt;SAP&gt;_BS Cnsl CAA &lt;SAP&gt;_26_Instrumentos Financeiros_7-Estoque" xfId="7725"/>
    <cellStyle name="s_Valuation _BS Csan CPC 02 &lt;SAP&gt;_BS Cnsl CAA &lt;SAP&gt;_2-DRE" xfId="7726"/>
    <cellStyle name="s_Valuation _BS Csan CPC 02 &lt;SAP&gt;_BS Cnsl CAA &lt;SAP&gt;_2-DRE 2" xfId="7727"/>
    <cellStyle name="s_Valuation _BS Csan CPC 02 &lt;SAP&gt;_BS Cnsl CAA &lt;SAP&gt;_2-DRE 2_15-FINANCEIRAS" xfId="7728"/>
    <cellStyle name="s_Valuation _BS Csan CPC 02 &lt;SAP&gt;_BS Cnsl CAA &lt;SAP&gt;_2-DRE_15-FINANCEIRAS" xfId="7729"/>
    <cellStyle name="s_Valuation _BS Csan CPC 02 &lt;SAP&gt;_BS Cnsl CAA &lt;SAP&gt;_2-DRE_15-FINANCEIRAS_1" xfId="7730"/>
    <cellStyle name="s_Valuation _BS Csan CPC 02 &lt;SAP&gt;_BS Cnsl CAA &lt;SAP&gt;_2-DRE_3-Balanço" xfId="7731"/>
    <cellStyle name="s_Valuation _BS Csan CPC 02 &lt;SAP&gt;_BS Cnsl CAA &lt;SAP&gt;_2-DRE_7-Estoque" xfId="7732"/>
    <cellStyle name="s_Valuation _BS Csan CPC 02 &lt;SAP&gt;_BS Cnsl CAA &lt;SAP&gt;_3-Balanço" xfId="7733"/>
    <cellStyle name="s_Valuation _BS Csan CPC 02 &lt;SAP&gt;_BS Cnsl CAA &lt;SAP&gt;_3-Balanço 2" xfId="7734"/>
    <cellStyle name="s_Valuation _BS Csan CPC 02 &lt;SAP&gt;_BS Cnsl CAA &lt;SAP&gt;_3-Balanço 2_15-FINANCEIRAS" xfId="7735"/>
    <cellStyle name="s_Valuation _BS Csan CPC 02 &lt;SAP&gt;_BS Cnsl CAA &lt;SAP&gt;_3-Balanço_1" xfId="7736"/>
    <cellStyle name="s_Valuation _BS Csan CPC 02 &lt;SAP&gt;_BS Cnsl CAA &lt;SAP&gt;_3-Balanço_1 2" xfId="7737"/>
    <cellStyle name="s_Valuation _BS Csan CPC 02 &lt;SAP&gt;_BS Cnsl CAA &lt;SAP&gt;_3-Balanço_1 2_15-FINANCEIRAS" xfId="7738"/>
    <cellStyle name="s_Valuation _BS Csan CPC 02 &lt;SAP&gt;_BS Cnsl CAA &lt;SAP&gt;_3-Balanço_1_15-FINANCEIRAS" xfId="7739"/>
    <cellStyle name="s_Valuation _BS Csan CPC 02 &lt;SAP&gt;_BS Cnsl CAA &lt;SAP&gt;_3-Balanço_1_15-FINANCEIRAS_1" xfId="7740"/>
    <cellStyle name="s_Valuation _BS Csan CPC 02 &lt;SAP&gt;_BS Cnsl CAA &lt;SAP&gt;_3-Balanço_1_3-Balanço" xfId="7741"/>
    <cellStyle name="s_Valuation _BS Csan CPC 02 &lt;SAP&gt;_BS Cnsl CAA &lt;SAP&gt;_3-Balanço_1_7-Estoque" xfId="7742"/>
    <cellStyle name="s_Valuation _BS Csan CPC 02 &lt;SAP&gt;_BS Cnsl CAA &lt;SAP&gt;_3-Balanço_15-FINANCEIRAS" xfId="7743"/>
    <cellStyle name="s_Valuation _BS Csan CPC 02 &lt;SAP&gt;_BS Cnsl CAA &lt;SAP&gt;_3-Balanço_15-FINANCEIRAS_1" xfId="7744"/>
    <cellStyle name="s_Valuation _BS Csan CPC 02 &lt;SAP&gt;_BS Cnsl CAA &lt;SAP&gt;_3-Balanço_2" xfId="7745"/>
    <cellStyle name="s_Valuation _BS Csan CPC 02 &lt;SAP&gt;_BS Cnsl CAA &lt;SAP&gt;_3-Balanço_3-Balanço" xfId="7746"/>
    <cellStyle name="s_Valuation _BS Csan CPC 02 &lt;SAP&gt;_BS Cnsl CAA &lt;SAP&gt;_3-Balanço_7-Estoque" xfId="7747"/>
    <cellStyle name="s_Valuation _BS Csan CPC 02 &lt;SAP&gt;_BS Cnsl CAA &lt;SAP&gt;_4-DMPL" xfId="7748"/>
    <cellStyle name="s_Valuation _BS Csan CPC 02 &lt;SAP&gt;_BS Cnsl CAA &lt;SAP&gt;_4-DMPL 2" xfId="7749"/>
    <cellStyle name="s_Valuation _BS Csan CPC 02 &lt;SAP&gt;_BS Cnsl CAA &lt;SAP&gt;_4-DMPL 2_15-FINANCEIRAS" xfId="7750"/>
    <cellStyle name="s_Valuation _BS Csan CPC 02 &lt;SAP&gt;_BS Cnsl CAA &lt;SAP&gt;_4-DMPL_15-FINANCEIRAS" xfId="7751"/>
    <cellStyle name="s_Valuation _BS Csan CPC 02 &lt;SAP&gt;_BS Cnsl CAA &lt;SAP&gt;_4-DMPL_15-FINANCEIRAS_1" xfId="7752"/>
    <cellStyle name="s_Valuation _BS Csan CPC 02 &lt;SAP&gt;_BS Cnsl CAA &lt;SAP&gt;_4-DMPL_3-Balanço" xfId="7753"/>
    <cellStyle name="s_Valuation _BS Csan CPC 02 &lt;SAP&gt;_BS Cnsl CAA &lt;SAP&gt;_7-Estoque" xfId="7754"/>
    <cellStyle name="s_Valuation _BS Csan CPC 02 &lt;SAP&gt;_BS Cnsl CAA &lt;SAP&gt;_8-Impostos" xfId="7755"/>
    <cellStyle name="s_Valuation _BS Csan CPC 02 &lt;SAP&gt;_BS Cnsl CAA &lt;SAP&gt;_8-Impostos 2" xfId="7756"/>
    <cellStyle name="s_Valuation _BS Csan CPC 02 &lt;SAP&gt;_BS Cnsl CAA &lt;SAP&gt;_8-Impostos 2_15-FINANCEIRAS" xfId="7757"/>
    <cellStyle name="s_Valuation _BS Csan CPC 02 &lt;SAP&gt;_BS Cnsl CAA &lt;SAP&gt;_8-Impostos_15-FINANCEIRAS" xfId="7758"/>
    <cellStyle name="s_Valuation _BS Csan CPC 02 &lt;SAP&gt;_BS Cnsl CAA &lt;SAP&gt;_8-Impostos_15-FINANCEIRAS_1" xfId="7759"/>
    <cellStyle name="s_Valuation _BS Csan CPC 02 &lt;SAP&gt;_BS Cnsl CAA &lt;SAP&gt;_8-Impostos_3-Balanço" xfId="7760"/>
    <cellStyle name="s_Valuation _BS Csan CPC 02 &lt;SAP&gt;_BS Cnsl CAA &lt;SAP&gt;_Acerto FV e Ajustes Manuais" xfId="7761"/>
    <cellStyle name="s_Valuation _BS Csan CPC 02 &lt;SAP&gt;_BS Cnsl CAA &lt;SAP&gt;_Balanço" xfId="7762"/>
    <cellStyle name="s_Valuation _BS Csan CPC 02 &lt;SAP&gt;_BS Cnsl CAA &lt;SAP&gt;_Caixa restrito" xfId="7763"/>
    <cellStyle name="s_Valuation _BS Csan CPC 02 &lt;SAP&gt;_BS Cnsl CAA &lt;SAP&gt;_Caixa restrito_7-Estoque" xfId="7764"/>
    <cellStyle name="s_Valuation _BS Csan CPC 02 &lt;SAP&gt;_BS Cnsl CAA &lt;SAP&gt;_CCL" xfId="7765"/>
    <cellStyle name="s_Valuation _BS Csan CPC 02 &lt;SAP&gt;_BS Cnsl CAA &lt;SAP&gt;_CCL 2" xfId="7766"/>
    <cellStyle name="s_Valuation _BS Csan CPC 02 &lt;SAP&gt;_BS Cnsl CAA &lt;SAP&gt;_CCL 2_15-FINANCEIRAS" xfId="7767"/>
    <cellStyle name="s_Valuation _BS Csan CPC 02 &lt;SAP&gt;_BS Cnsl CAA &lt;SAP&gt;_CCL_15-FINANCEIRAS" xfId="7768"/>
    <cellStyle name="s_Valuation _BS Csan CPC 02 &lt;SAP&gt;_BS Cnsl CAA &lt;SAP&gt;_CCL_15-FINANCEIRAS_1" xfId="7769"/>
    <cellStyle name="s_Valuation _BS Csan CPC 02 &lt;SAP&gt;_BS Cnsl CAA &lt;SAP&gt;_CCL_3-Balanço" xfId="7770"/>
    <cellStyle name="s_Valuation _BS Csan CPC 02 &lt;SAP&gt;_BS Cnsl CAA &lt;SAP&gt;_CCL_3-Balanço 2" xfId="7771"/>
    <cellStyle name="s_Valuation _BS Csan CPC 02 &lt;SAP&gt;_BS Cnsl CAA &lt;SAP&gt;_CCL_3-Balanço 2_15-FINANCEIRAS" xfId="7772"/>
    <cellStyle name="s_Valuation _BS Csan CPC 02 &lt;SAP&gt;_BS Cnsl CAA &lt;SAP&gt;_CCL_3-Balanço_1" xfId="7773"/>
    <cellStyle name="s_Valuation _BS Csan CPC 02 &lt;SAP&gt;_BS Cnsl CAA &lt;SAP&gt;_CCL_3-Balanço_15-FINANCEIRAS" xfId="7774"/>
    <cellStyle name="s_Valuation _BS Csan CPC 02 &lt;SAP&gt;_BS Cnsl CAA &lt;SAP&gt;_CCL_3-Balanço_15-FINANCEIRAS_1" xfId="7775"/>
    <cellStyle name="s_Valuation _BS Csan CPC 02 &lt;SAP&gt;_BS Cnsl CAA &lt;SAP&gt;_CCL_3-Balanço_3-Balanço" xfId="7776"/>
    <cellStyle name="s_Valuation _BS Csan CPC 02 &lt;SAP&gt;_BS Cnsl CAA &lt;SAP&gt;_CCL_3-Balanço_7-Estoque" xfId="7777"/>
    <cellStyle name="s_Valuation _BS Csan CPC 02 &lt;SAP&gt;_BS Cnsl CAA &lt;SAP&gt;_CCL_7-Estoque" xfId="7778"/>
    <cellStyle name="s_Valuation _BS Csan CPC 02 &lt;SAP&gt;_BS Cnsl CAA &lt;SAP&gt;_CCL_Balanço" xfId="7779"/>
    <cellStyle name="s_Valuation _BS Csan CPC 02 &lt;SAP&gt;_BS Cnsl CAA &lt;SAP&gt;_COSAN SA CONSOLID_MÊS" xfId="7780"/>
    <cellStyle name="s_Valuation _BS Csan CPC 02 &lt;SAP&gt;_BS Cnsl CAA &lt;SAP&gt;_Diferenças outubro CAN- (2)" xfId="7781"/>
    <cellStyle name="s_Valuation _BS Csan CPC 02 &lt;SAP&gt;_BS Cnsl CAA &lt;SAP&gt;_Diferenças outubro CAN- (2) 2" xfId="7782"/>
    <cellStyle name="s_Valuation _BS Csan CPC 02 &lt;SAP&gt;_BS Cnsl CAA &lt;SAP&gt;_Diferenças outubro CAN- (2) 2_15-FINANCEIRAS" xfId="7783"/>
    <cellStyle name="s_Valuation _BS Csan CPC 02 &lt;SAP&gt;_BS Cnsl CAA &lt;SAP&gt;_Diferenças outubro CAN- (2)_15-FINANCEIRAS" xfId="7784"/>
    <cellStyle name="s_Valuation _BS Csan CPC 02 &lt;SAP&gt;_BS Cnsl CAA &lt;SAP&gt;_Diferenças outubro CAN- (2)_15-FINANCEIRAS_1" xfId="7785"/>
    <cellStyle name="s_Valuation _BS Csan CPC 02 &lt;SAP&gt;_BS Cnsl CAA &lt;SAP&gt;_Diferenças outubro CAN- (2)_3-Balanço" xfId="7786"/>
    <cellStyle name="s_Valuation _BS Csan CPC 02 &lt;SAP&gt;_BS Cnsl CAA &lt;SAP&gt;_Diferenças outubro CAN- (2)_3-Balanço 2" xfId="7787"/>
    <cellStyle name="s_Valuation _BS Csan CPC 02 &lt;SAP&gt;_BS Cnsl CAA &lt;SAP&gt;_Diferenças outubro CAN- (2)_3-Balanço 2_15-FINANCEIRAS" xfId="7788"/>
    <cellStyle name="s_Valuation _BS Csan CPC 02 &lt;SAP&gt;_BS Cnsl CAA &lt;SAP&gt;_Diferenças outubro CAN- (2)_3-Balanço_1" xfId="7789"/>
    <cellStyle name="s_Valuation _BS Csan CPC 02 &lt;SAP&gt;_BS Cnsl CAA &lt;SAP&gt;_Diferenças outubro CAN- (2)_3-Balanço_15-FINANCEIRAS" xfId="7790"/>
    <cellStyle name="s_Valuation _BS Csan CPC 02 &lt;SAP&gt;_BS Cnsl CAA &lt;SAP&gt;_Diferenças outubro CAN- (2)_3-Balanço_15-FINANCEIRAS_1" xfId="7791"/>
    <cellStyle name="s_Valuation _BS Csan CPC 02 &lt;SAP&gt;_BS Cnsl CAA &lt;SAP&gt;_Diferenças outubro CAN- (2)_3-Balanço_3-Balanço" xfId="7792"/>
    <cellStyle name="s_Valuation _BS Csan CPC 02 &lt;SAP&gt;_BS Cnsl CAA &lt;SAP&gt;_Diferenças outubro CAN- (2)_3-Balanço_7-Estoque" xfId="7793"/>
    <cellStyle name="s_Valuation _BS Csan CPC 02 &lt;SAP&gt;_BS Cnsl CAA &lt;SAP&gt;_Diferenças outubro CAN- (2)_7-Estoque" xfId="7794"/>
    <cellStyle name="s_Valuation _BS Csan CPC 02 &lt;SAP&gt;_BS Cnsl CAA &lt;SAP&gt;_Diferenças outubro CAN- (2)_Balanço" xfId="7795"/>
    <cellStyle name="s_Valuation _BS Csan CPC 02 &lt;SAP&gt;_BS Cnsl CAA &lt;SAP&gt;_Display" xfId="7796"/>
    <cellStyle name="s_Valuation _BS Csan CPC 02 &lt;SAP&gt;_BS Cnsl CAA &lt;SAP&gt;_Display 2" xfId="7797"/>
    <cellStyle name="s_Valuation _BS Csan CPC 02 &lt;SAP&gt;_BS Cnsl CAA &lt;SAP&gt;_Display 2_15-FINANCEIRAS" xfId="7798"/>
    <cellStyle name="s_Valuation _BS Csan CPC 02 &lt;SAP&gt;_BS Cnsl CAA &lt;SAP&gt;_Display_15-FINANCEIRAS" xfId="7799"/>
    <cellStyle name="s_Valuation _BS Csan CPC 02 &lt;SAP&gt;_BS Cnsl CAA &lt;SAP&gt;_Display_15-FINANCEIRAS_1" xfId="7800"/>
    <cellStyle name="s_Valuation _BS Csan CPC 02 &lt;SAP&gt;_BS Cnsl CAA &lt;SAP&gt;_Display_3-Balanço" xfId="7801"/>
    <cellStyle name="s_Valuation _BS Csan CPC 02 &lt;SAP&gt;_BS Cnsl CAA &lt;SAP&gt;_Display_7-Estoque" xfId="7802"/>
    <cellStyle name="s_Valuation _BS Csan CPC 02 &lt;SAP&gt;_BS Cnsl CAA &lt;SAP&gt;_Instrumentos Financeiros" xfId="7803"/>
    <cellStyle name="s_Valuation _BS Csan CPC 02 &lt;SAP&gt;_BS Cnsl CAA &lt;SAP&gt;_Instrumentos Financeiros 2" xfId="7804"/>
    <cellStyle name="s_Valuation _BS Csan CPC 02 &lt;SAP&gt;_BS Cnsl CAA &lt;SAP&gt;_Instrumentos Financeiros 2_15-FINANCEIRAS" xfId="7805"/>
    <cellStyle name="s_Valuation _BS Csan CPC 02 &lt;SAP&gt;_BS Cnsl CAA &lt;SAP&gt;_Instrumentos Financeiros_15-FINANCEIRAS" xfId="7806"/>
    <cellStyle name="s_Valuation _BS Csan CPC 02 &lt;SAP&gt;_BS Cnsl CAA &lt;SAP&gt;_Instrumentos Financeiros_15-FINANCEIRAS_1" xfId="7807"/>
    <cellStyle name="s_Valuation _BS Csan CPC 02 &lt;SAP&gt;_BS Cnsl CAA &lt;SAP&gt;_Instrumentos Financeiros_3-Balanço" xfId="7808"/>
    <cellStyle name="s_Valuation _BS Csan CPC 02 &lt;SAP&gt;_BS Cnsl CAA &lt;SAP&gt;_Instrumentos Financeiros_7-Estoque" xfId="7809"/>
    <cellStyle name="s_Valuation _BS Csan CPC 02 &lt;SAP&gt;_BS Cnsl CAA &lt;SAP&gt;_Mapa 3T12" xfId="7810"/>
    <cellStyle name="s_Valuation _BS Csan CPC 02 &lt;SAP&gt;_BS Cnsl CAA &lt;SAP&gt;_Mapa 3T12 2" xfId="7811"/>
    <cellStyle name="s_Valuation _BS Csan CPC 02 &lt;SAP&gt;_BS Cnsl CAA &lt;SAP&gt;_Mapa 3T12 2_15-FINANCEIRAS" xfId="7812"/>
    <cellStyle name="s_Valuation _BS Csan CPC 02 &lt;SAP&gt;_BS Cnsl CAA &lt;SAP&gt;_Mapa 3T12_15-FINANCEIRAS" xfId="7813"/>
    <cellStyle name="s_Valuation _BS Csan CPC 02 &lt;SAP&gt;_BS Cnsl CAA &lt;SAP&gt;_Mapa 3T12_15-FINANCEIRAS_1" xfId="7814"/>
    <cellStyle name="s_Valuation _BS Csan CPC 02 &lt;SAP&gt;_BS Cnsl CAA &lt;SAP&gt;_Mapa 3T12_3-Balanço" xfId="7815"/>
    <cellStyle name="s_Valuation _BS Csan CPC 02 &lt;SAP&gt;_BS Cnsl CAA &lt;SAP&gt;_P&amp;L" xfId="7816"/>
    <cellStyle name="s_Valuation _BS Csan CPC 02 &lt;SAP&gt;_BS Cnsl CAA &lt;SAP&gt;_Plan2" xfId="7817"/>
    <cellStyle name="s_Valuation _BS Csan CPC 02 &lt;SAP&gt;_BS Cnsl CAA &lt;SAP&gt;_Plan2 2" xfId="7818"/>
    <cellStyle name="s_Valuation _BS Csan CPC 02 &lt;SAP&gt;_BS Cnsl CAA &lt;SAP&gt;_Plan2 2_15-FINANCEIRAS" xfId="7819"/>
    <cellStyle name="s_Valuation _BS Csan CPC 02 &lt;SAP&gt;_BS Cnsl CAA &lt;SAP&gt;_Plan2_15-FINANCEIRAS" xfId="7820"/>
    <cellStyle name="s_Valuation _BS Csan CPC 02 &lt;SAP&gt;_BS Cnsl CAA &lt;SAP&gt;_Plan2_15-FINANCEIRAS_1" xfId="7821"/>
    <cellStyle name="s_Valuation _BS Csan CPC 02 &lt;SAP&gt;_BS Cnsl CAA &lt;SAP&gt;_Plan2_3-Balanço" xfId="7822"/>
    <cellStyle name="s_Valuation _BS Csan CPC 02 &lt;SAP&gt;_BS Cnsl CAA &lt;SAP&gt;_Plan2_7-Estoque" xfId="7823"/>
    <cellStyle name="s_Valuation _BS Csan CPC 02 &lt;SAP&gt;_BS Cnsl CAA &lt;SAP&gt;_Query C.Custos SF 10-11" xfId="7824"/>
    <cellStyle name="s_Valuation _BS Csan CPC 02 &lt;SAP&gt;_BS Cnsl CAA &lt;SAP&gt;_Query C.Custos SF 10-11 2" xfId="7825"/>
    <cellStyle name="s_Valuation _BS Csan CPC 02 &lt;SAP&gt;_BS Cnsl CAA &lt;SAP&gt;_Query C.Custos SF 10-11 2_15-FINANCEIRAS" xfId="7826"/>
    <cellStyle name="s_Valuation _BS Csan CPC 02 &lt;SAP&gt;_BS Cnsl CAA &lt;SAP&gt;_Query C.Custos SF 10-11_15-FINANCEIRAS" xfId="7827"/>
    <cellStyle name="s_Valuation _BS Csan CPC 02 &lt;SAP&gt;_BS Cnsl CAA &lt;SAP&gt;_Query C.Custos SF 10-11_15-FINANCEIRAS_1" xfId="7828"/>
    <cellStyle name="s_Valuation _BS Csan CPC 02 &lt;SAP&gt;_BS Cnsl CAA &lt;SAP&gt;_Query C.Custos SF 10-11_3-Balanço" xfId="7829"/>
    <cellStyle name="s_Valuation _BS Csan CPC 02 &lt;SAP&gt;_BS Cnsl CAA &lt;SAP&gt;_Query C.Custos SF 10-11_3-Balanço 2" xfId="7830"/>
    <cellStyle name="s_Valuation _BS Csan CPC 02 &lt;SAP&gt;_BS Cnsl CAA &lt;SAP&gt;_Query C.Custos SF 10-11_3-Balanço 2_15-FINANCEIRAS" xfId="7831"/>
    <cellStyle name="s_Valuation _BS Csan CPC 02 &lt;SAP&gt;_BS Cnsl CAA &lt;SAP&gt;_Query C.Custos SF 10-11_3-Balanço_1" xfId="7832"/>
    <cellStyle name="s_Valuation _BS Csan CPC 02 &lt;SAP&gt;_BS Cnsl CAA &lt;SAP&gt;_Query C.Custos SF 10-11_3-Balanço_15-FINANCEIRAS" xfId="7833"/>
    <cellStyle name="s_Valuation _BS Csan CPC 02 &lt;SAP&gt;_BS Cnsl CAA &lt;SAP&gt;_Query C.Custos SF 10-11_3-Balanço_15-FINANCEIRAS_1" xfId="7834"/>
    <cellStyle name="s_Valuation _BS Csan CPC 02 &lt;SAP&gt;_BS Cnsl CAA &lt;SAP&gt;_Query C.Custos SF 10-11_3-Balanço_3-Balanço" xfId="7835"/>
    <cellStyle name="s_Valuation _BS Csan CPC 02 &lt;SAP&gt;_BS Cnsl CAA &lt;SAP&gt;_Query C.Custos SF 10-11_3-Balanço_7-Estoque" xfId="7836"/>
    <cellStyle name="s_Valuation _BS Csan CPC 02 &lt;SAP&gt;_BS Cnsl CAA &lt;SAP&gt;_Query C.Custos SF 10-11_7-Estoque" xfId="7837"/>
    <cellStyle name="s_Valuation _BS Csan CPC 02 &lt;SAP&gt;_BS Cnsl CAA &lt;SAP&gt;_Query C.Custos SF 10-11_Balanço" xfId="7838"/>
    <cellStyle name="s_Valuation _BS Csan CPC 02 &lt;SAP&gt;_BS Cnsl CAA &lt;SAP&gt;_Verificar - 13-Comerciais" xfId="7839"/>
    <cellStyle name="s_Valuation _BS Csan CPC 02 &lt;SAP&gt;_BS Cnsl CAA &lt;SAP&gt;_Verificar - 13-Comerciais 2" xfId="7840"/>
    <cellStyle name="s_Valuation _BS Csan CPC 02 &lt;SAP&gt;_BS Cnsl CAA &lt;SAP&gt;_Verificar - 13-Comerciais 2_15-FINANCEIRAS" xfId="7841"/>
    <cellStyle name="s_Valuation _BS Csan CPC 02 &lt;SAP&gt;_BS Cnsl CAA &lt;SAP&gt;_Verificar - 13-Comerciais_15-FINANCEIRAS" xfId="7842"/>
    <cellStyle name="s_Valuation _BS Csan CPC 02 &lt;SAP&gt;_BS Cnsl CAA &lt;SAP&gt;_Verificar - 13-Comerciais_15-FINANCEIRAS_1" xfId="7843"/>
    <cellStyle name="s_Valuation _BS Csan CPC 02 &lt;SAP&gt;_BS Cnsl CAA &lt;SAP&gt;_Verificar - 13-Comerciais_3-Balanço" xfId="7844"/>
    <cellStyle name="s_Valuation _BS Csan CPC 02 &lt;SAP&gt;_Caixa restrito" xfId="7845"/>
    <cellStyle name="s_Valuation _BS Csan CPC 02 &lt;SAP&gt;_Caixa restrito_7-Estoque" xfId="7846"/>
    <cellStyle name="s_Valuation _BS Csan CPC 02 &lt;SAP&gt;_Centro de Lucros 2010" xfId="7847"/>
    <cellStyle name="s_Valuation _BS Csan CPC 02 &lt;SAP&gt;_Centro de Lucros 2010 2" xfId="7848"/>
    <cellStyle name="s_Valuation _BS Csan CPC 02 &lt;SAP&gt;_Centro de Lucros 2010 2_15-FINANCEIRAS" xfId="7849"/>
    <cellStyle name="s_Valuation _BS Csan CPC 02 &lt;SAP&gt;_Centro de Lucros 2010_15-FINANCEIRAS" xfId="7850"/>
    <cellStyle name="s_Valuation _BS Csan CPC 02 &lt;SAP&gt;_Centro de Lucros 2010_15-FINANCEIRAS_1" xfId="7851"/>
    <cellStyle name="s_Valuation _BS Csan CPC 02 &lt;SAP&gt;_Centro de Lucros 2010_3-Balanço" xfId="7852"/>
    <cellStyle name="s_Valuation _BS Csan CPC 02 &lt;SAP&gt;_Centro de Lucros 2010_3-Balanço 2" xfId="7853"/>
    <cellStyle name="s_Valuation _BS Csan CPC 02 &lt;SAP&gt;_Centro de Lucros 2010_3-Balanço 2_15-FINANCEIRAS" xfId="7854"/>
    <cellStyle name="s_Valuation _BS Csan CPC 02 &lt;SAP&gt;_Centro de Lucros 2010_3-Balanço_1" xfId="7855"/>
    <cellStyle name="s_Valuation _BS Csan CPC 02 &lt;SAP&gt;_Centro de Lucros 2010_3-Balanço_15-FINANCEIRAS" xfId="7856"/>
    <cellStyle name="s_Valuation _BS Csan CPC 02 &lt;SAP&gt;_Centro de Lucros 2010_3-Balanço_15-FINANCEIRAS_1" xfId="7857"/>
    <cellStyle name="s_Valuation _BS Csan CPC 02 &lt;SAP&gt;_Centro de Lucros 2010_3-Balanço_3-Balanço" xfId="7858"/>
    <cellStyle name="s_Valuation _BS Csan CPC 02 &lt;SAP&gt;_Centro de Lucros 2010_3-Balanço_7-Estoque" xfId="7859"/>
    <cellStyle name="s_Valuation _BS Csan CPC 02 &lt;SAP&gt;_Centro de Lucros 2010_7-Estoque" xfId="7860"/>
    <cellStyle name="s_Valuation _BS Csan CPC 02 &lt;SAP&gt;_Centro de Lucros 2010_Balanço" xfId="7861"/>
    <cellStyle name="s_Valuation _BS Csan CPC 02 &lt;SAP&gt;_Cosan" xfId="7862"/>
    <cellStyle name="s_Valuation _BS Csan CPC 02 &lt;SAP&gt;_Cosan 2" xfId="7863"/>
    <cellStyle name="s_Valuation _BS Csan CPC 02 &lt;SAP&gt;_Cosan 2 2" xfId="7864"/>
    <cellStyle name="s_Valuation _BS Csan CPC 02 &lt;SAP&gt;_Cosan 2 2_15-FINANCEIRAS" xfId="7865"/>
    <cellStyle name="s_Valuation _BS Csan CPC 02 &lt;SAP&gt;_Cosan 2_15-FINANCEIRAS" xfId="7866"/>
    <cellStyle name="s_Valuation _BS Csan CPC 02 &lt;SAP&gt;_Cosan 2_15-FINANCEIRAS_1" xfId="7867"/>
    <cellStyle name="s_Valuation _BS Csan CPC 02 &lt;SAP&gt;_Cosan 2_3-Balanço" xfId="7868"/>
    <cellStyle name="s_Valuation _BS Csan CPC 02 &lt;SAP&gt;_Cosan 2_7-Estoque" xfId="7869"/>
    <cellStyle name="s_Valuation _BS Csan CPC 02 &lt;SAP&gt;_Cosan 3" xfId="7870"/>
    <cellStyle name="s_Valuation _BS Csan CPC 02 &lt;SAP&gt;_Cosan 3 2" xfId="7871"/>
    <cellStyle name="s_Valuation _BS Csan CPC 02 &lt;SAP&gt;_Cosan 3 2_15-FINANCEIRAS" xfId="7872"/>
    <cellStyle name="s_Valuation _BS Csan CPC 02 &lt;SAP&gt;_Cosan 3_15-FINANCEIRAS" xfId="7873"/>
    <cellStyle name="s_Valuation _BS Csan CPC 02 &lt;SAP&gt;_Cosan 3_15-FINANCEIRAS_1" xfId="7874"/>
    <cellStyle name="s_Valuation _BS Csan CPC 02 &lt;SAP&gt;_Cosan 3_3-Balanço" xfId="7875"/>
    <cellStyle name="s_Valuation _BS Csan CPC 02 &lt;SAP&gt;_Cosan 3_7-Estoque" xfId="7876"/>
    <cellStyle name="s_Valuation _BS Csan CPC 02 &lt;SAP&gt;_Cosan 4" xfId="7877"/>
    <cellStyle name="s_Valuation _BS Csan CPC 02 &lt;SAP&gt;_Cosan 4 2" xfId="7878"/>
    <cellStyle name="s_Valuation _BS Csan CPC 02 &lt;SAP&gt;_Cosan 4 2_15-FINANCEIRAS" xfId="7879"/>
    <cellStyle name="s_Valuation _BS Csan CPC 02 &lt;SAP&gt;_Cosan 4_15-FINANCEIRAS" xfId="7880"/>
    <cellStyle name="s_Valuation _BS Csan CPC 02 &lt;SAP&gt;_Cosan 4_15-FINANCEIRAS_1" xfId="7881"/>
    <cellStyle name="s_Valuation _BS Csan CPC 02 &lt;SAP&gt;_Cosan 4_3-Balanço" xfId="7882"/>
    <cellStyle name="s_Valuation _BS Csan CPC 02 &lt;SAP&gt;_Cosan 5" xfId="7883"/>
    <cellStyle name="s_Valuation _BS Csan CPC 02 &lt;SAP&gt;_Cosan 5_15-FINANCEIRAS" xfId="7884"/>
    <cellStyle name="s_Valuation _BS Csan CPC 02 &lt;SAP&gt;_Cosan Passivo" xfId="7885"/>
    <cellStyle name="s_Valuation _BS Csan CPC 02 &lt;SAP&gt;_Cosan Passivo 2" xfId="7886"/>
    <cellStyle name="s_Valuation _BS Csan CPC 02 &lt;SAP&gt;_Cosan Passivo 2 2" xfId="7887"/>
    <cellStyle name="s_Valuation _BS Csan CPC 02 &lt;SAP&gt;_Cosan Passivo 2 2_15-FINANCEIRAS" xfId="7888"/>
    <cellStyle name="s_Valuation _BS Csan CPC 02 &lt;SAP&gt;_Cosan Passivo 2_15-FINANCEIRAS" xfId="7889"/>
    <cellStyle name="s_Valuation _BS Csan CPC 02 &lt;SAP&gt;_Cosan Passivo 2_15-FINANCEIRAS_1" xfId="7890"/>
    <cellStyle name="s_Valuation _BS Csan CPC 02 &lt;SAP&gt;_Cosan Passivo 2_3-Balanço" xfId="7891"/>
    <cellStyle name="s_Valuation _BS Csan CPC 02 &lt;SAP&gt;_Cosan Passivo 2_7-Estoque" xfId="7892"/>
    <cellStyle name="s_Valuation _BS Csan CPC 02 &lt;SAP&gt;_Cosan Passivo 3" xfId="7893"/>
    <cellStyle name="s_Valuation _BS Csan CPC 02 &lt;SAP&gt;_Cosan Passivo 3 2" xfId="7894"/>
    <cellStyle name="s_Valuation _BS Csan CPC 02 &lt;SAP&gt;_Cosan Passivo 3 2_15-FINANCEIRAS" xfId="7895"/>
    <cellStyle name="s_Valuation _BS Csan CPC 02 &lt;SAP&gt;_Cosan Passivo 3_15-FINANCEIRAS" xfId="7896"/>
    <cellStyle name="s_Valuation _BS Csan CPC 02 &lt;SAP&gt;_Cosan Passivo 3_15-FINANCEIRAS_1" xfId="7897"/>
    <cellStyle name="s_Valuation _BS Csan CPC 02 &lt;SAP&gt;_Cosan Passivo 3_3-Balanço" xfId="7898"/>
    <cellStyle name="s_Valuation _BS Csan CPC 02 &lt;SAP&gt;_Cosan Passivo 3_7-Estoque" xfId="7899"/>
    <cellStyle name="s_Valuation _BS Csan CPC 02 &lt;SAP&gt;_Cosan Passivo 4" xfId="7900"/>
    <cellStyle name="s_Valuation _BS Csan CPC 02 &lt;SAP&gt;_Cosan Passivo 4 2" xfId="7901"/>
    <cellStyle name="s_Valuation _BS Csan CPC 02 &lt;SAP&gt;_Cosan Passivo 4 2_15-FINANCEIRAS" xfId="7902"/>
    <cellStyle name="s_Valuation _BS Csan CPC 02 &lt;SAP&gt;_Cosan Passivo 4_15-FINANCEIRAS" xfId="7903"/>
    <cellStyle name="s_Valuation _BS Csan CPC 02 &lt;SAP&gt;_Cosan Passivo 4_15-FINANCEIRAS_1" xfId="7904"/>
    <cellStyle name="s_Valuation _BS Csan CPC 02 &lt;SAP&gt;_Cosan Passivo 4_3-Balanço" xfId="7905"/>
    <cellStyle name="s_Valuation _BS Csan CPC 02 &lt;SAP&gt;_Cosan Passivo 5" xfId="7906"/>
    <cellStyle name="s_Valuation _BS Csan CPC 02 &lt;SAP&gt;_Cosan Passivo 5_15-FINANCEIRAS" xfId="7907"/>
    <cellStyle name="s_Valuation _BS Csan CPC 02 &lt;SAP&gt;_Cosan Passivo_15-FINANCEIRAS" xfId="7908"/>
    <cellStyle name="s_Valuation _BS Csan CPC 02 &lt;SAP&gt;_Cosan Passivo_15-FINANCEIRAS_1" xfId="7909"/>
    <cellStyle name="s_Valuation _BS Csan CPC 02 &lt;SAP&gt;_Cosan Passivo_26_Instrumentos Financeiros" xfId="7910"/>
    <cellStyle name="s_Valuation _BS Csan CPC 02 &lt;SAP&gt;_Cosan Passivo_26_Instrumentos Financeiros 2" xfId="7911"/>
    <cellStyle name="s_Valuation _BS Csan CPC 02 &lt;SAP&gt;_Cosan Passivo_26_Instrumentos Financeiros 2_15-FINANCEIRAS" xfId="7912"/>
    <cellStyle name="s_Valuation _BS Csan CPC 02 &lt;SAP&gt;_Cosan Passivo_26_Instrumentos Financeiros_1" xfId="7913"/>
    <cellStyle name="s_Valuation _BS Csan CPC 02 &lt;SAP&gt;_Cosan Passivo_26_Instrumentos Financeiros_1 2" xfId="7914"/>
    <cellStyle name="s_Valuation _BS Csan CPC 02 &lt;SAP&gt;_Cosan Passivo_26_Instrumentos Financeiros_1 2_15-FINANCEIRAS" xfId="7915"/>
    <cellStyle name="s_Valuation _BS Csan CPC 02 &lt;SAP&gt;_Cosan Passivo_26_Instrumentos Financeiros_1_15-FINANCEIRAS" xfId="7916"/>
    <cellStyle name="s_Valuation _BS Csan CPC 02 &lt;SAP&gt;_Cosan Passivo_26_Instrumentos Financeiros_1_15-FINANCEIRAS_1" xfId="7917"/>
    <cellStyle name="s_Valuation _BS Csan CPC 02 &lt;SAP&gt;_Cosan Passivo_26_Instrumentos Financeiros_1_3-Balanço" xfId="7918"/>
    <cellStyle name="s_Valuation _BS Csan CPC 02 &lt;SAP&gt;_Cosan Passivo_26_Instrumentos Financeiros_1_7-Estoque" xfId="7919"/>
    <cellStyle name="s_Valuation _BS Csan CPC 02 &lt;SAP&gt;_Cosan Passivo_26_Instrumentos Financeiros_15-FINANCEIRAS" xfId="7920"/>
    <cellStyle name="s_Valuation _BS Csan CPC 02 &lt;SAP&gt;_Cosan Passivo_26_Instrumentos Financeiros_15-FINANCEIRAS_1" xfId="7921"/>
    <cellStyle name="s_Valuation _BS Csan CPC 02 &lt;SAP&gt;_Cosan Passivo_26_Instrumentos Financeiros_3-Balanço" xfId="7922"/>
    <cellStyle name="s_Valuation _BS Csan CPC 02 &lt;SAP&gt;_Cosan Passivo_26_Instrumentos Financeiros_7-Estoque" xfId="7923"/>
    <cellStyle name="s_Valuation _BS Csan CPC 02 &lt;SAP&gt;_Cosan Passivo_2-DRE" xfId="7924"/>
    <cellStyle name="s_Valuation _BS Csan CPC 02 &lt;SAP&gt;_Cosan Passivo_2-DRE 2" xfId="7925"/>
    <cellStyle name="s_Valuation _BS Csan CPC 02 &lt;SAP&gt;_Cosan Passivo_2-DRE 2_15-FINANCEIRAS" xfId="7926"/>
    <cellStyle name="s_Valuation _BS Csan CPC 02 &lt;SAP&gt;_Cosan Passivo_2-DRE_15-FINANCEIRAS" xfId="7927"/>
    <cellStyle name="s_Valuation _BS Csan CPC 02 &lt;SAP&gt;_Cosan Passivo_2-DRE_15-FINANCEIRAS_1" xfId="7928"/>
    <cellStyle name="s_Valuation _BS Csan CPC 02 &lt;SAP&gt;_Cosan Passivo_2-DRE_3-Balanço" xfId="7929"/>
    <cellStyle name="s_Valuation _BS Csan CPC 02 &lt;SAP&gt;_Cosan Passivo_2-DRE_7-Estoque" xfId="7930"/>
    <cellStyle name="s_Valuation _BS Csan CPC 02 &lt;SAP&gt;_Cosan Passivo_3-Balanço" xfId="7931"/>
    <cellStyle name="s_Valuation _BS Csan CPC 02 &lt;SAP&gt;_Cosan Passivo_3-Balanço 2" xfId="7932"/>
    <cellStyle name="s_Valuation _BS Csan CPC 02 &lt;SAP&gt;_Cosan Passivo_3-Balanço 2_15-FINANCEIRAS" xfId="7933"/>
    <cellStyle name="s_Valuation _BS Csan CPC 02 &lt;SAP&gt;_Cosan Passivo_3-Balanço_1" xfId="7934"/>
    <cellStyle name="s_Valuation _BS Csan CPC 02 &lt;SAP&gt;_Cosan Passivo_3-Balanço_1 2" xfId="7935"/>
    <cellStyle name="s_Valuation _BS Csan CPC 02 &lt;SAP&gt;_Cosan Passivo_3-Balanço_1 2_15-FINANCEIRAS" xfId="7936"/>
    <cellStyle name="s_Valuation _BS Csan CPC 02 &lt;SAP&gt;_Cosan Passivo_3-Balanço_1_15-FINANCEIRAS" xfId="7937"/>
    <cellStyle name="s_Valuation _BS Csan CPC 02 &lt;SAP&gt;_Cosan Passivo_3-Balanço_1_15-FINANCEIRAS_1" xfId="7938"/>
    <cellStyle name="s_Valuation _BS Csan CPC 02 &lt;SAP&gt;_Cosan Passivo_3-Balanço_1_3-Balanço" xfId="7939"/>
    <cellStyle name="s_Valuation _BS Csan CPC 02 &lt;SAP&gt;_Cosan Passivo_3-Balanço_1_7-Estoque" xfId="7940"/>
    <cellStyle name="s_Valuation _BS Csan CPC 02 &lt;SAP&gt;_Cosan Passivo_3-Balanço_15-FINANCEIRAS" xfId="7941"/>
    <cellStyle name="s_Valuation _BS Csan CPC 02 &lt;SAP&gt;_Cosan Passivo_3-Balanço_15-FINANCEIRAS_1" xfId="7942"/>
    <cellStyle name="s_Valuation _BS Csan CPC 02 &lt;SAP&gt;_Cosan Passivo_3-Balanço_2" xfId="7943"/>
    <cellStyle name="s_Valuation _BS Csan CPC 02 &lt;SAP&gt;_Cosan Passivo_3-Balanço_3-Balanço" xfId="7944"/>
    <cellStyle name="s_Valuation _BS Csan CPC 02 &lt;SAP&gt;_Cosan Passivo_3-Balanço_7-Estoque" xfId="7945"/>
    <cellStyle name="s_Valuation _BS Csan CPC 02 &lt;SAP&gt;_Cosan Passivo_4-DMPL" xfId="7946"/>
    <cellStyle name="s_Valuation _BS Csan CPC 02 &lt;SAP&gt;_Cosan Passivo_4-DMPL 2" xfId="7947"/>
    <cellStyle name="s_Valuation _BS Csan CPC 02 &lt;SAP&gt;_Cosan Passivo_4-DMPL 2_15-FINANCEIRAS" xfId="7948"/>
    <cellStyle name="s_Valuation _BS Csan CPC 02 &lt;SAP&gt;_Cosan Passivo_4-DMPL_15-FINANCEIRAS" xfId="7949"/>
    <cellStyle name="s_Valuation _BS Csan CPC 02 &lt;SAP&gt;_Cosan Passivo_4-DMPL_15-FINANCEIRAS_1" xfId="7950"/>
    <cellStyle name="s_Valuation _BS Csan CPC 02 &lt;SAP&gt;_Cosan Passivo_4-DMPL_3-Balanço" xfId="7951"/>
    <cellStyle name="s_Valuation _BS Csan CPC 02 &lt;SAP&gt;_Cosan Passivo_7-Estoque" xfId="7952"/>
    <cellStyle name="s_Valuation _BS Csan CPC 02 &lt;SAP&gt;_Cosan Passivo_8-Impostos" xfId="7953"/>
    <cellStyle name="s_Valuation _BS Csan CPC 02 &lt;SAP&gt;_Cosan Passivo_8-Impostos 2" xfId="7954"/>
    <cellStyle name="s_Valuation _BS Csan CPC 02 &lt;SAP&gt;_Cosan Passivo_8-Impostos 2_15-FINANCEIRAS" xfId="7955"/>
    <cellStyle name="s_Valuation _BS Csan CPC 02 &lt;SAP&gt;_Cosan Passivo_8-Impostos_15-FINANCEIRAS" xfId="7956"/>
    <cellStyle name="s_Valuation _BS Csan CPC 02 &lt;SAP&gt;_Cosan Passivo_8-Impostos_15-FINANCEIRAS_1" xfId="7957"/>
    <cellStyle name="s_Valuation _BS Csan CPC 02 &lt;SAP&gt;_Cosan Passivo_8-Impostos_3-Balanço" xfId="7958"/>
    <cellStyle name="s_Valuation _BS Csan CPC 02 &lt;SAP&gt;_Cosan Passivo_Acerto FV e Ajustes Manuais" xfId="7959"/>
    <cellStyle name="s_Valuation _BS Csan CPC 02 &lt;SAP&gt;_Cosan Passivo_Balanço" xfId="7960"/>
    <cellStyle name="s_Valuation _BS Csan CPC 02 &lt;SAP&gt;_Cosan Passivo_Caixa restrito" xfId="7961"/>
    <cellStyle name="s_Valuation _BS Csan CPC 02 &lt;SAP&gt;_Cosan Passivo_Caixa restrito_7-Estoque" xfId="7962"/>
    <cellStyle name="s_Valuation _BS Csan CPC 02 &lt;SAP&gt;_Cosan Passivo_COSAN SA CONSOLID_MÊS" xfId="7963"/>
    <cellStyle name="s_Valuation _BS Csan CPC 02 &lt;SAP&gt;_Cosan Passivo_Display" xfId="7964"/>
    <cellStyle name="s_Valuation _BS Csan CPC 02 &lt;SAP&gt;_Cosan Passivo_Display 2" xfId="7965"/>
    <cellStyle name="s_Valuation _BS Csan CPC 02 &lt;SAP&gt;_Cosan Passivo_Display 2_15-FINANCEIRAS" xfId="7966"/>
    <cellStyle name="s_Valuation _BS Csan CPC 02 &lt;SAP&gt;_Cosan Passivo_Display_15-FINANCEIRAS" xfId="7967"/>
    <cellStyle name="s_Valuation _BS Csan CPC 02 &lt;SAP&gt;_Cosan Passivo_Display_15-FINANCEIRAS_1" xfId="7968"/>
    <cellStyle name="s_Valuation _BS Csan CPC 02 &lt;SAP&gt;_Cosan Passivo_Display_3-Balanço" xfId="7969"/>
    <cellStyle name="s_Valuation _BS Csan CPC 02 &lt;SAP&gt;_Cosan Passivo_Display_7-Estoque" xfId="7970"/>
    <cellStyle name="s_Valuation _BS Csan CPC 02 &lt;SAP&gt;_Cosan Passivo_Instrumentos Financeiros" xfId="7971"/>
    <cellStyle name="s_Valuation _BS Csan CPC 02 &lt;SAP&gt;_Cosan Passivo_Instrumentos Financeiros 2" xfId="7972"/>
    <cellStyle name="s_Valuation _BS Csan CPC 02 &lt;SAP&gt;_Cosan Passivo_Instrumentos Financeiros 2_15-FINANCEIRAS" xfId="7973"/>
    <cellStyle name="s_Valuation _BS Csan CPC 02 &lt;SAP&gt;_Cosan Passivo_Instrumentos Financeiros_15-FINANCEIRAS" xfId="7974"/>
    <cellStyle name="s_Valuation _BS Csan CPC 02 &lt;SAP&gt;_Cosan Passivo_Instrumentos Financeiros_15-FINANCEIRAS_1" xfId="7975"/>
    <cellStyle name="s_Valuation _BS Csan CPC 02 &lt;SAP&gt;_Cosan Passivo_Instrumentos Financeiros_3-Balanço" xfId="7976"/>
    <cellStyle name="s_Valuation _BS Csan CPC 02 &lt;SAP&gt;_Cosan Passivo_Instrumentos Financeiros_7-Estoque" xfId="7977"/>
    <cellStyle name="s_Valuation _BS Csan CPC 02 &lt;SAP&gt;_Cosan Passivo_Mapa 3T12" xfId="7978"/>
    <cellStyle name="s_Valuation _BS Csan CPC 02 &lt;SAP&gt;_Cosan Passivo_Mapa 3T12 2" xfId="7979"/>
    <cellStyle name="s_Valuation _BS Csan CPC 02 &lt;SAP&gt;_Cosan Passivo_Mapa 3T12 2_15-FINANCEIRAS" xfId="7980"/>
    <cellStyle name="s_Valuation _BS Csan CPC 02 &lt;SAP&gt;_Cosan Passivo_Mapa 3T12_15-FINANCEIRAS" xfId="7981"/>
    <cellStyle name="s_Valuation _BS Csan CPC 02 &lt;SAP&gt;_Cosan Passivo_Mapa 3T12_15-FINANCEIRAS_1" xfId="7982"/>
    <cellStyle name="s_Valuation _BS Csan CPC 02 &lt;SAP&gt;_Cosan Passivo_Mapa 3T12_3-Balanço" xfId="7983"/>
    <cellStyle name="s_Valuation _BS Csan CPC 02 &lt;SAP&gt;_Cosan Passivo_Plan2" xfId="7984"/>
    <cellStyle name="s_Valuation _BS Csan CPC 02 &lt;SAP&gt;_Cosan Passivo_Plan2 2" xfId="7985"/>
    <cellStyle name="s_Valuation _BS Csan CPC 02 &lt;SAP&gt;_Cosan Passivo_Plan2 2_15-FINANCEIRAS" xfId="7986"/>
    <cellStyle name="s_Valuation _BS Csan CPC 02 &lt;SAP&gt;_Cosan Passivo_Plan2_15-FINANCEIRAS" xfId="7987"/>
    <cellStyle name="s_Valuation _BS Csan CPC 02 &lt;SAP&gt;_Cosan Passivo_Plan2_15-FINANCEIRAS_1" xfId="7988"/>
    <cellStyle name="s_Valuation _BS Csan CPC 02 &lt;SAP&gt;_Cosan Passivo_Plan2_3-Balanço" xfId="7989"/>
    <cellStyle name="s_Valuation _BS Csan CPC 02 &lt;SAP&gt;_Cosan Passivo_Plan2_7-Estoque" xfId="7990"/>
    <cellStyle name="s_Valuation _BS Csan CPC 02 &lt;SAP&gt;_COSAN SA CONSOLID_MÊS" xfId="7991"/>
    <cellStyle name="s_Valuation _BS Csan CPC 02 &lt;SAP&gt;_Cosan_15-FINANCEIRAS" xfId="7992"/>
    <cellStyle name="s_Valuation _BS Csan CPC 02 &lt;SAP&gt;_Cosan_15-FINANCEIRAS_1" xfId="7993"/>
    <cellStyle name="s_Valuation _BS Csan CPC 02 &lt;SAP&gt;_Cosan_26_Instrumentos Financeiros" xfId="7994"/>
    <cellStyle name="s_Valuation _BS Csan CPC 02 &lt;SAP&gt;_Cosan_26_Instrumentos Financeiros 2" xfId="7995"/>
    <cellStyle name="s_Valuation _BS Csan CPC 02 &lt;SAP&gt;_Cosan_26_Instrumentos Financeiros 2_15-FINANCEIRAS" xfId="7996"/>
    <cellStyle name="s_Valuation _BS Csan CPC 02 &lt;SAP&gt;_Cosan_26_Instrumentos Financeiros_1" xfId="7997"/>
    <cellStyle name="s_Valuation _BS Csan CPC 02 &lt;SAP&gt;_Cosan_26_Instrumentos Financeiros_1 2" xfId="7998"/>
    <cellStyle name="s_Valuation _BS Csan CPC 02 &lt;SAP&gt;_Cosan_26_Instrumentos Financeiros_1 2_15-FINANCEIRAS" xfId="7999"/>
    <cellStyle name="s_Valuation _BS Csan CPC 02 &lt;SAP&gt;_Cosan_26_Instrumentos Financeiros_1_15-FINANCEIRAS" xfId="8000"/>
    <cellStyle name="s_Valuation _BS Csan CPC 02 &lt;SAP&gt;_Cosan_26_Instrumentos Financeiros_1_15-FINANCEIRAS_1" xfId="8001"/>
    <cellStyle name="s_Valuation _BS Csan CPC 02 &lt;SAP&gt;_Cosan_26_Instrumentos Financeiros_1_3-Balanço" xfId="8002"/>
    <cellStyle name="s_Valuation _BS Csan CPC 02 &lt;SAP&gt;_Cosan_26_Instrumentos Financeiros_1_7-Estoque" xfId="8003"/>
    <cellStyle name="s_Valuation _BS Csan CPC 02 &lt;SAP&gt;_Cosan_26_Instrumentos Financeiros_15-FINANCEIRAS" xfId="8004"/>
    <cellStyle name="s_Valuation _BS Csan CPC 02 &lt;SAP&gt;_Cosan_26_Instrumentos Financeiros_15-FINANCEIRAS_1" xfId="8005"/>
    <cellStyle name="s_Valuation _BS Csan CPC 02 &lt;SAP&gt;_Cosan_26_Instrumentos Financeiros_3-Balanço" xfId="8006"/>
    <cellStyle name="s_Valuation _BS Csan CPC 02 &lt;SAP&gt;_Cosan_26_Instrumentos Financeiros_7-Estoque" xfId="8007"/>
    <cellStyle name="s_Valuation _BS Csan CPC 02 &lt;SAP&gt;_Cosan_2-DRE" xfId="8008"/>
    <cellStyle name="s_Valuation _BS Csan CPC 02 &lt;SAP&gt;_Cosan_2-DRE 2" xfId="8009"/>
    <cellStyle name="s_Valuation _BS Csan CPC 02 &lt;SAP&gt;_Cosan_2-DRE 2_15-FINANCEIRAS" xfId="8010"/>
    <cellStyle name="s_Valuation _BS Csan CPC 02 &lt;SAP&gt;_Cosan_2-DRE_15-FINANCEIRAS" xfId="8011"/>
    <cellStyle name="s_Valuation _BS Csan CPC 02 &lt;SAP&gt;_Cosan_2-DRE_15-FINANCEIRAS_1" xfId="8012"/>
    <cellStyle name="s_Valuation _BS Csan CPC 02 &lt;SAP&gt;_Cosan_2-DRE_3-Balanço" xfId="8013"/>
    <cellStyle name="s_Valuation _BS Csan CPC 02 &lt;SAP&gt;_Cosan_2-DRE_7-Estoque" xfId="8014"/>
    <cellStyle name="s_Valuation _BS Csan CPC 02 &lt;SAP&gt;_Cosan_3-Balanço" xfId="8015"/>
    <cellStyle name="s_Valuation _BS Csan CPC 02 &lt;SAP&gt;_Cosan_3-Balanço 2" xfId="8016"/>
    <cellStyle name="s_Valuation _BS Csan CPC 02 &lt;SAP&gt;_Cosan_3-Balanço 2_15-FINANCEIRAS" xfId="8017"/>
    <cellStyle name="s_Valuation _BS Csan CPC 02 &lt;SAP&gt;_Cosan_3-Balanço_1" xfId="8018"/>
    <cellStyle name="s_Valuation _BS Csan CPC 02 &lt;SAP&gt;_Cosan_3-Balanço_1 2" xfId="8019"/>
    <cellStyle name="s_Valuation _BS Csan CPC 02 &lt;SAP&gt;_Cosan_3-Balanço_1 2_15-FINANCEIRAS" xfId="8020"/>
    <cellStyle name="s_Valuation _BS Csan CPC 02 &lt;SAP&gt;_Cosan_3-Balanço_1_15-FINANCEIRAS" xfId="8021"/>
    <cellStyle name="s_Valuation _BS Csan CPC 02 &lt;SAP&gt;_Cosan_3-Balanço_1_15-FINANCEIRAS_1" xfId="8022"/>
    <cellStyle name="s_Valuation _BS Csan CPC 02 &lt;SAP&gt;_Cosan_3-Balanço_1_3-Balanço" xfId="8023"/>
    <cellStyle name="s_Valuation _BS Csan CPC 02 &lt;SAP&gt;_Cosan_3-Balanço_1_7-Estoque" xfId="8024"/>
    <cellStyle name="s_Valuation _BS Csan CPC 02 &lt;SAP&gt;_Cosan_3-Balanço_15-FINANCEIRAS" xfId="8025"/>
    <cellStyle name="s_Valuation _BS Csan CPC 02 &lt;SAP&gt;_Cosan_3-Balanço_15-FINANCEIRAS_1" xfId="8026"/>
    <cellStyle name="s_Valuation _BS Csan CPC 02 &lt;SAP&gt;_Cosan_3-Balanço_2" xfId="8027"/>
    <cellStyle name="s_Valuation _BS Csan CPC 02 &lt;SAP&gt;_Cosan_3-Balanço_3-Balanço" xfId="8028"/>
    <cellStyle name="s_Valuation _BS Csan CPC 02 &lt;SAP&gt;_Cosan_3-Balanço_7-Estoque" xfId="8029"/>
    <cellStyle name="s_Valuation _BS Csan CPC 02 &lt;SAP&gt;_Cosan_4-DMPL" xfId="8030"/>
    <cellStyle name="s_Valuation _BS Csan CPC 02 &lt;SAP&gt;_Cosan_4-DMPL 2" xfId="8031"/>
    <cellStyle name="s_Valuation _BS Csan CPC 02 &lt;SAP&gt;_Cosan_4-DMPL 2_15-FINANCEIRAS" xfId="8032"/>
    <cellStyle name="s_Valuation _BS Csan CPC 02 &lt;SAP&gt;_Cosan_4-DMPL_15-FINANCEIRAS" xfId="8033"/>
    <cellStyle name="s_Valuation _BS Csan CPC 02 &lt;SAP&gt;_Cosan_4-DMPL_15-FINANCEIRAS_1" xfId="8034"/>
    <cellStyle name="s_Valuation _BS Csan CPC 02 &lt;SAP&gt;_Cosan_4-DMPL_3-Balanço" xfId="8035"/>
    <cellStyle name="s_Valuation _BS Csan CPC 02 &lt;SAP&gt;_Cosan_7-Estoque" xfId="8036"/>
    <cellStyle name="s_Valuation _BS Csan CPC 02 &lt;SAP&gt;_Cosan_8-Impostos" xfId="8037"/>
    <cellStyle name="s_Valuation _BS Csan CPC 02 &lt;SAP&gt;_Cosan_8-Impostos 2" xfId="8038"/>
    <cellStyle name="s_Valuation _BS Csan CPC 02 &lt;SAP&gt;_Cosan_8-Impostos 2_15-FINANCEIRAS" xfId="8039"/>
    <cellStyle name="s_Valuation _BS Csan CPC 02 &lt;SAP&gt;_Cosan_8-Impostos_15-FINANCEIRAS" xfId="8040"/>
    <cellStyle name="s_Valuation _BS Csan CPC 02 &lt;SAP&gt;_Cosan_8-Impostos_15-FINANCEIRAS_1" xfId="8041"/>
    <cellStyle name="s_Valuation _BS Csan CPC 02 &lt;SAP&gt;_Cosan_8-Impostos_3-Balanço" xfId="8042"/>
    <cellStyle name="s_Valuation _BS Csan CPC 02 &lt;SAP&gt;_Cosan_Acerto FV e Ajustes Manuais" xfId="8043"/>
    <cellStyle name="s_Valuation _BS Csan CPC 02 &lt;SAP&gt;_Cosan_Balanço" xfId="8044"/>
    <cellStyle name="s_Valuation _BS Csan CPC 02 &lt;SAP&gt;_Cosan_Caixa restrito" xfId="8045"/>
    <cellStyle name="s_Valuation _BS Csan CPC 02 &lt;SAP&gt;_Cosan_Caixa restrito_7-Estoque" xfId="8046"/>
    <cellStyle name="s_Valuation _BS Csan CPC 02 &lt;SAP&gt;_Cosan_COSAN SA CONSOLID_MÊS" xfId="8047"/>
    <cellStyle name="s_Valuation _BS Csan CPC 02 &lt;SAP&gt;_Cosan_Display" xfId="8048"/>
    <cellStyle name="s_Valuation _BS Csan CPC 02 &lt;SAP&gt;_Cosan_Display 2" xfId="8049"/>
    <cellStyle name="s_Valuation _BS Csan CPC 02 &lt;SAP&gt;_Cosan_Display 2_15-FINANCEIRAS" xfId="8050"/>
    <cellStyle name="s_Valuation _BS Csan CPC 02 &lt;SAP&gt;_Cosan_Display_15-FINANCEIRAS" xfId="8051"/>
    <cellStyle name="s_Valuation _BS Csan CPC 02 &lt;SAP&gt;_Cosan_Display_15-FINANCEIRAS_1" xfId="8052"/>
    <cellStyle name="s_Valuation _BS Csan CPC 02 &lt;SAP&gt;_Cosan_Display_3-Balanço" xfId="8053"/>
    <cellStyle name="s_Valuation _BS Csan CPC 02 &lt;SAP&gt;_Cosan_Display_7-Estoque" xfId="8054"/>
    <cellStyle name="s_Valuation _BS Csan CPC 02 &lt;SAP&gt;_Cosan_Instrumentos Financeiros" xfId="8055"/>
    <cellStyle name="s_Valuation _BS Csan CPC 02 &lt;SAP&gt;_Cosan_Instrumentos Financeiros 2" xfId="8056"/>
    <cellStyle name="s_Valuation _BS Csan CPC 02 &lt;SAP&gt;_Cosan_Instrumentos Financeiros 2_15-FINANCEIRAS" xfId="8057"/>
    <cellStyle name="s_Valuation _BS Csan CPC 02 &lt;SAP&gt;_Cosan_Instrumentos Financeiros_15-FINANCEIRAS" xfId="8058"/>
    <cellStyle name="s_Valuation _BS Csan CPC 02 &lt;SAP&gt;_Cosan_Instrumentos Financeiros_15-FINANCEIRAS_1" xfId="8059"/>
    <cellStyle name="s_Valuation _BS Csan CPC 02 &lt;SAP&gt;_Cosan_Instrumentos Financeiros_3-Balanço" xfId="8060"/>
    <cellStyle name="s_Valuation _BS Csan CPC 02 &lt;SAP&gt;_Cosan_Instrumentos Financeiros_7-Estoque" xfId="8061"/>
    <cellStyle name="s_Valuation _BS Csan CPC 02 &lt;SAP&gt;_Cosan_Mapa 3T12" xfId="8062"/>
    <cellStyle name="s_Valuation _BS Csan CPC 02 &lt;SAP&gt;_Cosan_Mapa 3T12 2" xfId="8063"/>
    <cellStyle name="s_Valuation _BS Csan CPC 02 &lt;SAP&gt;_Cosan_Mapa 3T12 2_15-FINANCEIRAS" xfId="8064"/>
    <cellStyle name="s_Valuation _BS Csan CPC 02 &lt;SAP&gt;_Cosan_Mapa 3T12_15-FINANCEIRAS" xfId="8065"/>
    <cellStyle name="s_Valuation _BS Csan CPC 02 &lt;SAP&gt;_Cosan_Mapa 3T12_15-FINANCEIRAS_1" xfId="8066"/>
    <cellStyle name="s_Valuation _BS Csan CPC 02 &lt;SAP&gt;_Cosan_Mapa 3T12_3-Balanço" xfId="8067"/>
    <cellStyle name="s_Valuation _BS Csan CPC 02 &lt;SAP&gt;_Cosan_Plan2" xfId="8068"/>
    <cellStyle name="s_Valuation _BS Csan CPC 02 &lt;SAP&gt;_Cosan_Plan2 2" xfId="8069"/>
    <cellStyle name="s_Valuation _BS Csan CPC 02 &lt;SAP&gt;_Cosan_Plan2 2_15-FINANCEIRAS" xfId="8070"/>
    <cellStyle name="s_Valuation _BS Csan CPC 02 &lt;SAP&gt;_Cosan_Plan2_15-FINANCEIRAS" xfId="8071"/>
    <cellStyle name="s_Valuation _BS Csan CPC 02 &lt;SAP&gt;_Cosan_Plan2_15-FINANCEIRAS_1" xfId="8072"/>
    <cellStyle name="s_Valuation _BS Csan CPC 02 &lt;SAP&gt;_Cosan_Plan2_3-Balanço" xfId="8073"/>
    <cellStyle name="s_Valuation _BS Csan CPC 02 &lt;SAP&gt;_Cosan_Plan2_7-Estoque" xfId="8074"/>
    <cellStyle name="s_Valuation _BS Csan CPC 02 &lt;SAP&gt;_Crédito PisCofins" xfId="8075"/>
    <cellStyle name="s_Valuation _BS Csan CPC 02 &lt;SAP&gt;_Crédito PisCofins 2" xfId="8076"/>
    <cellStyle name="s_Valuation _BS Csan CPC 02 &lt;SAP&gt;_Crédito PisCofins 2_15-FINANCEIRAS" xfId="8077"/>
    <cellStyle name="s_Valuation _BS Csan CPC 02 &lt;SAP&gt;_Crédito PisCofins_15-FINANCEIRAS" xfId="8078"/>
    <cellStyle name="s_Valuation _BS Csan CPC 02 &lt;SAP&gt;_Crédito PisCofins_15-FINANCEIRAS_1" xfId="8079"/>
    <cellStyle name="s_Valuation _BS Csan CPC 02 &lt;SAP&gt;_Crédito PisCofins_3-Balanço" xfId="8080"/>
    <cellStyle name="s_Valuation _BS Csan CPC 02 &lt;SAP&gt;_Crédito PisCofins_3-Balanço 2" xfId="8081"/>
    <cellStyle name="s_Valuation _BS Csan CPC 02 &lt;SAP&gt;_Crédito PisCofins_3-Balanço 2_15-FINANCEIRAS" xfId="8082"/>
    <cellStyle name="s_Valuation _BS Csan CPC 02 &lt;SAP&gt;_Crédito PisCofins_3-Balanço_1" xfId="8083"/>
    <cellStyle name="s_Valuation _BS Csan CPC 02 &lt;SAP&gt;_Crédito PisCofins_3-Balanço_15-FINANCEIRAS" xfId="8084"/>
    <cellStyle name="s_Valuation _BS Csan CPC 02 &lt;SAP&gt;_Crédito PisCofins_3-Balanço_15-FINANCEIRAS_1" xfId="8085"/>
    <cellStyle name="s_Valuation _BS Csan CPC 02 &lt;SAP&gt;_Crédito PisCofins_3-Balanço_3-Balanço" xfId="8086"/>
    <cellStyle name="s_Valuation _BS Csan CPC 02 &lt;SAP&gt;_Crédito PisCofins_3-Balanço_7-Estoque" xfId="8087"/>
    <cellStyle name="s_Valuation _BS Csan CPC 02 &lt;SAP&gt;_Crédito PisCofins_7-Estoque" xfId="8088"/>
    <cellStyle name="s_Valuation _BS Csan CPC 02 &lt;SAP&gt;_Crédito PisCofins_Balanço" xfId="8089"/>
    <cellStyle name="s_Valuation _BS Csan CPC 02 &lt;SAP&gt;_Crédito PisCofins_CCL" xfId="8090"/>
    <cellStyle name="s_Valuation _BS Csan CPC 02 &lt;SAP&gt;_Crédito PisCofins_CCL 2" xfId="8091"/>
    <cellStyle name="s_Valuation _BS Csan CPC 02 &lt;SAP&gt;_Crédito PisCofins_CCL 2_15-FINANCEIRAS" xfId="8092"/>
    <cellStyle name="s_Valuation _BS Csan CPC 02 &lt;SAP&gt;_Crédito PisCofins_CCL_15-FINANCEIRAS" xfId="8093"/>
    <cellStyle name="s_Valuation _BS Csan CPC 02 &lt;SAP&gt;_Crédito PisCofins_CCL_15-FINANCEIRAS_1" xfId="8094"/>
    <cellStyle name="s_Valuation _BS Csan CPC 02 &lt;SAP&gt;_Crédito PisCofins_CCL_3-Balanço" xfId="8095"/>
    <cellStyle name="s_Valuation _BS Csan CPC 02 &lt;SAP&gt;_Crédito PisCofins_CCL_3-Balanço 2" xfId="8096"/>
    <cellStyle name="s_Valuation _BS Csan CPC 02 &lt;SAP&gt;_Crédito PisCofins_CCL_3-Balanço 2_15-FINANCEIRAS" xfId="8097"/>
    <cellStyle name="s_Valuation _BS Csan CPC 02 &lt;SAP&gt;_Crédito PisCofins_CCL_3-Balanço_1" xfId="8098"/>
    <cellStyle name="s_Valuation _BS Csan CPC 02 &lt;SAP&gt;_Crédito PisCofins_CCL_3-Balanço_15-FINANCEIRAS" xfId="8099"/>
    <cellStyle name="s_Valuation _BS Csan CPC 02 &lt;SAP&gt;_Crédito PisCofins_CCL_3-Balanço_15-FINANCEIRAS_1" xfId="8100"/>
    <cellStyle name="s_Valuation _BS Csan CPC 02 &lt;SAP&gt;_Crédito PisCofins_CCL_3-Balanço_3-Balanço" xfId="8101"/>
    <cellStyle name="s_Valuation _BS Csan CPC 02 &lt;SAP&gt;_Crédito PisCofins_CCL_3-Balanço_7-Estoque" xfId="8102"/>
    <cellStyle name="s_Valuation _BS Csan CPC 02 &lt;SAP&gt;_Crédito PisCofins_CCL_7-Estoque" xfId="8103"/>
    <cellStyle name="s_Valuation _BS Csan CPC 02 &lt;SAP&gt;_Crédito PisCofins_CCL_Balanço" xfId="8104"/>
    <cellStyle name="s_Valuation _BS Csan CPC 02 &lt;SAP&gt;_Crédito PisCofins_Diferenças outubro CAN- (2)" xfId="8105"/>
    <cellStyle name="s_Valuation _BS Csan CPC 02 &lt;SAP&gt;_Crédito PisCofins_Diferenças outubro CAN- (2) 2" xfId="8106"/>
    <cellStyle name="s_Valuation _BS Csan CPC 02 &lt;SAP&gt;_Crédito PisCofins_Diferenças outubro CAN- (2) 2_15-FINANCEIRAS" xfId="8107"/>
    <cellStyle name="s_Valuation _BS Csan CPC 02 &lt;SAP&gt;_Crédito PisCofins_Diferenças outubro CAN- (2)_15-FINANCEIRAS" xfId="8108"/>
    <cellStyle name="s_Valuation _BS Csan CPC 02 &lt;SAP&gt;_Crédito PisCofins_Diferenças outubro CAN- (2)_15-FINANCEIRAS_1" xfId="8109"/>
    <cellStyle name="s_Valuation _BS Csan CPC 02 &lt;SAP&gt;_Crédito PisCofins_Diferenças outubro CAN- (2)_3-Balanço" xfId="8110"/>
    <cellStyle name="s_Valuation _BS Csan CPC 02 &lt;SAP&gt;_Crédito PisCofins_Diferenças outubro CAN- (2)_3-Balanço 2" xfId="8111"/>
    <cellStyle name="s_Valuation _BS Csan CPC 02 &lt;SAP&gt;_Crédito PisCofins_Diferenças outubro CAN- (2)_3-Balanço 2_15-FINANCEIRAS" xfId="8112"/>
    <cellStyle name="s_Valuation _BS Csan CPC 02 &lt;SAP&gt;_Crédito PisCofins_Diferenças outubro CAN- (2)_3-Balanço_1" xfId="8113"/>
    <cellStyle name="s_Valuation _BS Csan CPC 02 &lt;SAP&gt;_Crédito PisCofins_Diferenças outubro CAN- (2)_3-Balanço_15-FINANCEIRAS" xfId="8114"/>
    <cellStyle name="s_Valuation _BS Csan CPC 02 &lt;SAP&gt;_Crédito PisCofins_Diferenças outubro CAN- (2)_3-Balanço_15-FINANCEIRAS_1" xfId="8115"/>
    <cellStyle name="s_Valuation _BS Csan CPC 02 &lt;SAP&gt;_Crédito PisCofins_Diferenças outubro CAN- (2)_3-Balanço_3-Balanço" xfId="8116"/>
    <cellStyle name="s_Valuation _BS Csan CPC 02 &lt;SAP&gt;_Crédito PisCofins_Diferenças outubro CAN- (2)_3-Balanço_7-Estoque" xfId="8117"/>
    <cellStyle name="s_Valuation _BS Csan CPC 02 &lt;SAP&gt;_Crédito PisCofins_Diferenças outubro CAN- (2)_7-Estoque" xfId="8118"/>
    <cellStyle name="s_Valuation _BS Csan CPC 02 &lt;SAP&gt;_Crédito PisCofins_Diferenças outubro CAN- (2)_Balanço" xfId="8119"/>
    <cellStyle name="s_Valuation _BS Csan CPC 02 &lt;SAP&gt;_Crédito PisCofins_Query C.Custos SF 10-11" xfId="8120"/>
    <cellStyle name="s_Valuation _BS Csan CPC 02 &lt;SAP&gt;_Crédito PisCofins_Query C.Custos SF 10-11 2" xfId="8121"/>
    <cellStyle name="s_Valuation _BS Csan CPC 02 &lt;SAP&gt;_Crédito PisCofins_Query C.Custos SF 10-11 2_15-FINANCEIRAS" xfId="8122"/>
    <cellStyle name="s_Valuation _BS Csan CPC 02 &lt;SAP&gt;_Crédito PisCofins_Query C.Custos SF 10-11_15-FINANCEIRAS" xfId="8123"/>
    <cellStyle name="s_Valuation _BS Csan CPC 02 &lt;SAP&gt;_Crédito PisCofins_Query C.Custos SF 10-11_15-FINANCEIRAS_1" xfId="8124"/>
    <cellStyle name="s_Valuation _BS Csan CPC 02 &lt;SAP&gt;_Crédito PisCofins_Query C.Custos SF 10-11_3-Balanço" xfId="8125"/>
    <cellStyle name="s_Valuation _BS Csan CPC 02 &lt;SAP&gt;_Crédito PisCofins_Query C.Custos SF 10-11_3-Balanço 2" xfId="8126"/>
    <cellStyle name="s_Valuation _BS Csan CPC 02 &lt;SAP&gt;_Crédito PisCofins_Query C.Custos SF 10-11_3-Balanço 2_15-FINANCEIRAS" xfId="8127"/>
    <cellStyle name="s_Valuation _BS Csan CPC 02 &lt;SAP&gt;_Crédito PisCofins_Query C.Custos SF 10-11_3-Balanço_1" xfId="8128"/>
    <cellStyle name="s_Valuation _BS Csan CPC 02 &lt;SAP&gt;_Crédito PisCofins_Query C.Custos SF 10-11_3-Balanço_15-FINANCEIRAS" xfId="8129"/>
    <cellStyle name="s_Valuation _BS Csan CPC 02 &lt;SAP&gt;_Crédito PisCofins_Query C.Custos SF 10-11_3-Balanço_15-FINANCEIRAS_1" xfId="8130"/>
    <cellStyle name="s_Valuation _BS Csan CPC 02 &lt;SAP&gt;_Crédito PisCofins_Query C.Custos SF 10-11_3-Balanço_3-Balanço" xfId="8131"/>
    <cellStyle name="s_Valuation _BS Csan CPC 02 &lt;SAP&gt;_Crédito PisCofins_Query C.Custos SF 10-11_3-Balanço_7-Estoque" xfId="8132"/>
    <cellStyle name="s_Valuation _BS Csan CPC 02 &lt;SAP&gt;_Crédito PisCofins_Query C.Custos SF 10-11_7-Estoque" xfId="8133"/>
    <cellStyle name="s_Valuation _BS Csan CPC 02 &lt;SAP&gt;_Crédito PisCofins_Query C.Custos SF 10-11_Balanço" xfId="8134"/>
    <cellStyle name="s_Valuation _BS Csan CPC 02 &lt;SAP&gt;_desp" xfId="8135"/>
    <cellStyle name="s_Valuation _BS Csan CPC 02 &lt;SAP&gt;_desp 2" xfId="8136"/>
    <cellStyle name="s_Valuation _BS Csan CPC 02 &lt;SAP&gt;_desp 2_15-FINANCEIRAS" xfId="8137"/>
    <cellStyle name="s_Valuation _BS Csan CPC 02 &lt;SAP&gt;_desp_15-FINANCEIRAS" xfId="8138"/>
    <cellStyle name="s_Valuation _BS Csan CPC 02 &lt;SAP&gt;_desp_15-FINANCEIRAS_1" xfId="8139"/>
    <cellStyle name="s_Valuation _BS Csan CPC 02 &lt;SAP&gt;_desp_3-Balanço" xfId="8140"/>
    <cellStyle name="s_Valuation _BS Csan CPC 02 &lt;SAP&gt;_desp_3-Balanço 2" xfId="8141"/>
    <cellStyle name="s_Valuation _BS Csan CPC 02 &lt;SAP&gt;_desp_3-Balanço 2_15-FINANCEIRAS" xfId="8142"/>
    <cellStyle name="s_Valuation _BS Csan CPC 02 &lt;SAP&gt;_desp_3-Balanço_1" xfId="8143"/>
    <cellStyle name="s_Valuation _BS Csan CPC 02 &lt;SAP&gt;_desp_3-Balanço_15-FINANCEIRAS" xfId="8144"/>
    <cellStyle name="s_Valuation _BS Csan CPC 02 &lt;SAP&gt;_desp_3-Balanço_15-FINANCEIRAS_1" xfId="8145"/>
    <cellStyle name="s_Valuation _BS Csan CPC 02 &lt;SAP&gt;_desp_3-Balanço_3-Balanço" xfId="8146"/>
    <cellStyle name="s_Valuation _BS Csan CPC 02 &lt;SAP&gt;_desp_3-Balanço_7-Estoque" xfId="8147"/>
    <cellStyle name="s_Valuation _BS Csan CPC 02 &lt;SAP&gt;_desp_7-Estoque" xfId="8148"/>
    <cellStyle name="s_Valuation _BS Csan CPC 02 &lt;SAP&gt;_desp_Balanço" xfId="8149"/>
    <cellStyle name="s_Valuation _BS Csan CPC 02 &lt;SAP&gt;_despesa fixa" xfId="8150"/>
    <cellStyle name="s_Valuation _BS Csan CPC 02 &lt;SAP&gt;_despesa fixa 2" xfId="8151"/>
    <cellStyle name="s_Valuation _BS Csan CPC 02 &lt;SAP&gt;_despesa fixa 2_15-FINANCEIRAS" xfId="8152"/>
    <cellStyle name="s_Valuation _BS Csan CPC 02 &lt;SAP&gt;_despesa fixa_15-FINANCEIRAS" xfId="8153"/>
    <cellStyle name="s_Valuation _BS Csan CPC 02 &lt;SAP&gt;_despesa fixa_15-FINANCEIRAS_1" xfId="8154"/>
    <cellStyle name="s_Valuation _BS Csan CPC 02 &lt;SAP&gt;_despesa fixa_3-Balanço" xfId="8155"/>
    <cellStyle name="s_Valuation _BS Csan CPC 02 &lt;SAP&gt;_despesa fixa_3-Balanço 2" xfId="8156"/>
    <cellStyle name="s_Valuation _BS Csan CPC 02 &lt;SAP&gt;_despesa fixa_3-Balanço 2_15-FINANCEIRAS" xfId="8157"/>
    <cellStyle name="s_Valuation _BS Csan CPC 02 &lt;SAP&gt;_despesa fixa_3-Balanço_1" xfId="8158"/>
    <cellStyle name="s_Valuation _BS Csan CPC 02 &lt;SAP&gt;_despesa fixa_3-Balanço_15-FINANCEIRAS" xfId="8159"/>
    <cellStyle name="s_Valuation _BS Csan CPC 02 &lt;SAP&gt;_despesa fixa_3-Balanço_15-FINANCEIRAS_1" xfId="8160"/>
    <cellStyle name="s_Valuation _BS Csan CPC 02 &lt;SAP&gt;_despesa fixa_3-Balanço_3-Balanço" xfId="8161"/>
    <cellStyle name="s_Valuation _BS Csan CPC 02 &lt;SAP&gt;_despesa fixa_3-Balanço_7-Estoque" xfId="8162"/>
    <cellStyle name="s_Valuation _BS Csan CPC 02 &lt;SAP&gt;_despesa fixa_7-Estoque" xfId="8163"/>
    <cellStyle name="s_Valuation _BS Csan CPC 02 &lt;SAP&gt;_despesa fixa_Balanço" xfId="8164"/>
    <cellStyle name="s_Valuation _BS Csan CPC 02 &lt;SAP&gt;_Despesas ADM e COML (3)" xfId="8165"/>
    <cellStyle name="s_Valuation _BS Csan CPC 02 &lt;SAP&gt;_Despesas ADM e COML (3) 2" xfId="8166"/>
    <cellStyle name="s_Valuation _BS Csan CPC 02 &lt;SAP&gt;_Despesas ADM e COML (3) 2_15-FINANCEIRAS" xfId="8167"/>
    <cellStyle name="s_Valuation _BS Csan CPC 02 &lt;SAP&gt;_Despesas ADM e COML (3)_1" xfId="8168"/>
    <cellStyle name="s_Valuation _BS Csan CPC 02 &lt;SAP&gt;_Despesas ADM e COML (3)_1 2" xfId="8169"/>
    <cellStyle name="s_Valuation _BS Csan CPC 02 &lt;SAP&gt;_Despesas ADM e COML (3)_1 2_15-FINANCEIRAS" xfId="8170"/>
    <cellStyle name="s_Valuation _BS Csan CPC 02 &lt;SAP&gt;_Despesas ADM e COML (3)_1_15-FINANCEIRAS" xfId="8171"/>
    <cellStyle name="s_Valuation _BS Csan CPC 02 &lt;SAP&gt;_Despesas ADM e COML (3)_1_15-FINANCEIRAS_1" xfId="8172"/>
    <cellStyle name="s_Valuation _BS Csan CPC 02 &lt;SAP&gt;_Despesas ADM e COML (3)_1_3-Balanço" xfId="8173"/>
    <cellStyle name="s_Valuation _BS Csan CPC 02 &lt;SAP&gt;_Despesas ADM e COML (3)_1_3-Balanço 2" xfId="8174"/>
    <cellStyle name="s_Valuation _BS Csan CPC 02 &lt;SAP&gt;_Despesas ADM e COML (3)_1_3-Balanço 2_15-FINANCEIRAS" xfId="8175"/>
    <cellStyle name="s_Valuation _BS Csan CPC 02 &lt;SAP&gt;_Despesas ADM e COML (3)_1_3-Balanço_1" xfId="8176"/>
    <cellStyle name="s_Valuation _BS Csan CPC 02 &lt;SAP&gt;_Despesas ADM e COML (3)_1_3-Balanço_15-FINANCEIRAS" xfId="8177"/>
    <cellStyle name="s_Valuation _BS Csan CPC 02 &lt;SAP&gt;_Despesas ADM e COML (3)_1_3-Balanço_15-FINANCEIRAS_1" xfId="8178"/>
    <cellStyle name="s_Valuation _BS Csan CPC 02 &lt;SAP&gt;_Despesas ADM e COML (3)_1_3-Balanço_3-Balanço" xfId="8179"/>
    <cellStyle name="s_Valuation _BS Csan CPC 02 &lt;SAP&gt;_Despesas ADM e COML (3)_1_3-Balanço_7-Estoque" xfId="8180"/>
    <cellStyle name="s_Valuation _BS Csan CPC 02 &lt;SAP&gt;_Despesas ADM e COML (3)_1_7-Estoque" xfId="8181"/>
    <cellStyle name="s_Valuation _BS Csan CPC 02 &lt;SAP&gt;_Despesas ADM e COML (3)_1_Balanço" xfId="8182"/>
    <cellStyle name="s_Valuation _BS Csan CPC 02 &lt;SAP&gt;_Despesas ADM e COML (3)_1_Crédito PisCofins" xfId="8183"/>
    <cellStyle name="s_Valuation _BS Csan CPC 02 &lt;SAP&gt;_Despesas ADM e COML (3)_1_Crédito PisCofins 2" xfId="8184"/>
    <cellStyle name="s_Valuation _BS Csan CPC 02 &lt;SAP&gt;_Despesas ADM e COML (3)_1_Crédito PisCofins 2_15-FINANCEIRAS" xfId="8185"/>
    <cellStyle name="s_Valuation _BS Csan CPC 02 &lt;SAP&gt;_Despesas ADM e COML (3)_1_Crédito PisCofins_15-FINANCEIRAS" xfId="8186"/>
    <cellStyle name="s_Valuation _BS Csan CPC 02 &lt;SAP&gt;_Despesas ADM e COML (3)_1_Crédito PisCofins_15-FINANCEIRAS_1" xfId="8187"/>
    <cellStyle name="s_Valuation _BS Csan CPC 02 &lt;SAP&gt;_Despesas ADM e COML (3)_1_Crédito PisCofins_3-Balanço" xfId="8188"/>
    <cellStyle name="s_Valuation _BS Csan CPC 02 &lt;SAP&gt;_Despesas ADM e COML (3)_1_Crédito PisCofins_3-Balanço 2" xfId="8189"/>
    <cellStyle name="s_Valuation _BS Csan CPC 02 &lt;SAP&gt;_Despesas ADM e COML (3)_1_Crédito PisCofins_3-Balanço 2_15-FINANCEIRAS" xfId="8190"/>
    <cellStyle name="s_Valuation _BS Csan CPC 02 &lt;SAP&gt;_Despesas ADM e COML (3)_1_Crédito PisCofins_3-Balanço_1" xfId="8191"/>
    <cellStyle name="s_Valuation _BS Csan CPC 02 &lt;SAP&gt;_Despesas ADM e COML (3)_1_Crédito PisCofins_3-Balanço_15-FINANCEIRAS" xfId="8192"/>
    <cellStyle name="s_Valuation _BS Csan CPC 02 &lt;SAP&gt;_Despesas ADM e COML (3)_1_Crédito PisCofins_3-Balanço_15-FINANCEIRAS_1" xfId="8193"/>
    <cellStyle name="s_Valuation _BS Csan CPC 02 &lt;SAP&gt;_Despesas ADM e COML (3)_1_Crédito PisCofins_3-Balanço_3-Balanço" xfId="8194"/>
    <cellStyle name="s_Valuation _BS Csan CPC 02 &lt;SAP&gt;_Despesas ADM e COML (3)_1_Crédito PisCofins_3-Balanço_7-Estoque" xfId="8195"/>
    <cellStyle name="s_Valuation _BS Csan CPC 02 &lt;SAP&gt;_Despesas ADM e COML (3)_1_Crédito PisCofins_7-Estoque" xfId="8196"/>
    <cellStyle name="s_Valuation _BS Csan CPC 02 &lt;SAP&gt;_Despesas ADM e COML (3)_1_Crédito PisCofins_Balanço" xfId="8197"/>
    <cellStyle name="s_Valuation _BS Csan CPC 02 &lt;SAP&gt;_Despesas ADM e COML (3)_1_Crédito PisCofins_CCL" xfId="8198"/>
    <cellStyle name="s_Valuation _BS Csan CPC 02 &lt;SAP&gt;_Despesas ADM e COML (3)_1_Crédito PisCofins_CCL 2" xfId="8199"/>
    <cellStyle name="s_Valuation _BS Csan CPC 02 &lt;SAP&gt;_Despesas ADM e COML (3)_1_Crédito PisCofins_CCL 2_15-FINANCEIRAS" xfId="8200"/>
    <cellStyle name="s_Valuation _BS Csan CPC 02 &lt;SAP&gt;_Despesas ADM e COML (3)_1_Crédito PisCofins_CCL_15-FINANCEIRAS" xfId="8201"/>
    <cellStyle name="s_Valuation _BS Csan CPC 02 &lt;SAP&gt;_Despesas ADM e COML (3)_1_Crédito PisCofins_CCL_15-FINANCEIRAS_1" xfId="8202"/>
    <cellStyle name="s_Valuation _BS Csan CPC 02 &lt;SAP&gt;_Despesas ADM e COML (3)_1_Crédito PisCofins_CCL_3-Balanço" xfId="8203"/>
    <cellStyle name="s_Valuation _BS Csan CPC 02 &lt;SAP&gt;_Despesas ADM e COML (3)_1_Crédito PisCofins_CCL_3-Balanço 2" xfId="8204"/>
    <cellStyle name="s_Valuation _BS Csan CPC 02 &lt;SAP&gt;_Despesas ADM e COML (3)_1_Crédito PisCofins_CCL_3-Balanço 2_15-FINANCEIRAS" xfId="8205"/>
    <cellStyle name="s_Valuation _BS Csan CPC 02 &lt;SAP&gt;_Despesas ADM e COML (3)_1_Crédito PisCofins_CCL_3-Balanço_1" xfId="8206"/>
    <cellStyle name="s_Valuation _BS Csan CPC 02 &lt;SAP&gt;_Despesas ADM e COML (3)_1_Crédito PisCofins_CCL_3-Balanço_15-FINANCEIRAS" xfId="8207"/>
    <cellStyle name="s_Valuation _BS Csan CPC 02 &lt;SAP&gt;_Despesas ADM e COML (3)_1_Crédito PisCofins_CCL_3-Balanço_15-FINANCEIRAS_1" xfId="8208"/>
    <cellStyle name="s_Valuation _BS Csan CPC 02 &lt;SAP&gt;_Despesas ADM e COML (3)_1_Crédito PisCofins_CCL_3-Balanço_3-Balanço" xfId="8209"/>
    <cellStyle name="s_Valuation _BS Csan CPC 02 &lt;SAP&gt;_Despesas ADM e COML (3)_1_Crédito PisCofins_CCL_3-Balanço_7-Estoque" xfId="8210"/>
    <cellStyle name="s_Valuation _BS Csan CPC 02 &lt;SAP&gt;_Despesas ADM e COML (3)_1_Crédito PisCofins_CCL_7-Estoque" xfId="8211"/>
    <cellStyle name="s_Valuation _BS Csan CPC 02 &lt;SAP&gt;_Despesas ADM e COML (3)_1_Crédito PisCofins_CCL_Balanço" xfId="8212"/>
    <cellStyle name="s_Valuation _BS Csan CPC 02 &lt;SAP&gt;_Despesas ADM e COML (3)_1_Crédito PisCofins_Diferenças outubro CAN- (2)" xfId="8213"/>
    <cellStyle name="s_Valuation _BS Csan CPC 02 &lt;SAP&gt;_Despesas ADM e COML (3)_1_Crédito PisCofins_Diferenças outubro CAN- (2) 2" xfId="8214"/>
    <cellStyle name="s_Valuation _BS Csan CPC 02 &lt;SAP&gt;_Despesas ADM e COML (3)_1_Crédito PisCofins_Diferenças outubro CAN- (2) 2_15-FINANCEIRAS" xfId="8215"/>
    <cellStyle name="s_Valuation _BS Csan CPC 02 &lt;SAP&gt;_Despesas ADM e COML (3)_1_Crédito PisCofins_Diferenças outubro CAN- (2)_15-FINANCEIRAS" xfId="8216"/>
    <cellStyle name="s_Valuation _BS Csan CPC 02 &lt;SAP&gt;_Despesas ADM e COML (3)_1_Crédito PisCofins_Diferenças outubro CAN- (2)_15-FINANCEIRAS_1" xfId="8217"/>
    <cellStyle name="s_Valuation _BS Csan CPC 02 &lt;SAP&gt;_Despesas ADM e COML (3)_1_Crédito PisCofins_Diferenças outubro CAN- (2)_3-Balanço" xfId="8218"/>
    <cellStyle name="s_Valuation _BS Csan CPC 02 &lt;SAP&gt;_Despesas ADM e COML (3)_1_Crédito PisCofins_Diferenças outubro CAN- (2)_3-Balanço 2" xfId="8219"/>
    <cellStyle name="s_Valuation _BS Csan CPC 02 &lt;SAP&gt;_Despesas ADM e COML (3)_1_Crédito PisCofins_Diferenças outubro CAN- (2)_3-Balanço 2_15-FINANCEIRAS" xfId="8220"/>
    <cellStyle name="s_Valuation _BS Csan CPC 02 &lt;SAP&gt;_Despesas ADM e COML (3)_1_Crédito PisCofins_Diferenças outubro CAN- (2)_3-Balanço_1" xfId="8221"/>
    <cellStyle name="s_Valuation _BS Csan CPC 02 &lt;SAP&gt;_Despesas ADM e COML (3)_1_Crédito PisCofins_Diferenças outubro CAN- (2)_3-Balanço_15-FINANCEIRAS" xfId="8222"/>
    <cellStyle name="s_Valuation _BS Csan CPC 02 &lt;SAP&gt;_Despesas ADM e COML (3)_1_Crédito PisCofins_Diferenças outubro CAN- (2)_3-Balanço_15-FINANCEIRAS_1" xfId="8223"/>
    <cellStyle name="s_Valuation _BS Csan CPC 02 &lt;SAP&gt;_Despesas ADM e COML (3)_1_Crédito PisCofins_Diferenças outubro CAN- (2)_3-Balanço_3-Balanço" xfId="8224"/>
    <cellStyle name="s_Valuation _BS Csan CPC 02 &lt;SAP&gt;_Despesas ADM e COML (3)_1_Crédito PisCofins_Diferenças outubro CAN- (2)_3-Balanço_7-Estoque" xfId="8225"/>
    <cellStyle name="s_Valuation _BS Csan CPC 02 &lt;SAP&gt;_Despesas ADM e COML (3)_1_Crédito PisCofins_Diferenças outubro CAN- (2)_7-Estoque" xfId="8226"/>
    <cellStyle name="s_Valuation _BS Csan CPC 02 &lt;SAP&gt;_Despesas ADM e COML (3)_1_Crédito PisCofins_Diferenças outubro CAN- (2)_Balanço" xfId="8227"/>
    <cellStyle name="s_Valuation _BS Csan CPC 02 &lt;SAP&gt;_Despesas ADM e COML (3)_1_Crédito PisCofins_Query C.Custos SF 10-11" xfId="8228"/>
    <cellStyle name="s_Valuation _BS Csan CPC 02 &lt;SAP&gt;_Despesas ADM e COML (3)_1_Crédito PisCofins_Query C.Custos SF 10-11 2" xfId="8229"/>
    <cellStyle name="s_Valuation _BS Csan CPC 02 &lt;SAP&gt;_Despesas ADM e COML (3)_1_Crédito PisCofins_Query C.Custos SF 10-11 2_15-FINANCEIRAS" xfId="8230"/>
    <cellStyle name="s_Valuation _BS Csan CPC 02 &lt;SAP&gt;_Despesas ADM e COML (3)_1_Crédito PisCofins_Query C.Custos SF 10-11_15-FINANCEIRAS" xfId="8231"/>
    <cellStyle name="s_Valuation _BS Csan CPC 02 &lt;SAP&gt;_Despesas ADM e COML (3)_1_Crédito PisCofins_Query C.Custos SF 10-11_15-FINANCEIRAS_1" xfId="8232"/>
    <cellStyle name="s_Valuation _BS Csan CPC 02 &lt;SAP&gt;_Despesas ADM e COML (3)_1_Crédito PisCofins_Query C.Custos SF 10-11_3-Balanço" xfId="8233"/>
    <cellStyle name="s_Valuation _BS Csan CPC 02 &lt;SAP&gt;_Despesas ADM e COML (3)_1_Crédito PisCofins_Query C.Custos SF 10-11_3-Balanço 2" xfId="8234"/>
    <cellStyle name="s_Valuation _BS Csan CPC 02 &lt;SAP&gt;_Despesas ADM e COML (3)_1_Crédito PisCofins_Query C.Custos SF 10-11_3-Balanço 2_15-FINANCEIRAS" xfId="8235"/>
    <cellStyle name="s_Valuation _BS Csan CPC 02 &lt;SAP&gt;_Despesas ADM e COML (3)_1_Crédito PisCofins_Query C.Custos SF 10-11_3-Balanço_1" xfId="8236"/>
    <cellStyle name="s_Valuation _BS Csan CPC 02 &lt;SAP&gt;_Despesas ADM e COML (3)_1_Crédito PisCofins_Query C.Custos SF 10-11_3-Balanço_15-FINANCEIRAS" xfId="8237"/>
    <cellStyle name="s_Valuation _BS Csan CPC 02 &lt;SAP&gt;_Despesas ADM e COML (3)_1_Crédito PisCofins_Query C.Custos SF 10-11_3-Balanço_15-FINANCEIRAS_1" xfId="8238"/>
    <cellStyle name="s_Valuation _BS Csan CPC 02 &lt;SAP&gt;_Despesas ADM e COML (3)_1_Crédito PisCofins_Query C.Custos SF 10-11_3-Balanço_3-Balanço" xfId="8239"/>
    <cellStyle name="s_Valuation _BS Csan CPC 02 &lt;SAP&gt;_Despesas ADM e COML (3)_1_Crédito PisCofins_Query C.Custos SF 10-11_3-Balanço_7-Estoque" xfId="8240"/>
    <cellStyle name="s_Valuation _BS Csan CPC 02 &lt;SAP&gt;_Despesas ADM e COML (3)_1_Crédito PisCofins_Query C.Custos SF 10-11_7-Estoque" xfId="8241"/>
    <cellStyle name="s_Valuation _BS Csan CPC 02 &lt;SAP&gt;_Despesas ADM e COML (3)_1_Crédito PisCofins_Query C.Custos SF 10-11_Balanço" xfId="8242"/>
    <cellStyle name="s_Valuation _BS Csan CPC 02 &lt;SAP&gt;_Despesas ADM e COML (3)_1_Plan1" xfId="8243"/>
    <cellStyle name="s_Valuation _BS Csan CPC 02 &lt;SAP&gt;_Despesas ADM e COML (3)_1_Plan1 2" xfId="8244"/>
    <cellStyle name="s_Valuation _BS Csan CPC 02 &lt;SAP&gt;_Despesas ADM e COML (3)_1_Plan1 2_15-FINANCEIRAS" xfId="8245"/>
    <cellStyle name="s_Valuation _BS Csan CPC 02 &lt;SAP&gt;_Despesas ADM e COML (3)_1_Plan1_15-FINANCEIRAS" xfId="8246"/>
    <cellStyle name="s_Valuation _BS Csan CPC 02 &lt;SAP&gt;_Despesas ADM e COML (3)_1_Plan1_15-FINANCEIRAS_1" xfId="8247"/>
    <cellStyle name="s_Valuation _BS Csan CPC 02 &lt;SAP&gt;_Despesas ADM e COML (3)_1_Plan1_3-Balanço" xfId="8248"/>
    <cellStyle name="s_Valuation _BS Csan CPC 02 &lt;SAP&gt;_Despesas ADM e COML (3)_1_Plan1_3-Balanço 2" xfId="8249"/>
    <cellStyle name="s_Valuation _BS Csan CPC 02 &lt;SAP&gt;_Despesas ADM e COML (3)_1_Plan1_3-Balanço 2_15-FINANCEIRAS" xfId="8250"/>
    <cellStyle name="s_Valuation _BS Csan CPC 02 &lt;SAP&gt;_Despesas ADM e COML (3)_1_Plan1_3-Balanço_1" xfId="8251"/>
    <cellStyle name="s_Valuation _BS Csan CPC 02 &lt;SAP&gt;_Despesas ADM e COML (3)_1_Plan1_3-Balanço_15-FINANCEIRAS" xfId="8252"/>
    <cellStyle name="s_Valuation _BS Csan CPC 02 &lt;SAP&gt;_Despesas ADM e COML (3)_1_Plan1_3-Balanço_15-FINANCEIRAS_1" xfId="8253"/>
    <cellStyle name="s_Valuation _BS Csan CPC 02 &lt;SAP&gt;_Despesas ADM e COML (3)_1_Plan1_3-Balanço_3-Balanço" xfId="8254"/>
    <cellStyle name="s_Valuation _BS Csan CPC 02 &lt;SAP&gt;_Despesas ADM e COML (3)_1_Plan1_3-Balanço_7-Estoque" xfId="8255"/>
    <cellStyle name="s_Valuation _BS Csan CPC 02 &lt;SAP&gt;_Despesas ADM e COML (3)_1_Plan1_7-Estoque" xfId="8256"/>
    <cellStyle name="s_Valuation _BS Csan CPC 02 &lt;SAP&gt;_Despesas ADM e COML (3)_1_Plan1_Balanço" xfId="8257"/>
    <cellStyle name="s_Valuation _BS Csan CPC 02 &lt;SAP&gt;_Despesas ADM e COML (3)_1_Plan1_CCL" xfId="8258"/>
    <cellStyle name="s_Valuation _BS Csan CPC 02 &lt;SAP&gt;_Despesas ADM e COML (3)_1_Plan1_CCL 2" xfId="8259"/>
    <cellStyle name="s_Valuation _BS Csan CPC 02 &lt;SAP&gt;_Despesas ADM e COML (3)_1_Plan1_CCL 2_15-FINANCEIRAS" xfId="8260"/>
    <cellStyle name="s_Valuation _BS Csan CPC 02 &lt;SAP&gt;_Despesas ADM e COML (3)_1_Plan1_CCL_15-FINANCEIRAS" xfId="8261"/>
    <cellStyle name="s_Valuation _BS Csan CPC 02 &lt;SAP&gt;_Despesas ADM e COML (3)_1_Plan1_CCL_15-FINANCEIRAS_1" xfId="8262"/>
    <cellStyle name="s_Valuation _BS Csan CPC 02 &lt;SAP&gt;_Despesas ADM e COML (3)_1_Plan1_CCL_3-Balanço" xfId="8263"/>
    <cellStyle name="s_Valuation _BS Csan CPC 02 &lt;SAP&gt;_Despesas ADM e COML (3)_1_Plan1_CCL_3-Balanço 2" xfId="8264"/>
    <cellStyle name="s_Valuation _BS Csan CPC 02 &lt;SAP&gt;_Despesas ADM e COML (3)_1_Plan1_CCL_3-Balanço 2_15-FINANCEIRAS" xfId="8265"/>
    <cellStyle name="s_Valuation _BS Csan CPC 02 &lt;SAP&gt;_Despesas ADM e COML (3)_1_Plan1_CCL_3-Balanço_1" xfId="8266"/>
    <cellStyle name="s_Valuation _BS Csan CPC 02 &lt;SAP&gt;_Despesas ADM e COML (3)_1_Plan1_CCL_3-Balanço_15-FINANCEIRAS" xfId="8267"/>
    <cellStyle name="s_Valuation _BS Csan CPC 02 &lt;SAP&gt;_Despesas ADM e COML (3)_1_Plan1_CCL_3-Balanço_15-FINANCEIRAS_1" xfId="8268"/>
    <cellStyle name="s_Valuation _BS Csan CPC 02 &lt;SAP&gt;_Despesas ADM e COML (3)_1_Plan1_CCL_3-Balanço_3-Balanço" xfId="8269"/>
    <cellStyle name="s_Valuation _BS Csan CPC 02 &lt;SAP&gt;_Despesas ADM e COML (3)_1_Plan1_CCL_3-Balanço_7-Estoque" xfId="8270"/>
    <cellStyle name="s_Valuation _BS Csan CPC 02 &lt;SAP&gt;_Despesas ADM e COML (3)_1_Plan1_CCL_7-Estoque" xfId="8271"/>
    <cellStyle name="s_Valuation _BS Csan CPC 02 &lt;SAP&gt;_Despesas ADM e COML (3)_1_Plan1_CCL_Balanço" xfId="8272"/>
    <cellStyle name="s_Valuation _BS Csan CPC 02 &lt;SAP&gt;_Despesas ADM e COML (3)_1_Plan1_Diferenças outubro CAN- (2)" xfId="8273"/>
    <cellStyle name="s_Valuation _BS Csan CPC 02 &lt;SAP&gt;_Despesas ADM e COML (3)_1_Plan1_Diferenças outubro CAN- (2) 2" xfId="8274"/>
    <cellStyle name="s_Valuation _BS Csan CPC 02 &lt;SAP&gt;_Despesas ADM e COML (3)_1_Plan1_Diferenças outubro CAN- (2) 2_15-FINANCEIRAS" xfId="8275"/>
    <cellStyle name="s_Valuation _BS Csan CPC 02 &lt;SAP&gt;_Despesas ADM e COML (3)_1_Plan1_Diferenças outubro CAN- (2)_15-FINANCEIRAS" xfId="8276"/>
    <cellStyle name="s_Valuation _BS Csan CPC 02 &lt;SAP&gt;_Despesas ADM e COML (3)_1_Plan1_Diferenças outubro CAN- (2)_15-FINANCEIRAS_1" xfId="8277"/>
    <cellStyle name="s_Valuation _BS Csan CPC 02 &lt;SAP&gt;_Despesas ADM e COML (3)_1_Plan1_Diferenças outubro CAN- (2)_3-Balanço" xfId="8278"/>
    <cellStyle name="s_Valuation _BS Csan CPC 02 &lt;SAP&gt;_Despesas ADM e COML (3)_1_Plan1_Diferenças outubro CAN- (2)_3-Balanço 2" xfId="8279"/>
    <cellStyle name="s_Valuation _BS Csan CPC 02 &lt;SAP&gt;_Despesas ADM e COML (3)_1_Plan1_Diferenças outubro CAN- (2)_3-Balanço 2_15-FINANCEIRAS" xfId="8280"/>
    <cellStyle name="s_Valuation _BS Csan CPC 02 &lt;SAP&gt;_Despesas ADM e COML (3)_1_Plan1_Diferenças outubro CAN- (2)_3-Balanço_1" xfId="8281"/>
    <cellStyle name="s_Valuation _BS Csan CPC 02 &lt;SAP&gt;_Despesas ADM e COML (3)_1_Plan1_Diferenças outubro CAN- (2)_3-Balanço_15-FINANCEIRAS" xfId="8282"/>
    <cellStyle name="s_Valuation _BS Csan CPC 02 &lt;SAP&gt;_Despesas ADM e COML (3)_1_Plan1_Diferenças outubro CAN- (2)_3-Balanço_15-FINANCEIRAS_1" xfId="8283"/>
    <cellStyle name="s_Valuation _BS Csan CPC 02 &lt;SAP&gt;_Despesas ADM e COML (3)_1_Plan1_Diferenças outubro CAN- (2)_3-Balanço_3-Balanço" xfId="8284"/>
    <cellStyle name="s_Valuation _BS Csan CPC 02 &lt;SAP&gt;_Despesas ADM e COML (3)_1_Plan1_Diferenças outubro CAN- (2)_3-Balanço_7-Estoque" xfId="8285"/>
    <cellStyle name="s_Valuation _BS Csan CPC 02 &lt;SAP&gt;_Despesas ADM e COML (3)_1_Plan1_Diferenças outubro CAN- (2)_7-Estoque" xfId="8286"/>
    <cellStyle name="s_Valuation _BS Csan CPC 02 &lt;SAP&gt;_Despesas ADM e COML (3)_1_Plan1_Diferenças outubro CAN- (2)_Balanço" xfId="8287"/>
    <cellStyle name="s_Valuation _BS Csan CPC 02 &lt;SAP&gt;_Despesas ADM e COML (3)_1_Plan1_Query C.Custos SF 10-11" xfId="8288"/>
    <cellStyle name="s_Valuation _BS Csan CPC 02 &lt;SAP&gt;_Despesas ADM e COML (3)_1_Plan1_Query C.Custos SF 10-11 2" xfId="8289"/>
    <cellStyle name="s_Valuation _BS Csan CPC 02 &lt;SAP&gt;_Despesas ADM e COML (3)_1_Plan1_Query C.Custos SF 10-11 2_15-FINANCEIRAS" xfId="8290"/>
    <cellStyle name="s_Valuation _BS Csan CPC 02 &lt;SAP&gt;_Despesas ADM e COML (3)_1_Plan1_Query C.Custos SF 10-11_15-FINANCEIRAS" xfId="8291"/>
    <cellStyle name="s_Valuation _BS Csan CPC 02 &lt;SAP&gt;_Despesas ADM e COML (3)_1_Plan1_Query C.Custos SF 10-11_15-FINANCEIRAS_1" xfId="8292"/>
    <cellStyle name="s_Valuation _BS Csan CPC 02 &lt;SAP&gt;_Despesas ADM e COML (3)_1_Plan1_Query C.Custos SF 10-11_3-Balanço" xfId="8293"/>
    <cellStyle name="s_Valuation _BS Csan CPC 02 &lt;SAP&gt;_Despesas ADM e COML (3)_1_Plan1_Query C.Custos SF 10-11_3-Balanço 2" xfId="8294"/>
    <cellStyle name="s_Valuation _BS Csan CPC 02 &lt;SAP&gt;_Despesas ADM e COML (3)_1_Plan1_Query C.Custos SF 10-11_3-Balanço 2_15-FINANCEIRAS" xfId="8295"/>
    <cellStyle name="s_Valuation _BS Csan CPC 02 &lt;SAP&gt;_Despesas ADM e COML (3)_1_Plan1_Query C.Custos SF 10-11_3-Balanço_1" xfId="8296"/>
    <cellStyle name="s_Valuation _BS Csan CPC 02 &lt;SAP&gt;_Despesas ADM e COML (3)_1_Plan1_Query C.Custos SF 10-11_3-Balanço_15-FINANCEIRAS" xfId="8297"/>
    <cellStyle name="s_Valuation _BS Csan CPC 02 &lt;SAP&gt;_Despesas ADM e COML (3)_1_Plan1_Query C.Custos SF 10-11_3-Balanço_15-FINANCEIRAS_1" xfId="8298"/>
    <cellStyle name="s_Valuation _BS Csan CPC 02 &lt;SAP&gt;_Despesas ADM e COML (3)_1_Plan1_Query C.Custos SF 10-11_3-Balanço_3-Balanço" xfId="8299"/>
    <cellStyle name="s_Valuation _BS Csan CPC 02 &lt;SAP&gt;_Despesas ADM e COML (3)_1_Plan1_Query C.Custos SF 10-11_3-Balanço_7-Estoque" xfId="8300"/>
    <cellStyle name="s_Valuation _BS Csan CPC 02 &lt;SAP&gt;_Despesas ADM e COML (3)_1_Plan1_Query C.Custos SF 10-11_7-Estoque" xfId="8301"/>
    <cellStyle name="s_Valuation _BS Csan CPC 02 &lt;SAP&gt;_Despesas ADM e COML (3)_1_Plan1_Query C.Custos SF 10-11_Balanço" xfId="8302"/>
    <cellStyle name="s_Valuation _BS Csan CPC 02 &lt;SAP&gt;_Despesas ADM e COML (3)_1_Query C.Custos SF 10-11" xfId="8303"/>
    <cellStyle name="s_Valuation _BS Csan CPC 02 &lt;SAP&gt;_Despesas ADM e COML (3)_1_Query C.Custos SF 10-11 2" xfId="8304"/>
    <cellStyle name="s_Valuation _BS Csan CPC 02 &lt;SAP&gt;_Despesas ADM e COML (3)_1_Query C.Custos SF 10-11 2_15-FINANCEIRAS" xfId="8305"/>
    <cellStyle name="s_Valuation _BS Csan CPC 02 &lt;SAP&gt;_Despesas ADM e COML (3)_1_Query C.Custos SF 10-11_15-FINANCEIRAS" xfId="8306"/>
    <cellStyle name="s_Valuation _BS Csan CPC 02 &lt;SAP&gt;_Despesas ADM e COML (3)_1_Query C.Custos SF 10-11_15-FINANCEIRAS_1" xfId="8307"/>
    <cellStyle name="s_Valuation _BS Csan CPC 02 &lt;SAP&gt;_Despesas ADM e COML (3)_1_Query C.Custos SF 10-11_3-Balanço" xfId="8308"/>
    <cellStyle name="s_Valuation _BS Csan CPC 02 &lt;SAP&gt;_Despesas ADM e COML (3)_1_Query C.Custos SF 10-11_3-Balanço 2" xfId="8309"/>
    <cellStyle name="s_Valuation _BS Csan CPC 02 &lt;SAP&gt;_Despesas ADM e COML (3)_1_Query C.Custos SF 10-11_3-Balanço 2_15-FINANCEIRAS" xfId="8310"/>
    <cellStyle name="s_Valuation _BS Csan CPC 02 &lt;SAP&gt;_Despesas ADM e COML (3)_1_Query C.Custos SF 10-11_3-Balanço_1" xfId="8311"/>
    <cellStyle name="s_Valuation _BS Csan CPC 02 &lt;SAP&gt;_Despesas ADM e COML (3)_1_Query C.Custos SF 10-11_3-Balanço_15-FINANCEIRAS" xfId="8312"/>
    <cellStyle name="s_Valuation _BS Csan CPC 02 &lt;SAP&gt;_Despesas ADM e COML (3)_1_Query C.Custos SF 10-11_3-Balanço_15-FINANCEIRAS_1" xfId="8313"/>
    <cellStyle name="s_Valuation _BS Csan CPC 02 &lt;SAP&gt;_Despesas ADM e COML (3)_1_Query C.Custos SF 10-11_3-Balanço_3-Balanço" xfId="8314"/>
    <cellStyle name="s_Valuation _BS Csan CPC 02 &lt;SAP&gt;_Despesas ADM e COML (3)_1_Query C.Custos SF 10-11_3-Balanço_7-Estoque" xfId="8315"/>
    <cellStyle name="s_Valuation _BS Csan CPC 02 &lt;SAP&gt;_Despesas ADM e COML (3)_1_Query C.Custos SF 10-11_7-Estoque" xfId="8316"/>
    <cellStyle name="s_Valuation _BS Csan CPC 02 &lt;SAP&gt;_Despesas ADM e COML (3)_1_Query C.Custos SF 10-11_Balanço" xfId="8317"/>
    <cellStyle name="s_Valuation _BS Csan CPC 02 &lt;SAP&gt;_Despesas ADM e COML (3)_1_Query C.Custos SF 10-11_CCL" xfId="8318"/>
    <cellStyle name="s_Valuation _BS Csan CPC 02 &lt;SAP&gt;_Despesas ADM e COML (3)_1_Query C.Custos SF 10-11_CCL 2" xfId="8319"/>
    <cellStyle name="s_Valuation _BS Csan CPC 02 &lt;SAP&gt;_Despesas ADM e COML (3)_1_Query C.Custos SF 10-11_CCL 2_15-FINANCEIRAS" xfId="8320"/>
    <cellStyle name="s_Valuation _BS Csan CPC 02 &lt;SAP&gt;_Despesas ADM e COML (3)_1_Query C.Custos SF 10-11_CCL_15-FINANCEIRAS" xfId="8321"/>
    <cellStyle name="s_Valuation _BS Csan CPC 02 &lt;SAP&gt;_Despesas ADM e COML (3)_1_Query C.Custos SF 10-11_CCL_15-FINANCEIRAS_1" xfId="8322"/>
    <cellStyle name="s_Valuation _BS Csan CPC 02 &lt;SAP&gt;_Despesas ADM e COML (3)_1_Query C.Custos SF 10-11_CCL_3-Balanço" xfId="8323"/>
    <cellStyle name="s_Valuation _BS Csan CPC 02 &lt;SAP&gt;_Despesas ADM e COML (3)_1_Query C.Custos SF 10-11_CCL_3-Balanço 2" xfId="8324"/>
    <cellStyle name="s_Valuation _BS Csan CPC 02 &lt;SAP&gt;_Despesas ADM e COML (3)_1_Query C.Custos SF 10-11_CCL_3-Balanço 2_15-FINANCEIRAS" xfId="8325"/>
    <cellStyle name="s_Valuation _BS Csan CPC 02 &lt;SAP&gt;_Despesas ADM e COML (3)_1_Query C.Custos SF 10-11_CCL_3-Balanço_1" xfId="8326"/>
    <cellStyle name="s_Valuation _BS Csan CPC 02 &lt;SAP&gt;_Despesas ADM e COML (3)_1_Query C.Custos SF 10-11_CCL_3-Balanço_15-FINANCEIRAS" xfId="8327"/>
    <cellStyle name="s_Valuation _BS Csan CPC 02 &lt;SAP&gt;_Despesas ADM e COML (3)_1_Query C.Custos SF 10-11_CCL_3-Balanço_15-FINANCEIRAS_1" xfId="8328"/>
    <cellStyle name="s_Valuation _BS Csan CPC 02 &lt;SAP&gt;_Despesas ADM e COML (3)_1_Query C.Custos SF 10-11_CCL_3-Balanço_3-Balanço" xfId="8329"/>
    <cellStyle name="s_Valuation _BS Csan CPC 02 &lt;SAP&gt;_Despesas ADM e COML (3)_1_Query C.Custos SF 10-11_CCL_3-Balanço_7-Estoque" xfId="8330"/>
    <cellStyle name="s_Valuation _BS Csan CPC 02 &lt;SAP&gt;_Despesas ADM e COML (3)_1_Query C.Custos SF 10-11_CCL_7-Estoque" xfId="8331"/>
    <cellStyle name="s_Valuation _BS Csan CPC 02 &lt;SAP&gt;_Despesas ADM e COML (3)_1_Query C.Custos SF 10-11_CCL_Balanço" xfId="8332"/>
    <cellStyle name="s_Valuation _BS Csan CPC 02 &lt;SAP&gt;_Despesas ADM e COML (3)_1_Query C.Custos SF 10-11_Diferenças outubro CAN- (2)" xfId="8333"/>
    <cellStyle name="s_Valuation _BS Csan CPC 02 &lt;SAP&gt;_Despesas ADM e COML (3)_1_Query C.Custos SF 10-11_Diferenças outubro CAN- (2) 2" xfId="8334"/>
    <cellStyle name="s_Valuation _BS Csan CPC 02 &lt;SAP&gt;_Despesas ADM e COML (3)_1_Query C.Custos SF 10-11_Diferenças outubro CAN- (2) 2_15-FINANCEIRAS" xfId="8335"/>
    <cellStyle name="s_Valuation _BS Csan CPC 02 &lt;SAP&gt;_Despesas ADM e COML (3)_1_Query C.Custos SF 10-11_Diferenças outubro CAN- (2)_15-FINANCEIRAS" xfId="8336"/>
    <cellStyle name="s_Valuation _BS Csan CPC 02 &lt;SAP&gt;_Despesas ADM e COML (3)_1_Query C.Custos SF 10-11_Diferenças outubro CAN- (2)_15-FINANCEIRAS_1" xfId="8337"/>
    <cellStyle name="s_Valuation _BS Csan CPC 02 &lt;SAP&gt;_Despesas ADM e COML (3)_1_Query C.Custos SF 10-11_Diferenças outubro CAN- (2)_3-Balanço" xfId="8338"/>
    <cellStyle name="s_Valuation _BS Csan CPC 02 &lt;SAP&gt;_Despesas ADM e COML (3)_1_Query C.Custos SF 10-11_Diferenças outubro CAN- (2)_3-Balanço 2" xfId="8339"/>
    <cellStyle name="s_Valuation _BS Csan CPC 02 &lt;SAP&gt;_Despesas ADM e COML (3)_1_Query C.Custos SF 10-11_Diferenças outubro CAN- (2)_3-Balanço 2_15-FINANCEIRAS" xfId="8340"/>
    <cellStyle name="s_Valuation _BS Csan CPC 02 &lt;SAP&gt;_Despesas ADM e COML (3)_1_Query C.Custos SF 10-11_Diferenças outubro CAN- (2)_3-Balanço_1" xfId="8341"/>
    <cellStyle name="s_Valuation _BS Csan CPC 02 &lt;SAP&gt;_Despesas ADM e COML (3)_1_Query C.Custos SF 10-11_Diferenças outubro CAN- (2)_3-Balanço_15-FINANCEIRAS" xfId="8342"/>
    <cellStyle name="s_Valuation _BS Csan CPC 02 &lt;SAP&gt;_Despesas ADM e COML (3)_1_Query C.Custos SF 10-11_Diferenças outubro CAN- (2)_3-Balanço_15-FINANCEIRAS_1" xfId="8343"/>
    <cellStyle name="s_Valuation _BS Csan CPC 02 &lt;SAP&gt;_Despesas ADM e COML (3)_1_Query C.Custos SF 10-11_Diferenças outubro CAN- (2)_3-Balanço_3-Balanço" xfId="8344"/>
    <cellStyle name="s_Valuation _BS Csan CPC 02 &lt;SAP&gt;_Despesas ADM e COML (3)_1_Query C.Custos SF 10-11_Diferenças outubro CAN- (2)_3-Balanço_7-Estoque" xfId="8345"/>
    <cellStyle name="s_Valuation _BS Csan CPC 02 &lt;SAP&gt;_Despesas ADM e COML (3)_1_Query C.Custos SF 10-11_Diferenças outubro CAN- (2)_7-Estoque" xfId="8346"/>
    <cellStyle name="s_Valuation _BS Csan CPC 02 &lt;SAP&gt;_Despesas ADM e COML (3)_1_Query C.Custos SF 10-11_Diferenças outubro CAN- (2)_Balanço" xfId="8347"/>
    <cellStyle name="s_Valuation _BS Csan CPC 02 &lt;SAP&gt;_Despesas ADM e COML (3)_1_Query C.Custos SF 10-11_Query C.Custos SF 10-11" xfId="8348"/>
    <cellStyle name="s_Valuation _BS Csan CPC 02 &lt;SAP&gt;_Despesas ADM e COML (3)_1_Query C.Custos SF 10-11_Query C.Custos SF 10-11 2" xfId="8349"/>
    <cellStyle name="s_Valuation _BS Csan CPC 02 &lt;SAP&gt;_Despesas ADM e COML (3)_1_Query C.Custos SF 10-11_Query C.Custos SF 10-11 2_15-FINANCEIRAS" xfId="8350"/>
    <cellStyle name="s_Valuation _BS Csan CPC 02 &lt;SAP&gt;_Despesas ADM e COML (3)_1_Query C.Custos SF 10-11_Query C.Custos SF 10-11_15-FINANCEIRAS" xfId="8351"/>
    <cellStyle name="s_Valuation _BS Csan CPC 02 &lt;SAP&gt;_Despesas ADM e COML (3)_1_Query C.Custos SF 10-11_Query C.Custos SF 10-11_15-FINANCEIRAS_1" xfId="8352"/>
    <cellStyle name="s_Valuation _BS Csan CPC 02 &lt;SAP&gt;_Despesas ADM e COML (3)_1_Query C.Custos SF 10-11_Query C.Custos SF 10-11_3-Balanço" xfId="8353"/>
    <cellStyle name="s_Valuation _BS Csan CPC 02 &lt;SAP&gt;_Despesas ADM e COML (3)_1_Query C.Custos SF 10-11_Query C.Custos SF 10-11_3-Balanço 2" xfId="8354"/>
    <cellStyle name="s_Valuation _BS Csan CPC 02 &lt;SAP&gt;_Despesas ADM e COML (3)_1_Query C.Custos SF 10-11_Query C.Custos SF 10-11_3-Balanço 2_15-FINANCEIRAS" xfId="8355"/>
    <cellStyle name="s_Valuation _BS Csan CPC 02 &lt;SAP&gt;_Despesas ADM e COML (3)_1_Query C.Custos SF 10-11_Query C.Custos SF 10-11_3-Balanço_1" xfId="8356"/>
    <cellStyle name="s_Valuation _BS Csan CPC 02 &lt;SAP&gt;_Despesas ADM e COML (3)_1_Query C.Custos SF 10-11_Query C.Custos SF 10-11_3-Balanço_15-FINANCEIRAS" xfId="8357"/>
    <cellStyle name="s_Valuation _BS Csan CPC 02 &lt;SAP&gt;_Despesas ADM e COML (3)_1_Query C.Custos SF 10-11_Query C.Custos SF 10-11_3-Balanço_15-FINANCEIRAS_1" xfId="8358"/>
    <cellStyle name="s_Valuation _BS Csan CPC 02 &lt;SAP&gt;_Despesas ADM e COML (3)_1_Query C.Custos SF 10-11_Query C.Custos SF 10-11_3-Balanço_3-Balanço" xfId="8359"/>
    <cellStyle name="s_Valuation _BS Csan CPC 02 &lt;SAP&gt;_Despesas ADM e COML (3)_1_Query C.Custos SF 10-11_Query C.Custos SF 10-11_3-Balanço_7-Estoque" xfId="8360"/>
    <cellStyle name="s_Valuation _BS Csan CPC 02 &lt;SAP&gt;_Despesas ADM e COML (3)_1_Query C.Custos SF 10-11_Query C.Custos SF 10-11_7-Estoque" xfId="8361"/>
    <cellStyle name="s_Valuation _BS Csan CPC 02 &lt;SAP&gt;_Despesas ADM e COML (3)_1_Query C.Custos SF 10-11_Query C.Custos SF 10-11_Balanço" xfId="8362"/>
    <cellStyle name="s_Valuation _BS Csan CPC 02 &lt;SAP&gt;_Despesas ADM e COML (3)_15-FINANCEIRAS" xfId="8363"/>
    <cellStyle name="s_Valuation _BS Csan CPC 02 &lt;SAP&gt;_Despesas ADM e COML (3)_15-FINANCEIRAS_1" xfId="8364"/>
    <cellStyle name="s_Valuation _BS Csan CPC 02 &lt;SAP&gt;_Despesas ADM e COML (3)_3-Balanço" xfId="8365"/>
    <cellStyle name="s_Valuation _BS Csan CPC 02 &lt;SAP&gt;_Despesas ADM e COML (3)_3-Balanço 2" xfId="8366"/>
    <cellStyle name="s_Valuation _BS Csan CPC 02 &lt;SAP&gt;_Despesas ADM e COML (3)_3-Balanço 2_15-FINANCEIRAS" xfId="8367"/>
    <cellStyle name="s_Valuation _BS Csan CPC 02 &lt;SAP&gt;_Despesas ADM e COML (3)_3-Balanço_1" xfId="8368"/>
    <cellStyle name="s_Valuation _BS Csan CPC 02 &lt;SAP&gt;_Despesas ADM e COML (3)_3-Balanço_15-FINANCEIRAS" xfId="8369"/>
    <cellStyle name="s_Valuation _BS Csan CPC 02 &lt;SAP&gt;_Despesas ADM e COML (3)_3-Balanço_15-FINANCEIRAS_1" xfId="8370"/>
    <cellStyle name="s_Valuation _BS Csan CPC 02 &lt;SAP&gt;_Despesas ADM e COML (3)_3-Balanço_3-Balanço" xfId="8371"/>
    <cellStyle name="s_Valuation _BS Csan CPC 02 &lt;SAP&gt;_Despesas ADM e COML (3)_3-Balanço_7-Estoque" xfId="8372"/>
    <cellStyle name="s_Valuation _BS Csan CPC 02 &lt;SAP&gt;_Despesas ADM e COML (3)_7-Estoque" xfId="8373"/>
    <cellStyle name="s_Valuation _BS Csan CPC 02 &lt;SAP&gt;_Despesas ADM e COML (3)_Balanço" xfId="8374"/>
    <cellStyle name="s_Valuation _BS Csan CPC 02 &lt;SAP&gt;_Despesas ADM e COML (3)_Crédito PisCofins" xfId="8375"/>
    <cellStyle name="s_Valuation _BS Csan CPC 02 &lt;SAP&gt;_Despesas ADM e COML (3)_Crédito PisCofins 2" xfId="8376"/>
    <cellStyle name="s_Valuation _BS Csan CPC 02 &lt;SAP&gt;_Despesas ADM e COML (3)_Crédito PisCofins 2_15-FINANCEIRAS" xfId="8377"/>
    <cellStyle name="s_Valuation _BS Csan CPC 02 &lt;SAP&gt;_Despesas ADM e COML (3)_Crédito PisCofins_15-FINANCEIRAS" xfId="8378"/>
    <cellStyle name="s_Valuation _BS Csan CPC 02 &lt;SAP&gt;_Despesas ADM e COML (3)_Crédito PisCofins_15-FINANCEIRAS_1" xfId="8379"/>
    <cellStyle name="s_Valuation _BS Csan CPC 02 &lt;SAP&gt;_Despesas ADM e COML (3)_Crédito PisCofins_3-Balanço" xfId="8380"/>
    <cellStyle name="s_Valuation _BS Csan CPC 02 &lt;SAP&gt;_Despesas ADM e COML (3)_Crédito PisCofins_3-Balanço 2" xfId="8381"/>
    <cellStyle name="s_Valuation _BS Csan CPC 02 &lt;SAP&gt;_Despesas ADM e COML (3)_Crédito PisCofins_3-Balanço 2_15-FINANCEIRAS" xfId="8382"/>
    <cellStyle name="s_Valuation _BS Csan CPC 02 &lt;SAP&gt;_Despesas ADM e COML (3)_Crédito PisCofins_3-Balanço_1" xfId="8383"/>
    <cellStyle name="s_Valuation _BS Csan CPC 02 &lt;SAP&gt;_Despesas ADM e COML (3)_Crédito PisCofins_3-Balanço_15-FINANCEIRAS" xfId="8384"/>
    <cellStyle name="s_Valuation _BS Csan CPC 02 &lt;SAP&gt;_Despesas ADM e COML (3)_Crédito PisCofins_3-Balanço_15-FINANCEIRAS_1" xfId="8385"/>
    <cellStyle name="s_Valuation _BS Csan CPC 02 &lt;SAP&gt;_Despesas ADM e COML (3)_Crédito PisCofins_3-Balanço_3-Balanço" xfId="8386"/>
    <cellStyle name="s_Valuation _BS Csan CPC 02 &lt;SAP&gt;_Despesas ADM e COML (3)_Crédito PisCofins_3-Balanço_7-Estoque" xfId="8387"/>
    <cellStyle name="s_Valuation _BS Csan CPC 02 &lt;SAP&gt;_Despesas ADM e COML (3)_Crédito PisCofins_7-Estoque" xfId="8388"/>
    <cellStyle name="s_Valuation _BS Csan CPC 02 &lt;SAP&gt;_Despesas ADM e COML (3)_Crédito PisCofins_Balanço" xfId="8389"/>
    <cellStyle name="s_Valuation _BS Csan CPC 02 &lt;SAP&gt;_Despesas ADM e COML (3)_Crédito PisCofins_CCL" xfId="8390"/>
    <cellStyle name="s_Valuation _BS Csan CPC 02 &lt;SAP&gt;_Despesas ADM e COML (3)_Crédito PisCofins_CCL 2" xfId="8391"/>
    <cellStyle name="s_Valuation _BS Csan CPC 02 &lt;SAP&gt;_Despesas ADM e COML (3)_Crédito PisCofins_CCL 2_15-FINANCEIRAS" xfId="8392"/>
    <cellStyle name="s_Valuation _BS Csan CPC 02 &lt;SAP&gt;_Despesas ADM e COML (3)_Crédito PisCofins_CCL_15-FINANCEIRAS" xfId="8393"/>
    <cellStyle name="s_Valuation _BS Csan CPC 02 &lt;SAP&gt;_Despesas ADM e COML (3)_Crédito PisCofins_CCL_15-FINANCEIRAS_1" xfId="8394"/>
    <cellStyle name="s_Valuation _BS Csan CPC 02 &lt;SAP&gt;_Despesas ADM e COML (3)_Crédito PisCofins_CCL_3-Balanço" xfId="8395"/>
    <cellStyle name="s_Valuation _BS Csan CPC 02 &lt;SAP&gt;_Despesas ADM e COML (3)_Crédito PisCofins_CCL_3-Balanço 2" xfId="8396"/>
    <cellStyle name="s_Valuation _BS Csan CPC 02 &lt;SAP&gt;_Despesas ADM e COML (3)_Crédito PisCofins_CCL_3-Balanço 2_15-FINANCEIRAS" xfId="8397"/>
    <cellStyle name="s_Valuation _BS Csan CPC 02 &lt;SAP&gt;_Despesas ADM e COML (3)_Crédito PisCofins_CCL_3-Balanço_1" xfId="8398"/>
    <cellStyle name="s_Valuation _BS Csan CPC 02 &lt;SAP&gt;_Despesas ADM e COML (3)_Crédito PisCofins_CCL_3-Balanço_15-FINANCEIRAS" xfId="8399"/>
    <cellStyle name="s_Valuation _BS Csan CPC 02 &lt;SAP&gt;_Despesas ADM e COML (3)_Crédito PisCofins_CCL_3-Balanço_15-FINANCEIRAS_1" xfId="8400"/>
    <cellStyle name="s_Valuation _BS Csan CPC 02 &lt;SAP&gt;_Despesas ADM e COML (3)_Crédito PisCofins_CCL_3-Balanço_3-Balanço" xfId="8401"/>
    <cellStyle name="s_Valuation _BS Csan CPC 02 &lt;SAP&gt;_Despesas ADM e COML (3)_Crédito PisCofins_CCL_3-Balanço_7-Estoque" xfId="8402"/>
    <cellStyle name="s_Valuation _BS Csan CPC 02 &lt;SAP&gt;_Despesas ADM e COML (3)_Crédito PisCofins_CCL_7-Estoque" xfId="8403"/>
    <cellStyle name="s_Valuation _BS Csan CPC 02 &lt;SAP&gt;_Despesas ADM e COML (3)_Crédito PisCofins_CCL_Balanço" xfId="8404"/>
    <cellStyle name="s_Valuation _BS Csan CPC 02 &lt;SAP&gt;_Despesas ADM e COML (3)_Crédito PisCofins_Diferenças outubro CAN- (2)" xfId="8405"/>
    <cellStyle name="s_Valuation _BS Csan CPC 02 &lt;SAP&gt;_Despesas ADM e COML (3)_Crédito PisCofins_Diferenças outubro CAN- (2) 2" xfId="8406"/>
    <cellStyle name="s_Valuation _BS Csan CPC 02 &lt;SAP&gt;_Despesas ADM e COML (3)_Crédito PisCofins_Diferenças outubro CAN- (2) 2_15-FINANCEIRAS" xfId="8407"/>
    <cellStyle name="s_Valuation _BS Csan CPC 02 &lt;SAP&gt;_Despesas ADM e COML (3)_Crédito PisCofins_Diferenças outubro CAN- (2)_15-FINANCEIRAS" xfId="8408"/>
    <cellStyle name="s_Valuation _BS Csan CPC 02 &lt;SAP&gt;_Despesas ADM e COML (3)_Crédito PisCofins_Diferenças outubro CAN- (2)_15-FINANCEIRAS_1" xfId="8409"/>
    <cellStyle name="s_Valuation _BS Csan CPC 02 &lt;SAP&gt;_Despesas ADM e COML (3)_Crédito PisCofins_Diferenças outubro CAN- (2)_3-Balanço" xfId="8410"/>
    <cellStyle name="s_Valuation _BS Csan CPC 02 &lt;SAP&gt;_Despesas ADM e COML (3)_Crédito PisCofins_Diferenças outubro CAN- (2)_3-Balanço 2" xfId="8411"/>
    <cellStyle name="s_Valuation _BS Csan CPC 02 &lt;SAP&gt;_Despesas ADM e COML (3)_Crédito PisCofins_Diferenças outubro CAN- (2)_3-Balanço 2_15-FINANCEIRAS" xfId="8412"/>
    <cellStyle name="s_Valuation _BS Csan CPC 02 &lt;SAP&gt;_Despesas ADM e COML (3)_Crédito PisCofins_Diferenças outubro CAN- (2)_3-Balanço_1" xfId="8413"/>
    <cellStyle name="s_Valuation _BS Csan CPC 02 &lt;SAP&gt;_Despesas ADM e COML (3)_Crédito PisCofins_Diferenças outubro CAN- (2)_3-Balanço_15-FINANCEIRAS" xfId="8414"/>
    <cellStyle name="s_Valuation _BS Csan CPC 02 &lt;SAP&gt;_Despesas ADM e COML (3)_Crédito PisCofins_Diferenças outubro CAN- (2)_3-Balanço_15-FINANCEIRAS_1" xfId="8415"/>
    <cellStyle name="s_Valuation _BS Csan CPC 02 &lt;SAP&gt;_Despesas ADM e COML (3)_Crédito PisCofins_Diferenças outubro CAN- (2)_3-Balanço_3-Balanço" xfId="8416"/>
    <cellStyle name="s_Valuation _BS Csan CPC 02 &lt;SAP&gt;_Despesas ADM e COML (3)_Crédito PisCofins_Diferenças outubro CAN- (2)_3-Balanço_7-Estoque" xfId="8417"/>
    <cellStyle name="s_Valuation _BS Csan CPC 02 &lt;SAP&gt;_Despesas ADM e COML (3)_Crédito PisCofins_Diferenças outubro CAN- (2)_7-Estoque" xfId="8418"/>
    <cellStyle name="s_Valuation _BS Csan CPC 02 &lt;SAP&gt;_Despesas ADM e COML (3)_Crédito PisCofins_Diferenças outubro CAN- (2)_Balanço" xfId="8419"/>
    <cellStyle name="s_Valuation _BS Csan CPC 02 &lt;SAP&gt;_Despesas ADM e COML (3)_Crédito PisCofins_Query C.Custos SF 10-11" xfId="8420"/>
    <cellStyle name="s_Valuation _BS Csan CPC 02 &lt;SAP&gt;_Despesas ADM e COML (3)_Crédito PisCofins_Query C.Custos SF 10-11 2" xfId="8421"/>
    <cellStyle name="s_Valuation _BS Csan CPC 02 &lt;SAP&gt;_Despesas ADM e COML (3)_Crédito PisCofins_Query C.Custos SF 10-11 2_15-FINANCEIRAS" xfId="8422"/>
    <cellStyle name="s_Valuation _BS Csan CPC 02 &lt;SAP&gt;_Despesas ADM e COML (3)_Crédito PisCofins_Query C.Custos SF 10-11_15-FINANCEIRAS" xfId="8423"/>
    <cellStyle name="s_Valuation _BS Csan CPC 02 &lt;SAP&gt;_Despesas ADM e COML (3)_Crédito PisCofins_Query C.Custos SF 10-11_15-FINANCEIRAS_1" xfId="8424"/>
    <cellStyle name="s_Valuation _BS Csan CPC 02 &lt;SAP&gt;_Despesas ADM e COML (3)_Crédito PisCofins_Query C.Custos SF 10-11_3-Balanço" xfId="8425"/>
    <cellStyle name="s_Valuation _BS Csan CPC 02 &lt;SAP&gt;_Despesas ADM e COML (3)_Crédito PisCofins_Query C.Custos SF 10-11_3-Balanço 2" xfId="8426"/>
    <cellStyle name="s_Valuation _BS Csan CPC 02 &lt;SAP&gt;_Despesas ADM e COML (3)_Crédito PisCofins_Query C.Custos SF 10-11_3-Balanço 2_15-FINANCEIRAS" xfId="8427"/>
    <cellStyle name="s_Valuation _BS Csan CPC 02 &lt;SAP&gt;_Despesas ADM e COML (3)_Crédito PisCofins_Query C.Custos SF 10-11_3-Balanço_1" xfId="8428"/>
    <cellStyle name="s_Valuation _BS Csan CPC 02 &lt;SAP&gt;_Despesas ADM e COML (3)_Crédito PisCofins_Query C.Custos SF 10-11_3-Balanço_15-FINANCEIRAS" xfId="8429"/>
    <cellStyle name="s_Valuation _BS Csan CPC 02 &lt;SAP&gt;_Despesas ADM e COML (3)_Crédito PisCofins_Query C.Custos SF 10-11_3-Balanço_15-FINANCEIRAS_1" xfId="8430"/>
    <cellStyle name="s_Valuation _BS Csan CPC 02 &lt;SAP&gt;_Despesas ADM e COML (3)_Crédito PisCofins_Query C.Custos SF 10-11_3-Balanço_3-Balanço" xfId="8431"/>
    <cellStyle name="s_Valuation _BS Csan CPC 02 &lt;SAP&gt;_Despesas ADM e COML (3)_Crédito PisCofins_Query C.Custos SF 10-11_3-Balanço_7-Estoque" xfId="8432"/>
    <cellStyle name="s_Valuation _BS Csan CPC 02 &lt;SAP&gt;_Despesas ADM e COML (3)_Crédito PisCofins_Query C.Custos SF 10-11_7-Estoque" xfId="8433"/>
    <cellStyle name="s_Valuation _BS Csan CPC 02 &lt;SAP&gt;_Despesas ADM e COML (3)_Crédito PisCofins_Query C.Custos SF 10-11_Balanço" xfId="8434"/>
    <cellStyle name="s_Valuation _BS Csan CPC 02 &lt;SAP&gt;_Despesas ADM e COML (3)_Plan1" xfId="8435"/>
    <cellStyle name="s_Valuation _BS Csan CPC 02 &lt;SAP&gt;_Despesas ADM e COML (3)_Plan1 2" xfId="8436"/>
    <cellStyle name="s_Valuation _BS Csan CPC 02 &lt;SAP&gt;_Despesas ADM e COML (3)_Plan1 2_15-FINANCEIRAS" xfId="8437"/>
    <cellStyle name="s_Valuation _BS Csan CPC 02 &lt;SAP&gt;_Despesas ADM e COML (3)_Plan1_15-FINANCEIRAS" xfId="8438"/>
    <cellStyle name="s_Valuation _BS Csan CPC 02 &lt;SAP&gt;_Despesas ADM e COML (3)_Plan1_15-FINANCEIRAS_1" xfId="8439"/>
    <cellStyle name="s_Valuation _BS Csan CPC 02 &lt;SAP&gt;_Despesas ADM e COML (3)_Plan1_3-Balanço" xfId="8440"/>
    <cellStyle name="s_Valuation _BS Csan CPC 02 &lt;SAP&gt;_Despesas ADM e COML (3)_Plan1_3-Balanço 2" xfId="8441"/>
    <cellStyle name="s_Valuation _BS Csan CPC 02 &lt;SAP&gt;_Despesas ADM e COML (3)_Plan1_3-Balanço 2_15-FINANCEIRAS" xfId="8442"/>
    <cellStyle name="s_Valuation _BS Csan CPC 02 &lt;SAP&gt;_Despesas ADM e COML (3)_Plan1_3-Balanço_1" xfId="8443"/>
    <cellStyle name="s_Valuation _BS Csan CPC 02 &lt;SAP&gt;_Despesas ADM e COML (3)_Plan1_3-Balanço_15-FINANCEIRAS" xfId="8444"/>
    <cellStyle name="s_Valuation _BS Csan CPC 02 &lt;SAP&gt;_Despesas ADM e COML (3)_Plan1_3-Balanço_15-FINANCEIRAS_1" xfId="8445"/>
    <cellStyle name="s_Valuation _BS Csan CPC 02 &lt;SAP&gt;_Despesas ADM e COML (3)_Plan1_3-Balanço_3-Balanço" xfId="8446"/>
    <cellStyle name="s_Valuation _BS Csan CPC 02 &lt;SAP&gt;_Despesas ADM e COML (3)_Plan1_3-Balanço_7-Estoque" xfId="8447"/>
    <cellStyle name="s_Valuation _BS Csan CPC 02 &lt;SAP&gt;_Despesas ADM e COML (3)_Plan1_7-Estoque" xfId="8448"/>
    <cellStyle name="s_Valuation _BS Csan CPC 02 &lt;SAP&gt;_Despesas ADM e COML (3)_Plan1_Balanço" xfId="8449"/>
    <cellStyle name="s_Valuation _BS Csan CPC 02 &lt;SAP&gt;_Despesas ADM e COML (3)_Plan1_CCL" xfId="8450"/>
    <cellStyle name="s_Valuation _BS Csan CPC 02 &lt;SAP&gt;_Despesas ADM e COML (3)_Plan1_CCL 2" xfId="8451"/>
    <cellStyle name="s_Valuation _BS Csan CPC 02 &lt;SAP&gt;_Despesas ADM e COML (3)_Plan1_CCL 2_15-FINANCEIRAS" xfId="8452"/>
    <cellStyle name="s_Valuation _BS Csan CPC 02 &lt;SAP&gt;_Despesas ADM e COML (3)_Plan1_CCL_15-FINANCEIRAS" xfId="8453"/>
    <cellStyle name="s_Valuation _BS Csan CPC 02 &lt;SAP&gt;_Despesas ADM e COML (3)_Plan1_CCL_15-FINANCEIRAS_1" xfId="8454"/>
    <cellStyle name="s_Valuation _BS Csan CPC 02 &lt;SAP&gt;_Despesas ADM e COML (3)_Plan1_CCL_3-Balanço" xfId="8455"/>
    <cellStyle name="s_Valuation _BS Csan CPC 02 &lt;SAP&gt;_Despesas ADM e COML (3)_Plan1_CCL_3-Balanço 2" xfId="8456"/>
    <cellStyle name="s_Valuation _BS Csan CPC 02 &lt;SAP&gt;_Despesas ADM e COML (3)_Plan1_CCL_3-Balanço 2_15-FINANCEIRAS" xfId="8457"/>
    <cellStyle name="s_Valuation _BS Csan CPC 02 &lt;SAP&gt;_Despesas ADM e COML (3)_Plan1_CCL_3-Balanço_1" xfId="8458"/>
    <cellStyle name="s_Valuation _BS Csan CPC 02 &lt;SAP&gt;_Despesas ADM e COML (3)_Plan1_CCL_3-Balanço_15-FINANCEIRAS" xfId="8459"/>
    <cellStyle name="s_Valuation _BS Csan CPC 02 &lt;SAP&gt;_Despesas ADM e COML (3)_Plan1_CCL_3-Balanço_15-FINANCEIRAS_1" xfId="8460"/>
    <cellStyle name="s_Valuation _BS Csan CPC 02 &lt;SAP&gt;_Despesas ADM e COML (3)_Plan1_CCL_3-Balanço_3-Balanço" xfId="8461"/>
    <cellStyle name="s_Valuation _BS Csan CPC 02 &lt;SAP&gt;_Despesas ADM e COML (3)_Plan1_CCL_3-Balanço_7-Estoque" xfId="8462"/>
    <cellStyle name="s_Valuation _BS Csan CPC 02 &lt;SAP&gt;_Despesas ADM e COML (3)_Plan1_CCL_7-Estoque" xfId="8463"/>
    <cellStyle name="s_Valuation _BS Csan CPC 02 &lt;SAP&gt;_Despesas ADM e COML (3)_Plan1_CCL_Balanço" xfId="8464"/>
    <cellStyle name="s_Valuation _BS Csan CPC 02 &lt;SAP&gt;_Despesas ADM e COML (3)_Plan1_Diferenças outubro CAN- (2)" xfId="8465"/>
    <cellStyle name="s_Valuation _BS Csan CPC 02 &lt;SAP&gt;_Despesas ADM e COML (3)_Plan1_Diferenças outubro CAN- (2) 2" xfId="8466"/>
    <cellStyle name="s_Valuation _BS Csan CPC 02 &lt;SAP&gt;_Despesas ADM e COML (3)_Plan1_Diferenças outubro CAN- (2) 2_15-FINANCEIRAS" xfId="8467"/>
    <cellStyle name="s_Valuation _BS Csan CPC 02 &lt;SAP&gt;_Despesas ADM e COML (3)_Plan1_Diferenças outubro CAN- (2)_15-FINANCEIRAS" xfId="8468"/>
    <cellStyle name="s_Valuation _BS Csan CPC 02 &lt;SAP&gt;_Despesas ADM e COML (3)_Plan1_Diferenças outubro CAN- (2)_15-FINANCEIRAS_1" xfId="8469"/>
    <cellStyle name="s_Valuation _BS Csan CPC 02 &lt;SAP&gt;_Despesas ADM e COML (3)_Plan1_Diferenças outubro CAN- (2)_3-Balanço" xfId="8470"/>
    <cellStyle name="s_Valuation _BS Csan CPC 02 &lt;SAP&gt;_Despesas ADM e COML (3)_Plan1_Diferenças outubro CAN- (2)_3-Balanço 2" xfId="8471"/>
    <cellStyle name="s_Valuation _BS Csan CPC 02 &lt;SAP&gt;_Despesas ADM e COML (3)_Plan1_Diferenças outubro CAN- (2)_3-Balanço 2_15-FINANCEIRAS" xfId="8472"/>
    <cellStyle name="s_Valuation _BS Csan CPC 02 &lt;SAP&gt;_Despesas ADM e COML (3)_Plan1_Diferenças outubro CAN- (2)_3-Balanço_1" xfId="8473"/>
    <cellStyle name="s_Valuation _BS Csan CPC 02 &lt;SAP&gt;_Despesas ADM e COML (3)_Plan1_Diferenças outubro CAN- (2)_3-Balanço_15-FINANCEIRAS" xfId="8474"/>
    <cellStyle name="s_Valuation _BS Csan CPC 02 &lt;SAP&gt;_Despesas ADM e COML (3)_Plan1_Diferenças outubro CAN- (2)_3-Balanço_15-FINANCEIRAS_1" xfId="8475"/>
    <cellStyle name="s_Valuation _BS Csan CPC 02 &lt;SAP&gt;_Despesas ADM e COML (3)_Plan1_Diferenças outubro CAN- (2)_3-Balanço_3-Balanço" xfId="8476"/>
    <cellStyle name="s_Valuation _BS Csan CPC 02 &lt;SAP&gt;_Despesas ADM e COML (3)_Plan1_Diferenças outubro CAN- (2)_3-Balanço_7-Estoque" xfId="8477"/>
    <cellStyle name="s_Valuation _BS Csan CPC 02 &lt;SAP&gt;_Despesas ADM e COML (3)_Plan1_Diferenças outubro CAN- (2)_7-Estoque" xfId="8478"/>
    <cellStyle name="s_Valuation _BS Csan CPC 02 &lt;SAP&gt;_Despesas ADM e COML (3)_Plan1_Diferenças outubro CAN- (2)_Balanço" xfId="8479"/>
    <cellStyle name="s_Valuation _BS Csan CPC 02 &lt;SAP&gt;_Despesas ADM e COML (3)_Plan1_Query C.Custos SF 10-11" xfId="8480"/>
    <cellStyle name="s_Valuation _BS Csan CPC 02 &lt;SAP&gt;_Despesas ADM e COML (3)_Plan1_Query C.Custos SF 10-11 2" xfId="8481"/>
    <cellStyle name="s_Valuation _BS Csan CPC 02 &lt;SAP&gt;_Despesas ADM e COML (3)_Plan1_Query C.Custos SF 10-11 2_15-FINANCEIRAS" xfId="8482"/>
    <cellStyle name="s_Valuation _BS Csan CPC 02 &lt;SAP&gt;_Despesas ADM e COML (3)_Plan1_Query C.Custos SF 10-11_15-FINANCEIRAS" xfId="8483"/>
    <cellStyle name="s_Valuation _BS Csan CPC 02 &lt;SAP&gt;_Despesas ADM e COML (3)_Plan1_Query C.Custos SF 10-11_15-FINANCEIRAS_1" xfId="8484"/>
    <cellStyle name="s_Valuation _BS Csan CPC 02 &lt;SAP&gt;_Despesas ADM e COML (3)_Plan1_Query C.Custos SF 10-11_3-Balanço" xfId="8485"/>
    <cellStyle name="s_Valuation _BS Csan CPC 02 &lt;SAP&gt;_Despesas ADM e COML (3)_Plan1_Query C.Custos SF 10-11_3-Balanço 2" xfId="8486"/>
    <cellStyle name="s_Valuation _BS Csan CPC 02 &lt;SAP&gt;_Despesas ADM e COML (3)_Plan1_Query C.Custos SF 10-11_3-Balanço 2_15-FINANCEIRAS" xfId="8487"/>
    <cellStyle name="s_Valuation _BS Csan CPC 02 &lt;SAP&gt;_Despesas ADM e COML (3)_Plan1_Query C.Custos SF 10-11_3-Balanço_1" xfId="8488"/>
    <cellStyle name="s_Valuation _BS Csan CPC 02 &lt;SAP&gt;_Despesas ADM e COML (3)_Plan1_Query C.Custos SF 10-11_3-Balanço_15-FINANCEIRAS" xfId="8489"/>
    <cellStyle name="s_Valuation _BS Csan CPC 02 &lt;SAP&gt;_Despesas ADM e COML (3)_Plan1_Query C.Custos SF 10-11_3-Balanço_15-FINANCEIRAS_1" xfId="8490"/>
    <cellStyle name="s_Valuation _BS Csan CPC 02 &lt;SAP&gt;_Despesas ADM e COML (3)_Plan1_Query C.Custos SF 10-11_3-Balanço_3-Balanço" xfId="8491"/>
    <cellStyle name="s_Valuation _BS Csan CPC 02 &lt;SAP&gt;_Despesas ADM e COML (3)_Plan1_Query C.Custos SF 10-11_3-Balanço_7-Estoque" xfId="8492"/>
    <cellStyle name="s_Valuation _BS Csan CPC 02 &lt;SAP&gt;_Despesas ADM e COML (3)_Plan1_Query C.Custos SF 10-11_7-Estoque" xfId="8493"/>
    <cellStyle name="s_Valuation _BS Csan CPC 02 &lt;SAP&gt;_Despesas ADM e COML (3)_Plan1_Query C.Custos SF 10-11_Balanço" xfId="8494"/>
    <cellStyle name="s_Valuation _BS Csan CPC 02 &lt;SAP&gt;_Despesas ADM e COML (3)_Query C.Custos SF 10-11" xfId="8495"/>
    <cellStyle name="s_Valuation _BS Csan CPC 02 &lt;SAP&gt;_Despesas ADM e COML (3)_Query C.Custos SF 10-11 2" xfId="8496"/>
    <cellStyle name="s_Valuation _BS Csan CPC 02 &lt;SAP&gt;_Despesas ADM e COML (3)_Query C.Custos SF 10-11 2_15-FINANCEIRAS" xfId="8497"/>
    <cellStyle name="s_Valuation _BS Csan CPC 02 &lt;SAP&gt;_Despesas ADM e COML (3)_Query C.Custos SF 10-11_15-FINANCEIRAS" xfId="8498"/>
    <cellStyle name="s_Valuation _BS Csan CPC 02 &lt;SAP&gt;_Despesas ADM e COML (3)_Query C.Custos SF 10-11_15-FINANCEIRAS_1" xfId="8499"/>
    <cellStyle name="s_Valuation _BS Csan CPC 02 &lt;SAP&gt;_Despesas ADM e COML (3)_Query C.Custos SF 10-11_3-Balanço" xfId="8500"/>
    <cellStyle name="s_Valuation _BS Csan CPC 02 &lt;SAP&gt;_Despesas ADM e COML (3)_Query C.Custos SF 10-11_3-Balanço 2" xfId="8501"/>
    <cellStyle name="s_Valuation _BS Csan CPC 02 &lt;SAP&gt;_Despesas ADM e COML (3)_Query C.Custos SF 10-11_3-Balanço 2_15-FINANCEIRAS" xfId="8502"/>
    <cellStyle name="s_Valuation _BS Csan CPC 02 &lt;SAP&gt;_Despesas ADM e COML (3)_Query C.Custos SF 10-11_3-Balanço_1" xfId="8503"/>
    <cellStyle name="s_Valuation _BS Csan CPC 02 &lt;SAP&gt;_Despesas ADM e COML (3)_Query C.Custos SF 10-11_3-Balanço_15-FINANCEIRAS" xfId="8504"/>
    <cellStyle name="s_Valuation _BS Csan CPC 02 &lt;SAP&gt;_Despesas ADM e COML (3)_Query C.Custos SF 10-11_3-Balanço_15-FINANCEIRAS_1" xfId="8505"/>
    <cellStyle name="s_Valuation _BS Csan CPC 02 &lt;SAP&gt;_Despesas ADM e COML (3)_Query C.Custos SF 10-11_3-Balanço_3-Balanço" xfId="8506"/>
    <cellStyle name="s_Valuation _BS Csan CPC 02 &lt;SAP&gt;_Despesas ADM e COML (3)_Query C.Custos SF 10-11_3-Balanço_7-Estoque" xfId="8507"/>
    <cellStyle name="s_Valuation _BS Csan CPC 02 &lt;SAP&gt;_Despesas ADM e COML (3)_Query C.Custos SF 10-11_7-Estoque" xfId="8508"/>
    <cellStyle name="s_Valuation _BS Csan CPC 02 &lt;SAP&gt;_Despesas ADM e COML (3)_Query C.Custos SF 10-11_Balanço" xfId="8509"/>
    <cellStyle name="s_Valuation _BS Csan CPC 02 &lt;SAP&gt;_Despesas ADM e COML (3)_Query C.Custos SF 10-11_CCL" xfId="8510"/>
    <cellStyle name="s_Valuation _BS Csan CPC 02 &lt;SAP&gt;_Despesas ADM e COML (3)_Query C.Custos SF 10-11_CCL 2" xfId="8511"/>
    <cellStyle name="s_Valuation _BS Csan CPC 02 &lt;SAP&gt;_Despesas ADM e COML (3)_Query C.Custos SF 10-11_CCL 2_15-FINANCEIRAS" xfId="8512"/>
    <cellStyle name="s_Valuation _BS Csan CPC 02 &lt;SAP&gt;_Despesas ADM e COML (3)_Query C.Custos SF 10-11_CCL_15-FINANCEIRAS" xfId="8513"/>
    <cellStyle name="s_Valuation _BS Csan CPC 02 &lt;SAP&gt;_Despesas ADM e COML (3)_Query C.Custos SF 10-11_CCL_15-FINANCEIRAS_1" xfId="8514"/>
    <cellStyle name="s_Valuation _BS Csan CPC 02 &lt;SAP&gt;_Despesas ADM e COML (3)_Query C.Custos SF 10-11_CCL_3-Balanço" xfId="8515"/>
    <cellStyle name="s_Valuation _BS Csan CPC 02 &lt;SAP&gt;_Despesas ADM e COML (3)_Query C.Custos SF 10-11_CCL_3-Balanço 2" xfId="8516"/>
    <cellStyle name="s_Valuation _BS Csan CPC 02 &lt;SAP&gt;_Despesas ADM e COML (3)_Query C.Custos SF 10-11_CCL_3-Balanço 2_15-FINANCEIRAS" xfId="8517"/>
    <cellStyle name="s_Valuation _BS Csan CPC 02 &lt;SAP&gt;_Despesas ADM e COML (3)_Query C.Custos SF 10-11_CCL_3-Balanço_1" xfId="8518"/>
    <cellStyle name="s_Valuation _BS Csan CPC 02 &lt;SAP&gt;_Despesas ADM e COML (3)_Query C.Custos SF 10-11_CCL_3-Balanço_15-FINANCEIRAS" xfId="8519"/>
    <cellStyle name="s_Valuation _BS Csan CPC 02 &lt;SAP&gt;_Despesas ADM e COML (3)_Query C.Custos SF 10-11_CCL_3-Balanço_15-FINANCEIRAS_1" xfId="8520"/>
    <cellStyle name="s_Valuation _BS Csan CPC 02 &lt;SAP&gt;_Despesas ADM e COML (3)_Query C.Custos SF 10-11_CCL_3-Balanço_3-Balanço" xfId="8521"/>
    <cellStyle name="s_Valuation _BS Csan CPC 02 &lt;SAP&gt;_Despesas ADM e COML (3)_Query C.Custos SF 10-11_CCL_3-Balanço_7-Estoque" xfId="8522"/>
    <cellStyle name="s_Valuation _BS Csan CPC 02 &lt;SAP&gt;_Despesas ADM e COML (3)_Query C.Custos SF 10-11_CCL_7-Estoque" xfId="8523"/>
    <cellStyle name="s_Valuation _BS Csan CPC 02 &lt;SAP&gt;_Despesas ADM e COML (3)_Query C.Custos SF 10-11_CCL_Balanço" xfId="8524"/>
    <cellStyle name="s_Valuation _BS Csan CPC 02 &lt;SAP&gt;_Despesas ADM e COML (3)_Query C.Custos SF 10-11_Diferenças outubro CAN- (2)" xfId="8525"/>
    <cellStyle name="s_Valuation _BS Csan CPC 02 &lt;SAP&gt;_Despesas ADM e COML (3)_Query C.Custos SF 10-11_Diferenças outubro CAN- (2) 2" xfId="8526"/>
    <cellStyle name="s_Valuation _BS Csan CPC 02 &lt;SAP&gt;_Despesas ADM e COML (3)_Query C.Custos SF 10-11_Diferenças outubro CAN- (2) 2_15-FINANCEIRAS" xfId="8527"/>
    <cellStyle name="s_Valuation _BS Csan CPC 02 &lt;SAP&gt;_Despesas ADM e COML (3)_Query C.Custos SF 10-11_Diferenças outubro CAN- (2)_15-FINANCEIRAS" xfId="8528"/>
    <cellStyle name="s_Valuation _BS Csan CPC 02 &lt;SAP&gt;_Despesas ADM e COML (3)_Query C.Custos SF 10-11_Diferenças outubro CAN- (2)_15-FINANCEIRAS_1" xfId="8529"/>
    <cellStyle name="s_Valuation _BS Csan CPC 02 &lt;SAP&gt;_Despesas ADM e COML (3)_Query C.Custos SF 10-11_Diferenças outubro CAN- (2)_3-Balanço" xfId="8530"/>
    <cellStyle name="s_Valuation _BS Csan CPC 02 &lt;SAP&gt;_Despesas ADM e COML (3)_Query C.Custos SF 10-11_Diferenças outubro CAN- (2)_3-Balanço 2" xfId="8531"/>
    <cellStyle name="s_Valuation _BS Csan CPC 02 &lt;SAP&gt;_Despesas ADM e COML (3)_Query C.Custos SF 10-11_Diferenças outubro CAN- (2)_3-Balanço 2_15-FINANCEIRAS" xfId="8532"/>
    <cellStyle name="s_Valuation _BS Csan CPC 02 &lt;SAP&gt;_Despesas ADM e COML (3)_Query C.Custos SF 10-11_Diferenças outubro CAN- (2)_3-Balanço_1" xfId="8533"/>
    <cellStyle name="s_Valuation _BS Csan CPC 02 &lt;SAP&gt;_Despesas ADM e COML (3)_Query C.Custos SF 10-11_Diferenças outubro CAN- (2)_3-Balanço_15-FINANCEIRAS" xfId="8534"/>
    <cellStyle name="s_Valuation _BS Csan CPC 02 &lt;SAP&gt;_Despesas ADM e COML (3)_Query C.Custos SF 10-11_Diferenças outubro CAN- (2)_3-Balanço_15-FINANCEIRAS_1" xfId="8535"/>
    <cellStyle name="s_Valuation _BS Csan CPC 02 &lt;SAP&gt;_Despesas ADM e COML (3)_Query C.Custos SF 10-11_Diferenças outubro CAN- (2)_3-Balanço_3-Balanço" xfId="8536"/>
    <cellStyle name="s_Valuation _BS Csan CPC 02 &lt;SAP&gt;_Despesas ADM e COML (3)_Query C.Custos SF 10-11_Diferenças outubro CAN- (2)_3-Balanço_7-Estoque" xfId="8537"/>
    <cellStyle name="s_Valuation _BS Csan CPC 02 &lt;SAP&gt;_Despesas ADM e COML (3)_Query C.Custos SF 10-11_Diferenças outubro CAN- (2)_7-Estoque" xfId="8538"/>
    <cellStyle name="s_Valuation _BS Csan CPC 02 &lt;SAP&gt;_Despesas ADM e COML (3)_Query C.Custos SF 10-11_Diferenças outubro CAN- (2)_Balanço" xfId="8539"/>
    <cellStyle name="s_Valuation _BS Csan CPC 02 &lt;SAP&gt;_Despesas ADM e COML (3)_Query C.Custos SF 10-11_Query C.Custos SF 10-11" xfId="8540"/>
    <cellStyle name="s_Valuation _BS Csan CPC 02 &lt;SAP&gt;_Despesas ADM e COML (3)_Query C.Custos SF 10-11_Query C.Custos SF 10-11 2" xfId="8541"/>
    <cellStyle name="s_Valuation _BS Csan CPC 02 &lt;SAP&gt;_Despesas ADM e COML (3)_Query C.Custos SF 10-11_Query C.Custos SF 10-11 2_15-FINANCEIRAS" xfId="8542"/>
    <cellStyle name="s_Valuation _BS Csan CPC 02 &lt;SAP&gt;_Despesas ADM e COML (3)_Query C.Custos SF 10-11_Query C.Custos SF 10-11_15-FINANCEIRAS" xfId="8543"/>
    <cellStyle name="s_Valuation _BS Csan CPC 02 &lt;SAP&gt;_Despesas ADM e COML (3)_Query C.Custos SF 10-11_Query C.Custos SF 10-11_15-FINANCEIRAS_1" xfId="8544"/>
    <cellStyle name="s_Valuation _BS Csan CPC 02 &lt;SAP&gt;_Despesas ADM e COML (3)_Query C.Custos SF 10-11_Query C.Custos SF 10-11_3-Balanço" xfId="8545"/>
    <cellStyle name="s_Valuation _BS Csan CPC 02 &lt;SAP&gt;_Despesas ADM e COML (3)_Query C.Custos SF 10-11_Query C.Custos SF 10-11_3-Balanço 2" xfId="8546"/>
    <cellStyle name="s_Valuation _BS Csan CPC 02 &lt;SAP&gt;_Despesas ADM e COML (3)_Query C.Custos SF 10-11_Query C.Custos SF 10-11_3-Balanço 2_15-FINANCEIRAS" xfId="8547"/>
    <cellStyle name="s_Valuation _BS Csan CPC 02 &lt;SAP&gt;_Despesas ADM e COML (3)_Query C.Custos SF 10-11_Query C.Custos SF 10-11_3-Balanço_1" xfId="8548"/>
    <cellStyle name="s_Valuation _BS Csan CPC 02 &lt;SAP&gt;_Despesas ADM e COML (3)_Query C.Custos SF 10-11_Query C.Custos SF 10-11_3-Balanço_15-FINANCEIRAS" xfId="8549"/>
    <cellStyle name="s_Valuation _BS Csan CPC 02 &lt;SAP&gt;_Despesas ADM e COML (3)_Query C.Custos SF 10-11_Query C.Custos SF 10-11_3-Balanço_15-FINANCEIRAS_1" xfId="8550"/>
    <cellStyle name="s_Valuation _BS Csan CPC 02 &lt;SAP&gt;_Despesas ADM e COML (3)_Query C.Custos SF 10-11_Query C.Custos SF 10-11_3-Balanço_3-Balanço" xfId="8551"/>
    <cellStyle name="s_Valuation _BS Csan CPC 02 &lt;SAP&gt;_Despesas ADM e COML (3)_Query C.Custos SF 10-11_Query C.Custos SF 10-11_3-Balanço_7-Estoque" xfId="8552"/>
    <cellStyle name="s_Valuation _BS Csan CPC 02 &lt;SAP&gt;_Despesas ADM e COML (3)_Query C.Custos SF 10-11_Query C.Custos SF 10-11_7-Estoque" xfId="8553"/>
    <cellStyle name="s_Valuation _BS Csan CPC 02 &lt;SAP&gt;_Despesas ADM e COML (3)_Query C.Custos SF 10-11_Query C.Custos SF 10-11_Balanço" xfId="8554"/>
    <cellStyle name="s_Valuation _BS Csan CPC 02 &lt;SAP&gt;_Display" xfId="8555"/>
    <cellStyle name="s_Valuation _BS Csan CPC 02 &lt;SAP&gt;_Display 2" xfId="8556"/>
    <cellStyle name="s_Valuation _BS Csan CPC 02 &lt;SAP&gt;_Display 2_15-FINANCEIRAS" xfId="8557"/>
    <cellStyle name="s_Valuation _BS Csan CPC 02 &lt;SAP&gt;_Display_15-FINANCEIRAS" xfId="8558"/>
    <cellStyle name="s_Valuation _BS Csan CPC 02 &lt;SAP&gt;_Display_15-FINANCEIRAS_1" xfId="8559"/>
    <cellStyle name="s_Valuation _BS Csan CPC 02 &lt;SAP&gt;_Display_3-Balanço" xfId="8560"/>
    <cellStyle name="s_Valuation _BS Csan CPC 02 &lt;SAP&gt;_Display_7-Estoque" xfId="8561"/>
    <cellStyle name="s_Valuation _BS Csan CPC 02 &lt;SAP&gt;_Faturamento_-_Receita_LÃ­quida_com_vendas_para_CCL_10-11.vsetembro(1)" xfId="8562"/>
    <cellStyle name="s_Valuation _BS Csan CPC 02 &lt;SAP&gt;_Faturamento_-_Receita_LÃ­quida_com_vendas_para_CCL_10-11.vsetembro(1) 2" xfId="8563"/>
    <cellStyle name="s_Valuation _BS Csan CPC 02 &lt;SAP&gt;_Faturamento_-_Receita_LÃ­quida_com_vendas_para_CCL_10-11.vsetembro(1) 2_15-FINANCEIRAS" xfId="8564"/>
    <cellStyle name="s_Valuation _BS Csan CPC 02 &lt;SAP&gt;_Faturamento_-_Receita_LÃ­quida_com_vendas_para_CCL_10-11.vsetembro(1)_15-FINANCEIRAS" xfId="8565"/>
    <cellStyle name="s_Valuation _BS Csan CPC 02 &lt;SAP&gt;_Faturamento_-_Receita_LÃ­quida_com_vendas_para_CCL_10-11.vsetembro(1)_15-FINANCEIRAS_1" xfId="8566"/>
    <cellStyle name="s_Valuation _BS Csan CPC 02 &lt;SAP&gt;_Faturamento_-_Receita_LÃ­quida_com_vendas_para_CCL_10-11.vsetembro(1)_3-Balanço" xfId="8567"/>
    <cellStyle name="s_Valuation _BS Csan CPC 02 &lt;SAP&gt;_Faturamento_-_Receita_LÃ­quida_com_vendas_para_CCL_10-11.vsetembro(1)_3-Balanço 2" xfId="8568"/>
    <cellStyle name="s_Valuation _BS Csan CPC 02 &lt;SAP&gt;_Faturamento_-_Receita_LÃ­quida_com_vendas_para_CCL_10-11.vsetembro(1)_3-Balanço 2_15-FINANCEIRAS" xfId="8569"/>
    <cellStyle name="s_Valuation _BS Csan CPC 02 &lt;SAP&gt;_Faturamento_-_Receita_LÃ­quida_com_vendas_para_CCL_10-11.vsetembro(1)_3-Balanço_1" xfId="8570"/>
    <cellStyle name="s_Valuation _BS Csan CPC 02 &lt;SAP&gt;_Faturamento_-_Receita_LÃ­quida_com_vendas_para_CCL_10-11.vsetembro(1)_3-Balanço_15-FINANCEIRAS" xfId="8571"/>
    <cellStyle name="s_Valuation _BS Csan CPC 02 &lt;SAP&gt;_Faturamento_-_Receita_LÃ­quida_com_vendas_para_CCL_10-11.vsetembro(1)_3-Balanço_15-FINANCEIRAS_1" xfId="8572"/>
    <cellStyle name="s_Valuation _BS Csan CPC 02 &lt;SAP&gt;_Faturamento_-_Receita_LÃ­quida_com_vendas_para_CCL_10-11.vsetembro(1)_3-Balanço_3-Balanço" xfId="8573"/>
    <cellStyle name="s_Valuation _BS Csan CPC 02 &lt;SAP&gt;_Faturamento_-_Receita_LÃ­quida_com_vendas_para_CCL_10-11.vsetembro(1)_3-Balanço_7-Estoque" xfId="8574"/>
    <cellStyle name="s_Valuation _BS Csan CPC 02 &lt;SAP&gt;_Faturamento_-_Receita_LÃ­quida_com_vendas_para_CCL_10-11.vsetembro(1)_7-Estoque" xfId="8575"/>
    <cellStyle name="s_Valuation _BS Csan CPC 02 &lt;SAP&gt;_Faturamento_-_Receita_LÃ­quida_com_vendas_para_CCL_10-11.vsetembro(1)_Balanço" xfId="8576"/>
    <cellStyle name="s_Valuation _BS Csan CPC 02 &lt;SAP&gt;_Faturamento_-_Receita_LÃ­quida_com_vendas_para_CCL_10-11_validaÃ§Ã£o" xfId="8577"/>
    <cellStyle name="s_Valuation _BS Csan CPC 02 &lt;SAP&gt;_Faturamento_-_Receita_LÃ­quida_com_vendas_para_CCL_10-11_validaÃ§Ã£o 2" xfId="8578"/>
    <cellStyle name="s_Valuation _BS Csan CPC 02 &lt;SAP&gt;_Faturamento_-_Receita_LÃ­quida_com_vendas_para_CCL_10-11_validaÃ§Ã£o 2_15-FINANCEIRAS" xfId="8579"/>
    <cellStyle name="s_Valuation _BS Csan CPC 02 &lt;SAP&gt;_Faturamento_-_Receita_LÃ­quida_com_vendas_para_CCL_10-11_validaÃ§Ã£o_15-FINANCEIRAS" xfId="8580"/>
    <cellStyle name="s_Valuation _BS Csan CPC 02 &lt;SAP&gt;_Faturamento_-_Receita_LÃ­quida_com_vendas_para_CCL_10-11_validaÃ§Ã£o_15-FINANCEIRAS_1" xfId="8581"/>
    <cellStyle name="s_Valuation _BS Csan CPC 02 &lt;SAP&gt;_Faturamento_-_Receita_LÃ­quida_com_vendas_para_CCL_10-11_validaÃ§Ã£o_3-Balanço" xfId="8582"/>
    <cellStyle name="s_Valuation _BS Csan CPC 02 &lt;SAP&gt;_Faturamento_-_Receita_LÃ­quida_com_vendas_para_CCL_10-11_validaÃ§Ã£o_3-Balanço 2" xfId="8583"/>
    <cellStyle name="s_Valuation _BS Csan CPC 02 &lt;SAP&gt;_Faturamento_-_Receita_LÃ­quida_com_vendas_para_CCL_10-11_validaÃ§Ã£o_3-Balanço 2_15-FINANCEIRAS" xfId="8584"/>
    <cellStyle name="s_Valuation _BS Csan CPC 02 &lt;SAP&gt;_Faturamento_-_Receita_LÃ­quida_com_vendas_para_CCL_10-11_validaÃ§Ã£o_3-Balanço_1" xfId="8585"/>
    <cellStyle name="s_Valuation _BS Csan CPC 02 &lt;SAP&gt;_Faturamento_-_Receita_LÃ­quida_com_vendas_para_CCL_10-11_validaÃ§Ã£o_3-Balanço_15-FINANCEIRAS" xfId="8586"/>
    <cellStyle name="s_Valuation _BS Csan CPC 02 &lt;SAP&gt;_Faturamento_-_Receita_LÃ­quida_com_vendas_para_CCL_10-11_validaÃ§Ã£o_3-Balanço_15-FINANCEIRAS_1" xfId="8587"/>
    <cellStyle name="s_Valuation _BS Csan CPC 02 &lt;SAP&gt;_Faturamento_-_Receita_LÃ­quida_com_vendas_para_CCL_10-11_validaÃ§Ã£o_3-Balanço_3-Balanço" xfId="8588"/>
    <cellStyle name="s_Valuation _BS Csan CPC 02 &lt;SAP&gt;_Faturamento_-_Receita_LÃ­quida_com_vendas_para_CCL_10-11_validaÃ§Ã£o_3-Balanço_7-Estoque" xfId="8589"/>
    <cellStyle name="s_Valuation _BS Csan CPC 02 &lt;SAP&gt;_Faturamento_-_Receita_LÃ­quida_com_vendas_para_CCL_10-11_validaÃ§Ã£o_7-Estoque" xfId="8590"/>
    <cellStyle name="s_Valuation _BS Csan CPC 02 &lt;SAP&gt;_Faturamento_-_Receita_LÃ­quida_com_vendas_para_CCL_10-11_validaÃ§Ã£o_Balanço" xfId="8591"/>
    <cellStyle name="s_Valuation _BS Csan CPC 02 &lt;SAP&gt;_Instrumentos Financeiros" xfId="8592"/>
    <cellStyle name="s_Valuation _BS Csan CPC 02 &lt;SAP&gt;_Instrumentos Financeiros 2" xfId="8593"/>
    <cellStyle name="s_Valuation _BS Csan CPC 02 &lt;SAP&gt;_Instrumentos Financeiros 2_15-FINANCEIRAS" xfId="8594"/>
    <cellStyle name="s_Valuation _BS Csan CPC 02 &lt;SAP&gt;_Instrumentos Financeiros_15-FINANCEIRAS" xfId="8595"/>
    <cellStyle name="s_Valuation _BS Csan CPC 02 &lt;SAP&gt;_Instrumentos Financeiros_15-FINANCEIRAS_1" xfId="8596"/>
    <cellStyle name="s_Valuation _BS Csan CPC 02 &lt;SAP&gt;_Instrumentos Financeiros_3-Balanço" xfId="8597"/>
    <cellStyle name="s_Valuation _BS Csan CPC 02 &lt;SAP&gt;_Instrumentos Financeiros_7-Estoque" xfId="8598"/>
    <cellStyle name="s_Valuation _BS Csan CPC 02 &lt;SAP&gt;_Ligadas" xfId="8599"/>
    <cellStyle name="s_Valuation _BS Csan CPC 02 &lt;SAP&gt;_Ligadas 2" xfId="8600"/>
    <cellStyle name="s_Valuation _BS Csan CPC 02 &lt;SAP&gt;_Ligadas 2 2" xfId="8601"/>
    <cellStyle name="s_Valuation _BS Csan CPC 02 &lt;SAP&gt;_Ligadas 2 2_15-FINANCEIRAS" xfId="8602"/>
    <cellStyle name="s_Valuation _BS Csan CPC 02 &lt;SAP&gt;_Ligadas 2 3" xfId="8603"/>
    <cellStyle name="s_Valuation _BS Csan CPC 02 &lt;SAP&gt;_Ligadas 2_15-FINANCEIRAS" xfId="8604"/>
    <cellStyle name="s_Valuation _BS Csan CPC 02 &lt;SAP&gt;_Ligadas 2_15-FINANCEIRAS_1" xfId="8605"/>
    <cellStyle name="s_Valuation _BS Csan CPC 02 &lt;SAP&gt;_Ligadas 2_3-Balanço" xfId="8606"/>
    <cellStyle name="s_Valuation _BS Csan CPC 02 &lt;SAP&gt;_Ligadas 2_7-Estoque" xfId="8607"/>
    <cellStyle name="s_Valuation _BS Csan CPC 02 &lt;SAP&gt;_Ligadas 3" xfId="8608"/>
    <cellStyle name="s_Valuation _BS Csan CPC 02 &lt;SAP&gt;_Ligadas 3 2" xfId="8609"/>
    <cellStyle name="s_Valuation _BS Csan CPC 02 &lt;SAP&gt;_Ligadas 3 2_15-FINANCEIRAS" xfId="8610"/>
    <cellStyle name="s_Valuation _BS Csan CPC 02 &lt;SAP&gt;_Ligadas 3 3" xfId="8611"/>
    <cellStyle name="s_Valuation _BS Csan CPC 02 &lt;SAP&gt;_Ligadas 3_15-FINANCEIRAS" xfId="8612"/>
    <cellStyle name="s_Valuation _BS Csan CPC 02 &lt;SAP&gt;_Ligadas 3_15-FINANCEIRAS_1" xfId="8613"/>
    <cellStyle name="s_Valuation _BS Csan CPC 02 &lt;SAP&gt;_Ligadas 3_3-Balanço" xfId="8614"/>
    <cellStyle name="s_Valuation _BS Csan CPC 02 &lt;SAP&gt;_Ligadas 3_7-Estoque" xfId="8615"/>
    <cellStyle name="s_Valuation _BS Csan CPC 02 &lt;SAP&gt;_Ligadas 4" xfId="8616"/>
    <cellStyle name="s_Valuation _BS Csan CPC 02 &lt;SAP&gt;_Ligadas 4 2" xfId="8617"/>
    <cellStyle name="s_Valuation _BS Csan CPC 02 &lt;SAP&gt;_Ligadas 4 2_15-FINANCEIRAS" xfId="8618"/>
    <cellStyle name="s_Valuation _BS Csan CPC 02 &lt;SAP&gt;_Ligadas 4_15-FINANCEIRAS" xfId="8619"/>
    <cellStyle name="s_Valuation _BS Csan CPC 02 &lt;SAP&gt;_Ligadas 4_15-FINANCEIRAS_1" xfId="8620"/>
    <cellStyle name="s_Valuation _BS Csan CPC 02 &lt;SAP&gt;_Ligadas 4_3-Balanço" xfId="8621"/>
    <cellStyle name="s_Valuation _BS Csan CPC 02 &lt;SAP&gt;_Ligadas 5" xfId="8622"/>
    <cellStyle name="s_Valuation _BS Csan CPC 02 &lt;SAP&gt;_Ligadas 5_15-FINANCEIRAS" xfId="8623"/>
    <cellStyle name="s_Valuation _BS Csan CPC 02 &lt;SAP&gt;_Ligadas 6" xfId="8624"/>
    <cellStyle name="s_Valuation _BS Csan CPC 02 &lt;SAP&gt;_Ligadas_15-FINANCEIRAS" xfId="8625"/>
    <cellStyle name="s_Valuation _BS Csan CPC 02 &lt;SAP&gt;_Ligadas_15-FINANCEIRAS_1" xfId="8626"/>
    <cellStyle name="s_Valuation _BS Csan CPC 02 &lt;SAP&gt;_Ligadas_26_Instrumentos Financeiros" xfId="8627"/>
    <cellStyle name="s_Valuation _BS Csan CPC 02 &lt;SAP&gt;_Ligadas_26_Instrumentos Financeiros 2" xfId="8628"/>
    <cellStyle name="s_Valuation _BS Csan CPC 02 &lt;SAP&gt;_Ligadas_26_Instrumentos Financeiros 2_15-FINANCEIRAS" xfId="8629"/>
    <cellStyle name="s_Valuation _BS Csan CPC 02 &lt;SAP&gt;_Ligadas_26_Instrumentos Financeiros_1" xfId="8630"/>
    <cellStyle name="s_Valuation _BS Csan CPC 02 &lt;SAP&gt;_Ligadas_26_Instrumentos Financeiros_1 2" xfId="8631"/>
    <cellStyle name="s_Valuation _BS Csan CPC 02 &lt;SAP&gt;_Ligadas_26_Instrumentos Financeiros_1 2_15-FINANCEIRAS" xfId="8632"/>
    <cellStyle name="s_Valuation _BS Csan CPC 02 &lt;SAP&gt;_Ligadas_26_Instrumentos Financeiros_1_15-FINANCEIRAS" xfId="8633"/>
    <cellStyle name="s_Valuation _BS Csan CPC 02 &lt;SAP&gt;_Ligadas_26_Instrumentos Financeiros_1_15-FINANCEIRAS_1" xfId="8634"/>
    <cellStyle name="s_Valuation _BS Csan CPC 02 &lt;SAP&gt;_Ligadas_26_Instrumentos Financeiros_1_3-Balanço" xfId="8635"/>
    <cellStyle name="s_Valuation _BS Csan CPC 02 &lt;SAP&gt;_Ligadas_26_Instrumentos Financeiros_1_7-Estoque" xfId="8636"/>
    <cellStyle name="s_Valuation _BS Csan CPC 02 &lt;SAP&gt;_Ligadas_26_Instrumentos Financeiros_15-FINANCEIRAS" xfId="8637"/>
    <cellStyle name="s_Valuation _BS Csan CPC 02 &lt;SAP&gt;_Ligadas_26_Instrumentos Financeiros_15-FINANCEIRAS_1" xfId="8638"/>
    <cellStyle name="s_Valuation _BS Csan CPC 02 &lt;SAP&gt;_Ligadas_26_Instrumentos Financeiros_3-Balanço" xfId="8639"/>
    <cellStyle name="s_Valuation _BS Csan CPC 02 &lt;SAP&gt;_Ligadas_26_Instrumentos Financeiros_7-Estoque" xfId="8640"/>
    <cellStyle name="s_Valuation _BS Csan CPC 02 &lt;SAP&gt;_Ligadas_2-DRE" xfId="8641"/>
    <cellStyle name="s_Valuation _BS Csan CPC 02 &lt;SAP&gt;_Ligadas_2-DRE 2" xfId="8642"/>
    <cellStyle name="s_Valuation _BS Csan CPC 02 &lt;SAP&gt;_Ligadas_2-DRE 2_15-FINANCEIRAS" xfId="8643"/>
    <cellStyle name="s_Valuation _BS Csan CPC 02 &lt;SAP&gt;_Ligadas_2-DRE_15-FINANCEIRAS" xfId="8644"/>
    <cellStyle name="s_Valuation _BS Csan CPC 02 &lt;SAP&gt;_Ligadas_2-DRE_15-FINANCEIRAS_1" xfId="8645"/>
    <cellStyle name="s_Valuation _BS Csan CPC 02 &lt;SAP&gt;_Ligadas_2-DRE_3-Balanço" xfId="8646"/>
    <cellStyle name="s_Valuation _BS Csan CPC 02 &lt;SAP&gt;_Ligadas_2-DRE_7-Estoque" xfId="8647"/>
    <cellStyle name="s_Valuation _BS Csan CPC 02 &lt;SAP&gt;_Ligadas_3-Balanço" xfId="8648"/>
    <cellStyle name="s_Valuation _BS Csan CPC 02 &lt;SAP&gt;_Ligadas_3-Balanço 2" xfId="8649"/>
    <cellStyle name="s_Valuation _BS Csan CPC 02 &lt;SAP&gt;_Ligadas_3-Balanço 2_15-FINANCEIRAS" xfId="8650"/>
    <cellStyle name="s_Valuation _BS Csan CPC 02 &lt;SAP&gt;_Ligadas_3-Balanço_1" xfId="8651"/>
    <cellStyle name="s_Valuation _BS Csan CPC 02 &lt;SAP&gt;_Ligadas_3-Balanço_1 2" xfId="8652"/>
    <cellStyle name="s_Valuation _BS Csan CPC 02 &lt;SAP&gt;_Ligadas_3-Balanço_1 2_15-FINANCEIRAS" xfId="8653"/>
    <cellStyle name="s_Valuation _BS Csan CPC 02 &lt;SAP&gt;_Ligadas_3-Balanço_1_15-FINANCEIRAS" xfId="8654"/>
    <cellStyle name="s_Valuation _BS Csan CPC 02 &lt;SAP&gt;_Ligadas_3-Balanço_1_15-FINANCEIRAS_1" xfId="8655"/>
    <cellStyle name="s_Valuation _BS Csan CPC 02 &lt;SAP&gt;_Ligadas_3-Balanço_1_3-Balanço" xfId="8656"/>
    <cellStyle name="s_Valuation _BS Csan CPC 02 &lt;SAP&gt;_Ligadas_3-Balanço_1_7-Estoque" xfId="8657"/>
    <cellStyle name="s_Valuation _BS Csan CPC 02 &lt;SAP&gt;_Ligadas_3-Balanço_15-FINANCEIRAS" xfId="8658"/>
    <cellStyle name="s_Valuation _BS Csan CPC 02 &lt;SAP&gt;_Ligadas_3-Balanço_15-FINANCEIRAS_1" xfId="8659"/>
    <cellStyle name="s_Valuation _BS Csan CPC 02 &lt;SAP&gt;_Ligadas_3-Balanço_2" xfId="8660"/>
    <cellStyle name="s_Valuation _BS Csan CPC 02 &lt;SAP&gt;_Ligadas_3-Balanço_3-Balanço" xfId="8661"/>
    <cellStyle name="s_Valuation _BS Csan CPC 02 &lt;SAP&gt;_Ligadas_3-Balanço_7-Estoque" xfId="8662"/>
    <cellStyle name="s_Valuation _BS Csan CPC 02 &lt;SAP&gt;_Ligadas_4-DMPL" xfId="8663"/>
    <cellStyle name="s_Valuation _BS Csan CPC 02 &lt;SAP&gt;_Ligadas_4-DMPL 2" xfId="8664"/>
    <cellStyle name="s_Valuation _BS Csan CPC 02 &lt;SAP&gt;_Ligadas_4-DMPL 2_15-FINANCEIRAS" xfId="8665"/>
    <cellStyle name="s_Valuation _BS Csan CPC 02 &lt;SAP&gt;_Ligadas_4-DMPL_15-FINANCEIRAS" xfId="8666"/>
    <cellStyle name="s_Valuation _BS Csan CPC 02 &lt;SAP&gt;_Ligadas_4-DMPL_15-FINANCEIRAS_1" xfId="8667"/>
    <cellStyle name="s_Valuation _BS Csan CPC 02 &lt;SAP&gt;_Ligadas_4-DMPL_3-Balanço" xfId="8668"/>
    <cellStyle name="s_Valuation _BS Csan CPC 02 &lt;SAP&gt;_Ligadas_7-Estoque" xfId="8669"/>
    <cellStyle name="s_Valuation _BS Csan CPC 02 &lt;SAP&gt;_Ligadas_8-Impostos" xfId="8670"/>
    <cellStyle name="s_Valuation _BS Csan CPC 02 &lt;SAP&gt;_Ligadas_8-Impostos 2" xfId="8671"/>
    <cellStyle name="s_Valuation _BS Csan CPC 02 &lt;SAP&gt;_Ligadas_8-Impostos 2_15-FINANCEIRAS" xfId="8672"/>
    <cellStyle name="s_Valuation _BS Csan CPC 02 &lt;SAP&gt;_Ligadas_8-Impostos_15-FINANCEIRAS" xfId="8673"/>
    <cellStyle name="s_Valuation _BS Csan CPC 02 &lt;SAP&gt;_Ligadas_8-Impostos_15-FINANCEIRAS_1" xfId="8674"/>
    <cellStyle name="s_Valuation _BS Csan CPC 02 &lt;SAP&gt;_Ligadas_8-Impostos_3-Balanço" xfId="8675"/>
    <cellStyle name="s_Valuation _BS Csan CPC 02 &lt;SAP&gt;_Ligadas_Acerto FV e Ajustes Manuais" xfId="8676"/>
    <cellStyle name="s_Valuation _BS Csan CPC 02 &lt;SAP&gt;_Ligadas_Balanço" xfId="8677"/>
    <cellStyle name="s_Valuation _BS Csan CPC 02 &lt;SAP&gt;_Ligadas_Caixa restrito" xfId="8678"/>
    <cellStyle name="s_Valuation _BS Csan CPC 02 &lt;SAP&gt;_Ligadas_Caixa restrito_7-Estoque" xfId="8679"/>
    <cellStyle name="s_Valuation _BS Csan CPC 02 &lt;SAP&gt;_Ligadas_CCL" xfId="8680"/>
    <cellStyle name="s_Valuation _BS Csan CPC 02 &lt;SAP&gt;_Ligadas_CCL 2" xfId="8681"/>
    <cellStyle name="s_Valuation _BS Csan CPC 02 &lt;SAP&gt;_Ligadas_CCL 2_15-FINANCEIRAS" xfId="8682"/>
    <cellStyle name="s_Valuation _BS Csan CPC 02 &lt;SAP&gt;_Ligadas_CCL_15-FINANCEIRAS" xfId="8683"/>
    <cellStyle name="s_Valuation _BS Csan CPC 02 &lt;SAP&gt;_Ligadas_CCL_15-FINANCEIRAS_1" xfId="8684"/>
    <cellStyle name="s_Valuation _BS Csan CPC 02 &lt;SAP&gt;_Ligadas_CCL_3-Balanço" xfId="8685"/>
    <cellStyle name="s_Valuation _BS Csan CPC 02 &lt;SAP&gt;_Ligadas_CCL_3-Balanço 2" xfId="8686"/>
    <cellStyle name="s_Valuation _BS Csan CPC 02 &lt;SAP&gt;_Ligadas_CCL_3-Balanço 2_15-FINANCEIRAS" xfId="8687"/>
    <cellStyle name="s_Valuation _BS Csan CPC 02 &lt;SAP&gt;_Ligadas_CCL_3-Balanço_1" xfId="8688"/>
    <cellStyle name="s_Valuation _BS Csan CPC 02 &lt;SAP&gt;_Ligadas_CCL_3-Balanço_15-FINANCEIRAS" xfId="8689"/>
    <cellStyle name="s_Valuation _BS Csan CPC 02 &lt;SAP&gt;_Ligadas_CCL_3-Balanço_15-FINANCEIRAS_1" xfId="8690"/>
    <cellStyle name="s_Valuation _BS Csan CPC 02 &lt;SAP&gt;_Ligadas_CCL_3-Balanço_3-Balanço" xfId="8691"/>
    <cellStyle name="s_Valuation _BS Csan CPC 02 &lt;SAP&gt;_Ligadas_CCL_3-Balanço_7-Estoque" xfId="8692"/>
    <cellStyle name="s_Valuation _BS Csan CPC 02 &lt;SAP&gt;_Ligadas_CCL_7-Estoque" xfId="8693"/>
    <cellStyle name="s_Valuation _BS Csan CPC 02 &lt;SAP&gt;_Ligadas_CCL_Balanço" xfId="8694"/>
    <cellStyle name="s_Valuation _BS Csan CPC 02 &lt;SAP&gt;_Ligadas_COSAN SA CONSOLID_MÊS" xfId="8695"/>
    <cellStyle name="s_Valuation _BS Csan CPC 02 &lt;SAP&gt;_Ligadas_Diferenças outubro CAN- (2)" xfId="8696"/>
    <cellStyle name="s_Valuation _BS Csan CPC 02 &lt;SAP&gt;_Ligadas_Diferenças outubro CAN- (2) 2" xfId="8697"/>
    <cellStyle name="s_Valuation _BS Csan CPC 02 &lt;SAP&gt;_Ligadas_Diferenças outubro CAN- (2) 2_15-FINANCEIRAS" xfId="8698"/>
    <cellStyle name="s_Valuation _BS Csan CPC 02 &lt;SAP&gt;_Ligadas_Diferenças outubro CAN- (2)_15-FINANCEIRAS" xfId="8699"/>
    <cellStyle name="s_Valuation _BS Csan CPC 02 &lt;SAP&gt;_Ligadas_Diferenças outubro CAN- (2)_15-FINANCEIRAS_1" xfId="8700"/>
    <cellStyle name="s_Valuation _BS Csan CPC 02 &lt;SAP&gt;_Ligadas_Diferenças outubro CAN- (2)_3-Balanço" xfId="8701"/>
    <cellStyle name="s_Valuation _BS Csan CPC 02 &lt;SAP&gt;_Ligadas_Diferenças outubro CAN- (2)_3-Balanço 2" xfId="8702"/>
    <cellStyle name="s_Valuation _BS Csan CPC 02 &lt;SAP&gt;_Ligadas_Diferenças outubro CAN- (2)_3-Balanço 2_15-FINANCEIRAS" xfId="8703"/>
    <cellStyle name="s_Valuation _BS Csan CPC 02 &lt;SAP&gt;_Ligadas_Diferenças outubro CAN- (2)_3-Balanço_1" xfId="8704"/>
    <cellStyle name="s_Valuation _BS Csan CPC 02 &lt;SAP&gt;_Ligadas_Diferenças outubro CAN- (2)_3-Balanço_15-FINANCEIRAS" xfId="8705"/>
    <cellStyle name="s_Valuation _BS Csan CPC 02 &lt;SAP&gt;_Ligadas_Diferenças outubro CAN- (2)_3-Balanço_15-FINANCEIRAS_1" xfId="8706"/>
    <cellStyle name="s_Valuation _BS Csan CPC 02 &lt;SAP&gt;_Ligadas_Diferenças outubro CAN- (2)_3-Balanço_3-Balanço" xfId="8707"/>
    <cellStyle name="s_Valuation _BS Csan CPC 02 &lt;SAP&gt;_Ligadas_Diferenças outubro CAN- (2)_3-Balanço_7-Estoque" xfId="8708"/>
    <cellStyle name="s_Valuation _BS Csan CPC 02 &lt;SAP&gt;_Ligadas_Diferenças outubro CAN- (2)_7-Estoque" xfId="8709"/>
    <cellStyle name="s_Valuation _BS Csan CPC 02 &lt;SAP&gt;_Ligadas_Diferenças outubro CAN- (2)_Balanço" xfId="8710"/>
    <cellStyle name="s_Valuation _BS Csan CPC 02 &lt;SAP&gt;_Ligadas_Display" xfId="8711"/>
    <cellStyle name="s_Valuation _BS Csan CPC 02 &lt;SAP&gt;_Ligadas_Display 2" xfId="8712"/>
    <cellStyle name="s_Valuation _BS Csan CPC 02 &lt;SAP&gt;_Ligadas_Display 2_15-FINANCEIRAS" xfId="8713"/>
    <cellStyle name="s_Valuation _BS Csan CPC 02 &lt;SAP&gt;_Ligadas_Display_15-FINANCEIRAS" xfId="8714"/>
    <cellStyle name="s_Valuation _BS Csan CPC 02 &lt;SAP&gt;_Ligadas_Display_15-FINANCEIRAS_1" xfId="8715"/>
    <cellStyle name="s_Valuation _BS Csan CPC 02 &lt;SAP&gt;_Ligadas_Display_3-Balanço" xfId="8716"/>
    <cellStyle name="s_Valuation _BS Csan CPC 02 &lt;SAP&gt;_Ligadas_Display_7-Estoque" xfId="8717"/>
    <cellStyle name="s_Valuation _BS Csan CPC 02 &lt;SAP&gt;_Ligadas_Instrumentos Financeiros" xfId="8718"/>
    <cellStyle name="s_Valuation _BS Csan CPC 02 &lt;SAP&gt;_Ligadas_Instrumentos Financeiros 2" xfId="8719"/>
    <cellStyle name="s_Valuation _BS Csan CPC 02 &lt;SAP&gt;_Ligadas_Instrumentos Financeiros 2_15-FINANCEIRAS" xfId="8720"/>
    <cellStyle name="s_Valuation _BS Csan CPC 02 &lt;SAP&gt;_Ligadas_Instrumentos Financeiros_15-FINANCEIRAS" xfId="8721"/>
    <cellStyle name="s_Valuation _BS Csan CPC 02 &lt;SAP&gt;_Ligadas_Instrumentos Financeiros_15-FINANCEIRAS_1" xfId="8722"/>
    <cellStyle name="s_Valuation _BS Csan CPC 02 &lt;SAP&gt;_Ligadas_Instrumentos Financeiros_3-Balanço" xfId="8723"/>
    <cellStyle name="s_Valuation _BS Csan CPC 02 &lt;SAP&gt;_Ligadas_Instrumentos Financeiros_7-Estoque" xfId="8724"/>
    <cellStyle name="s_Valuation _BS Csan CPC 02 &lt;SAP&gt;_Ligadas_Mapa 3T12" xfId="8725"/>
    <cellStyle name="s_Valuation _BS Csan CPC 02 &lt;SAP&gt;_Ligadas_Mapa 3T12 2" xfId="8726"/>
    <cellStyle name="s_Valuation _BS Csan CPC 02 &lt;SAP&gt;_Ligadas_Mapa 3T12 2_15-FINANCEIRAS" xfId="8727"/>
    <cellStyle name="s_Valuation _BS Csan CPC 02 &lt;SAP&gt;_Ligadas_Mapa 3T12_15-FINANCEIRAS" xfId="8728"/>
    <cellStyle name="s_Valuation _BS Csan CPC 02 &lt;SAP&gt;_Ligadas_Mapa 3T12_15-FINANCEIRAS_1" xfId="8729"/>
    <cellStyle name="s_Valuation _BS Csan CPC 02 &lt;SAP&gt;_Ligadas_Mapa 3T12_3-Balanço" xfId="8730"/>
    <cellStyle name="s_Valuation _BS Csan CPC 02 &lt;SAP&gt;_Ligadas_P&amp;L" xfId="8731"/>
    <cellStyle name="s_Valuation _BS Csan CPC 02 &lt;SAP&gt;_Ligadas_Plan2" xfId="8732"/>
    <cellStyle name="s_Valuation _BS Csan CPC 02 &lt;SAP&gt;_Ligadas_Plan2 2" xfId="8733"/>
    <cellStyle name="s_Valuation _BS Csan CPC 02 &lt;SAP&gt;_Ligadas_Plan2 2_15-FINANCEIRAS" xfId="8734"/>
    <cellStyle name="s_Valuation _BS Csan CPC 02 &lt;SAP&gt;_Ligadas_Plan2_15-FINANCEIRAS" xfId="8735"/>
    <cellStyle name="s_Valuation _BS Csan CPC 02 &lt;SAP&gt;_Ligadas_Plan2_15-FINANCEIRAS_1" xfId="8736"/>
    <cellStyle name="s_Valuation _BS Csan CPC 02 &lt;SAP&gt;_Ligadas_Plan2_3-Balanço" xfId="8737"/>
    <cellStyle name="s_Valuation _BS Csan CPC 02 &lt;SAP&gt;_Ligadas_Plan2_7-Estoque" xfId="8738"/>
    <cellStyle name="s_Valuation _BS Csan CPC 02 &lt;SAP&gt;_Ligadas_Query C.Custos SF 10-11" xfId="8739"/>
    <cellStyle name="s_Valuation _BS Csan CPC 02 &lt;SAP&gt;_Ligadas_Query C.Custos SF 10-11 2" xfId="8740"/>
    <cellStyle name="s_Valuation _BS Csan CPC 02 &lt;SAP&gt;_Ligadas_Query C.Custos SF 10-11 2_15-FINANCEIRAS" xfId="8741"/>
    <cellStyle name="s_Valuation _BS Csan CPC 02 &lt;SAP&gt;_Ligadas_Query C.Custos SF 10-11_15-FINANCEIRAS" xfId="8742"/>
    <cellStyle name="s_Valuation _BS Csan CPC 02 &lt;SAP&gt;_Ligadas_Query C.Custos SF 10-11_15-FINANCEIRAS_1" xfId="8743"/>
    <cellStyle name="s_Valuation _BS Csan CPC 02 &lt;SAP&gt;_Ligadas_Query C.Custos SF 10-11_3-Balanço" xfId="8744"/>
    <cellStyle name="s_Valuation _BS Csan CPC 02 &lt;SAP&gt;_Ligadas_Query C.Custos SF 10-11_3-Balanço 2" xfId="8745"/>
    <cellStyle name="s_Valuation _BS Csan CPC 02 &lt;SAP&gt;_Ligadas_Query C.Custos SF 10-11_3-Balanço 2_15-FINANCEIRAS" xfId="8746"/>
    <cellStyle name="s_Valuation _BS Csan CPC 02 &lt;SAP&gt;_Ligadas_Query C.Custos SF 10-11_3-Balanço_1" xfId="8747"/>
    <cellStyle name="s_Valuation _BS Csan CPC 02 &lt;SAP&gt;_Ligadas_Query C.Custos SF 10-11_3-Balanço_15-FINANCEIRAS" xfId="8748"/>
    <cellStyle name="s_Valuation _BS Csan CPC 02 &lt;SAP&gt;_Ligadas_Query C.Custos SF 10-11_3-Balanço_15-FINANCEIRAS_1" xfId="8749"/>
    <cellStyle name="s_Valuation _BS Csan CPC 02 &lt;SAP&gt;_Ligadas_Query C.Custos SF 10-11_3-Balanço_3-Balanço" xfId="8750"/>
    <cellStyle name="s_Valuation _BS Csan CPC 02 &lt;SAP&gt;_Ligadas_Query C.Custos SF 10-11_3-Balanço_7-Estoque" xfId="8751"/>
    <cellStyle name="s_Valuation _BS Csan CPC 02 &lt;SAP&gt;_Ligadas_Query C.Custos SF 10-11_7-Estoque" xfId="8752"/>
    <cellStyle name="s_Valuation _BS Csan CPC 02 &lt;SAP&gt;_Ligadas_Query C.Custos SF 10-11_Balanço" xfId="8753"/>
    <cellStyle name="s_Valuation _BS Csan CPC 02 &lt;SAP&gt;_Ligadas_Verificar - 13-Comerciais" xfId="8754"/>
    <cellStyle name="s_Valuation _BS Csan CPC 02 &lt;SAP&gt;_Ligadas_Verificar - 13-Comerciais 2" xfId="8755"/>
    <cellStyle name="s_Valuation _BS Csan CPC 02 &lt;SAP&gt;_Ligadas_Verificar - 13-Comerciais 2_15-FINANCEIRAS" xfId="8756"/>
    <cellStyle name="s_Valuation _BS Csan CPC 02 &lt;SAP&gt;_Ligadas_Verificar - 13-Comerciais_15-FINANCEIRAS" xfId="8757"/>
    <cellStyle name="s_Valuation _BS Csan CPC 02 &lt;SAP&gt;_Ligadas_Verificar - 13-Comerciais_15-FINANCEIRAS_1" xfId="8758"/>
    <cellStyle name="s_Valuation _BS Csan CPC 02 &lt;SAP&gt;_Ligadas_Verificar - 13-Comerciais_3-Balanço" xfId="8759"/>
    <cellStyle name="s_Valuation _BS Csan CPC 02 &lt;SAP&gt;_Mapa 3T12" xfId="8760"/>
    <cellStyle name="s_Valuation _BS Csan CPC 02 &lt;SAP&gt;_Mapa 3T12 2" xfId="8761"/>
    <cellStyle name="s_Valuation _BS Csan CPC 02 &lt;SAP&gt;_Mapa 3T12 2_15-FINANCEIRAS" xfId="8762"/>
    <cellStyle name="s_Valuation _BS Csan CPC 02 &lt;SAP&gt;_Mapa 3T12_15-FINANCEIRAS" xfId="8763"/>
    <cellStyle name="s_Valuation _BS Csan CPC 02 &lt;SAP&gt;_Mapa 3T12_15-FINANCEIRAS_1" xfId="8764"/>
    <cellStyle name="s_Valuation _BS Csan CPC 02 &lt;SAP&gt;_Mapa 3T12_3-Balanço" xfId="8765"/>
    <cellStyle name="s_Valuation _BS Csan CPC 02 &lt;SAP&gt;_Modelo kardex_Abril 10-11_Alcool_v 1.1" xfId="8766"/>
    <cellStyle name="s_Valuation _BS Csan CPC 02 &lt;SAP&gt;_Modelo kardex_Abril 10-11_Alcool_v 1.1 2" xfId="8767"/>
    <cellStyle name="s_Valuation _BS Csan CPC 02 &lt;SAP&gt;_Modelo kardex_Abril 10-11_Alcool_v 1.1 2_15-FINANCEIRAS" xfId="8768"/>
    <cellStyle name="s_Valuation _BS Csan CPC 02 &lt;SAP&gt;_Modelo kardex_Abril 10-11_Alcool_v 1.1_15-FINANCEIRAS" xfId="8769"/>
    <cellStyle name="s_Valuation _BS Csan CPC 02 &lt;SAP&gt;_Modelo kardex_Abril 10-11_Alcool_v 1.1_15-FINANCEIRAS_1" xfId="8770"/>
    <cellStyle name="s_Valuation _BS Csan CPC 02 &lt;SAP&gt;_Modelo kardex_Abril 10-11_Alcool_v 1.1_3-Balanço" xfId="8771"/>
    <cellStyle name="s_Valuation _BS Csan CPC 02 &lt;SAP&gt;_Modelo kardex_Abril 10-11_Alcool_v 1.1_3-Balanço 2" xfId="8772"/>
    <cellStyle name="s_Valuation _BS Csan CPC 02 &lt;SAP&gt;_Modelo kardex_Abril 10-11_Alcool_v 1.1_3-Balanço 2_15-FINANCEIRAS" xfId="8773"/>
    <cellStyle name="s_Valuation _BS Csan CPC 02 &lt;SAP&gt;_Modelo kardex_Abril 10-11_Alcool_v 1.1_3-Balanço_1" xfId="8774"/>
    <cellStyle name="s_Valuation _BS Csan CPC 02 &lt;SAP&gt;_Modelo kardex_Abril 10-11_Alcool_v 1.1_3-Balanço_15-FINANCEIRAS" xfId="8775"/>
    <cellStyle name="s_Valuation _BS Csan CPC 02 &lt;SAP&gt;_Modelo kardex_Abril 10-11_Alcool_v 1.1_3-Balanço_15-FINANCEIRAS_1" xfId="8776"/>
    <cellStyle name="s_Valuation _BS Csan CPC 02 &lt;SAP&gt;_Modelo kardex_Abril 10-11_Alcool_v 1.1_3-Balanço_3-Balanço" xfId="8777"/>
    <cellStyle name="s_Valuation _BS Csan CPC 02 &lt;SAP&gt;_Modelo kardex_Abril 10-11_Alcool_v 1.1_3-Balanço_7-Estoque" xfId="8778"/>
    <cellStyle name="s_Valuation _BS Csan CPC 02 &lt;SAP&gt;_Modelo kardex_Abril 10-11_Alcool_v 1.1_7-Estoque" xfId="8779"/>
    <cellStyle name="s_Valuation _BS Csan CPC 02 &lt;SAP&gt;_Modelo kardex_Abril 10-11_Alcool_v 1.1_Balanço" xfId="8780"/>
    <cellStyle name="s_Valuation _BS Csan CPC 02 &lt;SAP&gt;_P&amp;L" xfId="8781"/>
    <cellStyle name="s_Valuation _BS Csan CPC 02 &lt;SAP&gt;_Pasta3" xfId="8782"/>
    <cellStyle name="s_Valuation _BS Csan CPC 02 &lt;SAP&gt;_Pasta3 2" xfId="8783"/>
    <cellStyle name="s_Valuation _BS Csan CPC 02 &lt;SAP&gt;_Pasta3 2_15-FINANCEIRAS" xfId="8784"/>
    <cellStyle name="s_Valuation _BS Csan CPC 02 &lt;SAP&gt;_Pasta3_15-FINANCEIRAS" xfId="8785"/>
    <cellStyle name="s_Valuation _BS Csan CPC 02 &lt;SAP&gt;_Pasta3_15-FINANCEIRAS_1" xfId="8786"/>
    <cellStyle name="s_Valuation _BS Csan CPC 02 &lt;SAP&gt;_Pasta3_3-Balanço" xfId="8787"/>
    <cellStyle name="s_Valuation _BS Csan CPC 02 &lt;SAP&gt;_Pasta3_3-Balanço 2" xfId="8788"/>
    <cellStyle name="s_Valuation _BS Csan CPC 02 &lt;SAP&gt;_Pasta3_3-Balanço 2_15-FINANCEIRAS" xfId="8789"/>
    <cellStyle name="s_Valuation _BS Csan CPC 02 &lt;SAP&gt;_Pasta3_3-Balanço_1" xfId="8790"/>
    <cellStyle name="s_Valuation _BS Csan CPC 02 &lt;SAP&gt;_Pasta3_3-Balanço_15-FINANCEIRAS" xfId="8791"/>
    <cellStyle name="s_Valuation _BS Csan CPC 02 &lt;SAP&gt;_Pasta3_3-Balanço_15-FINANCEIRAS_1" xfId="8792"/>
    <cellStyle name="s_Valuation _BS Csan CPC 02 &lt;SAP&gt;_Pasta3_3-Balanço_3-Balanço" xfId="8793"/>
    <cellStyle name="s_Valuation _BS Csan CPC 02 &lt;SAP&gt;_Pasta3_3-Balanço_7-Estoque" xfId="8794"/>
    <cellStyle name="s_Valuation _BS Csan CPC 02 &lt;SAP&gt;_Pasta3_7-Estoque" xfId="8795"/>
    <cellStyle name="s_Valuation _BS Csan CPC 02 &lt;SAP&gt;_Pasta3_Balanço" xfId="8796"/>
    <cellStyle name="s_Valuation _BS Csan CPC 02 &lt;SAP&gt;_Pasta4" xfId="8797"/>
    <cellStyle name="s_Valuation _BS Csan CPC 02 &lt;SAP&gt;_Pasta4 2" xfId="8798"/>
    <cellStyle name="s_Valuation _BS Csan CPC 02 &lt;SAP&gt;_Pasta4 2_15-FINANCEIRAS" xfId="8799"/>
    <cellStyle name="s_Valuation _BS Csan CPC 02 &lt;SAP&gt;_Pasta4_15-FINANCEIRAS" xfId="8800"/>
    <cellStyle name="s_Valuation _BS Csan CPC 02 &lt;SAP&gt;_Pasta4_15-FINANCEIRAS_1" xfId="8801"/>
    <cellStyle name="s_Valuation _BS Csan CPC 02 &lt;SAP&gt;_Pasta4_3-Balanço" xfId="8802"/>
    <cellStyle name="s_Valuation _BS Csan CPC 02 &lt;SAP&gt;_Pasta4_3-Balanço 2" xfId="8803"/>
    <cellStyle name="s_Valuation _BS Csan CPC 02 &lt;SAP&gt;_Pasta4_3-Balanço 2_15-FINANCEIRAS" xfId="8804"/>
    <cellStyle name="s_Valuation _BS Csan CPC 02 &lt;SAP&gt;_Pasta4_3-Balanço_1" xfId="8805"/>
    <cellStyle name="s_Valuation _BS Csan CPC 02 &lt;SAP&gt;_Pasta4_3-Balanço_15-FINANCEIRAS" xfId="8806"/>
    <cellStyle name="s_Valuation _BS Csan CPC 02 &lt;SAP&gt;_Pasta4_3-Balanço_15-FINANCEIRAS_1" xfId="8807"/>
    <cellStyle name="s_Valuation _BS Csan CPC 02 &lt;SAP&gt;_Pasta4_3-Balanço_3-Balanço" xfId="8808"/>
    <cellStyle name="s_Valuation _BS Csan CPC 02 &lt;SAP&gt;_Pasta4_3-Balanço_7-Estoque" xfId="8809"/>
    <cellStyle name="s_Valuation _BS Csan CPC 02 &lt;SAP&gt;_Pasta4_7-Estoque" xfId="8810"/>
    <cellStyle name="s_Valuation _BS Csan CPC 02 &lt;SAP&gt;_Pasta4_Balanço" xfId="8811"/>
    <cellStyle name="s_Valuation _BS Csan CPC 02 &lt;SAP&gt;_Pasta5" xfId="8812"/>
    <cellStyle name="s_Valuation _BS Csan CPC 02 &lt;SAP&gt;_Pasta5 2" xfId="8813"/>
    <cellStyle name="s_Valuation _BS Csan CPC 02 &lt;SAP&gt;_Pasta5 2_15-FINANCEIRAS" xfId="8814"/>
    <cellStyle name="s_Valuation _BS Csan CPC 02 &lt;SAP&gt;_Pasta5_15-FINANCEIRAS" xfId="8815"/>
    <cellStyle name="s_Valuation _BS Csan CPC 02 &lt;SAP&gt;_Pasta5_15-FINANCEIRAS_1" xfId="8816"/>
    <cellStyle name="s_Valuation _BS Csan CPC 02 &lt;SAP&gt;_Pasta5_3-Balanço" xfId="8817"/>
    <cellStyle name="s_Valuation _BS Csan CPC 02 &lt;SAP&gt;_Pasta5_3-Balanço 2" xfId="8818"/>
    <cellStyle name="s_Valuation _BS Csan CPC 02 &lt;SAP&gt;_Pasta5_3-Balanço 2_15-FINANCEIRAS" xfId="8819"/>
    <cellStyle name="s_Valuation _BS Csan CPC 02 &lt;SAP&gt;_Pasta5_3-Balanço_1" xfId="8820"/>
    <cellStyle name="s_Valuation _BS Csan CPC 02 &lt;SAP&gt;_Pasta5_3-Balanço_15-FINANCEIRAS" xfId="8821"/>
    <cellStyle name="s_Valuation _BS Csan CPC 02 &lt;SAP&gt;_Pasta5_3-Balanço_15-FINANCEIRAS_1" xfId="8822"/>
    <cellStyle name="s_Valuation _BS Csan CPC 02 &lt;SAP&gt;_Pasta5_3-Balanço_3-Balanço" xfId="8823"/>
    <cellStyle name="s_Valuation _BS Csan CPC 02 &lt;SAP&gt;_Pasta5_3-Balanço_7-Estoque" xfId="8824"/>
    <cellStyle name="s_Valuation _BS Csan CPC 02 &lt;SAP&gt;_Pasta5_7-Estoque" xfId="8825"/>
    <cellStyle name="s_Valuation _BS Csan CPC 02 &lt;SAP&gt;_Pasta5_Balanço" xfId="8826"/>
    <cellStyle name="s_Valuation _BS Csan CPC 02 &lt;SAP&gt;_Plan1" xfId="8827"/>
    <cellStyle name="s_Valuation _BS Csan CPC 02 &lt;SAP&gt;_Plan1 2" xfId="8828"/>
    <cellStyle name="s_Valuation _BS Csan CPC 02 &lt;SAP&gt;_Plan1 2_15-FINANCEIRAS" xfId="8829"/>
    <cellStyle name="s_Valuation _BS Csan CPC 02 &lt;SAP&gt;_Plan1_15-FINANCEIRAS" xfId="8830"/>
    <cellStyle name="s_Valuation _BS Csan CPC 02 &lt;SAP&gt;_Plan1_15-FINANCEIRAS_1" xfId="8831"/>
    <cellStyle name="s_Valuation _BS Csan CPC 02 &lt;SAP&gt;_Plan1_3-Balanço" xfId="8832"/>
    <cellStyle name="s_Valuation _BS Csan CPC 02 &lt;SAP&gt;_Plan1_3-Balanço 2" xfId="8833"/>
    <cellStyle name="s_Valuation _BS Csan CPC 02 &lt;SAP&gt;_Plan1_3-Balanço 2_15-FINANCEIRAS" xfId="8834"/>
    <cellStyle name="s_Valuation _BS Csan CPC 02 &lt;SAP&gt;_Plan1_3-Balanço_1" xfId="8835"/>
    <cellStyle name="s_Valuation _BS Csan CPC 02 &lt;SAP&gt;_Plan1_3-Balanço_15-FINANCEIRAS" xfId="8836"/>
    <cellStyle name="s_Valuation _BS Csan CPC 02 &lt;SAP&gt;_Plan1_3-Balanço_15-FINANCEIRAS_1" xfId="8837"/>
    <cellStyle name="s_Valuation _BS Csan CPC 02 &lt;SAP&gt;_Plan1_3-Balanço_3-Balanço" xfId="8838"/>
    <cellStyle name="s_Valuation _BS Csan CPC 02 &lt;SAP&gt;_Plan1_3-Balanço_7-Estoque" xfId="8839"/>
    <cellStyle name="s_Valuation _BS Csan CPC 02 &lt;SAP&gt;_Plan1_7-Estoque" xfId="8840"/>
    <cellStyle name="s_Valuation _BS Csan CPC 02 &lt;SAP&gt;_Plan1_Balanço" xfId="8841"/>
    <cellStyle name="s_Valuation _BS Csan CPC 02 &lt;SAP&gt;_Plan1_CCL" xfId="8842"/>
    <cellStyle name="s_Valuation _BS Csan CPC 02 &lt;SAP&gt;_Plan1_CCL 2" xfId="8843"/>
    <cellStyle name="s_Valuation _BS Csan CPC 02 &lt;SAP&gt;_Plan1_CCL 2_15-FINANCEIRAS" xfId="8844"/>
    <cellStyle name="s_Valuation _BS Csan CPC 02 &lt;SAP&gt;_Plan1_CCL_15-FINANCEIRAS" xfId="8845"/>
    <cellStyle name="s_Valuation _BS Csan CPC 02 &lt;SAP&gt;_Plan1_CCL_15-FINANCEIRAS_1" xfId="8846"/>
    <cellStyle name="s_Valuation _BS Csan CPC 02 &lt;SAP&gt;_Plan1_CCL_3-Balanço" xfId="8847"/>
    <cellStyle name="s_Valuation _BS Csan CPC 02 &lt;SAP&gt;_Plan1_CCL_3-Balanço 2" xfId="8848"/>
    <cellStyle name="s_Valuation _BS Csan CPC 02 &lt;SAP&gt;_Plan1_CCL_3-Balanço 2_15-FINANCEIRAS" xfId="8849"/>
    <cellStyle name="s_Valuation _BS Csan CPC 02 &lt;SAP&gt;_Plan1_CCL_3-Balanço_1" xfId="8850"/>
    <cellStyle name="s_Valuation _BS Csan CPC 02 &lt;SAP&gt;_Plan1_CCL_3-Balanço_15-FINANCEIRAS" xfId="8851"/>
    <cellStyle name="s_Valuation _BS Csan CPC 02 &lt;SAP&gt;_Plan1_CCL_3-Balanço_15-FINANCEIRAS_1" xfId="8852"/>
    <cellStyle name="s_Valuation _BS Csan CPC 02 &lt;SAP&gt;_Plan1_CCL_3-Balanço_3-Balanço" xfId="8853"/>
    <cellStyle name="s_Valuation _BS Csan CPC 02 &lt;SAP&gt;_Plan1_CCL_3-Balanço_7-Estoque" xfId="8854"/>
    <cellStyle name="s_Valuation _BS Csan CPC 02 &lt;SAP&gt;_Plan1_CCL_7-Estoque" xfId="8855"/>
    <cellStyle name="s_Valuation _BS Csan CPC 02 &lt;SAP&gt;_Plan1_CCL_Balanço" xfId="8856"/>
    <cellStyle name="s_Valuation _BS Csan CPC 02 &lt;SAP&gt;_Plan1_Diferenças outubro CAN- (2)" xfId="8857"/>
    <cellStyle name="s_Valuation _BS Csan CPC 02 &lt;SAP&gt;_Plan1_Diferenças outubro CAN- (2) 2" xfId="8858"/>
    <cellStyle name="s_Valuation _BS Csan CPC 02 &lt;SAP&gt;_Plan1_Diferenças outubro CAN- (2) 2_15-FINANCEIRAS" xfId="8859"/>
    <cellStyle name="s_Valuation _BS Csan CPC 02 &lt;SAP&gt;_Plan1_Diferenças outubro CAN- (2)_15-FINANCEIRAS" xfId="8860"/>
    <cellStyle name="s_Valuation _BS Csan CPC 02 &lt;SAP&gt;_Plan1_Diferenças outubro CAN- (2)_15-FINANCEIRAS_1" xfId="8861"/>
    <cellStyle name="s_Valuation _BS Csan CPC 02 &lt;SAP&gt;_Plan1_Diferenças outubro CAN- (2)_3-Balanço" xfId="8862"/>
    <cellStyle name="s_Valuation _BS Csan CPC 02 &lt;SAP&gt;_Plan1_Diferenças outubro CAN- (2)_3-Balanço 2" xfId="8863"/>
    <cellStyle name="s_Valuation _BS Csan CPC 02 &lt;SAP&gt;_Plan1_Diferenças outubro CAN- (2)_3-Balanço 2_15-FINANCEIRAS" xfId="8864"/>
    <cellStyle name="s_Valuation _BS Csan CPC 02 &lt;SAP&gt;_Plan1_Diferenças outubro CAN- (2)_3-Balanço_1" xfId="8865"/>
    <cellStyle name="s_Valuation _BS Csan CPC 02 &lt;SAP&gt;_Plan1_Diferenças outubro CAN- (2)_3-Balanço_15-FINANCEIRAS" xfId="8866"/>
    <cellStyle name="s_Valuation _BS Csan CPC 02 &lt;SAP&gt;_Plan1_Diferenças outubro CAN- (2)_3-Balanço_15-FINANCEIRAS_1" xfId="8867"/>
    <cellStyle name="s_Valuation _BS Csan CPC 02 &lt;SAP&gt;_Plan1_Diferenças outubro CAN- (2)_3-Balanço_3-Balanço" xfId="8868"/>
    <cellStyle name="s_Valuation _BS Csan CPC 02 &lt;SAP&gt;_Plan1_Diferenças outubro CAN- (2)_3-Balanço_7-Estoque" xfId="8869"/>
    <cellStyle name="s_Valuation _BS Csan CPC 02 &lt;SAP&gt;_Plan1_Diferenças outubro CAN- (2)_7-Estoque" xfId="8870"/>
    <cellStyle name="s_Valuation _BS Csan CPC 02 &lt;SAP&gt;_Plan1_Diferenças outubro CAN- (2)_Balanço" xfId="8871"/>
    <cellStyle name="s_Valuation _BS Csan CPC 02 &lt;SAP&gt;_Plan1_Query C.Custos SF 10-11" xfId="8872"/>
    <cellStyle name="s_Valuation _BS Csan CPC 02 &lt;SAP&gt;_Plan1_Query C.Custos SF 10-11 2" xfId="8873"/>
    <cellStyle name="s_Valuation _BS Csan CPC 02 &lt;SAP&gt;_Plan1_Query C.Custos SF 10-11 2_15-FINANCEIRAS" xfId="8874"/>
    <cellStyle name="s_Valuation _BS Csan CPC 02 &lt;SAP&gt;_Plan1_Query C.Custos SF 10-11_15-FINANCEIRAS" xfId="8875"/>
    <cellStyle name="s_Valuation _BS Csan CPC 02 &lt;SAP&gt;_Plan1_Query C.Custos SF 10-11_15-FINANCEIRAS_1" xfId="8876"/>
    <cellStyle name="s_Valuation _BS Csan CPC 02 &lt;SAP&gt;_Plan1_Query C.Custos SF 10-11_3-Balanço" xfId="8877"/>
    <cellStyle name="s_Valuation _BS Csan CPC 02 &lt;SAP&gt;_Plan1_Query C.Custos SF 10-11_3-Balanço 2" xfId="8878"/>
    <cellStyle name="s_Valuation _BS Csan CPC 02 &lt;SAP&gt;_Plan1_Query C.Custos SF 10-11_3-Balanço 2_15-FINANCEIRAS" xfId="8879"/>
    <cellStyle name="s_Valuation _BS Csan CPC 02 &lt;SAP&gt;_Plan1_Query C.Custos SF 10-11_3-Balanço_1" xfId="8880"/>
    <cellStyle name="s_Valuation _BS Csan CPC 02 &lt;SAP&gt;_Plan1_Query C.Custos SF 10-11_3-Balanço_15-FINANCEIRAS" xfId="8881"/>
    <cellStyle name="s_Valuation _BS Csan CPC 02 &lt;SAP&gt;_Plan1_Query C.Custos SF 10-11_3-Balanço_15-FINANCEIRAS_1" xfId="8882"/>
    <cellStyle name="s_Valuation _BS Csan CPC 02 &lt;SAP&gt;_Plan1_Query C.Custos SF 10-11_3-Balanço_3-Balanço" xfId="8883"/>
    <cellStyle name="s_Valuation _BS Csan CPC 02 &lt;SAP&gt;_Plan1_Query C.Custos SF 10-11_3-Balanço_7-Estoque" xfId="8884"/>
    <cellStyle name="s_Valuation _BS Csan CPC 02 &lt;SAP&gt;_Plan1_Query C.Custos SF 10-11_7-Estoque" xfId="8885"/>
    <cellStyle name="s_Valuation _BS Csan CPC 02 &lt;SAP&gt;_Plan1_Query C.Custos SF 10-11_Balanço" xfId="8886"/>
    <cellStyle name="s_Valuation _BS Csan CPC 02 &lt;SAP&gt;_Plan2" xfId="8887"/>
    <cellStyle name="s_Valuation _BS Csan CPC 02 &lt;SAP&gt;_Plan2 2" xfId="8888"/>
    <cellStyle name="s_Valuation _BS Csan CPC 02 &lt;SAP&gt;_Plan2 2_15-FINANCEIRAS" xfId="8889"/>
    <cellStyle name="s_Valuation _BS Csan CPC 02 &lt;SAP&gt;_Plan2_15-FINANCEIRAS" xfId="8890"/>
    <cellStyle name="s_Valuation _BS Csan CPC 02 &lt;SAP&gt;_Plan2_15-FINANCEIRAS_1" xfId="8891"/>
    <cellStyle name="s_Valuation _BS Csan CPC 02 &lt;SAP&gt;_Plan2_3-Balanço" xfId="8892"/>
    <cellStyle name="s_Valuation _BS Csan CPC 02 &lt;SAP&gt;_Plan2_7-Estoque" xfId="8893"/>
    <cellStyle name="s_Valuation _BS Csan CPC 02 &lt;SAP&gt;_Query C.Custos SF 10-11" xfId="8894"/>
    <cellStyle name="s_Valuation _BS Csan CPC 02 &lt;SAP&gt;_Query C.Custos SF 10-11 2" xfId="8895"/>
    <cellStyle name="s_Valuation _BS Csan CPC 02 &lt;SAP&gt;_Query C.Custos SF 10-11 2_15-FINANCEIRAS" xfId="8896"/>
    <cellStyle name="s_Valuation _BS Csan CPC 02 &lt;SAP&gt;_Query C.Custos SF 10-11_15-FINANCEIRAS" xfId="8897"/>
    <cellStyle name="s_Valuation _BS Csan CPC 02 &lt;SAP&gt;_Query C.Custos SF 10-11_15-FINANCEIRAS_1" xfId="8898"/>
    <cellStyle name="s_Valuation _BS Csan CPC 02 &lt;SAP&gt;_Query C.Custos SF 10-11_3-Balanço" xfId="8899"/>
    <cellStyle name="s_Valuation _BS Csan CPC 02 &lt;SAP&gt;_Query C.Custos SF 10-11_3-Balanço 2" xfId="8900"/>
    <cellStyle name="s_Valuation _BS Csan CPC 02 &lt;SAP&gt;_Query C.Custos SF 10-11_3-Balanço 2_15-FINANCEIRAS" xfId="8901"/>
    <cellStyle name="s_Valuation _BS Csan CPC 02 &lt;SAP&gt;_Query C.Custos SF 10-11_3-Balanço_1" xfId="8902"/>
    <cellStyle name="s_Valuation _BS Csan CPC 02 &lt;SAP&gt;_Query C.Custos SF 10-11_3-Balanço_15-FINANCEIRAS" xfId="8903"/>
    <cellStyle name="s_Valuation _BS Csan CPC 02 &lt;SAP&gt;_Query C.Custos SF 10-11_3-Balanço_15-FINANCEIRAS_1" xfId="8904"/>
    <cellStyle name="s_Valuation _BS Csan CPC 02 &lt;SAP&gt;_Query C.Custos SF 10-11_3-Balanço_3-Balanço" xfId="8905"/>
    <cellStyle name="s_Valuation _BS Csan CPC 02 &lt;SAP&gt;_Query C.Custos SF 10-11_3-Balanço_7-Estoque" xfId="8906"/>
    <cellStyle name="s_Valuation _BS Csan CPC 02 &lt;SAP&gt;_Query C.Custos SF 10-11_7-Estoque" xfId="8907"/>
    <cellStyle name="s_Valuation _BS Csan CPC 02 &lt;SAP&gt;_Query C.Custos SF 10-11_Balanço" xfId="8908"/>
    <cellStyle name="s_Valuation _BS Csan CPC 02 &lt;SAP&gt;_Query C.Custos SF 10-11_CCL" xfId="8909"/>
    <cellStyle name="s_Valuation _BS Csan CPC 02 &lt;SAP&gt;_Query C.Custos SF 10-11_CCL 2" xfId="8910"/>
    <cellStyle name="s_Valuation _BS Csan CPC 02 &lt;SAP&gt;_Query C.Custos SF 10-11_CCL 2_15-FINANCEIRAS" xfId="8911"/>
    <cellStyle name="s_Valuation _BS Csan CPC 02 &lt;SAP&gt;_Query C.Custos SF 10-11_CCL_15-FINANCEIRAS" xfId="8912"/>
    <cellStyle name="s_Valuation _BS Csan CPC 02 &lt;SAP&gt;_Query C.Custos SF 10-11_CCL_15-FINANCEIRAS_1" xfId="8913"/>
    <cellStyle name="s_Valuation _BS Csan CPC 02 &lt;SAP&gt;_Query C.Custos SF 10-11_CCL_3-Balanço" xfId="8914"/>
    <cellStyle name="s_Valuation _BS Csan CPC 02 &lt;SAP&gt;_Query C.Custos SF 10-11_CCL_3-Balanço 2" xfId="8915"/>
    <cellStyle name="s_Valuation _BS Csan CPC 02 &lt;SAP&gt;_Query C.Custos SF 10-11_CCL_3-Balanço 2_15-FINANCEIRAS" xfId="8916"/>
    <cellStyle name="s_Valuation _BS Csan CPC 02 &lt;SAP&gt;_Query C.Custos SF 10-11_CCL_3-Balanço_1" xfId="8917"/>
    <cellStyle name="s_Valuation _BS Csan CPC 02 &lt;SAP&gt;_Query C.Custos SF 10-11_CCL_3-Balanço_15-FINANCEIRAS" xfId="8918"/>
    <cellStyle name="s_Valuation _BS Csan CPC 02 &lt;SAP&gt;_Query C.Custos SF 10-11_CCL_3-Balanço_15-FINANCEIRAS_1" xfId="8919"/>
    <cellStyle name="s_Valuation _BS Csan CPC 02 &lt;SAP&gt;_Query C.Custos SF 10-11_CCL_3-Balanço_3-Balanço" xfId="8920"/>
    <cellStyle name="s_Valuation _BS Csan CPC 02 &lt;SAP&gt;_Query C.Custos SF 10-11_CCL_3-Balanço_7-Estoque" xfId="8921"/>
    <cellStyle name="s_Valuation _BS Csan CPC 02 &lt;SAP&gt;_Query C.Custos SF 10-11_CCL_7-Estoque" xfId="8922"/>
    <cellStyle name="s_Valuation _BS Csan CPC 02 &lt;SAP&gt;_Query C.Custos SF 10-11_CCL_Balanço" xfId="8923"/>
    <cellStyle name="s_Valuation _BS Csan CPC 02 &lt;SAP&gt;_Query C.Custos SF 10-11_Diferenças outubro CAN- (2)" xfId="8924"/>
    <cellStyle name="s_Valuation _BS Csan CPC 02 &lt;SAP&gt;_Query C.Custos SF 10-11_Diferenças outubro CAN- (2) 2" xfId="8925"/>
    <cellStyle name="s_Valuation _BS Csan CPC 02 &lt;SAP&gt;_Query C.Custos SF 10-11_Diferenças outubro CAN- (2) 2_15-FINANCEIRAS" xfId="8926"/>
    <cellStyle name="s_Valuation _BS Csan CPC 02 &lt;SAP&gt;_Query C.Custos SF 10-11_Diferenças outubro CAN- (2)_15-FINANCEIRAS" xfId="8927"/>
    <cellStyle name="s_Valuation _BS Csan CPC 02 &lt;SAP&gt;_Query C.Custos SF 10-11_Diferenças outubro CAN- (2)_15-FINANCEIRAS_1" xfId="8928"/>
    <cellStyle name="s_Valuation _BS Csan CPC 02 &lt;SAP&gt;_Query C.Custos SF 10-11_Diferenças outubro CAN- (2)_3-Balanço" xfId="8929"/>
    <cellStyle name="s_Valuation _BS Csan CPC 02 &lt;SAP&gt;_Query C.Custos SF 10-11_Diferenças outubro CAN- (2)_3-Balanço 2" xfId="8930"/>
    <cellStyle name="s_Valuation _BS Csan CPC 02 &lt;SAP&gt;_Query C.Custos SF 10-11_Diferenças outubro CAN- (2)_3-Balanço 2_15-FINANCEIRAS" xfId="8931"/>
    <cellStyle name="s_Valuation _BS Csan CPC 02 &lt;SAP&gt;_Query C.Custos SF 10-11_Diferenças outubro CAN- (2)_3-Balanço_1" xfId="8932"/>
    <cellStyle name="s_Valuation _BS Csan CPC 02 &lt;SAP&gt;_Query C.Custos SF 10-11_Diferenças outubro CAN- (2)_3-Balanço_15-FINANCEIRAS" xfId="8933"/>
    <cellStyle name="s_Valuation _BS Csan CPC 02 &lt;SAP&gt;_Query C.Custos SF 10-11_Diferenças outubro CAN- (2)_3-Balanço_15-FINANCEIRAS_1" xfId="8934"/>
    <cellStyle name="s_Valuation _BS Csan CPC 02 &lt;SAP&gt;_Query C.Custos SF 10-11_Diferenças outubro CAN- (2)_3-Balanço_3-Balanço" xfId="8935"/>
    <cellStyle name="s_Valuation _BS Csan CPC 02 &lt;SAP&gt;_Query C.Custos SF 10-11_Diferenças outubro CAN- (2)_3-Balanço_7-Estoque" xfId="8936"/>
    <cellStyle name="s_Valuation _BS Csan CPC 02 &lt;SAP&gt;_Query C.Custos SF 10-11_Diferenças outubro CAN- (2)_7-Estoque" xfId="8937"/>
    <cellStyle name="s_Valuation _BS Csan CPC 02 &lt;SAP&gt;_Query C.Custos SF 10-11_Diferenças outubro CAN- (2)_Balanço" xfId="8938"/>
    <cellStyle name="s_Valuation _BS Csan CPC 02 &lt;SAP&gt;_Query C.Custos SF 10-11_Query C.Custos SF 10-11" xfId="8939"/>
    <cellStyle name="s_Valuation _BS Csan CPC 02 &lt;SAP&gt;_Query C.Custos SF 10-11_Query C.Custos SF 10-11 2" xfId="8940"/>
    <cellStyle name="s_Valuation _BS Csan CPC 02 &lt;SAP&gt;_Query C.Custos SF 10-11_Query C.Custos SF 10-11 2_15-FINANCEIRAS" xfId="8941"/>
    <cellStyle name="s_Valuation _BS Csan CPC 02 &lt;SAP&gt;_Query C.Custos SF 10-11_Query C.Custos SF 10-11_15-FINANCEIRAS" xfId="8942"/>
    <cellStyle name="s_Valuation _BS Csan CPC 02 &lt;SAP&gt;_Query C.Custos SF 10-11_Query C.Custos SF 10-11_15-FINANCEIRAS_1" xfId="8943"/>
    <cellStyle name="s_Valuation _BS Csan CPC 02 &lt;SAP&gt;_Query C.Custos SF 10-11_Query C.Custos SF 10-11_3-Balanço" xfId="8944"/>
    <cellStyle name="s_Valuation _BS Csan CPC 02 &lt;SAP&gt;_Query C.Custos SF 10-11_Query C.Custos SF 10-11_3-Balanço 2" xfId="8945"/>
    <cellStyle name="s_Valuation _BS Csan CPC 02 &lt;SAP&gt;_Query C.Custos SF 10-11_Query C.Custos SF 10-11_3-Balanço 2_15-FINANCEIRAS" xfId="8946"/>
    <cellStyle name="s_Valuation _BS Csan CPC 02 &lt;SAP&gt;_Query C.Custos SF 10-11_Query C.Custos SF 10-11_3-Balanço_1" xfId="8947"/>
    <cellStyle name="s_Valuation _BS Csan CPC 02 &lt;SAP&gt;_Query C.Custos SF 10-11_Query C.Custos SF 10-11_3-Balanço_15-FINANCEIRAS" xfId="8948"/>
    <cellStyle name="s_Valuation _BS Csan CPC 02 &lt;SAP&gt;_Query C.Custos SF 10-11_Query C.Custos SF 10-11_3-Balanço_15-FINANCEIRAS_1" xfId="8949"/>
    <cellStyle name="s_Valuation _BS Csan CPC 02 &lt;SAP&gt;_Query C.Custos SF 10-11_Query C.Custos SF 10-11_3-Balanço_3-Balanço" xfId="8950"/>
    <cellStyle name="s_Valuation _BS Csan CPC 02 &lt;SAP&gt;_Query C.Custos SF 10-11_Query C.Custos SF 10-11_3-Balanço_7-Estoque" xfId="8951"/>
    <cellStyle name="s_Valuation _BS Csan CPC 02 &lt;SAP&gt;_Query C.Custos SF 10-11_Query C.Custos SF 10-11_7-Estoque" xfId="8952"/>
    <cellStyle name="s_Valuation _BS Csan CPC 02 &lt;SAP&gt;_Query C.Custos SF 10-11_Query C.Custos SF 10-11_Balanço" xfId="8953"/>
    <cellStyle name="s_Valuation _BS Csan CPC 02 &lt;SAP&gt;_Res.Cont. AdmComLog" xfId="8954"/>
    <cellStyle name="s_Valuation _BS Csan CPC 02 &lt;SAP&gt;_Res.Cont. AdmComLog 2" xfId="8955"/>
    <cellStyle name="s_Valuation _BS Csan CPC 02 &lt;SAP&gt;_Res.Cont. AdmComLog 2_15-FINANCEIRAS" xfId="8956"/>
    <cellStyle name="s_Valuation _BS Csan CPC 02 &lt;SAP&gt;_Res.Cont. AdmComLog_15-FINANCEIRAS" xfId="8957"/>
    <cellStyle name="s_Valuation _BS Csan CPC 02 &lt;SAP&gt;_Res.Cont. AdmComLog_15-FINANCEIRAS_1" xfId="8958"/>
    <cellStyle name="s_Valuation _BS Csan CPC 02 &lt;SAP&gt;_Res.Cont. AdmComLog_3-Balanço" xfId="8959"/>
    <cellStyle name="s_Valuation _BS Csan CPC 02 &lt;SAP&gt;_Res.Cont. AdmComLog_3-Balanço 2" xfId="8960"/>
    <cellStyle name="s_Valuation _BS Csan CPC 02 &lt;SAP&gt;_Res.Cont. AdmComLog_3-Balanço 2_15-FINANCEIRAS" xfId="8961"/>
    <cellStyle name="s_Valuation _BS Csan CPC 02 &lt;SAP&gt;_Res.Cont. AdmComLog_3-Balanço_1" xfId="8962"/>
    <cellStyle name="s_Valuation _BS Csan CPC 02 &lt;SAP&gt;_Res.Cont. AdmComLog_3-Balanço_15-FINANCEIRAS" xfId="8963"/>
    <cellStyle name="s_Valuation _BS Csan CPC 02 &lt;SAP&gt;_Res.Cont. AdmComLog_3-Balanço_15-FINANCEIRAS_1" xfId="8964"/>
    <cellStyle name="s_Valuation _BS Csan CPC 02 &lt;SAP&gt;_Res.Cont. AdmComLog_3-Balanço_3-Balanço" xfId="8965"/>
    <cellStyle name="s_Valuation _BS Csan CPC 02 &lt;SAP&gt;_Res.Cont. AdmComLog_3-Balanço_7-Estoque" xfId="8966"/>
    <cellStyle name="s_Valuation _BS Csan CPC 02 &lt;SAP&gt;_Res.Cont. AdmComLog_7-Estoque" xfId="8967"/>
    <cellStyle name="s_Valuation _BS Csan CPC 02 &lt;SAP&gt;_Res.Cont. AdmComLog_Balanço" xfId="8968"/>
    <cellStyle name="s_Valuation _BS Csan CPC 02 &lt;SAP&gt;_Res.Cont. AdmComLog_CCL" xfId="8969"/>
    <cellStyle name="s_Valuation _BS Csan CPC 02 &lt;SAP&gt;_Res.Cont. AdmComLog_CCL 2" xfId="8970"/>
    <cellStyle name="s_Valuation _BS Csan CPC 02 &lt;SAP&gt;_Res.Cont. AdmComLog_CCL 2_15-FINANCEIRAS" xfId="8971"/>
    <cellStyle name="s_Valuation _BS Csan CPC 02 &lt;SAP&gt;_Res.Cont. AdmComLog_CCL_15-FINANCEIRAS" xfId="8972"/>
    <cellStyle name="s_Valuation _BS Csan CPC 02 &lt;SAP&gt;_Res.Cont. AdmComLog_CCL_15-FINANCEIRAS_1" xfId="8973"/>
    <cellStyle name="s_Valuation _BS Csan CPC 02 &lt;SAP&gt;_Res.Cont. AdmComLog_CCL_3-Balanço" xfId="8974"/>
    <cellStyle name="s_Valuation _BS Csan CPC 02 &lt;SAP&gt;_Res.Cont. AdmComLog_CCL_3-Balanço 2" xfId="8975"/>
    <cellStyle name="s_Valuation _BS Csan CPC 02 &lt;SAP&gt;_Res.Cont. AdmComLog_CCL_3-Balanço 2_15-FINANCEIRAS" xfId="8976"/>
    <cellStyle name="s_Valuation _BS Csan CPC 02 &lt;SAP&gt;_Res.Cont. AdmComLog_CCL_3-Balanço_1" xfId="8977"/>
    <cellStyle name="s_Valuation _BS Csan CPC 02 &lt;SAP&gt;_Res.Cont. AdmComLog_CCL_3-Balanço_15-FINANCEIRAS" xfId="8978"/>
    <cellStyle name="s_Valuation _BS Csan CPC 02 &lt;SAP&gt;_Res.Cont. AdmComLog_CCL_3-Balanço_15-FINANCEIRAS_1" xfId="8979"/>
    <cellStyle name="s_Valuation _BS Csan CPC 02 &lt;SAP&gt;_Res.Cont. AdmComLog_CCL_3-Balanço_3-Balanço" xfId="8980"/>
    <cellStyle name="s_Valuation _BS Csan CPC 02 &lt;SAP&gt;_Res.Cont. AdmComLog_CCL_3-Balanço_7-Estoque" xfId="8981"/>
    <cellStyle name="s_Valuation _BS Csan CPC 02 &lt;SAP&gt;_Res.Cont. AdmComLog_CCL_7-Estoque" xfId="8982"/>
    <cellStyle name="s_Valuation _BS Csan CPC 02 &lt;SAP&gt;_Res.Cont. AdmComLog_CCL_Balanço" xfId="8983"/>
    <cellStyle name="s_Valuation _BS Csan CPC 02 &lt;SAP&gt;_Res.Cont. AdmComLog_Diferenças outubro CAN- (2)" xfId="8984"/>
    <cellStyle name="s_Valuation _BS Csan CPC 02 &lt;SAP&gt;_Res.Cont. AdmComLog_Diferenças outubro CAN- (2) 2" xfId="8985"/>
    <cellStyle name="s_Valuation _BS Csan CPC 02 &lt;SAP&gt;_Res.Cont. AdmComLog_Diferenças outubro CAN- (2) 2_15-FINANCEIRAS" xfId="8986"/>
    <cellStyle name="s_Valuation _BS Csan CPC 02 &lt;SAP&gt;_Res.Cont. AdmComLog_Diferenças outubro CAN- (2)_15-FINANCEIRAS" xfId="8987"/>
    <cellStyle name="s_Valuation _BS Csan CPC 02 &lt;SAP&gt;_Res.Cont. AdmComLog_Diferenças outubro CAN- (2)_15-FINANCEIRAS_1" xfId="8988"/>
    <cellStyle name="s_Valuation _BS Csan CPC 02 &lt;SAP&gt;_Res.Cont. AdmComLog_Diferenças outubro CAN- (2)_3-Balanço" xfId="8989"/>
    <cellStyle name="s_Valuation _BS Csan CPC 02 &lt;SAP&gt;_Res.Cont. AdmComLog_Diferenças outubro CAN- (2)_3-Balanço 2" xfId="8990"/>
    <cellStyle name="s_Valuation _BS Csan CPC 02 &lt;SAP&gt;_Res.Cont. AdmComLog_Diferenças outubro CAN- (2)_3-Balanço 2_15-FINANCEIRAS" xfId="8991"/>
    <cellStyle name="s_Valuation _BS Csan CPC 02 &lt;SAP&gt;_Res.Cont. AdmComLog_Diferenças outubro CAN- (2)_3-Balanço_1" xfId="8992"/>
    <cellStyle name="s_Valuation _BS Csan CPC 02 &lt;SAP&gt;_Res.Cont. AdmComLog_Diferenças outubro CAN- (2)_3-Balanço_15-FINANCEIRAS" xfId="8993"/>
    <cellStyle name="s_Valuation _BS Csan CPC 02 &lt;SAP&gt;_Res.Cont. AdmComLog_Diferenças outubro CAN- (2)_3-Balanço_15-FINANCEIRAS_1" xfId="8994"/>
    <cellStyle name="s_Valuation _BS Csan CPC 02 &lt;SAP&gt;_Res.Cont. AdmComLog_Diferenças outubro CAN- (2)_3-Balanço_3-Balanço" xfId="8995"/>
    <cellStyle name="s_Valuation _BS Csan CPC 02 &lt;SAP&gt;_Res.Cont. AdmComLog_Diferenças outubro CAN- (2)_3-Balanço_7-Estoque" xfId="8996"/>
    <cellStyle name="s_Valuation _BS Csan CPC 02 &lt;SAP&gt;_Res.Cont. AdmComLog_Diferenças outubro CAN- (2)_7-Estoque" xfId="8997"/>
    <cellStyle name="s_Valuation _BS Csan CPC 02 &lt;SAP&gt;_Res.Cont. AdmComLog_Diferenças outubro CAN- (2)_Balanço" xfId="8998"/>
    <cellStyle name="s_Valuation _BS Csan CPC 02 &lt;SAP&gt;_Res.Cont. AdmComLog_Query C.Custos SF 10-11" xfId="8999"/>
    <cellStyle name="s_Valuation _BS Csan CPC 02 &lt;SAP&gt;_Res.Cont. AdmComLog_Query C.Custos SF 10-11 2" xfId="9000"/>
    <cellStyle name="s_Valuation _BS Csan CPC 02 &lt;SAP&gt;_Res.Cont. AdmComLog_Query C.Custos SF 10-11 2_15-FINANCEIRAS" xfId="9001"/>
    <cellStyle name="s_Valuation _BS Csan CPC 02 &lt;SAP&gt;_Res.Cont. AdmComLog_Query C.Custos SF 10-11_15-FINANCEIRAS" xfId="9002"/>
    <cellStyle name="s_Valuation _BS Csan CPC 02 &lt;SAP&gt;_Res.Cont. AdmComLog_Query C.Custos SF 10-11_15-FINANCEIRAS_1" xfId="9003"/>
    <cellStyle name="s_Valuation _BS Csan CPC 02 &lt;SAP&gt;_Res.Cont. AdmComLog_Query C.Custos SF 10-11_3-Balanço" xfId="9004"/>
    <cellStyle name="s_Valuation _BS Csan CPC 02 &lt;SAP&gt;_Res.Cont. AdmComLog_Query C.Custos SF 10-11_3-Balanço 2" xfId="9005"/>
    <cellStyle name="s_Valuation _BS Csan CPC 02 &lt;SAP&gt;_Res.Cont. AdmComLog_Query C.Custos SF 10-11_3-Balanço 2_15-FINANCEIRAS" xfId="9006"/>
    <cellStyle name="s_Valuation _BS Csan CPC 02 &lt;SAP&gt;_Res.Cont. AdmComLog_Query C.Custos SF 10-11_3-Balanço_1" xfId="9007"/>
    <cellStyle name="s_Valuation _BS Csan CPC 02 &lt;SAP&gt;_Res.Cont. AdmComLog_Query C.Custos SF 10-11_3-Balanço_15-FINANCEIRAS" xfId="9008"/>
    <cellStyle name="s_Valuation _BS Csan CPC 02 &lt;SAP&gt;_Res.Cont. AdmComLog_Query C.Custos SF 10-11_3-Balanço_15-FINANCEIRAS_1" xfId="9009"/>
    <cellStyle name="s_Valuation _BS Csan CPC 02 &lt;SAP&gt;_Res.Cont. AdmComLog_Query C.Custos SF 10-11_3-Balanço_3-Balanço" xfId="9010"/>
    <cellStyle name="s_Valuation _BS Csan CPC 02 &lt;SAP&gt;_Res.Cont. AdmComLog_Query C.Custos SF 10-11_3-Balanço_7-Estoque" xfId="9011"/>
    <cellStyle name="s_Valuation _BS Csan CPC 02 &lt;SAP&gt;_Res.Cont. AdmComLog_Query C.Custos SF 10-11_7-Estoque" xfId="9012"/>
    <cellStyle name="s_Valuation _BS Csan CPC 02 &lt;SAP&gt;_Res.Cont. AdmComLog_Query C.Custos SF 10-11_Balanço" xfId="9013"/>
    <cellStyle name="s_Valuation _BS Csan CPC 02 &lt;SAP&gt;_Verificar - 13-Comerciais" xfId="9014"/>
    <cellStyle name="s_Valuation _BS Csan CPC 02 &lt;SAP&gt;_Verificar - 13-Comerciais 2" xfId="9015"/>
    <cellStyle name="s_Valuation _BS Csan CPC 02 &lt;SAP&gt;_Verificar - 13-Comerciais 2_15-FINANCEIRAS" xfId="9016"/>
    <cellStyle name="s_Valuation _BS Csan CPC 02 &lt;SAP&gt;_Verificar - 13-Comerciais_15-FINANCEIRAS" xfId="9017"/>
    <cellStyle name="s_Valuation _BS Csan CPC 02 &lt;SAP&gt;_Verificar - 13-Comerciais_15-FINANCEIRAS_1" xfId="9018"/>
    <cellStyle name="s_Valuation _BS Csan CPC 02 &lt;SAP&gt;_Verificar - 13-Comerciais_3-Balanço" xfId="9019"/>
    <cellStyle name="s_Valuation _Caixa restrito" xfId="9020"/>
    <cellStyle name="s_Valuation _Caixa restrito_7-Estoque" xfId="9021"/>
    <cellStyle name="s_Valuation _Centro de Lucros 2010" xfId="9022"/>
    <cellStyle name="s_Valuation _Centro de Lucros 2010 2" xfId="9023"/>
    <cellStyle name="s_Valuation _Centro de Lucros 2010 2_15-FINANCEIRAS" xfId="9024"/>
    <cellStyle name="s_Valuation _Centro de Lucros 2010_15-FINANCEIRAS" xfId="9025"/>
    <cellStyle name="s_Valuation _Centro de Lucros 2010_15-FINANCEIRAS_1" xfId="9026"/>
    <cellStyle name="s_Valuation _Centro de Lucros 2010_3-Balanço" xfId="9027"/>
    <cellStyle name="s_Valuation _Centro de Lucros 2010_3-Balanço 2" xfId="9028"/>
    <cellStyle name="s_Valuation _Centro de Lucros 2010_3-Balanço 2_15-FINANCEIRAS" xfId="9029"/>
    <cellStyle name="s_Valuation _Centro de Lucros 2010_3-Balanço_1" xfId="9030"/>
    <cellStyle name="s_Valuation _Centro de Lucros 2010_3-Balanço_15-FINANCEIRAS" xfId="9031"/>
    <cellStyle name="s_Valuation _Centro de Lucros 2010_3-Balanço_15-FINANCEIRAS_1" xfId="9032"/>
    <cellStyle name="s_Valuation _Centro de Lucros 2010_3-Balanço_3-Balanço" xfId="9033"/>
    <cellStyle name="s_Valuation _Centro de Lucros 2010_3-Balanço_7-Estoque" xfId="9034"/>
    <cellStyle name="s_Valuation _Centro de Lucros 2010_7-Estoque" xfId="9035"/>
    <cellStyle name="s_Valuation _Centro de Lucros 2010_Balanço" xfId="9036"/>
    <cellStyle name="s_Valuation _Cosan" xfId="9037"/>
    <cellStyle name="s_Valuation _Cosan 2" xfId="9038"/>
    <cellStyle name="s_Valuation _Cosan 2 2" xfId="9039"/>
    <cellStyle name="s_Valuation _Cosan 2 2_15-FINANCEIRAS" xfId="9040"/>
    <cellStyle name="s_Valuation _Cosan 2_15-FINANCEIRAS" xfId="9041"/>
    <cellStyle name="s_Valuation _Cosan 2_15-FINANCEIRAS_1" xfId="9042"/>
    <cellStyle name="s_Valuation _Cosan 2_3-Balanço" xfId="9043"/>
    <cellStyle name="s_Valuation _Cosan 2_7-Estoque" xfId="9044"/>
    <cellStyle name="s_Valuation _Cosan 3" xfId="9045"/>
    <cellStyle name="s_Valuation _Cosan 3 2" xfId="9046"/>
    <cellStyle name="s_Valuation _Cosan 3 2_15-FINANCEIRAS" xfId="9047"/>
    <cellStyle name="s_Valuation _Cosan 3_15-FINANCEIRAS" xfId="9048"/>
    <cellStyle name="s_Valuation _Cosan 3_15-FINANCEIRAS_1" xfId="9049"/>
    <cellStyle name="s_Valuation _Cosan 3_3-Balanço" xfId="9050"/>
    <cellStyle name="s_Valuation _Cosan 3_7-Estoque" xfId="9051"/>
    <cellStyle name="s_Valuation _Cosan 4" xfId="9052"/>
    <cellStyle name="s_Valuation _Cosan 4 2" xfId="9053"/>
    <cellStyle name="s_Valuation _Cosan 4 2_15-FINANCEIRAS" xfId="9054"/>
    <cellStyle name="s_Valuation _Cosan 4_15-FINANCEIRAS" xfId="9055"/>
    <cellStyle name="s_Valuation _Cosan 4_15-FINANCEIRAS_1" xfId="9056"/>
    <cellStyle name="s_Valuation _Cosan 4_3-Balanço" xfId="9057"/>
    <cellStyle name="s_Valuation _Cosan 5" xfId="9058"/>
    <cellStyle name="s_Valuation _Cosan 5_15-FINANCEIRAS" xfId="9059"/>
    <cellStyle name="s_Valuation _Cosan Passivo" xfId="9060"/>
    <cellStyle name="s_Valuation _Cosan Passivo 2" xfId="9061"/>
    <cellStyle name="s_Valuation _Cosan Passivo 2 2" xfId="9062"/>
    <cellStyle name="s_Valuation _Cosan Passivo 2 2_15-FINANCEIRAS" xfId="9063"/>
    <cellStyle name="s_Valuation _Cosan Passivo 2_15-FINANCEIRAS" xfId="9064"/>
    <cellStyle name="s_Valuation _Cosan Passivo 2_15-FINANCEIRAS_1" xfId="9065"/>
    <cellStyle name="s_Valuation _Cosan Passivo 2_3-Balanço" xfId="9066"/>
    <cellStyle name="s_Valuation _Cosan Passivo 2_7-Estoque" xfId="9067"/>
    <cellStyle name="s_Valuation _Cosan Passivo 3" xfId="9068"/>
    <cellStyle name="s_Valuation _Cosan Passivo 3 2" xfId="9069"/>
    <cellStyle name="s_Valuation _Cosan Passivo 3 2_15-FINANCEIRAS" xfId="9070"/>
    <cellStyle name="s_Valuation _Cosan Passivo 3_15-FINANCEIRAS" xfId="9071"/>
    <cellStyle name="s_Valuation _Cosan Passivo 3_15-FINANCEIRAS_1" xfId="9072"/>
    <cellStyle name="s_Valuation _Cosan Passivo 3_3-Balanço" xfId="9073"/>
    <cellStyle name="s_Valuation _Cosan Passivo 3_7-Estoque" xfId="9074"/>
    <cellStyle name="s_Valuation _Cosan Passivo 4" xfId="9075"/>
    <cellStyle name="s_Valuation _Cosan Passivo 4 2" xfId="9076"/>
    <cellStyle name="s_Valuation _Cosan Passivo 4 2_15-FINANCEIRAS" xfId="9077"/>
    <cellStyle name="s_Valuation _Cosan Passivo 4_15-FINANCEIRAS" xfId="9078"/>
    <cellStyle name="s_Valuation _Cosan Passivo 4_15-FINANCEIRAS_1" xfId="9079"/>
    <cellStyle name="s_Valuation _Cosan Passivo 4_3-Balanço" xfId="9080"/>
    <cellStyle name="s_Valuation _Cosan Passivo 5" xfId="9081"/>
    <cellStyle name="s_Valuation _Cosan Passivo 5_15-FINANCEIRAS" xfId="9082"/>
    <cellStyle name="s_Valuation _Cosan Passivo_15-FINANCEIRAS" xfId="9083"/>
    <cellStyle name="s_Valuation _Cosan Passivo_15-FINANCEIRAS_1" xfId="9084"/>
    <cellStyle name="s_Valuation _Cosan Passivo_26_Instrumentos Financeiros" xfId="9085"/>
    <cellStyle name="s_Valuation _Cosan Passivo_26_Instrumentos Financeiros 2" xfId="9086"/>
    <cellStyle name="s_Valuation _Cosan Passivo_26_Instrumentos Financeiros 2_15-FINANCEIRAS" xfId="9087"/>
    <cellStyle name="s_Valuation _Cosan Passivo_26_Instrumentos Financeiros_1" xfId="9088"/>
    <cellStyle name="s_Valuation _Cosan Passivo_26_Instrumentos Financeiros_1 2" xfId="9089"/>
    <cellStyle name="s_Valuation _Cosan Passivo_26_Instrumentos Financeiros_1 2_15-FINANCEIRAS" xfId="9090"/>
    <cellStyle name="s_Valuation _Cosan Passivo_26_Instrumentos Financeiros_1_15-FINANCEIRAS" xfId="9091"/>
    <cellStyle name="s_Valuation _Cosan Passivo_26_Instrumentos Financeiros_1_15-FINANCEIRAS_1" xfId="9092"/>
    <cellStyle name="s_Valuation _Cosan Passivo_26_Instrumentos Financeiros_1_3-Balanço" xfId="9093"/>
    <cellStyle name="s_Valuation _Cosan Passivo_26_Instrumentos Financeiros_1_7-Estoque" xfId="9094"/>
    <cellStyle name="s_Valuation _Cosan Passivo_26_Instrumentos Financeiros_15-FINANCEIRAS" xfId="9095"/>
    <cellStyle name="s_Valuation _Cosan Passivo_26_Instrumentos Financeiros_15-FINANCEIRAS_1" xfId="9096"/>
    <cellStyle name="s_Valuation _Cosan Passivo_26_Instrumentos Financeiros_3-Balanço" xfId="9097"/>
    <cellStyle name="s_Valuation _Cosan Passivo_26_Instrumentos Financeiros_7-Estoque" xfId="9098"/>
    <cellStyle name="s_Valuation _Cosan Passivo_2-DRE" xfId="9099"/>
    <cellStyle name="s_Valuation _Cosan Passivo_2-DRE 2" xfId="9100"/>
    <cellStyle name="s_Valuation _Cosan Passivo_2-DRE 2_15-FINANCEIRAS" xfId="9101"/>
    <cellStyle name="s_Valuation _Cosan Passivo_2-DRE_15-FINANCEIRAS" xfId="9102"/>
    <cellStyle name="s_Valuation _Cosan Passivo_2-DRE_15-FINANCEIRAS_1" xfId="9103"/>
    <cellStyle name="s_Valuation _Cosan Passivo_2-DRE_3-Balanço" xfId="9104"/>
    <cellStyle name="s_Valuation _Cosan Passivo_2-DRE_7-Estoque" xfId="9105"/>
    <cellStyle name="s_Valuation _Cosan Passivo_3-Balanço" xfId="9106"/>
    <cellStyle name="s_Valuation _Cosan Passivo_3-Balanço 2" xfId="9107"/>
    <cellStyle name="s_Valuation _Cosan Passivo_3-Balanço 2_15-FINANCEIRAS" xfId="9108"/>
    <cellStyle name="s_Valuation _Cosan Passivo_3-Balanço_1" xfId="9109"/>
    <cellStyle name="s_Valuation _Cosan Passivo_3-Balanço_1 2" xfId="9110"/>
    <cellStyle name="s_Valuation _Cosan Passivo_3-Balanço_1 2_15-FINANCEIRAS" xfId="9111"/>
    <cellStyle name="s_Valuation _Cosan Passivo_3-Balanço_1_15-FINANCEIRAS" xfId="9112"/>
    <cellStyle name="s_Valuation _Cosan Passivo_3-Balanço_1_15-FINANCEIRAS_1" xfId="9113"/>
    <cellStyle name="s_Valuation _Cosan Passivo_3-Balanço_1_3-Balanço" xfId="9114"/>
    <cellStyle name="s_Valuation _Cosan Passivo_3-Balanço_1_7-Estoque" xfId="9115"/>
    <cellStyle name="s_Valuation _Cosan Passivo_3-Balanço_15-FINANCEIRAS" xfId="9116"/>
    <cellStyle name="s_Valuation _Cosan Passivo_3-Balanço_15-FINANCEIRAS_1" xfId="9117"/>
    <cellStyle name="s_Valuation _Cosan Passivo_3-Balanço_2" xfId="9118"/>
    <cellStyle name="s_Valuation _Cosan Passivo_3-Balanço_3-Balanço" xfId="9119"/>
    <cellStyle name="s_Valuation _Cosan Passivo_3-Balanço_7-Estoque" xfId="9120"/>
    <cellStyle name="s_Valuation _Cosan Passivo_4-DMPL" xfId="9121"/>
    <cellStyle name="s_Valuation _Cosan Passivo_4-DMPL 2" xfId="9122"/>
    <cellStyle name="s_Valuation _Cosan Passivo_4-DMPL 2_15-FINANCEIRAS" xfId="9123"/>
    <cellStyle name="s_Valuation _Cosan Passivo_4-DMPL_15-FINANCEIRAS" xfId="9124"/>
    <cellStyle name="s_Valuation _Cosan Passivo_4-DMPL_15-FINANCEIRAS_1" xfId="9125"/>
    <cellStyle name="s_Valuation _Cosan Passivo_4-DMPL_3-Balanço" xfId="9126"/>
    <cellStyle name="s_Valuation _Cosan Passivo_7-Estoque" xfId="9127"/>
    <cellStyle name="s_Valuation _Cosan Passivo_8-Impostos" xfId="9128"/>
    <cellStyle name="s_Valuation _Cosan Passivo_8-Impostos 2" xfId="9129"/>
    <cellStyle name="s_Valuation _Cosan Passivo_8-Impostos 2_15-FINANCEIRAS" xfId="9130"/>
    <cellStyle name="s_Valuation _Cosan Passivo_8-Impostos_15-FINANCEIRAS" xfId="9131"/>
    <cellStyle name="s_Valuation _Cosan Passivo_8-Impostos_15-FINANCEIRAS_1" xfId="9132"/>
    <cellStyle name="s_Valuation _Cosan Passivo_8-Impostos_3-Balanço" xfId="9133"/>
    <cellStyle name="s_Valuation _Cosan Passivo_Acerto FV e Ajustes Manuais" xfId="9134"/>
    <cellStyle name="s_Valuation _Cosan Passivo_Balanço" xfId="9135"/>
    <cellStyle name="s_Valuation _Cosan Passivo_Caixa restrito" xfId="9136"/>
    <cellStyle name="s_Valuation _Cosan Passivo_Caixa restrito_7-Estoque" xfId="9137"/>
    <cellStyle name="s_Valuation _Cosan Passivo_COSAN SA CONSOLID_MÊS" xfId="9138"/>
    <cellStyle name="s_Valuation _Cosan Passivo_Display" xfId="9139"/>
    <cellStyle name="s_Valuation _Cosan Passivo_Display 2" xfId="9140"/>
    <cellStyle name="s_Valuation _Cosan Passivo_Display 2_15-FINANCEIRAS" xfId="9141"/>
    <cellStyle name="s_Valuation _Cosan Passivo_Display_15-FINANCEIRAS" xfId="9142"/>
    <cellStyle name="s_Valuation _Cosan Passivo_Display_15-FINANCEIRAS_1" xfId="9143"/>
    <cellStyle name="s_Valuation _Cosan Passivo_Display_3-Balanço" xfId="9144"/>
    <cellStyle name="s_Valuation _Cosan Passivo_Display_7-Estoque" xfId="9145"/>
    <cellStyle name="s_Valuation _Cosan Passivo_Instrumentos Financeiros" xfId="9146"/>
    <cellStyle name="s_Valuation _Cosan Passivo_Instrumentos Financeiros 2" xfId="9147"/>
    <cellStyle name="s_Valuation _Cosan Passivo_Instrumentos Financeiros 2_15-FINANCEIRAS" xfId="9148"/>
    <cellStyle name="s_Valuation _Cosan Passivo_Instrumentos Financeiros_15-FINANCEIRAS" xfId="9149"/>
    <cellStyle name="s_Valuation _Cosan Passivo_Instrumentos Financeiros_15-FINANCEIRAS_1" xfId="9150"/>
    <cellStyle name="s_Valuation _Cosan Passivo_Instrumentos Financeiros_3-Balanço" xfId="9151"/>
    <cellStyle name="s_Valuation _Cosan Passivo_Instrumentos Financeiros_7-Estoque" xfId="9152"/>
    <cellStyle name="s_Valuation _Cosan Passivo_Mapa 3T12" xfId="9153"/>
    <cellStyle name="s_Valuation _Cosan Passivo_Mapa 3T12 2" xfId="9154"/>
    <cellStyle name="s_Valuation _Cosan Passivo_Mapa 3T12 2_15-FINANCEIRAS" xfId="9155"/>
    <cellStyle name="s_Valuation _Cosan Passivo_Mapa 3T12_15-FINANCEIRAS" xfId="9156"/>
    <cellStyle name="s_Valuation _Cosan Passivo_Mapa 3T12_15-FINANCEIRAS_1" xfId="9157"/>
    <cellStyle name="s_Valuation _Cosan Passivo_Mapa 3T12_3-Balanço" xfId="9158"/>
    <cellStyle name="s_Valuation _Cosan Passivo_Plan2" xfId="9159"/>
    <cellStyle name="s_Valuation _Cosan Passivo_Plan2 2" xfId="9160"/>
    <cellStyle name="s_Valuation _Cosan Passivo_Plan2 2_15-FINANCEIRAS" xfId="9161"/>
    <cellStyle name="s_Valuation _Cosan Passivo_Plan2_15-FINANCEIRAS" xfId="9162"/>
    <cellStyle name="s_Valuation _Cosan Passivo_Plan2_15-FINANCEIRAS_1" xfId="9163"/>
    <cellStyle name="s_Valuation _Cosan Passivo_Plan2_3-Balanço" xfId="9164"/>
    <cellStyle name="s_Valuation _Cosan Passivo_Plan2_7-Estoque" xfId="9165"/>
    <cellStyle name="s_Valuation _COSAN SA CONSOLID_MÊS" xfId="9166"/>
    <cellStyle name="s_Valuation _Cosan_15-FINANCEIRAS" xfId="9167"/>
    <cellStyle name="s_Valuation _Cosan_15-FINANCEIRAS_1" xfId="9168"/>
    <cellStyle name="s_Valuation _Cosan_26_Instrumentos Financeiros" xfId="9169"/>
    <cellStyle name="s_Valuation _Cosan_26_Instrumentos Financeiros 2" xfId="9170"/>
    <cellStyle name="s_Valuation _Cosan_26_Instrumentos Financeiros 2_15-FINANCEIRAS" xfId="9171"/>
    <cellStyle name="s_Valuation _Cosan_26_Instrumentos Financeiros_1" xfId="9172"/>
    <cellStyle name="s_Valuation _Cosan_26_Instrumentos Financeiros_1 2" xfId="9173"/>
    <cellStyle name="s_Valuation _Cosan_26_Instrumentos Financeiros_1 2_15-FINANCEIRAS" xfId="9174"/>
    <cellStyle name="s_Valuation _Cosan_26_Instrumentos Financeiros_1_15-FINANCEIRAS" xfId="9175"/>
    <cellStyle name="s_Valuation _Cosan_26_Instrumentos Financeiros_1_15-FINANCEIRAS_1" xfId="9176"/>
    <cellStyle name="s_Valuation _Cosan_26_Instrumentos Financeiros_1_3-Balanço" xfId="9177"/>
    <cellStyle name="s_Valuation _Cosan_26_Instrumentos Financeiros_1_7-Estoque" xfId="9178"/>
    <cellStyle name="s_Valuation _Cosan_26_Instrumentos Financeiros_15-FINANCEIRAS" xfId="9179"/>
    <cellStyle name="s_Valuation _Cosan_26_Instrumentos Financeiros_15-FINANCEIRAS_1" xfId="9180"/>
    <cellStyle name="s_Valuation _Cosan_26_Instrumentos Financeiros_3-Balanço" xfId="9181"/>
    <cellStyle name="s_Valuation _Cosan_26_Instrumentos Financeiros_7-Estoque" xfId="9182"/>
    <cellStyle name="s_Valuation _Cosan_2-DRE" xfId="9183"/>
    <cellStyle name="s_Valuation _Cosan_2-DRE 2" xfId="9184"/>
    <cellStyle name="s_Valuation _Cosan_2-DRE 2_15-FINANCEIRAS" xfId="9185"/>
    <cellStyle name="s_Valuation _Cosan_2-DRE_15-FINANCEIRAS" xfId="9186"/>
    <cellStyle name="s_Valuation _Cosan_2-DRE_15-FINANCEIRAS_1" xfId="9187"/>
    <cellStyle name="s_Valuation _Cosan_2-DRE_3-Balanço" xfId="9188"/>
    <cellStyle name="s_Valuation _Cosan_2-DRE_7-Estoque" xfId="9189"/>
    <cellStyle name="s_Valuation _Cosan_3-Balanço" xfId="9190"/>
    <cellStyle name="s_Valuation _Cosan_3-Balanço 2" xfId="9191"/>
    <cellStyle name="s_Valuation _Cosan_3-Balanço 2_15-FINANCEIRAS" xfId="9192"/>
    <cellStyle name="s_Valuation _Cosan_3-Balanço_1" xfId="9193"/>
    <cellStyle name="s_Valuation _Cosan_3-Balanço_1 2" xfId="9194"/>
    <cellStyle name="s_Valuation _Cosan_3-Balanço_1 2_15-FINANCEIRAS" xfId="9195"/>
    <cellStyle name="s_Valuation _Cosan_3-Balanço_1_15-FINANCEIRAS" xfId="9196"/>
    <cellStyle name="s_Valuation _Cosan_3-Balanço_1_15-FINANCEIRAS_1" xfId="9197"/>
    <cellStyle name="s_Valuation _Cosan_3-Balanço_1_3-Balanço" xfId="9198"/>
    <cellStyle name="s_Valuation _Cosan_3-Balanço_1_7-Estoque" xfId="9199"/>
    <cellStyle name="s_Valuation _Cosan_3-Balanço_15-FINANCEIRAS" xfId="9200"/>
    <cellStyle name="s_Valuation _Cosan_3-Balanço_15-FINANCEIRAS_1" xfId="9201"/>
    <cellStyle name="s_Valuation _Cosan_3-Balanço_2" xfId="9202"/>
    <cellStyle name="s_Valuation _Cosan_3-Balanço_3-Balanço" xfId="9203"/>
    <cellStyle name="s_Valuation _Cosan_3-Balanço_7-Estoque" xfId="9204"/>
    <cellStyle name="s_Valuation _Cosan_4-DMPL" xfId="9205"/>
    <cellStyle name="s_Valuation _Cosan_4-DMPL 2" xfId="9206"/>
    <cellStyle name="s_Valuation _Cosan_4-DMPL 2_15-FINANCEIRAS" xfId="9207"/>
    <cellStyle name="s_Valuation _Cosan_4-DMPL_15-FINANCEIRAS" xfId="9208"/>
    <cellStyle name="s_Valuation _Cosan_4-DMPL_15-FINANCEIRAS_1" xfId="9209"/>
    <cellStyle name="s_Valuation _Cosan_4-DMPL_3-Balanço" xfId="9210"/>
    <cellStyle name="s_Valuation _Cosan_7-Estoque" xfId="9211"/>
    <cellStyle name="s_Valuation _Cosan_8-Impostos" xfId="9212"/>
    <cellStyle name="s_Valuation _Cosan_8-Impostos 2" xfId="9213"/>
    <cellStyle name="s_Valuation _Cosan_8-Impostos 2_15-FINANCEIRAS" xfId="9214"/>
    <cellStyle name="s_Valuation _Cosan_8-Impostos_15-FINANCEIRAS" xfId="9215"/>
    <cellStyle name="s_Valuation _Cosan_8-Impostos_15-FINANCEIRAS_1" xfId="9216"/>
    <cellStyle name="s_Valuation _Cosan_8-Impostos_3-Balanço" xfId="9217"/>
    <cellStyle name="s_Valuation _Cosan_Acerto FV e Ajustes Manuais" xfId="9218"/>
    <cellStyle name="s_Valuation _Cosan_Balanço" xfId="9219"/>
    <cellStyle name="s_Valuation _Cosan_Caixa restrito" xfId="9220"/>
    <cellStyle name="s_Valuation _Cosan_Caixa restrito_7-Estoque" xfId="9221"/>
    <cellStyle name="s_Valuation _Cosan_COSAN SA CONSOLID_MÊS" xfId="9222"/>
    <cellStyle name="s_Valuation _Cosan_Display" xfId="9223"/>
    <cellStyle name="s_Valuation _Cosan_Display 2" xfId="9224"/>
    <cellStyle name="s_Valuation _Cosan_Display 2_15-FINANCEIRAS" xfId="9225"/>
    <cellStyle name="s_Valuation _Cosan_Display_15-FINANCEIRAS" xfId="9226"/>
    <cellStyle name="s_Valuation _Cosan_Display_15-FINANCEIRAS_1" xfId="9227"/>
    <cellStyle name="s_Valuation _Cosan_Display_3-Balanço" xfId="9228"/>
    <cellStyle name="s_Valuation _Cosan_Display_7-Estoque" xfId="9229"/>
    <cellStyle name="s_Valuation _Cosan_Instrumentos Financeiros" xfId="9230"/>
    <cellStyle name="s_Valuation _Cosan_Instrumentos Financeiros 2" xfId="9231"/>
    <cellStyle name="s_Valuation _Cosan_Instrumentos Financeiros 2_15-FINANCEIRAS" xfId="9232"/>
    <cellStyle name="s_Valuation _Cosan_Instrumentos Financeiros_15-FINANCEIRAS" xfId="9233"/>
    <cellStyle name="s_Valuation _Cosan_Instrumentos Financeiros_15-FINANCEIRAS_1" xfId="9234"/>
    <cellStyle name="s_Valuation _Cosan_Instrumentos Financeiros_3-Balanço" xfId="9235"/>
    <cellStyle name="s_Valuation _Cosan_Instrumentos Financeiros_7-Estoque" xfId="9236"/>
    <cellStyle name="s_Valuation _Cosan_Mapa 3T12" xfId="9237"/>
    <cellStyle name="s_Valuation _Cosan_Mapa 3T12 2" xfId="9238"/>
    <cellStyle name="s_Valuation _Cosan_Mapa 3T12 2_15-FINANCEIRAS" xfId="9239"/>
    <cellStyle name="s_Valuation _Cosan_Mapa 3T12_15-FINANCEIRAS" xfId="9240"/>
    <cellStyle name="s_Valuation _Cosan_Mapa 3T12_15-FINANCEIRAS_1" xfId="9241"/>
    <cellStyle name="s_Valuation _Cosan_Mapa 3T12_3-Balanço" xfId="9242"/>
    <cellStyle name="s_Valuation _Cosan_Plan2" xfId="9243"/>
    <cellStyle name="s_Valuation _Cosan_Plan2 2" xfId="9244"/>
    <cellStyle name="s_Valuation _Cosan_Plan2 2_15-FINANCEIRAS" xfId="9245"/>
    <cellStyle name="s_Valuation _Cosan_Plan2_15-FINANCEIRAS" xfId="9246"/>
    <cellStyle name="s_Valuation _Cosan_Plan2_15-FINANCEIRAS_1" xfId="9247"/>
    <cellStyle name="s_Valuation _Cosan_Plan2_3-Balanço" xfId="9248"/>
    <cellStyle name="s_Valuation _Cosan_Plan2_7-Estoque" xfId="9249"/>
    <cellStyle name="s_Valuation _CRE - Aging" xfId="9250"/>
    <cellStyle name="s_Valuation _Crédito PisCofins" xfId="9251"/>
    <cellStyle name="s_Valuation _Crédito PisCofins 2" xfId="9252"/>
    <cellStyle name="s_Valuation _Crédito PisCofins 2_15-FINANCEIRAS" xfId="9253"/>
    <cellStyle name="s_Valuation _Crédito PisCofins_15-FINANCEIRAS" xfId="9254"/>
    <cellStyle name="s_Valuation _Crédito PisCofins_15-FINANCEIRAS_1" xfId="9255"/>
    <cellStyle name="s_Valuation _Crédito PisCofins_3-Balanço" xfId="9256"/>
    <cellStyle name="s_Valuation _Crédito PisCofins_3-Balanço 2" xfId="9257"/>
    <cellStyle name="s_Valuation _Crédito PisCofins_3-Balanço 2_15-FINANCEIRAS" xfId="9258"/>
    <cellStyle name="s_Valuation _Crédito PisCofins_3-Balanço_1" xfId="9259"/>
    <cellStyle name="s_Valuation _Crédito PisCofins_3-Balanço_15-FINANCEIRAS" xfId="9260"/>
    <cellStyle name="s_Valuation _Crédito PisCofins_3-Balanço_15-FINANCEIRAS_1" xfId="9261"/>
    <cellStyle name="s_Valuation _Crédito PisCofins_3-Balanço_3-Balanço" xfId="9262"/>
    <cellStyle name="s_Valuation _Crédito PisCofins_3-Balanço_7-Estoque" xfId="9263"/>
    <cellStyle name="s_Valuation _Crédito PisCofins_7-Estoque" xfId="9264"/>
    <cellStyle name="s_Valuation _Crédito PisCofins_Balanço" xfId="9265"/>
    <cellStyle name="s_Valuation _Crédito PisCofins_CCL" xfId="9266"/>
    <cellStyle name="s_Valuation _Crédito PisCofins_CCL 2" xfId="9267"/>
    <cellStyle name="s_Valuation _Crédito PisCofins_CCL 2_15-FINANCEIRAS" xfId="9268"/>
    <cellStyle name="s_Valuation _Crédito PisCofins_CCL_15-FINANCEIRAS" xfId="9269"/>
    <cellStyle name="s_Valuation _Crédito PisCofins_CCL_15-FINANCEIRAS_1" xfId="9270"/>
    <cellStyle name="s_Valuation _Crédito PisCofins_CCL_3-Balanço" xfId="9271"/>
    <cellStyle name="s_Valuation _Crédito PisCofins_CCL_3-Balanço 2" xfId="9272"/>
    <cellStyle name="s_Valuation _Crédito PisCofins_CCL_3-Balanço 2_15-FINANCEIRAS" xfId="9273"/>
    <cellStyle name="s_Valuation _Crédito PisCofins_CCL_3-Balanço_1" xfId="9274"/>
    <cellStyle name="s_Valuation _Crédito PisCofins_CCL_3-Balanço_15-FINANCEIRAS" xfId="9275"/>
    <cellStyle name="s_Valuation _Crédito PisCofins_CCL_3-Balanço_15-FINANCEIRAS_1" xfId="9276"/>
    <cellStyle name="s_Valuation _Crédito PisCofins_CCL_3-Balanço_3-Balanço" xfId="9277"/>
    <cellStyle name="s_Valuation _Crédito PisCofins_CCL_3-Balanço_7-Estoque" xfId="9278"/>
    <cellStyle name="s_Valuation _Crédito PisCofins_CCL_7-Estoque" xfId="9279"/>
    <cellStyle name="s_Valuation _Crédito PisCofins_CCL_Balanço" xfId="9280"/>
    <cellStyle name="s_Valuation _Crédito PisCofins_Diferenças outubro CAN- (2)" xfId="9281"/>
    <cellStyle name="s_Valuation _Crédito PisCofins_Diferenças outubro CAN- (2) 2" xfId="9282"/>
    <cellStyle name="s_Valuation _Crédito PisCofins_Diferenças outubro CAN- (2) 2_15-FINANCEIRAS" xfId="9283"/>
    <cellStyle name="s_Valuation _Crédito PisCofins_Diferenças outubro CAN- (2)_15-FINANCEIRAS" xfId="9284"/>
    <cellStyle name="s_Valuation _Crédito PisCofins_Diferenças outubro CAN- (2)_15-FINANCEIRAS_1" xfId="9285"/>
    <cellStyle name="s_Valuation _Crédito PisCofins_Diferenças outubro CAN- (2)_3-Balanço" xfId="9286"/>
    <cellStyle name="s_Valuation _Crédito PisCofins_Diferenças outubro CAN- (2)_3-Balanço 2" xfId="9287"/>
    <cellStyle name="s_Valuation _Crédito PisCofins_Diferenças outubro CAN- (2)_3-Balanço 2_15-FINANCEIRAS" xfId="9288"/>
    <cellStyle name="s_Valuation _Crédito PisCofins_Diferenças outubro CAN- (2)_3-Balanço_1" xfId="9289"/>
    <cellStyle name="s_Valuation _Crédito PisCofins_Diferenças outubro CAN- (2)_3-Balanço_15-FINANCEIRAS" xfId="9290"/>
    <cellStyle name="s_Valuation _Crédito PisCofins_Diferenças outubro CAN- (2)_3-Balanço_15-FINANCEIRAS_1" xfId="9291"/>
    <cellStyle name="s_Valuation _Crédito PisCofins_Diferenças outubro CAN- (2)_3-Balanço_3-Balanço" xfId="9292"/>
    <cellStyle name="s_Valuation _Crédito PisCofins_Diferenças outubro CAN- (2)_3-Balanço_7-Estoque" xfId="9293"/>
    <cellStyle name="s_Valuation _Crédito PisCofins_Diferenças outubro CAN- (2)_7-Estoque" xfId="9294"/>
    <cellStyle name="s_Valuation _Crédito PisCofins_Diferenças outubro CAN- (2)_Balanço" xfId="9295"/>
    <cellStyle name="s_Valuation _Crédito PisCofins_Query C.Custos SF 10-11" xfId="9296"/>
    <cellStyle name="s_Valuation _Crédito PisCofins_Query C.Custos SF 10-11 2" xfId="9297"/>
    <cellStyle name="s_Valuation _Crédito PisCofins_Query C.Custos SF 10-11 2_15-FINANCEIRAS" xfId="9298"/>
    <cellStyle name="s_Valuation _Crédito PisCofins_Query C.Custos SF 10-11_15-FINANCEIRAS" xfId="9299"/>
    <cellStyle name="s_Valuation _Crédito PisCofins_Query C.Custos SF 10-11_15-FINANCEIRAS_1" xfId="9300"/>
    <cellStyle name="s_Valuation _Crédito PisCofins_Query C.Custos SF 10-11_3-Balanço" xfId="9301"/>
    <cellStyle name="s_Valuation _Crédito PisCofins_Query C.Custos SF 10-11_3-Balanço 2" xfId="9302"/>
    <cellStyle name="s_Valuation _Crédito PisCofins_Query C.Custos SF 10-11_3-Balanço 2_15-FINANCEIRAS" xfId="9303"/>
    <cellStyle name="s_Valuation _Crédito PisCofins_Query C.Custos SF 10-11_3-Balanço_1" xfId="9304"/>
    <cellStyle name="s_Valuation _Crédito PisCofins_Query C.Custos SF 10-11_3-Balanço_15-FINANCEIRAS" xfId="9305"/>
    <cellStyle name="s_Valuation _Crédito PisCofins_Query C.Custos SF 10-11_3-Balanço_15-FINANCEIRAS_1" xfId="9306"/>
    <cellStyle name="s_Valuation _Crédito PisCofins_Query C.Custos SF 10-11_3-Balanço_3-Balanço" xfId="9307"/>
    <cellStyle name="s_Valuation _Crédito PisCofins_Query C.Custos SF 10-11_3-Balanço_7-Estoque" xfId="9308"/>
    <cellStyle name="s_Valuation _Crédito PisCofins_Query C.Custos SF 10-11_7-Estoque" xfId="9309"/>
    <cellStyle name="s_Valuation _Crédito PisCofins_Query C.Custos SF 10-11_Balanço" xfId="9310"/>
    <cellStyle name="s_Valuation _DB Dados do Mercado" xfId="9311"/>
    <cellStyle name="s_Valuation _DB Dados do Mercado 2" xfId="9312"/>
    <cellStyle name="s_Valuation _DB Dados do Mercado 2 2" xfId="9313"/>
    <cellStyle name="s_Valuation _DB Dados do Mercado 2 2_15-FINANCEIRAS" xfId="9314"/>
    <cellStyle name="s_Valuation _DB Dados do Mercado 2_15-FINANCEIRAS" xfId="9315"/>
    <cellStyle name="s_Valuation _DB Dados do Mercado 2_15-FINANCEIRAS_1" xfId="9316"/>
    <cellStyle name="s_Valuation _DB Dados do Mercado 2_3-Balanço" xfId="9317"/>
    <cellStyle name="s_Valuation _DB Dados do Mercado 2_7-Estoque" xfId="9318"/>
    <cellStyle name="s_Valuation _DB Dados do Mercado 2_Relatório Gerencial" xfId="9319"/>
    <cellStyle name="s_Valuation _DB Dados do Mercado 2_Relatório Gerencial 2" xfId="9320"/>
    <cellStyle name="s_Valuation _DB Dados do Mercado 2_Relatório Gerencial 2_15-FINANCEIRAS" xfId="9321"/>
    <cellStyle name="s_Valuation _DB Dados do Mercado 2_Relatório Gerencial_15-FINANCEIRAS" xfId="9322"/>
    <cellStyle name="s_Valuation _DB Dados do Mercado 2_Relatório Gerencial_15-FINANCEIRAS_1" xfId="9323"/>
    <cellStyle name="s_Valuation _DB Dados do Mercado 2_Relatório Gerencial_3-Balanço" xfId="9324"/>
    <cellStyle name="s_Valuation _DB Dados do Mercado 2_Relatório Gerencial_7-Estoque" xfId="9325"/>
    <cellStyle name="s_Valuation _DB Dados do Mercado 2_Relatório Gerencial_DB Entrada" xfId="9326"/>
    <cellStyle name="s_Valuation _DB Dados do Mercado 2_Relatório Gerencial_DB Entrada 2" xfId="9327"/>
    <cellStyle name="s_Valuation _DB Dados do Mercado 2_Relatório Gerencial_DB Entrada 2_15-FINANCEIRAS" xfId="9328"/>
    <cellStyle name="s_Valuation _DB Dados do Mercado 2_Relatório Gerencial_DB Entrada_15-FINANCEIRAS" xfId="9329"/>
    <cellStyle name="s_Valuation _DB Dados do Mercado 2_Relatório Gerencial_DB Entrada_15-FINANCEIRAS_1" xfId="9330"/>
    <cellStyle name="s_Valuation _DB Dados do Mercado 2_Relatório Gerencial_DB Entrada_3-Balanço" xfId="9331"/>
    <cellStyle name="s_Valuation _DB Dados do Mercado 2_Relatório Gerencial_DB Entrada_7-Estoque" xfId="9332"/>
    <cellStyle name="s_Valuation _DB Dados do Mercado 3" xfId="9333"/>
    <cellStyle name="s_Valuation _DB Dados do Mercado 3 2" xfId="9334"/>
    <cellStyle name="s_Valuation _DB Dados do Mercado 3 2_15-FINANCEIRAS" xfId="9335"/>
    <cellStyle name="s_Valuation _DB Dados do Mercado 3_15-FINANCEIRAS" xfId="9336"/>
    <cellStyle name="s_Valuation _DB Dados do Mercado 3_15-FINANCEIRAS_1" xfId="9337"/>
    <cellStyle name="s_Valuation _DB Dados do Mercado 3_3-Balanço" xfId="9338"/>
    <cellStyle name="s_Valuation _DB Dados do Mercado 3_7-Estoque" xfId="9339"/>
    <cellStyle name="s_Valuation _DB Dados do Mercado 3_Relatório Gerencial" xfId="9340"/>
    <cellStyle name="s_Valuation _DB Dados do Mercado 3_Relatório Gerencial 2" xfId="9341"/>
    <cellStyle name="s_Valuation _DB Dados do Mercado 3_Relatório Gerencial 2_15-FINANCEIRAS" xfId="9342"/>
    <cellStyle name="s_Valuation _DB Dados do Mercado 3_Relatório Gerencial_15-FINANCEIRAS" xfId="9343"/>
    <cellStyle name="s_Valuation _DB Dados do Mercado 3_Relatório Gerencial_15-FINANCEIRAS_1" xfId="9344"/>
    <cellStyle name="s_Valuation _DB Dados do Mercado 3_Relatório Gerencial_3-Balanço" xfId="9345"/>
    <cellStyle name="s_Valuation _DB Dados do Mercado 3_Relatório Gerencial_7-Estoque" xfId="9346"/>
    <cellStyle name="s_Valuation _DB Dados do Mercado 3_Relatório Gerencial_DB Entrada" xfId="9347"/>
    <cellStyle name="s_Valuation _DB Dados do Mercado 3_Relatório Gerencial_DB Entrada 2" xfId="9348"/>
    <cellStyle name="s_Valuation _DB Dados do Mercado 3_Relatório Gerencial_DB Entrada 2_15-FINANCEIRAS" xfId="9349"/>
    <cellStyle name="s_Valuation _DB Dados do Mercado 3_Relatório Gerencial_DB Entrada_15-FINANCEIRAS" xfId="9350"/>
    <cellStyle name="s_Valuation _DB Dados do Mercado 3_Relatório Gerencial_DB Entrada_15-FINANCEIRAS_1" xfId="9351"/>
    <cellStyle name="s_Valuation _DB Dados do Mercado 3_Relatório Gerencial_DB Entrada_3-Balanço" xfId="9352"/>
    <cellStyle name="s_Valuation _DB Dados do Mercado 3_Relatório Gerencial_DB Entrada_7-Estoque" xfId="9353"/>
    <cellStyle name="s_Valuation _DB Dados do Mercado 4" xfId="9354"/>
    <cellStyle name="s_Valuation _DB Dados do Mercado 4 2" xfId="9355"/>
    <cellStyle name="s_Valuation _DB Dados do Mercado 4 2_15-FINANCEIRAS" xfId="9356"/>
    <cellStyle name="s_Valuation _DB Dados do Mercado 4_15-FINANCEIRAS" xfId="9357"/>
    <cellStyle name="s_Valuation _DB Dados do Mercado 4_15-FINANCEIRAS_1" xfId="9358"/>
    <cellStyle name="s_Valuation _DB Dados do Mercado 4_3-Balanço" xfId="9359"/>
    <cellStyle name="s_Valuation _DB Dados do Mercado 4_7-Estoque" xfId="9360"/>
    <cellStyle name="s_Valuation _DB Dados do Mercado 4_Relatório Gerencial" xfId="9361"/>
    <cellStyle name="s_Valuation _DB Dados do Mercado 4_Relatório Gerencial 2" xfId="9362"/>
    <cellStyle name="s_Valuation _DB Dados do Mercado 4_Relatório Gerencial 2_15-FINANCEIRAS" xfId="9363"/>
    <cellStyle name="s_Valuation _DB Dados do Mercado 4_Relatório Gerencial_15-FINANCEIRAS" xfId="9364"/>
    <cellStyle name="s_Valuation _DB Dados do Mercado 4_Relatório Gerencial_15-FINANCEIRAS_1" xfId="9365"/>
    <cellStyle name="s_Valuation _DB Dados do Mercado 4_Relatório Gerencial_3-Balanço" xfId="9366"/>
    <cellStyle name="s_Valuation _DB Dados do Mercado 4_Relatório Gerencial_7-Estoque" xfId="9367"/>
    <cellStyle name="s_Valuation _DB Dados do Mercado 4_Relatório Gerencial_DB Entrada" xfId="9368"/>
    <cellStyle name="s_Valuation _DB Dados do Mercado 4_Relatório Gerencial_DB Entrada 2" xfId="9369"/>
    <cellStyle name="s_Valuation _DB Dados do Mercado 4_Relatório Gerencial_DB Entrada 2_15-FINANCEIRAS" xfId="9370"/>
    <cellStyle name="s_Valuation _DB Dados do Mercado 4_Relatório Gerencial_DB Entrada_15-FINANCEIRAS" xfId="9371"/>
    <cellStyle name="s_Valuation _DB Dados do Mercado 4_Relatório Gerencial_DB Entrada_15-FINANCEIRAS_1" xfId="9372"/>
    <cellStyle name="s_Valuation _DB Dados do Mercado 4_Relatório Gerencial_DB Entrada_3-Balanço" xfId="9373"/>
    <cellStyle name="s_Valuation _DB Dados do Mercado 4_Relatório Gerencial_DB Entrada_7-Estoque" xfId="9374"/>
    <cellStyle name="s_Valuation _DB Dados do Mercado 5" xfId="9375"/>
    <cellStyle name="s_Valuation _DB Dados do Mercado 5 2" xfId="9376"/>
    <cellStyle name="s_Valuation _DB Dados do Mercado 5 2_15-FINANCEIRAS" xfId="9377"/>
    <cellStyle name="s_Valuation _DB Dados do Mercado 5_15-FINANCEIRAS" xfId="9378"/>
    <cellStyle name="s_Valuation _DB Dados do Mercado 5_15-FINANCEIRAS_1" xfId="9379"/>
    <cellStyle name="s_Valuation _DB Dados do Mercado 5_3-Balanço" xfId="9380"/>
    <cellStyle name="s_Valuation _DB Dados do Mercado 5_7-Estoque" xfId="9381"/>
    <cellStyle name="s_Valuation _DB Dados do Mercado 5_Relatório Gerencial" xfId="9382"/>
    <cellStyle name="s_Valuation _DB Dados do Mercado 5_Relatório Gerencial 2" xfId="9383"/>
    <cellStyle name="s_Valuation _DB Dados do Mercado 5_Relatório Gerencial 2_15-FINANCEIRAS" xfId="9384"/>
    <cellStyle name="s_Valuation _DB Dados do Mercado 5_Relatório Gerencial_15-FINANCEIRAS" xfId="9385"/>
    <cellStyle name="s_Valuation _DB Dados do Mercado 5_Relatório Gerencial_15-FINANCEIRAS_1" xfId="9386"/>
    <cellStyle name="s_Valuation _DB Dados do Mercado 5_Relatório Gerencial_3-Balanço" xfId="9387"/>
    <cellStyle name="s_Valuation _DB Dados do Mercado 5_Relatório Gerencial_7-Estoque" xfId="9388"/>
    <cellStyle name="s_Valuation _DB Dados do Mercado 5_Relatório Gerencial_DB Entrada" xfId="9389"/>
    <cellStyle name="s_Valuation _DB Dados do Mercado 5_Relatório Gerencial_DB Entrada 2" xfId="9390"/>
    <cellStyle name="s_Valuation _DB Dados do Mercado 5_Relatório Gerencial_DB Entrada 2_15-FINANCEIRAS" xfId="9391"/>
    <cellStyle name="s_Valuation _DB Dados do Mercado 5_Relatório Gerencial_DB Entrada_15-FINANCEIRAS" xfId="9392"/>
    <cellStyle name="s_Valuation _DB Dados do Mercado 5_Relatório Gerencial_DB Entrada_15-FINANCEIRAS_1" xfId="9393"/>
    <cellStyle name="s_Valuation _DB Dados do Mercado 5_Relatório Gerencial_DB Entrada_3-Balanço" xfId="9394"/>
    <cellStyle name="s_Valuation _DB Dados do Mercado 5_Relatório Gerencial_DB Entrada_7-Estoque" xfId="9395"/>
    <cellStyle name="s_Valuation _DB Dados do Mercado 6" xfId="9396"/>
    <cellStyle name="s_Valuation _DB Dados do Mercado 6 2" xfId="9397"/>
    <cellStyle name="s_Valuation _DB Dados do Mercado 6 2_15-FINANCEIRAS" xfId="9398"/>
    <cellStyle name="s_Valuation _DB Dados do Mercado 6_15-FINANCEIRAS" xfId="9399"/>
    <cellStyle name="s_Valuation _DB Dados do Mercado 6_15-FINANCEIRAS_1" xfId="9400"/>
    <cellStyle name="s_Valuation _DB Dados do Mercado 6_3-Balanço" xfId="9401"/>
    <cellStyle name="s_Valuation _DB Dados do Mercado 6_7-Estoque" xfId="9402"/>
    <cellStyle name="s_Valuation _DB Dados do Mercado 6_Relatório Gerencial" xfId="9403"/>
    <cellStyle name="s_Valuation _DB Dados do Mercado 6_Relatório Gerencial 2" xfId="9404"/>
    <cellStyle name="s_Valuation _DB Dados do Mercado 6_Relatório Gerencial 2_15-FINANCEIRAS" xfId="9405"/>
    <cellStyle name="s_Valuation _DB Dados do Mercado 6_Relatório Gerencial_15-FINANCEIRAS" xfId="9406"/>
    <cellStyle name="s_Valuation _DB Dados do Mercado 6_Relatório Gerencial_15-FINANCEIRAS_1" xfId="9407"/>
    <cellStyle name="s_Valuation _DB Dados do Mercado 6_Relatório Gerencial_3-Balanço" xfId="9408"/>
    <cellStyle name="s_Valuation _DB Dados do Mercado 6_Relatório Gerencial_7-Estoque" xfId="9409"/>
    <cellStyle name="s_Valuation _DB Dados do Mercado 6_Relatório Gerencial_DB Entrada" xfId="9410"/>
    <cellStyle name="s_Valuation _DB Dados do Mercado 6_Relatório Gerencial_DB Entrada 2" xfId="9411"/>
    <cellStyle name="s_Valuation _DB Dados do Mercado 6_Relatório Gerencial_DB Entrada 2_15-FINANCEIRAS" xfId="9412"/>
    <cellStyle name="s_Valuation _DB Dados do Mercado 6_Relatório Gerencial_DB Entrada_15-FINANCEIRAS" xfId="9413"/>
    <cellStyle name="s_Valuation _DB Dados do Mercado 6_Relatório Gerencial_DB Entrada_15-FINANCEIRAS_1" xfId="9414"/>
    <cellStyle name="s_Valuation _DB Dados do Mercado 6_Relatório Gerencial_DB Entrada_3-Balanço" xfId="9415"/>
    <cellStyle name="s_Valuation _DB Dados do Mercado 6_Relatório Gerencial_DB Entrada_7-Estoque" xfId="9416"/>
    <cellStyle name="s_Valuation _DB Dados do Mercado 7" xfId="9417"/>
    <cellStyle name="s_Valuation _DB Dados do Mercado 7 2" xfId="9418"/>
    <cellStyle name="s_Valuation _DB Dados do Mercado 7 2_15-FINANCEIRAS" xfId="9419"/>
    <cellStyle name="s_Valuation _DB Dados do Mercado 7_15-FINANCEIRAS" xfId="9420"/>
    <cellStyle name="s_Valuation _DB Dados do Mercado 7_15-FINANCEIRAS_1" xfId="9421"/>
    <cellStyle name="s_Valuation _DB Dados do Mercado 7_3-Balanço" xfId="9422"/>
    <cellStyle name="s_Valuation _DB Dados do Mercado 7_7-Estoque" xfId="9423"/>
    <cellStyle name="s_Valuation _DB Dados do Mercado 7_Relatório Gerencial" xfId="9424"/>
    <cellStyle name="s_Valuation _DB Dados do Mercado 7_Relatório Gerencial 2" xfId="9425"/>
    <cellStyle name="s_Valuation _DB Dados do Mercado 7_Relatório Gerencial 2_15-FINANCEIRAS" xfId="9426"/>
    <cellStyle name="s_Valuation _DB Dados do Mercado 7_Relatório Gerencial_15-FINANCEIRAS" xfId="9427"/>
    <cellStyle name="s_Valuation _DB Dados do Mercado 7_Relatório Gerencial_15-FINANCEIRAS_1" xfId="9428"/>
    <cellStyle name="s_Valuation _DB Dados do Mercado 7_Relatório Gerencial_3-Balanço" xfId="9429"/>
    <cellStyle name="s_Valuation _DB Dados do Mercado 7_Relatório Gerencial_7-Estoque" xfId="9430"/>
    <cellStyle name="s_Valuation _DB Dados do Mercado 7_Relatório Gerencial_DB Entrada" xfId="9431"/>
    <cellStyle name="s_Valuation _DB Dados do Mercado 7_Relatório Gerencial_DB Entrada 2" xfId="9432"/>
    <cellStyle name="s_Valuation _DB Dados do Mercado 7_Relatório Gerencial_DB Entrada 2_15-FINANCEIRAS" xfId="9433"/>
    <cellStyle name="s_Valuation _DB Dados do Mercado 7_Relatório Gerencial_DB Entrada_15-FINANCEIRAS" xfId="9434"/>
    <cellStyle name="s_Valuation _DB Dados do Mercado 7_Relatório Gerencial_DB Entrada_15-FINANCEIRAS_1" xfId="9435"/>
    <cellStyle name="s_Valuation _DB Dados do Mercado 7_Relatório Gerencial_DB Entrada_3-Balanço" xfId="9436"/>
    <cellStyle name="s_Valuation _DB Dados do Mercado 7_Relatório Gerencial_DB Entrada_7-Estoque" xfId="9437"/>
    <cellStyle name="s_Valuation _DB Dados do Mercado 8" xfId="9438"/>
    <cellStyle name="s_Valuation _DB Dados do Mercado 8_15-FINANCEIRAS" xfId="9439"/>
    <cellStyle name="s_Valuation _DB Dados do Mercado_15-FINANCEIRAS" xfId="9440"/>
    <cellStyle name="s_Valuation _DB Dados do Mercado_15-FINANCEIRAS_1" xfId="9441"/>
    <cellStyle name="s_Valuation _DB Dados do Mercado_3-Balanço" xfId="9442"/>
    <cellStyle name="s_Valuation _DB Dados do Mercado_3-Balanço 2" xfId="9443"/>
    <cellStyle name="s_Valuation _DB Dados do Mercado_3-Balanço 2_15-FINANCEIRAS" xfId="9444"/>
    <cellStyle name="s_Valuation _DB Dados do Mercado_3-Balanço_1" xfId="9445"/>
    <cellStyle name="s_Valuation _DB Dados do Mercado_3-Balanço_15-FINANCEIRAS" xfId="9446"/>
    <cellStyle name="s_Valuation _DB Dados do Mercado_3-Balanço_15-FINANCEIRAS_1" xfId="9447"/>
    <cellStyle name="s_Valuation _DB Dados do Mercado_3-Balanço_3-Balanço" xfId="9448"/>
    <cellStyle name="s_Valuation _DB Dados do Mercado_3-Balanço_7-Estoque" xfId="9449"/>
    <cellStyle name="s_Valuation _DB Dados do Mercado_4-DMPL" xfId="9450"/>
    <cellStyle name="s_Valuation _DB Dados do Mercado_4-DMPL 2" xfId="9451"/>
    <cellStyle name="s_Valuation _DB Dados do Mercado_4-DMPL 2_15-FINANCEIRAS" xfId="9452"/>
    <cellStyle name="s_Valuation _DB Dados do Mercado_4-DMPL_15-FINANCEIRAS" xfId="9453"/>
    <cellStyle name="s_Valuation _DB Dados do Mercado_4-DMPL_15-FINANCEIRAS_1" xfId="9454"/>
    <cellStyle name="s_Valuation _DB Dados do Mercado_4-DMPL_3-Balanço" xfId="9455"/>
    <cellStyle name="s_Valuation _DB Dados do Mercado_7-Estoque" xfId="9456"/>
    <cellStyle name="s_Valuation _DB Dados do Mercado_8-Impostos" xfId="9457"/>
    <cellStyle name="s_Valuation _DB Dados do Mercado_8-Impostos 2" xfId="9458"/>
    <cellStyle name="s_Valuation _DB Dados do Mercado_8-Impostos 2_15-FINANCEIRAS" xfId="9459"/>
    <cellStyle name="s_Valuation _DB Dados do Mercado_8-Impostos_15-FINANCEIRAS" xfId="9460"/>
    <cellStyle name="s_Valuation _DB Dados do Mercado_8-Impostos_15-FINANCEIRAS_1" xfId="9461"/>
    <cellStyle name="s_Valuation _DB Dados do Mercado_8-Impostos_3-Balanço" xfId="9462"/>
    <cellStyle name="s_Valuation _DB Dados do Mercado_AAs conferido" xfId="9463"/>
    <cellStyle name="s_Valuation _DB Dados do Mercado_AAs conferido 2" xfId="9464"/>
    <cellStyle name="s_Valuation _DB Dados do Mercado_AAs conferido 2_15-FINANCEIRAS" xfId="9465"/>
    <cellStyle name="s_Valuation _DB Dados do Mercado_AAs conferido_15-FINANCEIRAS" xfId="9466"/>
    <cellStyle name="s_Valuation _DB Dados do Mercado_AAs conferido_15-FINANCEIRAS_1" xfId="9467"/>
    <cellStyle name="s_Valuation _DB Dados do Mercado_AAs conferido_3-Balanço" xfId="9468"/>
    <cellStyle name="s_Valuation _DB Dados do Mercado_AAs conferido_7-Estoque" xfId="9469"/>
    <cellStyle name="s_Valuation _DB Dados do Mercado_AAs conferido_Relatório Gerencial" xfId="9470"/>
    <cellStyle name="s_Valuation _DB Dados do Mercado_AAs conferido_Relatório Gerencial 2" xfId="9471"/>
    <cellStyle name="s_Valuation _DB Dados do Mercado_AAs conferido_Relatório Gerencial 2_15-FINANCEIRAS" xfId="9472"/>
    <cellStyle name="s_Valuation _DB Dados do Mercado_AAs conferido_Relatório Gerencial_15-FINANCEIRAS" xfId="9473"/>
    <cellStyle name="s_Valuation _DB Dados do Mercado_AAs conferido_Relatório Gerencial_15-FINANCEIRAS_1" xfId="9474"/>
    <cellStyle name="s_Valuation _DB Dados do Mercado_AAs conferido_Relatório Gerencial_3-Balanço" xfId="9475"/>
    <cellStyle name="s_Valuation _DB Dados do Mercado_AAs conferido_Relatório Gerencial_7-Estoque" xfId="9476"/>
    <cellStyle name="s_Valuation _DB Dados do Mercado_AAs conferido_Relatório Gerencial_DB Entrada" xfId="9477"/>
    <cellStyle name="s_Valuation _DB Dados do Mercado_AAs conferido_Relatório Gerencial_DB Entrada 2" xfId="9478"/>
    <cellStyle name="s_Valuation _DB Dados do Mercado_AAs conferido_Relatório Gerencial_DB Entrada 2_15-FINANCEIRAS" xfId="9479"/>
    <cellStyle name="s_Valuation _DB Dados do Mercado_AAs conferido_Relatório Gerencial_DB Entrada_15-FINANCEIRAS" xfId="9480"/>
    <cellStyle name="s_Valuation _DB Dados do Mercado_AAs conferido_Relatório Gerencial_DB Entrada_15-FINANCEIRAS_1" xfId="9481"/>
    <cellStyle name="s_Valuation _DB Dados do Mercado_AAs conferido_Relatório Gerencial_DB Entrada_3-Balanço" xfId="9482"/>
    <cellStyle name="s_Valuation _DB Dados do Mercado_AAs conferido_Relatório Gerencial_DB Entrada_7-Estoque" xfId="9483"/>
    <cellStyle name="s_Valuation _DB Dados do Mercado_AAs Em Aberto" xfId="9484"/>
    <cellStyle name="s_Valuation _DB Dados do Mercado_AAs Em Aberto 2" xfId="9485"/>
    <cellStyle name="s_Valuation _DB Dados do Mercado_AAs Em Aberto 2_15-FINANCEIRAS" xfId="9486"/>
    <cellStyle name="s_Valuation _DB Dados do Mercado_AAs Em Aberto_15-FINANCEIRAS" xfId="9487"/>
    <cellStyle name="s_Valuation _DB Dados do Mercado_AAs Em Aberto_15-FINANCEIRAS_1" xfId="9488"/>
    <cellStyle name="s_Valuation _DB Dados do Mercado_AAs Em Aberto_3-Balanço" xfId="9489"/>
    <cellStyle name="s_Valuation _DB Dados do Mercado_AAs Em Aberto_7-Estoque" xfId="9490"/>
    <cellStyle name="s_Valuation _DB Dados do Mercado_AAs Em Aberto_Relatório Gerencial" xfId="9491"/>
    <cellStyle name="s_Valuation _DB Dados do Mercado_AAs Em Aberto_Relatório Gerencial 2" xfId="9492"/>
    <cellStyle name="s_Valuation _DB Dados do Mercado_AAs Em Aberto_Relatório Gerencial 2_15-FINANCEIRAS" xfId="9493"/>
    <cellStyle name="s_Valuation _DB Dados do Mercado_AAs Em Aberto_Relatório Gerencial_15-FINANCEIRAS" xfId="9494"/>
    <cellStyle name="s_Valuation _DB Dados do Mercado_AAs Em Aberto_Relatório Gerencial_15-FINANCEIRAS_1" xfId="9495"/>
    <cellStyle name="s_Valuation _DB Dados do Mercado_AAs Em Aberto_Relatório Gerencial_3-Balanço" xfId="9496"/>
    <cellStyle name="s_Valuation _DB Dados do Mercado_AAs Em Aberto_Relatório Gerencial_7-Estoque" xfId="9497"/>
    <cellStyle name="s_Valuation _DB Dados do Mercado_AAs Em Aberto_Relatório Gerencial_DB Entrada" xfId="9498"/>
    <cellStyle name="s_Valuation _DB Dados do Mercado_AAs Em Aberto_Relatório Gerencial_DB Entrada 2" xfId="9499"/>
    <cellStyle name="s_Valuation _DB Dados do Mercado_AAs Em Aberto_Relatório Gerencial_DB Entrada 2_15-FINANCEIRAS" xfId="9500"/>
    <cellStyle name="s_Valuation _DB Dados do Mercado_AAs Em Aberto_Relatório Gerencial_DB Entrada_15-FINANCEIRAS" xfId="9501"/>
    <cellStyle name="s_Valuation _DB Dados do Mercado_AAs Em Aberto_Relatório Gerencial_DB Entrada_15-FINANCEIRAS_1" xfId="9502"/>
    <cellStyle name="s_Valuation _DB Dados do Mercado_AAs Em Aberto_Relatório Gerencial_DB Entrada_3-Balanço" xfId="9503"/>
    <cellStyle name="s_Valuation _DB Dados do Mercado_AAs Em Aberto_Relatório Gerencial_DB Entrada_7-Estoque" xfId="9504"/>
    <cellStyle name="s_Valuation _DB Dados do Mercado_AAs-BRANCO" xfId="9505"/>
    <cellStyle name="s_Valuation _DB Dados do Mercado_AAs-BRANCO 2" xfId="9506"/>
    <cellStyle name="s_Valuation _DB Dados do Mercado_AAs-BRANCO 2_15-FINANCEIRAS" xfId="9507"/>
    <cellStyle name="s_Valuation _DB Dados do Mercado_AAs-BRANCO_15-FINANCEIRAS" xfId="9508"/>
    <cellStyle name="s_Valuation _DB Dados do Mercado_AAs-BRANCO_15-FINANCEIRAS_1" xfId="9509"/>
    <cellStyle name="s_Valuation _DB Dados do Mercado_AAs-BRANCO_3-Balanço" xfId="9510"/>
    <cellStyle name="s_Valuation _DB Dados do Mercado_AAs-BRANCO_7-Estoque" xfId="9511"/>
    <cellStyle name="s_Valuation _DB Dados do Mercado_AAs-BRANCO_Relatório Gerencial" xfId="9512"/>
    <cellStyle name="s_Valuation _DB Dados do Mercado_AAs-BRANCO_Relatório Gerencial 2" xfId="9513"/>
    <cellStyle name="s_Valuation _DB Dados do Mercado_AAs-BRANCO_Relatório Gerencial 2_15-FINANCEIRAS" xfId="9514"/>
    <cellStyle name="s_Valuation _DB Dados do Mercado_AAs-BRANCO_Relatório Gerencial_15-FINANCEIRAS" xfId="9515"/>
    <cellStyle name="s_Valuation _DB Dados do Mercado_AAs-BRANCO_Relatório Gerencial_15-FINANCEIRAS_1" xfId="9516"/>
    <cellStyle name="s_Valuation _DB Dados do Mercado_AAs-BRANCO_Relatório Gerencial_3-Balanço" xfId="9517"/>
    <cellStyle name="s_Valuation _DB Dados do Mercado_AAs-BRANCO_Relatório Gerencial_7-Estoque" xfId="9518"/>
    <cellStyle name="s_Valuation _DB Dados do Mercado_AAs-BRANCO_Relatório Gerencial_DB Entrada" xfId="9519"/>
    <cellStyle name="s_Valuation _DB Dados do Mercado_AAs-BRANCO_Relatório Gerencial_DB Entrada 2" xfId="9520"/>
    <cellStyle name="s_Valuation _DB Dados do Mercado_AAs-BRANCO_Relatório Gerencial_DB Entrada 2_15-FINANCEIRAS" xfId="9521"/>
    <cellStyle name="s_Valuation _DB Dados do Mercado_AAs-BRANCO_Relatório Gerencial_DB Entrada_15-FINANCEIRAS" xfId="9522"/>
    <cellStyle name="s_Valuation _DB Dados do Mercado_AAs-BRANCO_Relatório Gerencial_DB Entrada_15-FINANCEIRAS_1" xfId="9523"/>
    <cellStyle name="s_Valuation _DB Dados do Mercado_AAs-BRANCO_Relatório Gerencial_DB Entrada_3-Balanço" xfId="9524"/>
    <cellStyle name="s_Valuation _DB Dados do Mercado_AAs-BRANCO_Relatório Gerencial_DB Entrada_7-Estoque" xfId="9525"/>
    <cellStyle name="s_Valuation _DB Dados do Mercado_AAs-VHP" xfId="9526"/>
    <cellStyle name="s_Valuation _DB Dados do Mercado_AAs-VHP 2" xfId="9527"/>
    <cellStyle name="s_Valuation _DB Dados do Mercado_AAs-VHP 2_15-FINANCEIRAS" xfId="9528"/>
    <cellStyle name="s_Valuation _DB Dados do Mercado_AAs-VHP_15-FINANCEIRAS" xfId="9529"/>
    <cellStyle name="s_Valuation _DB Dados do Mercado_AAs-VHP_15-FINANCEIRAS_1" xfId="9530"/>
    <cellStyle name="s_Valuation _DB Dados do Mercado_AAs-VHP_3-Balanço" xfId="9531"/>
    <cellStyle name="s_Valuation _DB Dados do Mercado_AAs-VHP_7-Estoque" xfId="9532"/>
    <cellStyle name="s_Valuation _DB Dados do Mercado_AAs-VHP_Relatório Gerencial" xfId="9533"/>
    <cellStyle name="s_Valuation _DB Dados do Mercado_AAs-VHP_Relatório Gerencial 2" xfId="9534"/>
    <cellStyle name="s_Valuation _DB Dados do Mercado_AAs-VHP_Relatório Gerencial 2_15-FINANCEIRAS" xfId="9535"/>
    <cellStyle name="s_Valuation _DB Dados do Mercado_AAs-VHP_Relatório Gerencial_15-FINANCEIRAS" xfId="9536"/>
    <cellStyle name="s_Valuation _DB Dados do Mercado_AAs-VHP_Relatório Gerencial_15-FINANCEIRAS_1" xfId="9537"/>
    <cellStyle name="s_Valuation _DB Dados do Mercado_AAs-VHP_Relatório Gerencial_3-Balanço" xfId="9538"/>
    <cellStyle name="s_Valuation _DB Dados do Mercado_AAs-VHP_Relatório Gerencial_7-Estoque" xfId="9539"/>
    <cellStyle name="s_Valuation _DB Dados do Mercado_AAs-VHP_Relatório Gerencial_DB Entrada" xfId="9540"/>
    <cellStyle name="s_Valuation _DB Dados do Mercado_AAs-VHP_Relatório Gerencial_DB Entrada 2" xfId="9541"/>
    <cellStyle name="s_Valuation _DB Dados do Mercado_AAs-VHP_Relatório Gerencial_DB Entrada 2_15-FINANCEIRAS" xfId="9542"/>
    <cellStyle name="s_Valuation _DB Dados do Mercado_AAs-VHP_Relatório Gerencial_DB Entrada_15-FINANCEIRAS" xfId="9543"/>
    <cellStyle name="s_Valuation _DB Dados do Mercado_AAs-VHP_Relatório Gerencial_DB Entrada_15-FINANCEIRAS_1" xfId="9544"/>
    <cellStyle name="s_Valuation _DB Dados do Mercado_AAs-VHP_Relatório Gerencial_DB Entrada_3-Balanço" xfId="9545"/>
    <cellStyle name="s_Valuation _DB Dados do Mercado_AAs-VHP_Relatório Gerencial_DB Entrada_7-Estoque" xfId="9546"/>
    <cellStyle name="s_Valuation _DB Dados do Mercado_Açúcar Físico não embarcado - Jan09 conferido" xfId="9547"/>
    <cellStyle name="s_Valuation _DB Dados do Mercado_Açúcar Físico não embarcado - Jan09 conferido 2" xfId="9548"/>
    <cellStyle name="s_Valuation _DB Dados do Mercado_Açúcar Físico não embarcado - Jan09 conferido 2_15-FINANCEIRAS" xfId="9549"/>
    <cellStyle name="s_Valuation _DB Dados do Mercado_Açúcar Físico não embarcado - Jan09 conferido_15-FINANCEIRAS" xfId="9550"/>
    <cellStyle name="s_Valuation _DB Dados do Mercado_Açúcar Físico não embarcado - Jan09 conferido_15-FINANCEIRAS_1" xfId="9551"/>
    <cellStyle name="s_Valuation _DB Dados do Mercado_Açúcar Físico não embarcado - Jan09 conferido_3-Balanço" xfId="9552"/>
    <cellStyle name="s_Valuation _DB Dados do Mercado_Açúcar Físico não embarcado - Jan09 conferido_7-Estoque" xfId="9553"/>
    <cellStyle name="s_Valuation _DB Dados do Mercado_Açúcar Físico não embarcado - Jan09 conferido_Relatório Gerencial" xfId="9554"/>
    <cellStyle name="s_Valuation _DB Dados do Mercado_Açúcar Físico não embarcado - Jan09 conferido_Relatório Gerencial 2" xfId="9555"/>
    <cellStyle name="s_Valuation _DB Dados do Mercado_Açúcar Físico não embarcado - Jan09 conferido_Relatório Gerencial 2_15-FINANCEIRAS" xfId="9556"/>
    <cellStyle name="s_Valuation _DB Dados do Mercado_Açúcar Físico não embarcado - Jan09 conferido_Relatório Gerencial_15-FINANCEIRAS" xfId="9557"/>
    <cellStyle name="s_Valuation _DB Dados do Mercado_Açúcar Físico não embarcado - Jan09 conferido_Relatório Gerencial_15-FINANCEIRAS_1" xfId="9558"/>
    <cellStyle name="s_Valuation _DB Dados do Mercado_Açúcar Físico não embarcado - Jan09 conferido_Relatório Gerencial_3-Balanço" xfId="9559"/>
    <cellStyle name="s_Valuation _DB Dados do Mercado_Açúcar Físico não embarcado - Jan09 conferido_Relatório Gerencial_7-Estoque" xfId="9560"/>
    <cellStyle name="s_Valuation _DB Dados do Mercado_Açúcar Físico não embarcado - Jan09 conferido_Relatório Gerencial_DB Entrada" xfId="9561"/>
    <cellStyle name="s_Valuation _DB Dados do Mercado_Açúcar Físico não embarcado - Jan09 conferido_Relatório Gerencial_DB Entrada 2" xfId="9562"/>
    <cellStyle name="s_Valuation _DB Dados do Mercado_Açúcar Físico não embarcado - Jan09 conferido_Relatório Gerencial_DB Entrada 2_15-FINANCEIRAS" xfId="9563"/>
    <cellStyle name="s_Valuation _DB Dados do Mercado_Açúcar Físico não embarcado - Jan09 conferido_Relatório Gerencial_DB Entrada_15-FINANCEIRAS" xfId="9564"/>
    <cellStyle name="s_Valuation _DB Dados do Mercado_Açúcar Físico não embarcado - Jan09 conferido_Relatório Gerencial_DB Entrada_15-FINANCEIRAS_1" xfId="9565"/>
    <cellStyle name="s_Valuation _DB Dados do Mercado_Açúcar Físico não embarcado - Jan09 conferido_Relatório Gerencial_DB Entrada_3-Balanço" xfId="9566"/>
    <cellStyle name="s_Valuation _DB Dados do Mercado_Açúcar Físico não embarcado - Jan09 conferido_Relatório Gerencial_DB Entrada_7-Estoque" xfId="9567"/>
    <cellStyle name="s_Valuation _DB Dados do Mercado_Açúcar Físico não embarcado - Nov08 - Conferido" xfId="9568"/>
    <cellStyle name="s_Valuation _DB Dados do Mercado_Açúcar Físico não embarcado - Nov08 - Conferido 10" xfId="9569"/>
    <cellStyle name="s_Valuation _DB Dados do Mercado_Açúcar Físico não embarcado - Nov08 - Conferido 10 2" xfId="9570"/>
    <cellStyle name="s_Valuation _DB Dados do Mercado_Açúcar Físico não embarcado - Nov08 - Conferido 10 2_15-FINANCEIRAS" xfId="9571"/>
    <cellStyle name="s_Valuation _DB Dados do Mercado_Açúcar Físico não embarcado - Nov08 - Conferido 10_15-FINANCEIRAS" xfId="9572"/>
    <cellStyle name="s_Valuation _DB Dados do Mercado_Açúcar Físico não embarcado - Nov08 - Conferido 10_15-FINANCEIRAS_1" xfId="9573"/>
    <cellStyle name="s_Valuation _DB Dados do Mercado_Açúcar Físico não embarcado - Nov08 - Conferido 10_3-Balanço" xfId="9574"/>
    <cellStyle name="s_Valuation _DB Dados do Mercado_Açúcar Físico não embarcado - Nov08 - Conferido 10_7-Estoque" xfId="9575"/>
    <cellStyle name="s_Valuation _DB Dados do Mercado_Açúcar Físico não embarcado - Nov08 - Conferido 10_Relatório Gerencial" xfId="9576"/>
    <cellStyle name="s_Valuation _DB Dados do Mercado_Açúcar Físico não embarcado - Nov08 - Conferido 10_Relatório Gerencial 2" xfId="9577"/>
    <cellStyle name="s_Valuation _DB Dados do Mercado_Açúcar Físico não embarcado - Nov08 - Conferido 10_Relatório Gerencial 2_15-FINANCEIRAS" xfId="9578"/>
    <cellStyle name="s_Valuation _DB Dados do Mercado_Açúcar Físico não embarcado - Nov08 - Conferido 10_Relatório Gerencial_15-FINANCEIRAS" xfId="9579"/>
    <cellStyle name="s_Valuation _DB Dados do Mercado_Açúcar Físico não embarcado - Nov08 - Conferido 10_Relatório Gerencial_15-FINANCEIRAS_1" xfId="9580"/>
    <cellStyle name="s_Valuation _DB Dados do Mercado_Açúcar Físico não embarcado - Nov08 - Conferido 10_Relatório Gerencial_3-Balanço" xfId="9581"/>
    <cellStyle name="s_Valuation _DB Dados do Mercado_Açúcar Físico não embarcado - Nov08 - Conferido 10_Relatório Gerencial_7-Estoque" xfId="9582"/>
    <cellStyle name="s_Valuation _DB Dados do Mercado_Açúcar Físico não embarcado - Nov08 - Conferido 10_Relatório Gerencial_DB Entrada" xfId="9583"/>
    <cellStyle name="s_Valuation _DB Dados do Mercado_Açúcar Físico não embarcado - Nov08 - Conferido 10_Relatório Gerencial_DB Entrada 2" xfId="9584"/>
    <cellStyle name="s_Valuation _DB Dados do Mercado_Açúcar Físico não embarcado - Nov08 - Conferido 10_Relatório Gerencial_DB Entrada 2_15-FINANCEIRAS" xfId="9585"/>
    <cellStyle name="s_Valuation _DB Dados do Mercado_Açúcar Físico não embarcado - Nov08 - Conferido 10_Relatório Gerencial_DB Entrada_15-FINANCEIRAS" xfId="9586"/>
    <cellStyle name="s_Valuation _DB Dados do Mercado_Açúcar Físico não embarcado - Nov08 - Conferido 10_Relatório Gerencial_DB Entrada_15-FINANCEIRAS_1" xfId="9587"/>
    <cellStyle name="s_Valuation _DB Dados do Mercado_Açúcar Físico não embarcado - Nov08 - Conferido 10_Relatório Gerencial_DB Entrada_3-Balanço" xfId="9588"/>
    <cellStyle name="s_Valuation _DB Dados do Mercado_Açúcar Físico não embarcado - Nov08 - Conferido 10_Relatório Gerencial_DB Entrada_7-Estoque" xfId="9589"/>
    <cellStyle name="s_Valuation _DB Dados do Mercado_Açúcar Físico não embarcado - Nov08 - Conferido 11" xfId="9590"/>
    <cellStyle name="s_Valuation _DB Dados do Mercado_Açúcar Físico não embarcado - Nov08 - Conferido 11 2" xfId="9591"/>
    <cellStyle name="s_Valuation _DB Dados do Mercado_Açúcar Físico não embarcado - Nov08 - Conferido 11 2_15-FINANCEIRAS" xfId="9592"/>
    <cellStyle name="s_Valuation _DB Dados do Mercado_Açúcar Físico não embarcado - Nov08 - Conferido 11_15-FINANCEIRAS" xfId="9593"/>
    <cellStyle name="s_Valuation _DB Dados do Mercado_Açúcar Físico não embarcado - Nov08 - Conferido 11_15-FINANCEIRAS_1" xfId="9594"/>
    <cellStyle name="s_Valuation _DB Dados do Mercado_Açúcar Físico não embarcado - Nov08 - Conferido 11_3-Balanço" xfId="9595"/>
    <cellStyle name="s_Valuation _DB Dados do Mercado_Açúcar Físico não embarcado - Nov08 - Conferido 11_7-Estoque" xfId="9596"/>
    <cellStyle name="s_Valuation _DB Dados do Mercado_Açúcar Físico não embarcado - Nov08 - Conferido 11_Relatório Gerencial" xfId="9597"/>
    <cellStyle name="s_Valuation _DB Dados do Mercado_Açúcar Físico não embarcado - Nov08 - Conferido 11_Relatório Gerencial 2" xfId="9598"/>
    <cellStyle name="s_Valuation _DB Dados do Mercado_Açúcar Físico não embarcado - Nov08 - Conferido 11_Relatório Gerencial 2_15-FINANCEIRAS" xfId="9599"/>
    <cellStyle name="s_Valuation _DB Dados do Mercado_Açúcar Físico não embarcado - Nov08 - Conferido 11_Relatório Gerencial_15-FINANCEIRAS" xfId="9600"/>
    <cellStyle name="s_Valuation _DB Dados do Mercado_Açúcar Físico não embarcado - Nov08 - Conferido 11_Relatório Gerencial_15-FINANCEIRAS_1" xfId="9601"/>
    <cellStyle name="s_Valuation _DB Dados do Mercado_Açúcar Físico não embarcado - Nov08 - Conferido 11_Relatório Gerencial_3-Balanço" xfId="9602"/>
    <cellStyle name="s_Valuation _DB Dados do Mercado_Açúcar Físico não embarcado - Nov08 - Conferido 11_Relatório Gerencial_7-Estoque" xfId="9603"/>
    <cellStyle name="s_Valuation _DB Dados do Mercado_Açúcar Físico não embarcado - Nov08 - Conferido 11_Relatório Gerencial_DB Entrada" xfId="9604"/>
    <cellStyle name="s_Valuation _DB Dados do Mercado_Açúcar Físico não embarcado - Nov08 - Conferido 11_Relatório Gerencial_DB Entrada 2" xfId="9605"/>
    <cellStyle name="s_Valuation _DB Dados do Mercado_Açúcar Físico não embarcado - Nov08 - Conferido 11_Relatório Gerencial_DB Entrada 2_15-FINANCEIRAS" xfId="9606"/>
    <cellStyle name="s_Valuation _DB Dados do Mercado_Açúcar Físico não embarcado - Nov08 - Conferido 11_Relatório Gerencial_DB Entrada_15-FINANCEIRAS" xfId="9607"/>
    <cellStyle name="s_Valuation _DB Dados do Mercado_Açúcar Físico não embarcado - Nov08 - Conferido 11_Relatório Gerencial_DB Entrada_15-FINANCEIRAS_1" xfId="9608"/>
    <cellStyle name="s_Valuation _DB Dados do Mercado_Açúcar Físico não embarcado - Nov08 - Conferido 11_Relatório Gerencial_DB Entrada_3-Balanço" xfId="9609"/>
    <cellStyle name="s_Valuation _DB Dados do Mercado_Açúcar Físico não embarcado - Nov08 - Conferido 11_Relatório Gerencial_DB Entrada_7-Estoque" xfId="9610"/>
    <cellStyle name="s_Valuation _DB Dados do Mercado_Açúcar Físico não embarcado - Nov08 - Conferido 12" xfId="9611"/>
    <cellStyle name="s_Valuation _DB Dados do Mercado_Açúcar Físico não embarcado - Nov08 - Conferido 12 2" xfId="9612"/>
    <cellStyle name="s_Valuation _DB Dados do Mercado_Açúcar Físico não embarcado - Nov08 - Conferido 12 2_15-FINANCEIRAS" xfId="9613"/>
    <cellStyle name="s_Valuation _DB Dados do Mercado_Açúcar Físico não embarcado - Nov08 - Conferido 12_15-FINANCEIRAS" xfId="9614"/>
    <cellStyle name="s_Valuation _DB Dados do Mercado_Açúcar Físico não embarcado - Nov08 - Conferido 12_15-FINANCEIRAS_1" xfId="9615"/>
    <cellStyle name="s_Valuation _DB Dados do Mercado_Açúcar Físico não embarcado - Nov08 - Conferido 12_3-Balanço" xfId="9616"/>
    <cellStyle name="s_Valuation _DB Dados do Mercado_Açúcar Físico não embarcado - Nov08 - Conferido 12_7-Estoque" xfId="9617"/>
    <cellStyle name="s_Valuation _DB Dados do Mercado_Açúcar Físico não embarcado - Nov08 - Conferido 12_Relatório Gerencial" xfId="9618"/>
    <cellStyle name="s_Valuation _DB Dados do Mercado_Açúcar Físico não embarcado - Nov08 - Conferido 12_Relatório Gerencial 2" xfId="9619"/>
    <cellStyle name="s_Valuation _DB Dados do Mercado_Açúcar Físico não embarcado - Nov08 - Conferido 12_Relatório Gerencial 2_15-FINANCEIRAS" xfId="9620"/>
    <cellStyle name="s_Valuation _DB Dados do Mercado_Açúcar Físico não embarcado - Nov08 - Conferido 12_Relatório Gerencial_15-FINANCEIRAS" xfId="9621"/>
    <cellStyle name="s_Valuation _DB Dados do Mercado_Açúcar Físico não embarcado - Nov08 - Conferido 12_Relatório Gerencial_15-FINANCEIRAS_1" xfId="9622"/>
    <cellStyle name="s_Valuation _DB Dados do Mercado_Açúcar Físico não embarcado - Nov08 - Conferido 12_Relatório Gerencial_3-Balanço" xfId="9623"/>
    <cellStyle name="s_Valuation _DB Dados do Mercado_Açúcar Físico não embarcado - Nov08 - Conferido 12_Relatório Gerencial_7-Estoque" xfId="9624"/>
    <cellStyle name="s_Valuation _DB Dados do Mercado_Açúcar Físico não embarcado - Nov08 - Conferido 12_Relatório Gerencial_DB Entrada" xfId="9625"/>
    <cellStyle name="s_Valuation _DB Dados do Mercado_Açúcar Físico não embarcado - Nov08 - Conferido 12_Relatório Gerencial_DB Entrada 2" xfId="9626"/>
    <cellStyle name="s_Valuation _DB Dados do Mercado_Açúcar Físico não embarcado - Nov08 - Conferido 12_Relatório Gerencial_DB Entrada 2_15-FINANCEIRAS" xfId="9627"/>
    <cellStyle name="s_Valuation _DB Dados do Mercado_Açúcar Físico não embarcado - Nov08 - Conferido 12_Relatório Gerencial_DB Entrada_15-FINANCEIRAS" xfId="9628"/>
    <cellStyle name="s_Valuation _DB Dados do Mercado_Açúcar Físico não embarcado - Nov08 - Conferido 12_Relatório Gerencial_DB Entrada_15-FINANCEIRAS_1" xfId="9629"/>
    <cellStyle name="s_Valuation _DB Dados do Mercado_Açúcar Físico não embarcado - Nov08 - Conferido 12_Relatório Gerencial_DB Entrada_3-Balanço" xfId="9630"/>
    <cellStyle name="s_Valuation _DB Dados do Mercado_Açúcar Físico não embarcado - Nov08 - Conferido 12_Relatório Gerencial_DB Entrada_7-Estoque" xfId="9631"/>
    <cellStyle name="s_Valuation _DB Dados do Mercado_Açúcar Físico não embarcado - Nov08 - Conferido 13" xfId="9632"/>
    <cellStyle name="s_Valuation _DB Dados do Mercado_Açúcar Físico não embarcado - Nov08 - Conferido 13 2" xfId="9633"/>
    <cellStyle name="s_Valuation _DB Dados do Mercado_Açúcar Físico não embarcado - Nov08 - Conferido 13 2_15-FINANCEIRAS" xfId="9634"/>
    <cellStyle name="s_Valuation _DB Dados do Mercado_Açúcar Físico não embarcado - Nov08 - Conferido 13_15-FINANCEIRAS" xfId="9635"/>
    <cellStyle name="s_Valuation _DB Dados do Mercado_Açúcar Físico não embarcado - Nov08 - Conferido 13_15-FINANCEIRAS_1" xfId="9636"/>
    <cellStyle name="s_Valuation _DB Dados do Mercado_Açúcar Físico não embarcado - Nov08 - Conferido 13_3-Balanço" xfId="9637"/>
    <cellStyle name="s_Valuation _DB Dados do Mercado_Açúcar Físico não embarcado - Nov08 - Conferido 13_7-Estoque" xfId="9638"/>
    <cellStyle name="s_Valuation _DB Dados do Mercado_Açúcar Físico não embarcado - Nov08 - Conferido 13_Relatório Gerencial" xfId="9639"/>
    <cellStyle name="s_Valuation _DB Dados do Mercado_Açúcar Físico não embarcado - Nov08 - Conferido 13_Relatório Gerencial 2" xfId="9640"/>
    <cellStyle name="s_Valuation _DB Dados do Mercado_Açúcar Físico não embarcado - Nov08 - Conferido 13_Relatório Gerencial 2_15-FINANCEIRAS" xfId="9641"/>
    <cellStyle name="s_Valuation _DB Dados do Mercado_Açúcar Físico não embarcado - Nov08 - Conferido 13_Relatório Gerencial_15-FINANCEIRAS" xfId="9642"/>
    <cellStyle name="s_Valuation _DB Dados do Mercado_Açúcar Físico não embarcado - Nov08 - Conferido 13_Relatório Gerencial_15-FINANCEIRAS_1" xfId="9643"/>
    <cellStyle name="s_Valuation _DB Dados do Mercado_Açúcar Físico não embarcado - Nov08 - Conferido 13_Relatório Gerencial_3-Balanço" xfId="9644"/>
    <cellStyle name="s_Valuation _DB Dados do Mercado_Açúcar Físico não embarcado - Nov08 - Conferido 13_Relatório Gerencial_7-Estoque" xfId="9645"/>
    <cellStyle name="s_Valuation _DB Dados do Mercado_Açúcar Físico não embarcado - Nov08 - Conferido 13_Relatório Gerencial_DB Entrada" xfId="9646"/>
    <cellStyle name="s_Valuation _DB Dados do Mercado_Açúcar Físico não embarcado - Nov08 - Conferido 13_Relatório Gerencial_DB Entrada 2" xfId="9647"/>
    <cellStyle name="s_Valuation _DB Dados do Mercado_Açúcar Físico não embarcado - Nov08 - Conferido 13_Relatório Gerencial_DB Entrada 2_15-FINANCEIRAS" xfId="9648"/>
    <cellStyle name="s_Valuation _DB Dados do Mercado_Açúcar Físico não embarcado - Nov08 - Conferido 13_Relatório Gerencial_DB Entrada_15-FINANCEIRAS" xfId="9649"/>
    <cellStyle name="s_Valuation _DB Dados do Mercado_Açúcar Físico não embarcado - Nov08 - Conferido 13_Relatório Gerencial_DB Entrada_15-FINANCEIRAS_1" xfId="9650"/>
    <cellStyle name="s_Valuation _DB Dados do Mercado_Açúcar Físico não embarcado - Nov08 - Conferido 13_Relatório Gerencial_DB Entrada_3-Balanço" xfId="9651"/>
    <cellStyle name="s_Valuation _DB Dados do Mercado_Açúcar Físico não embarcado - Nov08 - Conferido 13_Relatório Gerencial_DB Entrada_7-Estoque" xfId="9652"/>
    <cellStyle name="s_Valuation _DB Dados do Mercado_Açúcar Físico não embarcado - Nov08 - Conferido 14" xfId="9653"/>
    <cellStyle name="s_Valuation _DB Dados do Mercado_Açúcar Físico não embarcado - Nov08 - Conferido 14 2" xfId="9654"/>
    <cellStyle name="s_Valuation _DB Dados do Mercado_Açúcar Físico não embarcado - Nov08 - Conferido 14 2_15-FINANCEIRAS" xfId="9655"/>
    <cellStyle name="s_Valuation _DB Dados do Mercado_Açúcar Físico não embarcado - Nov08 - Conferido 14_15-FINANCEIRAS" xfId="9656"/>
    <cellStyle name="s_Valuation _DB Dados do Mercado_Açúcar Físico não embarcado - Nov08 - Conferido 14_15-FINANCEIRAS_1" xfId="9657"/>
    <cellStyle name="s_Valuation _DB Dados do Mercado_Açúcar Físico não embarcado - Nov08 - Conferido 14_3-Balanço" xfId="9658"/>
    <cellStyle name="s_Valuation _DB Dados do Mercado_Açúcar Físico não embarcado - Nov08 - Conferido 14_7-Estoque" xfId="9659"/>
    <cellStyle name="s_Valuation _DB Dados do Mercado_Açúcar Físico não embarcado - Nov08 - Conferido 14_Relatório Gerencial" xfId="9660"/>
    <cellStyle name="s_Valuation _DB Dados do Mercado_Açúcar Físico não embarcado - Nov08 - Conferido 14_Relatório Gerencial 2" xfId="9661"/>
    <cellStyle name="s_Valuation _DB Dados do Mercado_Açúcar Físico não embarcado - Nov08 - Conferido 14_Relatório Gerencial 2_15-FINANCEIRAS" xfId="9662"/>
    <cellStyle name="s_Valuation _DB Dados do Mercado_Açúcar Físico não embarcado - Nov08 - Conferido 14_Relatório Gerencial_15-FINANCEIRAS" xfId="9663"/>
    <cellStyle name="s_Valuation _DB Dados do Mercado_Açúcar Físico não embarcado - Nov08 - Conferido 14_Relatório Gerencial_15-FINANCEIRAS_1" xfId="9664"/>
    <cellStyle name="s_Valuation _DB Dados do Mercado_Açúcar Físico não embarcado - Nov08 - Conferido 14_Relatório Gerencial_3-Balanço" xfId="9665"/>
    <cellStyle name="s_Valuation _DB Dados do Mercado_Açúcar Físico não embarcado - Nov08 - Conferido 14_Relatório Gerencial_7-Estoque" xfId="9666"/>
    <cellStyle name="s_Valuation _DB Dados do Mercado_Açúcar Físico não embarcado - Nov08 - Conferido 14_Relatório Gerencial_DB Entrada" xfId="9667"/>
    <cellStyle name="s_Valuation _DB Dados do Mercado_Açúcar Físico não embarcado - Nov08 - Conferido 14_Relatório Gerencial_DB Entrada 2" xfId="9668"/>
    <cellStyle name="s_Valuation _DB Dados do Mercado_Açúcar Físico não embarcado - Nov08 - Conferido 14_Relatório Gerencial_DB Entrada 2_15-FINANCEIRAS" xfId="9669"/>
    <cellStyle name="s_Valuation _DB Dados do Mercado_Açúcar Físico não embarcado - Nov08 - Conferido 14_Relatório Gerencial_DB Entrada_15-FINANCEIRAS" xfId="9670"/>
    <cellStyle name="s_Valuation _DB Dados do Mercado_Açúcar Físico não embarcado - Nov08 - Conferido 14_Relatório Gerencial_DB Entrada_15-FINANCEIRAS_1" xfId="9671"/>
    <cellStyle name="s_Valuation _DB Dados do Mercado_Açúcar Físico não embarcado - Nov08 - Conferido 14_Relatório Gerencial_DB Entrada_3-Balanço" xfId="9672"/>
    <cellStyle name="s_Valuation _DB Dados do Mercado_Açúcar Físico não embarcado - Nov08 - Conferido 14_Relatório Gerencial_DB Entrada_7-Estoque" xfId="9673"/>
    <cellStyle name="s_Valuation _DB Dados do Mercado_Açúcar Físico não embarcado - Nov08 - Conferido 15" xfId="9674"/>
    <cellStyle name="s_Valuation _DB Dados do Mercado_Açúcar Físico não embarcado - Nov08 - Conferido 15_15-FINANCEIRAS" xfId="9675"/>
    <cellStyle name="s_Valuation _DB Dados do Mercado_Açúcar Físico não embarcado - Nov08 - Conferido 2" xfId="9676"/>
    <cellStyle name="s_Valuation _DB Dados do Mercado_Açúcar Físico não embarcado - Nov08 - Conferido 2 2" xfId="9677"/>
    <cellStyle name="s_Valuation _DB Dados do Mercado_Açúcar Físico não embarcado - Nov08 - Conferido 2 2_15-FINANCEIRAS" xfId="9678"/>
    <cellStyle name="s_Valuation _DB Dados do Mercado_Açúcar Físico não embarcado - Nov08 - Conferido 2_15-FINANCEIRAS" xfId="9679"/>
    <cellStyle name="s_Valuation _DB Dados do Mercado_Açúcar Físico não embarcado - Nov08 - Conferido 2_15-FINANCEIRAS_1" xfId="9680"/>
    <cellStyle name="s_Valuation _DB Dados do Mercado_Açúcar Físico não embarcado - Nov08 - Conferido 2_3-Balanço" xfId="9681"/>
    <cellStyle name="s_Valuation _DB Dados do Mercado_Açúcar Físico não embarcado - Nov08 - Conferido 2_7-Estoque" xfId="9682"/>
    <cellStyle name="s_Valuation _DB Dados do Mercado_Açúcar Físico não embarcado - Nov08 - Conferido 2_Relatório Gerencial" xfId="9683"/>
    <cellStyle name="s_Valuation _DB Dados do Mercado_Açúcar Físico não embarcado - Nov08 - Conferido 2_Relatório Gerencial 2" xfId="9684"/>
    <cellStyle name="s_Valuation _DB Dados do Mercado_Açúcar Físico não embarcado - Nov08 - Conferido 2_Relatório Gerencial 2_15-FINANCEIRAS" xfId="9685"/>
    <cellStyle name="s_Valuation _DB Dados do Mercado_Açúcar Físico não embarcado - Nov08 - Conferido 2_Relatório Gerencial_15-FINANCEIRAS" xfId="9686"/>
    <cellStyle name="s_Valuation _DB Dados do Mercado_Açúcar Físico não embarcado - Nov08 - Conferido 2_Relatório Gerencial_15-FINANCEIRAS_1" xfId="9687"/>
    <cellStyle name="s_Valuation _DB Dados do Mercado_Açúcar Físico não embarcado - Nov08 - Conferido 2_Relatório Gerencial_3-Balanço" xfId="9688"/>
    <cellStyle name="s_Valuation _DB Dados do Mercado_Açúcar Físico não embarcado - Nov08 - Conferido 2_Relatório Gerencial_7-Estoque" xfId="9689"/>
    <cellStyle name="s_Valuation _DB Dados do Mercado_Açúcar Físico não embarcado - Nov08 - Conferido 2_Relatório Gerencial_DB Entrada" xfId="9690"/>
    <cellStyle name="s_Valuation _DB Dados do Mercado_Açúcar Físico não embarcado - Nov08 - Conferido 2_Relatório Gerencial_DB Entrada 2" xfId="9691"/>
    <cellStyle name="s_Valuation _DB Dados do Mercado_Açúcar Físico não embarcado - Nov08 - Conferido 2_Relatório Gerencial_DB Entrada 2_15-FINANCEIRAS" xfId="9692"/>
    <cellStyle name="s_Valuation _DB Dados do Mercado_Açúcar Físico não embarcado - Nov08 - Conferido 2_Relatório Gerencial_DB Entrada_15-FINANCEIRAS" xfId="9693"/>
    <cellStyle name="s_Valuation _DB Dados do Mercado_Açúcar Físico não embarcado - Nov08 - Conferido 2_Relatório Gerencial_DB Entrada_15-FINANCEIRAS_1" xfId="9694"/>
    <cellStyle name="s_Valuation _DB Dados do Mercado_Açúcar Físico não embarcado - Nov08 - Conferido 2_Relatório Gerencial_DB Entrada_3-Balanço" xfId="9695"/>
    <cellStyle name="s_Valuation _DB Dados do Mercado_Açúcar Físico não embarcado - Nov08 - Conferido 2_Relatório Gerencial_DB Entrada_7-Estoque" xfId="9696"/>
    <cellStyle name="s_Valuation _DB Dados do Mercado_Açúcar Físico não embarcado - Nov08 - Conferido 3" xfId="9697"/>
    <cellStyle name="s_Valuation _DB Dados do Mercado_Açúcar Físico não embarcado - Nov08 - Conferido 3 2" xfId="9698"/>
    <cellStyle name="s_Valuation _DB Dados do Mercado_Açúcar Físico não embarcado - Nov08 - Conferido 3 2_15-FINANCEIRAS" xfId="9699"/>
    <cellStyle name="s_Valuation _DB Dados do Mercado_Açúcar Físico não embarcado - Nov08 - Conferido 3_15-FINANCEIRAS" xfId="9700"/>
    <cellStyle name="s_Valuation _DB Dados do Mercado_Açúcar Físico não embarcado - Nov08 - Conferido 3_15-FINANCEIRAS_1" xfId="9701"/>
    <cellStyle name="s_Valuation _DB Dados do Mercado_Açúcar Físico não embarcado - Nov08 - Conferido 3_3-Balanço" xfId="9702"/>
    <cellStyle name="s_Valuation _DB Dados do Mercado_Açúcar Físico não embarcado - Nov08 - Conferido 3_7-Estoque" xfId="9703"/>
    <cellStyle name="s_Valuation _DB Dados do Mercado_Açúcar Físico não embarcado - Nov08 - Conferido 3_Relatório Gerencial" xfId="9704"/>
    <cellStyle name="s_Valuation _DB Dados do Mercado_Açúcar Físico não embarcado - Nov08 - Conferido 3_Relatório Gerencial 2" xfId="9705"/>
    <cellStyle name="s_Valuation _DB Dados do Mercado_Açúcar Físico não embarcado - Nov08 - Conferido 3_Relatório Gerencial 2_15-FINANCEIRAS" xfId="9706"/>
    <cellStyle name="s_Valuation _DB Dados do Mercado_Açúcar Físico não embarcado - Nov08 - Conferido 3_Relatório Gerencial_15-FINANCEIRAS" xfId="9707"/>
    <cellStyle name="s_Valuation _DB Dados do Mercado_Açúcar Físico não embarcado - Nov08 - Conferido 3_Relatório Gerencial_15-FINANCEIRAS_1" xfId="9708"/>
    <cellStyle name="s_Valuation _DB Dados do Mercado_Açúcar Físico não embarcado - Nov08 - Conferido 3_Relatório Gerencial_3-Balanço" xfId="9709"/>
    <cellStyle name="s_Valuation _DB Dados do Mercado_Açúcar Físico não embarcado - Nov08 - Conferido 3_Relatório Gerencial_7-Estoque" xfId="9710"/>
    <cellStyle name="s_Valuation _DB Dados do Mercado_Açúcar Físico não embarcado - Nov08 - Conferido 3_Relatório Gerencial_DB Entrada" xfId="9711"/>
    <cellStyle name="s_Valuation _DB Dados do Mercado_Açúcar Físico não embarcado - Nov08 - Conferido 3_Relatório Gerencial_DB Entrada 2" xfId="9712"/>
    <cellStyle name="s_Valuation _DB Dados do Mercado_Açúcar Físico não embarcado - Nov08 - Conferido 3_Relatório Gerencial_DB Entrada 2_15-FINANCEIRAS" xfId="9713"/>
    <cellStyle name="s_Valuation _DB Dados do Mercado_Açúcar Físico não embarcado - Nov08 - Conferido 3_Relatório Gerencial_DB Entrada_15-FINANCEIRAS" xfId="9714"/>
    <cellStyle name="s_Valuation _DB Dados do Mercado_Açúcar Físico não embarcado - Nov08 - Conferido 3_Relatório Gerencial_DB Entrada_15-FINANCEIRAS_1" xfId="9715"/>
    <cellStyle name="s_Valuation _DB Dados do Mercado_Açúcar Físico não embarcado - Nov08 - Conferido 3_Relatório Gerencial_DB Entrada_3-Balanço" xfId="9716"/>
    <cellStyle name="s_Valuation _DB Dados do Mercado_Açúcar Físico não embarcado - Nov08 - Conferido 3_Relatório Gerencial_DB Entrada_7-Estoque" xfId="9717"/>
    <cellStyle name="s_Valuation _DB Dados do Mercado_Açúcar Físico não embarcado - Nov08 - Conferido 4" xfId="9718"/>
    <cellStyle name="s_Valuation _DB Dados do Mercado_Açúcar Físico não embarcado - Nov08 - Conferido 4 2" xfId="9719"/>
    <cellStyle name="s_Valuation _DB Dados do Mercado_Açúcar Físico não embarcado - Nov08 - Conferido 4 2_15-FINANCEIRAS" xfId="9720"/>
    <cellStyle name="s_Valuation _DB Dados do Mercado_Açúcar Físico não embarcado - Nov08 - Conferido 4_15-FINANCEIRAS" xfId="9721"/>
    <cellStyle name="s_Valuation _DB Dados do Mercado_Açúcar Físico não embarcado - Nov08 - Conferido 4_15-FINANCEIRAS_1" xfId="9722"/>
    <cellStyle name="s_Valuation _DB Dados do Mercado_Açúcar Físico não embarcado - Nov08 - Conferido 4_3-Balanço" xfId="9723"/>
    <cellStyle name="s_Valuation _DB Dados do Mercado_Açúcar Físico não embarcado - Nov08 - Conferido 4_7-Estoque" xfId="9724"/>
    <cellStyle name="s_Valuation _DB Dados do Mercado_Açúcar Físico não embarcado - Nov08 - Conferido 4_Relatório Gerencial" xfId="9725"/>
    <cellStyle name="s_Valuation _DB Dados do Mercado_Açúcar Físico não embarcado - Nov08 - Conferido 4_Relatório Gerencial 2" xfId="9726"/>
    <cellStyle name="s_Valuation _DB Dados do Mercado_Açúcar Físico não embarcado - Nov08 - Conferido 4_Relatório Gerencial 2_15-FINANCEIRAS" xfId="9727"/>
    <cellStyle name="s_Valuation _DB Dados do Mercado_Açúcar Físico não embarcado - Nov08 - Conferido 4_Relatório Gerencial_15-FINANCEIRAS" xfId="9728"/>
    <cellStyle name="s_Valuation _DB Dados do Mercado_Açúcar Físico não embarcado - Nov08 - Conferido 4_Relatório Gerencial_15-FINANCEIRAS_1" xfId="9729"/>
    <cellStyle name="s_Valuation _DB Dados do Mercado_Açúcar Físico não embarcado - Nov08 - Conferido 4_Relatório Gerencial_3-Balanço" xfId="9730"/>
    <cellStyle name="s_Valuation _DB Dados do Mercado_Açúcar Físico não embarcado - Nov08 - Conferido 4_Relatório Gerencial_7-Estoque" xfId="9731"/>
    <cellStyle name="s_Valuation _DB Dados do Mercado_Açúcar Físico não embarcado - Nov08 - Conferido 4_Relatório Gerencial_DB Entrada" xfId="9732"/>
    <cellStyle name="s_Valuation _DB Dados do Mercado_Açúcar Físico não embarcado - Nov08 - Conferido 4_Relatório Gerencial_DB Entrada 2" xfId="9733"/>
    <cellStyle name="s_Valuation _DB Dados do Mercado_Açúcar Físico não embarcado - Nov08 - Conferido 4_Relatório Gerencial_DB Entrada 2_15-FINANCEIRAS" xfId="9734"/>
    <cellStyle name="s_Valuation _DB Dados do Mercado_Açúcar Físico não embarcado - Nov08 - Conferido 4_Relatório Gerencial_DB Entrada_15-FINANCEIRAS" xfId="9735"/>
    <cellStyle name="s_Valuation _DB Dados do Mercado_Açúcar Físico não embarcado - Nov08 - Conferido 4_Relatório Gerencial_DB Entrada_15-FINANCEIRAS_1" xfId="9736"/>
    <cellStyle name="s_Valuation _DB Dados do Mercado_Açúcar Físico não embarcado - Nov08 - Conferido 4_Relatório Gerencial_DB Entrada_3-Balanço" xfId="9737"/>
    <cellStyle name="s_Valuation _DB Dados do Mercado_Açúcar Físico não embarcado - Nov08 - Conferido 4_Relatório Gerencial_DB Entrada_7-Estoque" xfId="9738"/>
    <cellStyle name="s_Valuation _DB Dados do Mercado_Açúcar Físico não embarcado - Nov08 - Conferido 5" xfId="9739"/>
    <cellStyle name="s_Valuation _DB Dados do Mercado_Açúcar Físico não embarcado - Nov08 - Conferido 5 2" xfId="9740"/>
    <cellStyle name="s_Valuation _DB Dados do Mercado_Açúcar Físico não embarcado - Nov08 - Conferido 5 2_15-FINANCEIRAS" xfId="9741"/>
    <cellStyle name="s_Valuation _DB Dados do Mercado_Açúcar Físico não embarcado - Nov08 - Conferido 5_15-FINANCEIRAS" xfId="9742"/>
    <cellStyle name="s_Valuation _DB Dados do Mercado_Açúcar Físico não embarcado - Nov08 - Conferido 5_15-FINANCEIRAS_1" xfId="9743"/>
    <cellStyle name="s_Valuation _DB Dados do Mercado_Açúcar Físico não embarcado - Nov08 - Conferido 5_3-Balanço" xfId="9744"/>
    <cellStyle name="s_Valuation _DB Dados do Mercado_Açúcar Físico não embarcado - Nov08 - Conferido 5_7-Estoque" xfId="9745"/>
    <cellStyle name="s_Valuation _DB Dados do Mercado_Açúcar Físico não embarcado - Nov08 - Conferido 5_Relatório Gerencial" xfId="9746"/>
    <cellStyle name="s_Valuation _DB Dados do Mercado_Açúcar Físico não embarcado - Nov08 - Conferido 5_Relatório Gerencial 2" xfId="9747"/>
    <cellStyle name="s_Valuation _DB Dados do Mercado_Açúcar Físico não embarcado - Nov08 - Conferido 5_Relatório Gerencial 2_15-FINANCEIRAS" xfId="9748"/>
    <cellStyle name="s_Valuation _DB Dados do Mercado_Açúcar Físico não embarcado - Nov08 - Conferido 5_Relatório Gerencial_15-FINANCEIRAS" xfId="9749"/>
    <cellStyle name="s_Valuation _DB Dados do Mercado_Açúcar Físico não embarcado - Nov08 - Conferido 5_Relatório Gerencial_15-FINANCEIRAS_1" xfId="9750"/>
    <cellStyle name="s_Valuation _DB Dados do Mercado_Açúcar Físico não embarcado - Nov08 - Conferido 5_Relatório Gerencial_3-Balanço" xfId="9751"/>
    <cellStyle name="s_Valuation _DB Dados do Mercado_Açúcar Físico não embarcado - Nov08 - Conferido 5_Relatório Gerencial_7-Estoque" xfId="9752"/>
    <cellStyle name="s_Valuation _DB Dados do Mercado_Açúcar Físico não embarcado - Nov08 - Conferido 5_Relatório Gerencial_DB Entrada" xfId="9753"/>
    <cellStyle name="s_Valuation _DB Dados do Mercado_Açúcar Físico não embarcado - Nov08 - Conferido 5_Relatório Gerencial_DB Entrada 2" xfId="9754"/>
    <cellStyle name="s_Valuation _DB Dados do Mercado_Açúcar Físico não embarcado - Nov08 - Conferido 5_Relatório Gerencial_DB Entrada 2_15-FINANCEIRAS" xfId="9755"/>
    <cellStyle name="s_Valuation _DB Dados do Mercado_Açúcar Físico não embarcado - Nov08 - Conferido 5_Relatório Gerencial_DB Entrada_15-FINANCEIRAS" xfId="9756"/>
    <cellStyle name="s_Valuation _DB Dados do Mercado_Açúcar Físico não embarcado - Nov08 - Conferido 5_Relatório Gerencial_DB Entrada_15-FINANCEIRAS_1" xfId="9757"/>
    <cellStyle name="s_Valuation _DB Dados do Mercado_Açúcar Físico não embarcado - Nov08 - Conferido 5_Relatório Gerencial_DB Entrada_3-Balanço" xfId="9758"/>
    <cellStyle name="s_Valuation _DB Dados do Mercado_Açúcar Físico não embarcado - Nov08 - Conferido 5_Relatório Gerencial_DB Entrada_7-Estoque" xfId="9759"/>
    <cellStyle name="s_Valuation _DB Dados do Mercado_Açúcar Físico não embarcado - Nov08 - Conferido 6" xfId="9760"/>
    <cellStyle name="s_Valuation _DB Dados do Mercado_Açúcar Físico não embarcado - Nov08 - Conferido 6 2" xfId="9761"/>
    <cellStyle name="s_Valuation _DB Dados do Mercado_Açúcar Físico não embarcado - Nov08 - Conferido 6 2_15-FINANCEIRAS" xfId="9762"/>
    <cellStyle name="s_Valuation _DB Dados do Mercado_Açúcar Físico não embarcado - Nov08 - Conferido 6_15-FINANCEIRAS" xfId="9763"/>
    <cellStyle name="s_Valuation _DB Dados do Mercado_Açúcar Físico não embarcado - Nov08 - Conferido 6_15-FINANCEIRAS_1" xfId="9764"/>
    <cellStyle name="s_Valuation _DB Dados do Mercado_Açúcar Físico não embarcado - Nov08 - Conferido 6_3-Balanço" xfId="9765"/>
    <cellStyle name="s_Valuation _DB Dados do Mercado_Açúcar Físico não embarcado - Nov08 - Conferido 6_7-Estoque" xfId="9766"/>
    <cellStyle name="s_Valuation _DB Dados do Mercado_Açúcar Físico não embarcado - Nov08 - Conferido 6_Relatório Gerencial" xfId="9767"/>
    <cellStyle name="s_Valuation _DB Dados do Mercado_Açúcar Físico não embarcado - Nov08 - Conferido 6_Relatório Gerencial 2" xfId="9768"/>
    <cellStyle name="s_Valuation _DB Dados do Mercado_Açúcar Físico não embarcado - Nov08 - Conferido 6_Relatório Gerencial 2_15-FINANCEIRAS" xfId="9769"/>
    <cellStyle name="s_Valuation _DB Dados do Mercado_Açúcar Físico não embarcado - Nov08 - Conferido 6_Relatório Gerencial_15-FINANCEIRAS" xfId="9770"/>
    <cellStyle name="s_Valuation _DB Dados do Mercado_Açúcar Físico não embarcado - Nov08 - Conferido 6_Relatório Gerencial_15-FINANCEIRAS_1" xfId="9771"/>
    <cellStyle name="s_Valuation _DB Dados do Mercado_Açúcar Físico não embarcado - Nov08 - Conferido 6_Relatório Gerencial_3-Balanço" xfId="9772"/>
    <cellStyle name="s_Valuation _DB Dados do Mercado_Açúcar Físico não embarcado - Nov08 - Conferido 6_Relatório Gerencial_7-Estoque" xfId="9773"/>
    <cellStyle name="s_Valuation _DB Dados do Mercado_Açúcar Físico não embarcado - Nov08 - Conferido 6_Relatório Gerencial_DB Entrada" xfId="9774"/>
    <cellStyle name="s_Valuation _DB Dados do Mercado_Açúcar Físico não embarcado - Nov08 - Conferido 6_Relatório Gerencial_DB Entrada 2" xfId="9775"/>
    <cellStyle name="s_Valuation _DB Dados do Mercado_Açúcar Físico não embarcado - Nov08 - Conferido 6_Relatório Gerencial_DB Entrada 2_15-FINANCEIRAS" xfId="9776"/>
    <cellStyle name="s_Valuation _DB Dados do Mercado_Açúcar Físico não embarcado - Nov08 - Conferido 6_Relatório Gerencial_DB Entrada_15-FINANCEIRAS" xfId="9777"/>
    <cellStyle name="s_Valuation _DB Dados do Mercado_Açúcar Físico não embarcado - Nov08 - Conferido 6_Relatório Gerencial_DB Entrada_15-FINANCEIRAS_1" xfId="9778"/>
    <cellStyle name="s_Valuation _DB Dados do Mercado_Açúcar Físico não embarcado - Nov08 - Conferido 6_Relatório Gerencial_DB Entrada_3-Balanço" xfId="9779"/>
    <cellStyle name="s_Valuation _DB Dados do Mercado_Açúcar Físico não embarcado - Nov08 - Conferido 6_Relatório Gerencial_DB Entrada_7-Estoque" xfId="9780"/>
    <cellStyle name="s_Valuation _DB Dados do Mercado_Açúcar Físico não embarcado - Nov08 - Conferido 7" xfId="9781"/>
    <cellStyle name="s_Valuation _DB Dados do Mercado_Açúcar Físico não embarcado - Nov08 - Conferido 7 2" xfId="9782"/>
    <cellStyle name="s_Valuation _DB Dados do Mercado_Açúcar Físico não embarcado - Nov08 - Conferido 7 2_15-FINANCEIRAS" xfId="9783"/>
    <cellStyle name="s_Valuation _DB Dados do Mercado_Açúcar Físico não embarcado - Nov08 - Conferido 7_15-FINANCEIRAS" xfId="9784"/>
    <cellStyle name="s_Valuation _DB Dados do Mercado_Açúcar Físico não embarcado - Nov08 - Conferido 7_15-FINANCEIRAS_1" xfId="9785"/>
    <cellStyle name="s_Valuation _DB Dados do Mercado_Açúcar Físico não embarcado - Nov08 - Conferido 7_3-Balanço" xfId="9786"/>
    <cellStyle name="s_Valuation _DB Dados do Mercado_Açúcar Físico não embarcado - Nov08 - Conferido 7_7-Estoque" xfId="9787"/>
    <cellStyle name="s_Valuation _DB Dados do Mercado_Açúcar Físico não embarcado - Nov08 - Conferido 7_Relatório Gerencial" xfId="9788"/>
    <cellStyle name="s_Valuation _DB Dados do Mercado_Açúcar Físico não embarcado - Nov08 - Conferido 7_Relatório Gerencial 2" xfId="9789"/>
    <cellStyle name="s_Valuation _DB Dados do Mercado_Açúcar Físico não embarcado - Nov08 - Conferido 7_Relatório Gerencial 2_15-FINANCEIRAS" xfId="9790"/>
    <cellStyle name="s_Valuation _DB Dados do Mercado_Açúcar Físico não embarcado - Nov08 - Conferido 7_Relatório Gerencial_15-FINANCEIRAS" xfId="9791"/>
    <cellStyle name="s_Valuation _DB Dados do Mercado_Açúcar Físico não embarcado - Nov08 - Conferido 7_Relatório Gerencial_15-FINANCEIRAS_1" xfId="9792"/>
    <cellStyle name="s_Valuation _DB Dados do Mercado_Açúcar Físico não embarcado - Nov08 - Conferido 7_Relatório Gerencial_3-Balanço" xfId="9793"/>
    <cellStyle name="s_Valuation _DB Dados do Mercado_Açúcar Físico não embarcado - Nov08 - Conferido 7_Relatório Gerencial_7-Estoque" xfId="9794"/>
    <cellStyle name="s_Valuation _DB Dados do Mercado_Açúcar Físico não embarcado - Nov08 - Conferido 7_Relatório Gerencial_DB Entrada" xfId="9795"/>
    <cellStyle name="s_Valuation _DB Dados do Mercado_Açúcar Físico não embarcado - Nov08 - Conferido 7_Relatório Gerencial_DB Entrada 2" xfId="9796"/>
    <cellStyle name="s_Valuation _DB Dados do Mercado_Açúcar Físico não embarcado - Nov08 - Conferido 7_Relatório Gerencial_DB Entrada 2_15-FINANCEIRAS" xfId="9797"/>
    <cellStyle name="s_Valuation _DB Dados do Mercado_Açúcar Físico não embarcado - Nov08 - Conferido 7_Relatório Gerencial_DB Entrada_15-FINANCEIRAS" xfId="9798"/>
    <cellStyle name="s_Valuation _DB Dados do Mercado_Açúcar Físico não embarcado - Nov08 - Conferido 7_Relatório Gerencial_DB Entrada_15-FINANCEIRAS_1" xfId="9799"/>
    <cellStyle name="s_Valuation _DB Dados do Mercado_Açúcar Físico não embarcado - Nov08 - Conferido 7_Relatório Gerencial_DB Entrada_3-Balanço" xfId="9800"/>
    <cellStyle name="s_Valuation _DB Dados do Mercado_Açúcar Físico não embarcado - Nov08 - Conferido 7_Relatório Gerencial_DB Entrada_7-Estoque" xfId="9801"/>
    <cellStyle name="s_Valuation _DB Dados do Mercado_Açúcar Físico não embarcado - Nov08 - Conferido 8" xfId="9802"/>
    <cellStyle name="s_Valuation _DB Dados do Mercado_Açúcar Físico não embarcado - Nov08 - Conferido 8 2" xfId="9803"/>
    <cellStyle name="s_Valuation _DB Dados do Mercado_Açúcar Físico não embarcado - Nov08 - Conferido 8 2_15-FINANCEIRAS" xfId="9804"/>
    <cellStyle name="s_Valuation _DB Dados do Mercado_Açúcar Físico não embarcado - Nov08 - Conferido 8_15-FINANCEIRAS" xfId="9805"/>
    <cellStyle name="s_Valuation _DB Dados do Mercado_Açúcar Físico não embarcado - Nov08 - Conferido 8_15-FINANCEIRAS_1" xfId="9806"/>
    <cellStyle name="s_Valuation _DB Dados do Mercado_Açúcar Físico não embarcado - Nov08 - Conferido 8_3-Balanço" xfId="9807"/>
    <cellStyle name="s_Valuation _DB Dados do Mercado_Açúcar Físico não embarcado - Nov08 - Conferido 8_7-Estoque" xfId="9808"/>
    <cellStyle name="s_Valuation _DB Dados do Mercado_Açúcar Físico não embarcado - Nov08 - Conferido 8_Relatório Gerencial" xfId="9809"/>
    <cellStyle name="s_Valuation _DB Dados do Mercado_Açúcar Físico não embarcado - Nov08 - Conferido 8_Relatório Gerencial 2" xfId="9810"/>
    <cellStyle name="s_Valuation _DB Dados do Mercado_Açúcar Físico não embarcado - Nov08 - Conferido 8_Relatório Gerencial 2_15-FINANCEIRAS" xfId="9811"/>
    <cellStyle name="s_Valuation _DB Dados do Mercado_Açúcar Físico não embarcado - Nov08 - Conferido 8_Relatório Gerencial_15-FINANCEIRAS" xfId="9812"/>
    <cellStyle name="s_Valuation _DB Dados do Mercado_Açúcar Físico não embarcado - Nov08 - Conferido 8_Relatório Gerencial_15-FINANCEIRAS_1" xfId="9813"/>
    <cellStyle name="s_Valuation _DB Dados do Mercado_Açúcar Físico não embarcado - Nov08 - Conferido 8_Relatório Gerencial_3-Balanço" xfId="9814"/>
    <cellStyle name="s_Valuation _DB Dados do Mercado_Açúcar Físico não embarcado - Nov08 - Conferido 8_Relatório Gerencial_7-Estoque" xfId="9815"/>
    <cellStyle name="s_Valuation _DB Dados do Mercado_Açúcar Físico não embarcado - Nov08 - Conferido 8_Relatório Gerencial_DB Entrada" xfId="9816"/>
    <cellStyle name="s_Valuation _DB Dados do Mercado_Açúcar Físico não embarcado - Nov08 - Conferido 8_Relatório Gerencial_DB Entrada 2" xfId="9817"/>
    <cellStyle name="s_Valuation _DB Dados do Mercado_Açúcar Físico não embarcado - Nov08 - Conferido 8_Relatório Gerencial_DB Entrada 2_15-FINANCEIRAS" xfId="9818"/>
    <cellStyle name="s_Valuation _DB Dados do Mercado_Açúcar Físico não embarcado - Nov08 - Conferido 8_Relatório Gerencial_DB Entrada_15-FINANCEIRAS" xfId="9819"/>
    <cellStyle name="s_Valuation _DB Dados do Mercado_Açúcar Físico não embarcado - Nov08 - Conferido 8_Relatório Gerencial_DB Entrada_15-FINANCEIRAS_1" xfId="9820"/>
    <cellStyle name="s_Valuation _DB Dados do Mercado_Açúcar Físico não embarcado - Nov08 - Conferido 8_Relatório Gerencial_DB Entrada_3-Balanço" xfId="9821"/>
    <cellStyle name="s_Valuation _DB Dados do Mercado_Açúcar Físico não embarcado - Nov08 - Conferido 8_Relatório Gerencial_DB Entrada_7-Estoque" xfId="9822"/>
    <cellStyle name="s_Valuation _DB Dados do Mercado_Açúcar Físico não embarcado - Nov08 - Conferido 9" xfId="9823"/>
    <cellStyle name="s_Valuation _DB Dados do Mercado_Açúcar Físico não embarcado - Nov08 - Conferido 9 2" xfId="9824"/>
    <cellStyle name="s_Valuation _DB Dados do Mercado_Açúcar Físico não embarcado - Nov08 - Conferido 9 2_15-FINANCEIRAS" xfId="9825"/>
    <cellStyle name="s_Valuation _DB Dados do Mercado_Açúcar Físico não embarcado - Nov08 - Conferido 9_15-FINANCEIRAS" xfId="9826"/>
    <cellStyle name="s_Valuation _DB Dados do Mercado_Açúcar Físico não embarcado - Nov08 - Conferido 9_15-FINANCEIRAS_1" xfId="9827"/>
    <cellStyle name="s_Valuation _DB Dados do Mercado_Açúcar Físico não embarcado - Nov08 - Conferido 9_3-Balanço" xfId="9828"/>
    <cellStyle name="s_Valuation _DB Dados do Mercado_Açúcar Físico não embarcado - Nov08 - Conferido 9_7-Estoque" xfId="9829"/>
    <cellStyle name="s_Valuation _DB Dados do Mercado_Açúcar Físico não embarcado - Nov08 - Conferido 9_Relatório Gerencial" xfId="9830"/>
    <cellStyle name="s_Valuation _DB Dados do Mercado_Açúcar Físico não embarcado - Nov08 - Conferido 9_Relatório Gerencial 2" xfId="9831"/>
    <cellStyle name="s_Valuation _DB Dados do Mercado_Açúcar Físico não embarcado - Nov08 - Conferido 9_Relatório Gerencial 2_15-FINANCEIRAS" xfId="9832"/>
    <cellStyle name="s_Valuation _DB Dados do Mercado_Açúcar Físico não embarcado - Nov08 - Conferido 9_Relatório Gerencial_15-FINANCEIRAS" xfId="9833"/>
    <cellStyle name="s_Valuation _DB Dados do Mercado_Açúcar Físico não embarcado - Nov08 - Conferido 9_Relatório Gerencial_15-FINANCEIRAS_1" xfId="9834"/>
    <cellStyle name="s_Valuation _DB Dados do Mercado_Açúcar Físico não embarcado - Nov08 - Conferido 9_Relatório Gerencial_3-Balanço" xfId="9835"/>
    <cellStyle name="s_Valuation _DB Dados do Mercado_Açúcar Físico não embarcado - Nov08 - Conferido 9_Relatório Gerencial_7-Estoque" xfId="9836"/>
    <cellStyle name="s_Valuation _DB Dados do Mercado_Açúcar Físico não embarcado - Nov08 - Conferido 9_Relatório Gerencial_DB Entrada" xfId="9837"/>
    <cellStyle name="s_Valuation _DB Dados do Mercado_Açúcar Físico não embarcado - Nov08 - Conferido 9_Relatório Gerencial_DB Entrada 2" xfId="9838"/>
    <cellStyle name="s_Valuation _DB Dados do Mercado_Açúcar Físico não embarcado - Nov08 - Conferido 9_Relatório Gerencial_DB Entrada 2_15-FINANCEIRAS" xfId="9839"/>
    <cellStyle name="s_Valuation _DB Dados do Mercado_Açúcar Físico não embarcado - Nov08 - Conferido 9_Relatório Gerencial_DB Entrada_15-FINANCEIRAS" xfId="9840"/>
    <cellStyle name="s_Valuation _DB Dados do Mercado_Açúcar Físico não embarcado - Nov08 - Conferido 9_Relatório Gerencial_DB Entrada_15-FINANCEIRAS_1" xfId="9841"/>
    <cellStyle name="s_Valuation _DB Dados do Mercado_Açúcar Físico não embarcado - Nov08 - Conferido 9_Relatório Gerencial_DB Entrada_3-Balanço" xfId="9842"/>
    <cellStyle name="s_Valuation _DB Dados do Mercado_Açúcar Físico não embarcado - Nov08 - Conferido 9_Relatório Gerencial_DB Entrada_7-Estoque" xfId="9843"/>
    <cellStyle name="s_Valuation _DB Dados do Mercado_Açúcar Físico não embarcado - Nov08 - Conferido_15-FINANCEIRAS" xfId="9844"/>
    <cellStyle name="s_Valuation _DB Dados do Mercado_Açúcar Físico não embarcado - Nov08 - Conferido_15-FINANCEIRAS_1" xfId="9845"/>
    <cellStyle name="s_Valuation _DB Dados do Mercado_Açúcar Físico não embarcado - Nov08 - Conferido_3-Balanço" xfId="9846"/>
    <cellStyle name="s_Valuation _DB Dados do Mercado_Açúcar Físico não embarcado - Nov08 - Conferido_7-Estoque" xfId="9847"/>
    <cellStyle name="s_Valuation _DB Dados do Mercado_Açúcar Físico não embarcado - Nov08 - Conferido_AAs conferido" xfId="9848"/>
    <cellStyle name="s_Valuation _DB Dados do Mercado_Açúcar Físico não embarcado - Nov08 - Conferido_AAs conferido 2" xfId="9849"/>
    <cellStyle name="s_Valuation _DB Dados do Mercado_Açúcar Físico não embarcado - Nov08 - Conferido_AAs conferido 2_15-FINANCEIRAS" xfId="9850"/>
    <cellStyle name="s_Valuation _DB Dados do Mercado_Açúcar Físico não embarcado - Nov08 - Conferido_AAs conferido_15-FINANCEIRAS" xfId="9851"/>
    <cellStyle name="s_Valuation _DB Dados do Mercado_Açúcar Físico não embarcado - Nov08 - Conferido_AAs conferido_15-FINANCEIRAS_1" xfId="9852"/>
    <cellStyle name="s_Valuation _DB Dados do Mercado_Açúcar Físico não embarcado - Nov08 - Conferido_AAs conferido_3-Balanço" xfId="9853"/>
    <cellStyle name="s_Valuation _DB Dados do Mercado_Açúcar Físico não embarcado - Nov08 - Conferido_AAs conferido_7-Estoque" xfId="9854"/>
    <cellStyle name="s_Valuation _DB Dados do Mercado_Açúcar Físico não embarcado - Nov08 - Conferido_AAs conferido_Relatório Gerencial" xfId="9855"/>
    <cellStyle name="s_Valuation _DB Dados do Mercado_Açúcar Físico não embarcado - Nov08 - Conferido_AAs conferido_Relatório Gerencial 2" xfId="9856"/>
    <cellStyle name="s_Valuation _DB Dados do Mercado_Açúcar Físico não embarcado - Nov08 - Conferido_AAs conferido_Relatório Gerencial 2_15-FINANCEIRAS" xfId="9857"/>
    <cellStyle name="s_Valuation _DB Dados do Mercado_Açúcar Físico não embarcado - Nov08 - Conferido_AAs conferido_Relatório Gerencial_15-FINANCEIRAS" xfId="9858"/>
    <cellStyle name="s_Valuation _DB Dados do Mercado_Açúcar Físico não embarcado - Nov08 - Conferido_AAs conferido_Relatório Gerencial_15-FINANCEIRAS_1" xfId="9859"/>
    <cellStyle name="s_Valuation _DB Dados do Mercado_Açúcar Físico não embarcado - Nov08 - Conferido_AAs conferido_Relatório Gerencial_3-Balanço" xfId="9860"/>
    <cellStyle name="s_Valuation _DB Dados do Mercado_Açúcar Físico não embarcado - Nov08 - Conferido_AAs conferido_Relatório Gerencial_7-Estoque" xfId="9861"/>
    <cellStyle name="s_Valuation _DB Dados do Mercado_Açúcar Físico não embarcado - Nov08 - Conferido_AAs conferido_Relatório Gerencial_DB Entrada" xfId="9862"/>
    <cellStyle name="s_Valuation _DB Dados do Mercado_Açúcar Físico não embarcado - Nov08 - Conferido_AAs conferido_Relatório Gerencial_DB Entrada 2" xfId="9863"/>
    <cellStyle name="s_Valuation _DB Dados do Mercado_Açúcar Físico não embarcado - Nov08 - Conferido_AAs conferido_Relatório Gerencial_DB Entrada 2_15-FINANCEIRAS" xfId="9864"/>
    <cellStyle name="s_Valuation _DB Dados do Mercado_Açúcar Físico não embarcado - Nov08 - Conferido_AAs conferido_Relatório Gerencial_DB Entrada_15-FINANCEIRAS" xfId="9865"/>
    <cellStyle name="s_Valuation _DB Dados do Mercado_Açúcar Físico não embarcado - Nov08 - Conferido_AAs conferido_Relatório Gerencial_DB Entrada_15-FINANCEIRAS_1" xfId="9866"/>
    <cellStyle name="s_Valuation _DB Dados do Mercado_Açúcar Físico não embarcado - Nov08 - Conferido_AAs conferido_Relatório Gerencial_DB Entrada_3-Balanço" xfId="9867"/>
    <cellStyle name="s_Valuation _DB Dados do Mercado_Açúcar Físico não embarcado - Nov08 - Conferido_AAs conferido_Relatório Gerencial_DB Entrada_7-Estoque" xfId="9868"/>
    <cellStyle name="s_Valuation _DB Dados do Mercado_Açúcar Físico não embarcado - Nov08 - Conferido_AAs-VHP" xfId="9869"/>
    <cellStyle name="s_Valuation _DB Dados do Mercado_Açúcar Físico não embarcado - Nov08 - Conferido_AAs-VHP 2" xfId="9870"/>
    <cellStyle name="s_Valuation _DB Dados do Mercado_Açúcar Físico não embarcado - Nov08 - Conferido_AAs-VHP 2_15-FINANCEIRAS" xfId="9871"/>
    <cellStyle name="s_Valuation _DB Dados do Mercado_Açúcar Físico não embarcado - Nov08 - Conferido_AAs-VHP_15-FINANCEIRAS" xfId="9872"/>
    <cellStyle name="s_Valuation _DB Dados do Mercado_Açúcar Físico não embarcado - Nov08 - Conferido_AAs-VHP_15-FINANCEIRAS_1" xfId="9873"/>
    <cellStyle name="s_Valuation _DB Dados do Mercado_Açúcar Físico não embarcado - Nov08 - Conferido_AAs-VHP_3-Balanço" xfId="9874"/>
    <cellStyle name="s_Valuation _DB Dados do Mercado_Açúcar Físico não embarcado - Nov08 - Conferido_AAs-VHP_7-Estoque" xfId="9875"/>
    <cellStyle name="s_Valuation _DB Dados do Mercado_Açúcar Físico não embarcado - Nov08 - Conferido_AAs-VHP_Relatório Gerencial" xfId="9876"/>
    <cellStyle name="s_Valuation _DB Dados do Mercado_Açúcar Físico não embarcado - Nov08 - Conferido_AAs-VHP_Relatório Gerencial 2" xfId="9877"/>
    <cellStyle name="s_Valuation _DB Dados do Mercado_Açúcar Físico não embarcado - Nov08 - Conferido_AAs-VHP_Relatório Gerencial 2_15-FINANCEIRAS" xfId="9878"/>
    <cellStyle name="s_Valuation _DB Dados do Mercado_Açúcar Físico não embarcado - Nov08 - Conferido_AAs-VHP_Relatório Gerencial_15-FINANCEIRAS" xfId="9879"/>
    <cellStyle name="s_Valuation _DB Dados do Mercado_Açúcar Físico não embarcado - Nov08 - Conferido_AAs-VHP_Relatório Gerencial_15-FINANCEIRAS_1" xfId="9880"/>
    <cellStyle name="s_Valuation _DB Dados do Mercado_Açúcar Físico não embarcado - Nov08 - Conferido_AAs-VHP_Relatório Gerencial_3-Balanço" xfId="9881"/>
    <cellStyle name="s_Valuation _DB Dados do Mercado_Açúcar Físico não embarcado - Nov08 - Conferido_AAs-VHP_Relatório Gerencial_7-Estoque" xfId="9882"/>
    <cellStyle name="s_Valuation _DB Dados do Mercado_Açúcar Físico não embarcado - Nov08 - Conferido_AAs-VHP_Relatório Gerencial_DB Entrada" xfId="9883"/>
    <cellStyle name="s_Valuation _DB Dados do Mercado_Açúcar Físico não embarcado - Nov08 - Conferido_AAs-VHP_Relatório Gerencial_DB Entrada 2" xfId="9884"/>
    <cellStyle name="s_Valuation _DB Dados do Mercado_Açúcar Físico não embarcado - Nov08 - Conferido_AAs-VHP_Relatório Gerencial_DB Entrada 2_15-FINANCEIRAS" xfId="9885"/>
    <cellStyle name="s_Valuation _DB Dados do Mercado_Açúcar Físico não embarcado - Nov08 - Conferido_AAs-VHP_Relatório Gerencial_DB Entrada_15-FINANCEIRAS" xfId="9886"/>
    <cellStyle name="s_Valuation _DB Dados do Mercado_Açúcar Físico não embarcado - Nov08 - Conferido_AAs-VHP_Relatório Gerencial_DB Entrada_15-FINANCEIRAS_1" xfId="9887"/>
    <cellStyle name="s_Valuation _DB Dados do Mercado_Açúcar Físico não embarcado - Nov08 - Conferido_AAs-VHP_Relatório Gerencial_DB Entrada_3-Balanço" xfId="9888"/>
    <cellStyle name="s_Valuation _DB Dados do Mercado_Açúcar Físico não embarcado - Nov08 - Conferido_AAs-VHP_Relatório Gerencial_DB Entrada_7-Estoque" xfId="9889"/>
    <cellStyle name="s_Valuation _DB Dados do Mercado_Açúcar Físico não embarcado - Nov08 - Conferido_DB Boletas Abertas" xfId="9890"/>
    <cellStyle name="s_Valuation _DB Dados do Mercado_Açúcar Físico não embarcado - Nov08 - Conferido_DB Boletas Abertas 2" xfId="9891"/>
    <cellStyle name="s_Valuation _DB Dados do Mercado_Açúcar Físico não embarcado - Nov08 - Conferido_DB Boletas Abertas 2_15-FINANCEIRAS" xfId="9892"/>
    <cellStyle name="s_Valuation _DB Dados do Mercado_Açúcar Físico não embarcado - Nov08 - Conferido_DB Boletas Abertas_15-FINANCEIRAS" xfId="9893"/>
    <cellStyle name="s_Valuation _DB Dados do Mercado_Açúcar Físico não embarcado - Nov08 - Conferido_DB Boletas Abertas_15-FINANCEIRAS_1" xfId="9894"/>
    <cellStyle name="s_Valuation _DB Dados do Mercado_Açúcar Físico não embarcado - Nov08 - Conferido_DB Boletas Abertas_3-Balanço" xfId="9895"/>
    <cellStyle name="s_Valuation _DB Dados do Mercado_Açúcar Físico não embarcado - Nov08 - Conferido_DB Boletas Abertas_7-Estoque" xfId="9896"/>
    <cellStyle name="s_Valuation _DB Dados do Mercado_Açúcar Físico não embarcado - Nov08 - Conferido_DB Boletas Vencendo" xfId="9897"/>
    <cellStyle name="s_Valuation _DB Dados do Mercado_Açúcar Físico não embarcado - Nov08 - Conferido_DB Boletas Vencendo 2" xfId="9898"/>
    <cellStyle name="s_Valuation _DB Dados do Mercado_Açúcar Físico não embarcado - Nov08 - Conferido_DB Boletas Vencendo 2_15-FINANCEIRAS" xfId="9899"/>
    <cellStyle name="s_Valuation _DB Dados do Mercado_Açúcar Físico não embarcado - Nov08 - Conferido_DB Boletas Vencendo_15-FINANCEIRAS" xfId="9900"/>
    <cellStyle name="s_Valuation _DB Dados do Mercado_Açúcar Físico não embarcado - Nov08 - Conferido_DB Boletas Vencendo_15-FINANCEIRAS_1" xfId="9901"/>
    <cellStyle name="s_Valuation _DB Dados do Mercado_Açúcar Físico não embarcado - Nov08 - Conferido_DB Boletas Vencendo_3-Balanço" xfId="9902"/>
    <cellStyle name="s_Valuation _DB Dados do Mercado_Açúcar Físico não embarcado - Nov08 - Conferido_DB Boletas Vencendo_7-Estoque" xfId="9903"/>
    <cellStyle name="s_Valuation _DB Dados do Mercado_Açúcar Físico não embarcado - Nov08 - Conferido_DB Boletas Vencendo_Relatório Gerencial" xfId="9904"/>
    <cellStyle name="s_Valuation _DB Dados do Mercado_Açúcar Físico não embarcado - Nov08 - Conferido_DB Boletas Vencendo_Relatório Gerencial 2" xfId="9905"/>
    <cellStyle name="s_Valuation _DB Dados do Mercado_Açúcar Físico não embarcado - Nov08 - Conferido_DB Boletas Vencendo_Relatório Gerencial 2_15-FINANCEIRAS" xfId="9906"/>
    <cellStyle name="s_Valuation _DB Dados do Mercado_Açúcar Físico não embarcado - Nov08 - Conferido_DB Boletas Vencendo_Relatório Gerencial_15-FINANCEIRAS" xfId="9907"/>
    <cellStyle name="s_Valuation _DB Dados do Mercado_Açúcar Físico não embarcado - Nov08 - Conferido_DB Boletas Vencendo_Relatório Gerencial_15-FINANCEIRAS_1" xfId="9908"/>
    <cellStyle name="s_Valuation _DB Dados do Mercado_Açúcar Físico não embarcado - Nov08 - Conferido_DB Boletas Vencendo_Relatório Gerencial_3-Balanço" xfId="9909"/>
    <cellStyle name="s_Valuation _DB Dados do Mercado_Açúcar Físico não embarcado - Nov08 - Conferido_DB Boletas Vencendo_Relatório Gerencial_7-Estoque" xfId="9910"/>
    <cellStyle name="s_Valuation _DB Dados do Mercado_Açúcar Físico não embarcado - Nov08 - Conferido_DB Boletas Vencendo_Relatório Gerencial_DB Entrada" xfId="9911"/>
    <cellStyle name="s_Valuation _DB Dados do Mercado_Açúcar Físico não embarcado - Nov08 - Conferido_DB Boletas Vencendo_Relatório Gerencial_DB Entrada 2" xfId="9912"/>
    <cellStyle name="s_Valuation _DB Dados do Mercado_Açúcar Físico não embarcado - Nov08 - Conferido_DB Boletas Vencendo_Relatório Gerencial_DB Entrada 2_15-FINANCEIRAS" xfId="9913"/>
    <cellStyle name="s_Valuation _DB Dados do Mercado_Açúcar Físico não embarcado - Nov08 - Conferido_DB Boletas Vencendo_Relatório Gerencial_DB Entrada_15-FINANCEIRAS" xfId="9914"/>
    <cellStyle name="s_Valuation _DB Dados do Mercado_Açúcar Físico não embarcado - Nov08 - Conferido_DB Boletas Vencendo_Relatório Gerencial_DB Entrada_15-FINANCEIRAS_1" xfId="9915"/>
    <cellStyle name="s_Valuation _DB Dados do Mercado_Açúcar Físico não embarcado - Nov08 - Conferido_DB Boletas Vencendo_Relatório Gerencial_DB Entrada_3-Balanço" xfId="9916"/>
    <cellStyle name="s_Valuation _DB Dados do Mercado_Açúcar Físico não embarcado - Nov08 - Conferido_DB Boletas Vencendo_Relatório Gerencial_DB Entrada_7-Estoque" xfId="9917"/>
    <cellStyle name="s_Valuation _DB Dados do Mercado_Açúcar Físico não embarcado - Nov08 - Conferido_DB Controle" xfId="9918"/>
    <cellStyle name="s_Valuation _DB Dados do Mercado_Açúcar Físico não embarcado - Nov08 - Conferido_DB Controle 2" xfId="9919"/>
    <cellStyle name="s_Valuation _DB Dados do Mercado_Açúcar Físico não embarcado - Nov08 - Conferido_DB Controle 2_15-FINANCEIRAS" xfId="9920"/>
    <cellStyle name="s_Valuation _DB Dados do Mercado_Açúcar Físico não embarcado - Nov08 - Conferido_DB Controle_15-FINANCEIRAS" xfId="9921"/>
    <cellStyle name="s_Valuation _DB Dados do Mercado_Açúcar Físico não embarcado - Nov08 - Conferido_DB Controle_15-FINANCEIRAS_1" xfId="9922"/>
    <cellStyle name="s_Valuation _DB Dados do Mercado_Açúcar Físico não embarcado - Nov08 - Conferido_DB Controle_3-Balanço" xfId="9923"/>
    <cellStyle name="s_Valuation _DB Dados do Mercado_Açúcar Físico não embarcado - Nov08 - Conferido_DB Controle_7-Estoque" xfId="9924"/>
    <cellStyle name="s_Valuation _DB Dados do Mercado_Açúcar Físico não embarcado - Nov08 - Conferido_DB Controle_Relatório Gerencial" xfId="9925"/>
    <cellStyle name="s_Valuation _DB Dados do Mercado_Açúcar Físico não embarcado - Nov08 - Conferido_DB Controle_Relatório Gerencial 2" xfId="9926"/>
    <cellStyle name="s_Valuation _DB Dados do Mercado_Açúcar Físico não embarcado - Nov08 - Conferido_DB Controle_Relatório Gerencial 2_15-FINANCEIRAS" xfId="9927"/>
    <cellStyle name="s_Valuation _DB Dados do Mercado_Açúcar Físico não embarcado - Nov08 - Conferido_DB Controle_Relatório Gerencial_15-FINANCEIRAS" xfId="9928"/>
    <cellStyle name="s_Valuation _DB Dados do Mercado_Açúcar Físico não embarcado - Nov08 - Conferido_DB Controle_Relatório Gerencial_15-FINANCEIRAS_1" xfId="9929"/>
    <cellStyle name="s_Valuation _DB Dados do Mercado_Açúcar Físico não embarcado - Nov08 - Conferido_DB Controle_Relatório Gerencial_3-Balanço" xfId="9930"/>
    <cellStyle name="s_Valuation _DB Dados do Mercado_Açúcar Físico não embarcado - Nov08 - Conferido_DB Controle_Relatório Gerencial_7-Estoque" xfId="9931"/>
    <cellStyle name="s_Valuation _DB Dados do Mercado_Açúcar Físico não embarcado - Nov08 - Conferido_DB Controle_Relatório Gerencial_DB Entrada" xfId="9932"/>
    <cellStyle name="s_Valuation _DB Dados do Mercado_Açúcar Físico não embarcado - Nov08 - Conferido_DB Controle_Relatório Gerencial_DB Entrada 2" xfId="9933"/>
    <cellStyle name="s_Valuation _DB Dados do Mercado_Açúcar Físico não embarcado - Nov08 - Conferido_DB Controle_Relatório Gerencial_DB Entrada 2_15-FINANCEIRAS" xfId="9934"/>
    <cellStyle name="s_Valuation _DB Dados do Mercado_Açúcar Físico não embarcado - Nov08 - Conferido_DB Controle_Relatório Gerencial_DB Entrada_15-FINANCEIRAS" xfId="9935"/>
    <cellStyle name="s_Valuation _DB Dados do Mercado_Açúcar Físico não embarcado - Nov08 - Conferido_DB Controle_Relatório Gerencial_DB Entrada_15-FINANCEIRAS_1" xfId="9936"/>
    <cellStyle name="s_Valuation _DB Dados do Mercado_Açúcar Físico não embarcado - Nov08 - Conferido_DB Controle_Relatório Gerencial_DB Entrada_3-Balanço" xfId="9937"/>
    <cellStyle name="s_Valuation _DB Dados do Mercado_Açúcar Físico não embarcado - Nov08 - Conferido_DB Controle_Relatório Gerencial_DB Entrada_7-Estoque" xfId="9938"/>
    <cellStyle name="s_Valuation _DB Dados do Mercado_Açúcar Físico não embarcado - Nov08 - Conferido_DB Entrada" xfId="9939"/>
    <cellStyle name="s_Valuation _DB Dados do Mercado_Açúcar Físico não embarcado - Nov08 - Conferido_DB Entrada 2" xfId="9940"/>
    <cellStyle name="s_Valuation _DB Dados do Mercado_Açúcar Físico não embarcado - Nov08 - Conferido_DB Entrada 2_15-FINANCEIRAS" xfId="9941"/>
    <cellStyle name="s_Valuation _DB Dados do Mercado_Açúcar Físico não embarcado - Nov08 - Conferido_DB Entrada_1" xfId="9942"/>
    <cellStyle name="s_Valuation _DB Dados do Mercado_Açúcar Físico não embarcado - Nov08 - Conferido_DB Entrada_1 2" xfId="9943"/>
    <cellStyle name="s_Valuation _DB Dados do Mercado_Açúcar Físico não embarcado - Nov08 - Conferido_DB Entrada_1 2_15-FINANCEIRAS" xfId="9944"/>
    <cellStyle name="s_Valuation _DB Dados do Mercado_Açúcar Físico não embarcado - Nov08 - Conferido_DB Entrada_1_15-FINANCEIRAS" xfId="9945"/>
    <cellStyle name="s_Valuation _DB Dados do Mercado_Açúcar Físico não embarcado - Nov08 - Conferido_DB Entrada_1_15-FINANCEIRAS_1" xfId="9946"/>
    <cellStyle name="s_Valuation _DB Dados do Mercado_Açúcar Físico não embarcado - Nov08 - Conferido_DB Entrada_1_3-Balanço" xfId="9947"/>
    <cellStyle name="s_Valuation _DB Dados do Mercado_Açúcar Físico não embarcado - Nov08 - Conferido_DB Entrada_1_7-Estoque" xfId="9948"/>
    <cellStyle name="s_Valuation _DB Dados do Mercado_Açúcar Físico não embarcado - Nov08 - Conferido_DB Entrada_1_base gráficos1" xfId="9949"/>
    <cellStyle name="s_Valuation _DB Dados do Mercado_Açúcar Físico não embarcado - Nov08 - Conferido_DB Entrada_1_base gráficos1 2" xfId="9950"/>
    <cellStyle name="s_Valuation _DB Dados do Mercado_Açúcar Físico não embarcado - Nov08 - Conferido_DB Entrada_1_base gráficos1 2_15-FINANCEIRAS" xfId="9951"/>
    <cellStyle name="s_Valuation _DB Dados do Mercado_Açúcar Físico não embarcado - Nov08 - Conferido_DB Entrada_1_base gráficos1_15-FINANCEIRAS" xfId="9952"/>
    <cellStyle name="s_Valuation _DB Dados do Mercado_Açúcar Físico não embarcado - Nov08 - Conferido_DB Entrada_1_base gráficos1_15-FINANCEIRAS_1" xfId="9953"/>
    <cellStyle name="s_Valuation _DB Dados do Mercado_Açúcar Físico não embarcado - Nov08 - Conferido_DB Entrada_1_base gráficos1_3-Balanço" xfId="9954"/>
    <cellStyle name="s_Valuation _DB Dados do Mercado_Açúcar Físico não embarcado - Nov08 - Conferido_DB Entrada_1_base gráficos1_7-Estoque" xfId="9955"/>
    <cellStyle name="s_Valuation _DB Dados do Mercado_Açúcar Físico não embarcado - Nov08 - Conferido_DB Entrada_1_base gráficos1_Relatório Gerencial" xfId="9956"/>
    <cellStyle name="s_Valuation _DB Dados do Mercado_Açúcar Físico não embarcado - Nov08 - Conferido_DB Entrada_1_base gráficos1_Relatório Gerencial 2" xfId="9957"/>
    <cellStyle name="s_Valuation _DB Dados do Mercado_Açúcar Físico não embarcado - Nov08 - Conferido_DB Entrada_1_base gráficos1_Relatório Gerencial 2_15-FINANCEIRAS" xfId="9958"/>
    <cellStyle name="s_Valuation _DB Dados do Mercado_Açúcar Físico não embarcado - Nov08 - Conferido_DB Entrada_1_base gráficos1_Relatório Gerencial_15-FINANCEIRAS" xfId="9959"/>
    <cellStyle name="s_Valuation _DB Dados do Mercado_Açúcar Físico não embarcado - Nov08 - Conferido_DB Entrada_1_base gráficos1_Relatório Gerencial_15-FINANCEIRAS_1" xfId="9960"/>
    <cellStyle name="s_Valuation _DB Dados do Mercado_Açúcar Físico não embarcado - Nov08 - Conferido_DB Entrada_1_base gráficos1_Relatório Gerencial_3-Balanço" xfId="9961"/>
    <cellStyle name="s_Valuation _DB Dados do Mercado_Açúcar Físico não embarcado - Nov08 - Conferido_DB Entrada_1_base gráficos1_Relatório Gerencial_7-Estoque" xfId="9962"/>
    <cellStyle name="s_Valuation _DB Dados do Mercado_Açúcar Físico não embarcado - Nov08 - Conferido_DB Entrada_1_base gráficos1_Relatório Gerencial_DB Entrada" xfId="9963"/>
    <cellStyle name="s_Valuation _DB Dados do Mercado_Açúcar Físico não embarcado - Nov08 - Conferido_DB Entrada_1_base gráficos1_Relatório Gerencial_DB Entrada 2" xfId="9964"/>
    <cellStyle name="s_Valuation _DB Dados do Mercado_Açúcar Físico não embarcado - Nov08 - Conferido_DB Entrada_1_base gráficos1_Relatório Gerencial_DB Entrada 2_15-FINANCEIRAS" xfId="9965"/>
    <cellStyle name="s_Valuation _DB Dados do Mercado_Açúcar Físico não embarcado - Nov08 - Conferido_DB Entrada_1_base gráficos1_Relatório Gerencial_DB Entrada_15-FINANCEIRAS" xfId="9966"/>
    <cellStyle name="s_Valuation _DB Dados do Mercado_Açúcar Físico não embarcado - Nov08 - Conferido_DB Entrada_1_base gráficos1_Relatório Gerencial_DB Entrada_15-FINANCEIRAS_1" xfId="9967"/>
    <cellStyle name="s_Valuation _DB Dados do Mercado_Açúcar Físico não embarcado - Nov08 - Conferido_DB Entrada_1_base gráficos1_Relatório Gerencial_DB Entrada_3-Balanço" xfId="9968"/>
    <cellStyle name="s_Valuation _DB Dados do Mercado_Açúcar Físico não embarcado - Nov08 - Conferido_DB Entrada_1_base gráficos1_Relatório Gerencial_DB Entrada_7-Estoque" xfId="9969"/>
    <cellStyle name="s_Valuation _DB Dados do Mercado_Açúcar Físico não embarcado - Nov08 - Conferido_DB Entrada_1_Commodities" xfId="9970"/>
    <cellStyle name="s_Valuation _DB Dados do Mercado_Açúcar Físico não embarcado - Nov08 - Conferido_DB Entrada_1_Commodities 2" xfId="9971"/>
    <cellStyle name="s_Valuation _DB Dados do Mercado_Açúcar Físico não embarcado - Nov08 - Conferido_DB Entrada_1_Commodities 2_15-FINANCEIRAS" xfId="9972"/>
    <cellStyle name="s_Valuation _DB Dados do Mercado_Açúcar Físico não embarcado - Nov08 - Conferido_DB Entrada_1_Commodities_1" xfId="9973"/>
    <cellStyle name="s_Valuation _DB Dados do Mercado_Açúcar Físico não embarcado - Nov08 - Conferido_DB Entrada_1_Commodities_1 2" xfId="9974"/>
    <cellStyle name="s_Valuation _DB Dados do Mercado_Açúcar Físico não embarcado - Nov08 - Conferido_DB Entrada_1_Commodities_1 2_15-FINANCEIRAS" xfId="9975"/>
    <cellStyle name="s_Valuation _DB Dados do Mercado_Açúcar Físico não embarcado - Nov08 - Conferido_DB Entrada_1_Commodities_1_15-FINANCEIRAS" xfId="9976"/>
    <cellStyle name="s_Valuation _DB Dados do Mercado_Açúcar Físico não embarcado - Nov08 - Conferido_DB Entrada_1_Commodities_1_15-FINANCEIRAS_1" xfId="9977"/>
    <cellStyle name="s_Valuation _DB Dados do Mercado_Açúcar Físico não embarcado - Nov08 - Conferido_DB Entrada_1_Commodities_1_3-Balanço" xfId="9978"/>
    <cellStyle name="s_Valuation _DB Dados do Mercado_Açúcar Físico não embarcado - Nov08 - Conferido_DB Entrada_1_Commodities_1_7-Estoque" xfId="9979"/>
    <cellStyle name="s_Valuation _DB Dados do Mercado_Açúcar Físico não embarcado - Nov08 - Conferido_DB Entrada_1_Commodities_1_Relatório Gerencial" xfId="9980"/>
    <cellStyle name="s_Valuation _DB Dados do Mercado_Açúcar Físico não embarcado - Nov08 - Conferido_DB Entrada_1_Commodities_1_Relatório Gerencial 2" xfId="9981"/>
    <cellStyle name="s_Valuation _DB Dados do Mercado_Açúcar Físico não embarcado - Nov08 - Conferido_DB Entrada_1_Commodities_1_Relatório Gerencial 2_15-FINANCEIRAS" xfId="9982"/>
    <cellStyle name="s_Valuation _DB Dados do Mercado_Açúcar Físico não embarcado - Nov08 - Conferido_DB Entrada_1_Commodities_1_Relatório Gerencial_15-FINANCEIRAS" xfId="9983"/>
    <cellStyle name="s_Valuation _DB Dados do Mercado_Açúcar Físico não embarcado - Nov08 - Conferido_DB Entrada_1_Commodities_1_Relatório Gerencial_15-FINANCEIRAS_1" xfId="9984"/>
    <cellStyle name="s_Valuation _DB Dados do Mercado_Açúcar Físico não embarcado - Nov08 - Conferido_DB Entrada_1_Commodities_1_Relatório Gerencial_3-Balanço" xfId="9985"/>
    <cellStyle name="s_Valuation _DB Dados do Mercado_Açúcar Físico não embarcado - Nov08 - Conferido_DB Entrada_1_Commodities_1_Relatório Gerencial_7-Estoque" xfId="9986"/>
    <cellStyle name="s_Valuation _DB Dados do Mercado_Açúcar Físico não embarcado - Nov08 - Conferido_DB Entrada_1_Commodities_1_Relatório Gerencial_DB Entrada" xfId="9987"/>
    <cellStyle name="s_Valuation _DB Dados do Mercado_Açúcar Físico não embarcado - Nov08 - Conferido_DB Entrada_1_Commodities_1_Relatório Gerencial_DB Entrada 2" xfId="9988"/>
    <cellStyle name="s_Valuation _DB Dados do Mercado_Açúcar Físico não embarcado - Nov08 - Conferido_DB Entrada_1_Commodities_1_Relatório Gerencial_DB Entrada 2_15-FINANCEIRAS" xfId="9989"/>
    <cellStyle name="s_Valuation _DB Dados do Mercado_Açúcar Físico não embarcado - Nov08 - Conferido_DB Entrada_1_Commodities_1_Relatório Gerencial_DB Entrada_15-FINANCEIRAS" xfId="9990"/>
    <cellStyle name="s_Valuation _DB Dados do Mercado_Açúcar Físico não embarcado - Nov08 - Conferido_DB Entrada_1_Commodities_1_Relatório Gerencial_DB Entrada_15-FINANCEIRAS_1" xfId="9991"/>
    <cellStyle name="s_Valuation _DB Dados do Mercado_Açúcar Físico não embarcado - Nov08 - Conferido_DB Entrada_1_Commodities_1_Relatório Gerencial_DB Entrada_3-Balanço" xfId="9992"/>
    <cellStyle name="s_Valuation _DB Dados do Mercado_Açúcar Físico não embarcado - Nov08 - Conferido_DB Entrada_1_Commodities_1_Relatório Gerencial_DB Entrada_7-Estoque" xfId="9993"/>
    <cellStyle name="s_Valuation _DB Dados do Mercado_Açúcar Físico não embarcado - Nov08 - Conferido_DB Entrada_1_Commodities_15-FINANCEIRAS" xfId="9994"/>
    <cellStyle name="s_Valuation _DB Dados do Mercado_Açúcar Físico não embarcado - Nov08 - Conferido_DB Entrada_1_Commodities_15-FINANCEIRAS_1" xfId="9995"/>
    <cellStyle name="s_Valuation _DB Dados do Mercado_Açúcar Físico não embarcado - Nov08 - Conferido_DB Entrada_1_Commodities_2" xfId="9996"/>
    <cellStyle name="s_Valuation _DB Dados do Mercado_Açúcar Físico não embarcado - Nov08 - Conferido_DB Entrada_1_Commodities_2 2" xfId="9997"/>
    <cellStyle name="s_Valuation _DB Dados do Mercado_Açúcar Físico não embarcado - Nov08 - Conferido_DB Entrada_1_Commodities_2 2_15-FINANCEIRAS" xfId="9998"/>
    <cellStyle name="s_Valuation _DB Dados do Mercado_Açúcar Físico não embarcado - Nov08 - Conferido_DB Entrada_1_Commodities_2_15-FINANCEIRAS" xfId="9999"/>
    <cellStyle name="s_Valuation _DB Dados do Mercado_Açúcar Físico não embarcado - Nov08 - Conferido_DB Entrada_1_Commodities_2_15-FINANCEIRAS_1" xfId="10000"/>
    <cellStyle name="s_Valuation _DB Dados do Mercado_Açúcar Físico não embarcado - Nov08 - Conferido_DB Entrada_1_Commodities_2_3-Balanço" xfId="10001"/>
    <cellStyle name="s_Valuation _DB Dados do Mercado_Açúcar Físico não embarcado - Nov08 - Conferido_DB Entrada_1_Commodities_2_7-Estoque" xfId="10002"/>
    <cellStyle name="s_Valuation _DB Dados do Mercado_Açúcar Físico não embarcado - Nov08 - Conferido_DB Entrada_1_Commodities_2_DB Boletas Abertas" xfId="10003"/>
    <cellStyle name="s_Valuation _DB Dados do Mercado_Açúcar Físico não embarcado - Nov08 - Conferido_DB Entrada_1_Commodities_2_DB Boletas Abertas 2" xfId="10004"/>
    <cellStyle name="s_Valuation _DB Dados do Mercado_Açúcar Físico não embarcado - Nov08 - Conferido_DB Entrada_1_Commodities_2_DB Boletas Abertas 2_15-FINANCEIRAS" xfId="10005"/>
    <cellStyle name="s_Valuation _DB Dados do Mercado_Açúcar Físico não embarcado - Nov08 - Conferido_DB Entrada_1_Commodities_2_DB Boletas Abertas_15-FINANCEIRAS" xfId="10006"/>
    <cellStyle name="s_Valuation _DB Dados do Mercado_Açúcar Físico não embarcado - Nov08 - Conferido_DB Entrada_1_Commodities_2_DB Boletas Abertas_15-FINANCEIRAS_1" xfId="10007"/>
    <cellStyle name="s_Valuation _DB Dados do Mercado_Açúcar Físico não embarcado - Nov08 - Conferido_DB Entrada_1_Commodities_2_DB Boletas Abertas_3-Balanço" xfId="10008"/>
    <cellStyle name="s_Valuation _DB Dados do Mercado_Açúcar Físico não embarcado - Nov08 - Conferido_DB Entrada_1_Commodities_2_DB Boletas Abertas_7-Estoque" xfId="10009"/>
    <cellStyle name="s_Valuation _DB Dados do Mercado_Açúcar Físico não embarcado - Nov08 - Conferido_DB Entrada_1_Commodities_2_DB Boletas Vencendo" xfId="10010"/>
    <cellStyle name="s_Valuation _DB Dados do Mercado_Açúcar Físico não embarcado - Nov08 - Conferido_DB Entrada_1_Commodities_2_DB Boletas Vencendo 2" xfId="10011"/>
    <cellStyle name="s_Valuation _DB Dados do Mercado_Açúcar Físico não embarcado - Nov08 - Conferido_DB Entrada_1_Commodities_2_DB Boletas Vencendo 2_15-FINANCEIRAS" xfId="10012"/>
    <cellStyle name="s_Valuation _DB Dados do Mercado_Açúcar Físico não embarcado - Nov08 - Conferido_DB Entrada_1_Commodities_2_DB Boletas Vencendo_15-FINANCEIRAS" xfId="10013"/>
    <cellStyle name="s_Valuation _DB Dados do Mercado_Açúcar Físico não embarcado - Nov08 - Conferido_DB Entrada_1_Commodities_2_DB Boletas Vencendo_15-FINANCEIRAS_1" xfId="10014"/>
    <cellStyle name="s_Valuation _DB Dados do Mercado_Açúcar Físico não embarcado - Nov08 - Conferido_DB Entrada_1_Commodities_2_DB Boletas Vencendo_3-Balanço" xfId="10015"/>
    <cellStyle name="s_Valuation _DB Dados do Mercado_Açúcar Físico não embarcado - Nov08 - Conferido_DB Entrada_1_Commodities_2_DB Boletas Vencendo_7-Estoque" xfId="10016"/>
    <cellStyle name="s_Valuation _DB Dados do Mercado_Açúcar Físico não embarcado - Nov08 - Conferido_DB Entrada_1_Commodities_2_DB Boletas Vencendo_Relatório Gerencial" xfId="10017"/>
    <cellStyle name="s_Valuation _DB Dados do Mercado_Açúcar Físico não embarcado - Nov08 - Conferido_DB Entrada_1_Commodities_2_DB Boletas Vencendo_Relatório Gerencial 2" xfId="10018"/>
    <cellStyle name="s_Valuation _DB Dados do Mercado_Açúcar Físico não embarcado - Nov08 - Conferido_DB Entrada_1_Commodities_2_DB Boletas Vencendo_Relatório Gerencial 2_15-FINANCEIRAS" xfId="10019"/>
    <cellStyle name="s_Valuation _DB Dados do Mercado_Açúcar Físico não embarcado - Nov08 - Conferido_DB Entrada_1_Commodities_2_DB Boletas Vencendo_Relatório Gerencial_15-FINANCEIRAS" xfId="10020"/>
    <cellStyle name="s_Valuation _DB Dados do Mercado_Açúcar Físico não embarcado - Nov08 - Conferido_DB Entrada_1_Commodities_2_DB Boletas Vencendo_Relatório Gerencial_15-FINANCEIRAS_1" xfId="10021"/>
    <cellStyle name="s_Valuation _DB Dados do Mercado_Açúcar Físico não embarcado - Nov08 - Conferido_DB Entrada_1_Commodities_2_DB Boletas Vencendo_Relatório Gerencial_3-Balanço" xfId="10022"/>
    <cellStyle name="s_Valuation _DB Dados do Mercado_Açúcar Físico não embarcado - Nov08 - Conferido_DB Entrada_1_Commodities_2_DB Boletas Vencendo_Relatório Gerencial_7-Estoque" xfId="10023"/>
    <cellStyle name="s_Valuation _DB Dados do Mercado_Açúcar Físico não embarcado - Nov08 - Conferido_DB Entrada_1_Commodities_2_DB Boletas Vencendo_Relatório Gerencial_DB Entrada" xfId="10024"/>
    <cellStyle name="s_Valuation _DB Dados do Mercado_Açúcar Físico não embarcado - Nov08 - Conferido_DB Entrada_1_Commodities_2_DB Boletas Vencendo_Relatório Gerencial_DB Entrada 2" xfId="10025"/>
    <cellStyle name="s_Valuation _DB Dados do Mercado_Açúcar Físico não embarcado - Nov08 - Conferido_DB Entrada_1_Commodities_2_DB Boletas Vencendo_Relatório Gerencial_DB Entrada 2_15-FINANCEIRAS" xfId="10026"/>
    <cellStyle name="s_Valuation _DB Dados do Mercado_Açúcar Físico não embarcado - Nov08 - Conferido_DB Entrada_1_Commodities_2_DB Boletas Vencendo_Relatório Gerencial_DB Entrada_15-FINANCEIRAS" xfId="10027"/>
    <cellStyle name="s_Valuation _DB Dados do Mercado_Açúcar Físico não embarcado - Nov08 - Conferido_DB Entrada_1_Commodities_2_DB Boletas Vencendo_Relatório Gerencial_DB Entrada_15-FINANCEIRAS_1" xfId="10028"/>
    <cellStyle name="s_Valuation _DB Dados do Mercado_Açúcar Físico não embarcado - Nov08 - Conferido_DB Entrada_1_Commodities_2_DB Boletas Vencendo_Relatório Gerencial_DB Entrada_3-Balanço" xfId="10029"/>
    <cellStyle name="s_Valuation _DB Dados do Mercado_Açúcar Físico não embarcado - Nov08 - Conferido_DB Entrada_1_Commodities_2_DB Boletas Vencendo_Relatório Gerencial_DB Entrada_7-Estoque" xfId="10030"/>
    <cellStyle name="s_Valuation _DB Dados do Mercado_Açúcar Físico não embarcado - Nov08 - Conferido_DB Entrada_1_Commodities_2_DB Controle" xfId="10031"/>
    <cellStyle name="s_Valuation _DB Dados do Mercado_Açúcar Físico não embarcado - Nov08 - Conferido_DB Entrada_1_Commodities_2_DB Controle 2" xfId="10032"/>
    <cellStyle name="s_Valuation _DB Dados do Mercado_Açúcar Físico não embarcado - Nov08 - Conferido_DB Entrada_1_Commodities_2_DB Controle 2_15-FINANCEIRAS" xfId="10033"/>
    <cellStyle name="s_Valuation _DB Dados do Mercado_Açúcar Físico não embarcado - Nov08 - Conferido_DB Entrada_1_Commodities_2_DB Controle_15-FINANCEIRAS" xfId="10034"/>
    <cellStyle name="s_Valuation _DB Dados do Mercado_Açúcar Físico não embarcado - Nov08 - Conferido_DB Entrada_1_Commodities_2_DB Controle_15-FINANCEIRAS_1" xfId="10035"/>
    <cellStyle name="s_Valuation _DB Dados do Mercado_Açúcar Físico não embarcado - Nov08 - Conferido_DB Entrada_1_Commodities_2_DB Controle_3-Balanço" xfId="10036"/>
    <cellStyle name="s_Valuation _DB Dados do Mercado_Açúcar Físico não embarcado - Nov08 - Conferido_DB Entrada_1_Commodities_2_DB Controle_7-Estoque" xfId="10037"/>
    <cellStyle name="s_Valuation _DB Dados do Mercado_Açúcar Físico não embarcado - Nov08 - Conferido_DB Entrada_1_Commodities_2_DB Entrada" xfId="10038"/>
    <cellStyle name="s_Valuation _DB Dados do Mercado_Açúcar Físico não embarcado - Nov08 - Conferido_DB Entrada_1_Commodities_2_DB Entrada 2" xfId="10039"/>
    <cellStyle name="s_Valuation _DB Dados do Mercado_Açúcar Físico não embarcado - Nov08 - Conferido_DB Entrada_1_Commodities_2_DB Entrada 2_15-FINANCEIRAS" xfId="10040"/>
    <cellStyle name="s_Valuation _DB Dados do Mercado_Açúcar Físico não embarcado - Nov08 - Conferido_DB Entrada_1_Commodities_2_DB Entrada_1" xfId="10041"/>
    <cellStyle name="s_Valuation _DB Dados do Mercado_Açúcar Físico não embarcado - Nov08 - Conferido_DB Entrada_1_Commodities_2_DB Entrada_1 2" xfId="10042"/>
    <cellStyle name="s_Valuation _DB Dados do Mercado_Açúcar Físico não embarcado - Nov08 - Conferido_DB Entrada_1_Commodities_2_DB Entrada_1 2_15-FINANCEIRAS" xfId="10043"/>
    <cellStyle name="s_Valuation _DB Dados do Mercado_Açúcar Físico não embarcado - Nov08 - Conferido_DB Entrada_1_Commodities_2_DB Entrada_1_15-FINANCEIRAS" xfId="10044"/>
    <cellStyle name="s_Valuation _DB Dados do Mercado_Açúcar Físico não embarcado - Nov08 - Conferido_DB Entrada_1_Commodities_2_DB Entrada_1_15-FINANCEIRAS_1" xfId="10045"/>
    <cellStyle name="s_Valuation _DB Dados do Mercado_Açúcar Físico não embarcado - Nov08 - Conferido_DB Entrada_1_Commodities_2_DB Entrada_1_3-Balanço" xfId="10046"/>
    <cellStyle name="s_Valuation _DB Dados do Mercado_Açúcar Físico não embarcado - Nov08 - Conferido_DB Entrada_1_Commodities_2_DB Entrada_1_7-Estoque" xfId="10047"/>
    <cellStyle name="s_Valuation _DB Dados do Mercado_Açúcar Físico não embarcado - Nov08 - Conferido_DB Entrada_1_Commodities_2_DB Entrada_1_Relatório Gerencial" xfId="10048"/>
    <cellStyle name="s_Valuation _DB Dados do Mercado_Açúcar Físico não embarcado - Nov08 - Conferido_DB Entrada_1_Commodities_2_DB Entrada_1_Relatório Gerencial 2" xfId="10049"/>
    <cellStyle name="s_Valuation _DB Dados do Mercado_Açúcar Físico não embarcado - Nov08 - Conferido_DB Entrada_1_Commodities_2_DB Entrada_1_Relatório Gerencial 2_15-FINANCEIRAS" xfId="10050"/>
    <cellStyle name="s_Valuation _DB Dados do Mercado_Açúcar Físico não embarcado - Nov08 - Conferido_DB Entrada_1_Commodities_2_DB Entrada_1_Relatório Gerencial_15-FINANCEIRAS" xfId="10051"/>
    <cellStyle name="s_Valuation _DB Dados do Mercado_Açúcar Físico não embarcado - Nov08 - Conferido_DB Entrada_1_Commodities_2_DB Entrada_1_Relatório Gerencial_15-FINANCEIRAS_1" xfId="10052"/>
    <cellStyle name="s_Valuation _DB Dados do Mercado_Açúcar Físico não embarcado - Nov08 - Conferido_DB Entrada_1_Commodities_2_DB Entrada_1_Relatório Gerencial_3-Balanço" xfId="10053"/>
    <cellStyle name="s_Valuation _DB Dados do Mercado_Açúcar Físico não embarcado - Nov08 - Conferido_DB Entrada_1_Commodities_2_DB Entrada_1_Relatório Gerencial_7-Estoque" xfId="10054"/>
    <cellStyle name="s_Valuation _DB Dados do Mercado_Açúcar Físico não embarcado - Nov08 - Conferido_DB Entrada_1_Commodities_2_DB Entrada_1_Relatório Gerencial_DB Entrada" xfId="10055"/>
    <cellStyle name="s_Valuation _DB Dados do Mercado_Açúcar Físico não embarcado - Nov08 - Conferido_DB Entrada_1_Commodities_2_DB Entrada_1_Relatório Gerencial_DB Entrada 2" xfId="10056"/>
    <cellStyle name="s_Valuation _DB Dados do Mercado_Açúcar Físico não embarcado - Nov08 - Conferido_DB Entrada_1_Commodities_2_DB Entrada_1_Relatório Gerencial_DB Entrada 2_15-FINANCEIRAS" xfId="10057"/>
    <cellStyle name="s_Valuation _DB Dados do Mercado_Açúcar Físico não embarcado - Nov08 - Conferido_DB Entrada_1_Commodities_2_DB Entrada_1_Relatório Gerencial_DB Entrada_15-FINANCEIRAS" xfId="10058"/>
    <cellStyle name="s_Valuation _DB Dados do Mercado_Açúcar Físico não embarcado - Nov08 - Conferido_DB Entrada_1_Commodities_2_DB Entrada_1_Relatório Gerencial_DB Entrada_15-FINANCEIRAS_1" xfId="10059"/>
    <cellStyle name="s_Valuation _DB Dados do Mercado_Açúcar Físico não embarcado - Nov08 - Conferido_DB Entrada_1_Commodities_2_DB Entrada_1_Relatório Gerencial_DB Entrada_3-Balanço" xfId="10060"/>
    <cellStyle name="s_Valuation _DB Dados do Mercado_Açúcar Físico não embarcado - Nov08 - Conferido_DB Entrada_1_Commodities_2_DB Entrada_1_Relatório Gerencial_DB Entrada_7-Estoque" xfId="10061"/>
    <cellStyle name="s_Valuation _DB Dados do Mercado_Açúcar Físico não embarcado - Nov08 - Conferido_DB Entrada_1_Commodities_2_DB Entrada_15-FINANCEIRAS" xfId="10062"/>
    <cellStyle name="s_Valuation _DB Dados do Mercado_Açúcar Físico não embarcado - Nov08 - Conferido_DB Entrada_1_Commodities_2_DB Entrada_15-FINANCEIRAS_1" xfId="10063"/>
    <cellStyle name="s_Valuation _DB Dados do Mercado_Açúcar Físico não embarcado - Nov08 - Conferido_DB Entrada_1_Commodities_2_DB Entrada_3-Balanço" xfId="10064"/>
    <cellStyle name="s_Valuation _DB Dados do Mercado_Açúcar Físico não embarcado - Nov08 - Conferido_DB Entrada_1_Commodities_2_DB Entrada_7-Estoque" xfId="10065"/>
    <cellStyle name="s_Valuation _DB Dados do Mercado_Açúcar Físico não embarcado - Nov08 - Conferido_DB Entrada_1_Commodities_2_DB Entrada_DB Boletas Abertas" xfId="10066"/>
    <cellStyle name="s_Valuation _DB Dados do Mercado_Açúcar Físico não embarcado - Nov08 - Conferido_DB Entrada_1_Commodities_2_DB Entrada_DB Boletas Abertas 2" xfId="10067"/>
    <cellStyle name="s_Valuation _DB Dados do Mercado_Açúcar Físico não embarcado - Nov08 - Conferido_DB Entrada_1_Commodities_2_DB Entrada_DB Boletas Abertas 2_15-FINANCEIRAS" xfId="10068"/>
    <cellStyle name="s_Valuation _DB Dados do Mercado_Açúcar Físico não embarcado - Nov08 - Conferido_DB Entrada_1_Commodities_2_DB Entrada_DB Boletas Abertas_15-FINANCEIRAS" xfId="10069"/>
    <cellStyle name="s_Valuation _DB Dados do Mercado_Açúcar Físico não embarcado - Nov08 - Conferido_DB Entrada_1_Commodities_2_DB Entrada_DB Boletas Abertas_15-FINANCEIRAS_1" xfId="10070"/>
    <cellStyle name="s_Valuation _DB Dados do Mercado_Açúcar Físico não embarcado - Nov08 - Conferido_DB Entrada_1_Commodities_2_DB Entrada_DB Boletas Abertas_3-Balanço" xfId="10071"/>
    <cellStyle name="s_Valuation _DB Dados do Mercado_Açúcar Físico não embarcado - Nov08 - Conferido_DB Entrada_1_Commodities_2_DB Entrada_DB Boletas Abertas_7-Estoque" xfId="10072"/>
    <cellStyle name="s_Valuation _DB Dados do Mercado_Açúcar Físico não embarcado - Nov08 - Conferido_DB Entrada_1_Commodities_2_DB Entrada_DB Boletas Vencendo" xfId="10073"/>
    <cellStyle name="s_Valuation _DB Dados do Mercado_Açúcar Físico não embarcado - Nov08 - Conferido_DB Entrada_1_Commodities_2_DB Entrada_DB Boletas Vencendo 2" xfId="10074"/>
    <cellStyle name="s_Valuation _DB Dados do Mercado_Açúcar Físico não embarcado - Nov08 - Conferido_DB Entrada_1_Commodities_2_DB Entrada_DB Boletas Vencendo 2_15-FINANCEIRAS" xfId="10075"/>
    <cellStyle name="s_Valuation _DB Dados do Mercado_Açúcar Físico não embarcado - Nov08 - Conferido_DB Entrada_1_Commodities_2_DB Entrada_DB Boletas Vencendo_15-FINANCEIRAS" xfId="10076"/>
    <cellStyle name="s_Valuation _DB Dados do Mercado_Açúcar Físico não embarcado - Nov08 - Conferido_DB Entrada_1_Commodities_2_DB Entrada_DB Boletas Vencendo_15-FINANCEIRAS_1" xfId="10077"/>
    <cellStyle name="s_Valuation _DB Dados do Mercado_Açúcar Físico não embarcado - Nov08 - Conferido_DB Entrada_1_Commodities_2_DB Entrada_DB Boletas Vencendo_3-Balanço" xfId="10078"/>
    <cellStyle name="s_Valuation _DB Dados do Mercado_Açúcar Físico não embarcado - Nov08 - Conferido_DB Entrada_1_Commodities_2_DB Entrada_DB Boletas Vencendo_7-Estoque" xfId="10079"/>
    <cellStyle name="s_Valuation _DB Dados do Mercado_Açúcar Físico não embarcado - Nov08 - Conferido_DB Entrada_1_Commodities_2_DB Entrada_DB Boletas Vencendo_Relatório Gerencial" xfId="10080"/>
    <cellStyle name="s_Valuation _DB Dados do Mercado_Açúcar Físico não embarcado - Nov08 - Conferido_DB Entrada_1_Commodities_2_DB Entrada_DB Boletas Vencendo_Relatório Gerencial 2" xfId="10081"/>
    <cellStyle name="s_Valuation _DB Dados do Mercado_Açúcar Físico não embarcado - Nov08 - Conferido_DB Entrada_1_Commodities_2_DB Entrada_DB Boletas Vencendo_Relatório Gerencial 2_15-FINANCEIRAS" xfId="10082"/>
    <cellStyle name="s_Valuation _DB Dados do Mercado_Açúcar Físico não embarcado - Nov08 - Conferido_DB Entrada_1_Commodities_2_DB Entrada_DB Boletas Vencendo_Relatório Gerencial_15-FINANCEIRAS" xfId="10083"/>
    <cellStyle name="s_Valuation _DB Dados do Mercado_Açúcar Físico não embarcado - Nov08 - Conferido_DB Entrada_1_Commodities_2_DB Entrada_DB Boletas Vencendo_Relatório Gerencial_15-FINANCEIRAS_1" xfId="10084"/>
    <cellStyle name="s_Valuation _DB Dados do Mercado_Açúcar Físico não embarcado - Nov08 - Conferido_DB Entrada_1_Commodities_2_DB Entrada_DB Boletas Vencendo_Relatório Gerencial_3-Balanço" xfId="10085"/>
    <cellStyle name="s_Valuation _DB Dados do Mercado_Açúcar Físico não embarcado - Nov08 - Conferido_DB Entrada_1_Commodities_2_DB Entrada_DB Boletas Vencendo_Relatório Gerencial_7-Estoque" xfId="10086"/>
    <cellStyle name="s_Valuation _DB Dados do Mercado_Açúcar Físico não embarcado - Nov08 - Conferido_DB Entrada_1_Commodities_2_DB Entrada_DB Boletas Vencendo_Relatório Gerencial_DB Entrada" xfId="10087"/>
    <cellStyle name="s_Valuation _DB Dados do Mercado_Açúcar Físico não embarcado - Nov08 - Conferido_DB Entrada_1_Commodities_2_DB Entrada_DB Boletas Vencendo_Relatório Gerencial_DB Entrada 2" xfId="10088"/>
    <cellStyle name="s_Valuation _DB Dados do Mercado_Açúcar Físico não embarcado - Nov08 - Conferido_DB Entrada_1_Commodities_2_DB Entrada_DB Boletas Vencendo_Relatório Gerencial_DB Entrada 2_15-FINANCEIRAS" xfId="10089"/>
    <cellStyle name="s_Valuation _DB Dados do Mercado_Açúcar Físico não embarcado - Nov08 - Conferido_DB Entrada_1_Commodities_2_DB Entrada_DB Boletas Vencendo_Relatório Gerencial_DB Entrada_15-FINANCEIRAS" xfId="10090"/>
    <cellStyle name="s_Valuation _DB Dados do Mercado_Açúcar Físico não embarcado - Nov08 - Conferido_DB Entrada_1_Commodities_2_DB Entrada_DB Boletas Vencendo_Relatório Gerencial_DB Entrada_15-FINANCEIRAS_1" xfId="10091"/>
    <cellStyle name="s_Valuation _DB Dados do Mercado_Açúcar Físico não embarcado - Nov08 - Conferido_DB Entrada_1_Commodities_2_DB Entrada_DB Boletas Vencendo_Relatório Gerencial_DB Entrada_3-Balanço" xfId="10092"/>
    <cellStyle name="s_Valuation _DB Dados do Mercado_Açúcar Físico não embarcado - Nov08 - Conferido_DB Entrada_1_Commodities_2_DB Entrada_DB Boletas Vencendo_Relatório Gerencial_DB Entrada_7-Estoque" xfId="10093"/>
    <cellStyle name="s_Valuation _DB Dados do Mercado_Açúcar Físico não embarcado - Nov08 - Conferido_DB Entrada_1_Commodities_2_DB Entrada_DB Controle" xfId="10094"/>
    <cellStyle name="s_Valuation _DB Dados do Mercado_Açúcar Físico não embarcado - Nov08 - Conferido_DB Entrada_1_Commodities_2_DB Entrada_DB Controle 2" xfId="10095"/>
    <cellStyle name="s_Valuation _DB Dados do Mercado_Açúcar Físico não embarcado - Nov08 - Conferido_DB Entrada_1_Commodities_2_DB Entrada_DB Controle 2_15-FINANCEIRAS" xfId="10096"/>
    <cellStyle name="s_Valuation _DB Dados do Mercado_Açúcar Físico não embarcado - Nov08 - Conferido_DB Entrada_1_Commodities_2_DB Entrada_DB Controle_15-FINANCEIRAS" xfId="10097"/>
    <cellStyle name="s_Valuation _DB Dados do Mercado_Açúcar Físico não embarcado - Nov08 - Conferido_DB Entrada_1_Commodities_2_DB Entrada_DB Controle_15-FINANCEIRAS_1" xfId="10098"/>
    <cellStyle name="s_Valuation _DB Dados do Mercado_Açúcar Físico não embarcado - Nov08 - Conferido_DB Entrada_1_Commodities_2_DB Entrada_DB Controle_3-Balanço" xfId="10099"/>
    <cellStyle name="s_Valuation _DB Dados do Mercado_Açúcar Físico não embarcado - Nov08 - Conferido_DB Entrada_1_Commodities_2_DB Entrada_DB Controle_7-Estoque" xfId="10100"/>
    <cellStyle name="s_Valuation _DB Dados do Mercado_Açúcar Físico não embarcado - Nov08 - Conferido_DB Entrada_1_Commodities_2_DB Entrada_DB Entrada" xfId="10101"/>
    <cellStyle name="s_Valuation _DB Dados do Mercado_Açúcar Físico não embarcado - Nov08 - Conferido_DB Entrada_1_Commodities_2_DB Entrada_DB Entrada 2" xfId="10102"/>
    <cellStyle name="s_Valuation _DB Dados do Mercado_Açúcar Físico não embarcado - Nov08 - Conferido_DB Entrada_1_Commodities_2_DB Entrada_DB Entrada 2_15-FINANCEIRAS" xfId="10103"/>
    <cellStyle name="s_Valuation _DB Dados do Mercado_Açúcar Físico não embarcado - Nov08 - Conferido_DB Entrada_1_Commodities_2_DB Entrada_DB Entrada_1" xfId="10104"/>
    <cellStyle name="s_Valuation _DB Dados do Mercado_Açúcar Físico não embarcado - Nov08 - Conferido_DB Entrada_1_Commodities_2_DB Entrada_DB Entrada_1 2" xfId="10105"/>
    <cellStyle name="s_Valuation _DB Dados do Mercado_Açúcar Físico não embarcado - Nov08 - Conferido_DB Entrada_1_Commodities_2_DB Entrada_DB Entrada_1 2_15-FINANCEIRAS" xfId="10106"/>
    <cellStyle name="s_Valuation _DB Dados do Mercado_Açúcar Físico não embarcado - Nov08 - Conferido_DB Entrada_1_Commodities_2_DB Entrada_DB Entrada_1_15-FINANCEIRAS" xfId="10107"/>
    <cellStyle name="s_Valuation _DB Dados do Mercado_Açúcar Físico não embarcado - Nov08 - Conferido_DB Entrada_1_Commodities_2_DB Entrada_DB Entrada_1_15-FINANCEIRAS_1" xfId="10108"/>
    <cellStyle name="s_Valuation _DB Dados do Mercado_Açúcar Físico não embarcado - Nov08 - Conferido_DB Entrada_1_Commodities_2_DB Entrada_DB Entrada_1_3-Balanço" xfId="10109"/>
    <cellStyle name="s_Valuation _DB Dados do Mercado_Açúcar Físico não embarcado - Nov08 - Conferido_DB Entrada_1_Commodities_2_DB Entrada_DB Entrada_1_7-Estoque" xfId="10110"/>
    <cellStyle name="s_Valuation _DB Dados do Mercado_Açúcar Físico não embarcado - Nov08 - Conferido_DB Entrada_1_Commodities_2_DB Entrada_DB Entrada_1_DB Boletas Abertas" xfId="10111"/>
    <cellStyle name="s_Valuation _DB Dados do Mercado_Açúcar Físico não embarcado - Nov08 - Conferido_DB Entrada_1_Commodities_2_DB Entrada_DB Entrada_1_DB Boletas Abertas 2" xfId="10112"/>
    <cellStyle name="s_Valuation _DB Dados do Mercado_Açúcar Físico não embarcado - Nov08 - Conferido_DB Entrada_1_Commodities_2_DB Entrada_DB Entrada_1_DB Boletas Abertas 2_15-FINANCEIRAS" xfId="10113"/>
    <cellStyle name="s_Valuation _DB Dados do Mercado_Açúcar Físico não embarcado - Nov08 - Conferido_DB Entrada_1_Commodities_2_DB Entrada_DB Entrada_1_DB Boletas Abertas_15-FINANCEIRAS" xfId="10114"/>
    <cellStyle name="s_Valuation _DB Dados do Mercado_Açúcar Físico não embarcado - Nov08 - Conferido_DB Entrada_1_Commodities_2_DB Entrada_DB Entrada_1_DB Boletas Abertas_15-FINANCEIRAS_1" xfId="10115"/>
    <cellStyle name="s_Valuation _DB Dados do Mercado_Açúcar Físico não embarcado - Nov08 - Conferido_DB Entrada_1_Commodities_2_DB Entrada_DB Entrada_1_DB Boletas Abertas_3-Balanço" xfId="10116"/>
    <cellStyle name="s_Valuation _DB Dados do Mercado_Açúcar Físico não embarcado - Nov08 - Conferido_DB Entrada_1_Commodities_2_DB Entrada_DB Entrada_1_DB Boletas Abertas_7-Estoque" xfId="10117"/>
    <cellStyle name="s_Valuation _DB Dados do Mercado_Açúcar Físico não embarcado - Nov08 - Conferido_DB Entrada_1_Commodities_2_DB Entrada_DB Entrada_1_DB Controle" xfId="10118"/>
    <cellStyle name="s_Valuation _DB Dados do Mercado_Açúcar Físico não embarcado - Nov08 - Conferido_DB Entrada_1_Commodities_2_DB Entrada_DB Entrada_1_DB Controle 2" xfId="10119"/>
    <cellStyle name="s_Valuation _DB Dados do Mercado_Açúcar Físico não embarcado - Nov08 - Conferido_DB Entrada_1_Commodities_2_DB Entrada_DB Entrada_1_DB Controle 2_15-FINANCEIRAS" xfId="10120"/>
    <cellStyle name="s_Valuation _DB Dados do Mercado_Açúcar Físico não embarcado - Nov08 - Conferido_DB Entrada_1_Commodities_2_DB Entrada_DB Entrada_1_DB Controle_15-FINANCEIRAS" xfId="10121"/>
    <cellStyle name="s_Valuation _DB Dados do Mercado_Açúcar Físico não embarcado - Nov08 - Conferido_DB Entrada_1_Commodities_2_DB Entrada_DB Entrada_1_DB Controle_15-FINANCEIRAS_1" xfId="10122"/>
    <cellStyle name="s_Valuation _DB Dados do Mercado_Açúcar Físico não embarcado - Nov08 - Conferido_DB Entrada_1_Commodities_2_DB Entrada_DB Entrada_1_DB Controle_3-Balanço" xfId="10123"/>
    <cellStyle name="s_Valuation _DB Dados do Mercado_Açúcar Físico não embarcado - Nov08 - Conferido_DB Entrada_1_Commodities_2_DB Entrada_DB Entrada_1_DB Controle_7-Estoque" xfId="10124"/>
    <cellStyle name="s_Valuation _DB Dados do Mercado_Açúcar Físico não embarcado - Nov08 - Conferido_DB Entrada_1_Commodities_2_DB Entrada_DB Entrada_1_DB Entrada" xfId="10125"/>
    <cellStyle name="s_Valuation _DB Dados do Mercado_Açúcar Físico não embarcado - Nov08 - Conferido_DB Entrada_1_Commodities_2_DB Entrada_DB Entrada_1_DB Entrada 2" xfId="10126"/>
    <cellStyle name="s_Valuation _DB Dados do Mercado_Açúcar Físico não embarcado - Nov08 - Conferido_DB Entrada_1_Commodities_2_DB Entrada_DB Entrada_1_DB Entrada 2_15-FINANCEIRAS" xfId="10127"/>
    <cellStyle name="s_Valuation _DB Dados do Mercado_Açúcar Físico não embarcado - Nov08 - Conferido_DB Entrada_1_Commodities_2_DB Entrada_DB Entrada_1_DB Entrada_15-FINANCEIRAS" xfId="10128"/>
    <cellStyle name="s_Valuation _DB Dados do Mercado_Açúcar Físico não embarcado - Nov08 - Conferido_DB Entrada_1_Commodities_2_DB Entrada_DB Entrada_1_DB Entrada_15-FINANCEIRAS_1" xfId="10129"/>
    <cellStyle name="s_Valuation _DB Dados do Mercado_Açúcar Físico não embarcado - Nov08 - Conferido_DB Entrada_1_Commodities_2_DB Entrada_DB Entrada_1_DB Entrada_3-Balanço" xfId="10130"/>
    <cellStyle name="s_Valuation _DB Dados do Mercado_Açúcar Físico não embarcado - Nov08 - Conferido_DB Entrada_1_Commodities_2_DB Entrada_DB Entrada_1_DB Entrada_7-Estoque" xfId="10131"/>
    <cellStyle name="s_Valuation _DB Dados do Mercado_Açúcar Físico não embarcado - Nov08 - Conferido_DB Entrada_1_Commodities_2_DB Entrada_DB Entrada_1_DB Entrada_Relatório Gerencial" xfId="10132"/>
    <cellStyle name="s_Valuation _DB Dados do Mercado_Açúcar Físico não embarcado - Nov08 - Conferido_DB Entrada_1_Commodities_2_DB Entrada_DB Entrada_1_DB Entrada_Relatório Gerencial 2" xfId="10133"/>
    <cellStyle name="s_Valuation _DB Dados do Mercado_Açúcar Físico não embarcado - Nov08 - Conferido_DB Entrada_1_Commodities_2_DB Entrada_DB Entrada_1_DB Entrada_Relatório Gerencial 2_15-FINANCEIRAS" xfId="10134"/>
    <cellStyle name="s_Valuation _DB Dados do Mercado_Açúcar Físico não embarcado - Nov08 - Conferido_DB Entrada_1_Commodities_2_DB Entrada_DB Entrada_1_DB Entrada_Relatório Gerencial_15-FINANCEIRAS" xfId="10135"/>
    <cellStyle name="s_Valuation _DB Dados do Mercado_Açúcar Físico não embarcado - Nov08 - Conferido_DB Entrada_1_Commodities_2_DB Entrada_DB Entrada_1_DB Entrada_Relatório Gerencial_15-FINANCEIRAS_1" xfId="10136"/>
    <cellStyle name="s_Valuation _DB Dados do Mercado_Açúcar Físico não embarcado - Nov08 - Conferido_DB Entrada_1_Commodities_2_DB Entrada_DB Entrada_1_DB Entrada_Relatório Gerencial_3-Balanço" xfId="10137"/>
    <cellStyle name="s_Valuation _DB Dados do Mercado_Açúcar Físico não embarcado - Nov08 - Conferido_DB Entrada_1_Commodities_2_DB Entrada_DB Entrada_1_DB Entrada_Relatório Gerencial_7-Estoque" xfId="10138"/>
    <cellStyle name="s_Valuation _DB Dados do Mercado_Açúcar Físico não embarcado - Nov08 - Conferido_DB Entrada_1_Commodities_2_DB Entrada_DB Entrada_1_DB Entrada_Relatório Gerencial_DB Entrada" xfId="10139"/>
    <cellStyle name="s_Valuation _DB Dados do Mercado_Açúcar Físico não embarcado - Nov08 - Conferido_DB Entrada_1_Commodities_2_DB Entrada_DB Entrada_1_DB Entrada_Relatório Gerencial_DB Entrada 2" xfId="10140"/>
    <cellStyle name="s_Valuation _DB Dados do Mercado_Açúcar Físico não embarcado - Nov08 - Conferido_DB Entrada_1_Commodities_2_DB Entrada_DB Entrada_1_DB Entrada_Relatório Gerencial_DB Entrada 2_15-FINANCEIRAS" xfId="10141"/>
    <cellStyle name="s_Valuation _DB Dados do Mercado_Açúcar Físico não embarcado - Nov08 - Conferido_DB Entrada_1_Commodities_2_DB Entrada_DB Entrada_1_DB Entrada_Relatório Gerencial_DB Entrada_15-FINANCEIRAS" xfId="10142"/>
    <cellStyle name="s_Valuation _DB Dados do Mercado_Açúcar Físico não embarcado - Nov08 - Conferido_DB Entrada_1_Commodities_2_DB Entrada_DB Entrada_1_DB Entrada_Relatório Gerencial_DB Entrada_15-FINANCEIRAS_1" xfId="10143"/>
    <cellStyle name="s_Valuation _DB Dados do Mercado_Açúcar Físico não embarcado - Nov08 - Conferido_DB Entrada_1_Commodities_2_DB Entrada_DB Entrada_1_DB Entrada_Relatório Gerencial_DB Entrada_3-Balanço" xfId="10144"/>
    <cellStyle name="s_Valuation _DB Dados do Mercado_Açúcar Físico não embarcado - Nov08 - Conferido_DB Entrada_1_Commodities_2_DB Entrada_DB Entrada_1_DB Entrada_Relatório Gerencial_DB Entrada_7-Estoque" xfId="10145"/>
    <cellStyle name="s_Valuation _DB Dados do Mercado_Açúcar Físico não embarcado - Nov08 - Conferido_DB Entrada_1_Commodities_2_DB Entrada_DB Entrada_1_DB Exposição" xfId="10146"/>
    <cellStyle name="s_Valuation _DB Dados do Mercado_Açúcar Físico não embarcado - Nov08 - Conferido_DB Entrada_1_Commodities_2_DB Entrada_DB Entrada_1_DB Exposição 2" xfId="10147"/>
    <cellStyle name="s_Valuation _DB Dados do Mercado_Açúcar Físico não embarcado - Nov08 - Conferido_DB Entrada_1_Commodities_2_DB Entrada_DB Entrada_1_DB Exposição 2_15-FINANCEIRAS" xfId="10148"/>
    <cellStyle name="s_Valuation _DB Dados do Mercado_Açúcar Físico não embarcado - Nov08 - Conferido_DB Entrada_1_Commodities_2_DB Entrada_DB Entrada_1_DB Exposição_15-FINANCEIRAS" xfId="10149"/>
    <cellStyle name="s_Valuation _DB Dados do Mercado_Açúcar Físico não embarcado - Nov08 - Conferido_DB Entrada_1_Commodities_2_DB Entrada_DB Entrada_1_DB Exposição_15-FINANCEIRAS_1" xfId="10150"/>
    <cellStyle name="s_Valuation _DB Dados do Mercado_Açúcar Físico não embarcado - Nov08 - Conferido_DB Entrada_1_Commodities_2_DB Entrada_DB Entrada_1_DB Exposição_3-Balanço" xfId="10151"/>
    <cellStyle name="s_Valuation _DB Dados do Mercado_Açúcar Físico não embarcado - Nov08 - Conferido_DB Entrada_1_Commodities_2_DB Entrada_DB Entrada_1_DB Exposição_7-Estoque" xfId="10152"/>
    <cellStyle name="s_Valuation _DB Dados do Mercado_Açúcar Físico não embarcado - Nov08 - Conferido_DB Entrada_1_Commodities_2_DB Entrada_DB Entrada_1_DB Exposição_Relatório Gerencial" xfId="10153"/>
    <cellStyle name="s_Valuation _DB Dados do Mercado_Açúcar Físico não embarcado - Nov08 - Conferido_DB Entrada_1_Commodities_2_DB Entrada_DB Entrada_1_DB Exposição_Relatório Gerencial 2" xfId="10154"/>
    <cellStyle name="s_Valuation _DB Dados do Mercado_Açúcar Físico não embarcado - Nov08 - Conferido_DB Entrada_1_Commodities_2_DB Entrada_DB Entrada_1_DB Exposição_Relatório Gerencial 2_15-FINANCEIRAS" xfId="10155"/>
    <cellStyle name="s_Valuation _DB Dados do Mercado_Açúcar Físico não embarcado - Nov08 - Conferido_DB Entrada_1_Commodities_2_DB Entrada_DB Entrada_1_DB Exposição_Relatório Gerencial_15-FINANCEIRAS" xfId="10156"/>
    <cellStyle name="s_Valuation _DB Dados do Mercado_Açúcar Físico não embarcado - Nov08 - Conferido_DB Entrada_1_Commodities_2_DB Entrada_DB Entrada_1_DB Exposição_Relatório Gerencial_15-FINANCEIRAS_1" xfId="10157"/>
    <cellStyle name="s_Valuation _DB Dados do Mercado_Açúcar Físico não embarcado - Nov08 - Conferido_DB Entrada_1_Commodities_2_DB Entrada_DB Entrada_1_DB Exposição_Relatório Gerencial_3-Balanço" xfId="10158"/>
    <cellStyle name="s_Valuation _DB Dados do Mercado_Açúcar Físico não embarcado - Nov08 - Conferido_DB Entrada_1_Commodities_2_DB Entrada_DB Entrada_1_DB Exposição_Relatório Gerencial_7-Estoque" xfId="10159"/>
    <cellStyle name="s_Valuation _DB Dados do Mercado_Açúcar Físico não embarcado - Nov08 - Conferido_DB Entrada_1_Commodities_2_DB Entrada_DB Entrada_1_DB Exposição_Relatório Gerencial_DB Entrada" xfId="10160"/>
    <cellStyle name="s_Valuation _DB Dados do Mercado_Açúcar Físico não embarcado - Nov08 - Conferido_DB Entrada_1_Commodities_2_DB Entrada_DB Entrada_1_DB Exposição_Relatório Gerencial_DB Entrada 2" xfId="10161"/>
    <cellStyle name="s_Valuation _DB Dados do Mercado_Açúcar Físico não embarcado - Nov08 - Conferido_DB Entrada_1_Commodities_2_DB Entrada_DB Entrada_1_DB Exposição_Relatório Gerencial_DB Entrada 2_15-FINANCEIRAS" xfId="10162"/>
    <cellStyle name="s_Valuation _DB Dados do Mercado_Açúcar Físico não embarcado - Nov08 - Conferido_DB Entrada_1_Commodities_2_DB Entrada_DB Entrada_1_DB Exposição_Relatório Gerencial_DB Entrada_15-FINANCEIRAS" xfId="10163"/>
    <cellStyle name="s_Valuation _DB Dados do Mercado_Açúcar Físico não embarcado - Nov08 - Conferido_DB Entrada_1_Commodities_2_DB Entrada_DB Entrada_1_DB Exposição_Relatório Gerencial_DB Entrada_15-FINANCEIRAS_1" xfId="10164"/>
    <cellStyle name="s_Valuation _DB Dados do Mercado_Açúcar Físico não embarcado - Nov08 - Conferido_DB Entrada_1_Commodities_2_DB Entrada_DB Entrada_1_DB Exposição_Relatório Gerencial_DB Entrada_3-Balanço" xfId="10165"/>
    <cellStyle name="s_Valuation _DB Dados do Mercado_Açúcar Físico não embarcado - Nov08 - Conferido_DB Entrada_1_Commodities_2_DB Entrada_DB Entrada_1_DB Exposição_Relatório Gerencial_DB Entrada_7-Estoque" xfId="10166"/>
    <cellStyle name="s_Valuation _DB Dados do Mercado_Açúcar Físico não embarcado - Nov08 - Conferido_DB Entrada_1_Commodities_2_DB Entrada_DB Entrada_1_DB Posição" xfId="10167"/>
    <cellStyle name="s_Valuation _DB Dados do Mercado_Açúcar Físico não embarcado - Nov08 - Conferido_DB Entrada_1_Commodities_2_DB Entrada_DB Entrada_1_DB Posição 2" xfId="10168"/>
    <cellStyle name="s_Valuation _DB Dados do Mercado_Açúcar Físico não embarcado - Nov08 - Conferido_DB Entrada_1_Commodities_2_DB Entrada_DB Entrada_1_DB Posição 2_15-FINANCEIRAS" xfId="10169"/>
    <cellStyle name="s_Valuation _DB Dados do Mercado_Açúcar Físico não embarcado - Nov08 - Conferido_DB Entrada_1_Commodities_2_DB Entrada_DB Entrada_1_DB Posição_15-FINANCEIRAS" xfId="10170"/>
    <cellStyle name="s_Valuation _DB Dados do Mercado_Açúcar Físico não embarcado - Nov08 - Conferido_DB Entrada_1_Commodities_2_DB Entrada_DB Entrada_1_DB Posição_15-FINANCEIRAS_1" xfId="10171"/>
    <cellStyle name="s_Valuation _DB Dados do Mercado_Açúcar Físico não embarcado - Nov08 - Conferido_DB Entrada_1_Commodities_2_DB Entrada_DB Entrada_1_DB Posição_3-Balanço" xfId="10172"/>
    <cellStyle name="s_Valuation _DB Dados do Mercado_Açúcar Físico não embarcado - Nov08 - Conferido_DB Entrada_1_Commodities_2_DB Entrada_DB Entrada_1_DB Posição_7-Estoque" xfId="10173"/>
    <cellStyle name="s_Valuation _DB Dados do Mercado_Açúcar Físico não embarcado - Nov08 - Conferido_DB Entrada_1_Commodities_2_DB Entrada_DB Entrada_1_Liquidações_Prêmios" xfId="10174"/>
    <cellStyle name="s_Valuation _DB Dados do Mercado_Açúcar Físico não embarcado - Nov08 - Conferido_DB Entrada_1_Commodities_2_DB Entrada_DB Entrada_1_Liquidações_Prêmios 2" xfId="10175"/>
    <cellStyle name="s_Valuation _DB Dados do Mercado_Açúcar Físico não embarcado - Nov08 - Conferido_DB Entrada_1_Commodities_2_DB Entrada_DB Entrada_1_Liquidações_Prêmios 2_15-FINANCEIRAS" xfId="10176"/>
    <cellStyle name="s_Valuation _DB Dados do Mercado_Açúcar Físico não embarcado - Nov08 - Conferido_DB Entrada_1_Commodities_2_DB Entrada_DB Entrada_1_Liquidações_Prêmios_15-FINANCEIRAS" xfId="10177"/>
    <cellStyle name="s_Valuation _DB Dados do Mercado_Açúcar Físico não embarcado - Nov08 - Conferido_DB Entrada_1_Commodities_2_DB Entrada_DB Entrada_1_Liquidações_Prêmios_15-FINANCEIRAS_1" xfId="10178"/>
    <cellStyle name="s_Valuation _DB Dados do Mercado_Açúcar Físico não embarcado - Nov08 - Conferido_DB Entrada_1_Commodities_2_DB Entrada_DB Entrada_1_Liquidações_Prêmios_3-Balanço" xfId="10179"/>
    <cellStyle name="s_Valuation _DB Dados do Mercado_Açúcar Físico não embarcado - Nov08 - Conferido_DB Entrada_1_Commodities_2_DB Entrada_DB Entrada_1_Liquidações_Prêmios_7-Estoque" xfId="10180"/>
    <cellStyle name="s_Valuation _DB Dados do Mercado_Açúcar Físico não embarcado - Nov08 - Conferido_DB Entrada_1_Commodities_2_DB Entrada_DB Entrada_1_Posição Futuros" xfId="10181"/>
    <cellStyle name="s_Valuation _DB Dados do Mercado_Açúcar Físico não embarcado - Nov08 - Conferido_DB Entrada_1_Commodities_2_DB Entrada_DB Entrada_1_Posição Futuros 2" xfId="10182"/>
    <cellStyle name="s_Valuation _DB Dados do Mercado_Açúcar Físico não embarcado - Nov08 - Conferido_DB Entrada_1_Commodities_2_DB Entrada_DB Entrada_1_Posição Futuros 2_15-FINANCEIRAS" xfId="10183"/>
    <cellStyle name="s_Valuation _DB Dados do Mercado_Açúcar Físico não embarcado - Nov08 - Conferido_DB Entrada_1_Commodities_2_DB Entrada_DB Entrada_1_Posição Futuros_15-FINANCEIRAS" xfId="10184"/>
    <cellStyle name="s_Valuation _DB Dados do Mercado_Açúcar Físico não embarcado - Nov08 - Conferido_DB Entrada_1_Commodities_2_DB Entrada_DB Entrada_1_Posição Futuros_15-FINANCEIRAS_1" xfId="10185"/>
    <cellStyle name="s_Valuation _DB Dados do Mercado_Açúcar Físico não embarcado - Nov08 - Conferido_DB Entrada_1_Commodities_2_DB Entrada_DB Entrada_1_Posição Futuros_3-Balanço" xfId="10186"/>
    <cellStyle name="s_Valuation _DB Dados do Mercado_Açúcar Físico não embarcado - Nov08 - Conferido_DB Entrada_1_Commodities_2_DB Entrada_DB Entrada_1_Posição Futuros_7-Estoque" xfId="10187"/>
    <cellStyle name="s_Valuation _DB Dados do Mercado_Açúcar Físico não embarcado - Nov08 - Conferido_DB Entrada_1_Commodities_2_DB Entrada_DB Entrada_1_Relatório de Commodities" xfId="10188"/>
    <cellStyle name="s_Valuation _DB Dados do Mercado_Açúcar Físico não embarcado - Nov08 - Conferido_DB Entrada_1_Commodities_2_DB Entrada_DB Entrada_1_Relatório de Commodities 2" xfId="10189"/>
    <cellStyle name="s_Valuation _DB Dados do Mercado_Açúcar Físico não embarcado - Nov08 - Conferido_DB Entrada_1_Commodities_2_DB Entrada_DB Entrada_1_Relatório de Commodities 2_15-FINANCEIRAS" xfId="10190"/>
    <cellStyle name="s_Valuation _DB Dados do Mercado_Açúcar Físico não embarcado - Nov08 - Conferido_DB Entrada_1_Commodities_2_DB Entrada_DB Entrada_1_Relatório de Commodities_15-FINANCEIRAS" xfId="10191"/>
    <cellStyle name="s_Valuation _DB Dados do Mercado_Açúcar Físico não embarcado - Nov08 - Conferido_DB Entrada_1_Commodities_2_DB Entrada_DB Entrada_1_Relatório de Commodities_15-FINANCEIRAS_1" xfId="10192"/>
    <cellStyle name="s_Valuation _DB Dados do Mercado_Açúcar Físico não embarcado - Nov08 - Conferido_DB Entrada_1_Commodities_2_DB Entrada_DB Entrada_1_Relatório de Commodities_3-Balanço" xfId="10193"/>
    <cellStyle name="s_Valuation _DB Dados do Mercado_Açúcar Físico não embarcado - Nov08 - Conferido_DB Entrada_1_Commodities_2_DB Entrada_DB Entrada_1_Relatório de Commodities_7-Estoque" xfId="10194"/>
    <cellStyle name="s_Valuation _DB Dados do Mercado_Açúcar Físico não embarcado - Nov08 - Conferido_DB Entrada_1_Commodities_2_DB Entrada_DB Entrada_1_Relatório de Commodities_Relatório Gerencial" xfId="10195"/>
    <cellStyle name="s_Valuation _DB Dados do Mercado_Açúcar Físico não embarcado - Nov08 - Conferido_DB Entrada_1_Commodities_2_DB Entrada_DB Entrada_1_Relatório de Commodities_Relatório Gerencial 2" xfId="10196"/>
    <cellStyle name="s_Valuation _DB Dados do Mercado_Açúcar Físico não embarcado - Nov08 - Conferido_DB Entrada_1_Commodities_2_DB Entrada_DB Entrada_1_Relatório de Commodities_Relatório Gerencial 2_15-FINANCEIRAS" xfId="10197"/>
    <cellStyle name="s_Valuation _DB Dados do Mercado_Açúcar Físico não embarcado - Nov08 - Conferido_DB Entrada_1_Commodities_2_DB Entrada_DB Entrada_1_Relatório de Commodities_Relatório Gerencial_15-FINANCEIRAS" xfId="10198"/>
    <cellStyle name="s_Valuation _DB Dados do Mercado_Açúcar Físico não embarcado - Nov08 - Conferido_DB Entrada_1_Commodities_2_DB Entrada_DB Entrada_1_Relatório de Commodities_Relatório Gerencial_15-FINANCEIRAS_1" xfId="10199"/>
    <cellStyle name="s_Valuation _DB Dados do Mercado_Açúcar Físico não embarcado - Nov08 - Conferido_DB Entrada_1_Commodities_2_DB Entrada_DB Entrada_1_Relatório de Commodities_Relatório Gerencial_3-Balanço" xfId="10200"/>
    <cellStyle name="s_Valuation _DB Dados do Mercado_Açúcar Físico não embarcado - Nov08 - Conferido_DB Entrada_1_Commodities_2_DB Entrada_DB Entrada_1_Relatório de Commodities_Relatório Gerencial_7-Estoque" xfId="10201"/>
    <cellStyle name="s_Valuation _DB Dados do Mercado_Açúcar Físico não embarcado - Nov08 - Conferido_DB Entrada_1_Commodities_2_DB Entrada_DB Entrada_1_Relatório de Commodities_Relatório Gerencial_DB Entrada" xfId="10202"/>
    <cellStyle name="s_Valuation _DB Dados do Mercado_Açúcar Físico não embarcado - Nov08 - Conferido_DB Entrada_1_Commodities_2_DB Entrada_DB Entrada_1_Relatório de Commodities_Relatório Gerencial_DB Entrada 2" xfId="10203"/>
    <cellStyle name="s_Valuation _DB Dados do Mercado_Açúcar Físico não embarcado - Nov08 - Conferido_DB Entrada_1_Commodities_2_DB Entrada_DB Entrada_1_Relatório de Commodities_Relatório Gerencial_DB Entrada 2_15-FINANCEIRAS" xfId="10204"/>
    <cellStyle name="s_Valuation _DB Dados do Mercado_Açúcar Físico não embarcado - Nov08 - Conferido_DB Entrada_1_Commodities_2_DB Entrada_DB Entrada_1_Relatório de Commodities_Relatório Gerencial_DB Entrada_15-FINANCEIRAS" xfId="10205"/>
    <cellStyle name="s_Valuation _DB Dados do Mercado_Açúcar Físico não embarcado - Nov08 - Conferido_DB Entrada_1_Commodities_2_DB Entrada_DB Entrada_1_Relatório de Commodities_Relatório Gerencial_DB Entrada_15-FINANCEIRAS_1" xfId="10206"/>
    <cellStyle name="s_Valuation _DB Dados do Mercado_Açúcar Físico não embarcado - Nov08 - Conferido_DB Entrada_1_Commodities_2_DB Entrada_DB Entrada_1_Relatório de Commodities_Relatório Gerencial_DB Entrada_3-Balanço" xfId="10207"/>
    <cellStyle name="s_Valuation _DB Dados do Mercado_Açúcar Físico não embarcado - Nov08 - Conferido_DB Entrada_1_Commodities_2_DB Entrada_DB Entrada_1_Relatório de Commodities_Relatório Gerencial_DB Entrada_7-Estoque" xfId="10208"/>
    <cellStyle name="s_Valuation _DB Dados do Mercado_Açúcar Físico não embarcado - Nov08 - Conferido_DB Entrada_1_Commodities_2_DB Entrada_DB Entrada_1_Relatório Fechamento" xfId="10209"/>
    <cellStyle name="s_Valuation _DB Dados do Mercado_Açúcar Físico não embarcado - Nov08 - Conferido_DB Entrada_1_Commodities_2_DB Entrada_DB Entrada_1_Relatório Fechamento 2" xfId="10210"/>
    <cellStyle name="s_Valuation _DB Dados do Mercado_Açúcar Físico não embarcado - Nov08 - Conferido_DB Entrada_1_Commodities_2_DB Entrada_DB Entrada_1_Relatório Fechamento 2_15-FINANCEIRAS" xfId="10211"/>
    <cellStyle name="s_Valuation _DB Dados do Mercado_Açúcar Físico não embarcado - Nov08 - Conferido_DB Entrada_1_Commodities_2_DB Entrada_DB Entrada_1_Relatório Fechamento_15-FINANCEIRAS" xfId="10212"/>
    <cellStyle name="s_Valuation _DB Dados do Mercado_Açúcar Físico não embarcado - Nov08 - Conferido_DB Entrada_1_Commodities_2_DB Entrada_DB Entrada_1_Relatório Fechamento_15-FINANCEIRAS_1" xfId="10213"/>
    <cellStyle name="s_Valuation _DB Dados do Mercado_Açúcar Físico não embarcado - Nov08 - Conferido_DB Entrada_1_Commodities_2_DB Entrada_DB Entrada_1_Relatório Fechamento_3-Balanço" xfId="10214"/>
    <cellStyle name="s_Valuation _DB Dados do Mercado_Açúcar Físico não embarcado - Nov08 - Conferido_DB Entrada_1_Commodities_2_DB Entrada_DB Entrada_1_Relatório Fechamento_7-Estoque" xfId="10215"/>
    <cellStyle name="s_Valuation _DB Dados do Mercado_Açúcar Físico não embarcado - Nov08 - Conferido_DB Entrada_1_Commodities_2_DB Entrada_DB Entrada_1_Relatório Gerencial" xfId="10216"/>
    <cellStyle name="s_Valuation _DB Dados do Mercado_Açúcar Físico não embarcado - Nov08 - Conferido_DB Entrada_1_Commodities_2_DB Entrada_DB Entrada_1_Relatório Gerencial 2" xfId="10217"/>
    <cellStyle name="s_Valuation _DB Dados do Mercado_Açúcar Físico não embarcado - Nov08 - Conferido_DB Entrada_1_Commodities_2_DB Entrada_DB Entrada_1_Relatório Gerencial 2_15-FINANCEIRAS" xfId="10218"/>
    <cellStyle name="s_Valuation _DB Dados do Mercado_Açúcar Físico não embarcado - Nov08 - Conferido_DB Entrada_1_Commodities_2_DB Entrada_DB Entrada_1_Relatório Gerencial_1" xfId="10219"/>
    <cellStyle name="s_Valuation _DB Dados do Mercado_Açúcar Físico não embarcado - Nov08 - Conferido_DB Entrada_1_Commodities_2_DB Entrada_DB Entrada_1_Relatório Gerencial_1 2" xfId="10220"/>
    <cellStyle name="s_Valuation _DB Dados do Mercado_Açúcar Físico não embarcado - Nov08 - Conferido_DB Entrada_1_Commodities_2_DB Entrada_DB Entrada_1_Relatório Gerencial_1 2_15-FINANCEIRAS" xfId="10221"/>
    <cellStyle name="s_Valuation _DB Dados do Mercado_Açúcar Físico não embarcado - Nov08 - Conferido_DB Entrada_1_Commodities_2_DB Entrada_DB Entrada_1_Relatório Gerencial_1_15-FINANCEIRAS" xfId="10222"/>
    <cellStyle name="s_Valuation _DB Dados do Mercado_Açúcar Físico não embarcado - Nov08 - Conferido_DB Entrada_1_Commodities_2_DB Entrada_DB Entrada_1_Relatório Gerencial_1_15-FINANCEIRAS_1" xfId="10223"/>
    <cellStyle name="s_Valuation _DB Dados do Mercado_Açúcar Físico não embarcado - Nov08 - Conferido_DB Entrada_1_Commodities_2_DB Entrada_DB Entrada_1_Relatório Gerencial_1_3-Balanço" xfId="10224"/>
    <cellStyle name="s_Valuation _DB Dados do Mercado_Açúcar Físico não embarcado - Nov08 - Conferido_DB Entrada_1_Commodities_2_DB Entrada_DB Entrada_1_Relatório Gerencial_1_7-Estoque" xfId="10225"/>
    <cellStyle name="s_Valuation _DB Dados do Mercado_Açúcar Físico não embarcado - Nov08 - Conferido_DB Entrada_1_Commodities_2_DB Entrada_DB Entrada_1_Relatório Gerencial_1_DB Entrada" xfId="10226"/>
    <cellStyle name="s_Valuation _DB Dados do Mercado_Açúcar Físico não embarcado - Nov08 - Conferido_DB Entrada_1_Commodities_2_DB Entrada_DB Entrada_1_Relatório Gerencial_1_DB Entrada 2" xfId="10227"/>
    <cellStyle name="s_Valuation _DB Dados do Mercado_Açúcar Físico não embarcado - Nov08 - Conferido_DB Entrada_1_Commodities_2_DB Entrada_DB Entrada_1_Relatório Gerencial_1_DB Entrada 2_15-FINANCEIRAS" xfId="10228"/>
    <cellStyle name="s_Valuation _DB Dados do Mercado_Açúcar Físico não embarcado - Nov08 - Conferido_DB Entrada_1_Commodities_2_DB Entrada_DB Entrada_1_Relatório Gerencial_1_DB Entrada_15-FINANCEIRAS" xfId="10229"/>
    <cellStyle name="s_Valuation _DB Dados do Mercado_Açúcar Físico não embarcado - Nov08 - Conferido_DB Entrada_1_Commodities_2_DB Entrada_DB Entrada_1_Relatório Gerencial_1_DB Entrada_15-FINANCEIRAS_1" xfId="10230"/>
    <cellStyle name="s_Valuation _DB Dados do Mercado_Açúcar Físico não embarcado - Nov08 - Conferido_DB Entrada_1_Commodities_2_DB Entrada_DB Entrada_1_Relatório Gerencial_1_DB Entrada_3-Balanço" xfId="10231"/>
    <cellStyle name="s_Valuation _DB Dados do Mercado_Açúcar Físico não embarcado - Nov08 - Conferido_DB Entrada_1_Commodities_2_DB Entrada_DB Entrada_1_Relatório Gerencial_1_DB Entrada_7-Estoque" xfId="10232"/>
    <cellStyle name="s_Valuation _DB Dados do Mercado_Açúcar Físico não embarcado - Nov08 - Conferido_DB Entrada_1_Commodities_2_DB Entrada_DB Entrada_1_Relatório Gerencial_15-FINANCEIRAS" xfId="10233"/>
    <cellStyle name="s_Valuation _DB Dados do Mercado_Açúcar Físico não embarcado - Nov08 - Conferido_DB Entrada_1_Commodities_2_DB Entrada_DB Entrada_1_Relatório Gerencial_15-FINANCEIRAS_1" xfId="10234"/>
    <cellStyle name="s_Valuation _DB Dados do Mercado_Açúcar Físico não embarcado - Nov08 - Conferido_DB Entrada_1_Commodities_2_DB Entrada_DB Entrada_1_Relatório Gerencial_3-Balanço" xfId="10235"/>
    <cellStyle name="s_Valuation _DB Dados do Mercado_Açúcar Físico não embarcado - Nov08 - Conferido_DB Entrada_1_Commodities_2_DB Entrada_DB Entrada_1_Relatório Gerencial_7-Estoque" xfId="10236"/>
    <cellStyle name="s_Valuation _DB Dados do Mercado_Açúcar Físico não embarcado - Nov08 - Conferido_DB Entrada_1_Commodities_2_DB Entrada_DB Entrada_1_Sistema Cosan backup 103 Retirada de relatorios" xfId="10237"/>
    <cellStyle name="s_Valuation _DB Dados do Mercado_Açúcar Físico não embarcado - Nov08 - Conferido_DB Entrada_1_Commodities_2_DB Entrada_DB Entrada_1_Sistema Cosan backup 103 Retirada de relatorios 2" xfId="10238"/>
    <cellStyle name="s_Valuation _DB Dados do Mercado_Açúcar Físico não embarcado - Nov08 - Conferido_DB Entrada_1_Commodities_2_DB Entrada_DB Entrada_1_Sistema Cosan backup 103 Retirada de relatorios 2_15-FINANCEIRAS" xfId="10239"/>
    <cellStyle name="s_Valuation _DB Dados do Mercado_Açúcar Físico não embarcado - Nov08 - Conferido_DB Entrada_1_Commodities_2_DB Entrada_DB Entrada_1_Sistema Cosan backup 103 Retirada de relatorios_15-FINANCEIRAS" xfId="10240"/>
    <cellStyle name="s_Valuation _DB Dados do Mercado_Açúcar Físico não embarcado - Nov08 - Conferido_DB Entrada_1_Commodities_2_DB Entrada_DB Entrada_1_Sistema Cosan backup 103 Retirada de relatorios_15-FINANCEIRAS_1" xfId="10241"/>
    <cellStyle name="s_Valuation _DB Dados do Mercado_Açúcar Físico não embarcado - Nov08 - Conferido_DB Entrada_1_Commodities_2_DB Entrada_DB Entrada_1_Sistema Cosan backup 103 Retirada de relatorios_3-Balanço" xfId="10242"/>
    <cellStyle name="s_Valuation _DB Dados do Mercado_Açúcar Físico não embarcado - Nov08 - Conferido_DB Entrada_1_Commodities_2_DB Entrada_DB Entrada_1_Sistema Cosan backup 103 Retirada de relatorios_7-Estoque" xfId="10243"/>
    <cellStyle name="s_Valuation _DB Dados do Mercado_Açúcar Físico não embarcado - Nov08 - Conferido_DB Entrada_1_Commodities_2_DB Entrada_DB Entrada_15-FINANCEIRAS" xfId="10244"/>
    <cellStyle name="s_Valuation _DB Dados do Mercado_Açúcar Físico não embarcado - Nov08 - Conferido_DB Entrada_1_Commodities_2_DB Entrada_DB Entrada_15-FINANCEIRAS_1" xfId="10245"/>
    <cellStyle name="s_Valuation _DB Dados do Mercado_Açúcar Físico não embarcado - Nov08 - Conferido_DB Entrada_1_Commodities_2_DB Entrada_DB Entrada_3-Balanço" xfId="10246"/>
    <cellStyle name="s_Valuation _DB Dados do Mercado_Açúcar Físico não embarcado - Nov08 - Conferido_DB Entrada_1_Commodities_2_DB Entrada_DB Entrada_7-Estoque" xfId="10247"/>
    <cellStyle name="s_Valuation _DB Dados do Mercado_Açúcar Físico não embarcado - Nov08 - Conferido_DB Entrada_1_Commodities_2_DB Entrada_DB Entrada_Relatório Gerencial" xfId="10248"/>
    <cellStyle name="s_Valuation _DB Dados do Mercado_Açúcar Físico não embarcado - Nov08 - Conferido_DB Entrada_1_Commodities_2_DB Entrada_DB Entrada_Relatório Gerencial 2" xfId="10249"/>
    <cellStyle name="s_Valuation _DB Dados do Mercado_Açúcar Físico não embarcado - Nov08 - Conferido_DB Entrada_1_Commodities_2_DB Entrada_DB Entrada_Relatório Gerencial 2_15-FINANCEIRAS" xfId="10250"/>
    <cellStyle name="s_Valuation _DB Dados do Mercado_Açúcar Físico não embarcado - Nov08 - Conferido_DB Entrada_1_Commodities_2_DB Entrada_DB Entrada_Relatório Gerencial_15-FINANCEIRAS" xfId="10251"/>
    <cellStyle name="s_Valuation _DB Dados do Mercado_Açúcar Físico não embarcado - Nov08 - Conferido_DB Entrada_1_Commodities_2_DB Entrada_DB Entrada_Relatório Gerencial_15-FINANCEIRAS_1" xfId="10252"/>
    <cellStyle name="s_Valuation _DB Dados do Mercado_Açúcar Físico não embarcado - Nov08 - Conferido_DB Entrada_1_Commodities_2_DB Entrada_DB Entrada_Relatório Gerencial_3-Balanço" xfId="10253"/>
    <cellStyle name="s_Valuation _DB Dados do Mercado_Açúcar Físico não embarcado - Nov08 - Conferido_DB Entrada_1_Commodities_2_DB Entrada_DB Entrada_Relatório Gerencial_7-Estoque" xfId="10254"/>
    <cellStyle name="s_Valuation _DB Dados do Mercado_Açúcar Físico não embarcado - Nov08 - Conferido_DB Entrada_1_Commodities_2_DB Entrada_DB Entrada_Relatório Gerencial_DB Entrada" xfId="10255"/>
    <cellStyle name="s_Valuation _DB Dados do Mercado_Açúcar Físico não embarcado - Nov08 - Conferido_DB Entrada_1_Commodities_2_DB Entrada_DB Entrada_Relatório Gerencial_DB Entrada 2" xfId="10256"/>
    <cellStyle name="s_Valuation _DB Dados do Mercado_Açúcar Físico não embarcado - Nov08 - Conferido_DB Entrada_1_Commodities_2_DB Entrada_DB Entrada_Relatório Gerencial_DB Entrada 2_15-FINANCEIRAS" xfId="10257"/>
    <cellStyle name="s_Valuation _DB Dados do Mercado_Açúcar Físico não embarcado - Nov08 - Conferido_DB Entrada_1_Commodities_2_DB Entrada_DB Entrada_Relatório Gerencial_DB Entrada_15-FINANCEIRAS" xfId="10258"/>
    <cellStyle name="s_Valuation _DB Dados do Mercado_Açúcar Físico não embarcado - Nov08 - Conferido_DB Entrada_1_Commodities_2_DB Entrada_DB Entrada_Relatório Gerencial_DB Entrada_15-FINANCEIRAS_1" xfId="10259"/>
    <cellStyle name="s_Valuation _DB Dados do Mercado_Açúcar Físico não embarcado - Nov08 - Conferido_DB Entrada_1_Commodities_2_DB Entrada_DB Entrada_Relatório Gerencial_DB Entrada_3-Balanço" xfId="10260"/>
    <cellStyle name="s_Valuation _DB Dados do Mercado_Açúcar Físico não embarcado - Nov08 - Conferido_DB Entrada_1_Commodities_2_DB Entrada_DB Entrada_Relatório Gerencial_DB Entrada_7-Estoque" xfId="10261"/>
    <cellStyle name="s_Valuation _DB Dados do Mercado_Açúcar Físico não embarcado - Nov08 - Conferido_DB Entrada_1_Commodities_2_DB Entrada_DB Exposição" xfId="10262"/>
    <cellStyle name="s_Valuation _DB Dados do Mercado_Açúcar Físico não embarcado - Nov08 - Conferido_DB Entrada_1_Commodities_2_DB Entrada_DB Exposição 2" xfId="10263"/>
    <cellStyle name="s_Valuation _DB Dados do Mercado_Açúcar Físico não embarcado - Nov08 - Conferido_DB Entrada_1_Commodities_2_DB Entrada_DB Exposição 2_15-FINANCEIRAS" xfId="10264"/>
    <cellStyle name="s_Valuation _DB Dados do Mercado_Açúcar Físico não embarcado - Nov08 - Conferido_DB Entrada_1_Commodities_2_DB Entrada_DB Exposição_15-FINANCEIRAS" xfId="10265"/>
    <cellStyle name="s_Valuation _DB Dados do Mercado_Açúcar Físico não embarcado - Nov08 - Conferido_DB Entrada_1_Commodities_2_DB Entrada_DB Exposição_15-FINANCEIRAS_1" xfId="10266"/>
    <cellStyle name="s_Valuation _DB Dados do Mercado_Açúcar Físico não embarcado - Nov08 - Conferido_DB Entrada_1_Commodities_2_DB Entrada_DB Exposição_3-Balanço" xfId="10267"/>
    <cellStyle name="s_Valuation _DB Dados do Mercado_Açúcar Físico não embarcado - Nov08 - Conferido_DB Entrada_1_Commodities_2_DB Entrada_DB Exposição_7-Estoque" xfId="10268"/>
    <cellStyle name="s_Valuation _DB Dados do Mercado_Açúcar Físico não embarcado - Nov08 - Conferido_DB Entrada_1_Commodities_2_DB Entrada_DB Exposição_Relatório Gerencial" xfId="10269"/>
    <cellStyle name="s_Valuation _DB Dados do Mercado_Açúcar Físico não embarcado - Nov08 - Conferido_DB Entrada_1_Commodities_2_DB Entrada_DB Exposição_Relatório Gerencial 2" xfId="10270"/>
    <cellStyle name="s_Valuation _DB Dados do Mercado_Açúcar Físico não embarcado - Nov08 - Conferido_DB Entrada_1_Commodities_2_DB Entrada_DB Exposição_Relatório Gerencial 2_15-FINANCEIRAS" xfId="10271"/>
    <cellStyle name="s_Valuation _DB Dados do Mercado_Açúcar Físico não embarcado - Nov08 - Conferido_DB Entrada_1_Commodities_2_DB Entrada_DB Exposição_Relatório Gerencial_15-FINANCEIRAS" xfId="10272"/>
    <cellStyle name="s_Valuation _DB Dados do Mercado_Açúcar Físico não embarcado - Nov08 - Conferido_DB Entrada_1_Commodities_2_DB Entrada_DB Exposição_Relatório Gerencial_15-FINANCEIRAS_1" xfId="10273"/>
    <cellStyle name="s_Valuation _DB Dados do Mercado_Açúcar Físico não embarcado - Nov08 - Conferido_DB Entrada_1_Commodities_2_DB Entrada_DB Exposição_Relatório Gerencial_3-Balanço" xfId="10274"/>
    <cellStyle name="s_Valuation _DB Dados do Mercado_Açúcar Físico não embarcado - Nov08 - Conferido_DB Entrada_1_Commodities_2_DB Entrada_DB Exposição_Relatório Gerencial_7-Estoque" xfId="10275"/>
    <cellStyle name="s_Valuation _DB Dados do Mercado_Açúcar Físico não embarcado - Nov08 - Conferido_DB Entrada_1_Commodities_2_DB Entrada_DB Exposição_Relatório Gerencial_DB Entrada" xfId="10276"/>
    <cellStyle name="s_Valuation _DB Dados do Mercado_Açúcar Físico não embarcado - Nov08 - Conferido_DB Entrada_1_Commodities_2_DB Entrada_DB Exposição_Relatório Gerencial_DB Entrada 2" xfId="10277"/>
    <cellStyle name="s_Valuation _DB Dados do Mercado_Açúcar Físico não embarcado - Nov08 - Conferido_DB Entrada_1_Commodities_2_DB Entrada_DB Exposição_Relatório Gerencial_DB Entrada 2_15-FINANCEIRAS" xfId="10278"/>
    <cellStyle name="s_Valuation _DB Dados do Mercado_Açúcar Físico não embarcado - Nov08 - Conferido_DB Entrada_1_Commodities_2_DB Entrada_DB Exposição_Relatório Gerencial_DB Entrada_15-FINANCEIRAS" xfId="10279"/>
    <cellStyle name="s_Valuation _DB Dados do Mercado_Açúcar Físico não embarcado - Nov08 - Conferido_DB Entrada_1_Commodities_2_DB Entrada_DB Exposição_Relatório Gerencial_DB Entrada_15-FINANCEIRAS_1" xfId="10280"/>
    <cellStyle name="s_Valuation _DB Dados do Mercado_Açúcar Físico não embarcado - Nov08 - Conferido_DB Entrada_1_Commodities_2_DB Entrada_DB Exposição_Relatório Gerencial_DB Entrada_3-Balanço" xfId="10281"/>
    <cellStyle name="s_Valuation _DB Dados do Mercado_Açúcar Físico não embarcado - Nov08 - Conferido_DB Entrada_1_Commodities_2_DB Entrada_DB Exposição_Relatório Gerencial_DB Entrada_7-Estoque" xfId="10282"/>
    <cellStyle name="s_Valuation _DB Dados do Mercado_Açúcar Físico não embarcado - Nov08 - Conferido_DB Entrada_1_Commodities_2_DB Entrada_DB Posição" xfId="10283"/>
    <cellStyle name="s_Valuation _DB Dados do Mercado_Açúcar Físico não embarcado - Nov08 - Conferido_DB Entrada_1_Commodities_2_DB Entrada_DB Posição 2" xfId="10284"/>
    <cellStyle name="s_Valuation _DB Dados do Mercado_Açúcar Físico não embarcado - Nov08 - Conferido_DB Entrada_1_Commodities_2_DB Entrada_DB Posição 2_15-FINANCEIRAS" xfId="10285"/>
    <cellStyle name="s_Valuation _DB Dados do Mercado_Açúcar Físico não embarcado - Nov08 - Conferido_DB Entrada_1_Commodities_2_DB Entrada_DB Posição_15-FINANCEIRAS" xfId="10286"/>
    <cellStyle name="s_Valuation _DB Dados do Mercado_Açúcar Físico não embarcado - Nov08 - Conferido_DB Entrada_1_Commodities_2_DB Entrada_DB Posição_15-FINANCEIRAS_1" xfId="10287"/>
    <cellStyle name="s_Valuation _DB Dados do Mercado_Açúcar Físico não embarcado - Nov08 - Conferido_DB Entrada_1_Commodities_2_DB Entrada_DB Posição_3-Balanço" xfId="10288"/>
    <cellStyle name="s_Valuation _DB Dados do Mercado_Açúcar Físico não embarcado - Nov08 - Conferido_DB Entrada_1_Commodities_2_DB Entrada_DB Posição_7-Estoque" xfId="10289"/>
    <cellStyle name="s_Valuation _DB Dados do Mercado_Açúcar Físico não embarcado - Nov08 - Conferido_DB Entrada_1_Commodities_2_DB Entrada_Relatório de Commodities" xfId="10290"/>
    <cellStyle name="s_Valuation _DB Dados do Mercado_Açúcar Físico não embarcado - Nov08 - Conferido_DB Entrada_1_Commodities_2_DB Entrada_Relatório de Commodities 2" xfId="10291"/>
    <cellStyle name="s_Valuation _DB Dados do Mercado_Açúcar Físico não embarcado - Nov08 - Conferido_DB Entrada_1_Commodities_2_DB Entrada_Relatório de Commodities 2_15-FINANCEIRAS" xfId="10292"/>
    <cellStyle name="s_Valuation _DB Dados do Mercado_Açúcar Físico não embarcado - Nov08 - Conferido_DB Entrada_1_Commodities_2_DB Entrada_Relatório de Commodities_15-FINANCEIRAS" xfId="10293"/>
    <cellStyle name="s_Valuation _DB Dados do Mercado_Açúcar Físico não embarcado - Nov08 - Conferido_DB Entrada_1_Commodities_2_DB Entrada_Relatório de Commodities_15-FINANCEIRAS_1" xfId="10294"/>
    <cellStyle name="s_Valuation _DB Dados do Mercado_Açúcar Físico não embarcado - Nov08 - Conferido_DB Entrada_1_Commodities_2_DB Entrada_Relatório de Commodities_3-Balanço" xfId="10295"/>
    <cellStyle name="s_Valuation _DB Dados do Mercado_Açúcar Físico não embarcado - Nov08 - Conferido_DB Entrada_1_Commodities_2_DB Entrada_Relatório de Commodities_7-Estoque" xfId="10296"/>
    <cellStyle name="s_Valuation _DB Dados do Mercado_Açúcar Físico não embarcado - Nov08 - Conferido_DB Entrada_1_Commodities_2_DB Entrada_Relatório de Commodities_Relatório Gerencial" xfId="10297"/>
    <cellStyle name="s_Valuation _DB Dados do Mercado_Açúcar Físico não embarcado - Nov08 - Conferido_DB Entrada_1_Commodities_2_DB Entrada_Relatório de Commodities_Relatório Gerencial 2" xfId="10298"/>
    <cellStyle name="s_Valuation _DB Dados do Mercado_Açúcar Físico não embarcado - Nov08 - Conferido_DB Entrada_1_Commodities_2_DB Entrada_Relatório de Commodities_Relatório Gerencial 2_15-FINANCEIRAS" xfId="10299"/>
    <cellStyle name="s_Valuation _DB Dados do Mercado_Açúcar Físico não embarcado - Nov08 - Conferido_DB Entrada_1_Commodities_2_DB Entrada_Relatório de Commodities_Relatório Gerencial_15-FINANCEIRAS" xfId="10300"/>
    <cellStyle name="s_Valuation _DB Dados do Mercado_Açúcar Físico não embarcado - Nov08 - Conferido_DB Entrada_1_Commodities_2_DB Entrada_Relatório de Commodities_Relatório Gerencial_15-FINANCEIRAS_1" xfId="10301"/>
    <cellStyle name="s_Valuation _DB Dados do Mercado_Açúcar Físico não embarcado - Nov08 - Conferido_DB Entrada_1_Commodities_2_DB Entrada_Relatório de Commodities_Relatório Gerencial_3-Balanço" xfId="10302"/>
    <cellStyle name="s_Valuation _DB Dados do Mercado_Açúcar Físico não embarcado - Nov08 - Conferido_DB Entrada_1_Commodities_2_DB Entrada_Relatório de Commodities_Relatório Gerencial_7-Estoque" xfId="10303"/>
    <cellStyle name="s_Valuation _DB Dados do Mercado_Açúcar Físico não embarcado - Nov08 - Conferido_DB Entrada_1_Commodities_2_DB Entrada_Relatório de Commodities_Relatório Gerencial_DB Entrada" xfId="10304"/>
    <cellStyle name="s_Valuation _DB Dados do Mercado_Açúcar Físico não embarcado - Nov08 - Conferido_DB Entrada_1_Commodities_2_DB Entrada_Relatório de Commodities_Relatório Gerencial_DB Entrada 2" xfId="10305"/>
    <cellStyle name="s_Valuation _DB Dados do Mercado_Açúcar Físico não embarcado - Nov08 - Conferido_DB Entrada_1_Commodities_2_DB Entrada_Relatório de Commodities_Relatório Gerencial_DB Entrada 2_15-FINANCEIRAS" xfId="10306"/>
    <cellStyle name="s_Valuation _DB Dados do Mercado_Açúcar Físico não embarcado - Nov08 - Conferido_DB Entrada_1_Commodities_2_DB Entrada_Relatório de Commodities_Relatório Gerencial_DB Entrada_15-FINANCEIRAS" xfId="10307"/>
    <cellStyle name="s_Valuation _DB Dados do Mercado_Açúcar Físico não embarcado - Nov08 - Conferido_DB Entrada_1_Commodities_2_DB Entrada_Relatório de Commodities_Relatório Gerencial_DB Entrada_15-FINANCEIRAS_1" xfId="10308"/>
    <cellStyle name="s_Valuation _DB Dados do Mercado_Açúcar Físico não embarcado - Nov08 - Conferido_DB Entrada_1_Commodities_2_DB Entrada_Relatório de Commodities_Relatório Gerencial_DB Entrada_3-Balanço" xfId="10309"/>
    <cellStyle name="s_Valuation _DB Dados do Mercado_Açúcar Físico não embarcado - Nov08 - Conferido_DB Entrada_1_Commodities_2_DB Entrada_Relatório de Commodities_Relatório Gerencial_DB Entrada_7-Estoque" xfId="10310"/>
    <cellStyle name="s_Valuation _DB Dados do Mercado_Açúcar Físico não embarcado - Nov08 - Conferido_DB Entrada_1_Commodities_2_DB Entrada_Relatório Fechamento" xfId="10311"/>
    <cellStyle name="s_Valuation _DB Dados do Mercado_Açúcar Físico não embarcado - Nov08 - Conferido_DB Entrada_1_Commodities_2_DB Entrada_Relatório Fechamento 2" xfId="10312"/>
    <cellStyle name="s_Valuation _DB Dados do Mercado_Açúcar Físico não embarcado - Nov08 - Conferido_DB Entrada_1_Commodities_2_DB Entrada_Relatório Fechamento 2_15-FINANCEIRAS" xfId="10313"/>
    <cellStyle name="s_Valuation _DB Dados do Mercado_Açúcar Físico não embarcado - Nov08 - Conferido_DB Entrada_1_Commodities_2_DB Entrada_Relatório Fechamento_15-FINANCEIRAS" xfId="10314"/>
    <cellStyle name="s_Valuation _DB Dados do Mercado_Açúcar Físico não embarcado - Nov08 - Conferido_DB Entrada_1_Commodities_2_DB Entrada_Relatório Fechamento_15-FINANCEIRAS_1" xfId="10315"/>
    <cellStyle name="s_Valuation _DB Dados do Mercado_Açúcar Físico não embarcado - Nov08 - Conferido_DB Entrada_1_Commodities_2_DB Entrada_Relatório Fechamento_3-Balanço" xfId="10316"/>
    <cellStyle name="s_Valuation _DB Dados do Mercado_Açúcar Físico não embarcado - Nov08 - Conferido_DB Entrada_1_Commodities_2_DB Entrada_Relatório Fechamento_7-Estoque" xfId="10317"/>
    <cellStyle name="s_Valuation _DB Dados do Mercado_Açúcar Físico não embarcado - Nov08 - Conferido_DB Entrada_1_Commodities_2_DB Entrada_Relatório Gerencial" xfId="10318"/>
    <cellStyle name="s_Valuation _DB Dados do Mercado_Açúcar Físico não embarcado - Nov08 - Conferido_DB Entrada_1_Commodities_2_DB Entrada_Relatório Gerencial 2" xfId="10319"/>
    <cellStyle name="s_Valuation _DB Dados do Mercado_Açúcar Físico não embarcado - Nov08 - Conferido_DB Entrada_1_Commodities_2_DB Entrada_Relatório Gerencial 2_15-FINANCEIRAS" xfId="10320"/>
    <cellStyle name="s_Valuation _DB Dados do Mercado_Açúcar Físico não embarcado - Nov08 - Conferido_DB Entrada_1_Commodities_2_DB Entrada_Relatório Gerencial_1" xfId="10321"/>
    <cellStyle name="s_Valuation _DB Dados do Mercado_Açúcar Físico não embarcado - Nov08 - Conferido_DB Entrada_1_Commodities_2_DB Entrada_Relatório Gerencial_1 2" xfId="10322"/>
    <cellStyle name="s_Valuation _DB Dados do Mercado_Açúcar Físico não embarcado - Nov08 - Conferido_DB Entrada_1_Commodities_2_DB Entrada_Relatório Gerencial_1 2_15-FINANCEIRAS" xfId="10323"/>
    <cellStyle name="s_Valuation _DB Dados do Mercado_Açúcar Físico não embarcado - Nov08 - Conferido_DB Entrada_1_Commodities_2_DB Entrada_Relatório Gerencial_1_15-FINANCEIRAS" xfId="10324"/>
    <cellStyle name="s_Valuation _DB Dados do Mercado_Açúcar Físico não embarcado - Nov08 - Conferido_DB Entrada_1_Commodities_2_DB Entrada_Relatório Gerencial_1_15-FINANCEIRAS_1" xfId="10325"/>
    <cellStyle name="s_Valuation _DB Dados do Mercado_Açúcar Físico não embarcado - Nov08 - Conferido_DB Entrada_1_Commodities_2_DB Entrada_Relatório Gerencial_1_3-Balanço" xfId="10326"/>
    <cellStyle name="s_Valuation _DB Dados do Mercado_Açúcar Físico não embarcado - Nov08 - Conferido_DB Entrada_1_Commodities_2_DB Entrada_Relatório Gerencial_1_7-Estoque" xfId="10327"/>
    <cellStyle name="s_Valuation _DB Dados do Mercado_Açúcar Físico não embarcado - Nov08 - Conferido_DB Entrada_1_Commodities_2_DB Entrada_Relatório Gerencial_1_DB Entrada" xfId="10328"/>
    <cellStyle name="s_Valuation _DB Dados do Mercado_Açúcar Físico não embarcado - Nov08 - Conferido_DB Entrada_1_Commodities_2_DB Entrada_Relatório Gerencial_1_DB Entrada 2" xfId="10329"/>
    <cellStyle name="s_Valuation _DB Dados do Mercado_Açúcar Físico não embarcado - Nov08 - Conferido_DB Entrada_1_Commodities_2_DB Entrada_Relatório Gerencial_1_DB Entrada 2_15-FINANCEIRAS" xfId="10330"/>
    <cellStyle name="s_Valuation _DB Dados do Mercado_Açúcar Físico não embarcado - Nov08 - Conferido_DB Entrada_1_Commodities_2_DB Entrada_Relatório Gerencial_1_DB Entrada_15-FINANCEIRAS" xfId="10331"/>
    <cellStyle name="s_Valuation _DB Dados do Mercado_Açúcar Físico não embarcado - Nov08 - Conferido_DB Entrada_1_Commodities_2_DB Entrada_Relatório Gerencial_1_DB Entrada_15-FINANCEIRAS_1" xfId="10332"/>
    <cellStyle name="s_Valuation _DB Dados do Mercado_Açúcar Físico não embarcado - Nov08 - Conferido_DB Entrada_1_Commodities_2_DB Entrada_Relatório Gerencial_1_DB Entrada_3-Balanço" xfId="10333"/>
    <cellStyle name="s_Valuation _DB Dados do Mercado_Açúcar Físico não embarcado - Nov08 - Conferido_DB Entrada_1_Commodities_2_DB Entrada_Relatório Gerencial_1_DB Entrada_7-Estoque" xfId="10334"/>
    <cellStyle name="s_Valuation _DB Dados do Mercado_Açúcar Físico não embarcado - Nov08 - Conferido_DB Entrada_1_Commodities_2_DB Entrada_Relatório Gerencial_15-FINANCEIRAS" xfId="10335"/>
    <cellStyle name="s_Valuation _DB Dados do Mercado_Açúcar Físico não embarcado - Nov08 - Conferido_DB Entrada_1_Commodities_2_DB Entrada_Relatório Gerencial_15-FINANCEIRAS_1" xfId="10336"/>
    <cellStyle name="s_Valuation _DB Dados do Mercado_Açúcar Físico não embarcado - Nov08 - Conferido_DB Entrada_1_Commodities_2_DB Entrada_Relatório Gerencial_3-Balanço" xfId="10337"/>
    <cellStyle name="s_Valuation _DB Dados do Mercado_Açúcar Físico não embarcado - Nov08 - Conferido_DB Entrada_1_Commodities_2_DB Entrada_Relatório Gerencial_7-Estoque" xfId="10338"/>
    <cellStyle name="s_Valuation _DB Dados do Mercado_Açúcar Físico não embarcado - Nov08 - Conferido_DB Entrada_1_Commodities_2_DB Entrada_Sistema Cosan backup 103 Retirada de relatorios" xfId="10339"/>
    <cellStyle name="s_Valuation _DB Dados do Mercado_Açúcar Físico não embarcado - Nov08 - Conferido_DB Entrada_1_Commodities_2_DB Entrada_Sistema Cosan backup 103 Retirada de relatorios 2" xfId="10340"/>
    <cellStyle name="s_Valuation _DB Dados do Mercado_Açúcar Físico não embarcado - Nov08 - Conferido_DB Entrada_1_Commodities_2_DB Entrada_Sistema Cosan backup 103 Retirada de relatorios 2_15-FINANCEIRAS" xfId="10341"/>
    <cellStyle name="s_Valuation _DB Dados do Mercado_Açúcar Físico não embarcado - Nov08 - Conferido_DB Entrada_1_Commodities_2_DB Entrada_Sistema Cosan backup 103 Retirada de relatorios_15-FINANCEIRAS" xfId="10342"/>
    <cellStyle name="s_Valuation _DB Dados do Mercado_Açúcar Físico não embarcado - Nov08 - Conferido_DB Entrada_1_Commodities_2_DB Entrada_Sistema Cosan backup 103 Retirada de relatorios_15-FINANCEIRAS_1" xfId="10343"/>
    <cellStyle name="s_Valuation _DB Dados do Mercado_Açúcar Físico não embarcado - Nov08 - Conferido_DB Entrada_1_Commodities_2_DB Entrada_Sistema Cosan backup 103 Retirada de relatorios_3-Balanço" xfId="10344"/>
    <cellStyle name="s_Valuation _DB Dados do Mercado_Açúcar Físico não embarcado - Nov08 - Conferido_DB Entrada_1_Commodities_2_DB Entrada_Sistema Cosan backup 103 Retirada de relatorios_7-Estoque" xfId="10345"/>
    <cellStyle name="s_Valuation _DB Dados do Mercado_Açúcar Físico não embarcado - Nov08 - Conferido_DB Entrada_1_Commodities_2_DB Exposição" xfId="10346"/>
    <cellStyle name="s_Valuation _DB Dados do Mercado_Açúcar Físico não embarcado - Nov08 - Conferido_DB Entrada_1_Commodities_2_DB Exposição 2" xfId="10347"/>
    <cellStyle name="s_Valuation _DB Dados do Mercado_Açúcar Físico não embarcado - Nov08 - Conferido_DB Entrada_1_Commodities_2_DB Exposição 2_15-FINANCEIRAS" xfId="10348"/>
    <cellStyle name="s_Valuation _DB Dados do Mercado_Açúcar Físico não embarcado - Nov08 - Conferido_DB Entrada_1_Commodities_2_DB Exposição_15-FINANCEIRAS" xfId="10349"/>
    <cellStyle name="s_Valuation _DB Dados do Mercado_Açúcar Físico não embarcado - Nov08 - Conferido_DB Entrada_1_Commodities_2_DB Exposição_15-FINANCEIRAS_1" xfId="10350"/>
    <cellStyle name="s_Valuation _DB Dados do Mercado_Açúcar Físico não embarcado - Nov08 - Conferido_DB Entrada_1_Commodities_2_DB Exposição_3-Balanço" xfId="10351"/>
    <cellStyle name="s_Valuation _DB Dados do Mercado_Açúcar Físico não embarcado - Nov08 - Conferido_DB Entrada_1_Commodities_2_DB Exposição_7-Estoque" xfId="10352"/>
    <cellStyle name="s_Valuation _DB Dados do Mercado_Açúcar Físico não embarcado - Nov08 - Conferido_DB Entrada_1_Commodities_2_DB Exposição_Relatório Gerencial" xfId="10353"/>
    <cellStyle name="s_Valuation _DB Dados do Mercado_Açúcar Físico não embarcado - Nov08 - Conferido_DB Entrada_1_Commodities_2_DB Exposição_Relatório Gerencial 2" xfId="10354"/>
    <cellStyle name="s_Valuation _DB Dados do Mercado_Açúcar Físico não embarcado - Nov08 - Conferido_DB Entrada_1_Commodities_2_DB Exposição_Relatório Gerencial 2_15-FINANCEIRAS" xfId="10355"/>
    <cellStyle name="s_Valuation _DB Dados do Mercado_Açúcar Físico não embarcado - Nov08 - Conferido_DB Entrada_1_Commodities_2_DB Exposição_Relatório Gerencial_15-FINANCEIRAS" xfId="10356"/>
    <cellStyle name="s_Valuation _DB Dados do Mercado_Açúcar Físico não embarcado - Nov08 - Conferido_DB Entrada_1_Commodities_2_DB Exposição_Relatório Gerencial_15-FINANCEIRAS_1" xfId="10357"/>
    <cellStyle name="s_Valuation _DB Dados do Mercado_Açúcar Físico não embarcado - Nov08 - Conferido_DB Entrada_1_Commodities_2_DB Exposição_Relatório Gerencial_3-Balanço" xfId="10358"/>
    <cellStyle name="s_Valuation _DB Dados do Mercado_Açúcar Físico não embarcado - Nov08 - Conferido_DB Entrada_1_Commodities_2_DB Exposição_Relatório Gerencial_7-Estoque" xfId="10359"/>
    <cellStyle name="s_Valuation _DB Dados do Mercado_Açúcar Físico não embarcado - Nov08 - Conferido_DB Entrada_1_Commodities_2_DB Exposição_Relatório Gerencial_DB Entrada" xfId="10360"/>
    <cellStyle name="s_Valuation _DB Dados do Mercado_Açúcar Físico não embarcado - Nov08 - Conferido_DB Entrada_1_Commodities_2_DB Exposição_Relatório Gerencial_DB Entrada 2" xfId="10361"/>
    <cellStyle name="s_Valuation _DB Dados do Mercado_Açúcar Físico não embarcado - Nov08 - Conferido_DB Entrada_1_Commodities_2_DB Exposição_Relatório Gerencial_DB Entrada 2_15-FINANCEIRAS" xfId="10362"/>
    <cellStyle name="s_Valuation _DB Dados do Mercado_Açúcar Físico não embarcado - Nov08 - Conferido_DB Entrada_1_Commodities_2_DB Exposição_Relatório Gerencial_DB Entrada_15-FINANCEIRAS" xfId="10363"/>
    <cellStyle name="s_Valuation _DB Dados do Mercado_Açúcar Físico não embarcado - Nov08 - Conferido_DB Entrada_1_Commodities_2_DB Exposição_Relatório Gerencial_DB Entrada_15-FINANCEIRAS_1" xfId="10364"/>
    <cellStyle name="s_Valuation _DB Dados do Mercado_Açúcar Físico não embarcado - Nov08 - Conferido_DB Entrada_1_Commodities_2_DB Exposição_Relatório Gerencial_DB Entrada_3-Balanço" xfId="10365"/>
    <cellStyle name="s_Valuation _DB Dados do Mercado_Açúcar Físico não embarcado - Nov08 - Conferido_DB Entrada_1_Commodities_2_DB Exposição_Relatório Gerencial_DB Entrada_7-Estoque" xfId="10366"/>
    <cellStyle name="s_Valuation _DB Dados do Mercado_Açúcar Físico não embarcado - Nov08 - Conferido_DB Entrada_1_Commodities_2_DB Posição" xfId="10367"/>
    <cellStyle name="s_Valuation _DB Dados do Mercado_Açúcar Físico não embarcado - Nov08 - Conferido_DB Entrada_1_Commodities_2_DB Posição 2" xfId="10368"/>
    <cellStyle name="s_Valuation _DB Dados do Mercado_Açúcar Físico não embarcado - Nov08 - Conferido_DB Entrada_1_Commodities_2_DB Posição 2_15-FINANCEIRAS" xfId="10369"/>
    <cellStyle name="s_Valuation _DB Dados do Mercado_Açúcar Físico não embarcado - Nov08 - Conferido_DB Entrada_1_Commodities_2_DB Posição_15-FINANCEIRAS" xfId="10370"/>
    <cellStyle name="s_Valuation _DB Dados do Mercado_Açúcar Físico não embarcado - Nov08 - Conferido_DB Entrada_1_Commodities_2_DB Posição_15-FINANCEIRAS_1" xfId="10371"/>
    <cellStyle name="s_Valuation _DB Dados do Mercado_Açúcar Físico não embarcado - Nov08 - Conferido_DB Entrada_1_Commodities_2_DB Posição_3-Balanço" xfId="10372"/>
    <cellStyle name="s_Valuation _DB Dados do Mercado_Açúcar Físico não embarcado - Nov08 - Conferido_DB Entrada_1_Commodities_2_DB Posição_7-Estoque" xfId="10373"/>
    <cellStyle name="s_Valuation _DB Dados do Mercado_Açúcar Físico não embarcado - Nov08 - Conferido_DB Entrada_1_Commodities_2_Relatório de Commodities" xfId="10374"/>
    <cellStyle name="s_Valuation _DB Dados do Mercado_Açúcar Físico não embarcado - Nov08 - Conferido_DB Entrada_1_Commodities_2_Relatório de Commodities 2" xfId="10375"/>
    <cellStyle name="s_Valuation _DB Dados do Mercado_Açúcar Físico não embarcado - Nov08 - Conferido_DB Entrada_1_Commodities_2_Relatório de Commodities 2_15-FINANCEIRAS" xfId="10376"/>
    <cellStyle name="s_Valuation _DB Dados do Mercado_Açúcar Físico não embarcado - Nov08 - Conferido_DB Entrada_1_Commodities_2_Relatório de Commodities_15-FINANCEIRAS" xfId="10377"/>
    <cellStyle name="s_Valuation _DB Dados do Mercado_Açúcar Físico não embarcado - Nov08 - Conferido_DB Entrada_1_Commodities_2_Relatório de Commodities_15-FINANCEIRAS_1" xfId="10378"/>
    <cellStyle name="s_Valuation _DB Dados do Mercado_Açúcar Físico não embarcado - Nov08 - Conferido_DB Entrada_1_Commodities_2_Relatório de Commodities_3-Balanço" xfId="10379"/>
    <cellStyle name="s_Valuation _DB Dados do Mercado_Açúcar Físico não embarcado - Nov08 - Conferido_DB Entrada_1_Commodities_2_Relatório de Commodities_7-Estoque" xfId="10380"/>
    <cellStyle name="s_Valuation _DB Dados do Mercado_Açúcar Físico não embarcado - Nov08 - Conferido_DB Entrada_1_Commodities_2_Relatório de Commodities_Relatório Gerencial" xfId="10381"/>
    <cellStyle name="s_Valuation _DB Dados do Mercado_Açúcar Físico não embarcado - Nov08 - Conferido_DB Entrada_1_Commodities_2_Relatório de Commodities_Relatório Gerencial 2" xfId="10382"/>
    <cellStyle name="s_Valuation _DB Dados do Mercado_Açúcar Físico não embarcado - Nov08 - Conferido_DB Entrada_1_Commodities_2_Relatório de Commodities_Relatório Gerencial 2_15-FINANCEIRAS" xfId="10383"/>
    <cellStyle name="s_Valuation _DB Dados do Mercado_Açúcar Físico não embarcado - Nov08 - Conferido_DB Entrada_1_Commodities_2_Relatório de Commodities_Relatório Gerencial_15-FINANCEIRAS" xfId="10384"/>
    <cellStyle name="s_Valuation _DB Dados do Mercado_Açúcar Físico não embarcado - Nov08 - Conferido_DB Entrada_1_Commodities_2_Relatório de Commodities_Relatório Gerencial_15-FINANCEIRAS_1" xfId="10385"/>
    <cellStyle name="s_Valuation _DB Dados do Mercado_Açúcar Físico não embarcado - Nov08 - Conferido_DB Entrada_1_Commodities_2_Relatório de Commodities_Relatório Gerencial_3-Balanço" xfId="10386"/>
    <cellStyle name="s_Valuation _DB Dados do Mercado_Açúcar Físico não embarcado - Nov08 - Conferido_DB Entrada_1_Commodities_2_Relatório de Commodities_Relatório Gerencial_7-Estoque" xfId="10387"/>
    <cellStyle name="s_Valuation _DB Dados do Mercado_Açúcar Físico não embarcado - Nov08 - Conferido_DB Entrada_1_Commodities_2_Relatório de Commodities_Relatório Gerencial_DB Entrada" xfId="10388"/>
    <cellStyle name="s_Valuation _DB Dados do Mercado_Açúcar Físico não embarcado - Nov08 - Conferido_DB Entrada_1_Commodities_2_Relatório de Commodities_Relatório Gerencial_DB Entrada 2" xfId="10389"/>
    <cellStyle name="s_Valuation _DB Dados do Mercado_Açúcar Físico não embarcado - Nov08 - Conferido_DB Entrada_1_Commodities_2_Relatório de Commodities_Relatório Gerencial_DB Entrada 2_15-FINANCEIRAS" xfId="10390"/>
    <cellStyle name="s_Valuation _DB Dados do Mercado_Açúcar Físico não embarcado - Nov08 - Conferido_DB Entrada_1_Commodities_2_Relatório de Commodities_Relatório Gerencial_DB Entrada_15-FINANCEIRAS" xfId="10391"/>
    <cellStyle name="s_Valuation _DB Dados do Mercado_Açúcar Físico não embarcado - Nov08 - Conferido_DB Entrada_1_Commodities_2_Relatório de Commodities_Relatório Gerencial_DB Entrada_15-FINANCEIRAS_1" xfId="10392"/>
    <cellStyle name="s_Valuation _DB Dados do Mercado_Açúcar Físico não embarcado - Nov08 - Conferido_DB Entrada_1_Commodities_2_Relatório de Commodities_Relatório Gerencial_DB Entrada_3-Balanço" xfId="10393"/>
    <cellStyle name="s_Valuation _DB Dados do Mercado_Açúcar Físico não embarcado - Nov08 - Conferido_DB Entrada_1_Commodities_2_Relatório de Commodities_Relatório Gerencial_DB Entrada_7-Estoque" xfId="10394"/>
    <cellStyle name="s_Valuation _DB Dados do Mercado_Açúcar Físico não embarcado - Nov08 - Conferido_DB Entrada_1_Commodities_2_Relatório Fechamento" xfId="10395"/>
    <cellStyle name="s_Valuation _DB Dados do Mercado_Açúcar Físico não embarcado - Nov08 - Conferido_DB Entrada_1_Commodities_2_Relatório Fechamento 2" xfId="10396"/>
    <cellStyle name="s_Valuation _DB Dados do Mercado_Açúcar Físico não embarcado - Nov08 - Conferido_DB Entrada_1_Commodities_2_Relatório Fechamento 2_15-FINANCEIRAS" xfId="10397"/>
    <cellStyle name="s_Valuation _DB Dados do Mercado_Açúcar Físico não embarcado - Nov08 - Conferido_DB Entrada_1_Commodities_2_Relatório Fechamento_15-FINANCEIRAS" xfId="10398"/>
    <cellStyle name="s_Valuation _DB Dados do Mercado_Açúcar Físico não embarcado - Nov08 - Conferido_DB Entrada_1_Commodities_2_Relatório Fechamento_15-FINANCEIRAS_1" xfId="10399"/>
    <cellStyle name="s_Valuation _DB Dados do Mercado_Açúcar Físico não embarcado - Nov08 - Conferido_DB Entrada_1_Commodities_2_Relatório Fechamento_3-Balanço" xfId="10400"/>
    <cellStyle name="s_Valuation _DB Dados do Mercado_Açúcar Físico não embarcado - Nov08 - Conferido_DB Entrada_1_Commodities_2_Relatório Fechamento_7-Estoque" xfId="10401"/>
    <cellStyle name="s_Valuation _DB Dados do Mercado_Açúcar Físico não embarcado - Nov08 - Conferido_DB Entrada_1_Commodities_2_Relatório Gerencial" xfId="10402"/>
    <cellStyle name="s_Valuation _DB Dados do Mercado_Açúcar Físico não embarcado - Nov08 - Conferido_DB Entrada_1_Commodities_2_Relatório Gerencial 2" xfId="10403"/>
    <cellStyle name="s_Valuation _DB Dados do Mercado_Açúcar Físico não embarcado - Nov08 - Conferido_DB Entrada_1_Commodities_2_Relatório Gerencial 2_15-FINANCEIRAS" xfId="10404"/>
    <cellStyle name="s_Valuation _DB Dados do Mercado_Açúcar Físico não embarcado - Nov08 - Conferido_DB Entrada_1_Commodities_2_Relatório Gerencial_1" xfId="10405"/>
    <cellStyle name="s_Valuation _DB Dados do Mercado_Açúcar Físico não embarcado - Nov08 - Conferido_DB Entrada_1_Commodities_2_Relatório Gerencial_1 2" xfId="10406"/>
    <cellStyle name="s_Valuation _DB Dados do Mercado_Açúcar Físico não embarcado - Nov08 - Conferido_DB Entrada_1_Commodities_2_Relatório Gerencial_1 2_15-FINANCEIRAS" xfId="10407"/>
    <cellStyle name="s_Valuation _DB Dados do Mercado_Açúcar Físico não embarcado - Nov08 - Conferido_DB Entrada_1_Commodities_2_Relatório Gerencial_1_15-FINANCEIRAS" xfId="10408"/>
    <cellStyle name="s_Valuation _DB Dados do Mercado_Açúcar Físico não embarcado - Nov08 - Conferido_DB Entrada_1_Commodities_2_Relatório Gerencial_1_15-FINANCEIRAS_1" xfId="10409"/>
    <cellStyle name="s_Valuation _DB Dados do Mercado_Açúcar Físico não embarcado - Nov08 - Conferido_DB Entrada_1_Commodities_2_Relatório Gerencial_1_3-Balanço" xfId="10410"/>
    <cellStyle name="s_Valuation _DB Dados do Mercado_Açúcar Físico não embarcado - Nov08 - Conferido_DB Entrada_1_Commodities_2_Relatório Gerencial_1_7-Estoque" xfId="10411"/>
    <cellStyle name="s_Valuation _DB Dados do Mercado_Açúcar Físico não embarcado - Nov08 - Conferido_DB Entrada_1_Commodities_2_Relatório Gerencial_15-FINANCEIRAS" xfId="10412"/>
    <cellStyle name="s_Valuation _DB Dados do Mercado_Açúcar Físico não embarcado - Nov08 - Conferido_DB Entrada_1_Commodities_2_Relatório Gerencial_15-FINANCEIRAS_1" xfId="10413"/>
    <cellStyle name="s_Valuation _DB Dados do Mercado_Açúcar Físico não embarcado - Nov08 - Conferido_DB Entrada_1_Commodities_2_Relatório Gerencial_2" xfId="10414"/>
    <cellStyle name="s_Valuation _DB Dados do Mercado_Açúcar Físico não embarcado - Nov08 - Conferido_DB Entrada_1_Commodities_2_Relatório Gerencial_2 2" xfId="10415"/>
    <cellStyle name="s_Valuation _DB Dados do Mercado_Açúcar Físico não embarcado - Nov08 - Conferido_DB Entrada_1_Commodities_2_Relatório Gerencial_2 2_15-FINANCEIRAS" xfId="10416"/>
    <cellStyle name="s_Valuation _DB Dados do Mercado_Açúcar Físico não embarcado - Nov08 - Conferido_DB Entrada_1_Commodities_2_Relatório Gerencial_2_15-FINANCEIRAS" xfId="10417"/>
    <cellStyle name="s_Valuation _DB Dados do Mercado_Açúcar Físico não embarcado - Nov08 - Conferido_DB Entrada_1_Commodities_2_Relatório Gerencial_2_15-FINANCEIRAS_1" xfId="10418"/>
    <cellStyle name="s_Valuation _DB Dados do Mercado_Açúcar Físico não embarcado - Nov08 - Conferido_DB Entrada_1_Commodities_2_Relatório Gerencial_2_3-Balanço" xfId="10419"/>
    <cellStyle name="s_Valuation _DB Dados do Mercado_Açúcar Físico não embarcado - Nov08 - Conferido_DB Entrada_1_Commodities_2_Relatório Gerencial_2_7-Estoque" xfId="10420"/>
    <cellStyle name="s_Valuation _DB Dados do Mercado_Açúcar Físico não embarcado - Nov08 - Conferido_DB Entrada_1_Commodities_2_Relatório Gerencial_2_DB Entrada" xfId="10421"/>
    <cellStyle name="s_Valuation _DB Dados do Mercado_Açúcar Físico não embarcado - Nov08 - Conferido_DB Entrada_1_Commodities_2_Relatório Gerencial_2_DB Entrada 2" xfId="10422"/>
    <cellStyle name="s_Valuation _DB Dados do Mercado_Açúcar Físico não embarcado - Nov08 - Conferido_DB Entrada_1_Commodities_2_Relatório Gerencial_2_DB Entrada 2_15-FINANCEIRAS" xfId="10423"/>
    <cellStyle name="s_Valuation _DB Dados do Mercado_Açúcar Físico não embarcado - Nov08 - Conferido_DB Entrada_1_Commodities_2_Relatório Gerencial_2_DB Entrada_15-FINANCEIRAS" xfId="10424"/>
    <cellStyle name="s_Valuation _DB Dados do Mercado_Açúcar Físico não embarcado - Nov08 - Conferido_DB Entrada_1_Commodities_2_Relatório Gerencial_2_DB Entrada_15-FINANCEIRAS_1" xfId="10425"/>
    <cellStyle name="s_Valuation _DB Dados do Mercado_Açúcar Físico não embarcado - Nov08 - Conferido_DB Entrada_1_Commodities_2_Relatório Gerencial_2_DB Entrada_3-Balanço" xfId="10426"/>
    <cellStyle name="s_Valuation _DB Dados do Mercado_Açúcar Físico não embarcado - Nov08 - Conferido_DB Entrada_1_Commodities_2_Relatório Gerencial_2_DB Entrada_7-Estoque" xfId="10427"/>
    <cellStyle name="s_Valuation _DB Dados do Mercado_Açúcar Físico não embarcado - Nov08 - Conferido_DB Entrada_1_Commodities_2_Relatório Gerencial_3-Balanço" xfId="10428"/>
    <cellStyle name="s_Valuation _DB Dados do Mercado_Açúcar Físico não embarcado - Nov08 - Conferido_DB Entrada_1_Commodities_2_Relatório Gerencial_7-Estoque" xfId="10429"/>
    <cellStyle name="s_Valuation _DB Dados do Mercado_Açúcar Físico não embarcado - Nov08 - Conferido_DB Entrada_1_Commodities_2_Relatório Gerencial_DB Boletas Abertas" xfId="10430"/>
    <cellStyle name="s_Valuation _DB Dados do Mercado_Açúcar Físico não embarcado - Nov08 - Conferido_DB Entrada_1_Commodities_2_Relatório Gerencial_DB Boletas Abertas 2" xfId="10431"/>
    <cellStyle name="s_Valuation _DB Dados do Mercado_Açúcar Físico não embarcado - Nov08 - Conferido_DB Entrada_1_Commodities_2_Relatório Gerencial_DB Boletas Abertas 2_15-FINANCEIRAS" xfId="10432"/>
    <cellStyle name="s_Valuation _DB Dados do Mercado_Açúcar Físico não embarcado - Nov08 - Conferido_DB Entrada_1_Commodities_2_Relatório Gerencial_DB Boletas Abertas_15-FINANCEIRAS" xfId="10433"/>
    <cellStyle name="s_Valuation _DB Dados do Mercado_Açúcar Físico não embarcado - Nov08 - Conferido_DB Entrada_1_Commodities_2_Relatório Gerencial_DB Boletas Abertas_15-FINANCEIRAS_1" xfId="10434"/>
    <cellStyle name="s_Valuation _DB Dados do Mercado_Açúcar Físico não embarcado - Nov08 - Conferido_DB Entrada_1_Commodities_2_Relatório Gerencial_DB Boletas Abertas_3-Balanço" xfId="10435"/>
    <cellStyle name="s_Valuation _DB Dados do Mercado_Açúcar Físico não embarcado - Nov08 - Conferido_DB Entrada_1_Commodities_2_Relatório Gerencial_DB Boletas Abertas_7-Estoque" xfId="10436"/>
    <cellStyle name="s_Valuation _DB Dados do Mercado_Açúcar Físico não embarcado - Nov08 - Conferido_DB Entrada_1_Commodities_2_Relatório Gerencial_DB Boletas Vencendo" xfId="10437"/>
    <cellStyle name="s_Valuation _DB Dados do Mercado_Açúcar Físico não embarcado - Nov08 - Conferido_DB Entrada_1_Commodities_2_Relatório Gerencial_DB Boletas Vencendo 2" xfId="10438"/>
    <cellStyle name="s_Valuation _DB Dados do Mercado_Açúcar Físico não embarcado - Nov08 - Conferido_DB Entrada_1_Commodities_2_Relatório Gerencial_DB Boletas Vencendo 2_15-FINANCEIRAS" xfId="10439"/>
    <cellStyle name="s_Valuation _DB Dados do Mercado_Açúcar Físico não embarcado - Nov08 - Conferido_DB Entrada_1_Commodities_2_Relatório Gerencial_DB Boletas Vencendo_15-FINANCEIRAS" xfId="10440"/>
    <cellStyle name="s_Valuation _DB Dados do Mercado_Açúcar Físico não embarcado - Nov08 - Conferido_DB Entrada_1_Commodities_2_Relatório Gerencial_DB Boletas Vencendo_15-FINANCEIRAS_1" xfId="10441"/>
    <cellStyle name="s_Valuation _DB Dados do Mercado_Açúcar Físico não embarcado - Nov08 - Conferido_DB Entrada_1_Commodities_2_Relatório Gerencial_DB Boletas Vencendo_3-Balanço" xfId="10442"/>
    <cellStyle name="s_Valuation _DB Dados do Mercado_Açúcar Físico não embarcado - Nov08 - Conferido_DB Entrada_1_Commodities_2_Relatório Gerencial_DB Boletas Vencendo_7-Estoque" xfId="10443"/>
    <cellStyle name="s_Valuation _DB Dados do Mercado_Açúcar Físico não embarcado - Nov08 - Conferido_DB Entrada_1_Commodities_2_Relatório Gerencial_DB Boletas Vencendo_Relatório Gerencial" xfId="10444"/>
    <cellStyle name="s_Valuation _DB Dados do Mercado_Açúcar Físico não embarcado - Nov08 - Conferido_DB Entrada_1_Commodities_2_Relatório Gerencial_DB Boletas Vencendo_Relatório Gerencial 2" xfId="10445"/>
    <cellStyle name="s_Valuation _DB Dados do Mercado_Açúcar Físico não embarcado - Nov08 - Conferido_DB Entrada_1_Commodities_2_Relatório Gerencial_DB Boletas Vencendo_Relatório Gerencial 2_15-FINANCEIRAS" xfId="10446"/>
    <cellStyle name="s_Valuation _DB Dados do Mercado_Açúcar Físico não embarcado - Nov08 - Conferido_DB Entrada_1_Commodities_2_Relatório Gerencial_DB Boletas Vencendo_Relatório Gerencial_15-FINANCEIRAS" xfId="10447"/>
    <cellStyle name="s_Valuation _DB Dados do Mercado_Açúcar Físico não embarcado - Nov08 - Conferido_DB Entrada_1_Commodities_2_Relatório Gerencial_DB Boletas Vencendo_Relatório Gerencial_15-FINANCEIRAS_1" xfId="10448"/>
    <cellStyle name="s_Valuation _DB Dados do Mercado_Açúcar Físico não embarcado - Nov08 - Conferido_DB Entrada_1_Commodities_2_Relatório Gerencial_DB Boletas Vencendo_Relatório Gerencial_3-Balanço" xfId="10449"/>
    <cellStyle name="s_Valuation _DB Dados do Mercado_Açúcar Físico não embarcado - Nov08 - Conferido_DB Entrada_1_Commodities_2_Relatório Gerencial_DB Boletas Vencendo_Relatório Gerencial_7-Estoque" xfId="10450"/>
    <cellStyle name="s_Valuation _DB Dados do Mercado_Açúcar Físico não embarcado - Nov08 - Conferido_DB Entrada_1_Commodities_2_Relatório Gerencial_DB Boletas Vencendo_Relatório Gerencial_DB Entrada" xfId="10451"/>
    <cellStyle name="s_Valuation _DB Dados do Mercado_Açúcar Físico não embarcado - Nov08 - Conferido_DB Entrada_1_Commodities_2_Relatório Gerencial_DB Boletas Vencendo_Relatório Gerencial_DB Entrada 2" xfId="10452"/>
    <cellStyle name="s_Valuation _DB Dados do Mercado_Açúcar Físico não embarcado - Nov08 - Conferido_DB Entrada_1_Commodities_2_Relatório Gerencial_DB Boletas Vencendo_Relatório Gerencial_DB Entrada 2_15-FINANCEIRAS" xfId="10453"/>
    <cellStyle name="s_Valuation _DB Dados do Mercado_Açúcar Físico não embarcado - Nov08 - Conferido_DB Entrada_1_Commodities_2_Relatório Gerencial_DB Boletas Vencendo_Relatório Gerencial_DB Entrada_15-FINANCEIRAS" xfId="10454"/>
    <cellStyle name="s_Valuation _DB Dados do Mercado_Açúcar Físico não embarcado - Nov08 - Conferido_DB Entrada_1_Commodities_2_Relatório Gerencial_DB Boletas Vencendo_Relatório Gerencial_DB Entrada_15-FINANCEIRAS_1" xfId="10455"/>
    <cellStyle name="s_Valuation _DB Dados do Mercado_Açúcar Físico não embarcado - Nov08 - Conferido_DB Entrada_1_Commodities_2_Relatório Gerencial_DB Boletas Vencendo_Relatório Gerencial_DB Entrada_3-Balanço" xfId="10456"/>
    <cellStyle name="s_Valuation _DB Dados do Mercado_Açúcar Físico não embarcado - Nov08 - Conferido_DB Entrada_1_Commodities_2_Relatório Gerencial_DB Boletas Vencendo_Relatório Gerencial_DB Entrada_7-Estoque" xfId="10457"/>
    <cellStyle name="s_Valuation _DB Dados do Mercado_Açúcar Físico não embarcado - Nov08 - Conferido_DB Entrada_1_Commodities_2_Relatório Gerencial_DB Controle" xfId="10458"/>
    <cellStyle name="s_Valuation _DB Dados do Mercado_Açúcar Físico não embarcado - Nov08 - Conferido_DB Entrada_1_Commodities_2_Relatório Gerencial_DB Controle 2" xfId="10459"/>
    <cellStyle name="s_Valuation _DB Dados do Mercado_Açúcar Físico não embarcado - Nov08 - Conferido_DB Entrada_1_Commodities_2_Relatório Gerencial_DB Controle 2_15-FINANCEIRAS" xfId="10460"/>
    <cellStyle name="s_Valuation _DB Dados do Mercado_Açúcar Físico não embarcado - Nov08 - Conferido_DB Entrada_1_Commodities_2_Relatório Gerencial_DB Controle_15-FINANCEIRAS" xfId="10461"/>
    <cellStyle name="s_Valuation _DB Dados do Mercado_Açúcar Físico não embarcado - Nov08 - Conferido_DB Entrada_1_Commodities_2_Relatório Gerencial_DB Controle_15-FINANCEIRAS_1" xfId="10462"/>
    <cellStyle name="s_Valuation _DB Dados do Mercado_Açúcar Físico não embarcado - Nov08 - Conferido_DB Entrada_1_Commodities_2_Relatório Gerencial_DB Controle_3-Balanço" xfId="10463"/>
    <cellStyle name="s_Valuation _DB Dados do Mercado_Açúcar Físico não embarcado - Nov08 - Conferido_DB Entrada_1_Commodities_2_Relatório Gerencial_DB Controle_7-Estoque" xfId="10464"/>
    <cellStyle name="s_Valuation _DB Dados do Mercado_Açúcar Físico não embarcado - Nov08 - Conferido_DB Entrada_1_Commodities_2_Relatório Gerencial_DB Entrada" xfId="10465"/>
    <cellStyle name="s_Valuation _DB Dados do Mercado_Açúcar Físico não embarcado - Nov08 - Conferido_DB Entrada_1_Commodities_2_Relatório Gerencial_DB Entrada 2" xfId="10466"/>
    <cellStyle name="s_Valuation _DB Dados do Mercado_Açúcar Físico não embarcado - Nov08 - Conferido_DB Entrada_1_Commodities_2_Relatório Gerencial_DB Entrada 2_15-FINANCEIRAS" xfId="10467"/>
    <cellStyle name="s_Valuation _DB Dados do Mercado_Açúcar Físico não embarcado - Nov08 - Conferido_DB Entrada_1_Commodities_2_Relatório Gerencial_DB Entrada_1" xfId="10468"/>
    <cellStyle name="s_Valuation _DB Dados do Mercado_Açúcar Físico não embarcado - Nov08 - Conferido_DB Entrada_1_Commodities_2_Relatório Gerencial_DB Entrada_1 2" xfId="10469"/>
    <cellStyle name="s_Valuation _DB Dados do Mercado_Açúcar Físico não embarcado - Nov08 - Conferido_DB Entrada_1_Commodities_2_Relatório Gerencial_DB Entrada_1 2_15-FINANCEIRAS" xfId="10470"/>
    <cellStyle name="s_Valuation _DB Dados do Mercado_Açúcar Físico não embarcado - Nov08 - Conferido_DB Entrada_1_Commodities_2_Relatório Gerencial_DB Entrada_1_15-FINANCEIRAS" xfId="10471"/>
    <cellStyle name="s_Valuation _DB Dados do Mercado_Açúcar Físico não embarcado - Nov08 - Conferido_DB Entrada_1_Commodities_2_Relatório Gerencial_DB Entrada_1_15-FINANCEIRAS_1" xfId="10472"/>
    <cellStyle name="s_Valuation _DB Dados do Mercado_Açúcar Físico não embarcado - Nov08 - Conferido_DB Entrada_1_Commodities_2_Relatório Gerencial_DB Entrada_1_3-Balanço" xfId="10473"/>
    <cellStyle name="s_Valuation _DB Dados do Mercado_Açúcar Físico não embarcado - Nov08 - Conferido_DB Entrada_1_Commodities_2_Relatório Gerencial_DB Entrada_1_7-Estoque" xfId="10474"/>
    <cellStyle name="s_Valuation _DB Dados do Mercado_Açúcar Físico não embarcado - Nov08 - Conferido_DB Entrada_1_Commodities_2_Relatório Gerencial_DB Entrada_1_DB Boletas Abertas" xfId="10475"/>
    <cellStyle name="s_Valuation _DB Dados do Mercado_Açúcar Físico não embarcado - Nov08 - Conferido_DB Entrada_1_Commodities_2_Relatório Gerencial_DB Entrada_1_DB Boletas Abertas 2" xfId="10476"/>
    <cellStyle name="s_Valuation _DB Dados do Mercado_Açúcar Físico não embarcado - Nov08 - Conferido_DB Entrada_1_Commodities_2_Relatório Gerencial_DB Entrada_1_DB Boletas Abertas 2_15-FINANCEIRAS" xfId="10477"/>
    <cellStyle name="s_Valuation _DB Dados do Mercado_Açúcar Físico não embarcado - Nov08 - Conferido_DB Entrada_1_Commodities_2_Relatório Gerencial_DB Entrada_1_DB Boletas Abertas_15-FINANCEIRAS" xfId="10478"/>
    <cellStyle name="s_Valuation _DB Dados do Mercado_Açúcar Físico não embarcado - Nov08 - Conferido_DB Entrada_1_Commodities_2_Relatório Gerencial_DB Entrada_1_DB Boletas Abertas_15-FINANCEIRAS_1" xfId="10479"/>
    <cellStyle name="s_Valuation _DB Dados do Mercado_Açúcar Físico não embarcado - Nov08 - Conferido_DB Entrada_1_Commodities_2_Relatório Gerencial_DB Entrada_1_DB Boletas Abertas_3-Balanço" xfId="10480"/>
    <cellStyle name="s_Valuation _DB Dados do Mercado_Açúcar Físico não embarcado - Nov08 - Conferido_DB Entrada_1_Commodities_2_Relatório Gerencial_DB Entrada_1_DB Boletas Abertas_7-Estoque" xfId="10481"/>
    <cellStyle name="s_Valuation _DB Dados do Mercado_Açúcar Físico não embarcado - Nov08 - Conferido_DB Entrada_1_Commodities_2_Relatório Gerencial_DB Entrada_1_DB Controle" xfId="10482"/>
    <cellStyle name="s_Valuation _DB Dados do Mercado_Açúcar Físico não embarcado - Nov08 - Conferido_DB Entrada_1_Commodities_2_Relatório Gerencial_DB Entrada_1_DB Controle 2" xfId="10483"/>
    <cellStyle name="s_Valuation _DB Dados do Mercado_Açúcar Físico não embarcado - Nov08 - Conferido_DB Entrada_1_Commodities_2_Relatório Gerencial_DB Entrada_1_DB Controle 2_15-FINANCEIRAS" xfId="10484"/>
    <cellStyle name="s_Valuation _DB Dados do Mercado_Açúcar Físico não embarcado - Nov08 - Conferido_DB Entrada_1_Commodities_2_Relatório Gerencial_DB Entrada_1_DB Controle_15-FINANCEIRAS" xfId="10485"/>
    <cellStyle name="s_Valuation _DB Dados do Mercado_Açúcar Físico não embarcado - Nov08 - Conferido_DB Entrada_1_Commodities_2_Relatório Gerencial_DB Entrada_1_DB Controle_15-FINANCEIRAS_1" xfId="10486"/>
    <cellStyle name="s_Valuation _DB Dados do Mercado_Açúcar Físico não embarcado - Nov08 - Conferido_DB Entrada_1_Commodities_2_Relatório Gerencial_DB Entrada_1_DB Controle_3-Balanço" xfId="10487"/>
    <cellStyle name="s_Valuation _DB Dados do Mercado_Açúcar Físico não embarcado - Nov08 - Conferido_DB Entrada_1_Commodities_2_Relatório Gerencial_DB Entrada_1_DB Controle_7-Estoque" xfId="10488"/>
    <cellStyle name="s_Valuation _DB Dados do Mercado_Açúcar Físico não embarcado - Nov08 - Conferido_DB Entrada_1_Commodities_2_Relatório Gerencial_DB Entrada_1_DB Entrada" xfId="10489"/>
    <cellStyle name="s_Valuation _DB Dados do Mercado_Açúcar Físico não embarcado - Nov08 - Conferido_DB Entrada_1_Commodities_2_Relatório Gerencial_DB Entrada_1_DB Entrada 2" xfId="10490"/>
    <cellStyle name="s_Valuation _DB Dados do Mercado_Açúcar Físico não embarcado - Nov08 - Conferido_DB Entrada_1_Commodities_2_Relatório Gerencial_DB Entrada_1_DB Entrada 2_15-FINANCEIRAS" xfId="10491"/>
    <cellStyle name="s_Valuation _DB Dados do Mercado_Açúcar Físico não embarcado - Nov08 - Conferido_DB Entrada_1_Commodities_2_Relatório Gerencial_DB Entrada_1_DB Entrada_15-FINANCEIRAS" xfId="10492"/>
    <cellStyle name="s_Valuation _DB Dados do Mercado_Açúcar Físico não embarcado - Nov08 - Conferido_DB Entrada_1_Commodities_2_Relatório Gerencial_DB Entrada_1_DB Entrada_15-FINANCEIRAS_1" xfId="10493"/>
    <cellStyle name="s_Valuation _DB Dados do Mercado_Açúcar Físico não embarcado - Nov08 - Conferido_DB Entrada_1_Commodities_2_Relatório Gerencial_DB Entrada_1_DB Entrada_3-Balanço" xfId="10494"/>
    <cellStyle name="s_Valuation _DB Dados do Mercado_Açúcar Físico não embarcado - Nov08 - Conferido_DB Entrada_1_Commodities_2_Relatório Gerencial_DB Entrada_1_DB Entrada_7-Estoque" xfId="10495"/>
    <cellStyle name="s_Valuation _DB Dados do Mercado_Açúcar Físico não embarcado - Nov08 - Conferido_DB Entrada_1_Commodities_2_Relatório Gerencial_DB Entrada_1_DB Entrada_Relatório Gerencial" xfId="10496"/>
    <cellStyle name="s_Valuation _DB Dados do Mercado_Açúcar Físico não embarcado - Nov08 - Conferido_DB Entrada_1_Commodities_2_Relatório Gerencial_DB Entrada_1_DB Entrada_Relatório Gerencial 2" xfId="10497"/>
    <cellStyle name="s_Valuation _DB Dados do Mercado_Açúcar Físico não embarcado - Nov08 - Conferido_DB Entrada_1_Commodities_2_Relatório Gerencial_DB Entrada_1_DB Entrada_Relatório Gerencial 2_15-FINANCEIRAS" xfId="10498"/>
    <cellStyle name="s_Valuation _DB Dados do Mercado_Açúcar Físico não embarcado - Nov08 - Conferido_DB Entrada_1_Commodities_2_Relatório Gerencial_DB Entrada_1_DB Entrada_Relatório Gerencial_15-FINANCEIRAS" xfId="10499"/>
    <cellStyle name="s_Valuation _DB Dados do Mercado_Açúcar Físico não embarcado - Nov08 - Conferido_DB Entrada_1_Commodities_2_Relatório Gerencial_DB Entrada_1_DB Entrada_Relatório Gerencial_15-FINANCEIRAS_1" xfId="10500"/>
    <cellStyle name="s_Valuation _DB Dados do Mercado_Açúcar Físico não embarcado - Nov08 - Conferido_DB Entrada_1_Commodities_2_Relatório Gerencial_DB Entrada_1_DB Entrada_Relatório Gerencial_3-Balanço" xfId="10501"/>
    <cellStyle name="s_Valuation _DB Dados do Mercado_Açúcar Físico não embarcado - Nov08 - Conferido_DB Entrada_1_Commodities_2_Relatório Gerencial_DB Entrada_1_DB Entrada_Relatório Gerencial_7-Estoque" xfId="10502"/>
    <cellStyle name="s_Valuation _DB Dados do Mercado_Açúcar Físico não embarcado - Nov08 - Conferido_DB Entrada_1_Commodities_2_Relatório Gerencial_DB Entrada_1_DB Entrada_Relatório Gerencial_DB Entrada" xfId="10503"/>
    <cellStyle name="s_Valuation _DB Dados do Mercado_Açúcar Físico não embarcado - Nov08 - Conferido_DB Entrada_1_Commodities_2_Relatório Gerencial_DB Entrada_1_DB Entrada_Relatório Gerencial_DB Entrada 2" xfId="10504"/>
    <cellStyle name="s_Valuation _DB Dados do Mercado_Açúcar Físico não embarcado - Nov08 - Conferido_DB Entrada_1_Commodities_2_Relatório Gerencial_DB Entrada_1_DB Entrada_Relatório Gerencial_DB Entrada 2_15-FINANCEIRAS" xfId="10505"/>
    <cellStyle name="s_Valuation _DB Dados do Mercado_Açúcar Físico não embarcado - Nov08 - Conferido_DB Entrada_1_Commodities_2_Relatório Gerencial_DB Entrada_1_DB Entrada_Relatório Gerencial_DB Entrada_15-FINANCEIRAS" xfId="10506"/>
    <cellStyle name="s_Valuation _DB Dados do Mercado_Açúcar Físico não embarcado - Nov08 - Conferido_DB Entrada_1_Commodities_2_Relatório Gerencial_DB Entrada_1_DB Entrada_Relatório Gerencial_DB Entrada_15-FINANCEIRAS_1" xfId="10507"/>
    <cellStyle name="s_Valuation _DB Dados do Mercado_Açúcar Físico não embarcado - Nov08 - Conferido_DB Entrada_1_Commodities_2_Relatório Gerencial_DB Entrada_1_DB Entrada_Relatório Gerencial_DB Entrada_3-Balanço" xfId="10508"/>
    <cellStyle name="s_Valuation _DB Dados do Mercado_Açúcar Físico não embarcado - Nov08 - Conferido_DB Entrada_1_Commodities_2_Relatório Gerencial_DB Entrada_1_DB Entrada_Relatório Gerencial_DB Entrada_7-Estoque" xfId="10509"/>
    <cellStyle name="s_Valuation _DB Dados do Mercado_Açúcar Físico não embarcado - Nov08 - Conferido_DB Entrada_1_Commodities_2_Relatório Gerencial_DB Entrada_1_DB Exposição" xfId="10510"/>
    <cellStyle name="s_Valuation _DB Dados do Mercado_Açúcar Físico não embarcado - Nov08 - Conferido_DB Entrada_1_Commodities_2_Relatório Gerencial_DB Entrada_1_DB Exposição 2" xfId="10511"/>
    <cellStyle name="s_Valuation _DB Dados do Mercado_Açúcar Físico não embarcado - Nov08 - Conferido_DB Entrada_1_Commodities_2_Relatório Gerencial_DB Entrada_1_DB Exposição 2_15-FINANCEIRAS" xfId="10512"/>
    <cellStyle name="s_Valuation _DB Dados do Mercado_Açúcar Físico não embarcado - Nov08 - Conferido_DB Entrada_1_Commodities_2_Relatório Gerencial_DB Entrada_1_DB Exposição_15-FINANCEIRAS" xfId="10513"/>
    <cellStyle name="s_Valuation _DB Dados do Mercado_Açúcar Físico não embarcado - Nov08 - Conferido_DB Entrada_1_Commodities_2_Relatório Gerencial_DB Entrada_1_DB Exposição_15-FINANCEIRAS_1" xfId="10514"/>
    <cellStyle name="s_Valuation _DB Dados do Mercado_Açúcar Físico não embarcado - Nov08 - Conferido_DB Entrada_1_Commodities_2_Relatório Gerencial_DB Entrada_1_DB Exposição_3-Balanço" xfId="10515"/>
    <cellStyle name="s_Valuation _DB Dados do Mercado_Açúcar Físico não embarcado - Nov08 - Conferido_DB Entrada_1_Commodities_2_Relatório Gerencial_DB Entrada_1_DB Exposição_7-Estoque" xfId="10516"/>
    <cellStyle name="s_Valuation _DB Dados do Mercado_Açúcar Físico não embarcado - Nov08 - Conferido_DB Entrada_1_Commodities_2_Relatório Gerencial_DB Entrada_1_DB Exposição_Relatório Gerencial" xfId="10517"/>
    <cellStyle name="s_Valuation _DB Dados do Mercado_Açúcar Físico não embarcado - Nov08 - Conferido_DB Entrada_1_Commodities_2_Relatório Gerencial_DB Entrada_1_DB Exposição_Relatório Gerencial 2" xfId="10518"/>
    <cellStyle name="s_Valuation _DB Dados do Mercado_Açúcar Físico não embarcado - Nov08 - Conferido_DB Entrada_1_Commodities_2_Relatório Gerencial_DB Entrada_1_DB Exposição_Relatório Gerencial 2_15-FINANCEIRAS" xfId="10519"/>
    <cellStyle name="s_Valuation _DB Dados do Mercado_Açúcar Físico não embarcado - Nov08 - Conferido_DB Entrada_1_Commodities_2_Relatório Gerencial_DB Entrada_1_DB Exposição_Relatório Gerencial_15-FINANCEIRAS" xfId="10520"/>
    <cellStyle name="s_Valuation _DB Dados do Mercado_Açúcar Físico não embarcado - Nov08 - Conferido_DB Entrada_1_Commodities_2_Relatório Gerencial_DB Entrada_1_DB Exposição_Relatório Gerencial_15-FINANCEIRAS_1" xfId="10521"/>
    <cellStyle name="s_Valuation _DB Dados do Mercado_Açúcar Físico não embarcado - Nov08 - Conferido_DB Entrada_1_Commodities_2_Relatório Gerencial_DB Entrada_1_DB Exposição_Relatório Gerencial_3-Balanço" xfId="10522"/>
    <cellStyle name="s_Valuation _DB Dados do Mercado_Açúcar Físico não embarcado - Nov08 - Conferido_DB Entrada_1_Commodities_2_Relatório Gerencial_DB Entrada_1_DB Exposição_Relatório Gerencial_7-Estoque" xfId="10523"/>
    <cellStyle name="s_Valuation _DB Dados do Mercado_Açúcar Físico não embarcado - Nov08 - Conferido_DB Entrada_1_Commodities_2_Relatório Gerencial_DB Entrada_1_DB Exposição_Relatório Gerencial_DB Entrada" xfId="10524"/>
    <cellStyle name="s_Valuation _DB Dados do Mercado_Açúcar Físico não embarcado - Nov08 - Conferido_DB Entrada_1_Commodities_2_Relatório Gerencial_DB Entrada_1_DB Exposição_Relatório Gerencial_DB Entrada 2" xfId="10525"/>
    <cellStyle name="s_Valuation _DB Dados do Mercado_Açúcar Físico não embarcado - Nov08 - Conferido_DB Entrada_1_Commodities_2_Relatório Gerencial_DB Entrada_1_DB Exposição_Relatório Gerencial_DB Entrada 2_15-FINANCEIRAS" xfId="10526"/>
    <cellStyle name="s_Valuation _DB Dados do Mercado_Açúcar Físico não embarcado - Nov08 - Conferido_DB Entrada_1_Commodities_2_Relatório Gerencial_DB Entrada_1_DB Exposição_Relatório Gerencial_DB Entrada_15-FINANCEIRAS" xfId="10527"/>
    <cellStyle name="s_Valuation _DB Dados do Mercado_Açúcar Físico não embarcado - Nov08 - Conferido_DB Entrada_1_Commodities_2_Relatório Gerencial_DB Entrada_1_DB Exposição_Relatório Gerencial_DB Entrada_15-FINANCEIRAS_1" xfId="10528"/>
    <cellStyle name="s_Valuation _DB Dados do Mercado_Açúcar Físico não embarcado - Nov08 - Conferido_DB Entrada_1_Commodities_2_Relatório Gerencial_DB Entrada_1_DB Exposição_Relatório Gerencial_DB Entrada_3-Balanço" xfId="10529"/>
    <cellStyle name="s_Valuation _DB Dados do Mercado_Açúcar Físico não embarcado - Nov08 - Conferido_DB Entrada_1_Commodities_2_Relatório Gerencial_DB Entrada_1_DB Exposição_Relatório Gerencial_DB Entrada_7-Estoque" xfId="10530"/>
    <cellStyle name="s_Valuation _DB Dados do Mercado_Açúcar Físico não embarcado - Nov08 - Conferido_DB Entrada_1_Commodities_2_Relatório Gerencial_DB Entrada_1_DB Posição" xfId="10531"/>
    <cellStyle name="s_Valuation _DB Dados do Mercado_Açúcar Físico não embarcado - Nov08 - Conferido_DB Entrada_1_Commodities_2_Relatório Gerencial_DB Entrada_1_DB Posição 2" xfId="10532"/>
    <cellStyle name="s_Valuation _DB Dados do Mercado_Açúcar Físico não embarcado - Nov08 - Conferido_DB Entrada_1_Commodities_2_Relatório Gerencial_DB Entrada_1_DB Posição 2_15-FINANCEIRAS" xfId="10533"/>
    <cellStyle name="s_Valuation _DB Dados do Mercado_Açúcar Físico não embarcado - Nov08 - Conferido_DB Entrada_1_Commodities_2_Relatório Gerencial_DB Entrada_1_DB Posição_15-FINANCEIRAS" xfId="10534"/>
    <cellStyle name="s_Valuation _DB Dados do Mercado_Açúcar Físico não embarcado - Nov08 - Conferido_DB Entrada_1_Commodities_2_Relatório Gerencial_DB Entrada_1_DB Posição_15-FINANCEIRAS_1" xfId="10535"/>
    <cellStyle name="s_Valuation _DB Dados do Mercado_Açúcar Físico não embarcado - Nov08 - Conferido_DB Entrada_1_Commodities_2_Relatório Gerencial_DB Entrada_1_DB Posição_3-Balanço" xfId="10536"/>
    <cellStyle name="s_Valuation _DB Dados do Mercado_Açúcar Físico não embarcado - Nov08 - Conferido_DB Entrada_1_Commodities_2_Relatório Gerencial_DB Entrada_1_DB Posição_7-Estoque" xfId="10537"/>
    <cellStyle name="s_Valuation _DB Dados do Mercado_Açúcar Físico não embarcado - Nov08 - Conferido_DB Entrada_1_Commodities_2_Relatório Gerencial_DB Entrada_1_Liquidações_Prêmios" xfId="10538"/>
    <cellStyle name="s_Valuation _DB Dados do Mercado_Açúcar Físico não embarcado - Nov08 - Conferido_DB Entrada_1_Commodities_2_Relatório Gerencial_DB Entrada_1_Liquidações_Prêmios 2" xfId="10539"/>
    <cellStyle name="s_Valuation _DB Dados do Mercado_Açúcar Físico não embarcado - Nov08 - Conferido_DB Entrada_1_Commodities_2_Relatório Gerencial_DB Entrada_1_Liquidações_Prêmios 2_15-FINANCEIRAS" xfId="10540"/>
    <cellStyle name="s_Valuation _DB Dados do Mercado_Açúcar Físico não embarcado - Nov08 - Conferido_DB Entrada_1_Commodities_2_Relatório Gerencial_DB Entrada_1_Liquidações_Prêmios_15-FINANCEIRAS" xfId="10541"/>
    <cellStyle name="s_Valuation _DB Dados do Mercado_Açúcar Físico não embarcado - Nov08 - Conferido_DB Entrada_1_Commodities_2_Relatório Gerencial_DB Entrada_1_Liquidações_Prêmios_15-FINANCEIRAS_1" xfId="10542"/>
    <cellStyle name="s_Valuation _DB Dados do Mercado_Açúcar Físico não embarcado - Nov08 - Conferido_DB Entrada_1_Commodities_2_Relatório Gerencial_DB Entrada_1_Liquidações_Prêmios_3-Balanço" xfId="10543"/>
    <cellStyle name="s_Valuation _DB Dados do Mercado_Açúcar Físico não embarcado - Nov08 - Conferido_DB Entrada_1_Commodities_2_Relatório Gerencial_DB Entrada_1_Liquidações_Prêmios_7-Estoque" xfId="10544"/>
    <cellStyle name="s_Valuation _DB Dados do Mercado_Açúcar Físico não embarcado - Nov08 - Conferido_DB Entrada_1_Commodities_2_Relatório Gerencial_DB Entrada_1_Posição Futuros" xfId="10545"/>
    <cellStyle name="s_Valuation _DB Dados do Mercado_Açúcar Físico não embarcado - Nov08 - Conferido_DB Entrada_1_Commodities_2_Relatório Gerencial_DB Entrada_1_Posição Futuros 2" xfId="10546"/>
    <cellStyle name="s_Valuation _DB Dados do Mercado_Açúcar Físico não embarcado - Nov08 - Conferido_DB Entrada_1_Commodities_2_Relatório Gerencial_DB Entrada_1_Posição Futuros 2_15-FINANCEIRAS" xfId="10547"/>
    <cellStyle name="s_Valuation _DB Dados do Mercado_Açúcar Físico não embarcado - Nov08 - Conferido_DB Entrada_1_Commodities_2_Relatório Gerencial_DB Entrada_1_Posição Futuros_15-FINANCEIRAS" xfId="10548"/>
    <cellStyle name="s_Valuation _DB Dados do Mercado_Açúcar Físico não embarcado - Nov08 - Conferido_DB Entrada_1_Commodities_2_Relatório Gerencial_DB Entrada_1_Posição Futuros_15-FINANCEIRAS_1" xfId="10549"/>
    <cellStyle name="s_Valuation _DB Dados do Mercado_Açúcar Físico não embarcado - Nov08 - Conferido_DB Entrada_1_Commodities_2_Relatório Gerencial_DB Entrada_1_Posição Futuros_3-Balanço" xfId="10550"/>
    <cellStyle name="s_Valuation _DB Dados do Mercado_Açúcar Físico não embarcado - Nov08 - Conferido_DB Entrada_1_Commodities_2_Relatório Gerencial_DB Entrada_1_Posição Futuros_7-Estoque" xfId="10551"/>
    <cellStyle name="s_Valuation _DB Dados do Mercado_Açúcar Físico não embarcado - Nov08 - Conferido_DB Entrada_1_Commodities_2_Relatório Gerencial_DB Entrada_1_Relatório de Commodities" xfId="10552"/>
    <cellStyle name="s_Valuation _DB Dados do Mercado_Açúcar Físico não embarcado - Nov08 - Conferido_DB Entrada_1_Commodities_2_Relatório Gerencial_DB Entrada_1_Relatório de Commodities 2" xfId="10553"/>
    <cellStyle name="s_Valuation _DB Dados do Mercado_Açúcar Físico não embarcado - Nov08 - Conferido_DB Entrada_1_Commodities_2_Relatório Gerencial_DB Entrada_1_Relatório de Commodities 2_15-FINANCEIRAS" xfId="10554"/>
    <cellStyle name="s_Valuation _DB Dados do Mercado_Açúcar Físico não embarcado - Nov08 - Conferido_DB Entrada_1_Commodities_2_Relatório Gerencial_DB Entrada_1_Relatório de Commodities_15-FINANCEIRAS" xfId="10555"/>
    <cellStyle name="s_Valuation _DB Dados do Mercado_Açúcar Físico não embarcado - Nov08 - Conferido_DB Entrada_1_Commodities_2_Relatório Gerencial_DB Entrada_1_Relatório de Commodities_15-FINANCEIRAS_1" xfId="10556"/>
    <cellStyle name="s_Valuation _DB Dados do Mercado_Açúcar Físico não embarcado - Nov08 - Conferido_DB Entrada_1_Commodities_2_Relatório Gerencial_DB Entrada_1_Relatório de Commodities_3-Balanço" xfId="10557"/>
    <cellStyle name="s_Valuation _DB Dados do Mercado_Açúcar Físico não embarcado - Nov08 - Conferido_DB Entrada_1_Commodities_2_Relatório Gerencial_DB Entrada_1_Relatório de Commodities_7-Estoque" xfId="10558"/>
    <cellStyle name="s_Valuation _DB Dados do Mercado_Açúcar Físico não embarcado - Nov08 - Conferido_DB Entrada_1_Commodities_2_Relatório Gerencial_DB Entrada_1_Relatório de Commodities_Relatório Gerencial" xfId="10559"/>
    <cellStyle name="s_Valuation _DB Dados do Mercado_Açúcar Físico não embarcado - Nov08 - Conferido_DB Entrada_1_Commodities_2_Relatório Gerencial_DB Entrada_1_Relatório de Commodities_Relatório Gerencial 2" xfId="10560"/>
    <cellStyle name="s_Valuation _DB Dados do Mercado_Açúcar Físico não embarcado - Nov08 - Conferido_DB Entrada_1_Commodities_2_Relatório Gerencial_DB Entrada_1_Relatório de Commodities_Relatório Gerencial 2_15-FINANCEIRAS" xfId="10561"/>
    <cellStyle name="s_Valuation _DB Dados do Mercado_Açúcar Físico não embarcado - Nov08 - Conferido_DB Entrada_1_Commodities_2_Relatório Gerencial_DB Entrada_1_Relatório de Commodities_Relatório Gerencial_15-FINANCEIRAS" xfId="10562"/>
    <cellStyle name="s_Valuation _DB Dados do Mercado_Açúcar Físico não embarcado - Nov08 - Conferido_DB Entrada_1_Commodities_2_Relatório Gerencial_DB Entrada_1_Relatório de Commodities_Relatório Gerencial_15-FINANCEIRAS_1" xfId="10563"/>
    <cellStyle name="s_Valuation _DB Dados do Mercado_Açúcar Físico não embarcado - Nov08 - Conferido_DB Entrada_1_Commodities_2_Relatório Gerencial_DB Entrada_1_Relatório de Commodities_Relatório Gerencial_3-Balanço" xfId="10564"/>
    <cellStyle name="s_Valuation _DB Dados do Mercado_Açúcar Físico não embarcado - Nov08 - Conferido_DB Entrada_1_Commodities_2_Relatório Gerencial_DB Entrada_1_Relatório de Commodities_Relatório Gerencial_7-Estoque" xfId="10565"/>
    <cellStyle name="s_Valuation _DB Dados do Mercado_Açúcar Físico não embarcado - Nov08 - Conferido_DB Entrada_1_Commodities_2_Relatório Gerencial_DB Entrada_1_Relatório de Commodities_Relatório Gerencial_DB Entrada" xfId="10566"/>
    <cellStyle name="s_Valuation _DB Dados do Mercado_Açúcar Físico não embarcado - Nov08 - Conferido_DB Entrada_1_Commodities_2_Relatório Gerencial_DB Entrada_1_Relatório de Commodities_Relatório Gerencial_DB Entrada 2" xfId="10567"/>
    <cellStyle name="s_Valuation _DB Dados do Mercado_Açúcar Físico não embarcado - Nov08 - Conferido_DB Entrada_1_Commodities_2_Relatório Gerencial_DB Entrada_1_Relatório de Commodities_Relatório Gerencial_DB Entrada 2_15-FINANCEIRAS" xfId="10568"/>
    <cellStyle name="s_Valuation _DB Dados do Mercado_Açúcar Físico não embarcado - Nov08 - Conferido_DB Entrada_1_Commodities_2_Relatório Gerencial_DB Entrada_1_Relatório de Commodities_Relatório Gerencial_DB Entrada_15-FINANCEIRAS" xfId="10569"/>
    <cellStyle name="s_Valuation _DB Dados do Mercado_Açúcar Físico não embarcado - Nov08 - Conferido_DB Entrada_1_Commodities_2_Relatório Gerencial_DB Entrada_1_Relatório de Commodities_Relatório Gerencial_DB Entrada_15-FINANCEIRAS_1" xfId="10570"/>
    <cellStyle name="s_Valuation _DB Dados do Mercado_Açúcar Físico não embarcado - Nov08 - Conferido_DB Entrada_1_Commodities_2_Relatório Gerencial_DB Entrada_1_Relatório de Commodities_Relatório Gerencial_DB Entrada_3-Balanço" xfId="10571"/>
    <cellStyle name="s_Valuation _DB Dados do Mercado_Açúcar Físico não embarcado - Nov08 - Conferido_DB Entrada_1_Commodities_2_Relatório Gerencial_DB Entrada_1_Relatório de Commodities_Relatório Gerencial_DB Entrada_7-Estoque" xfId="10572"/>
    <cellStyle name="s_Valuation _DB Dados do Mercado_Açúcar Físico não embarcado - Nov08 - Conferido_DB Entrada_1_Commodities_2_Relatório Gerencial_DB Entrada_1_Relatório Fechamento" xfId="10573"/>
    <cellStyle name="s_Valuation _DB Dados do Mercado_Açúcar Físico não embarcado - Nov08 - Conferido_DB Entrada_1_Commodities_2_Relatório Gerencial_DB Entrada_1_Relatório Fechamento 2" xfId="10574"/>
    <cellStyle name="s_Valuation _DB Dados do Mercado_Açúcar Físico não embarcado - Nov08 - Conferido_DB Entrada_1_Commodities_2_Relatório Gerencial_DB Entrada_1_Relatório Fechamento 2_15-FINANCEIRAS" xfId="10575"/>
    <cellStyle name="s_Valuation _DB Dados do Mercado_Açúcar Físico não embarcado - Nov08 - Conferido_DB Entrada_1_Commodities_2_Relatório Gerencial_DB Entrada_1_Relatório Fechamento_15-FINANCEIRAS" xfId="10576"/>
    <cellStyle name="s_Valuation _DB Dados do Mercado_Açúcar Físico não embarcado - Nov08 - Conferido_DB Entrada_1_Commodities_2_Relatório Gerencial_DB Entrada_1_Relatório Fechamento_15-FINANCEIRAS_1" xfId="10577"/>
    <cellStyle name="s_Valuation _DB Dados do Mercado_Açúcar Físico não embarcado - Nov08 - Conferido_DB Entrada_1_Commodities_2_Relatório Gerencial_DB Entrada_1_Relatório Fechamento_3-Balanço" xfId="10578"/>
    <cellStyle name="s_Valuation _DB Dados do Mercado_Açúcar Físico não embarcado - Nov08 - Conferido_DB Entrada_1_Commodities_2_Relatório Gerencial_DB Entrada_1_Relatório Fechamento_7-Estoque" xfId="10579"/>
    <cellStyle name="s_Valuation _DB Dados do Mercado_Açúcar Físico não embarcado - Nov08 - Conferido_DB Entrada_1_Commodities_2_Relatório Gerencial_DB Entrada_1_Relatório Gerencial" xfId="10580"/>
    <cellStyle name="s_Valuation _DB Dados do Mercado_Açúcar Físico não embarcado - Nov08 - Conferido_DB Entrada_1_Commodities_2_Relatório Gerencial_DB Entrada_1_Relatório Gerencial 2" xfId="10581"/>
    <cellStyle name="s_Valuation _DB Dados do Mercado_Açúcar Físico não embarcado - Nov08 - Conferido_DB Entrada_1_Commodities_2_Relatório Gerencial_DB Entrada_1_Relatório Gerencial 2_15-FINANCEIRAS" xfId="10582"/>
    <cellStyle name="s_Valuation _DB Dados do Mercado_Açúcar Físico não embarcado - Nov08 - Conferido_DB Entrada_1_Commodities_2_Relatório Gerencial_DB Entrada_1_Relatório Gerencial_1" xfId="10583"/>
    <cellStyle name="s_Valuation _DB Dados do Mercado_Açúcar Físico não embarcado - Nov08 - Conferido_DB Entrada_1_Commodities_2_Relatório Gerencial_DB Entrada_1_Relatório Gerencial_1 2" xfId="10584"/>
    <cellStyle name="s_Valuation _DB Dados do Mercado_Açúcar Físico não embarcado - Nov08 - Conferido_DB Entrada_1_Commodities_2_Relatório Gerencial_DB Entrada_1_Relatório Gerencial_1 2_15-FINANCEIRAS" xfId="10585"/>
    <cellStyle name="s_Valuation _DB Dados do Mercado_Açúcar Físico não embarcado - Nov08 - Conferido_DB Entrada_1_Commodities_2_Relatório Gerencial_DB Entrada_1_Relatório Gerencial_1_15-FINANCEIRAS" xfId="10586"/>
    <cellStyle name="s_Valuation _DB Dados do Mercado_Açúcar Físico não embarcado - Nov08 - Conferido_DB Entrada_1_Commodities_2_Relatório Gerencial_DB Entrada_1_Relatório Gerencial_1_15-FINANCEIRAS_1" xfId="10587"/>
    <cellStyle name="s_Valuation _DB Dados do Mercado_Açúcar Físico não embarcado - Nov08 - Conferido_DB Entrada_1_Commodities_2_Relatório Gerencial_DB Entrada_1_Relatório Gerencial_1_3-Balanço" xfId="10588"/>
    <cellStyle name="s_Valuation _DB Dados do Mercado_Açúcar Físico não embarcado - Nov08 - Conferido_DB Entrada_1_Commodities_2_Relatório Gerencial_DB Entrada_1_Relatório Gerencial_1_7-Estoque" xfId="10589"/>
    <cellStyle name="s_Valuation _DB Dados do Mercado_Açúcar Físico não embarcado - Nov08 - Conferido_DB Entrada_1_Commodities_2_Relatório Gerencial_DB Entrada_1_Relatório Gerencial_1_DB Entrada" xfId="10590"/>
    <cellStyle name="s_Valuation _DB Dados do Mercado_Açúcar Físico não embarcado - Nov08 - Conferido_DB Entrada_1_Commodities_2_Relatório Gerencial_DB Entrada_1_Relatório Gerencial_1_DB Entrada 2" xfId="10591"/>
    <cellStyle name="s_Valuation _DB Dados do Mercado_Açúcar Físico não embarcado - Nov08 - Conferido_DB Entrada_1_Commodities_2_Relatório Gerencial_DB Entrada_1_Relatório Gerencial_1_DB Entrada 2_15-FINANCEIRAS" xfId="10592"/>
    <cellStyle name="s_Valuation _DB Dados do Mercado_Açúcar Físico não embarcado - Nov08 - Conferido_DB Entrada_1_Commodities_2_Relatório Gerencial_DB Entrada_1_Relatório Gerencial_1_DB Entrada_15-FINANCEIRAS" xfId="10593"/>
    <cellStyle name="s_Valuation _DB Dados do Mercado_Açúcar Físico não embarcado - Nov08 - Conferido_DB Entrada_1_Commodities_2_Relatório Gerencial_DB Entrada_1_Relatório Gerencial_1_DB Entrada_15-FINANCEIRAS_1" xfId="10594"/>
    <cellStyle name="s_Valuation _DB Dados do Mercado_Açúcar Físico não embarcado - Nov08 - Conferido_DB Entrada_1_Commodities_2_Relatório Gerencial_DB Entrada_1_Relatório Gerencial_1_DB Entrada_3-Balanço" xfId="10595"/>
    <cellStyle name="s_Valuation _DB Dados do Mercado_Açúcar Físico não embarcado - Nov08 - Conferido_DB Entrada_1_Commodities_2_Relatório Gerencial_DB Entrada_1_Relatório Gerencial_1_DB Entrada_7-Estoque" xfId="10596"/>
    <cellStyle name="s_Valuation _DB Dados do Mercado_Açúcar Físico não embarcado - Nov08 - Conferido_DB Entrada_1_Commodities_2_Relatório Gerencial_DB Entrada_1_Relatório Gerencial_15-FINANCEIRAS" xfId="10597"/>
    <cellStyle name="s_Valuation _DB Dados do Mercado_Açúcar Físico não embarcado - Nov08 - Conferido_DB Entrada_1_Commodities_2_Relatório Gerencial_DB Entrada_1_Relatório Gerencial_15-FINANCEIRAS_1" xfId="10598"/>
    <cellStyle name="s_Valuation _DB Dados do Mercado_Açúcar Físico não embarcado - Nov08 - Conferido_DB Entrada_1_Commodities_2_Relatório Gerencial_DB Entrada_1_Relatório Gerencial_3-Balanço" xfId="10599"/>
    <cellStyle name="s_Valuation _DB Dados do Mercado_Açúcar Físico não embarcado - Nov08 - Conferido_DB Entrada_1_Commodities_2_Relatório Gerencial_DB Entrada_1_Relatório Gerencial_7-Estoque" xfId="10600"/>
    <cellStyle name="s_Valuation _DB Dados do Mercado_Açúcar Físico não embarcado - Nov08 - Conferido_DB Entrada_1_Commodities_2_Relatório Gerencial_DB Entrada_1_Sistema Cosan backup 103 Retirada de relatorios" xfId="10601"/>
    <cellStyle name="s_Valuation _DB Dados do Mercado_Açúcar Físico não embarcado - Nov08 - Conferido_DB Entrada_1_Commodities_2_Relatório Gerencial_DB Entrada_1_Sistema Cosan backup 103 Retirada de relatorios 2" xfId="10602"/>
    <cellStyle name="s_Valuation _DB Dados do Mercado_Açúcar Físico não embarcado - Nov08 - Conferido_DB Entrada_1_Commodities_2_Relatório Gerencial_DB Entrada_1_Sistema Cosan backup 103 Retirada de relatorios 2_15-FINANCEIRAS" xfId="10603"/>
    <cellStyle name="s_Valuation _DB Dados do Mercado_Açúcar Físico não embarcado - Nov08 - Conferido_DB Entrada_1_Commodities_2_Relatório Gerencial_DB Entrada_1_Sistema Cosan backup 103 Retirada de relatorios_15-FINANCEIRAS" xfId="10604"/>
    <cellStyle name="s_Valuation _DB Dados do Mercado_Açúcar Físico não embarcado - Nov08 - Conferido_DB Entrada_1_Commodities_2_Relatório Gerencial_DB Entrada_1_Sistema Cosan backup 103 Retirada de relatorios_15-FINANCEIRAS_1" xfId="10605"/>
    <cellStyle name="s_Valuation _DB Dados do Mercado_Açúcar Físico não embarcado - Nov08 - Conferido_DB Entrada_1_Commodities_2_Relatório Gerencial_DB Entrada_1_Sistema Cosan backup 103 Retirada de relatorios_3-Balanço" xfId="10606"/>
    <cellStyle name="s_Valuation _DB Dados do Mercado_Açúcar Físico não embarcado - Nov08 - Conferido_DB Entrada_1_Commodities_2_Relatório Gerencial_DB Entrada_1_Sistema Cosan backup 103 Retirada de relatorios_7-Estoque" xfId="10607"/>
    <cellStyle name="s_Valuation _DB Dados do Mercado_Açúcar Físico não embarcado - Nov08 - Conferido_DB Entrada_1_Commodities_2_Relatório Gerencial_DB Entrada_15-FINANCEIRAS" xfId="10608"/>
    <cellStyle name="s_Valuation _DB Dados do Mercado_Açúcar Físico não embarcado - Nov08 - Conferido_DB Entrada_1_Commodities_2_Relatório Gerencial_DB Entrada_15-FINANCEIRAS_1" xfId="10609"/>
    <cellStyle name="s_Valuation _DB Dados do Mercado_Açúcar Físico não embarcado - Nov08 - Conferido_DB Entrada_1_Commodities_2_Relatório Gerencial_DB Entrada_3-Balanço" xfId="10610"/>
    <cellStyle name="s_Valuation _DB Dados do Mercado_Açúcar Físico não embarcado - Nov08 - Conferido_DB Entrada_1_Commodities_2_Relatório Gerencial_DB Entrada_7-Estoque" xfId="10611"/>
    <cellStyle name="s_Valuation _DB Dados do Mercado_Açúcar Físico não embarcado - Nov08 - Conferido_DB Entrada_1_Commodities_2_Relatório Gerencial_DB Entrada_Relatório Gerencial" xfId="10612"/>
    <cellStyle name="s_Valuation _DB Dados do Mercado_Açúcar Físico não embarcado - Nov08 - Conferido_DB Entrada_1_Commodities_2_Relatório Gerencial_DB Entrada_Relatório Gerencial 2" xfId="10613"/>
    <cellStyle name="s_Valuation _DB Dados do Mercado_Açúcar Físico não embarcado - Nov08 - Conferido_DB Entrada_1_Commodities_2_Relatório Gerencial_DB Entrada_Relatório Gerencial 2_15-FINANCEIRAS" xfId="10614"/>
    <cellStyle name="s_Valuation _DB Dados do Mercado_Açúcar Físico não embarcado - Nov08 - Conferido_DB Entrada_1_Commodities_2_Relatório Gerencial_DB Entrada_Relatório Gerencial_15-FINANCEIRAS" xfId="10615"/>
    <cellStyle name="s_Valuation _DB Dados do Mercado_Açúcar Físico não embarcado - Nov08 - Conferido_DB Entrada_1_Commodities_2_Relatório Gerencial_DB Entrada_Relatório Gerencial_15-FINANCEIRAS_1" xfId="10616"/>
    <cellStyle name="s_Valuation _DB Dados do Mercado_Açúcar Físico não embarcado - Nov08 - Conferido_DB Entrada_1_Commodities_2_Relatório Gerencial_DB Entrada_Relatório Gerencial_3-Balanço" xfId="10617"/>
    <cellStyle name="s_Valuation _DB Dados do Mercado_Açúcar Físico não embarcado - Nov08 - Conferido_DB Entrada_1_Commodities_2_Relatório Gerencial_DB Entrada_Relatório Gerencial_7-Estoque" xfId="10618"/>
    <cellStyle name="s_Valuation _DB Dados do Mercado_Açúcar Físico não embarcado - Nov08 - Conferido_DB Entrada_1_Commodities_2_Relatório Gerencial_DB Entrada_Relatório Gerencial_DB Entrada" xfId="10619"/>
    <cellStyle name="s_Valuation _DB Dados do Mercado_Açúcar Físico não embarcado - Nov08 - Conferido_DB Entrada_1_Commodities_2_Relatório Gerencial_DB Entrada_Relatório Gerencial_DB Entrada 2" xfId="10620"/>
    <cellStyle name="s_Valuation _DB Dados do Mercado_Açúcar Físico não embarcado - Nov08 - Conferido_DB Entrada_1_Commodities_2_Relatório Gerencial_DB Entrada_Relatório Gerencial_DB Entrada 2_15-FINANCEIRAS" xfId="10621"/>
    <cellStyle name="s_Valuation _DB Dados do Mercado_Açúcar Físico não embarcado - Nov08 - Conferido_DB Entrada_1_Commodities_2_Relatório Gerencial_DB Entrada_Relatório Gerencial_DB Entrada_15-FINANCEIRAS" xfId="10622"/>
    <cellStyle name="s_Valuation _DB Dados do Mercado_Açúcar Físico não embarcado - Nov08 - Conferido_DB Entrada_1_Commodities_2_Relatório Gerencial_DB Entrada_Relatório Gerencial_DB Entrada_15-FINANCEIRAS_1" xfId="10623"/>
    <cellStyle name="s_Valuation _DB Dados do Mercado_Açúcar Físico não embarcado - Nov08 - Conferido_DB Entrada_1_Commodities_2_Relatório Gerencial_DB Entrada_Relatório Gerencial_DB Entrada_3-Balanço" xfId="10624"/>
    <cellStyle name="s_Valuation _DB Dados do Mercado_Açúcar Físico não embarcado - Nov08 - Conferido_DB Entrada_1_Commodities_2_Relatório Gerencial_DB Entrada_Relatório Gerencial_DB Entrada_7-Estoque" xfId="10625"/>
    <cellStyle name="s_Valuation _DB Dados do Mercado_Açúcar Físico não embarcado - Nov08 - Conferido_DB Entrada_1_Commodities_2_Relatório Gerencial_DB Exposição" xfId="10626"/>
    <cellStyle name="s_Valuation _DB Dados do Mercado_Açúcar Físico não embarcado - Nov08 - Conferido_DB Entrada_1_Commodities_2_Relatório Gerencial_DB Exposição 2" xfId="10627"/>
    <cellStyle name="s_Valuation _DB Dados do Mercado_Açúcar Físico não embarcado - Nov08 - Conferido_DB Entrada_1_Commodities_2_Relatório Gerencial_DB Exposição 2_15-FINANCEIRAS" xfId="10628"/>
    <cellStyle name="s_Valuation _DB Dados do Mercado_Açúcar Físico não embarcado - Nov08 - Conferido_DB Entrada_1_Commodities_2_Relatório Gerencial_DB Exposição_15-FINANCEIRAS" xfId="10629"/>
    <cellStyle name="s_Valuation _DB Dados do Mercado_Açúcar Físico não embarcado - Nov08 - Conferido_DB Entrada_1_Commodities_2_Relatório Gerencial_DB Exposição_15-FINANCEIRAS_1" xfId="10630"/>
    <cellStyle name="s_Valuation _DB Dados do Mercado_Açúcar Físico não embarcado - Nov08 - Conferido_DB Entrada_1_Commodities_2_Relatório Gerencial_DB Exposição_3-Balanço" xfId="10631"/>
    <cellStyle name="s_Valuation _DB Dados do Mercado_Açúcar Físico não embarcado - Nov08 - Conferido_DB Entrada_1_Commodities_2_Relatório Gerencial_DB Exposição_7-Estoque" xfId="10632"/>
    <cellStyle name="s_Valuation _DB Dados do Mercado_Açúcar Físico não embarcado - Nov08 - Conferido_DB Entrada_1_Commodities_2_Relatório Gerencial_DB Exposição_Relatório Gerencial" xfId="10633"/>
    <cellStyle name="s_Valuation _DB Dados do Mercado_Açúcar Físico não embarcado - Nov08 - Conferido_DB Entrada_1_Commodities_2_Relatório Gerencial_DB Exposição_Relatório Gerencial 2" xfId="10634"/>
    <cellStyle name="s_Valuation _DB Dados do Mercado_Açúcar Físico não embarcado - Nov08 - Conferido_DB Entrada_1_Commodities_2_Relatório Gerencial_DB Exposição_Relatório Gerencial 2_15-FINANCEIRAS" xfId="10635"/>
    <cellStyle name="s_Valuation _DB Dados do Mercado_Açúcar Físico não embarcado - Nov08 - Conferido_DB Entrada_1_Commodities_2_Relatório Gerencial_DB Exposição_Relatório Gerencial_15-FINANCEIRAS" xfId="10636"/>
    <cellStyle name="s_Valuation _DB Dados do Mercado_Açúcar Físico não embarcado - Nov08 - Conferido_DB Entrada_1_Commodities_2_Relatório Gerencial_DB Exposição_Relatório Gerencial_15-FINANCEIRAS_1" xfId="10637"/>
    <cellStyle name="s_Valuation _DB Dados do Mercado_Açúcar Físico não embarcado - Nov08 - Conferido_DB Entrada_1_Commodities_2_Relatório Gerencial_DB Exposição_Relatório Gerencial_3-Balanço" xfId="10638"/>
    <cellStyle name="s_Valuation _DB Dados do Mercado_Açúcar Físico não embarcado - Nov08 - Conferido_DB Entrada_1_Commodities_2_Relatório Gerencial_DB Exposição_Relatório Gerencial_7-Estoque" xfId="10639"/>
    <cellStyle name="s_Valuation _DB Dados do Mercado_Açúcar Físico não embarcado - Nov08 - Conferido_DB Entrada_1_Commodities_2_Relatório Gerencial_DB Exposição_Relatório Gerencial_DB Entrada" xfId="10640"/>
    <cellStyle name="s_Valuation _DB Dados do Mercado_Açúcar Físico não embarcado - Nov08 - Conferido_DB Entrada_1_Commodities_2_Relatório Gerencial_DB Exposição_Relatório Gerencial_DB Entrada 2" xfId="10641"/>
    <cellStyle name="s_Valuation _DB Dados do Mercado_Açúcar Físico não embarcado - Nov08 - Conferido_DB Entrada_1_Commodities_2_Relatório Gerencial_DB Exposição_Relatório Gerencial_DB Entrada 2_15-FINANCEIRAS" xfId="10642"/>
    <cellStyle name="s_Valuation _DB Dados do Mercado_Açúcar Físico não embarcado - Nov08 - Conferido_DB Entrada_1_Commodities_2_Relatório Gerencial_DB Exposição_Relatório Gerencial_DB Entrada_15-FINANCEIRAS" xfId="10643"/>
    <cellStyle name="s_Valuation _DB Dados do Mercado_Açúcar Físico não embarcado - Nov08 - Conferido_DB Entrada_1_Commodities_2_Relatório Gerencial_DB Exposição_Relatório Gerencial_DB Entrada_15-FINANCEIRAS_1" xfId="10644"/>
    <cellStyle name="s_Valuation _DB Dados do Mercado_Açúcar Físico não embarcado - Nov08 - Conferido_DB Entrada_1_Commodities_2_Relatório Gerencial_DB Exposição_Relatório Gerencial_DB Entrada_3-Balanço" xfId="10645"/>
    <cellStyle name="s_Valuation _DB Dados do Mercado_Açúcar Físico não embarcado - Nov08 - Conferido_DB Entrada_1_Commodities_2_Relatório Gerencial_DB Exposição_Relatório Gerencial_DB Entrada_7-Estoque" xfId="10646"/>
    <cellStyle name="s_Valuation _DB Dados do Mercado_Açúcar Físico não embarcado - Nov08 - Conferido_DB Entrada_1_Commodities_2_Relatório Gerencial_DB Posição" xfId="10647"/>
    <cellStyle name="s_Valuation _DB Dados do Mercado_Açúcar Físico não embarcado - Nov08 - Conferido_DB Entrada_1_Commodities_2_Relatório Gerencial_DB Posição 2" xfId="10648"/>
    <cellStyle name="s_Valuation _DB Dados do Mercado_Açúcar Físico não embarcado - Nov08 - Conferido_DB Entrada_1_Commodities_2_Relatório Gerencial_DB Posição 2_15-FINANCEIRAS" xfId="10649"/>
    <cellStyle name="s_Valuation _DB Dados do Mercado_Açúcar Físico não embarcado - Nov08 - Conferido_DB Entrada_1_Commodities_2_Relatório Gerencial_DB Posição_15-FINANCEIRAS" xfId="10650"/>
    <cellStyle name="s_Valuation _DB Dados do Mercado_Açúcar Físico não embarcado - Nov08 - Conferido_DB Entrada_1_Commodities_2_Relatório Gerencial_DB Posição_15-FINANCEIRAS_1" xfId="10651"/>
    <cellStyle name="s_Valuation _DB Dados do Mercado_Açúcar Físico não embarcado - Nov08 - Conferido_DB Entrada_1_Commodities_2_Relatório Gerencial_DB Posição_3-Balanço" xfId="10652"/>
    <cellStyle name="s_Valuation _DB Dados do Mercado_Açúcar Físico não embarcado - Nov08 - Conferido_DB Entrada_1_Commodities_2_Relatório Gerencial_DB Posição_7-Estoque" xfId="10653"/>
    <cellStyle name="s_Valuation _DB Dados do Mercado_Açúcar Físico não embarcado - Nov08 - Conferido_DB Entrada_1_Commodities_2_Relatório Gerencial_Relatório de Commodities" xfId="10654"/>
    <cellStyle name="s_Valuation _DB Dados do Mercado_Açúcar Físico não embarcado - Nov08 - Conferido_DB Entrada_1_Commodities_2_Relatório Gerencial_Relatório de Commodities 2" xfId="10655"/>
    <cellStyle name="s_Valuation _DB Dados do Mercado_Açúcar Físico não embarcado - Nov08 - Conferido_DB Entrada_1_Commodities_2_Relatório Gerencial_Relatório de Commodities 2_15-FINANCEIRAS" xfId="10656"/>
    <cellStyle name="s_Valuation _DB Dados do Mercado_Açúcar Físico não embarcado - Nov08 - Conferido_DB Entrada_1_Commodities_2_Relatório Gerencial_Relatório de Commodities_15-FINANCEIRAS" xfId="10657"/>
    <cellStyle name="s_Valuation _DB Dados do Mercado_Açúcar Físico não embarcado - Nov08 - Conferido_DB Entrada_1_Commodities_2_Relatório Gerencial_Relatório de Commodities_15-FINANCEIRAS_1" xfId="10658"/>
    <cellStyle name="s_Valuation _DB Dados do Mercado_Açúcar Físico não embarcado - Nov08 - Conferido_DB Entrada_1_Commodities_2_Relatório Gerencial_Relatório de Commodities_3-Balanço" xfId="10659"/>
    <cellStyle name="s_Valuation _DB Dados do Mercado_Açúcar Físico não embarcado - Nov08 - Conferido_DB Entrada_1_Commodities_2_Relatório Gerencial_Relatório de Commodities_7-Estoque" xfId="10660"/>
    <cellStyle name="s_Valuation _DB Dados do Mercado_Açúcar Físico não embarcado - Nov08 - Conferido_DB Entrada_1_Commodities_2_Relatório Gerencial_Relatório de Commodities_Relatório Gerencial" xfId="10661"/>
    <cellStyle name="s_Valuation _DB Dados do Mercado_Açúcar Físico não embarcado - Nov08 - Conferido_DB Entrada_1_Commodities_2_Relatório Gerencial_Relatório de Commodities_Relatório Gerencial 2" xfId="10662"/>
    <cellStyle name="s_Valuation _DB Dados do Mercado_Açúcar Físico não embarcado - Nov08 - Conferido_DB Entrada_1_Commodities_2_Relatório Gerencial_Relatório de Commodities_Relatório Gerencial 2_15-FINANCEIRAS" xfId="10663"/>
    <cellStyle name="s_Valuation _DB Dados do Mercado_Açúcar Físico não embarcado - Nov08 - Conferido_DB Entrada_1_Commodities_2_Relatório Gerencial_Relatório de Commodities_Relatório Gerencial_15-FINANCEIRAS" xfId="10664"/>
    <cellStyle name="s_Valuation _DB Dados do Mercado_Açúcar Físico não embarcado - Nov08 - Conferido_DB Entrada_1_Commodities_2_Relatório Gerencial_Relatório de Commodities_Relatório Gerencial_15-FINANCEIRAS_1" xfId="10665"/>
    <cellStyle name="s_Valuation _DB Dados do Mercado_Açúcar Físico não embarcado - Nov08 - Conferido_DB Entrada_1_Commodities_2_Relatório Gerencial_Relatório de Commodities_Relatório Gerencial_3-Balanço" xfId="10666"/>
    <cellStyle name="s_Valuation _DB Dados do Mercado_Açúcar Físico não embarcado - Nov08 - Conferido_DB Entrada_1_Commodities_2_Relatório Gerencial_Relatório de Commodities_Relatório Gerencial_7-Estoque" xfId="10667"/>
    <cellStyle name="s_Valuation _DB Dados do Mercado_Açúcar Físico não embarcado - Nov08 - Conferido_DB Entrada_1_Commodities_2_Relatório Gerencial_Relatório de Commodities_Relatório Gerencial_DB Entrada" xfId="10668"/>
    <cellStyle name="s_Valuation _DB Dados do Mercado_Açúcar Físico não embarcado - Nov08 - Conferido_DB Entrada_1_Commodities_2_Relatório Gerencial_Relatório de Commodities_Relatório Gerencial_DB Entrada 2" xfId="10669"/>
    <cellStyle name="s_Valuation _DB Dados do Mercado_Açúcar Físico não embarcado - Nov08 - Conferido_DB Entrada_1_Commodities_2_Relatório Gerencial_Relatório de Commodities_Relatório Gerencial_DB Entrada 2_15-FINANCEIRAS" xfId="10670"/>
    <cellStyle name="s_Valuation _DB Dados do Mercado_Açúcar Físico não embarcado - Nov08 - Conferido_DB Entrada_1_Commodities_2_Relatório Gerencial_Relatório de Commodities_Relatório Gerencial_DB Entrada_15-FINANCEIRAS" xfId="10671"/>
    <cellStyle name="s_Valuation _DB Dados do Mercado_Açúcar Físico não embarcado - Nov08 - Conferido_DB Entrada_1_Commodities_2_Relatório Gerencial_Relatório de Commodities_Relatório Gerencial_DB Entrada_15-FINANCEIRAS_1" xfId="10672"/>
    <cellStyle name="s_Valuation _DB Dados do Mercado_Açúcar Físico não embarcado - Nov08 - Conferido_DB Entrada_1_Commodities_2_Relatório Gerencial_Relatório de Commodities_Relatório Gerencial_DB Entrada_3-Balanço" xfId="10673"/>
    <cellStyle name="s_Valuation _DB Dados do Mercado_Açúcar Físico não embarcado - Nov08 - Conferido_DB Entrada_1_Commodities_2_Relatório Gerencial_Relatório de Commodities_Relatório Gerencial_DB Entrada_7-Estoque" xfId="10674"/>
    <cellStyle name="s_Valuation _DB Dados do Mercado_Açúcar Físico não embarcado - Nov08 - Conferido_DB Entrada_1_Commodities_2_Relatório Gerencial_Relatório Fechamento" xfId="10675"/>
    <cellStyle name="s_Valuation _DB Dados do Mercado_Açúcar Físico não embarcado - Nov08 - Conferido_DB Entrada_1_Commodities_2_Relatório Gerencial_Relatório Fechamento 2" xfId="10676"/>
    <cellStyle name="s_Valuation _DB Dados do Mercado_Açúcar Físico não embarcado - Nov08 - Conferido_DB Entrada_1_Commodities_2_Relatório Gerencial_Relatório Fechamento 2_15-FINANCEIRAS" xfId="10677"/>
    <cellStyle name="s_Valuation _DB Dados do Mercado_Açúcar Físico não embarcado - Nov08 - Conferido_DB Entrada_1_Commodities_2_Relatório Gerencial_Relatório Fechamento_15-FINANCEIRAS" xfId="10678"/>
    <cellStyle name="s_Valuation _DB Dados do Mercado_Açúcar Físico não embarcado - Nov08 - Conferido_DB Entrada_1_Commodities_2_Relatório Gerencial_Relatório Fechamento_15-FINANCEIRAS_1" xfId="10679"/>
    <cellStyle name="s_Valuation _DB Dados do Mercado_Açúcar Físico não embarcado - Nov08 - Conferido_DB Entrada_1_Commodities_2_Relatório Gerencial_Relatório Fechamento_3-Balanço" xfId="10680"/>
    <cellStyle name="s_Valuation _DB Dados do Mercado_Açúcar Físico não embarcado - Nov08 - Conferido_DB Entrada_1_Commodities_2_Relatório Gerencial_Relatório Fechamento_7-Estoque" xfId="10681"/>
    <cellStyle name="s_Valuation _DB Dados do Mercado_Açúcar Físico não embarcado - Nov08 - Conferido_DB Entrada_1_Commodities_2_Relatório Gerencial_Relatório Gerencial" xfId="10682"/>
    <cellStyle name="s_Valuation _DB Dados do Mercado_Açúcar Físico não embarcado - Nov08 - Conferido_DB Entrada_1_Commodities_2_Relatório Gerencial_Relatório Gerencial 2" xfId="10683"/>
    <cellStyle name="s_Valuation _DB Dados do Mercado_Açúcar Físico não embarcado - Nov08 - Conferido_DB Entrada_1_Commodities_2_Relatório Gerencial_Relatório Gerencial 2_15-FINANCEIRAS" xfId="10684"/>
    <cellStyle name="s_Valuation _DB Dados do Mercado_Açúcar Físico não embarcado - Nov08 - Conferido_DB Entrada_1_Commodities_2_Relatório Gerencial_Relatório Gerencial_1" xfId="10685"/>
    <cellStyle name="s_Valuation _DB Dados do Mercado_Açúcar Físico não embarcado - Nov08 - Conferido_DB Entrada_1_Commodities_2_Relatório Gerencial_Relatório Gerencial_1 2" xfId="10686"/>
    <cellStyle name="s_Valuation _DB Dados do Mercado_Açúcar Físico não embarcado - Nov08 - Conferido_DB Entrada_1_Commodities_2_Relatório Gerencial_Relatório Gerencial_1 2_15-FINANCEIRAS" xfId="10687"/>
    <cellStyle name="s_Valuation _DB Dados do Mercado_Açúcar Físico não embarcado - Nov08 - Conferido_DB Entrada_1_Commodities_2_Relatório Gerencial_Relatório Gerencial_1_15-FINANCEIRAS" xfId="10688"/>
    <cellStyle name="s_Valuation _DB Dados do Mercado_Açúcar Físico não embarcado - Nov08 - Conferido_DB Entrada_1_Commodities_2_Relatório Gerencial_Relatório Gerencial_1_15-FINANCEIRAS_1" xfId="10689"/>
    <cellStyle name="s_Valuation _DB Dados do Mercado_Açúcar Físico não embarcado - Nov08 - Conferido_DB Entrada_1_Commodities_2_Relatório Gerencial_Relatório Gerencial_1_3-Balanço" xfId="10690"/>
    <cellStyle name="s_Valuation _DB Dados do Mercado_Açúcar Físico não embarcado - Nov08 - Conferido_DB Entrada_1_Commodities_2_Relatório Gerencial_Relatório Gerencial_1_7-Estoque" xfId="10691"/>
    <cellStyle name="s_Valuation _DB Dados do Mercado_Açúcar Físico não embarcado - Nov08 - Conferido_DB Entrada_1_Commodities_2_Relatório Gerencial_Relatório Gerencial_1_DB Entrada" xfId="10692"/>
    <cellStyle name="s_Valuation _DB Dados do Mercado_Açúcar Físico não embarcado - Nov08 - Conferido_DB Entrada_1_Commodities_2_Relatório Gerencial_Relatório Gerencial_1_DB Entrada 2" xfId="10693"/>
    <cellStyle name="s_Valuation _DB Dados do Mercado_Açúcar Físico não embarcado - Nov08 - Conferido_DB Entrada_1_Commodities_2_Relatório Gerencial_Relatório Gerencial_1_DB Entrada 2_15-FINANCEIRAS" xfId="10694"/>
    <cellStyle name="s_Valuation _DB Dados do Mercado_Açúcar Físico não embarcado - Nov08 - Conferido_DB Entrada_1_Commodities_2_Relatório Gerencial_Relatório Gerencial_1_DB Entrada_15-FINANCEIRAS" xfId="10695"/>
    <cellStyle name="s_Valuation _DB Dados do Mercado_Açúcar Físico não embarcado - Nov08 - Conferido_DB Entrada_1_Commodities_2_Relatório Gerencial_Relatório Gerencial_1_DB Entrada_15-FINANCEIRAS_1" xfId="10696"/>
    <cellStyle name="s_Valuation _DB Dados do Mercado_Açúcar Físico não embarcado - Nov08 - Conferido_DB Entrada_1_Commodities_2_Relatório Gerencial_Relatório Gerencial_1_DB Entrada_3-Balanço" xfId="10697"/>
    <cellStyle name="s_Valuation _DB Dados do Mercado_Açúcar Físico não embarcado - Nov08 - Conferido_DB Entrada_1_Commodities_2_Relatório Gerencial_Relatório Gerencial_1_DB Entrada_7-Estoque" xfId="10698"/>
    <cellStyle name="s_Valuation _DB Dados do Mercado_Açúcar Físico não embarcado - Nov08 - Conferido_DB Entrada_1_Commodities_2_Relatório Gerencial_Relatório Gerencial_15-FINANCEIRAS" xfId="10699"/>
    <cellStyle name="s_Valuation _DB Dados do Mercado_Açúcar Físico não embarcado - Nov08 - Conferido_DB Entrada_1_Commodities_2_Relatório Gerencial_Relatório Gerencial_15-FINANCEIRAS_1" xfId="10700"/>
    <cellStyle name="s_Valuation _DB Dados do Mercado_Açúcar Físico não embarcado - Nov08 - Conferido_DB Entrada_1_Commodities_2_Relatório Gerencial_Relatório Gerencial_3-Balanço" xfId="10701"/>
    <cellStyle name="s_Valuation _DB Dados do Mercado_Açúcar Físico não embarcado - Nov08 - Conferido_DB Entrada_1_Commodities_2_Relatório Gerencial_Relatório Gerencial_7-Estoque" xfId="10702"/>
    <cellStyle name="s_Valuation _DB Dados do Mercado_Açúcar Físico não embarcado - Nov08 - Conferido_DB Entrada_1_Commodities_2_Relatório Gerencial_Sistema Cosan backup 103 Retirada de relatorios" xfId="10703"/>
    <cellStyle name="s_Valuation _DB Dados do Mercado_Açúcar Físico não embarcado - Nov08 - Conferido_DB Entrada_1_Commodities_2_Relatório Gerencial_Sistema Cosan backup 103 Retirada de relatorios 2" xfId="10704"/>
    <cellStyle name="s_Valuation _DB Dados do Mercado_Açúcar Físico não embarcado - Nov08 - Conferido_DB Entrada_1_Commodities_2_Relatório Gerencial_Sistema Cosan backup 103 Retirada de relatorios 2_15-FINANCEIRAS" xfId="10705"/>
    <cellStyle name="s_Valuation _DB Dados do Mercado_Açúcar Físico não embarcado - Nov08 - Conferido_DB Entrada_1_Commodities_2_Relatório Gerencial_Sistema Cosan backup 103 Retirada de relatorios_15-FINANCEIRAS" xfId="10706"/>
    <cellStyle name="s_Valuation _DB Dados do Mercado_Açúcar Físico não embarcado - Nov08 - Conferido_DB Entrada_1_Commodities_2_Relatório Gerencial_Sistema Cosan backup 103 Retirada de relatorios_15-FINANCEIRAS_1" xfId="10707"/>
    <cellStyle name="s_Valuation _DB Dados do Mercado_Açúcar Físico não embarcado - Nov08 - Conferido_DB Entrada_1_Commodities_2_Relatório Gerencial_Sistema Cosan backup 103 Retirada de relatorios_3-Balanço" xfId="10708"/>
    <cellStyle name="s_Valuation _DB Dados do Mercado_Açúcar Físico não embarcado - Nov08 - Conferido_DB Entrada_1_Commodities_2_Relatório Gerencial_Sistema Cosan backup 103 Retirada de relatorios_7-Estoque" xfId="10709"/>
    <cellStyle name="s_Valuation _DB Dados do Mercado_Açúcar Físico não embarcado - Nov08 - Conferido_DB Entrada_1_Commodities_2_Sistema Cosan backup 103 Retirada de relatorios" xfId="10710"/>
    <cellStyle name="s_Valuation _DB Dados do Mercado_Açúcar Físico não embarcado - Nov08 - Conferido_DB Entrada_1_Commodities_2_Sistema Cosan backup 103 Retirada de relatorios 2" xfId="10711"/>
    <cellStyle name="s_Valuation _DB Dados do Mercado_Açúcar Físico não embarcado - Nov08 - Conferido_DB Entrada_1_Commodities_2_Sistema Cosan backup 103 Retirada de relatorios 2_15-FINANCEIRAS" xfId="10712"/>
    <cellStyle name="s_Valuation _DB Dados do Mercado_Açúcar Físico não embarcado - Nov08 - Conferido_DB Entrada_1_Commodities_2_Sistema Cosan backup 103 Retirada de relatorios_15-FINANCEIRAS" xfId="10713"/>
    <cellStyle name="s_Valuation _DB Dados do Mercado_Açúcar Físico não embarcado - Nov08 - Conferido_DB Entrada_1_Commodities_2_Sistema Cosan backup 103 Retirada de relatorios_15-FINANCEIRAS_1" xfId="10714"/>
    <cellStyle name="s_Valuation _DB Dados do Mercado_Açúcar Físico não embarcado - Nov08 - Conferido_DB Entrada_1_Commodities_2_Sistema Cosan backup 103 Retirada de relatorios_3-Balanço" xfId="10715"/>
    <cellStyle name="s_Valuation _DB Dados do Mercado_Açúcar Físico não embarcado - Nov08 - Conferido_DB Entrada_1_Commodities_2_Sistema Cosan backup 103 Retirada de relatorios_7-Estoque" xfId="10716"/>
    <cellStyle name="s_Valuation _DB Dados do Mercado_Açúcar Físico não embarcado - Nov08 - Conferido_DB Entrada_1_Commodities_3-Balanço" xfId="10717"/>
    <cellStyle name="s_Valuation _DB Dados do Mercado_Açúcar Físico não embarcado - Nov08 - Conferido_DB Entrada_1_Commodities_7-Estoque" xfId="10718"/>
    <cellStyle name="s_Valuation _DB Dados do Mercado_Açúcar Físico não embarcado - Nov08 - Conferido_DB Entrada_1_Commodities_Relatório Gerencial" xfId="10719"/>
    <cellStyle name="s_Valuation _DB Dados do Mercado_Açúcar Físico não embarcado - Nov08 - Conferido_DB Entrada_1_Commodities_Relatório Gerencial 2" xfId="10720"/>
    <cellStyle name="s_Valuation _DB Dados do Mercado_Açúcar Físico não embarcado - Nov08 - Conferido_DB Entrada_1_Commodities_Relatório Gerencial 2_15-FINANCEIRAS" xfId="10721"/>
    <cellStyle name="s_Valuation _DB Dados do Mercado_Açúcar Físico não embarcado - Nov08 - Conferido_DB Entrada_1_Commodities_Relatório Gerencial_15-FINANCEIRAS" xfId="10722"/>
    <cellStyle name="s_Valuation _DB Dados do Mercado_Açúcar Físico não embarcado - Nov08 - Conferido_DB Entrada_1_Commodities_Relatório Gerencial_15-FINANCEIRAS_1" xfId="10723"/>
    <cellStyle name="s_Valuation _DB Dados do Mercado_Açúcar Físico não embarcado - Nov08 - Conferido_DB Entrada_1_Commodities_Relatório Gerencial_3-Balanço" xfId="10724"/>
    <cellStyle name="s_Valuation _DB Dados do Mercado_Açúcar Físico não embarcado - Nov08 - Conferido_DB Entrada_1_Commodities_Relatório Gerencial_7-Estoque" xfId="10725"/>
    <cellStyle name="s_Valuation _DB Dados do Mercado_Açúcar Físico não embarcado - Nov08 - Conferido_DB Entrada_1_Commodities_Relatório Gerencial_DB Entrada" xfId="10726"/>
    <cellStyle name="s_Valuation _DB Dados do Mercado_Açúcar Físico não embarcado - Nov08 - Conferido_DB Entrada_1_Commodities_Relatório Gerencial_DB Entrada 2" xfId="10727"/>
    <cellStyle name="s_Valuation _DB Dados do Mercado_Açúcar Físico não embarcado - Nov08 - Conferido_DB Entrada_1_Commodities_Relatório Gerencial_DB Entrada 2_15-FINANCEIRAS" xfId="10728"/>
    <cellStyle name="s_Valuation _DB Dados do Mercado_Açúcar Físico não embarcado - Nov08 - Conferido_DB Entrada_1_Commodities_Relatório Gerencial_DB Entrada_15-FINANCEIRAS" xfId="10729"/>
    <cellStyle name="s_Valuation _DB Dados do Mercado_Açúcar Físico não embarcado - Nov08 - Conferido_DB Entrada_1_Commodities_Relatório Gerencial_DB Entrada_15-FINANCEIRAS_1" xfId="10730"/>
    <cellStyle name="s_Valuation _DB Dados do Mercado_Açúcar Físico não embarcado - Nov08 - Conferido_DB Entrada_1_Commodities_Relatório Gerencial_DB Entrada_3-Balanço" xfId="10731"/>
    <cellStyle name="s_Valuation _DB Dados do Mercado_Açúcar Físico não embarcado - Nov08 - Conferido_DB Entrada_1_Commodities_Relatório Gerencial_DB Entrada_7-Estoque" xfId="10732"/>
    <cellStyle name="s_Valuation _DB Dados do Mercado_Açúcar Físico não embarcado - Nov08 - Conferido_DB Entrada_1_DB Boletas Abertas" xfId="10733"/>
    <cellStyle name="s_Valuation _DB Dados do Mercado_Açúcar Físico não embarcado - Nov08 - Conferido_DB Entrada_1_DB Boletas Abertas 2" xfId="10734"/>
    <cellStyle name="s_Valuation _DB Dados do Mercado_Açúcar Físico não embarcado - Nov08 - Conferido_DB Entrada_1_DB Boletas Abertas 2_15-FINANCEIRAS" xfId="10735"/>
    <cellStyle name="s_Valuation _DB Dados do Mercado_Açúcar Físico não embarcado - Nov08 - Conferido_DB Entrada_1_DB Boletas Abertas_15-FINANCEIRAS" xfId="10736"/>
    <cellStyle name="s_Valuation _DB Dados do Mercado_Açúcar Físico não embarcado - Nov08 - Conferido_DB Entrada_1_DB Boletas Abertas_15-FINANCEIRAS_1" xfId="10737"/>
    <cellStyle name="s_Valuation _DB Dados do Mercado_Açúcar Físico não embarcado - Nov08 - Conferido_DB Entrada_1_DB Boletas Abertas_3-Balanço" xfId="10738"/>
    <cellStyle name="s_Valuation _DB Dados do Mercado_Açúcar Físico não embarcado - Nov08 - Conferido_DB Entrada_1_DB Boletas Abertas_7-Estoque" xfId="10739"/>
    <cellStyle name="s_Valuation _DB Dados do Mercado_Açúcar Físico não embarcado - Nov08 - Conferido_DB Entrada_1_DB Boletas Vencendo" xfId="10740"/>
    <cellStyle name="s_Valuation _DB Dados do Mercado_Açúcar Físico não embarcado - Nov08 - Conferido_DB Entrada_1_DB Boletas Vencendo 2" xfId="10741"/>
    <cellStyle name="s_Valuation _DB Dados do Mercado_Açúcar Físico não embarcado - Nov08 - Conferido_DB Entrada_1_DB Boletas Vencendo 2_15-FINANCEIRAS" xfId="10742"/>
    <cellStyle name="s_Valuation _DB Dados do Mercado_Açúcar Físico não embarcado - Nov08 - Conferido_DB Entrada_1_DB Boletas Vencendo_15-FINANCEIRAS" xfId="10743"/>
    <cellStyle name="s_Valuation _DB Dados do Mercado_Açúcar Físico não embarcado - Nov08 - Conferido_DB Entrada_1_DB Boletas Vencendo_15-FINANCEIRAS_1" xfId="10744"/>
    <cellStyle name="s_Valuation _DB Dados do Mercado_Açúcar Físico não embarcado - Nov08 - Conferido_DB Entrada_1_DB Boletas Vencendo_3-Balanço" xfId="10745"/>
    <cellStyle name="s_Valuation _DB Dados do Mercado_Açúcar Físico não embarcado - Nov08 - Conferido_DB Entrada_1_DB Boletas Vencendo_7-Estoque" xfId="10746"/>
    <cellStyle name="s_Valuation _DB Dados do Mercado_Açúcar Físico não embarcado - Nov08 - Conferido_DB Entrada_1_DB Boletas Vencendo_Relatório Gerencial" xfId="10747"/>
    <cellStyle name="s_Valuation _DB Dados do Mercado_Açúcar Físico não embarcado - Nov08 - Conferido_DB Entrada_1_DB Boletas Vencendo_Relatório Gerencial 2" xfId="10748"/>
    <cellStyle name="s_Valuation _DB Dados do Mercado_Açúcar Físico não embarcado - Nov08 - Conferido_DB Entrada_1_DB Boletas Vencendo_Relatório Gerencial 2_15-FINANCEIRAS" xfId="10749"/>
    <cellStyle name="s_Valuation _DB Dados do Mercado_Açúcar Físico não embarcado - Nov08 - Conferido_DB Entrada_1_DB Boletas Vencendo_Relatório Gerencial_15-FINANCEIRAS" xfId="10750"/>
    <cellStyle name="s_Valuation _DB Dados do Mercado_Açúcar Físico não embarcado - Nov08 - Conferido_DB Entrada_1_DB Boletas Vencendo_Relatório Gerencial_15-FINANCEIRAS_1" xfId="10751"/>
    <cellStyle name="s_Valuation _DB Dados do Mercado_Açúcar Físico não embarcado - Nov08 - Conferido_DB Entrada_1_DB Boletas Vencendo_Relatório Gerencial_3-Balanço" xfId="10752"/>
    <cellStyle name="s_Valuation _DB Dados do Mercado_Açúcar Físico não embarcado - Nov08 - Conferido_DB Entrada_1_DB Boletas Vencendo_Relatório Gerencial_7-Estoque" xfId="10753"/>
    <cellStyle name="s_Valuation _DB Dados do Mercado_Açúcar Físico não embarcado - Nov08 - Conferido_DB Entrada_1_DB Boletas Vencendo_Relatório Gerencial_DB Entrada" xfId="10754"/>
    <cellStyle name="s_Valuation _DB Dados do Mercado_Açúcar Físico não embarcado - Nov08 - Conferido_DB Entrada_1_DB Boletas Vencendo_Relatório Gerencial_DB Entrada 2" xfId="10755"/>
    <cellStyle name="s_Valuation _DB Dados do Mercado_Açúcar Físico não embarcado - Nov08 - Conferido_DB Entrada_1_DB Boletas Vencendo_Relatório Gerencial_DB Entrada 2_15-FINANCEIRAS" xfId="10756"/>
    <cellStyle name="s_Valuation _DB Dados do Mercado_Açúcar Físico não embarcado - Nov08 - Conferido_DB Entrada_1_DB Boletas Vencendo_Relatório Gerencial_DB Entrada_15-FINANCEIRAS" xfId="10757"/>
    <cellStyle name="s_Valuation _DB Dados do Mercado_Açúcar Físico não embarcado - Nov08 - Conferido_DB Entrada_1_DB Boletas Vencendo_Relatório Gerencial_DB Entrada_15-FINANCEIRAS_1" xfId="10758"/>
    <cellStyle name="s_Valuation _DB Dados do Mercado_Açúcar Físico não embarcado - Nov08 - Conferido_DB Entrada_1_DB Boletas Vencendo_Relatório Gerencial_DB Entrada_3-Balanço" xfId="10759"/>
    <cellStyle name="s_Valuation _DB Dados do Mercado_Açúcar Físico não embarcado - Nov08 - Conferido_DB Entrada_1_DB Boletas Vencendo_Relatório Gerencial_DB Entrada_7-Estoque" xfId="10760"/>
    <cellStyle name="s_Valuation _DB Dados do Mercado_Açúcar Físico não embarcado - Nov08 - Conferido_DB Entrada_1_DB Controle" xfId="10761"/>
    <cellStyle name="s_Valuation _DB Dados do Mercado_Açúcar Físico não embarcado - Nov08 - Conferido_DB Entrada_1_DB Controle 2" xfId="10762"/>
    <cellStyle name="s_Valuation _DB Dados do Mercado_Açúcar Físico não embarcado - Nov08 - Conferido_DB Entrada_1_DB Controle 2_15-FINANCEIRAS" xfId="10763"/>
    <cellStyle name="s_Valuation _DB Dados do Mercado_Açúcar Físico não embarcado - Nov08 - Conferido_DB Entrada_1_DB Controle_15-FINANCEIRAS" xfId="10764"/>
    <cellStyle name="s_Valuation _DB Dados do Mercado_Açúcar Físico não embarcado - Nov08 - Conferido_DB Entrada_1_DB Controle_15-FINANCEIRAS_1" xfId="10765"/>
    <cellStyle name="s_Valuation _DB Dados do Mercado_Açúcar Físico não embarcado - Nov08 - Conferido_DB Entrada_1_DB Controle_3-Balanço" xfId="10766"/>
    <cellStyle name="s_Valuation _DB Dados do Mercado_Açúcar Físico não embarcado - Nov08 - Conferido_DB Entrada_1_DB Controle_7-Estoque" xfId="10767"/>
    <cellStyle name="s_Valuation _DB Dados do Mercado_Açúcar Físico não embarcado - Nov08 - Conferido_DB Entrada_1_DB Controle_Relatório Gerencial" xfId="10768"/>
    <cellStyle name="s_Valuation _DB Dados do Mercado_Açúcar Físico não embarcado - Nov08 - Conferido_DB Entrada_1_DB Controle_Relatório Gerencial 2" xfId="10769"/>
    <cellStyle name="s_Valuation _DB Dados do Mercado_Açúcar Físico não embarcado - Nov08 - Conferido_DB Entrada_1_DB Controle_Relatório Gerencial 2_15-FINANCEIRAS" xfId="10770"/>
    <cellStyle name="s_Valuation _DB Dados do Mercado_Açúcar Físico não embarcado - Nov08 - Conferido_DB Entrada_1_DB Controle_Relatório Gerencial_15-FINANCEIRAS" xfId="10771"/>
    <cellStyle name="s_Valuation _DB Dados do Mercado_Açúcar Físico não embarcado - Nov08 - Conferido_DB Entrada_1_DB Controle_Relatório Gerencial_15-FINANCEIRAS_1" xfId="10772"/>
    <cellStyle name="s_Valuation _DB Dados do Mercado_Açúcar Físico não embarcado - Nov08 - Conferido_DB Entrada_1_DB Controle_Relatório Gerencial_3-Balanço" xfId="10773"/>
    <cellStyle name="s_Valuation _DB Dados do Mercado_Açúcar Físico não embarcado - Nov08 - Conferido_DB Entrada_1_DB Controle_Relatório Gerencial_7-Estoque" xfId="10774"/>
    <cellStyle name="s_Valuation _DB Dados do Mercado_Açúcar Físico não embarcado - Nov08 - Conferido_DB Entrada_1_DB Controle_Relatório Gerencial_DB Entrada" xfId="10775"/>
    <cellStyle name="s_Valuation _DB Dados do Mercado_Açúcar Físico não embarcado - Nov08 - Conferido_DB Entrada_1_DB Controle_Relatório Gerencial_DB Entrada 2" xfId="10776"/>
    <cellStyle name="s_Valuation _DB Dados do Mercado_Açúcar Físico não embarcado - Nov08 - Conferido_DB Entrada_1_DB Controle_Relatório Gerencial_DB Entrada 2_15-FINANCEIRAS" xfId="10777"/>
    <cellStyle name="s_Valuation _DB Dados do Mercado_Açúcar Físico não embarcado - Nov08 - Conferido_DB Entrada_1_DB Controle_Relatório Gerencial_DB Entrada_15-FINANCEIRAS" xfId="10778"/>
    <cellStyle name="s_Valuation _DB Dados do Mercado_Açúcar Físico não embarcado - Nov08 - Conferido_DB Entrada_1_DB Controle_Relatório Gerencial_DB Entrada_15-FINANCEIRAS_1" xfId="10779"/>
    <cellStyle name="s_Valuation _DB Dados do Mercado_Açúcar Físico não embarcado - Nov08 - Conferido_DB Entrada_1_DB Controle_Relatório Gerencial_DB Entrada_3-Balanço" xfId="10780"/>
    <cellStyle name="s_Valuation _DB Dados do Mercado_Açúcar Físico não embarcado - Nov08 - Conferido_DB Entrada_1_DB Controle_Relatório Gerencial_DB Entrada_7-Estoque" xfId="10781"/>
    <cellStyle name="s_Valuation _DB Dados do Mercado_Açúcar Físico não embarcado - Nov08 - Conferido_DB Entrada_1_DB Entrada" xfId="10782"/>
    <cellStyle name="s_Valuation _DB Dados do Mercado_Açúcar Físico não embarcado - Nov08 - Conferido_DB Entrada_1_DB Entrada 2" xfId="10783"/>
    <cellStyle name="s_Valuation _DB Dados do Mercado_Açúcar Físico não embarcado - Nov08 - Conferido_DB Entrada_1_DB Entrada 2_15-FINANCEIRAS" xfId="10784"/>
    <cellStyle name="s_Valuation _DB Dados do Mercado_Açúcar Físico não embarcado - Nov08 - Conferido_DB Entrada_1_DB Entrada_1" xfId="10785"/>
    <cellStyle name="s_Valuation _DB Dados do Mercado_Açúcar Físico não embarcado - Nov08 - Conferido_DB Entrada_1_DB Entrada_1 2" xfId="10786"/>
    <cellStyle name="s_Valuation _DB Dados do Mercado_Açúcar Físico não embarcado - Nov08 - Conferido_DB Entrada_1_DB Entrada_1 2_15-FINANCEIRAS" xfId="10787"/>
    <cellStyle name="s_Valuation _DB Dados do Mercado_Açúcar Físico não embarcado - Nov08 - Conferido_DB Entrada_1_DB Entrada_1_15-FINANCEIRAS" xfId="10788"/>
    <cellStyle name="s_Valuation _DB Dados do Mercado_Açúcar Físico não embarcado - Nov08 - Conferido_DB Entrada_1_DB Entrada_1_15-FINANCEIRAS_1" xfId="10789"/>
    <cellStyle name="s_Valuation _DB Dados do Mercado_Açúcar Físico não embarcado - Nov08 - Conferido_DB Entrada_1_DB Entrada_1_3-Balanço" xfId="10790"/>
    <cellStyle name="s_Valuation _DB Dados do Mercado_Açúcar Físico não embarcado - Nov08 - Conferido_DB Entrada_1_DB Entrada_1_7-Estoque" xfId="10791"/>
    <cellStyle name="s_Valuation _DB Dados do Mercado_Açúcar Físico não embarcado - Nov08 - Conferido_DB Entrada_1_DB Entrada_1_DB Boletas Abertas" xfId="10792"/>
    <cellStyle name="s_Valuation _DB Dados do Mercado_Açúcar Físico não embarcado - Nov08 - Conferido_DB Entrada_1_DB Entrada_1_DB Boletas Abertas 2" xfId="10793"/>
    <cellStyle name="s_Valuation _DB Dados do Mercado_Açúcar Físico não embarcado - Nov08 - Conferido_DB Entrada_1_DB Entrada_1_DB Boletas Abertas 2_15-FINANCEIRAS" xfId="10794"/>
    <cellStyle name="s_Valuation _DB Dados do Mercado_Açúcar Físico não embarcado - Nov08 - Conferido_DB Entrada_1_DB Entrada_1_DB Boletas Abertas_15-FINANCEIRAS" xfId="10795"/>
    <cellStyle name="s_Valuation _DB Dados do Mercado_Açúcar Físico não embarcado - Nov08 - Conferido_DB Entrada_1_DB Entrada_1_DB Boletas Abertas_15-FINANCEIRAS_1" xfId="10796"/>
    <cellStyle name="s_Valuation _DB Dados do Mercado_Açúcar Físico não embarcado - Nov08 - Conferido_DB Entrada_1_DB Entrada_1_DB Boletas Abertas_3-Balanço" xfId="10797"/>
    <cellStyle name="s_Valuation _DB Dados do Mercado_Açúcar Físico não embarcado - Nov08 - Conferido_DB Entrada_1_DB Entrada_1_DB Boletas Abertas_7-Estoque" xfId="10798"/>
    <cellStyle name="s_Valuation _DB Dados do Mercado_Açúcar Físico não embarcado - Nov08 - Conferido_DB Entrada_1_DB Entrada_1_DB Boletas Vencendo" xfId="10799"/>
    <cellStyle name="s_Valuation _DB Dados do Mercado_Açúcar Físico não embarcado - Nov08 - Conferido_DB Entrada_1_DB Entrada_1_DB Boletas Vencendo 2" xfId="10800"/>
    <cellStyle name="s_Valuation _DB Dados do Mercado_Açúcar Físico não embarcado - Nov08 - Conferido_DB Entrada_1_DB Entrada_1_DB Boletas Vencendo 2_15-FINANCEIRAS" xfId="10801"/>
    <cellStyle name="s_Valuation _DB Dados do Mercado_Açúcar Físico não embarcado - Nov08 - Conferido_DB Entrada_1_DB Entrada_1_DB Boletas Vencendo_15-FINANCEIRAS" xfId="10802"/>
    <cellStyle name="s_Valuation _DB Dados do Mercado_Açúcar Físico não embarcado - Nov08 - Conferido_DB Entrada_1_DB Entrada_1_DB Boletas Vencendo_15-FINANCEIRAS_1" xfId="10803"/>
    <cellStyle name="s_Valuation _DB Dados do Mercado_Açúcar Físico não embarcado - Nov08 - Conferido_DB Entrada_1_DB Entrada_1_DB Boletas Vencendo_3-Balanço" xfId="10804"/>
    <cellStyle name="s_Valuation _DB Dados do Mercado_Açúcar Físico não embarcado - Nov08 - Conferido_DB Entrada_1_DB Entrada_1_DB Boletas Vencendo_7-Estoque" xfId="10805"/>
    <cellStyle name="s_Valuation _DB Dados do Mercado_Açúcar Físico não embarcado - Nov08 - Conferido_DB Entrada_1_DB Entrada_1_DB Boletas Vencendo_Relatório Gerencial" xfId="10806"/>
    <cellStyle name="s_Valuation _DB Dados do Mercado_Açúcar Físico não embarcado - Nov08 - Conferido_DB Entrada_1_DB Entrada_1_DB Boletas Vencendo_Relatório Gerencial 2" xfId="10807"/>
    <cellStyle name="s_Valuation _DB Dados do Mercado_Açúcar Físico não embarcado - Nov08 - Conferido_DB Entrada_1_DB Entrada_1_DB Boletas Vencendo_Relatório Gerencial 2_15-FINANCEIRAS" xfId="10808"/>
    <cellStyle name="s_Valuation _DB Dados do Mercado_Açúcar Físico não embarcado - Nov08 - Conferido_DB Entrada_1_DB Entrada_1_DB Boletas Vencendo_Relatório Gerencial_15-FINANCEIRAS" xfId="10809"/>
    <cellStyle name="s_Valuation _DB Dados do Mercado_Açúcar Físico não embarcado - Nov08 - Conferido_DB Entrada_1_DB Entrada_1_DB Boletas Vencendo_Relatório Gerencial_15-FINANCEIRAS_1" xfId="10810"/>
    <cellStyle name="s_Valuation _DB Dados do Mercado_Açúcar Físico não embarcado - Nov08 - Conferido_DB Entrada_1_DB Entrada_1_DB Boletas Vencendo_Relatório Gerencial_3-Balanço" xfId="10811"/>
    <cellStyle name="s_Valuation _DB Dados do Mercado_Açúcar Físico não embarcado - Nov08 - Conferido_DB Entrada_1_DB Entrada_1_DB Boletas Vencendo_Relatório Gerencial_7-Estoque" xfId="10812"/>
    <cellStyle name="s_Valuation _DB Dados do Mercado_Açúcar Físico não embarcado - Nov08 - Conferido_DB Entrada_1_DB Entrada_1_DB Boletas Vencendo_Relatório Gerencial_DB Entrada" xfId="10813"/>
    <cellStyle name="s_Valuation _DB Dados do Mercado_Açúcar Físico não embarcado - Nov08 - Conferido_DB Entrada_1_DB Entrada_1_DB Boletas Vencendo_Relatório Gerencial_DB Entrada 2" xfId="10814"/>
    <cellStyle name="s_Valuation _DB Dados do Mercado_Açúcar Físico não embarcado - Nov08 - Conferido_DB Entrada_1_DB Entrada_1_DB Boletas Vencendo_Relatório Gerencial_DB Entrada 2_15-FINANCEIRAS" xfId="10815"/>
    <cellStyle name="s_Valuation _DB Dados do Mercado_Açúcar Físico não embarcado - Nov08 - Conferido_DB Entrada_1_DB Entrada_1_DB Boletas Vencendo_Relatório Gerencial_DB Entrada_15-FINANCEIRAS" xfId="10816"/>
    <cellStyle name="s_Valuation _DB Dados do Mercado_Açúcar Físico não embarcado - Nov08 - Conferido_DB Entrada_1_DB Entrada_1_DB Boletas Vencendo_Relatório Gerencial_DB Entrada_15-FINANCEIRAS_1" xfId="10817"/>
    <cellStyle name="s_Valuation _DB Dados do Mercado_Açúcar Físico não embarcado - Nov08 - Conferido_DB Entrada_1_DB Entrada_1_DB Boletas Vencendo_Relatório Gerencial_DB Entrada_3-Balanço" xfId="10818"/>
    <cellStyle name="s_Valuation _DB Dados do Mercado_Açúcar Físico não embarcado - Nov08 - Conferido_DB Entrada_1_DB Entrada_1_DB Boletas Vencendo_Relatório Gerencial_DB Entrada_7-Estoque" xfId="10819"/>
    <cellStyle name="s_Valuation _DB Dados do Mercado_Açúcar Físico não embarcado - Nov08 - Conferido_DB Entrada_1_DB Entrada_1_DB Controle" xfId="10820"/>
    <cellStyle name="s_Valuation _DB Dados do Mercado_Açúcar Físico não embarcado - Nov08 - Conferido_DB Entrada_1_DB Entrada_1_DB Controle 2" xfId="10821"/>
    <cellStyle name="s_Valuation _DB Dados do Mercado_Açúcar Físico não embarcado - Nov08 - Conferido_DB Entrada_1_DB Entrada_1_DB Controle 2_15-FINANCEIRAS" xfId="10822"/>
    <cellStyle name="s_Valuation _DB Dados do Mercado_Açúcar Físico não embarcado - Nov08 - Conferido_DB Entrada_1_DB Entrada_1_DB Controle_15-FINANCEIRAS" xfId="10823"/>
    <cellStyle name="s_Valuation _DB Dados do Mercado_Açúcar Físico não embarcado - Nov08 - Conferido_DB Entrada_1_DB Entrada_1_DB Controle_15-FINANCEIRAS_1" xfId="10824"/>
    <cellStyle name="s_Valuation _DB Dados do Mercado_Açúcar Físico não embarcado - Nov08 - Conferido_DB Entrada_1_DB Entrada_1_DB Controle_3-Balanço" xfId="10825"/>
    <cellStyle name="s_Valuation _DB Dados do Mercado_Açúcar Físico não embarcado - Nov08 - Conferido_DB Entrada_1_DB Entrada_1_DB Controle_7-Estoque" xfId="10826"/>
    <cellStyle name="s_Valuation _DB Dados do Mercado_Açúcar Físico não embarcado - Nov08 - Conferido_DB Entrada_1_DB Entrada_1_DB Controle_Relatório Gerencial" xfId="10827"/>
    <cellStyle name="s_Valuation _DB Dados do Mercado_Açúcar Físico não embarcado - Nov08 - Conferido_DB Entrada_1_DB Entrada_1_DB Controle_Relatório Gerencial 2" xfId="10828"/>
    <cellStyle name="s_Valuation _DB Dados do Mercado_Açúcar Físico não embarcado - Nov08 - Conferido_DB Entrada_1_DB Entrada_1_DB Controle_Relatório Gerencial 2_15-FINANCEIRAS" xfId="10829"/>
    <cellStyle name="s_Valuation _DB Dados do Mercado_Açúcar Físico não embarcado - Nov08 - Conferido_DB Entrada_1_DB Entrada_1_DB Controle_Relatório Gerencial_15-FINANCEIRAS" xfId="10830"/>
    <cellStyle name="s_Valuation _DB Dados do Mercado_Açúcar Físico não embarcado - Nov08 - Conferido_DB Entrada_1_DB Entrada_1_DB Controle_Relatório Gerencial_15-FINANCEIRAS_1" xfId="10831"/>
    <cellStyle name="s_Valuation _DB Dados do Mercado_Açúcar Físico não embarcado - Nov08 - Conferido_DB Entrada_1_DB Entrada_1_DB Controle_Relatório Gerencial_3-Balanço" xfId="10832"/>
    <cellStyle name="s_Valuation _DB Dados do Mercado_Açúcar Físico não embarcado - Nov08 - Conferido_DB Entrada_1_DB Entrada_1_DB Controle_Relatório Gerencial_7-Estoque" xfId="10833"/>
    <cellStyle name="s_Valuation _DB Dados do Mercado_Açúcar Físico não embarcado - Nov08 - Conferido_DB Entrada_1_DB Entrada_1_DB Controle_Relatório Gerencial_DB Entrada" xfId="10834"/>
    <cellStyle name="s_Valuation _DB Dados do Mercado_Açúcar Físico não embarcado - Nov08 - Conferido_DB Entrada_1_DB Entrada_1_DB Controle_Relatório Gerencial_DB Entrada 2" xfId="10835"/>
    <cellStyle name="s_Valuation _DB Dados do Mercado_Açúcar Físico não embarcado - Nov08 - Conferido_DB Entrada_1_DB Entrada_1_DB Controle_Relatório Gerencial_DB Entrada 2_15-FINANCEIRAS" xfId="10836"/>
    <cellStyle name="s_Valuation _DB Dados do Mercado_Açúcar Físico não embarcado - Nov08 - Conferido_DB Entrada_1_DB Entrada_1_DB Controle_Relatório Gerencial_DB Entrada_15-FINANCEIRAS" xfId="10837"/>
    <cellStyle name="s_Valuation _DB Dados do Mercado_Açúcar Físico não embarcado - Nov08 - Conferido_DB Entrada_1_DB Entrada_1_DB Controle_Relatório Gerencial_DB Entrada_15-FINANCEIRAS_1" xfId="10838"/>
    <cellStyle name="s_Valuation _DB Dados do Mercado_Açúcar Físico não embarcado - Nov08 - Conferido_DB Entrada_1_DB Entrada_1_DB Controle_Relatório Gerencial_DB Entrada_3-Balanço" xfId="10839"/>
    <cellStyle name="s_Valuation _DB Dados do Mercado_Açúcar Físico não embarcado - Nov08 - Conferido_DB Entrada_1_DB Entrada_1_DB Controle_Relatório Gerencial_DB Entrada_7-Estoque" xfId="10840"/>
    <cellStyle name="s_Valuation _DB Dados do Mercado_Açúcar Físico não embarcado - Nov08 - Conferido_DB Entrada_1_DB Entrada_1_DB Entrada" xfId="10841"/>
    <cellStyle name="s_Valuation _DB Dados do Mercado_Açúcar Físico não embarcado - Nov08 - Conferido_DB Entrada_1_DB Entrada_1_DB Entrada 2" xfId="10842"/>
    <cellStyle name="s_Valuation _DB Dados do Mercado_Açúcar Físico não embarcado - Nov08 - Conferido_DB Entrada_1_DB Entrada_1_DB Entrada 2_15-FINANCEIRAS" xfId="10843"/>
    <cellStyle name="s_Valuation _DB Dados do Mercado_Açúcar Físico não embarcado - Nov08 - Conferido_DB Entrada_1_DB Entrada_1_DB Entrada_15-FINANCEIRAS" xfId="10844"/>
    <cellStyle name="s_Valuation _DB Dados do Mercado_Açúcar Físico não embarcado - Nov08 - Conferido_DB Entrada_1_DB Entrada_1_DB Entrada_15-FINANCEIRAS_1" xfId="10845"/>
    <cellStyle name="s_Valuation _DB Dados do Mercado_Açúcar Físico não embarcado - Nov08 - Conferido_DB Entrada_1_DB Entrada_1_DB Entrada_3-Balanço" xfId="10846"/>
    <cellStyle name="s_Valuation _DB Dados do Mercado_Açúcar Físico não embarcado - Nov08 - Conferido_DB Entrada_1_DB Entrada_1_DB Entrada_7-Estoque" xfId="10847"/>
    <cellStyle name="s_Valuation _DB Dados do Mercado_Açúcar Físico não embarcado - Nov08 - Conferido_DB Entrada_1_DB Entrada_1_DB Entrada_Relatório Gerencial" xfId="10848"/>
    <cellStyle name="s_Valuation _DB Dados do Mercado_Açúcar Físico não embarcado - Nov08 - Conferido_DB Entrada_1_DB Entrada_1_DB Entrada_Relatório Gerencial 2" xfId="10849"/>
    <cellStyle name="s_Valuation _DB Dados do Mercado_Açúcar Físico não embarcado - Nov08 - Conferido_DB Entrada_1_DB Entrada_1_DB Entrada_Relatório Gerencial 2_15-FINANCEIRAS" xfId="10850"/>
    <cellStyle name="s_Valuation _DB Dados do Mercado_Açúcar Físico não embarcado - Nov08 - Conferido_DB Entrada_1_DB Entrada_1_DB Entrada_Relatório Gerencial_15-FINANCEIRAS" xfId="10851"/>
    <cellStyle name="s_Valuation _DB Dados do Mercado_Açúcar Físico não embarcado - Nov08 - Conferido_DB Entrada_1_DB Entrada_1_DB Entrada_Relatório Gerencial_15-FINANCEIRAS_1" xfId="10852"/>
    <cellStyle name="s_Valuation _DB Dados do Mercado_Açúcar Físico não embarcado - Nov08 - Conferido_DB Entrada_1_DB Entrada_1_DB Entrada_Relatório Gerencial_3-Balanço" xfId="10853"/>
    <cellStyle name="s_Valuation _DB Dados do Mercado_Açúcar Físico não embarcado - Nov08 - Conferido_DB Entrada_1_DB Entrada_1_DB Entrada_Relatório Gerencial_7-Estoque" xfId="10854"/>
    <cellStyle name="s_Valuation _DB Dados do Mercado_Açúcar Físico não embarcado - Nov08 - Conferido_DB Entrada_1_DB Entrada_1_DB Entrada_Relatório Gerencial_DB Entrada" xfId="10855"/>
    <cellStyle name="s_Valuation _DB Dados do Mercado_Açúcar Físico não embarcado - Nov08 - Conferido_DB Entrada_1_DB Entrada_1_DB Entrada_Relatório Gerencial_DB Entrada 2" xfId="10856"/>
    <cellStyle name="s_Valuation _DB Dados do Mercado_Açúcar Físico não embarcado - Nov08 - Conferido_DB Entrada_1_DB Entrada_1_DB Entrada_Relatório Gerencial_DB Entrada 2_15-FINANCEIRAS" xfId="10857"/>
    <cellStyle name="s_Valuation _DB Dados do Mercado_Açúcar Físico não embarcado - Nov08 - Conferido_DB Entrada_1_DB Entrada_1_DB Entrada_Relatório Gerencial_DB Entrada_15-FINANCEIRAS" xfId="10858"/>
    <cellStyle name="s_Valuation _DB Dados do Mercado_Açúcar Físico não embarcado - Nov08 - Conferido_DB Entrada_1_DB Entrada_1_DB Entrada_Relatório Gerencial_DB Entrada_15-FINANCEIRAS_1" xfId="10859"/>
    <cellStyle name="s_Valuation _DB Dados do Mercado_Açúcar Físico não embarcado - Nov08 - Conferido_DB Entrada_1_DB Entrada_1_DB Entrada_Relatório Gerencial_DB Entrada_3-Balanço" xfId="10860"/>
    <cellStyle name="s_Valuation _DB Dados do Mercado_Açúcar Físico não embarcado - Nov08 - Conferido_DB Entrada_1_DB Entrada_1_DB Entrada_Relatório Gerencial_DB Entrada_7-Estoque" xfId="10861"/>
    <cellStyle name="s_Valuation _DB Dados do Mercado_Açúcar Físico não embarcado - Nov08 - Conferido_DB Entrada_1_DB Entrada_1_DB Exposição" xfId="10862"/>
    <cellStyle name="s_Valuation _DB Dados do Mercado_Açúcar Físico não embarcado - Nov08 - Conferido_DB Entrada_1_DB Entrada_1_DB Exposição 2" xfId="10863"/>
    <cellStyle name="s_Valuation _DB Dados do Mercado_Açúcar Físico não embarcado - Nov08 - Conferido_DB Entrada_1_DB Entrada_1_DB Exposição 2_15-FINANCEIRAS" xfId="10864"/>
    <cellStyle name="s_Valuation _DB Dados do Mercado_Açúcar Físico não embarcado - Nov08 - Conferido_DB Entrada_1_DB Entrada_1_DB Exposição_15-FINANCEIRAS" xfId="10865"/>
    <cellStyle name="s_Valuation _DB Dados do Mercado_Açúcar Físico não embarcado - Nov08 - Conferido_DB Entrada_1_DB Entrada_1_DB Exposição_15-FINANCEIRAS_1" xfId="10866"/>
    <cellStyle name="s_Valuation _DB Dados do Mercado_Açúcar Físico não embarcado - Nov08 - Conferido_DB Entrada_1_DB Entrada_1_DB Exposição_3-Balanço" xfId="10867"/>
    <cellStyle name="s_Valuation _DB Dados do Mercado_Açúcar Físico não embarcado - Nov08 - Conferido_DB Entrada_1_DB Entrada_1_DB Exposição_7-Estoque" xfId="10868"/>
    <cellStyle name="s_Valuation _DB Dados do Mercado_Açúcar Físico não embarcado - Nov08 - Conferido_DB Entrada_1_DB Entrada_1_DB Exposição_Relatório Gerencial" xfId="10869"/>
    <cellStyle name="s_Valuation _DB Dados do Mercado_Açúcar Físico não embarcado - Nov08 - Conferido_DB Entrada_1_DB Entrada_1_DB Exposição_Relatório Gerencial 2" xfId="10870"/>
    <cellStyle name="s_Valuation _DB Dados do Mercado_Açúcar Físico não embarcado - Nov08 - Conferido_DB Entrada_1_DB Entrada_1_DB Exposição_Relatório Gerencial 2_15-FINANCEIRAS" xfId="10871"/>
    <cellStyle name="s_Valuation _DB Dados do Mercado_Açúcar Físico não embarcado - Nov08 - Conferido_DB Entrada_1_DB Entrada_1_DB Exposição_Relatório Gerencial_15-FINANCEIRAS" xfId="10872"/>
    <cellStyle name="s_Valuation _DB Dados do Mercado_Açúcar Físico não embarcado - Nov08 - Conferido_DB Entrada_1_DB Entrada_1_DB Exposição_Relatório Gerencial_15-FINANCEIRAS_1" xfId="10873"/>
    <cellStyle name="s_Valuation _DB Dados do Mercado_Açúcar Físico não embarcado - Nov08 - Conferido_DB Entrada_1_DB Entrada_1_DB Exposição_Relatório Gerencial_3-Balanço" xfId="10874"/>
    <cellStyle name="s_Valuation _DB Dados do Mercado_Açúcar Físico não embarcado - Nov08 - Conferido_DB Entrada_1_DB Entrada_1_DB Exposição_Relatório Gerencial_7-Estoque" xfId="10875"/>
    <cellStyle name="s_Valuation _DB Dados do Mercado_Açúcar Físico não embarcado - Nov08 - Conferido_DB Entrada_1_DB Entrada_1_DB Exposição_Relatório Gerencial_DB Entrada" xfId="10876"/>
    <cellStyle name="s_Valuation _DB Dados do Mercado_Açúcar Físico não embarcado - Nov08 - Conferido_DB Entrada_1_DB Entrada_1_DB Exposição_Relatório Gerencial_DB Entrada 2" xfId="10877"/>
    <cellStyle name="s_Valuation _DB Dados do Mercado_Açúcar Físico não embarcado - Nov08 - Conferido_DB Entrada_1_DB Entrada_1_DB Exposição_Relatório Gerencial_DB Entrada 2_15-FINANCEIRAS" xfId="10878"/>
    <cellStyle name="s_Valuation _DB Dados do Mercado_Açúcar Físico não embarcado - Nov08 - Conferido_DB Entrada_1_DB Entrada_1_DB Exposição_Relatório Gerencial_DB Entrada_15-FINANCEIRAS" xfId="10879"/>
    <cellStyle name="s_Valuation _DB Dados do Mercado_Açúcar Físico não embarcado - Nov08 - Conferido_DB Entrada_1_DB Entrada_1_DB Exposição_Relatório Gerencial_DB Entrada_15-FINANCEIRAS_1" xfId="10880"/>
    <cellStyle name="s_Valuation _DB Dados do Mercado_Açúcar Físico não embarcado - Nov08 - Conferido_DB Entrada_1_DB Entrada_1_DB Exposição_Relatório Gerencial_DB Entrada_3-Balanço" xfId="10881"/>
    <cellStyle name="s_Valuation _DB Dados do Mercado_Açúcar Físico não embarcado - Nov08 - Conferido_DB Entrada_1_DB Entrada_1_DB Exposição_Relatório Gerencial_DB Entrada_7-Estoque" xfId="10882"/>
    <cellStyle name="s_Valuation _DB Dados do Mercado_Açúcar Físico não embarcado - Nov08 - Conferido_DB Entrada_1_DB Entrada_1_DB Posição" xfId="10883"/>
    <cellStyle name="s_Valuation _DB Dados do Mercado_Açúcar Físico não embarcado - Nov08 - Conferido_DB Entrada_1_DB Entrada_1_DB Posição 2" xfId="10884"/>
    <cellStyle name="s_Valuation _DB Dados do Mercado_Açúcar Físico não embarcado - Nov08 - Conferido_DB Entrada_1_DB Entrada_1_DB Posição 2_15-FINANCEIRAS" xfId="10885"/>
    <cellStyle name="s_Valuation _DB Dados do Mercado_Açúcar Físico não embarcado - Nov08 - Conferido_DB Entrada_1_DB Entrada_1_DB Posição_15-FINANCEIRAS" xfId="10886"/>
    <cellStyle name="s_Valuation _DB Dados do Mercado_Açúcar Físico não embarcado - Nov08 - Conferido_DB Entrada_1_DB Entrada_1_DB Posição_15-FINANCEIRAS_1" xfId="10887"/>
    <cellStyle name="s_Valuation _DB Dados do Mercado_Açúcar Físico não embarcado - Nov08 - Conferido_DB Entrada_1_DB Entrada_1_DB Posição_3-Balanço" xfId="10888"/>
    <cellStyle name="s_Valuation _DB Dados do Mercado_Açúcar Físico não embarcado - Nov08 - Conferido_DB Entrada_1_DB Entrada_1_DB Posição_7-Estoque" xfId="10889"/>
    <cellStyle name="s_Valuation _DB Dados do Mercado_Açúcar Físico não embarcado - Nov08 - Conferido_DB Entrada_1_DB Entrada_1_Relatório de Commodities" xfId="10890"/>
    <cellStyle name="s_Valuation _DB Dados do Mercado_Açúcar Físico não embarcado - Nov08 - Conferido_DB Entrada_1_DB Entrada_1_Relatório de Commodities 2" xfId="10891"/>
    <cellStyle name="s_Valuation _DB Dados do Mercado_Açúcar Físico não embarcado - Nov08 - Conferido_DB Entrada_1_DB Entrada_1_Relatório de Commodities 2_15-FINANCEIRAS" xfId="10892"/>
    <cellStyle name="s_Valuation _DB Dados do Mercado_Açúcar Físico não embarcado - Nov08 - Conferido_DB Entrada_1_DB Entrada_1_Relatório de Commodities_15-FINANCEIRAS" xfId="10893"/>
    <cellStyle name="s_Valuation _DB Dados do Mercado_Açúcar Físico não embarcado - Nov08 - Conferido_DB Entrada_1_DB Entrada_1_Relatório de Commodities_15-FINANCEIRAS_1" xfId="10894"/>
    <cellStyle name="s_Valuation _DB Dados do Mercado_Açúcar Físico não embarcado - Nov08 - Conferido_DB Entrada_1_DB Entrada_1_Relatório de Commodities_3-Balanço" xfId="10895"/>
    <cellStyle name="s_Valuation _DB Dados do Mercado_Açúcar Físico não embarcado - Nov08 - Conferido_DB Entrada_1_DB Entrada_1_Relatório de Commodities_7-Estoque" xfId="10896"/>
    <cellStyle name="s_Valuation _DB Dados do Mercado_Açúcar Físico não embarcado - Nov08 - Conferido_DB Entrada_1_DB Entrada_1_Relatório de Commodities_Relatório Gerencial" xfId="10897"/>
    <cellStyle name="s_Valuation _DB Dados do Mercado_Açúcar Físico não embarcado - Nov08 - Conferido_DB Entrada_1_DB Entrada_1_Relatório de Commodities_Relatório Gerencial 2" xfId="10898"/>
    <cellStyle name="s_Valuation _DB Dados do Mercado_Açúcar Físico não embarcado - Nov08 - Conferido_DB Entrada_1_DB Entrada_1_Relatório de Commodities_Relatório Gerencial 2_15-FINANCEIRAS" xfId="10899"/>
    <cellStyle name="s_Valuation _DB Dados do Mercado_Açúcar Físico não embarcado - Nov08 - Conferido_DB Entrada_1_DB Entrada_1_Relatório de Commodities_Relatório Gerencial_15-FINANCEIRAS" xfId="10900"/>
    <cellStyle name="s_Valuation _DB Dados do Mercado_Açúcar Físico não embarcado - Nov08 - Conferido_DB Entrada_1_DB Entrada_1_Relatório de Commodities_Relatório Gerencial_15-FINANCEIRAS_1" xfId="10901"/>
    <cellStyle name="s_Valuation _DB Dados do Mercado_Açúcar Físico não embarcado - Nov08 - Conferido_DB Entrada_1_DB Entrada_1_Relatório de Commodities_Relatório Gerencial_3-Balanço" xfId="10902"/>
    <cellStyle name="s_Valuation _DB Dados do Mercado_Açúcar Físico não embarcado - Nov08 - Conferido_DB Entrada_1_DB Entrada_1_Relatório de Commodities_Relatório Gerencial_7-Estoque" xfId="10903"/>
    <cellStyle name="s_Valuation _DB Dados do Mercado_Açúcar Físico não embarcado - Nov08 - Conferido_DB Entrada_1_DB Entrada_1_Relatório de Commodities_Relatório Gerencial_DB Entrada" xfId="10904"/>
    <cellStyle name="s_Valuation _DB Dados do Mercado_Açúcar Físico não embarcado - Nov08 - Conferido_DB Entrada_1_DB Entrada_1_Relatório de Commodities_Relatório Gerencial_DB Entrada 2" xfId="10905"/>
    <cellStyle name="s_Valuation _DB Dados do Mercado_Açúcar Físico não embarcado - Nov08 - Conferido_DB Entrada_1_DB Entrada_1_Relatório de Commodities_Relatório Gerencial_DB Entrada 2_15-FINANCEIRAS" xfId="10906"/>
    <cellStyle name="s_Valuation _DB Dados do Mercado_Açúcar Físico não embarcado - Nov08 - Conferido_DB Entrada_1_DB Entrada_1_Relatório de Commodities_Relatório Gerencial_DB Entrada_15-FINANCEIRAS" xfId="10907"/>
    <cellStyle name="s_Valuation _DB Dados do Mercado_Açúcar Físico não embarcado - Nov08 - Conferido_DB Entrada_1_DB Entrada_1_Relatório de Commodities_Relatório Gerencial_DB Entrada_15-FINANCEIRAS_1" xfId="10908"/>
    <cellStyle name="s_Valuation _DB Dados do Mercado_Açúcar Físico não embarcado - Nov08 - Conferido_DB Entrada_1_DB Entrada_1_Relatório de Commodities_Relatório Gerencial_DB Entrada_3-Balanço" xfId="10909"/>
    <cellStyle name="s_Valuation _DB Dados do Mercado_Açúcar Físico não embarcado - Nov08 - Conferido_DB Entrada_1_DB Entrada_1_Relatório de Commodities_Relatório Gerencial_DB Entrada_7-Estoque" xfId="10910"/>
    <cellStyle name="s_Valuation _DB Dados do Mercado_Açúcar Físico não embarcado - Nov08 - Conferido_DB Entrada_1_DB Entrada_1_Relatório Fechamento" xfId="10911"/>
    <cellStyle name="s_Valuation _DB Dados do Mercado_Açúcar Físico não embarcado - Nov08 - Conferido_DB Entrada_1_DB Entrada_1_Relatório Fechamento 2" xfId="10912"/>
    <cellStyle name="s_Valuation _DB Dados do Mercado_Açúcar Físico não embarcado - Nov08 - Conferido_DB Entrada_1_DB Entrada_1_Relatório Fechamento 2_15-FINANCEIRAS" xfId="10913"/>
    <cellStyle name="s_Valuation _DB Dados do Mercado_Açúcar Físico não embarcado - Nov08 - Conferido_DB Entrada_1_DB Entrada_1_Relatório Fechamento_15-FINANCEIRAS" xfId="10914"/>
    <cellStyle name="s_Valuation _DB Dados do Mercado_Açúcar Físico não embarcado - Nov08 - Conferido_DB Entrada_1_DB Entrada_1_Relatório Fechamento_15-FINANCEIRAS_1" xfId="10915"/>
    <cellStyle name="s_Valuation _DB Dados do Mercado_Açúcar Físico não embarcado - Nov08 - Conferido_DB Entrada_1_DB Entrada_1_Relatório Fechamento_3-Balanço" xfId="10916"/>
    <cellStyle name="s_Valuation _DB Dados do Mercado_Açúcar Físico não embarcado - Nov08 - Conferido_DB Entrada_1_DB Entrada_1_Relatório Fechamento_7-Estoque" xfId="10917"/>
    <cellStyle name="s_Valuation _DB Dados do Mercado_Açúcar Físico não embarcado - Nov08 - Conferido_DB Entrada_1_DB Entrada_1_Relatório Gerencial" xfId="10918"/>
    <cellStyle name="s_Valuation _DB Dados do Mercado_Açúcar Físico não embarcado - Nov08 - Conferido_DB Entrada_1_DB Entrada_1_Relatório Gerencial 2" xfId="10919"/>
    <cellStyle name="s_Valuation _DB Dados do Mercado_Açúcar Físico não embarcado - Nov08 - Conferido_DB Entrada_1_DB Entrada_1_Relatório Gerencial 2_15-FINANCEIRAS" xfId="10920"/>
    <cellStyle name="s_Valuation _DB Dados do Mercado_Açúcar Físico não embarcado - Nov08 - Conferido_DB Entrada_1_DB Entrada_1_Relatório Gerencial_1" xfId="10921"/>
    <cellStyle name="s_Valuation _DB Dados do Mercado_Açúcar Físico não embarcado - Nov08 - Conferido_DB Entrada_1_DB Entrada_1_Relatório Gerencial_1 2" xfId="10922"/>
    <cellStyle name="s_Valuation _DB Dados do Mercado_Açúcar Físico não embarcado - Nov08 - Conferido_DB Entrada_1_DB Entrada_1_Relatório Gerencial_1 2_15-FINANCEIRAS" xfId="10923"/>
    <cellStyle name="s_Valuation _DB Dados do Mercado_Açúcar Físico não embarcado - Nov08 - Conferido_DB Entrada_1_DB Entrada_1_Relatório Gerencial_1_15-FINANCEIRAS" xfId="10924"/>
    <cellStyle name="s_Valuation _DB Dados do Mercado_Açúcar Físico não embarcado - Nov08 - Conferido_DB Entrada_1_DB Entrada_1_Relatório Gerencial_1_15-FINANCEIRAS_1" xfId="10925"/>
    <cellStyle name="s_Valuation _DB Dados do Mercado_Açúcar Físico não embarcado - Nov08 - Conferido_DB Entrada_1_DB Entrada_1_Relatório Gerencial_1_3-Balanço" xfId="10926"/>
    <cellStyle name="s_Valuation _DB Dados do Mercado_Açúcar Físico não embarcado - Nov08 - Conferido_DB Entrada_1_DB Entrada_1_Relatório Gerencial_1_7-Estoque" xfId="10927"/>
    <cellStyle name="s_Valuation _DB Dados do Mercado_Açúcar Físico não embarcado - Nov08 - Conferido_DB Entrada_1_DB Entrada_1_Relatório Gerencial_1_DB Entrada" xfId="10928"/>
    <cellStyle name="s_Valuation _DB Dados do Mercado_Açúcar Físico não embarcado - Nov08 - Conferido_DB Entrada_1_DB Entrada_1_Relatório Gerencial_1_DB Entrada 2" xfId="10929"/>
    <cellStyle name="s_Valuation _DB Dados do Mercado_Açúcar Físico não embarcado - Nov08 - Conferido_DB Entrada_1_DB Entrada_1_Relatório Gerencial_1_DB Entrada 2_15-FINANCEIRAS" xfId="10930"/>
    <cellStyle name="s_Valuation _DB Dados do Mercado_Açúcar Físico não embarcado - Nov08 - Conferido_DB Entrada_1_DB Entrada_1_Relatório Gerencial_1_DB Entrada_15-FINANCEIRAS" xfId="10931"/>
    <cellStyle name="s_Valuation _DB Dados do Mercado_Açúcar Físico não embarcado - Nov08 - Conferido_DB Entrada_1_DB Entrada_1_Relatório Gerencial_1_DB Entrada_15-FINANCEIRAS_1" xfId="10932"/>
    <cellStyle name="s_Valuation _DB Dados do Mercado_Açúcar Físico não embarcado - Nov08 - Conferido_DB Entrada_1_DB Entrada_1_Relatório Gerencial_1_DB Entrada_3-Balanço" xfId="10933"/>
    <cellStyle name="s_Valuation _DB Dados do Mercado_Açúcar Físico não embarcado - Nov08 - Conferido_DB Entrada_1_DB Entrada_1_Relatório Gerencial_1_DB Entrada_7-Estoque" xfId="10934"/>
    <cellStyle name="s_Valuation _DB Dados do Mercado_Açúcar Físico não embarcado - Nov08 - Conferido_DB Entrada_1_DB Entrada_1_Relatório Gerencial_15-FINANCEIRAS" xfId="10935"/>
    <cellStyle name="s_Valuation _DB Dados do Mercado_Açúcar Físico não embarcado - Nov08 - Conferido_DB Entrada_1_DB Entrada_1_Relatório Gerencial_15-FINANCEIRAS_1" xfId="10936"/>
    <cellStyle name="s_Valuation _DB Dados do Mercado_Açúcar Físico não embarcado - Nov08 - Conferido_DB Entrada_1_DB Entrada_1_Relatório Gerencial_3-Balanço" xfId="10937"/>
    <cellStyle name="s_Valuation _DB Dados do Mercado_Açúcar Físico não embarcado - Nov08 - Conferido_DB Entrada_1_DB Entrada_1_Relatório Gerencial_7-Estoque" xfId="10938"/>
    <cellStyle name="s_Valuation _DB Dados do Mercado_Açúcar Físico não embarcado - Nov08 - Conferido_DB Entrada_1_DB Entrada_1_Relatório Gerencial_Relatório Gerencial" xfId="10939"/>
    <cellStyle name="s_Valuation _DB Dados do Mercado_Açúcar Físico não embarcado - Nov08 - Conferido_DB Entrada_1_DB Entrada_1_Relatório Gerencial_Relatório Gerencial 2" xfId="10940"/>
    <cellStyle name="s_Valuation _DB Dados do Mercado_Açúcar Físico não embarcado - Nov08 - Conferido_DB Entrada_1_DB Entrada_1_Relatório Gerencial_Relatório Gerencial 2_15-FINANCEIRAS" xfId="10941"/>
    <cellStyle name="s_Valuation _DB Dados do Mercado_Açúcar Físico não embarcado - Nov08 - Conferido_DB Entrada_1_DB Entrada_1_Relatório Gerencial_Relatório Gerencial_15-FINANCEIRAS" xfId="10942"/>
    <cellStyle name="s_Valuation _DB Dados do Mercado_Açúcar Físico não embarcado - Nov08 - Conferido_DB Entrada_1_DB Entrada_1_Relatório Gerencial_Relatório Gerencial_15-FINANCEIRAS_1" xfId="10943"/>
    <cellStyle name="s_Valuation _DB Dados do Mercado_Açúcar Físico não embarcado - Nov08 - Conferido_DB Entrada_1_DB Entrada_1_Relatório Gerencial_Relatório Gerencial_3-Balanço" xfId="10944"/>
    <cellStyle name="s_Valuation _DB Dados do Mercado_Açúcar Físico não embarcado - Nov08 - Conferido_DB Entrada_1_DB Entrada_1_Relatório Gerencial_Relatório Gerencial_7-Estoque" xfId="10945"/>
    <cellStyle name="s_Valuation _DB Dados do Mercado_Açúcar Físico não embarcado - Nov08 - Conferido_DB Entrada_1_DB Entrada_1_Relatório Gerencial_Relatório Gerencial_DB Entrada" xfId="10946"/>
    <cellStyle name="s_Valuation _DB Dados do Mercado_Açúcar Físico não embarcado - Nov08 - Conferido_DB Entrada_1_DB Entrada_1_Relatório Gerencial_Relatório Gerencial_DB Entrada 2" xfId="10947"/>
    <cellStyle name="s_Valuation _DB Dados do Mercado_Açúcar Físico não embarcado - Nov08 - Conferido_DB Entrada_1_DB Entrada_1_Relatório Gerencial_Relatório Gerencial_DB Entrada 2_15-FINANCEIRAS" xfId="10948"/>
    <cellStyle name="s_Valuation _DB Dados do Mercado_Açúcar Físico não embarcado - Nov08 - Conferido_DB Entrada_1_DB Entrada_1_Relatório Gerencial_Relatório Gerencial_DB Entrada_15-FINANCEIRAS" xfId="10949"/>
    <cellStyle name="s_Valuation _DB Dados do Mercado_Açúcar Físico não embarcado - Nov08 - Conferido_DB Entrada_1_DB Entrada_1_Relatório Gerencial_Relatório Gerencial_DB Entrada_15-FINANCEIRAS_1" xfId="10950"/>
    <cellStyle name="s_Valuation _DB Dados do Mercado_Açúcar Físico não embarcado - Nov08 - Conferido_DB Entrada_1_DB Entrada_1_Relatório Gerencial_Relatório Gerencial_DB Entrada_3-Balanço" xfId="10951"/>
    <cellStyle name="s_Valuation _DB Dados do Mercado_Açúcar Físico não embarcado - Nov08 - Conferido_DB Entrada_1_DB Entrada_1_Relatório Gerencial_Relatório Gerencial_DB Entrada_7-Estoque" xfId="10952"/>
    <cellStyle name="s_Valuation _DB Dados do Mercado_Açúcar Físico não embarcado - Nov08 - Conferido_DB Entrada_1_DB Entrada_1_Sistema Cosan backup 103 Retirada de relatorios" xfId="10953"/>
    <cellStyle name="s_Valuation _DB Dados do Mercado_Açúcar Físico não embarcado - Nov08 - Conferido_DB Entrada_1_DB Entrada_1_Sistema Cosan backup 103 Retirada de relatorios 2" xfId="10954"/>
    <cellStyle name="s_Valuation _DB Dados do Mercado_Açúcar Físico não embarcado - Nov08 - Conferido_DB Entrada_1_DB Entrada_1_Sistema Cosan backup 103 Retirada de relatorios 2_15-FINANCEIRAS" xfId="10955"/>
    <cellStyle name="s_Valuation _DB Dados do Mercado_Açúcar Físico não embarcado - Nov08 - Conferido_DB Entrada_1_DB Entrada_1_Sistema Cosan backup 103 Retirada de relatorios_15-FINANCEIRAS" xfId="10956"/>
    <cellStyle name="s_Valuation _DB Dados do Mercado_Açúcar Físico não embarcado - Nov08 - Conferido_DB Entrada_1_DB Entrada_1_Sistema Cosan backup 103 Retirada de relatorios_15-FINANCEIRAS_1" xfId="10957"/>
    <cellStyle name="s_Valuation _DB Dados do Mercado_Açúcar Físico não embarcado - Nov08 - Conferido_DB Entrada_1_DB Entrada_1_Sistema Cosan backup 103 Retirada de relatorios_3-Balanço" xfId="10958"/>
    <cellStyle name="s_Valuation _DB Dados do Mercado_Açúcar Físico não embarcado - Nov08 - Conferido_DB Entrada_1_DB Entrada_1_Sistema Cosan backup 103 Retirada de relatorios_7-Estoque" xfId="10959"/>
    <cellStyle name="s_Valuation _DB Dados do Mercado_Açúcar Físico não embarcado - Nov08 - Conferido_DB Entrada_1_DB Entrada_15-FINANCEIRAS" xfId="10960"/>
    <cellStyle name="s_Valuation _DB Dados do Mercado_Açúcar Físico não embarcado - Nov08 - Conferido_DB Entrada_1_DB Entrada_15-FINANCEIRAS_1" xfId="10961"/>
    <cellStyle name="s_Valuation _DB Dados do Mercado_Açúcar Físico não embarcado - Nov08 - Conferido_DB Entrada_1_DB Entrada_3-Balanço" xfId="10962"/>
    <cellStyle name="s_Valuation _DB Dados do Mercado_Açúcar Físico não embarcado - Nov08 - Conferido_DB Entrada_1_DB Entrada_7-Estoque" xfId="10963"/>
    <cellStyle name="s_Valuation _DB Dados do Mercado_Açúcar Físico não embarcado - Nov08 - Conferido_DB Entrada_1_DB Entrada_Relatório Gerencial" xfId="10964"/>
    <cellStyle name="s_Valuation _DB Dados do Mercado_Açúcar Físico não embarcado - Nov08 - Conferido_DB Entrada_1_DB Entrada_Relatório Gerencial 2" xfId="10965"/>
    <cellStyle name="s_Valuation _DB Dados do Mercado_Açúcar Físico não embarcado - Nov08 - Conferido_DB Entrada_1_DB Entrada_Relatório Gerencial 2_15-FINANCEIRAS" xfId="10966"/>
    <cellStyle name="s_Valuation _DB Dados do Mercado_Açúcar Físico não embarcado - Nov08 - Conferido_DB Entrada_1_DB Entrada_Relatório Gerencial_15-FINANCEIRAS" xfId="10967"/>
    <cellStyle name="s_Valuation _DB Dados do Mercado_Açúcar Físico não embarcado - Nov08 - Conferido_DB Entrada_1_DB Entrada_Relatório Gerencial_15-FINANCEIRAS_1" xfId="10968"/>
    <cellStyle name="s_Valuation _DB Dados do Mercado_Açúcar Físico não embarcado - Nov08 - Conferido_DB Entrada_1_DB Entrada_Relatório Gerencial_3-Balanço" xfId="10969"/>
    <cellStyle name="s_Valuation _DB Dados do Mercado_Açúcar Físico não embarcado - Nov08 - Conferido_DB Entrada_1_DB Entrada_Relatório Gerencial_7-Estoque" xfId="10970"/>
    <cellStyle name="s_Valuation _DB Dados do Mercado_Açúcar Físico não embarcado - Nov08 - Conferido_DB Entrada_1_DB Entrada_Relatório Gerencial_DB Entrada" xfId="10971"/>
    <cellStyle name="s_Valuation _DB Dados do Mercado_Açúcar Físico não embarcado - Nov08 - Conferido_DB Entrada_1_DB Entrada_Relatório Gerencial_DB Entrada 2" xfId="10972"/>
    <cellStyle name="s_Valuation _DB Dados do Mercado_Açúcar Físico não embarcado - Nov08 - Conferido_DB Entrada_1_DB Entrada_Relatório Gerencial_DB Entrada 2_15-FINANCEIRAS" xfId="10973"/>
    <cellStyle name="s_Valuation _DB Dados do Mercado_Açúcar Físico não embarcado - Nov08 - Conferido_DB Entrada_1_DB Entrada_Relatório Gerencial_DB Entrada_15-FINANCEIRAS" xfId="10974"/>
    <cellStyle name="s_Valuation _DB Dados do Mercado_Açúcar Físico não embarcado - Nov08 - Conferido_DB Entrada_1_DB Entrada_Relatório Gerencial_DB Entrada_15-FINANCEIRAS_1" xfId="10975"/>
    <cellStyle name="s_Valuation _DB Dados do Mercado_Açúcar Físico não embarcado - Nov08 - Conferido_DB Entrada_1_DB Entrada_Relatório Gerencial_DB Entrada_3-Balanço" xfId="10976"/>
    <cellStyle name="s_Valuation _DB Dados do Mercado_Açúcar Físico não embarcado - Nov08 - Conferido_DB Entrada_1_DB Entrada_Relatório Gerencial_DB Entrada_7-Estoque" xfId="10977"/>
    <cellStyle name="s_Valuation _DB Dados do Mercado_Açúcar Físico não embarcado - Nov08 - Conferido_DB Entrada_1_DB Exposição" xfId="10978"/>
    <cellStyle name="s_Valuation _DB Dados do Mercado_Açúcar Físico não embarcado - Nov08 - Conferido_DB Entrada_1_DB Exposição 2" xfId="10979"/>
    <cellStyle name="s_Valuation _DB Dados do Mercado_Açúcar Físico não embarcado - Nov08 - Conferido_DB Entrada_1_DB Exposição 2_15-FINANCEIRAS" xfId="10980"/>
    <cellStyle name="s_Valuation _DB Dados do Mercado_Açúcar Físico não embarcado - Nov08 - Conferido_DB Entrada_1_DB Exposição_15-FINANCEIRAS" xfId="10981"/>
    <cellStyle name="s_Valuation _DB Dados do Mercado_Açúcar Físico não embarcado - Nov08 - Conferido_DB Entrada_1_DB Exposição_15-FINANCEIRAS_1" xfId="10982"/>
    <cellStyle name="s_Valuation _DB Dados do Mercado_Açúcar Físico não embarcado - Nov08 - Conferido_DB Entrada_1_DB Exposição_3-Balanço" xfId="10983"/>
    <cellStyle name="s_Valuation _DB Dados do Mercado_Açúcar Físico não embarcado - Nov08 - Conferido_DB Entrada_1_DB Exposição_7-Estoque" xfId="10984"/>
    <cellStyle name="s_Valuation _DB Dados do Mercado_Açúcar Físico não embarcado - Nov08 - Conferido_DB Entrada_1_DB Exposição_Relatório Gerencial" xfId="10985"/>
    <cellStyle name="s_Valuation _DB Dados do Mercado_Açúcar Físico não embarcado - Nov08 - Conferido_DB Entrada_1_DB Exposição_Relatório Gerencial 2" xfId="10986"/>
    <cellStyle name="s_Valuation _DB Dados do Mercado_Açúcar Físico não embarcado - Nov08 - Conferido_DB Entrada_1_DB Exposição_Relatório Gerencial 2_15-FINANCEIRAS" xfId="10987"/>
    <cellStyle name="s_Valuation _DB Dados do Mercado_Açúcar Físico não embarcado - Nov08 - Conferido_DB Entrada_1_DB Exposição_Relatório Gerencial_15-FINANCEIRAS" xfId="10988"/>
    <cellStyle name="s_Valuation _DB Dados do Mercado_Açúcar Físico não embarcado - Nov08 - Conferido_DB Entrada_1_DB Exposição_Relatório Gerencial_15-FINANCEIRAS_1" xfId="10989"/>
    <cellStyle name="s_Valuation _DB Dados do Mercado_Açúcar Físico não embarcado - Nov08 - Conferido_DB Entrada_1_DB Exposição_Relatório Gerencial_3-Balanço" xfId="10990"/>
    <cellStyle name="s_Valuation _DB Dados do Mercado_Açúcar Físico não embarcado - Nov08 - Conferido_DB Entrada_1_DB Exposição_Relatório Gerencial_7-Estoque" xfId="10991"/>
    <cellStyle name="s_Valuation _DB Dados do Mercado_Açúcar Físico não embarcado - Nov08 - Conferido_DB Entrada_1_DB Exposição_Relatório Gerencial_DB Entrada" xfId="10992"/>
    <cellStyle name="s_Valuation _DB Dados do Mercado_Açúcar Físico não embarcado - Nov08 - Conferido_DB Entrada_1_DB Exposição_Relatório Gerencial_DB Entrada 2" xfId="10993"/>
    <cellStyle name="s_Valuation _DB Dados do Mercado_Açúcar Físico não embarcado - Nov08 - Conferido_DB Entrada_1_DB Exposição_Relatório Gerencial_DB Entrada 2_15-FINANCEIRAS" xfId="10994"/>
    <cellStyle name="s_Valuation _DB Dados do Mercado_Açúcar Físico não embarcado - Nov08 - Conferido_DB Entrada_1_DB Exposição_Relatório Gerencial_DB Entrada_15-FINANCEIRAS" xfId="10995"/>
    <cellStyle name="s_Valuation _DB Dados do Mercado_Açúcar Físico não embarcado - Nov08 - Conferido_DB Entrada_1_DB Exposição_Relatório Gerencial_DB Entrada_15-FINANCEIRAS_1" xfId="10996"/>
    <cellStyle name="s_Valuation _DB Dados do Mercado_Açúcar Físico não embarcado - Nov08 - Conferido_DB Entrada_1_DB Exposição_Relatório Gerencial_DB Entrada_3-Balanço" xfId="10997"/>
    <cellStyle name="s_Valuation _DB Dados do Mercado_Açúcar Físico não embarcado - Nov08 - Conferido_DB Entrada_1_DB Exposição_Relatório Gerencial_DB Entrada_7-Estoque" xfId="10998"/>
    <cellStyle name="s_Valuation _DB Dados do Mercado_Açúcar Físico não embarcado - Nov08 - Conferido_DB Entrada_1_DB Posição" xfId="10999"/>
    <cellStyle name="s_Valuation _DB Dados do Mercado_Açúcar Físico não embarcado - Nov08 - Conferido_DB Entrada_1_DB Posição 2" xfId="11000"/>
    <cellStyle name="s_Valuation _DB Dados do Mercado_Açúcar Físico não embarcado - Nov08 - Conferido_DB Entrada_1_DB Posição 2_15-FINANCEIRAS" xfId="11001"/>
    <cellStyle name="s_Valuation _DB Dados do Mercado_Açúcar Físico não embarcado - Nov08 - Conferido_DB Entrada_1_DB Posição_15-FINANCEIRAS" xfId="11002"/>
    <cellStyle name="s_Valuation _DB Dados do Mercado_Açúcar Físico não embarcado - Nov08 - Conferido_DB Entrada_1_DB Posição_15-FINANCEIRAS_1" xfId="11003"/>
    <cellStyle name="s_Valuation _DB Dados do Mercado_Açúcar Físico não embarcado - Nov08 - Conferido_DB Entrada_1_DB Posição_3-Balanço" xfId="11004"/>
    <cellStyle name="s_Valuation _DB Dados do Mercado_Açúcar Físico não embarcado - Nov08 - Conferido_DB Entrada_1_DB Posição_7-Estoque" xfId="11005"/>
    <cellStyle name="s_Valuation _DB Dados do Mercado_Açúcar Físico não embarcado - Nov08 - Conferido_DB Entrada_1_Dólar" xfId="11006"/>
    <cellStyle name="s_Valuation _DB Dados do Mercado_Açúcar Físico não embarcado - Nov08 - Conferido_DB Entrada_1_Dólar + NDF" xfId="11007"/>
    <cellStyle name="s_Valuation _DB Dados do Mercado_Açúcar Físico não embarcado - Nov08 - Conferido_DB Entrada_1_Dólar + NDF 2" xfId="11008"/>
    <cellStyle name="s_Valuation _DB Dados do Mercado_Açúcar Físico não embarcado - Nov08 - Conferido_DB Entrada_1_Dólar + NDF 2_15-FINANCEIRAS" xfId="11009"/>
    <cellStyle name="s_Valuation _DB Dados do Mercado_Açúcar Físico não embarcado - Nov08 - Conferido_DB Entrada_1_Dólar + NDF_15-FINANCEIRAS" xfId="11010"/>
    <cellStyle name="s_Valuation _DB Dados do Mercado_Açúcar Físico não embarcado - Nov08 - Conferido_DB Entrada_1_Dólar + NDF_15-FINANCEIRAS_1" xfId="11011"/>
    <cellStyle name="s_Valuation _DB Dados do Mercado_Açúcar Físico não embarcado - Nov08 - Conferido_DB Entrada_1_Dólar + NDF_3-Balanço" xfId="11012"/>
    <cellStyle name="s_Valuation _DB Dados do Mercado_Açúcar Físico não embarcado - Nov08 - Conferido_DB Entrada_1_Dólar + NDF_7-Estoque" xfId="11013"/>
    <cellStyle name="s_Valuation _DB Dados do Mercado_Açúcar Físico não embarcado - Nov08 - Conferido_DB Entrada_1_Dólar + NDF_Relatório Gerencial" xfId="11014"/>
    <cellStyle name="s_Valuation _DB Dados do Mercado_Açúcar Físico não embarcado - Nov08 - Conferido_DB Entrada_1_Dólar + NDF_Relatório Gerencial 2" xfId="11015"/>
    <cellStyle name="s_Valuation _DB Dados do Mercado_Açúcar Físico não embarcado - Nov08 - Conferido_DB Entrada_1_Dólar + NDF_Relatório Gerencial 2_15-FINANCEIRAS" xfId="11016"/>
    <cellStyle name="s_Valuation _DB Dados do Mercado_Açúcar Físico não embarcado - Nov08 - Conferido_DB Entrada_1_Dólar + NDF_Relatório Gerencial_15-FINANCEIRAS" xfId="11017"/>
    <cellStyle name="s_Valuation _DB Dados do Mercado_Açúcar Físico não embarcado - Nov08 - Conferido_DB Entrada_1_Dólar + NDF_Relatório Gerencial_15-FINANCEIRAS_1" xfId="11018"/>
    <cellStyle name="s_Valuation _DB Dados do Mercado_Açúcar Físico não embarcado - Nov08 - Conferido_DB Entrada_1_Dólar + NDF_Relatório Gerencial_3-Balanço" xfId="11019"/>
    <cellStyle name="s_Valuation _DB Dados do Mercado_Açúcar Físico não embarcado - Nov08 - Conferido_DB Entrada_1_Dólar + NDF_Relatório Gerencial_7-Estoque" xfId="11020"/>
    <cellStyle name="s_Valuation _DB Dados do Mercado_Açúcar Físico não embarcado - Nov08 - Conferido_DB Entrada_1_Dólar + NDF_Relatório Gerencial_DB Entrada" xfId="11021"/>
    <cellStyle name="s_Valuation _DB Dados do Mercado_Açúcar Físico não embarcado - Nov08 - Conferido_DB Entrada_1_Dólar + NDF_Relatório Gerencial_DB Entrada 2" xfId="11022"/>
    <cellStyle name="s_Valuation _DB Dados do Mercado_Açúcar Físico não embarcado - Nov08 - Conferido_DB Entrada_1_Dólar + NDF_Relatório Gerencial_DB Entrada 2_15-FINANCEIRAS" xfId="11023"/>
    <cellStyle name="s_Valuation _DB Dados do Mercado_Açúcar Físico não embarcado - Nov08 - Conferido_DB Entrada_1_Dólar + NDF_Relatório Gerencial_DB Entrada_15-FINANCEIRAS" xfId="11024"/>
    <cellStyle name="s_Valuation _DB Dados do Mercado_Açúcar Físico não embarcado - Nov08 - Conferido_DB Entrada_1_Dólar + NDF_Relatório Gerencial_DB Entrada_15-FINANCEIRAS_1" xfId="11025"/>
    <cellStyle name="s_Valuation _DB Dados do Mercado_Açúcar Físico não embarcado - Nov08 - Conferido_DB Entrada_1_Dólar + NDF_Relatório Gerencial_DB Entrada_3-Balanço" xfId="11026"/>
    <cellStyle name="s_Valuation _DB Dados do Mercado_Açúcar Físico não embarcado - Nov08 - Conferido_DB Entrada_1_Dólar + NDF_Relatório Gerencial_DB Entrada_7-Estoque" xfId="11027"/>
    <cellStyle name="s_Valuation _DB Dados do Mercado_Açúcar Físico não embarcado - Nov08 - Conferido_DB Entrada_1_Dólar 2" xfId="11028"/>
    <cellStyle name="s_Valuation _DB Dados do Mercado_Açúcar Físico não embarcado - Nov08 - Conferido_DB Entrada_1_Dólar 2_15-FINANCEIRAS" xfId="11029"/>
    <cellStyle name="s_Valuation _DB Dados do Mercado_Açúcar Físico não embarcado - Nov08 - Conferido_DB Entrada_1_Dólar 3" xfId="11030"/>
    <cellStyle name="s_Valuation _DB Dados do Mercado_Açúcar Físico não embarcado - Nov08 - Conferido_DB Entrada_1_Dólar 3_15-FINANCEIRAS" xfId="11031"/>
    <cellStyle name="s_Valuation _DB Dados do Mercado_Açúcar Físico não embarcado - Nov08 - Conferido_DB Entrada_1_Dólar 4" xfId="11032"/>
    <cellStyle name="s_Valuation _DB Dados do Mercado_Açúcar Físico não embarcado - Nov08 - Conferido_DB Entrada_1_Dólar 4_15-FINANCEIRAS" xfId="11033"/>
    <cellStyle name="s_Valuation _DB Dados do Mercado_Açúcar Físico não embarcado - Nov08 - Conferido_DB Entrada_1_Dólar Offshore" xfId="11034"/>
    <cellStyle name="s_Valuation _DB Dados do Mercado_Açúcar Físico não embarcado - Nov08 - Conferido_DB Entrada_1_Dólar Offshore 2" xfId="11035"/>
    <cellStyle name="s_Valuation _DB Dados do Mercado_Açúcar Físico não embarcado - Nov08 - Conferido_DB Entrada_1_Dólar Offshore 2_15-FINANCEIRAS" xfId="11036"/>
    <cellStyle name="s_Valuation _DB Dados do Mercado_Açúcar Físico não embarcado - Nov08 - Conferido_DB Entrada_1_Dólar Offshore_15-FINANCEIRAS" xfId="11037"/>
    <cellStyle name="s_Valuation _DB Dados do Mercado_Açúcar Físico não embarcado - Nov08 - Conferido_DB Entrada_1_Dólar Offshore_15-FINANCEIRAS_1" xfId="11038"/>
    <cellStyle name="s_Valuation _DB Dados do Mercado_Açúcar Físico não embarcado - Nov08 - Conferido_DB Entrada_1_Dólar Offshore_3-Balanço" xfId="11039"/>
    <cellStyle name="s_Valuation _DB Dados do Mercado_Açúcar Físico não embarcado - Nov08 - Conferido_DB Entrada_1_Dólar Offshore_7-Estoque" xfId="11040"/>
    <cellStyle name="s_Valuation _DB Dados do Mercado_Açúcar Físico não embarcado - Nov08 - Conferido_DB Entrada_1_Dólar Offshore_Relatório Gerencial" xfId="11041"/>
    <cellStyle name="s_Valuation _DB Dados do Mercado_Açúcar Físico não embarcado - Nov08 - Conferido_DB Entrada_1_Dólar Offshore_Relatório Gerencial 2" xfId="11042"/>
    <cellStyle name="s_Valuation _DB Dados do Mercado_Açúcar Físico não embarcado - Nov08 - Conferido_DB Entrada_1_Dólar Offshore_Relatório Gerencial 2_15-FINANCEIRAS" xfId="11043"/>
    <cellStyle name="s_Valuation _DB Dados do Mercado_Açúcar Físico não embarcado - Nov08 - Conferido_DB Entrada_1_Dólar Offshore_Relatório Gerencial_15-FINANCEIRAS" xfId="11044"/>
    <cellStyle name="s_Valuation _DB Dados do Mercado_Açúcar Físico não embarcado - Nov08 - Conferido_DB Entrada_1_Dólar Offshore_Relatório Gerencial_15-FINANCEIRAS_1" xfId="11045"/>
    <cellStyle name="s_Valuation _DB Dados do Mercado_Açúcar Físico não embarcado - Nov08 - Conferido_DB Entrada_1_Dólar Offshore_Relatório Gerencial_3-Balanço" xfId="11046"/>
    <cellStyle name="s_Valuation _DB Dados do Mercado_Açúcar Físico não embarcado - Nov08 - Conferido_DB Entrada_1_Dólar Offshore_Relatório Gerencial_7-Estoque" xfId="11047"/>
    <cellStyle name="s_Valuation _DB Dados do Mercado_Açúcar Físico não embarcado - Nov08 - Conferido_DB Entrada_1_Dólar Offshore_Relatório Gerencial_DB Entrada" xfId="11048"/>
    <cellStyle name="s_Valuation _DB Dados do Mercado_Açúcar Físico não embarcado - Nov08 - Conferido_DB Entrada_1_Dólar Offshore_Relatório Gerencial_DB Entrada 2" xfId="11049"/>
    <cellStyle name="s_Valuation _DB Dados do Mercado_Açúcar Físico não embarcado - Nov08 - Conferido_DB Entrada_1_Dólar Offshore_Relatório Gerencial_DB Entrada 2_15-FINANCEIRAS" xfId="11050"/>
    <cellStyle name="s_Valuation _DB Dados do Mercado_Açúcar Físico não embarcado - Nov08 - Conferido_DB Entrada_1_Dólar Offshore_Relatório Gerencial_DB Entrada_15-FINANCEIRAS" xfId="11051"/>
    <cellStyle name="s_Valuation _DB Dados do Mercado_Açúcar Físico não embarcado - Nov08 - Conferido_DB Entrada_1_Dólar Offshore_Relatório Gerencial_DB Entrada_15-FINANCEIRAS_1" xfId="11052"/>
    <cellStyle name="s_Valuation _DB Dados do Mercado_Açúcar Físico não embarcado - Nov08 - Conferido_DB Entrada_1_Dólar Offshore_Relatório Gerencial_DB Entrada_3-Balanço" xfId="11053"/>
    <cellStyle name="s_Valuation _DB Dados do Mercado_Açúcar Físico não embarcado - Nov08 - Conferido_DB Entrada_1_Dólar Offshore_Relatório Gerencial_DB Entrada_7-Estoque" xfId="11054"/>
    <cellStyle name="s_Valuation _DB Dados do Mercado_Açúcar Físico não embarcado - Nov08 - Conferido_DB Entrada_1_Dólar_15-FINANCEIRAS" xfId="11055"/>
    <cellStyle name="s_Valuation _DB Dados do Mercado_Açúcar Físico não embarcado - Nov08 - Conferido_DB Entrada_1_Dólar_15-FINANCEIRAS_1" xfId="11056"/>
    <cellStyle name="s_Valuation _DB Dados do Mercado_Açúcar Físico não embarcado - Nov08 - Conferido_DB Entrada_1_Dólar_3-Balanço" xfId="11057"/>
    <cellStyle name="s_Valuation _DB Dados do Mercado_Açúcar Físico não embarcado - Nov08 - Conferido_DB Entrada_1_Dólar_7-Estoque" xfId="11058"/>
    <cellStyle name="s_Valuation _DB Dados do Mercado_Açúcar Físico não embarcado - Nov08 - Conferido_DB Entrada_1_Dólar_Relatório Gerencial" xfId="11059"/>
    <cellStyle name="s_Valuation _DB Dados do Mercado_Açúcar Físico não embarcado - Nov08 - Conferido_DB Entrada_1_Dólar_Relatório Gerencial 2" xfId="11060"/>
    <cellStyle name="s_Valuation _DB Dados do Mercado_Açúcar Físico não embarcado - Nov08 - Conferido_DB Entrada_1_Dólar_Relatório Gerencial 2_15-FINANCEIRAS" xfId="11061"/>
    <cellStyle name="s_Valuation _DB Dados do Mercado_Açúcar Físico não embarcado - Nov08 - Conferido_DB Entrada_1_Dólar_Relatório Gerencial_15-FINANCEIRAS" xfId="11062"/>
    <cellStyle name="s_Valuation _DB Dados do Mercado_Açúcar Físico não embarcado - Nov08 - Conferido_DB Entrada_1_Dólar_Relatório Gerencial_15-FINANCEIRAS_1" xfId="11063"/>
    <cellStyle name="s_Valuation _DB Dados do Mercado_Açúcar Físico não embarcado - Nov08 - Conferido_DB Entrada_1_Dólar_Relatório Gerencial_3-Balanço" xfId="11064"/>
    <cellStyle name="s_Valuation _DB Dados do Mercado_Açúcar Físico não embarcado - Nov08 - Conferido_DB Entrada_1_Dólar_Relatório Gerencial_7-Estoque" xfId="11065"/>
    <cellStyle name="s_Valuation _DB Dados do Mercado_Açúcar Físico não embarcado - Nov08 - Conferido_DB Entrada_1_Dólar_Relatório Gerencial_DB Entrada" xfId="11066"/>
    <cellStyle name="s_Valuation _DB Dados do Mercado_Açúcar Físico não embarcado - Nov08 - Conferido_DB Entrada_1_Dólar_Relatório Gerencial_DB Entrada 2" xfId="11067"/>
    <cellStyle name="s_Valuation _DB Dados do Mercado_Açúcar Físico não embarcado - Nov08 - Conferido_DB Entrada_1_Dólar_Relatório Gerencial_DB Entrada 2_15-FINANCEIRAS" xfId="11068"/>
    <cellStyle name="s_Valuation _DB Dados do Mercado_Açúcar Físico não embarcado - Nov08 - Conferido_DB Entrada_1_Dólar_Relatório Gerencial_DB Entrada_15-FINANCEIRAS" xfId="11069"/>
    <cellStyle name="s_Valuation _DB Dados do Mercado_Açúcar Físico não embarcado - Nov08 - Conferido_DB Entrada_1_Dólar_Relatório Gerencial_DB Entrada_15-FINANCEIRAS_1" xfId="11070"/>
    <cellStyle name="s_Valuation _DB Dados do Mercado_Açúcar Físico não embarcado - Nov08 - Conferido_DB Entrada_1_Dólar_Relatório Gerencial_DB Entrada_3-Balanço" xfId="11071"/>
    <cellStyle name="s_Valuation _DB Dados do Mercado_Açúcar Físico não embarcado - Nov08 - Conferido_DB Entrada_1_Dólar_Relatório Gerencial_DB Entrada_7-Estoque" xfId="11072"/>
    <cellStyle name="s_Valuation _DB Dados do Mercado_Açúcar Físico não embarcado - Nov08 - Conferido_DB Entrada_1_Heating Oil" xfId="11073"/>
    <cellStyle name="s_Valuation _DB Dados do Mercado_Açúcar Físico não embarcado - Nov08 - Conferido_DB Entrada_1_Heating Oil 2" xfId="11074"/>
    <cellStyle name="s_Valuation _DB Dados do Mercado_Açúcar Físico não embarcado - Nov08 - Conferido_DB Entrada_1_Heating Oil 2_15-FINANCEIRAS" xfId="11075"/>
    <cellStyle name="s_Valuation _DB Dados do Mercado_Açúcar Físico não embarcado - Nov08 - Conferido_DB Entrada_1_Heating Oil_15-FINANCEIRAS" xfId="11076"/>
    <cellStyle name="s_Valuation _DB Dados do Mercado_Açúcar Físico não embarcado - Nov08 - Conferido_DB Entrada_1_Heating Oil_15-FINANCEIRAS_1" xfId="11077"/>
    <cellStyle name="s_Valuation _DB Dados do Mercado_Açúcar Físico não embarcado - Nov08 - Conferido_DB Entrada_1_Heating Oil_3-Balanço" xfId="11078"/>
    <cellStyle name="s_Valuation _DB Dados do Mercado_Açúcar Físico não embarcado - Nov08 - Conferido_DB Entrada_1_Heating Oil_7-Estoque" xfId="11079"/>
    <cellStyle name="s_Valuation _DB Dados do Mercado_Açúcar Físico não embarcado - Nov08 - Conferido_DB Entrada_1_Heating Oil_Relatório Gerencial" xfId="11080"/>
    <cellStyle name="s_Valuation _DB Dados do Mercado_Açúcar Físico não embarcado - Nov08 - Conferido_DB Entrada_1_Heating Oil_Relatório Gerencial 2" xfId="11081"/>
    <cellStyle name="s_Valuation _DB Dados do Mercado_Açúcar Físico não embarcado - Nov08 - Conferido_DB Entrada_1_Heating Oil_Relatório Gerencial 2_15-FINANCEIRAS" xfId="11082"/>
    <cellStyle name="s_Valuation _DB Dados do Mercado_Açúcar Físico não embarcado - Nov08 - Conferido_DB Entrada_1_Heating Oil_Relatório Gerencial_15-FINANCEIRAS" xfId="11083"/>
    <cellStyle name="s_Valuation _DB Dados do Mercado_Açúcar Físico não embarcado - Nov08 - Conferido_DB Entrada_1_Heating Oil_Relatório Gerencial_15-FINANCEIRAS_1" xfId="11084"/>
    <cellStyle name="s_Valuation _DB Dados do Mercado_Açúcar Físico não embarcado - Nov08 - Conferido_DB Entrada_1_Heating Oil_Relatório Gerencial_3-Balanço" xfId="11085"/>
    <cellStyle name="s_Valuation _DB Dados do Mercado_Açúcar Físico não embarcado - Nov08 - Conferido_DB Entrada_1_Heating Oil_Relatório Gerencial_7-Estoque" xfId="11086"/>
    <cellStyle name="s_Valuation _DB Dados do Mercado_Açúcar Físico não embarcado - Nov08 - Conferido_DB Entrada_1_Heating Oil_Relatório Gerencial_DB Entrada" xfId="11087"/>
    <cellStyle name="s_Valuation _DB Dados do Mercado_Açúcar Físico não embarcado - Nov08 - Conferido_DB Entrada_1_Heating Oil_Relatório Gerencial_DB Entrada 2" xfId="11088"/>
    <cellStyle name="s_Valuation _DB Dados do Mercado_Açúcar Físico não embarcado - Nov08 - Conferido_DB Entrada_1_Heating Oil_Relatório Gerencial_DB Entrada 2_15-FINANCEIRAS" xfId="11089"/>
    <cellStyle name="s_Valuation _DB Dados do Mercado_Açúcar Físico não embarcado - Nov08 - Conferido_DB Entrada_1_Heating Oil_Relatório Gerencial_DB Entrada_15-FINANCEIRAS" xfId="11090"/>
    <cellStyle name="s_Valuation _DB Dados do Mercado_Açúcar Físico não embarcado - Nov08 - Conferido_DB Entrada_1_Heating Oil_Relatório Gerencial_DB Entrada_15-FINANCEIRAS_1" xfId="11091"/>
    <cellStyle name="s_Valuation _DB Dados do Mercado_Açúcar Físico não embarcado - Nov08 - Conferido_DB Entrada_1_Heating Oil_Relatório Gerencial_DB Entrada_3-Balanço" xfId="11092"/>
    <cellStyle name="s_Valuation _DB Dados do Mercado_Açúcar Físico não embarcado - Nov08 - Conferido_DB Entrada_1_Heating Oil_Relatório Gerencial_DB Entrada_7-Estoque" xfId="11093"/>
    <cellStyle name="s_Valuation _DB Dados do Mercado_Açúcar Físico não embarcado - Nov08 - Conferido_DB Entrada_1_Liquidação" xfId="11094"/>
    <cellStyle name="s_Valuation _DB Dados do Mercado_Açúcar Físico não embarcado - Nov08 - Conferido_DB Entrada_1_Liquidação 2" xfId="11095"/>
    <cellStyle name="s_Valuation _DB Dados do Mercado_Açúcar Físico não embarcado - Nov08 - Conferido_DB Entrada_1_Liquidação 2_15-FINANCEIRAS" xfId="11096"/>
    <cellStyle name="s_Valuation _DB Dados do Mercado_Açúcar Físico não embarcado - Nov08 - Conferido_DB Entrada_1_Liquidação_15-FINANCEIRAS" xfId="11097"/>
    <cellStyle name="s_Valuation _DB Dados do Mercado_Açúcar Físico não embarcado - Nov08 - Conferido_DB Entrada_1_Liquidação_15-FINANCEIRAS_1" xfId="11098"/>
    <cellStyle name="s_Valuation _DB Dados do Mercado_Açúcar Físico não embarcado - Nov08 - Conferido_DB Entrada_1_Liquidação_3-Balanço" xfId="11099"/>
    <cellStyle name="s_Valuation _DB Dados do Mercado_Açúcar Físico não embarcado - Nov08 - Conferido_DB Entrada_1_Liquidação_7-Estoque" xfId="11100"/>
    <cellStyle name="s_Valuation _DB Dados do Mercado_Açúcar Físico não embarcado - Nov08 - Conferido_DB Entrada_1_Liquidação_Relatório Gerencial" xfId="11101"/>
    <cellStyle name="s_Valuation _DB Dados do Mercado_Açúcar Físico não embarcado - Nov08 - Conferido_DB Entrada_1_Liquidação_Relatório Gerencial 2" xfId="11102"/>
    <cellStyle name="s_Valuation _DB Dados do Mercado_Açúcar Físico não embarcado - Nov08 - Conferido_DB Entrada_1_Liquidação_Relatório Gerencial 2_15-FINANCEIRAS" xfId="11103"/>
    <cellStyle name="s_Valuation _DB Dados do Mercado_Açúcar Físico não embarcado - Nov08 - Conferido_DB Entrada_1_Liquidação_Relatório Gerencial_15-FINANCEIRAS" xfId="11104"/>
    <cellStyle name="s_Valuation _DB Dados do Mercado_Açúcar Físico não embarcado - Nov08 - Conferido_DB Entrada_1_Liquidação_Relatório Gerencial_15-FINANCEIRAS_1" xfId="11105"/>
    <cellStyle name="s_Valuation _DB Dados do Mercado_Açúcar Físico não embarcado - Nov08 - Conferido_DB Entrada_1_Liquidação_Relatório Gerencial_3-Balanço" xfId="11106"/>
    <cellStyle name="s_Valuation _DB Dados do Mercado_Açúcar Físico não embarcado - Nov08 - Conferido_DB Entrada_1_Liquidação_Relatório Gerencial_7-Estoque" xfId="11107"/>
    <cellStyle name="s_Valuation _DB Dados do Mercado_Açúcar Físico não embarcado - Nov08 - Conferido_DB Entrada_1_Liquidação_Relatório Gerencial_DB Entrada" xfId="11108"/>
    <cellStyle name="s_Valuation _DB Dados do Mercado_Açúcar Físico não embarcado - Nov08 - Conferido_DB Entrada_1_Liquidação_Relatório Gerencial_DB Entrada 2" xfId="11109"/>
    <cellStyle name="s_Valuation _DB Dados do Mercado_Açúcar Físico não embarcado - Nov08 - Conferido_DB Entrada_1_Liquidação_Relatório Gerencial_DB Entrada 2_15-FINANCEIRAS" xfId="11110"/>
    <cellStyle name="s_Valuation _DB Dados do Mercado_Açúcar Físico não embarcado - Nov08 - Conferido_DB Entrada_1_Liquidação_Relatório Gerencial_DB Entrada_15-FINANCEIRAS" xfId="11111"/>
    <cellStyle name="s_Valuation _DB Dados do Mercado_Açúcar Físico não embarcado - Nov08 - Conferido_DB Entrada_1_Liquidação_Relatório Gerencial_DB Entrada_15-FINANCEIRAS_1" xfId="11112"/>
    <cellStyle name="s_Valuation _DB Dados do Mercado_Açúcar Físico não embarcado - Nov08 - Conferido_DB Entrada_1_Liquidação_Relatório Gerencial_DB Entrada_3-Balanço" xfId="11113"/>
    <cellStyle name="s_Valuation _DB Dados do Mercado_Açúcar Físico não embarcado - Nov08 - Conferido_DB Entrada_1_Liquidação_Relatório Gerencial_DB Entrada_7-Estoque" xfId="11114"/>
    <cellStyle name="s_Valuation _DB Dados do Mercado_Açúcar Físico não embarcado - Nov08 - Conferido_DB Entrada_1_Liquidações_Prêmios" xfId="11115"/>
    <cellStyle name="s_Valuation _DB Dados do Mercado_Açúcar Físico não embarcado - Nov08 - Conferido_DB Entrada_1_Liquidações_Prêmios 2" xfId="11116"/>
    <cellStyle name="s_Valuation _DB Dados do Mercado_Açúcar Físico não embarcado - Nov08 - Conferido_DB Entrada_1_Liquidações_Prêmios 2_15-FINANCEIRAS" xfId="11117"/>
    <cellStyle name="s_Valuation _DB Dados do Mercado_Açúcar Físico não embarcado - Nov08 - Conferido_DB Entrada_1_Liquidações_Prêmios_15-FINANCEIRAS" xfId="11118"/>
    <cellStyle name="s_Valuation _DB Dados do Mercado_Açúcar Físico não embarcado - Nov08 - Conferido_DB Entrada_1_Liquidações_Prêmios_15-FINANCEIRAS_1" xfId="11119"/>
    <cellStyle name="s_Valuation _DB Dados do Mercado_Açúcar Físico não embarcado - Nov08 - Conferido_DB Entrada_1_Liquidações_Prêmios_3-Balanço" xfId="11120"/>
    <cellStyle name="s_Valuation _DB Dados do Mercado_Açúcar Físico não embarcado - Nov08 - Conferido_DB Entrada_1_Liquidações_Prêmios_7-Estoque" xfId="11121"/>
    <cellStyle name="s_Valuation _DB Dados do Mercado_Açúcar Físico não embarcado - Nov08 - Conferido_DB Entrada_1_NDF" xfId="11122"/>
    <cellStyle name="s_Valuation _DB Dados do Mercado_Açúcar Físico não embarcado - Nov08 - Conferido_DB Entrada_1_NDF 2" xfId="11123"/>
    <cellStyle name="s_Valuation _DB Dados do Mercado_Açúcar Físico não embarcado - Nov08 - Conferido_DB Entrada_1_NDF 2_15-FINANCEIRAS" xfId="11124"/>
    <cellStyle name="s_Valuation _DB Dados do Mercado_Açúcar Físico não embarcado - Nov08 - Conferido_DB Entrada_1_NDF_15-FINANCEIRAS" xfId="11125"/>
    <cellStyle name="s_Valuation _DB Dados do Mercado_Açúcar Físico não embarcado - Nov08 - Conferido_DB Entrada_1_NDF_15-FINANCEIRAS_1" xfId="11126"/>
    <cellStyle name="s_Valuation _DB Dados do Mercado_Açúcar Físico não embarcado - Nov08 - Conferido_DB Entrada_1_NDF_3-Balanço" xfId="11127"/>
    <cellStyle name="s_Valuation _DB Dados do Mercado_Açúcar Físico não embarcado - Nov08 - Conferido_DB Entrada_1_NDF_7-Estoque" xfId="11128"/>
    <cellStyle name="s_Valuation _DB Dados do Mercado_Açúcar Físico não embarcado - Nov08 - Conferido_DB Entrada_1_NDF_Relatório Gerencial" xfId="11129"/>
    <cellStyle name="s_Valuation _DB Dados do Mercado_Açúcar Físico não embarcado - Nov08 - Conferido_DB Entrada_1_NDF_Relatório Gerencial 2" xfId="11130"/>
    <cellStyle name="s_Valuation _DB Dados do Mercado_Açúcar Físico não embarcado - Nov08 - Conferido_DB Entrada_1_NDF_Relatório Gerencial 2_15-FINANCEIRAS" xfId="11131"/>
    <cellStyle name="s_Valuation _DB Dados do Mercado_Açúcar Físico não embarcado - Nov08 - Conferido_DB Entrada_1_NDF_Relatório Gerencial_15-FINANCEIRAS" xfId="11132"/>
    <cellStyle name="s_Valuation _DB Dados do Mercado_Açúcar Físico não embarcado - Nov08 - Conferido_DB Entrada_1_NDF_Relatório Gerencial_15-FINANCEIRAS_1" xfId="11133"/>
    <cellStyle name="s_Valuation _DB Dados do Mercado_Açúcar Físico não embarcado - Nov08 - Conferido_DB Entrada_1_NDF_Relatório Gerencial_3-Balanço" xfId="11134"/>
    <cellStyle name="s_Valuation _DB Dados do Mercado_Açúcar Físico não embarcado - Nov08 - Conferido_DB Entrada_1_NDF_Relatório Gerencial_7-Estoque" xfId="11135"/>
    <cellStyle name="s_Valuation _DB Dados do Mercado_Açúcar Físico não embarcado - Nov08 - Conferido_DB Entrada_1_NDF_Relatório Gerencial_DB Entrada" xfId="11136"/>
    <cellStyle name="s_Valuation _DB Dados do Mercado_Açúcar Físico não embarcado - Nov08 - Conferido_DB Entrada_1_NDF_Relatório Gerencial_DB Entrada 2" xfId="11137"/>
    <cellStyle name="s_Valuation _DB Dados do Mercado_Açúcar Físico não embarcado - Nov08 - Conferido_DB Entrada_1_NDF_Relatório Gerencial_DB Entrada 2_15-FINANCEIRAS" xfId="11138"/>
    <cellStyle name="s_Valuation _DB Dados do Mercado_Açúcar Físico não embarcado - Nov08 - Conferido_DB Entrada_1_NDF_Relatório Gerencial_DB Entrada_15-FINANCEIRAS" xfId="11139"/>
    <cellStyle name="s_Valuation _DB Dados do Mercado_Açúcar Físico não embarcado - Nov08 - Conferido_DB Entrada_1_NDF_Relatório Gerencial_DB Entrada_15-FINANCEIRAS_1" xfId="11140"/>
    <cellStyle name="s_Valuation _DB Dados do Mercado_Açúcar Físico não embarcado - Nov08 - Conferido_DB Entrada_1_NDF_Relatório Gerencial_DB Entrada_3-Balanço" xfId="11141"/>
    <cellStyle name="s_Valuation _DB Dados do Mercado_Açúcar Físico não embarcado - Nov08 - Conferido_DB Entrada_1_NDF_Relatório Gerencial_DB Entrada_7-Estoque" xfId="11142"/>
    <cellStyle name="s_Valuation _DB Dados do Mercado_Açúcar Físico não embarcado - Nov08 - Conferido_DB Entrada_1_Posição Futuros" xfId="11143"/>
    <cellStyle name="s_Valuation _DB Dados do Mercado_Açúcar Físico não embarcado - Nov08 - Conferido_DB Entrada_1_Posição Futuros 2" xfId="11144"/>
    <cellStyle name="s_Valuation _DB Dados do Mercado_Açúcar Físico não embarcado - Nov08 - Conferido_DB Entrada_1_Posição Futuros 2_15-FINANCEIRAS" xfId="11145"/>
    <cellStyle name="s_Valuation _DB Dados do Mercado_Açúcar Físico não embarcado - Nov08 - Conferido_DB Entrada_1_Posição Futuros_15-FINANCEIRAS" xfId="11146"/>
    <cellStyle name="s_Valuation _DB Dados do Mercado_Açúcar Físico não embarcado - Nov08 - Conferido_DB Entrada_1_Posição Futuros_15-FINANCEIRAS_1" xfId="11147"/>
    <cellStyle name="s_Valuation _DB Dados do Mercado_Açúcar Físico não embarcado - Nov08 - Conferido_DB Entrada_1_Posição Futuros_3-Balanço" xfId="11148"/>
    <cellStyle name="s_Valuation _DB Dados do Mercado_Açúcar Físico não embarcado - Nov08 - Conferido_DB Entrada_1_Posição Futuros_7-Estoque" xfId="11149"/>
    <cellStyle name="s_Valuation _DB Dados do Mercado_Açúcar Físico não embarcado - Nov08 - Conferido_DB Entrada_1_ptax" xfId="11150"/>
    <cellStyle name="s_Valuation _DB Dados do Mercado_Açúcar Físico não embarcado - Nov08 - Conferido_DB Entrada_1_ptax 2" xfId="11151"/>
    <cellStyle name="s_Valuation _DB Dados do Mercado_Açúcar Físico não embarcado - Nov08 - Conferido_DB Entrada_1_ptax 2_15-FINANCEIRAS" xfId="11152"/>
    <cellStyle name="s_Valuation _DB Dados do Mercado_Açúcar Físico não embarcado - Nov08 - Conferido_DB Entrada_1_ptax_15-FINANCEIRAS" xfId="11153"/>
    <cellStyle name="s_Valuation _DB Dados do Mercado_Açúcar Físico não embarcado - Nov08 - Conferido_DB Entrada_1_ptax_15-FINANCEIRAS_1" xfId="11154"/>
    <cellStyle name="s_Valuation _DB Dados do Mercado_Açúcar Físico não embarcado - Nov08 - Conferido_DB Entrada_1_ptax_3-Balanço" xfId="11155"/>
    <cellStyle name="s_Valuation _DB Dados do Mercado_Açúcar Físico não embarcado - Nov08 - Conferido_DB Entrada_1_ptax_7-Estoque" xfId="11156"/>
    <cellStyle name="s_Valuation _DB Dados do Mercado_Açúcar Físico não embarcado - Nov08 - Conferido_DB Entrada_1_ptax_Relatório Gerencial" xfId="11157"/>
    <cellStyle name="s_Valuation _DB Dados do Mercado_Açúcar Físico não embarcado - Nov08 - Conferido_DB Entrada_1_ptax_Relatório Gerencial 2" xfId="11158"/>
    <cellStyle name="s_Valuation _DB Dados do Mercado_Açúcar Físico não embarcado - Nov08 - Conferido_DB Entrada_1_ptax_Relatório Gerencial 2_15-FINANCEIRAS" xfId="11159"/>
    <cellStyle name="s_Valuation _DB Dados do Mercado_Açúcar Físico não embarcado - Nov08 - Conferido_DB Entrada_1_ptax_Relatório Gerencial_15-FINANCEIRAS" xfId="11160"/>
    <cellStyle name="s_Valuation _DB Dados do Mercado_Açúcar Físico não embarcado - Nov08 - Conferido_DB Entrada_1_ptax_Relatório Gerencial_15-FINANCEIRAS_1" xfId="11161"/>
    <cellStyle name="s_Valuation _DB Dados do Mercado_Açúcar Físico não embarcado - Nov08 - Conferido_DB Entrada_1_ptax_Relatório Gerencial_3-Balanço" xfId="11162"/>
    <cellStyle name="s_Valuation _DB Dados do Mercado_Açúcar Físico não embarcado - Nov08 - Conferido_DB Entrada_1_ptax_Relatório Gerencial_7-Estoque" xfId="11163"/>
    <cellStyle name="s_Valuation _DB Dados do Mercado_Açúcar Físico não embarcado - Nov08 - Conferido_DB Entrada_1_ptax_Relatório Gerencial_DB Entrada" xfId="11164"/>
    <cellStyle name="s_Valuation _DB Dados do Mercado_Açúcar Físico não embarcado - Nov08 - Conferido_DB Entrada_1_ptax_Relatório Gerencial_DB Entrada 2" xfId="11165"/>
    <cellStyle name="s_Valuation _DB Dados do Mercado_Açúcar Físico não embarcado - Nov08 - Conferido_DB Entrada_1_ptax_Relatório Gerencial_DB Entrada 2_15-FINANCEIRAS" xfId="11166"/>
    <cellStyle name="s_Valuation _DB Dados do Mercado_Açúcar Físico não embarcado - Nov08 - Conferido_DB Entrada_1_ptax_Relatório Gerencial_DB Entrada_15-FINANCEIRAS" xfId="11167"/>
    <cellStyle name="s_Valuation _DB Dados do Mercado_Açúcar Físico não embarcado - Nov08 - Conferido_DB Entrada_1_ptax_Relatório Gerencial_DB Entrada_15-FINANCEIRAS_1" xfId="11168"/>
    <cellStyle name="s_Valuation _DB Dados do Mercado_Açúcar Físico não embarcado - Nov08 - Conferido_DB Entrada_1_ptax_Relatório Gerencial_DB Entrada_3-Balanço" xfId="11169"/>
    <cellStyle name="s_Valuation _DB Dados do Mercado_Açúcar Físico não embarcado - Nov08 - Conferido_DB Entrada_1_ptax_Relatório Gerencial_DB Entrada_7-Estoque" xfId="11170"/>
    <cellStyle name="s_Valuation _DB Dados do Mercado_Açúcar Físico não embarcado - Nov08 - Conferido_DB Entrada_1_PTX" xfId="11171"/>
    <cellStyle name="s_Valuation _DB Dados do Mercado_Açúcar Físico não embarcado - Nov08 - Conferido_DB Entrada_1_PTX 2" xfId="11172"/>
    <cellStyle name="s_Valuation _DB Dados do Mercado_Açúcar Físico não embarcado - Nov08 - Conferido_DB Entrada_1_PTX 2_15-FINANCEIRAS" xfId="11173"/>
    <cellStyle name="s_Valuation _DB Dados do Mercado_Açúcar Físico não embarcado - Nov08 - Conferido_DB Entrada_1_PTX_15-FINANCEIRAS" xfId="11174"/>
    <cellStyle name="s_Valuation _DB Dados do Mercado_Açúcar Físico não embarcado - Nov08 - Conferido_DB Entrada_1_PTX_15-FINANCEIRAS_1" xfId="11175"/>
    <cellStyle name="s_Valuation _DB Dados do Mercado_Açúcar Físico não embarcado - Nov08 - Conferido_DB Entrada_1_PTX_3-Balanço" xfId="11176"/>
    <cellStyle name="s_Valuation _DB Dados do Mercado_Açúcar Físico não embarcado - Nov08 - Conferido_DB Entrada_1_PTX_7-Estoque" xfId="11177"/>
    <cellStyle name="s_Valuation _DB Dados do Mercado_Açúcar Físico não embarcado - Nov08 - Conferido_DB Entrada_1_PTX_Relatório Gerencial" xfId="11178"/>
    <cellStyle name="s_Valuation _DB Dados do Mercado_Açúcar Físico não embarcado - Nov08 - Conferido_DB Entrada_1_PTX_Relatório Gerencial 2" xfId="11179"/>
    <cellStyle name="s_Valuation _DB Dados do Mercado_Açúcar Físico não embarcado - Nov08 - Conferido_DB Entrada_1_PTX_Relatório Gerencial 2_15-FINANCEIRAS" xfId="11180"/>
    <cellStyle name="s_Valuation _DB Dados do Mercado_Açúcar Físico não embarcado - Nov08 - Conferido_DB Entrada_1_PTX_Relatório Gerencial_15-FINANCEIRAS" xfId="11181"/>
    <cellStyle name="s_Valuation _DB Dados do Mercado_Açúcar Físico não embarcado - Nov08 - Conferido_DB Entrada_1_PTX_Relatório Gerencial_15-FINANCEIRAS_1" xfId="11182"/>
    <cellStyle name="s_Valuation _DB Dados do Mercado_Açúcar Físico não embarcado - Nov08 - Conferido_DB Entrada_1_PTX_Relatório Gerencial_3-Balanço" xfId="11183"/>
    <cellStyle name="s_Valuation _DB Dados do Mercado_Açúcar Físico não embarcado - Nov08 - Conferido_DB Entrada_1_PTX_Relatório Gerencial_7-Estoque" xfId="11184"/>
    <cellStyle name="s_Valuation _DB Dados do Mercado_Açúcar Físico não embarcado - Nov08 - Conferido_DB Entrada_1_PTX_Relatório Gerencial_DB Entrada" xfId="11185"/>
    <cellStyle name="s_Valuation _DB Dados do Mercado_Açúcar Físico não embarcado - Nov08 - Conferido_DB Entrada_1_PTX_Relatório Gerencial_DB Entrada 2" xfId="11186"/>
    <cellStyle name="s_Valuation _DB Dados do Mercado_Açúcar Físico não embarcado - Nov08 - Conferido_DB Entrada_1_PTX_Relatório Gerencial_DB Entrada 2_15-FINANCEIRAS" xfId="11187"/>
    <cellStyle name="s_Valuation _DB Dados do Mercado_Açúcar Físico não embarcado - Nov08 - Conferido_DB Entrada_1_PTX_Relatório Gerencial_DB Entrada_15-FINANCEIRAS" xfId="11188"/>
    <cellStyle name="s_Valuation _DB Dados do Mercado_Açúcar Físico não embarcado - Nov08 - Conferido_DB Entrada_1_PTX_Relatório Gerencial_DB Entrada_15-FINANCEIRAS_1" xfId="11189"/>
    <cellStyle name="s_Valuation _DB Dados do Mercado_Açúcar Físico não embarcado - Nov08 - Conferido_DB Entrada_1_PTX_Relatório Gerencial_DB Entrada_3-Balanço" xfId="11190"/>
    <cellStyle name="s_Valuation _DB Dados do Mercado_Açúcar Físico não embarcado - Nov08 - Conferido_DB Entrada_1_PTX_Relatório Gerencial_DB Entrada_7-Estoque" xfId="11191"/>
    <cellStyle name="s_Valuation _DB Dados do Mercado_Açúcar Físico não embarcado - Nov08 - Conferido_DB Entrada_1_relatorio" xfId="11192"/>
    <cellStyle name="s_Valuation _DB Dados do Mercado_Açúcar Físico não embarcado - Nov08 - Conferido_DB Entrada_1_relatorio 2" xfId="11193"/>
    <cellStyle name="s_Valuation _DB Dados do Mercado_Açúcar Físico não embarcado - Nov08 - Conferido_DB Entrada_1_relatorio 2_15-FINANCEIRAS" xfId="11194"/>
    <cellStyle name="s_Valuation _DB Dados do Mercado_Açúcar Físico não embarcado - Nov08 - Conferido_DB Entrada_1_Relatório de Commodities" xfId="11195"/>
    <cellStyle name="s_Valuation _DB Dados do Mercado_Açúcar Físico não embarcado - Nov08 - Conferido_DB Entrada_1_Relatório de Commodities 2" xfId="11196"/>
    <cellStyle name="s_Valuation _DB Dados do Mercado_Açúcar Físico não embarcado - Nov08 - Conferido_DB Entrada_1_Relatório de Commodities 2_15-FINANCEIRAS" xfId="11197"/>
    <cellStyle name="s_Valuation _DB Dados do Mercado_Açúcar Físico não embarcado - Nov08 - Conferido_DB Entrada_1_Relatório de Commodities_15-FINANCEIRAS" xfId="11198"/>
    <cellStyle name="s_Valuation _DB Dados do Mercado_Açúcar Físico não embarcado - Nov08 - Conferido_DB Entrada_1_Relatório de Commodities_15-FINANCEIRAS_1" xfId="11199"/>
    <cellStyle name="s_Valuation _DB Dados do Mercado_Açúcar Físico não embarcado - Nov08 - Conferido_DB Entrada_1_Relatório de Commodities_3-Balanço" xfId="11200"/>
    <cellStyle name="s_Valuation _DB Dados do Mercado_Açúcar Físico não embarcado - Nov08 - Conferido_DB Entrada_1_Relatório de Commodities_7-Estoque" xfId="11201"/>
    <cellStyle name="s_Valuation _DB Dados do Mercado_Açúcar Físico não embarcado - Nov08 - Conferido_DB Entrada_1_Relatório de Commodities_Relatório Gerencial" xfId="11202"/>
    <cellStyle name="s_Valuation _DB Dados do Mercado_Açúcar Físico não embarcado - Nov08 - Conferido_DB Entrada_1_Relatório de Commodities_Relatório Gerencial 2" xfId="11203"/>
    <cellStyle name="s_Valuation _DB Dados do Mercado_Açúcar Físico não embarcado - Nov08 - Conferido_DB Entrada_1_Relatório de Commodities_Relatório Gerencial 2_15-FINANCEIRAS" xfId="11204"/>
    <cellStyle name="s_Valuation _DB Dados do Mercado_Açúcar Físico não embarcado - Nov08 - Conferido_DB Entrada_1_Relatório de Commodities_Relatório Gerencial_15-FINANCEIRAS" xfId="11205"/>
    <cellStyle name="s_Valuation _DB Dados do Mercado_Açúcar Físico não embarcado - Nov08 - Conferido_DB Entrada_1_Relatório de Commodities_Relatório Gerencial_15-FINANCEIRAS_1" xfId="11206"/>
    <cellStyle name="s_Valuation _DB Dados do Mercado_Açúcar Físico não embarcado - Nov08 - Conferido_DB Entrada_1_Relatório de Commodities_Relatório Gerencial_3-Balanço" xfId="11207"/>
    <cellStyle name="s_Valuation _DB Dados do Mercado_Açúcar Físico não embarcado - Nov08 - Conferido_DB Entrada_1_Relatório de Commodities_Relatório Gerencial_7-Estoque" xfId="11208"/>
    <cellStyle name="s_Valuation _DB Dados do Mercado_Açúcar Físico não embarcado - Nov08 - Conferido_DB Entrada_1_Relatório de Commodities_Relatório Gerencial_DB Entrada" xfId="11209"/>
    <cellStyle name="s_Valuation _DB Dados do Mercado_Açúcar Físico não embarcado - Nov08 - Conferido_DB Entrada_1_Relatório de Commodities_Relatório Gerencial_DB Entrada 2" xfId="11210"/>
    <cellStyle name="s_Valuation _DB Dados do Mercado_Açúcar Físico não embarcado - Nov08 - Conferido_DB Entrada_1_Relatório de Commodities_Relatório Gerencial_DB Entrada 2_15-FINANCEIRAS" xfId="11211"/>
    <cellStyle name="s_Valuation _DB Dados do Mercado_Açúcar Físico não embarcado - Nov08 - Conferido_DB Entrada_1_Relatório de Commodities_Relatório Gerencial_DB Entrada_15-FINANCEIRAS" xfId="11212"/>
    <cellStyle name="s_Valuation _DB Dados do Mercado_Açúcar Físico não embarcado - Nov08 - Conferido_DB Entrada_1_Relatório de Commodities_Relatório Gerencial_DB Entrada_15-FINANCEIRAS_1" xfId="11213"/>
    <cellStyle name="s_Valuation _DB Dados do Mercado_Açúcar Físico não embarcado - Nov08 - Conferido_DB Entrada_1_Relatório de Commodities_Relatório Gerencial_DB Entrada_3-Balanço" xfId="11214"/>
    <cellStyle name="s_Valuation _DB Dados do Mercado_Açúcar Físico não embarcado - Nov08 - Conferido_DB Entrada_1_Relatório de Commodities_Relatório Gerencial_DB Entrada_7-Estoque" xfId="11215"/>
    <cellStyle name="s_Valuation _DB Dados do Mercado_Açúcar Físico não embarcado - Nov08 - Conferido_DB Entrada_1_Relatório Fechamento" xfId="11216"/>
    <cellStyle name="s_Valuation _DB Dados do Mercado_Açúcar Físico não embarcado - Nov08 - Conferido_DB Entrada_1_Relatório Fechamento 2" xfId="11217"/>
    <cellStyle name="s_Valuation _DB Dados do Mercado_Açúcar Físico não embarcado - Nov08 - Conferido_DB Entrada_1_Relatório Fechamento 2_15-FINANCEIRAS" xfId="11218"/>
    <cellStyle name="s_Valuation _DB Dados do Mercado_Açúcar Físico não embarcado - Nov08 - Conferido_DB Entrada_1_Relatório Fechamento_15-FINANCEIRAS" xfId="11219"/>
    <cellStyle name="s_Valuation _DB Dados do Mercado_Açúcar Físico não embarcado - Nov08 - Conferido_DB Entrada_1_Relatório Fechamento_15-FINANCEIRAS_1" xfId="11220"/>
    <cellStyle name="s_Valuation _DB Dados do Mercado_Açúcar Físico não embarcado - Nov08 - Conferido_DB Entrada_1_Relatório Fechamento_3-Balanço" xfId="11221"/>
    <cellStyle name="s_Valuation _DB Dados do Mercado_Açúcar Físico não embarcado - Nov08 - Conferido_DB Entrada_1_Relatório Fechamento_7-Estoque" xfId="11222"/>
    <cellStyle name="s_Valuation _DB Dados do Mercado_Açúcar Físico não embarcado - Nov08 - Conferido_DB Entrada_1_Relatório Gerencial" xfId="11223"/>
    <cellStyle name="s_Valuation _DB Dados do Mercado_Açúcar Físico não embarcado - Nov08 - Conferido_DB Entrada_1_Relatório Gerencial 2" xfId="11224"/>
    <cellStyle name="s_Valuation _DB Dados do Mercado_Açúcar Físico não embarcado - Nov08 - Conferido_DB Entrada_1_Relatório Gerencial 2_15-FINANCEIRAS" xfId="11225"/>
    <cellStyle name="s_Valuation _DB Dados do Mercado_Açúcar Físico não embarcado - Nov08 - Conferido_DB Entrada_1_Relatório Gerencial_1" xfId="11226"/>
    <cellStyle name="s_Valuation _DB Dados do Mercado_Açúcar Físico não embarcado - Nov08 - Conferido_DB Entrada_1_Relatório Gerencial_1 2" xfId="11227"/>
    <cellStyle name="s_Valuation _DB Dados do Mercado_Açúcar Físico não embarcado - Nov08 - Conferido_DB Entrada_1_Relatório Gerencial_1 2_15-FINANCEIRAS" xfId="11228"/>
    <cellStyle name="s_Valuation _DB Dados do Mercado_Açúcar Físico não embarcado - Nov08 - Conferido_DB Entrada_1_Relatório Gerencial_1_15-FINANCEIRAS" xfId="11229"/>
    <cellStyle name="s_Valuation _DB Dados do Mercado_Açúcar Físico não embarcado - Nov08 - Conferido_DB Entrada_1_Relatório Gerencial_1_15-FINANCEIRAS_1" xfId="11230"/>
    <cellStyle name="s_Valuation _DB Dados do Mercado_Açúcar Físico não embarcado - Nov08 - Conferido_DB Entrada_1_Relatório Gerencial_1_3-Balanço" xfId="11231"/>
    <cellStyle name="s_Valuation _DB Dados do Mercado_Açúcar Físico não embarcado - Nov08 - Conferido_DB Entrada_1_Relatório Gerencial_1_7-Estoque" xfId="11232"/>
    <cellStyle name="s_Valuation _DB Dados do Mercado_Açúcar Físico não embarcado - Nov08 - Conferido_DB Entrada_1_Relatório Gerencial_1_DB Boletas Abertas" xfId="11233"/>
    <cellStyle name="s_Valuation _DB Dados do Mercado_Açúcar Físico não embarcado - Nov08 - Conferido_DB Entrada_1_Relatório Gerencial_1_DB Boletas Abertas 2" xfId="11234"/>
    <cellStyle name="s_Valuation _DB Dados do Mercado_Açúcar Físico não embarcado - Nov08 - Conferido_DB Entrada_1_Relatório Gerencial_1_DB Boletas Abertas 2_15-FINANCEIRAS" xfId="11235"/>
    <cellStyle name="s_Valuation _DB Dados do Mercado_Açúcar Físico não embarcado - Nov08 - Conferido_DB Entrada_1_Relatório Gerencial_1_DB Boletas Abertas_15-FINANCEIRAS" xfId="11236"/>
    <cellStyle name="s_Valuation _DB Dados do Mercado_Açúcar Físico não embarcado - Nov08 - Conferido_DB Entrada_1_Relatório Gerencial_1_DB Boletas Abertas_15-FINANCEIRAS_1" xfId="11237"/>
    <cellStyle name="s_Valuation _DB Dados do Mercado_Açúcar Físico não embarcado - Nov08 - Conferido_DB Entrada_1_Relatório Gerencial_1_DB Boletas Abertas_3-Balanço" xfId="11238"/>
    <cellStyle name="s_Valuation _DB Dados do Mercado_Açúcar Físico não embarcado - Nov08 - Conferido_DB Entrada_1_Relatório Gerencial_1_DB Boletas Abertas_7-Estoque" xfId="11239"/>
    <cellStyle name="s_Valuation _DB Dados do Mercado_Açúcar Físico não embarcado - Nov08 - Conferido_DB Entrada_1_Relatório Gerencial_1_DB Boletas Vencendo" xfId="11240"/>
    <cellStyle name="s_Valuation _DB Dados do Mercado_Açúcar Físico não embarcado - Nov08 - Conferido_DB Entrada_1_Relatório Gerencial_1_DB Boletas Vencendo 2" xfId="11241"/>
    <cellStyle name="s_Valuation _DB Dados do Mercado_Açúcar Físico não embarcado - Nov08 - Conferido_DB Entrada_1_Relatório Gerencial_1_DB Boletas Vencendo 2_15-FINANCEIRAS" xfId="11242"/>
    <cellStyle name="s_Valuation _DB Dados do Mercado_Açúcar Físico não embarcado - Nov08 - Conferido_DB Entrada_1_Relatório Gerencial_1_DB Boletas Vencendo_15-FINANCEIRAS" xfId="11243"/>
    <cellStyle name="s_Valuation _DB Dados do Mercado_Açúcar Físico não embarcado - Nov08 - Conferido_DB Entrada_1_Relatório Gerencial_1_DB Boletas Vencendo_15-FINANCEIRAS_1" xfId="11244"/>
    <cellStyle name="s_Valuation _DB Dados do Mercado_Açúcar Físico não embarcado - Nov08 - Conferido_DB Entrada_1_Relatório Gerencial_1_DB Boletas Vencendo_3-Balanço" xfId="11245"/>
    <cellStyle name="s_Valuation _DB Dados do Mercado_Açúcar Físico não embarcado - Nov08 - Conferido_DB Entrada_1_Relatório Gerencial_1_DB Boletas Vencendo_7-Estoque" xfId="11246"/>
    <cellStyle name="s_Valuation _DB Dados do Mercado_Açúcar Físico não embarcado - Nov08 - Conferido_DB Entrada_1_Relatório Gerencial_1_DB Boletas Vencendo_Relatório Gerencial" xfId="11247"/>
    <cellStyle name="s_Valuation _DB Dados do Mercado_Açúcar Físico não embarcado - Nov08 - Conferido_DB Entrada_1_Relatório Gerencial_1_DB Boletas Vencendo_Relatório Gerencial 2" xfId="11248"/>
    <cellStyle name="s_Valuation _DB Dados do Mercado_Açúcar Físico não embarcado - Nov08 - Conferido_DB Entrada_1_Relatório Gerencial_1_DB Boletas Vencendo_Relatório Gerencial 2_15-FINANCEIRAS" xfId="11249"/>
    <cellStyle name="s_Valuation _DB Dados do Mercado_Açúcar Físico não embarcado - Nov08 - Conferido_DB Entrada_1_Relatório Gerencial_1_DB Boletas Vencendo_Relatório Gerencial_15-FINANCEIRAS" xfId="11250"/>
    <cellStyle name="s_Valuation _DB Dados do Mercado_Açúcar Físico não embarcado - Nov08 - Conferido_DB Entrada_1_Relatório Gerencial_1_DB Boletas Vencendo_Relatório Gerencial_15-FINANCEIRAS_1" xfId="11251"/>
    <cellStyle name="s_Valuation _DB Dados do Mercado_Açúcar Físico não embarcado - Nov08 - Conferido_DB Entrada_1_Relatório Gerencial_1_DB Boletas Vencendo_Relatório Gerencial_3-Balanço" xfId="11252"/>
    <cellStyle name="s_Valuation _DB Dados do Mercado_Açúcar Físico não embarcado - Nov08 - Conferido_DB Entrada_1_Relatório Gerencial_1_DB Boletas Vencendo_Relatório Gerencial_7-Estoque" xfId="11253"/>
    <cellStyle name="s_Valuation _DB Dados do Mercado_Açúcar Físico não embarcado - Nov08 - Conferido_DB Entrada_1_Relatório Gerencial_1_DB Boletas Vencendo_Relatório Gerencial_DB Entrada" xfId="11254"/>
    <cellStyle name="s_Valuation _DB Dados do Mercado_Açúcar Físico não embarcado - Nov08 - Conferido_DB Entrada_1_Relatório Gerencial_1_DB Boletas Vencendo_Relatório Gerencial_DB Entrada 2" xfId="11255"/>
    <cellStyle name="s_Valuation _DB Dados do Mercado_Açúcar Físico não embarcado - Nov08 - Conferido_DB Entrada_1_Relatório Gerencial_1_DB Boletas Vencendo_Relatório Gerencial_DB Entrada 2_15-FINANCEIRAS" xfId="11256"/>
    <cellStyle name="s_Valuation _DB Dados do Mercado_Açúcar Físico não embarcado - Nov08 - Conferido_DB Entrada_1_Relatório Gerencial_1_DB Boletas Vencendo_Relatório Gerencial_DB Entrada_15-FINANCEIRAS" xfId="11257"/>
    <cellStyle name="s_Valuation _DB Dados do Mercado_Açúcar Físico não embarcado - Nov08 - Conferido_DB Entrada_1_Relatório Gerencial_1_DB Boletas Vencendo_Relatório Gerencial_DB Entrada_15-FINANCEIRAS_1" xfId="11258"/>
    <cellStyle name="s_Valuation _DB Dados do Mercado_Açúcar Físico não embarcado - Nov08 - Conferido_DB Entrada_1_Relatório Gerencial_1_DB Boletas Vencendo_Relatório Gerencial_DB Entrada_3-Balanço" xfId="11259"/>
    <cellStyle name="s_Valuation _DB Dados do Mercado_Açúcar Físico não embarcado - Nov08 - Conferido_DB Entrada_1_Relatório Gerencial_1_DB Boletas Vencendo_Relatório Gerencial_DB Entrada_7-Estoque" xfId="11260"/>
    <cellStyle name="s_Valuation _DB Dados do Mercado_Açúcar Físico não embarcado - Nov08 - Conferido_DB Entrada_1_Relatório Gerencial_1_DB Controle" xfId="11261"/>
    <cellStyle name="s_Valuation _DB Dados do Mercado_Açúcar Físico não embarcado - Nov08 - Conferido_DB Entrada_1_Relatório Gerencial_1_DB Controle 2" xfId="11262"/>
    <cellStyle name="s_Valuation _DB Dados do Mercado_Açúcar Físico não embarcado - Nov08 - Conferido_DB Entrada_1_Relatório Gerencial_1_DB Controle 2_15-FINANCEIRAS" xfId="11263"/>
    <cellStyle name="s_Valuation _DB Dados do Mercado_Açúcar Físico não embarcado - Nov08 - Conferido_DB Entrada_1_Relatório Gerencial_1_DB Controle_15-FINANCEIRAS" xfId="11264"/>
    <cellStyle name="s_Valuation _DB Dados do Mercado_Açúcar Físico não embarcado - Nov08 - Conferido_DB Entrada_1_Relatório Gerencial_1_DB Controle_15-FINANCEIRAS_1" xfId="11265"/>
    <cellStyle name="s_Valuation _DB Dados do Mercado_Açúcar Físico não embarcado - Nov08 - Conferido_DB Entrada_1_Relatório Gerencial_1_DB Controle_3-Balanço" xfId="11266"/>
    <cellStyle name="s_Valuation _DB Dados do Mercado_Açúcar Físico não embarcado - Nov08 - Conferido_DB Entrada_1_Relatório Gerencial_1_DB Controle_7-Estoque" xfId="11267"/>
    <cellStyle name="s_Valuation _DB Dados do Mercado_Açúcar Físico não embarcado - Nov08 - Conferido_DB Entrada_1_Relatório Gerencial_1_DB Entrada" xfId="11268"/>
    <cellStyle name="s_Valuation _DB Dados do Mercado_Açúcar Físico não embarcado - Nov08 - Conferido_DB Entrada_1_Relatório Gerencial_1_DB Entrada 2" xfId="11269"/>
    <cellStyle name="s_Valuation _DB Dados do Mercado_Açúcar Físico não embarcado - Nov08 - Conferido_DB Entrada_1_Relatório Gerencial_1_DB Entrada 2_15-FINANCEIRAS" xfId="11270"/>
    <cellStyle name="s_Valuation _DB Dados do Mercado_Açúcar Físico não embarcado - Nov08 - Conferido_DB Entrada_1_Relatório Gerencial_1_DB Entrada_15-FINANCEIRAS" xfId="11271"/>
    <cellStyle name="s_Valuation _DB Dados do Mercado_Açúcar Físico não embarcado - Nov08 - Conferido_DB Entrada_1_Relatório Gerencial_1_DB Entrada_15-FINANCEIRAS_1" xfId="11272"/>
    <cellStyle name="s_Valuation _DB Dados do Mercado_Açúcar Físico não embarcado - Nov08 - Conferido_DB Entrada_1_Relatório Gerencial_1_DB Entrada_3-Balanço" xfId="11273"/>
    <cellStyle name="s_Valuation _DB Dados do Mercado_Açúcar Físico não embarcado - Nov08 - Conferido_DB Entrada_1_Relatório Gerencial_1_DB Entrada_7-Estoque" xfId="11274"/>
    <cellStyle name="s_Valuation _DB Dados do Mercado_Açúcar Físico não embarcado - Nov08 - Conferido_DB Entrada_1_Relatório Gerencial_1_DB Entrada_Relatório Gerencial" xfId="11275"/>
    <cellStyle name="s_Valuation _DB Dados do Mercado_Açúcar Físico não embarcado - Nov08 - Conferido_DB Entrada_1_Relatório Gerencial_1_DB Entrada_Relatório Gerencial 2" xfId="11276"/>
    <cellStyle name="s_Valuation _DB Dados do Mercado_Açúcar Físico não embarcado - Nov08 - Conferido_DB Entrada_1_Relatório Gerencial_1_DB Entrada_Relatório Gerencial 2_15-FINANCEIRAS" xfId="11277"/>
    <cellStyle name="s_Valuation _DB Dados do Mercado_Açúcar Físico não embarcado - Nov08 - Conferido_DB Entrada_1_Relatório Gerencial_1_DB Entrada_Relatório Gerencial_15-FINANCEIRAS" xfId="11278"/>
    <cellStyle name="s_Valuation _DB Dados do Mercado_Açúcar Físico não embarcado - Nov08 - Conferido_DB Entrada_1_Relatório Gerencial_1_DB Entrada_Relatório Gerencial_15-FINANCEIRAS_1" xfId="11279"/>
    <cellStyle name="s_Valuation _DB Dados do Mercado_Açúcar Físico não embarcado - Nov08 - Conferido_DB Entrada_1_Relatório Gerencial_1_DB Entrada_Relatório Gerencial_3-Balanço" xfId="11280"/>
    <cellStyle name="s_Valuation _DB Dados do Mercado_Açúcar Físico não embarcado - Nov08 - Conferido_DB Entrada_1_Relatório Gerencial_1_DB Entrada_Relatório Gerencial_7-Estoque" xfId="11281"/>
    <cellStyle name="s_Valuation _DB Dados do Mercado_Açúcar Físico não embarcado - Nov08 - Conferido_DB Entrada_1_Relatório Gerencial_1_DB Entrada_Relatório Gerencial_DB Entrada" xfId="11282"/>
    <cellStyle name="s_Valuation _DB Dados do Mercado_Açúcar Físico não embarcado - Nov08 - Conferido_DB Entrada_1_Relatório Gerencial_1_DB Entrada_Relatório Gerencial_DB Entrada 2" xfId="11283"/>
    <cellStyle name="s_Valuation _DB Dados do Mercado_Açúcar Físico não embarcado - Nov08 - Conferido_DB Entrada_1_Relatório Gerencial_1_DB Entrada_Relatório Gerencial_DB Entrada 2_15-FINANCEIRAS" xfId="11284"/>
    <cellStyle name="s_Valuation _DB Dados do Mercado_Açúcar Físico não embarcado - Nov08 - Conferido_DB Entrada_1_Relatório Gerencial_1_DB Entrada_Relatório Gerencial_DB Entrada_15-FINANCEIRAS" xfId="11285"/>
    <cellStyle name="s_Valuation _DB Dados do Mercado_Açúcar Físico não embarcado - Nov08 - Conferido_DB Entrada_1_Relatório Gerencial_1_DB Entrada_Relatório Gerencial_DB Entrada_15-FINANCEIRAS_1" xfId="11286"/>
    <cellStyle name="s_Valuation _DB Dados do Mercado_Açúcar Físico não embarcado - Nov08 - Conferido_DB Entrada_1_Relatório Gerencial_1_DB Entrada_Relatório Gerencial_DB Entrada_3-Balanço" xfId="11287"/>
    <cellStyle name="s_Valuation _DB Dados do Mercado_Açúcar Físico não embarcado - Nov08 - Conferido_DB Entrada_1_Relatório Gerencial_1_DB Entrada_Relatório Gerencial_DB Entrada_7-Estoque" xfId="11288"/>
    <cellStyle name="s_Valuation _DB Dados do Mercado_Açúcar Físico não embarcado - Nov08 - Conferido_DB Entrada_1_Relatório Gerencial_1_DB Exposição" xfId="11289"/>
    <cellStyle name="s_Valuation _DB Dados do Mercado_Açúcar Físico não embarcado - Nov08 - Conferido_DB Entrada_1_Relatório Gerencial_1_DB Exposição 2" xfId="11290"/>
    <cellStyle name="s_Valuation _DB Dados do Mercado_Açúcar Físico não embarcado - Nov08 - Conferido_DB Entrada_1_Relatório Gerencial_1_DB Exposição 2_15-FINANCEIRAS" xfId="11291"/>
    <cellStyle name="s_Valuation _DB Dados do Mercado_Açúcar Físico não embarcado - Nov08 - Conferido_DB Entrada_1_Relatório Gerencial_1_DB Exposição_15-FINANCEIRAS" xfId="11292"/>
    <cellStyle name="s_Valuation _DB Dados do Mercado_Açúcar Físico não embarcado - Nov08 - Conferido_DB Entrada_1_Relatório Gerencial_1_DB Exposição_15-FINANCEIRAS_1" xfId="11293"/>
    <cellStyle name="s_Valuation _DB Dados do Mercado_Açúcar Físico não embarcado - Nov08 - Conferido_DB Entrada_1_Relatório Gerencial_1_DB Exposição_3-Balanço" xfId="11294"/>
    <cellStyle name="s_Valuation _DB Dados do Mercado_Açúcar Físico não embarcado - Nov08 - Conferido_DB Entrada_1_Relatório Gerencial_1_DB Exposição_7-Estoque" xfId="11295"/>
    <cellStyle name="s_Valuation _DB Dados do Mercado_Açúcar Físico não embarcado - Nov08 - Conferido_DB Entrada_1_Relatório Gerencial_1_DB Exposição_Relatório Gerencial" xfId="11296"/>
    <cellStyle name="s_Valuation _DB Dados do Mercado_Açúcar Físico não embarcado - Nov08 - Conferido_DB Entrada_1_Relatório Gerencial_1_DB Exposição_Relatório Gerencial 2" xfId="11297"/>
    <cellStyle name="s_Valuation _DB Dados do Mercado_Açúcar Físico não embarcado - Nov08 - Conferido_DB Entrada_1_Relatório Gerencial_1_DB Exposição_Relatório Gerencial 2_15-FINANCEIRAS" xfId="11298"/>
    <cellStyle name="s_Valuation _DB Dados do Mercado_Açúcar Físico não embarcado - Nov08 - Conferido_DB Entrada_1_Relatório Gerencial_1_DB Exposição_Relatório Gerencial_15-FINANCEIRAS" xfId="11299"/>
    <cellStyle name="s_Valuation _DB Dados do Mercado_Açúcar Físico não embarcado - Nov08 - Conferido_DB Entrada_1_Relatório Gerencial_1_DB Exposição_Relatório Gerencial_15-FINANCEIRAS_1" xfId="11300"/>
    <cellStyle name="s_Valuation _DB Dados do Mercado_Açúcar Físico não embarcado - Nov08 - Conferido_DB Entrada_1_Relatório Gerencial_1_DB Exposição_Relatório Gerencial_3-Balanço" xfId="11301"/>
    <cellStyle name="s_Valuation _DB Dados do Mercado_Açúcar Físico não embarcado - Nov08 - Conferido_DB Entrada_1_Relatório Gerencial_1_DB Exposição_Relatório Gerencial_7-Estoque" xfId="11302"/>
    <cellStyle name="s_Valuation _DB Dados do Mercado_Açúcar Físico não embarcado - Nov08 - Conferido_DB Entrada_1_Relatório Gerencial_1_DB Exposição_Relatório Gerencial_DB Entrada" xfId="11303"/>
    <cellStyle name="s_Valuation _DB Dados do Mercado_Açúcar Físico não embarcado - Nov08 - Conferido_DB Entrada_1_Relatório Gerencial_1_DB Exposição_Relatório Gerencial_DB Entrada 2" xfId="11304"/>
    <cellStyle name="s_Valuation _DB Dados do Mercado_Açúcar Físico não embarcado - Nov08 - Conferido_DB Entrada_1_Relatório Gerencial_1_DB Exposição_Relatório Gerencial_DB Entrada 2_15-FINANCEIRAS" xfId="11305"/>
    <cellStyle name="s_Valuation _DB Dados do Mercado_Açúcar Físico não embarcado - Nov08 - Conferido_DB Entrada_1_Relatório Gerencial_1_DB Exposição_Relatório Gerencial_DB Entrada_15-FINANCEIRAS" xfId="11306"/>
    <cellStyle name="s_Valuation _DB Dados do Mercado_Açúcar Físico não embarcado - Nov08 - Conferido_DB Entrada_1_Relatório Gerencial_1_DB Exposição_Relatório Gerencial_DB Entrada_15-FINANCEIRAS_1" xfId="11307"/>
    <cellStyle name="s_Valuation _DB Dados do Mercado_Açúcar Físico não embarcado - Nov08 - Conferido_DB Entrada_1_Relatório Gerencial_1_DB Exposição_Relatório Gerencial_DB Entrada_3-Balanço" xfId="11308"/>
    <cellStyle name="s_Valuation _DB Dados do Mercado_Açúcar Físico não embarcado - Nov08 - Conferido_DB Entrada_1_Relatório Gerencial_1_DB Exposição_Relatório Gerencial_DB Entrada_7-Estoque" xfId="11309"/>
    <cellStyle name="s_Valuation _DB Dados do Mercado_Açúcar Físico não embarcado - Nov08 - Conferido_DB Entrada_1_Relatório Gerencial_1_DB Posição" xfId="11310"/>
    <cellStyle name="s_Valuation _DB Dados do Mercado_Açúcar Físico não embarcado - Nov08 - Conferido_DB Entrada_1_Relatório Gerencial_1_DB Posição 2" xfId="11311"/>
    <cellStyle name="s_Valuation _DB Dados do Mercado_Açúcar Físico não embarcado - Nov08 - Conferido_DB Entrada_1_Relatório Gerencial_1_DB Posição 2_15-FINANCEIRAS" xfId="11312"/>
    <cellStyle name="s_Valuation _DB Dados do Mercado_Açúcar Físico não embarcado - Nov08 - Conferido_DB Entrada_1_Relatório Gerencial_1_DB Posição_15-FINANCEIRAS" xfId="11313"/>
    <cellStyle name="s_Valuation _DB Dados do Mercado_Açúcar Físico não embarcado - Nov08 - Conferido_DB Entrada_1_Relatório Gerencial_1_DB Posição_15-FINANCEIRAS_1" xfId="11314"/>
    <cellStyle name="s_Valuation _DB Dados do Mercado_Açúcar Físico não embarcado - Nov08 - Conferido_DB Entrada_1_Relatório Gerencial_1_DB Posição_3-Balanço" xfId="11315"/>
    <cellStyle name="s_Valuation _DB Dados do Mercado_Açúcar Físico não embarcado - Nov08 - Conferido_DB Entrada_1_Relatório Gerencial_1_DB Posição_7-Estoque" xfId="11316"/>
    <cellStyle name="s_Valuation _DB Dados do Mercado_Açúcar Físico não embarcado - Nov08 - Conferido_DB Entrada_1_Relatório Gerencial_1_Relatório de Commodities" xfId="11317"/>
    <cellStyle name="s_Valuation _DB Dados do Mercado_Açúcar Físico não embarcado - Nov08 - Conferido_DB Entrada_1_Relatório Gerencial_1_Relatório de Commodities 2" xfId="11318"/>
    <cellStyle name="s_Valuation _DB Dados do Mercado_Açúcar Físico não embarcado - Nov08 - Conferido_DB Entrada_1_Relatório Gerencial_1_Relatório de Commodities 2_15-FINANCEIRAS" xfId="11319"/>
    <cellStyle name="s_Valuation _DB Dados do Mercado_Açúcar Físico não embarcado - Nov08 - Conferido_DB Entrada_1_Relatório Gerencial_1_Relatório de Commodities_15-FINANCEIRAS" xfId="11320"/>
    <cellStyle name="s_Valuation _DB Dados do Mercado_Açúcar Físico não embarcado - Nov08 - Conferido_DB Entrada_1_Relatório Gerencial_1_Relatório de Commodities_15-FINANCEIRAS_1" xfId="11321"/>
    <cellStyle name="s_Valuation _DB Dados do Mercado_Açúcar Físico não embarcado - Nov08 - Conferido_DB Entrada_1_Relatório Gerencial_1_Relatório de Commodities_3-Balanço" xfId="11322"/>
    <cellStyle name="s_Valuation _DB Dados do Mercado_Açúcar Físico não embarcado - Nov08 - Conferido_DB Entrada_1_Relatório Gerencial_1_Relatório de Commodities_7-Estoque" xfId="11323"/>
    <cellStyle name="s_Valuation _DB Dados do Mercado_Açúcar Físico não embarcado - Nov08 - Conferido_DB Entrada_1_Relatório Gerencial_1_Relatório de Commodities_Relatório Gerencial" xfId="11324"/>
    <cellStyle name="s_Valuation _DB Dados do Mercado_Açúcar Físico não embarcado - Nov08 - Conferido_DB Entrada_1_Relatório Gerencial_1_Relatório de Commodities_Relatório Gerencial 2" xfId="11325"/>
    <cellStyle name="s_Valuation _DB Dados do Mercado_Açúcar Físico não embarcado - Nov08 - Conferido_DB Entrada_1_Relatório Gerencial_1_Relatório de Commodities_Relatório Gerencial 2_15-FINANCEIRAS" xfId="11326"/>
    <cellStyle name="s_Valuation _DB Dados do Mercado_Açúcar Físico não embarcado - Nov08 - Conferido_DB Entrada_1_Relatório Gerencial_1_Relatório de Commodities_Relatório Gerencial_15-FINANCEIRAS" xfId="11327"/>
    <cellStyle name="s_Valuation _DB Dados do Mercado_Açúcar Físico não embarcado - Nov08 - Conferido_DB Entrada_1_Relatório Gerencial_1_Relatório de Commodities_Relatório Gerencial_15-FINANCEIRAS_1" xfId="11328"/>
    <cellStyle name="s_Valuation _DB Dados do Mercado_Açúcar Físico não embarcado - Nov08 - Conferido_DB Entrada_1_Relatório Gerencial_1_Relatório de Commodities_Relatório Gerencial_3-Balanço" xfId="11329"/>
    <cellStyle name="s_Valuation _DB Dados do Mercado_Açúcar Físico não embarcado - Nov08 - Conferido_DB Entrada_1_Relatório Gerencial_1_Relatório de Commodities_Relatório Gerencial_7-Estoque" xfId="11330"/>
    <cellStyle name="s_Valuation _DB Dados do Mercado_Açúcar Físico não embarcado - Nov08 - Conferido_DB Entrada_1_Relatório Gerencial_1_Relatório de Commodities_Relatório Gerencial_DB Entrada" xfId="11331"/>
    <cellStyle name="s_Valuation _DB Dados do Mercado_Açúcar Físico não embarcado - Nov08 - Conferido_DB Entrada_1_Relatório Gerencial_1_Relatório de Commodities_Relatório Gerencial_DB Entrada 2" xfId="11332"/>
    <cellStyle name="s_Valuation _DB Dados do Mercado_Açúcar Físico não embarcado - Nov08 - Conferido_DB Entrada_1_Relatório Gerencial_1_Relatório de Commodities_Relatório Gerencial_DB Entrada 2_15-FINANCEIRAS" xfId="11333"/>
    <cellStyle name="s_Valuation _DB Dados do Mercado_Açúcar Físico não embarcado - Nov08 - Conferido_DB Entrada_1_Relatório Gerencial_1_Relatório de Commodities_Relatório Gerencial_DB Entrada_15-FINANCEIRAS" xfId="11334"/>
    <cellStyle name="s_Valuation _DB Dados do Mercado_Açúcar Físico não embarcado - Nov08 - Conferido_DB Entrada_1_Relatório Gerencial_1_Relatório de Commodities_Relatório Gerencial_DB Entrada_15-FINANCEIRAS_1" xfId="11335"/>
    <cellStyle name="s_Valuation _DB Dados do Mercado_Açúcar Físico não embarcado - Nov08 - Conferido_DB Entrada_1_Relatório Gerencial_1_Relatório de Commodities_Relatório Gerencial_DB Entrada_3-Balanço" xfId="11336"/>
    <cellStyle name="s_Valuation _DB Dados do Mercado_Açúcar Físico não embarcado - Nov08 - Conferido_DB Entrada_1_Relatório Gerencial_1_Relatório de Commodities_Relatório Gerencial_DB Entrada_7-Estoque" xfId="11337"/>
    <cellStyle name="s_Valuation _DB Dados do Mercado_Açúcar Físico não embarcado - Nov08 - Conferido_DB Entrada_1_Relatório Gerencial_1_Relatório Fechamento" xfId="11338"/>
    <cellStyle name="s_Valuation _DB Dados do Mercado_Açúcar Físico não embarcado - Nov08 - Conferido_DB Entrada_1_Relatório Gerencial_1_Relatório Fechamento 2" xfId="11339"/>
    <cellStyle name="s_Valuation _DB Dados do Mercado_Açúcar Físico não embarcado - Nov08 - Conferido_DB Entrada_1_Relatório Gerencial_1_Relatório Fechamento 2_15-FINANCEIRAS" xfId="11340"/>
    <cellStyle name="s_Valuation _DB Dados do Mercado_Açúcar Físico não embarcado - Nov08 - Conferido_DB Entrada_1_Relatório Gerencial_1_Relatório Fechamento_15-FINANCEIRAS" xfId="11341"/>
    <cellStyle name="s_Valuation _DB Dados do Mercado_Açúcar Físico não embarcado - Nov08 - Conferido_DB Entrada_1_Relatório Gerencial_1_Relatório Fechamento_15-FINANCEIRAS_1" xfId="11342"/>
    <cellStyle name="s_Valuation _DB Dados do Mercado_Açúcar Físico não embarcado - Nov08 - Conferido_DB Entrada_1_Relatório Gerencial_1_Relatório Fechamento_3-Balanço" xfId="11343"/>
    <cellStyle name="s_Valuation _DB Dados do Mercado_Açúcar Físico não embarcado - Nov08 - Conferido_DB Entrada_1_Relatório Gerencial_1_Relatório Fechamento_7-Estoque" xfId="11344"/>
    <cellStyle name="s_Valuation _DB Dados do Mercado_Açúcar Físico não embarcado - Nov08 - Conferido_DB Entrada_1_Relatório Gerencial_1_Relatório Gerencial" xfId="11345"/>
    <cellStyle name="s_Valuation _DB Dados do Mercado_Açúcar Físico não embarcado - Nov08 - Conferido_DB Entrada_1_Relatório Gerencial_1_Relatório Gerencial 2" xfId="11346"/>
    <cellStyle name="s_Valuation _DB Dados do Mercado_Açúcar Físico não embarcado - Nov08 - Conferido_DB Entrada_1_Relatório Gerencial_1_Relatório Gerencial 2_15-FINANCEIRAS" xfId="11347"/>
    <cellStyle name="s_Valuation _DB Dados do Mercado_Açúcar Físico não embarcado - Nov08 - Conferido_DB Entrada_1_Relatório Gerencial_1_Relatório Gerencial_1" xfId="11348"/>
    <cellStyle name="s_Valuation _DB Dados do Mercado_Açúcar Físico não embarcado - Nov08 - Conferido_DB Entrada_1_Relatório Gerencial_1_Relatório Gerencial_1 2" xfId="11349"/>
    <cellStyle name="s_Valuation _DB Dados do Mercado_Açúcar Físico não embarcado - Nov08 - Conferido_DB Entrada_1_Relatório Gerencial_1_Relatório Gerencial_1 2_15-FINANCEIRAS" xfId="11350"/>
    <cellStyle name="s_Valuation _DB Dados do Mercado_Açúcar Físico não embarcado - Nov08 - Conferido_DB Entrada_1_Relatório Gerencial_1_Relatório Gerencial_1_15-FINANCEIRAS" xfId="11351"/>
    <cellStyle name="s_Valuation _DB Dados do Mercado_Açúcar Físico não embarcado - Nov08 - Conferido_DB Entrada_1_Relatório Gerencial_1_Relatório Gerencial_1_15-FINANCEIRAS_1" xfId="11352"/>
    <cellStyle name="s_Valuation _DB Dados do Mercado_Açúcar Físico não embarcado - Nov08 - Conferido_DB Entrada_1_Relatório Gerencial_1_Relatório Gerencial_1_3-Balanço" xfId="11353"/>
    <cellStyle name="s_Valuation _DB Dados do Mercado_Açúcar Físico não embarcado - Nov08 - Conferido_DB Entrada_1_Relatório Gerencial_1_Relatório Gerencial_1_7-Estoque" xfId="11354"/>
    <cellStyle name="s_Valuation _DB Dados do Mercado_Açúcar Físico não embarcado - Nov08 - Conferido_DB Entrada_1_Relatório Gerencial_1_Relatório Gerencial_15-FINANCEIRAS" xfId="11355"/>
    <cellStyle name="s_Valuation _DB Dados do Mercado_Açúcar Físico não embarcado - Nov08 - Conferido_DB Entrada_1_Relatório Gerencial_1_Relatório Gerencial_15-FINANCEIRAS_1" xfId="11356"/>
    <cellStyle name="s_Valuation _DB Dados do Mercado_Açúcar Físico não embarcado - Nov08 - Conferido_DB Entrada_1_Relatório Gerencial_1_Relatório Gerencial_2" xfId="11357"/>
    <cellStyle name="s_Valuation _DB Dados do Mercado_Açúcar Físico não embarcado - Nov08 - Conferido_DB Entrada_1_Relatório Gerencial_1_Relatório Gerencial_2 2" xfId="11358"/>
    <cellStyle name="s_Valuation _DB Dados do Mercado_Açúcar Físico não embarcado - Nov08 - Conferido_DB Entrada_1_Relatório Gerencial_1_Relatório Gerencial_2 2_15-FINANCEIRAS" xfId="11359"/>
    <cellStyle name="s_Valuation _DB Dados do Mercado_Açúcar Físico não embarcado - Nov08 - Conferido_DB Entrada_1_Relatório Gerencial_1_Relatório Gerencial_2_15-FINANCEIRAS" xfId="11360"/>
    <cellStyle name="s_Valuation _DB Dados do Mercado_Açúcar Físico não embarcado - Nov08 - Conferido_DB Entrada_1_Relatório Gerencial_1_Relatório Gerencial_2_15-FINANCEIRAS_1" xfId="11361"/>
    <cellStyle name="s_Valuation _DB Dados do Mercado_Açúcar Físico não embarcado - Nov08 - Conferido_DB Entrada_1_Relatório Gerencial_1_Relatório Gerencial_2_3-Balanço" xfId="11362"/>
    <cellStyle name="s_Valuation _DB Dados do Mercado_Açúcar Físico não embarcado - Nov08 - Conferido_DB Entrada_1_Relatório Gerencial_1_Relatório Gerencial_2_7-Estoque" xfId="11363"/>
    <cellStyle name="s_Valuation _DB Dados do Mercado_Açúcar Físico não embarcado - Nov08 - Conferido_DB Entrada_1_Relatório Gerencial_1_Relatório Gerencial_2_DB Entrada" xfId="11364"/>
    <cellStyle name="s_Valuation _DB Dados do Mercado_Açúcar Físico não embarcado - Nov08 - Conferido_DB Entrada_1_Relatório Gerencial_1_Relatório Gerencial_2_DB Entrada 2" xfId="11365"/>
    <cellStyle name="s_Valuation _DB Dados do Mercado_Açúcar Físico não embarcado - Nov08 - Conferido_DB Entrada_1_Relatório Gerencial_1_Relatório Gerencial_2_DB Entrada 2_15-FINANCEIRAS" xfId="11366"/>
    <cellStyle name="s_Valuation _DB Dados do Mercado_Açúcar Físico não embarcado - Nov08 - Conferido_DB Entrada_1_Relatório Gerencial_1_Relatório Gerencial_2_DB Entrada_15-FINANCEIRAS" xfId="11367"/>
    <cellStyle name="s_Valuation _DB Dados do Mercado_Açúcar Físico não embarcado - Nov08 - Conferido_DB Entrada_1_Relatório Gerencial_1_Relatório Gerencial_2_DB Entrada_15-FINANCEIRAS_1" xfId="11368"/>
    <cellStyle name="s_Valuation _DB Dados do Mercado_Açúcar Físico não embarcado - Nov08 - Conferido_DB Entrada_1_Relatório Gerencial_1_Relatório Gerencial_2_DB Entrada_3-Balanço" xfId="11369"/>
    <cellStyle name="s_Valuation _DB Dados do Mercado_Açúcar Físico não embarcado - Nov08 - Conferido_DB Entrada_1_Relatório Gerencial_1_Relatório Gerencial_2_DB Entrada_7-Estoque" xfId="11370"/>
    <cellStyle name="s_Valuation _DB Dados do Mercado_Açúcar Físico não embarcado - Nov08 - Conferido_DB Entrada_1_Relatório Gerencial_1_Relatório Gerencial_3-Balanço" xfId="11371"/>
    <cellStyle name="s_Valuation _DB Dados do Mercado_Açúcar Físico não embarcado - Nov08 - Conferido_DB Entrada_1_Relatório Gerencial_1_Relatório Gerencial_7-Estoque" xfId="11372"/>
    <cellStyle name="s_Valuation _DB Dados do Mercado_Açúcar Físico não embarcado - Nov08 - Conferido_DB Entrada_1_Relatório Gerencial_1_Relatório Gerencial_DB Boletas Abertas" xfId="11373"/>
    <cellStyle name="s_Valuation _DB Dados do Mercado_Açúcar Físico não embarcado - Nov08 - Conferido_DB Entrada_1_Relatório Gerencial_1_Relatório Gerencial_DB Boletas Abertas 2" xfId="11374"/>
    <cellStyle name="s_Valuation _DB Dados do Mercado_Açúcar Físico não embarcado - Nov08 - Conferido_DB Entrada_1_Relatório Gerencial_1_Relatório Gerencial_DB Boletas Abertas 2_15-FINANCEIRAS" xfId="11375"/>
    <cellStyle name="s_Valuation _DB Dados do Mercado_Açúcar Físico não embarcado - Nov08 - Conferido_DB Entrada_1_Relatório Gerencial_1_Relatório Gerencial_DB Boletas Abertas_15-FINANCEIRAS" xfId="11376"/>
    <cellStyle name="s_Valuation _DB Dados do Mercado_Açúcar Físico não embarcado - Nov08 - Conferido_DB Entrada_1_Relatório Gerencial_1_Relatório Gerencial_DB Boletas Abertas_15-FINANCEIRAS_1" xfId="11377"/>
    <cellStyle name="s_Valuation _DB Dados do Mercado_Açúcar Físico não embarcado - Nov08 - Conferido_DB Entrada_1_Relatório Gerencial_1_Relatório Gerencial_DB Boletas Abertas_3-Balanço" xfId="11378"/>
    <cellStyle name="s_Valuation _DB Dados do Mercado_Açúcar Físico não embarcado - Nov08 - Conferido_DB Entrada_1_Relatório Gerencial_1_Relatório Gerencial_DB Boletas Abertas_7-Estoque" xfId="11379"/>
    <cellStyle name="s_Valuation _DB Dados do Mercado_Açúcar Físico não embarcado - Nov08 - Conferido_DB Entrada_1_Relatório Gerencial_1_Relatório Gerencial_DB Boletas Vencendo" xfId="11380"/>
    <cellStyle name="s_Valuation _DB Dados do Mercado_Açúcar Físico não embarcado - Nov08 - Conferido_DB Entrada_1_Relatório Gerencial_1_Relatório Gerencial_DB Boletas Vencendo 2" xfId="11381"/>
    <cellStyle name="s_Valuation _DB Dados do Mercado_Açúcar Físico não embarcado - Nov08 - Conferido_DB Entrada_1_Relatório Gerencial_1_Relatório Gerencial_DB Boletas Vencendo 2_15-FINANCEIRAS" xfId="11382"/>
    <cellStyle name="s_Valuation _DB Dados do Mercado_Açúcar Físico não embarcado - Nov08 - Conferido_DB Entrada_1_Relatório Gerencial_1_Relatório Gerencial_DB Boletas Vencendo_15-FINANCEIRAS" xfId="11383"/>
    <cellStyle name="s_Valuation _DB Dados do Mercado_Açúcar Físico não embarcado - Nov08 - Conferido_DB Entrada_1_Relatório Gerencial_1_Relatório Gerencial_DB Boletas Vencendo_15-FINANCEIRAS_1" xfId="11384"/>
    <cellStyle name="s_Valuation _DB Dados do Mercado_Açúcar Físico não embarcado - Nov08 - Conferido_DB Entrada_1_Relatório Gerencial_1_Relatório Gerencial_DB Boletas Vencendo_3-Balanço" xfId="11385"/>
    <cellStyle name="s_Valuation _DB Dados do Mercado_Açúcar Físico não embarcado - Nov08 - Conferido_DB Entrada_1_Relatório Gerencial_1_Relatório Gerencial_DB Boletas Vencendo_7-Estoque" xfId="11386"/>
    <cellStyle name="s_Valuation _DB Dados do Mercado_Açúcar Físico não embarcado - Nov08 - Conferido_DB Entrada_1_Relatório Gerencial_1_Relatório Gerencial_DB Boletas Vencendo_Relatório Gerencial" xfId="11387"/>
    <cellStyle name="s_Valuation _DB Dados do Mercado_Açúcar Físico não embarcado - Nov08 - Conferido_DB Entrada_1_Relatório Gerencial_1_Relatório Gerencial_DB Boletas Vencendo_Relatório Gerencial 2" xfId="11388"/>
    <cellStyle name="s_Valuation _DB Dados do Mercado_Açúcar Físico não embarcado - Nov08 - Conferido_DB Entrada_1_Relatório Gerencial_1_Relatório Gerencial_DB Boletas Vencendo_Relatório Gerencial 2_15-FINANCEIRAS" xfId="11389"/>
    <cellStyle name="s_Valuation _DB Dados do Mercado_Açúcar Físico não embarcado - Nov08 - Conferido_DB Entrada_1_Relatório Gerencial_1_Relatório Gerencial_DB Boletas Vencendo_Relatório Gerencial_15-FINANCEIRAS" xfId="11390"/>
    <cellStyle name="s_Valuation _DB Dados do Mercado_Açúcar Físico não embarcado - Nov08 - Conferido_DB Entrada_1_Relatório Gerencial_1_Relatório Gerencial_DB Boletas Vencendo_Relatório Gerencial_15-FINANCEIRAS_1" xfId="11391"/>
    <cellStyle name="s_Valuation _DB Dados do Mercado_Açúcar Físico não embarcado - Nov08 - Conferido_DB Entrada_1_Relatório Gerencial_1_Relatório Gerencial_DB Boletas Vencendo_Relatório Gerencial_3-Balanço" xfId="11392"/>
    <cellStyle name="s_Valuation _DB Dados do Mercado_Açúcar Físico não embarcado - Nov08 - Conferido_DB Entrada_1_Relatório Gerencial_1_Relatório Gerencial_DB Boletas Vencendo_Relatório Gerencial_7-Estoque" xfId="11393"/>
    <cellStyle name="s_Valuation _DB Dados do Mercado_Açúcar Físico não embarcado - Nov08 - Conferido_DB Entrada_1_Relatório Gerencial_1_Relatório Gerencial_DB Boletas Vencendo_Relatório Gerencial_DB Entrada" xfId="11394"/>
    <cellStyle name="s_Valuation _DB Dados do Mercado_Açúcar Físico não embarcado - Nov08 - Conferido_DB Entrada_1_Relatório Gerencial_1_Relatório Gerencial_DB Boletas Vencendo_Relatório Gerencial_DB Entrada 2" xfId="11395"/>
    <cellStyle name="s_Valuation _DB Dados do Mercado_Açúcar Físico não embarcado - Nov08 - Conferido_DB Entrada_1_Relatório Gerencial_1_Relatório Gerencial_DB Boletas Vencendo_Relatório Gerencial_DB Entrada 2_15-FINANCEIRAS" xfId="11396"/>
    <cellStyle name="s_Valuation _DB Dados do Mercado_Açúcar Físico não embarcado - Nov08 - Conferido_DB Entrada_1_Relatório Gerencial_1_Relatório Gerencial_DB Boletas Vencendo_Relatório Gerencial_DB Entrada_15-FINANCEIRAS" xfId="11397"/>
    <cellStyle name="s_Valuation _DB Dados do Mercado_Açúcar Físico não embarcado - Nov08 - Conferido_DB Entrada_1_Relatório Gerencial_1_Relatório Gerencial_DB Boletas Vencendo_Relatório Gerencial_DB Entrada_15-FINANCEIRAS_1" xfId="11398"/>
    <cellStyle name="s_Valuation _DB Dados do Mercado_Açúcar Físico não embarcado - Nov08 - Conferido_DB Entrada_1_Relatório Gerencial_1_Relatório Gerencial_DB Boletas Vencendo_Relatório Gerencial_DB Entrada_3-Balanço" xfId="11399"/>
    <cellStyle name="s_Valuation _DB Dados do Mercado_Açúcar Físico não embarcado - Nov08 - Conferido_DB Entrada_1_Relatório Gerencial_1_Relatório Gerencial_DB Boletas Vencendo_Relatório Gerencial_DB Entrada_7-Estoque" xfId="11400"/>
    <cellStyle name="s_Valuation _DB Dados do Mercado_Açúcar Físico não embarcado - Nov08 - Conferido_DB Entrada_1_Relatório Gerencial_1_Relatório Gerencial_DB Controle" xfId="11401"/>
    <cellStyle name="s_Valuation _DB Dados do Mercado_Açúcar Físico não embarcado - Nov08 - Conferido_DB Entrada_1_Relatório Gerencial_1_Relatório Gerencial_DB Controle 2" xfId="11402"/>
    <cellStyle name="s_Valuation _DB Dados do Mercado_Açúcar Físico não embarcado - Nov08 - Conferido_DB Entrada_1_Relatório Gerencial_1_Relatório Gerencial_DB Controle 2_15-FINANCEIRAS" xfId="11403"/>
    <cellStyle name="s_Valuation _DB Dados do Mercado_Açúcar Físico não embarcado - Nov08 - Conferido_DB Entrada_1_Relatório Gerencial_1_Relatório Gerencial_DB Controle_15-FINANCEIRAS" xfId="11404"/>
    <cellStyle name="s_Valuation _DB Dados do Mercado_Açúcar Físico não embarcado - Nov08 - Conferido_DB Entrada_1_Relatório Gerencial_1_Relatório Gerencial_DB Controle_15-FINANCEIRAS_1" xfId="11405"/>
    <cellStyle name="s_Valuation _DB Dados do Mercado_Açúcar Físico não embarcado - Nov08 - Conferido_DB Entrada_1_Relatório Gerencial_1_Relatório Gerencial_DB Controle_3-Balanço" xfId="11406"/>
    <cellStyle name="s_Valuation _DB Dados do Mercado_Açúcar Físico não embarcado - Nov08 - Conferido_DB Entrada_1_Relatório Gerencial_1_Relatório Gerencial_DB Controle_7-Estoque" xfId="11407"/>
    <cellStyle name="s_Valuation _DB Dados do Mercado_Açúcar Físico não embarcado - Nov08 - Conferido_DB Entrada_1_Relatório Gerencial_1_Relatório Gerencial_DB Entrada" xfId="11408"/>
    <cellStyle name="s_Valuation _DB Dados do Mercado_Açúcar Físico não embarcado - Nov08 - Conferido_DB Entrada_1_Relatório Gerencial_1_Relatório Gerencial_DB Entrada 2" xfId="11409"/>
    <cellStyle name="s_Valuation _DB Dados do Mercado_Açúcar Físico não embarcado - Nov08 - Conferido_DB Entrada_1_Relatório Gerencial_1_Relatório Gerencial_DB Entrada 2_15-FINANCEIRAS" xfId="11410"/>
    <cellStyle name="s_Valuation _DB Dados do Mercado_Açúcar Físico não embarcado - Nov08 - Conferido_DB Entrada_1_Relatório Gerencial_1_Relatório Gerencial_DB Entrada_1" xfId="11411"/>
    <cellStyle name="s_Valuation _DB Dados do Mercado_Açúcar Físico não embarcado - Nov08 - Conferido_DB Entrada_1_Relatório Gerencial_1_Relatório Gerencial_DB Entrada_1 2" xfId="11412"/>
    <cellStyle name="s_Valuation _DB Dados do Mercado_Açúcar Físico não embarcado - Nov08 - Conferido_DB Entrada_1_Relatório Gerencial_1_Relatório Gerencial_DB Entrada_1 2_15-FINANCEIRAS" xfId="11413"/>
    <cellStyle name="s_Valuation _DB Dados do Mercado_Açúcar Físico não embarcado - Nov08 - Conferido_DB Entrada_1_Relatório Gerencial_1_Relatório Gerencial_DB Entrada_1_15-FINANCEIRAS" xfId="11414"/>
    <cellStyle name="s_Valuation _DB Dados do Mercado_Açúcar Físico não embarcado - Nov08 - Conferido_DB Entrada_1_Relatório Gerencial_1_Relatório Gerencial_DB Entrada_1_15-FINANCEIRAS_1" xfId="11415"/>
    <cellStyle name="s_Valuation _DB Dados do Mercado_Açúcar Físico não embarcado - Nov08 - Conferido_DB Entrada_1_Relatório Gerencial_1_Relatório Gerencial_DB Entrada_1_3-Balanço" xfId="11416"/>
    <cellStyle name="s_Valuation _DB Dados do Mercado_Açúcar Físico não embarcado - Nov08 - Conferido_DB Entrada_1_Relatório Gerencial_1_Relatório Gerencial_DB Entrada_1_7-Estoque" xfId="11417"/>
    <cellStyle name="s_Valuation _DB Dados do Mercado_Açúcar Físico não embarcado - Nov08 - Conferido_DB Entrada_1_Relatório Gerencial_1_Relatório Gerencial_DB Entrada_1_DB Boletas Abertas" xfId="11418"/>
    <cellStyle name="s_Valuation _DB Dados do Mercado_Açúcar Físico não embarcado - Nov08 - Conferido_DB Entrada_1_Relatório Gerencial_1_Relatório Gerencial_DB Entrada_1_DB Boletas Abertas 2" xfId="11419"/>
    <cellStyle name="s_Valuation _DB Dados do Mercado_Açúcar Físico não embarcado - Nov08 - Conferido_DB Entrada_1_Relatório Gerencial_1_Relatório Gerencial_DB Entrada_1_DB Boletas Abertas 2_15-FINANCEIRAS" xfId="11420"/>
    <cellStyle name="s_Valuation _DB Dados do Mercado_Açúcar Físico não embarcado - Nov08 - Conferido_DB Entrada_1_Relatório Gerencial_1_Relatório Gerencial_DB Entrada_1_DB Boletas Abertas_15-FINANCEIRAS" xfId="11421"/>
    <cellStyle name="s_Valuation _DB Dados do Mercado_Açúcar Físico não embarcado - Nov08 - Conferido_DB Entrada_1_Relatório Gerencial_1_Relatório Gerencial_DB Entrada_1_DB Boletas Abertas_15-FINANCEIRAS_1" xfId="11422"/>
    <cellStyle name="s_Valuation _DB Dados do Mercado_Açúcar Físico não embarcado - Nov08 - Conferido_DB Entrada_1_Relatório Gerencial_1_Relatório Gerencial_DB Entrada_1_DB Boletas Abertas_3-Balanço" xfId="11423"/>
    <cellStyle name="s_Valuation _DB Dados do Mercado_Açúcar Físico não embarcado - Nov08 - Conferido_DB Entrada_1_Relatório Gerencial_1_Relatório Gerencial_DB Entrada_1_DB Boletas Abertas_7-Estoque" xfId="11424"/>
    <cellStyle name="s_Valuation _DB Dados do Mercado_Açúcar Físico não embarcado - Nov08 - Conferido_DB Entrada_1_Relatório Gerencial_1_Relatório Gerencial_DB Entrada_1_DB Controle" xfId="11425"/>
    <cellStyle name="s_Valuation _DB Dados do Mercado_Açúcar Físico não embarcado - Nov08 - Conferido_DB Entrada_1_Relatório Gerencial_1_Relatório Gerencial_DB Entrada_1_DB Controle 2" xfId="11426"/>
    <cellStyle name="s_Valuation _DB Dados do Mercado_Açúcar Físico não embarcado - Nov08 - Conferido_DB Entrada_1_Relatório Gerencial_1_Relatório Gerencial_DB Entrada_1_DB Controle 2_15-FINANCEIRAS" xfId="11427"/>
    <cellStyle name="s_Valuation _DB Dados do Mercado_Açúcar Físico não embarcado - Nov08 - Conferido_DB Entrada_1_Relatório Gerencial_1_Relatório Gerencial_DB Entrada_1_DB Controle_15-FINANCEIRAS" xfId="11428"/>
    <cellStyle name="s_Valuation _DB Dados do Mercado_Açúcar Físico não embarcado - Nov08 - Conferido_DB Entrada_1_Relatório Gerencial_1_Relatório Gerencial_DB Entrada_1_DB Controle_15-FINANCEIRAS_1" xfId="11429"/>
    <cellStyle name="s_Valuation _DB Dados do Mercado_Açúcar Físico não embarcado - Nov08 - Conferido_DB Entrada_1_Relatório Gerencial_1_Relatório Gerencial_DB Entrada_1_DB Controle_3-Balanço" xfId="11430"/>
    <cellStyle name="s_Valuation _DB Dados do Mercado_Açúcar Físico não embarcado - Nov08 - Conferido_DB Entrada_1_Relatório Gerencial_1_Relatório Gerencial_DB Entrada_1_DB Controle_7-Estoque" xfId="11431"/>
    <cellStyle name="s_Valuation _DB Dados do Mercado_Açúcar Físico não embarcado - Nov08 - Conferido_DB Entrada_1_Relatório Gerencial_1_Relatório Gerencial_DB Entrada_1_DB Entrada" xfId="11432"/>
    <cellStyle name="s_Valuation _DB Dados do Mercado_Açúcar Físico não embarcado - Nov08 - Conferido_DB Entrada_1_Relatório Gerencial_1_Relatório Gerencial_DB Entrada_1_DB Entrada 2" xfId="11433"/>
    <cellStyle name="s_Valuation _DB Dados do Mercado_Açúcar Físico não embarcado - Nov08 - Conferido_DB Entrada_1_Relatório Gerencial_1_Relatório Gerencial_DB Entrada_1_DB Entrada 2_15-FINANCEIRAS" xfId="11434"/>
    <cellStyle name="s_Valuation _DB Dados do Mercado_Açúcar Físico não embarcado - Nov08 - Conferido_DB Entrada_1_Relatório Gerencial_1_Relatório Gerencial_DB Entrada_1_DB Entrada_15-FINANCEIRAS" xfId="11435"/>
    <cellStyle name="s_Valuation _DB Dados do Mercado_Açúcar Físico não embarcado - Nov08 - Conferido_DB Entrada_1_Relatório Gerencial_1_Relatório Gerencial_DB Entrada_1_DB Entrada_15-FINANCEIRAS_1" xfId="11436"/>
    <cellStyle name="s_Valuation _DB Dados do Mercado_Açúcar Físico não embarcado - Nov08 - Conferido_DB Entrada_1_Relatório Gerencial_1_Relatório Gerencial_DB Entrada_1_DB Entrada_3-Balanço" xfId="11437"/>
    <cellStyle name="s_Valuation _DB Dados do Mercado_Açúcar Físico não embarcado - Nov08 - Conferido_DB Entrada_1_Relatório Gerencial_1_Relatório Gerencial_DB Entrada_1_DB Entrada_7-Estoque" xfId="11438"/>
    <cellStyle name="s_Valuation _DB Dados do Mercado_Açúcar Físico não embarcado - Nov08 - Conferido_DB Entrada_1_Relatório Gerencial_1_Relatório Gerencial_DB Entrada_1_DB Entrada_Relatório Gerencial" xfId="11439"/>
    <cellStyle name="s_Valuation _DB Dados do Mercado_Açúcar Físico não embarcado - Nov08 - Conferido_DB Entrada_1_Relatório Gerencial_1_Relatório Gerencial_DB Entrada_1_DB Entrada_Relatório Gerencial 2" xfId="11440"/>
    <cellStyle name="s_Valuation _DB Dados do Mercado_Açúcar Físico não embarcado - Nov08 - Conferido_DB Entrada_1_Relatório Gerencial_1_Relatório Gerencial_DB Entrada_1_DB Entrada_Relatório Gerencial 2_15-FINANCEIRAS" xfId="11441"/>
    <cellStyle name="s_Valuation _DB Dados do Mercado_Açúcar Físico não embarcado - Nov08 - Conferido_DB Entrada_1_Relatório Gerencial_1_Relatório Gerencial_DB Entrada_1_DB Entrada_Relatório Gerencial_15-FINANCEIRAS" xfId="11442"/>
    <cellStyle name="s_Valuation _DB Dados do Mercado_Açúcar Físico não embarcado - Nov08 - Conferido_DB Entrada_1_Relatório Gerencial_1_Relatório Gerencial_DB Entrada_1_DB Entrada_Relatório Gerencial_15-FINANCEIRAS_1" xfId="11443"/>
    <cellStyle name="s_Valuation _DB Dados do Mercado_Açúcar Físico não embarcado - Nov08 - Conferido_DB Entrada_1_Relatório Gerencial_1_Relatório Gerencial_DB Entrada_1_DB Entrada_Relatório Gerencial_3-Balanço" xfId="11444"/>
    <cellStyle name="s_Valuation _DB Dados do Mercado_Açúcar Físico não embarcado - Nov08 - Conferido_DB Entrada_1_Relatório Gerencial_1_Relatório Gerencial_DB Entrada_1_DB Entrada_Relatório Gerencial_7-Estoque" xfId="11445"/>
    <cellStyle name="s_Valuation _DB Dados do Mercado_Açúcar Físico não embarcado - Nov08 - Conferido_DB Entrada_1_Relatório Gerencial_1_Relatório Gerencial_DB Entrada_1_DB Entrada_Relatório Gerencial_DB Entrada" xfId="11446"/>
    <cellStyle name="s_Valuation _DB Dados do Mercado_Açúcar Físico não embarcado - Nov08 - Conferido_DB Entrada_1_Relatório Gerencial_1_Relatório Gerencial_DB Entrada_1_DB Entrada_Relatório Gerencial_DB Entrada 2" xfId="11447"/>
    <cellStyle name="s_Valuation _DB Dados do Mercado_Açúcar Físico não embarcado - Nov08 - Conferido_DB Entrada_1_Relatório Gerencial_1_Relatório Gerencial_DB Entrada_1_DB Entrada_Relatório Gerencial_DB Entrada 2_15-FINANCEIRAS" xfId="11448"/>
    <cellStyle name="s_Valuation _DB Dados do Mercado_Açúcar Físico não embarcado - Nov08 - Conferido_DB Entrada_1_Relatório Gerencial_1_Relatório Gerencial_DB Entrada_1_DB Entrada_Relatório Gerencial_DB Entrada_15-FINANCEIRAS" xfId="11449"/>
    <cellStyle name="s_Valuation _DB Dados do Mercado_Açúcar Físico não embarcado - Nov08 - Conferido_DB Entrada_1_Relatório Gerencial_1_Relatório Gerencial_DB Entrada_1_DB Entrada_Relatório Gerencial_DB Entrada_15-FINANCEIRAS_1" xfId="11450"/>
    <cellStyle name="s_Valuation _DB Dados do Mercado_Açúcar Físico não embarcado - Nov08 - Conferido_DB Entrada_1_Relatório Gerencial_1_Relatório Gerencial_DB Entrada_1_DB Entrada_Relatório Gerencial_DB Entrada_3-Balanço" xfId="11451"/>
    <cellStyle name="s_Valuation _DB Dados do Mercado_Açúcar Físico não embarcado - Nov08 - Conferido_DB Entrada_1_Relatório Gerencial_1_Relatório Gerencial_DB Entrada_1_DB Entrada_Relatório Gerencial_DB Entrada_7-Estoque" xfId="11452"/>
    <cellStyle name="s_Valuation _DB Dados do Mercado_Açúcar Físico não embarcado - Nov08 - Conferido_DB Entrada_1_Relatório Gerencial_1_Relatório Gerencial_DB Entrada_1_DB Exposição" xfId="11453"/>
    <cellStyle name="s_Valuation _DB Dados do Mercado_Açúcar Físico não embarcado - Nov08 - Conferido_DB Entrada_1_Relatório Gerencial_1_Relatório Gerencial_DB Entrada_1_DB Exposição 2" xfId="11454"/>
    <cellStyle name="s_Valuation _DB Dados do Mercado_Açúcar Físico não embarcado - Nov08 - Conferido_DB Entrada_1_Relatório Gerencial_1_Relatório Gerencial_DB Entrada_1_DB Exposição 2_15-FINANCEIRAS" xfId="11455"/>
    <cellStyle name="s_Valuation _DB Dados do Mercado_Açúcar Físico não embarcado - Nov08 - Conferido_DB Entrada_1_Relatório Gerencial_1_Relatório Gerencial_DB Entrada_1_DB Exposição_15-FINANCEIRAS" xfId="11456"/>
    <cellStyle name="s_Valuation _DB Dados do Mercado_Açúcar Físico não embarcado - Nov08 - Conferido_DB Entrada_1_Relatório Gerencial_1_Relatório Gerencial_DB Entrada_1_DB Exposição_15-FINANCEIRAS_1" xfId="11457"/>
    <cellStyle name="s_Valuation _DB Dados do Mercado_Açúcar Físico não embarcado - Nov08 - Conferido_DB Entrada_1_Relatório Gerencial_1_Relatório Gerencial_DB Entrada_1_DB Exposição_3-Balanço" xfId="11458"/>
    <cellStyle name="s_Valuation _DB Dados do Mercado_Açúcar Físico não embarcado - Nov08 - Conferido_DB Entrada_1_Relatório Gerencial_1_Relatório Gerencial_DB Entrada_1_DB Exposição_7-Estoque" xfId="11459"/>
    <cellStyle name="s_Valuation _DB Dados do Mercado_Açúcar Físico não embarcado - Nov08 - Conferido_DB Entrada_1_Relatório Gerencial_1_Relatório Gerencial_DB Entrada_1_DB Exposição_Relatório Gerencial" xfId="11460"/>
    <cellStyle name="s_Valuation _DB Dados do Mercado_Açúcar Físico não embarcado - Nov08 - Conferido_DB Entrada_1_Relatório Gerencial_1_Relatório Gerencial_DB Entrada_1_DB Exposição_Relatório Gerencial 2" xfId="11461"/>
    <cellStyle name="s_Valuation _DB Dados do Mercado_Açúcar Físico não embarcado - Nov08 - Conferido_DB Entrada_1_Relatório Gerencial_1_Relatório Gerencial_DB Entrada_1_DB Exposição_Relatório Gerencial 2_15-FINANCEIRAS" xfId="11462"/>
    <cellStyle name="s_Valuation _DB Dados do Mercado_Açúcar Físico não embarcado - Nov08 - Conferido_DB Entrada_1_Relatório Gerencial_1_Relatório Gerencial_DB Entrada_1_DB Exposição_Relatório Gerencial_15-FINANCEIRAS" xfId="11463"/>
    <cellStyle name="s_Valuation _DB Dados do Mercado_Açúcar Físico não embarcado - Nov08 - Conferido_DB Entrada_1_Relatório Gerencial_1_Relatório Gerencial_DB Entrada_1_DB Exposição_Relatório Gerencial_15-FINANCEIRAS_1" xfId="11464"/>
    <cellStyle name="s_Valuation _DB Dados do Mercado_Açúcar Físico não embarcado - Nov08 - Conferido_DB Entrada_1_Relatório Gerencial_1_Relatório Gerencial_DB Entrada_1_DB Exposição_Relatório Gerencial_3-Balanço" xfId="11465"/>
    <cellStyle name="s_Valuation _DB Dados do Mercado_Açúcar Físico não embarcado - Nov08 - Conferido_DB Entrada_1_Relatório Gerencial_1_Relatório Gerencial_DB Entrada_1_DB Exposição_Relatório Gerencial_7-Estoque" xfId="11466"/>
    <cellStyle name="s_Valuation _DB Dados do Mercado_Açúcar Físico não embarcado - Nov08 - Conferido_DB Entrada_1_Relatório Gerencial_1_Relatório Gerencial_DB Entrada_1_DB Exposição_Relatório Gerencial_DB Entrada" xfId="11467"/>
    <cellStyle name="s_Valuation _DB Dados do Mercado_Açúcar Físico não embarcado - Nov08 - Conferido_DB Entrada_1_Relatório Gerencial_1_Relatório Gerencial_DB Entrada_1_DB Exposição_Relatório Gerencial_DB Entrada 2" xfId="11468"/>
    <cellStyle name="s_Valuation _DB Dados do Mercado_Açúcar Físico não embarcado - Nov08 - Conferido_DB Entrada_1_Relatório Gerencial_1_Relatório Gerencial_DB Entrada_1_DB Exposição_Relatório Gerencial_DB Entrada 2_15-FINANCEIRAS" xfId="11469"/>
    <cellStyle name="s_Valuation _DB Dados do Mercado_Açúcar Físico não embarcado - Nov08 - Conferido_DB Entrada_1_Relatório Gerencial_1_Relatório Gerencial_DB Entrada_1_DB Exposição_Relatório Gerencial_DB Entrada_15-FINANCEIRAS" xfId="11470"/>
    <cellStyle name="s_Valuation _DB Dados do Mercado_Açúcar Físico não embarcado - Nov08 - Conferido_DB Entrada_1_Relatório Gerencial_1_Relatório Gerencial_DB Entrada_1_DB Exposição_Relatório Gerencial_DB Entrada_15-FINANCEIRAS_1" xfId="11471"/>
    <cellStyle name="s_Valuation _DB Dados do Mercado_Açúcar Físico não embarcado - Nov08 - Conferido_DB Entrada_1_Relatório Gerencial_1_Relatório Gerencial_DB Entrada_1_DB Exposição_Relatório Gerencial_DB Entrada_3-Balanço" xfId="11472"/>
    <cellStyle name="s_Valuation _DB Dados do Mercado_Açúcar Físico não embarcado - Nov08 - Conferido_DB Entrada_1_Relatório Gerencial_1_Relatório Gerencial_DB Entrada_1_DB Exposição_Relatório Gerencial_DB Entrada_7-Estoque" xfId="11473"/>
    <cellStyle name="s_Valuation _DB Dados do Mercado_Açúcar Físico não embarcado - Nov08 - Conferido_DB Entrada_1_Relatório Gerencial_1_Relatório Gerencial_DB Entrada_1_DB Posição" xfId="11474"/>
    <cellStyle name="s_Valuation _DB Dados do Mercado_Açúcar Físico não embarcado - Nov08 - Conferido_DB Entrada_1_Relatório Gerencial_1_Relatório Gerencial_DB Entrada_1_DB Posição 2" xfId="11475"/>
    <cellStyle name="s_Valuation _DB Dados do Mercado_Açúcar Físico não embarcado - Nov08 - Conferido_DB Entrada_1_Relatório Gerencial_1_Relatório Gerencial_DB Entrada_1_DB Posição 2_15-FINANCEIRAS" xfId="11476"/>
    <cellStyle name="s_Valuation _DB Dados do Mercado_Açúcar Físico não embarcado - Nov08 - Conferido_DB Entrada_1_Relatório Gerencial_1_Relatório Gerencial_DB Entrada_1_DB Posição_15-FINANCEIRAS" xfId="11477"/>
    <cellStyle name="s_Valuation _DB Dados do Mercado_Açúcar Físico não embarcado - Nov08 - Conferido_DB Entrada_1_Relatório Gerencial_1_Relatório Gerencial_DB Entrada_1_DB Posição_15-FINANCEIRAS_1" xfId="11478"/>
    <cellStyle name="s_Valuation _DB Dados do Mercado_Açúcar Físico não embarcado - Nov08 - Conferido_DB Entrada_1_Relatório Gerencial_1_Relatório Gerencial_DB Entrada_1_DB Posição_3-Balanço" xfId="11479"/>
    <cellStyle name="s_Valuation _DB Dados do Mercado_Açúcar Físico não embarcado - Nov08 - Conferido_DB Entrada_1_Relatório Gerencial_1_Relatório Gerencial_DB Entrada_1_DB Posição_7-Estoque" xfId="11480"/>
    <cellStyle name="s_Valuation _DB Dados do Mercado_Açúcar Físico não embarcado - Nov08 - Conferido_DB Entrada_1_Relatório Gerencial_1_Relatório Gerencial_DB Entrada_1_Liquidações_Prêmios" xfId="11481"/>
    <cellStyle name="s_Valuation _DB Dados do Mercado_Açúcar Físico não embarcado - Nov08 - Conferido_DB Entrada_1_Relatório Gerencial_1_Relatório Gerencial_DB Entrada_1_Liquidações_Prêmios 2" xfId="11482"/>
    <cellStyle name="s_Valuation _DB Dados do Mercado_Açúcar Físico não embarcado - Nov08 - Conferido_DB Entrada_1_Relatório Gerencial_1_Relatório Gerencial_DB Entrada_1_Liquidações_Prêmios 2_15-FINANCEIRAS" xfId="11483"/>
    <cellStyle name="s_Valuation _DB Dados do Mercado_Açúcar Físico não embarcado - Nov08 - Conferido_DB Entrada_1_Relatório Gerencial_1_Relatório Gerencial_DB Entrada_1_Liquidações_Prêmios_15-FINANCEIRAS" xfId="11484"/>
    <cellStyle name="s_Valuation _DB Dados do Mercado_Açúcar Físico não embarcado - Nov08 - Conferido_DB Entrada_1_Relatório Gerencial_1_Relatório Gerencial_DB Entrada_1_Liquidações_Prêmios_15-FINANCEIRAS_1" xfId="11485"/>
    <cellStyle name="s_Valuation _DB Dados do Mercado_Açúcar Físico não embarcado - Nov08 - Conferido_DB Entrada_1_Relatório Gerencial_1_Relatório Gerencial_DB Entrada_1_Liquidações_Prêmios_3-Balanço" xfId="11486"/>
    <cellStyle name="s_Valuation _DB Dados do Mercado_Açúcar Físico não embarcado - Nov08 - Conferido_DB Entrada_1_Relatório Gerencial_1_Relatório Gerencial_DB Entrada_1_Liquidações_Prêmios_7-Estoque" xfId="11487"/>
    <cellStyle name="s_Valuation _DB Dados do Mercado_Açúcar Físico não embarcado - Nov08 - Conferido_DB Entrada_1_Relatório Gerencial_1_Relatório Gerencial_DB Entrada_1_Posição Futuros" xfId="11488"/>
    <cellStyle name="s_Valuation _DB Dados do Mercado_Açúcar Físico não embarcado - Nov08 - Conferido_DB Entrada_1_Relatório Gerencial_1_Relatório Gerencial_DB Entrada_1_Posição Futuros 2" xfId="11489"/>
    <cellStyle name="s_Valuation _DB Dados do Mercado_Açúcar Físico não embarcado - Nov08 - Conferido_DB Entrada_1_Relatório Gerencial_1_Relatório Gerencial_DB Entrada_1_Posição Futuros 2_15-FINANCEIRAS" xfId="11490"/>
    <cellStyle name="s_Valuation _DB Dados do Mercado_Açúcar Físico não embarcado - Nov08 - Conferido_DB Entrada_1_Relatório Gerencial_1_Relatório Gerencial_DB Entrada_1_Posição Futuros_15-FINANCEIRAS" xfId="11491"/>
    <cellStyle name="s_Valuation _DB Dados do Mercado_Açúcar Físico não embarcado - Nov08 - Conferido_DB Entrada_1_Relatório Gerencial_1_Relatório Gerencial_DB Entrada_1_Posição Futuros_15-FINANCEIRAS_1" xfId="11492"/>
    <cellStyle name="s_Valuation _DB Dados do Mercado_Açúcar Físico não embarcado - Nov08 - Conferido_DB Entrada_1_Relatório Gerencial_1_Relatório Gerencial_DB Entrada_1_Posição Futuros_3-Balanço" xfId="11493"/>
    <cellStyle name="s_Valuation _DB Dados do Mercado_Açúcar Físico não embarcado - Nov08 - Conferido_DB Entrada_1_Relatório Gerencial_1_Relatório Gerencial_DB Entrada_1_Posição Futuros_7-Estoque" xfId="11494"/>
    <cellStyle name="s_Valuation _DB Dados do Mercado_Açúcar Físico não embarcado - Nov08 - Conferido_DB Entrada_1_Relatório Gerencial_1_Relatório Gerencial_DB Entrada_1_Relatório de Commodities" xfId="11495"/>
    <cellStyle name="s_Valuation _DB Dados do Mercado_Açúcar Físico não embarcado - Nov08 - Conferido_DB Entrada_1_Relatório Gerencial_1_Relatório Gerencial_DB Entrada_1_Relatório de Commodities 2" xfId="11496"/>
    <cellStyle name="s_Valuation _DB Dados do Mercado_Açúcar Físico não embarcado - Nov08 - Conferido_DB Entrada_1_Relatório Gerencial_1_Relatório Gerencial_DB Entrada_1_Relatório de Commodities 2_15-FINANCEIRAS" xfId="11497"/>
    <cellStyle name="s_Valuation _DB Dados do Mercado_Açúcar Físico não embarcado - Nov08 - Conferido_DB Entrada_1_Relatório Gerencial_1_Relatório Gerencial_DB Entrada_1_Relatório de Commodities_15-FINANCEIRAS" xfId="11498"/>
    <cellStyle name="s_Valuation _DB Dados do Mercado_Açúcar Físico não embarcado - Nov08 - Conferido_DB Entrada_1_Relatório Gerencial_1_Relatório Gerencial_DB Entrada_1_Relatório de Commodities_15-FINANCEIRAS_1" xfId="11499"/>
    <cellStyle name="s_Valuation _DB Dados do Mercado_Açúcar Físico não embarcado - Nov08 - Conferido_DB Entrada_1_Relatório Gerencial_1_Relatório Gerencial_DB Entrada_1_Relatório de Commodities_3-Balanço" xfId="11500"/>
    <cellStyle name="s_Valuation _DB Dados do Mercado_Açúcar Físico não embarcado - Nov08 - Conferido_DB Entrada_1_Relatório Gerencial_1_Relatório Gerencial_DB Entrada_1_Relatório de Commodities_7-Estoque" xfId="11501"/>
    <cellStyle name="s_Valuation _DB Dados do Mercado_Açúcar Físico não embarcado - Nov08 - Conferido_DB Entrada_1_Relatório Gerencial_1_Relatório Gerencial_DB Entrada_1_Relatório de Commodities_Relatório Gerencial" xfId="11502"/>
    <cellStyle name="s_Valuation _DB Dados do Mercado_Açúcar Físico não embarcado - Nov08 - Conferido_DB Entrada_1_Relatório Gerencial_1_Relatório Gerencial_DB Entrada_1_Relatório de Commodities_Relatório Gerencial 2" xfId="11503"/>
    <cellStyle name="s_Valuation _DB Dados do Mercado_Açúcar Físico não embarcado - Nov08 - Conferido_DB Entrada_1_Relatório Gerencial_1_Relatório Gerencial_DB Entrada_1_Relatório de Commodities_Relatório Gerencial 2_15-FINANCEIRAS" xfId="11504"/>
    <cellStyle name="s_Valuation _DB Dados do Mercado_Açúcar Físico não embarcado - Nov08 - Conferido_DB Entrada_1_Relatório Gerencial_1_Relatório Gerencial_DB Entrada_1_Relatório de Commodities_Relatório Gerencial_15-FINANCEIRAS" xfId="11505"/>
    <cellStyle name="s_Valuation _DB Dados do Mercado_Açúcar Físico não embarcado - Nov08 - Conferido_DB Entrada_1_Relatório Gerencial_1_Relatório Gerencial_DB Entrada_1_Relatório de Commodities_Relatório Gerencial_15-FINANCEIRAS_1" xfId="11506"/>
    <cellStyle name="s_Valuation _DB Dados do Mercado_Açúcar Físico não embarcado - Nov08 - Conferido_DB Entrada_1_Relatório Gerencial_1_Relatório Gerencial_DB Entrada_1_Relatório de Commodities_Relatório Gerencial_3-Balanço" xfId="11507"/>
    <cellStyle name="s_Valuation _DB Dados do Mercado_Açúcar Físico não embarcado - Nov08 - Conferido_DB Entrada_1_Relatório Gerencial_1_Relatório Gerencial_DB Entrada_1_Relatório de Commodities_Relatório Gerencial_7-Estoque" xfId="11508"/>
    <cellStyle name="s_Valuation _DB Dados do Mercado_Açúcar Físico não embarcado - Nov08 - Conferido_DB Entrada_1_Relatório Gerencial_1_Relatório Gerencial_DB Entrada_1_Relatório de Commodities_Relatório Gerencial_DB Entrada" xfId="11509"/>
    <cellStyle name="s_Valuation _DB Dados do Mercado_Açúcar Físico não embarcado - Nov08 - Conferido_DB Entrada_1_Relatório Gerencial_1_Relatório Gerencial_DB Entrada_1_Relatório de Commodities_Relatório Gerencial_DB Entrada 2" xfId="11510"/>
    <cellStyle name="s_Valuation _DB Dados do Mercado_Açúcar Físico não embarcado - Nov08 - Conferido_DB Entrada_1_Relatório Gerencial_1_Relatório Gerencial_DB Entrada_1_Relatório de Commodities_Relatório Gerencial_DB Entrada 2_15-FINANCEIRAS" xfId="11511"/>
    <cellStyle name="s_Valuation _DB Dados do Mercado_Açúcar Físico não embarcado - Nov08 - Conferido_DB Entrada_1_Relatório Gerencial_1_Relatório Gerencial_DB Entrada_1_Relatório de Commodities_Relatório Gerencial_DB Entrada_15-FINANCEIRAS" xfId="11512"/>
    <cellStyle name="s_Valuation _DB Dados do Mercado_Açúcar Físico não embarcado - Nov08 - Conferido_DB Entrada_1_Relatório Gerencial_1_Relatório Gerencial_DB Entrada_1_Relatório de Commodities_Relatório Gerencial_DB Entrada_15-FINANCEIRAS_1" xfId="11513"/>
    <cellStyle name="s_Valuation _DB Dados do Mercado_Açúcar Físico não embarcado - Nov08 - Conferido_DB Entrada_1_Relatório Gerencial_1_Relatório Gerencial_DB Entrada_1_Relatório de Commodities_Relatório Gerencial_DB Entrada_3-Balanço" xfId="11514"/>
    <cellStyle name="s_Valuation _DB Dados do Mercado_Açúcar Físico não embarcado - Nov08 - Conferido_DB Entrada_1_Relatório Gerencial_1_Relatório Gerencial_DB Entrada_1_Relatório de Commodities_Relatório Gerencial_DB Entrada_7-Estoque" xfId="11515"/>
    <cellStyle name="s_Valuation _DB Dados do Mercado_Açúcar Físico não embarcado - Nov08 - Conferido_DB Entrada_1_Relatório Gerencial_1_Relatório Gerencial_DB Entrada_1_Relatório Fechamento" xfId="11516"/>
    <cellStyle name="s_Valuation _DB Dados do Mercado_Açúcar Físico não embarcado - Nov08 - Conferido_DB Entrada_1_Relatório Gerencial_1_Relatório Gerencial_DB Entrada_1_Relatório Fechamento 2" xfId="11517"/>
    <cellStyle name="s_Valuation _DB Dados do Mercado_Açúcar Físico não embarcado - Nov08 - Conferido_DB Entrada_1_Relatório Gerencial_1_Relatório Gerencial_DB Entrada_1_Relatório Fechamento 2_15-FINANCEIRAS" xfId="11518"/>
    <cellStyle name="s_Valuation _DB Dados do Mercado_Açúcar Físico não embarcado - Nov08 - Conferido_DB Entrada_1_Relatório Gerencial_1_Relatório Gerencial_DB Entrada_1_Relatório Fechamento_15-FINANCEIRAS" xfId="11519"/>
    <cellStyle name="s_Valuation _DB Dados do Mercado_Açúcar Físico não embarcado - Nov08 - Conferido_DB Entrada_1_Relatório Gerencial_1_Relatório Gerencial_DB Entrada_1_Relatório Fechamento_15-FINANCEIRAS_1" xfId="11520"/>
    <cellStyle name="s_Valuation _DB Dados do Mercado_Açúcar Físico não embarcado - Nov08 - Conferido_DB Entrada_1_Relatório Gerencial_1_Relatório Gerencial_DB Entrada_1_Relatório Fechamento_3-Balanço" xfId="11521"/>
    <cellStyle name="s_Valuation _DB Dados do Mercado_Açúcar Físico não embarcado - Nov08 - Conferido_DB Entrada_1_Relatório Gerencial_1_Relatório Gerencial_DB Entrada_1_Relatório Fechamento_7-Estoque" xfId="11522"/>
    <cellStyle name="s_Valuation _DB Dados do Mercado_Açúcar Físico não embarcado - Nov08 - Conferido_DB Entrada_1_Relatório Gerencial_1_Relatório Gerencial_DB Entrada_1_Relatório Gerencial" xfId="11523"/>
    <cellStyle name="s_Valuation _DB Dados do Mercado_Açúcar Físico não embarcado - Nov08 - Conferido_DB Entrada_1_Relatório Gerencial_1_Relatório Gerencial_DB Entrada_1_Relatório Gerencial 2" xfId="11524"/>
    <cellStyle name="s_Valuation _DB Dados do Mercado_Açúcar Físico não embarcado - Nov08 - Conferido_DB Entrada_1_Relatório Gerencial_1_Relatório Gerencial_DB Entrada_1_Relatório Gerencial 2_15-FINANCEIRAS" xfId="11525"/>
    <cellStyle name="s_Valuation _DB Dados do Mercado_Açúcar Físico não embarcado - Nov08 - Conferido_DB Entrada_1_Relatório Gerencial_1_Relatório Gerencial_DB Entrada_1_Relatório Gerencial_1" xfId="11526"/>
    <cellStyle name="s_Valuation _DB Dados do Mercado_Açúcar Físico não embarcado - Nov08 - Conferido_DB Entrada_1_Relatório Gerencial_1_Relatório Gerencial_DB Entrada_1_Relatório Gerencial_1 2" xfId="11527"/>
    <cellStyle name="s_Valuation _DB Dados do Mercado_Açúcar Físico não embarcado - Nov08 - Conferido_DB Entrada_1_Relatório Gerencial_1_Relatório Gerencial_DB Entrada_1_Relatório Gerencial_1 2_15-FINANCEIRAS" xfId="11528"/>
    <cellStyle name="s_Valuation _DB Dados do Mercado_Açúcar Físico não embarcado - Nov08 - Conferido_DB Entrada_1_Relatório Gerencial_1_Relatório Gerencial_DB Entrada_1_Relatório Gerencial_1_15-FINANCEIRAS" xfId="11529"/>
    <cellStyle name="s_Valuation _DB Dados do Mercado_Açúcar Físico não embarcado - Nov08 - Conferido_DB Entrada_1_Relatório Gerencial_1_Relatório Gerencial_DB Entrada_1_Relatório Gerencial_1_15-FINANCEIRAS_1" xfId="11530"/>
    <cellStyle name="s_Valuation _DB Dados do Mercado_Açúcar Físico não embarcado - Nov08 - Conferido_DB Entrada_1_Relatório Gerencial_1_Relatório Gerencial_DB Entrada_1_Relatório Gerencial_1_3-Balanço" xfId="11531"/>
    <cellStyle name="s_Valuation _DB Dados do Mercado_Açúcar Físico não embarcado - Nov08 - Conferido_DB Entrada_1_Relatório Gerencial_1_Relatório Gerencial_DB Entrada_1_Relatório Gerencial_1_7-Estoque" xfId="11532"/>
    <cellStyle name="s_Valuation _DB Dados do Mercado_Açúcar Físico não embarcado - Nov08 - Conferido_DB Entrada_1_Relatório Gerencial_1_Relatório Gerencial_DB Entrada_1_Relatório Gerencial_1_DB Entrada" xfId="11533"/>
    <cellStyle name="s_Valuation _DB Dados do Mercado_Açúcar Físico não embarcado - Nov08 - Conferido_DB Entrada_1_Relatório Gerencial_1_Relatório Gerencial_DB Entrada_1_Relatório Gerencial_1_DB Entrada 2" xfId="11534"/>
    <cellStyle name="s_Valuation _DB Dados do Mercado_Açúcar Físico não embarcado - Nov08 - Conferido_DB Entrada_1_Relatório Gerencial_1_Relatório Gerencial_DB Entrada_1_Relatório Gerencial_1_DB Entrada 2_15-FINANCEIRAS" xfId="11535"/>
    <cellStyle name="s_Valuation _DB Dados do Mercado_Açúcar Físico não embarcado - Nov08 - Conferido_DB Entrada_1_Relatório Gerencial_1_Relatório Gerencial_DB Entrada_1_Relatório Gerencial_1_DB Entrada_15-FINANCEIRAS" xfId="11536"/>
    <cellStyle name="s_Valuation _DB Dados do Mercado_Açúcar Físico não embarcado - Nov08 - Conferido_DB Entrada_1_Relatório Gerencial_1_Relatório Gerencial_DB Entrada_1_Relatório Gerencial_1_DB Entrada_15-FINANCEIRAS_1" xfId="11537"/>
    <cellStyle name="s_Valuation _DB Dados do Mercado_Açúcar Físico não embarcado - Nov08 - Conferido_DB Entrada_1_Relatório Gerencial_1_Relatório Gerencial_DB Entrada_1_Relatório Gerencial_1_DB Entrada_3-Balanço" xfId="11538"/>
    <cellStyle name="s_Valuation _DB Dados do Mercado_Açúcar Físico não embarcado - Nov08 - Conferido_DB Entrada_1_Relatório Gerencial_1_Relatório Gerencial_DB Entrada_1_Relatório Gerencial_1_DB Entrada_7-Estoque" xfId="11539"/>
    <cellStyle name="s_Valuation _DB Dados do Mercado_Açúcar Físico não embarcado - Nov08 - Conferido_DB Entrada_1_Relatório Gerencial_1_Relatório Gerencial_DB Entrada_1_Relatório Gerencial_15-FINANCEIRAS" xfId="11540"/>
    <cellStyle name="s_Valuation _DB Dados do Mercado_Açúcar Físico não embarcado - Nov08 - Conferido_DB Entrada_1_Relatório Gerencial_1_Relatório Gerencial_DB Entrada_1_Relatório Gerencial_15-FINANCEIRAS_1" xfId="11541"/>
    <cellStyle name="s_Valuation _DB Dados do Mercado_Açúcar Físico não embarcado - Nov08 - Conferido_DB Entrada_1_Relatório Gerencial_1_Relatório Gerencial_DB Entrada_1_Relatório Gerencial_3-Balanço" xfId="11542"/>
    <cellStyle name="s_Valuation _DB Dados do Mercado_Açúcar Físico não embarcado - Nov08 - Conferido_DB Entrada_1_Relatório Gerencial_1_Relatório Gerencial_DB Entrada_1_Relatório Gerencial_7-Estoque" xfId="11543"/>
    <cellStyle name="s_Valuation _DB Dados do Mercado_Açúcar Físico não embarcado - Nov08 - Conferido_DB Entrada_1_Relatório Gerencial_1_Relatório Gerencial_DB Entrada_1_Sistema Cosan backup 103 Retirada de relatorios" xfId="11544"/>
    <cellStyle name="s_Valuation _DB Dados do Mercado_Açúcar Físico não embarcado - Nov08 - Conferido_DB Entrada_1_Relatório Gerencial_1_Relatório Gerencial_DB Entrada_1_Sistema Cosan backup 103 Retirada de relatorios 2" xfId="11545"/>
    <cellStyle name="s_Valuation _DB Dados do Mercado_Açúcar Físico não embarcado - Nov08 - Conferido_DB Entrada_1_Relatório Gerencial_1_Relatório Gerencial_DB Entrada_1_Sistema Cosan backup 103 Retirada de relatorios 2_15-FINANCEIRAS" xfId="11546"/>
    <cellStyle name="s_Valuation _DB Dados do Mercado_Açúcar Físico não embarcado - Nov08 - Conferido_DB Entrada_1_Relatório Gerencial_1_Relatório Gerencial_DB Entrada_1_Sistema Cosan backup 103 Retirada de relatorios_15-FINANCEIRAS" xfId="11547"/>
    <cellStyle name="s_Valuation _DB Dados do Mercado_Açúcar Físico não embarcado - Nov08 - Conferido_DB Entrada_1_Relatório Gerencial_1_Relatório Gerencial_DB Entrada_1_Sistema Cosan backup 103 Retirada de relatorios_15-FINANCEIRAS_1" xfId="11548"/>
    <cellStyle name="s_Valuation _DB Dados do Mercado_Açúcar Físico não embarcado - Nov08 - Conferido_DB Entrada_1_Relatório Gerencial_1_Relatório Gerencial_DB Entrada_1_Sistema Cosan backup 103 Retirada de relatorios_3-Balanço" xfId="11549"/>
    <cellStyle name="s_Valuation _DB Dados do Mercado_Açúcar Físico não embarcado - Nov08 - Conferido_DB Entrada_1_Relatório Gerencial_1_Relatório Gerencial_DB Entrada_1_Sistema Cosan backup 103 Retirada de relatorios_7-Estoque" xfId="11550"/>
    <cellStyle name="s_Valuation _DB Dados do Mercado_Açúcar Físico não embarcado - Nov08 - Conferido_DB Entrada_1_Relatório Gerencial_1_Relatório Gerencial_DB Entrada_15-FINANCEIRAS" xfId="11551"/>
    <cellStyle name="s_Valuation _DB Dados do Mercado_Açúcar Físico não embarcado - Nov08 - Conferido_DB Entrada_1_Relatório Gerencial_1_Relatório Gerencial_DB Entrada_15-FINANCEIRAS_1" xfId="11552"/>
    <cellStyle name="s_Valuation _DB Dados do Mercado_Açúcar Físico não embarcado - Nov08 - Conferido_DB Entrada_1_Relatório Gerencial_1_Relatório Gerencial_DB Entrada_3-Balanço" xfId="11553"/>
    <cellStyle name="s_Valuation _DB Dados do Mercado_Açúcar Físico não embarcado - Nov08 - Conferido_DB Entrada_1_Relatório Gerencial_1_Relatório Gerencial_DB Entrada_7-Estoque" xfId="11554"/>
    <cellStyle name="s_Valuation _DB Dados do Mercado_Açúcar Físico não embarcado - Nov08 - Conferido_DB Entrada_1_Relatório Gerencial_1_Relatório Gerencial_DB Entrada_Relatório Gerencial" xfId="11555"/>
    <cellStyle name="s_Valuation _DB Dados do Mercado_Açúcar Físico não embarcado - Nov08 - Conferido_DB Entrada_1_Relatório Gerencial_1_Relatório Gerencial_DB Entrada_Relatório Gerencial 2" xfId="11556"/>
    <cellStyle name="s_Valuation _DB Dados do Mercado_Açúcar Físico não embarcado - Nov08 - Conferido_DB Entrada_1_Relatório Gerencial_1_Relatório Gerencial_DB Entrada_Relatório Gerencial 2_15-FINANCEIRAS" xfId="11557"/>
    <cellStyle name="s_Valuation _DB Dados do Mercado_Açúcar Físico não embarcado - Nov08 - Conferido_DB Entrada_1_Relatório Gerencial_1_Relatório Gerencial_DB Entrada_Relatório Gerencial_15-FINANCEIRAS" xfId="11558"/>
    <cellStyle name="s_Valuation _DB Dados do Mercado_Açúcar Físico não embarcado - Nov08 - Conferido_DB Entrada_1_Relatório Gerencial_1_Relatório Gerencial_DB Entrada_Relatório Gerencial_15-FINANCEIRAS_1" xfId="11559"/>
    <cellStyle name="s_Valuation _DB Dados do Mercado_Açúcar Físico não embarcado - Nov08 - Conferido_DB Entrada_1_Relatório Gerencial_1_Relatório Gerencial_DB Entrada_Relatório Gerencial_3-Balanço" xfId="11560"/>
    <cellStyle name="s_Valuation _DB Dados do Mercado_Açúcar Físico não embarcado - Nov08 - Conferido_DB Entrada_1_Relatório Gerencial_1_Relatório Gerencial_DB Entrada_Relatório Gerencial_7-Estoque" xfId="11561"/>
    <cellStyle name="s_Valuation _DB Dados do Mercado_Açúcar Físico não embarcado - Nov08 - Conferido_DB Entrada_1_Relatório Gerencial_1_Relatório Gerencial_DB Entrada_Relatório Gerencial_DB Entrada" xfId="11562"/>
    <cellStyle name="s_Valuation _DB Dados do Mercado_Açúcar Físico não embarcado - Nov08 - Conferido_DB Entrada_1_Relatório Gerencial_1_Relatório Gerencial_DB Entrada_Relatório Gerencial_DB Entrada 2" xfId="11563"/>
    <cellStyle name="s_Valuation _DB Dados do Mercado_Açúcar Físico não embarcado - Nov08 - Conferido_DB Entrada_1_Relatório Gerencial_1_Relatório Gerencial_DB Entrada_Relatório Gerencial_DB Entrada 2_15-FINANCEIRAS" xfId="11564"/>
    <cellStyle name="s_Valuation _DB Dados do Mercado_Açúcar Físico não embarcado - Nov08 - Conferido_DB Entrada_1_Relatório Gerencial_1_Relatório Gerencial_DB Entrada_Relatório Gerencial_DB Entrada_15-FINANCEIRAS" xfId="11565"/>
    <cellStyle name="s_Valuation _DB Dados do Mercado_Açúcar Físico não embarcado - Nov08 - Conferido_DB Entrada_1_Relatório Gerencial_1_Relatório Gerencial_DB Entrada_Relatório Gerencial_DB Entrada_15-FINANCEIRAS_1" xfId="11566"/>
    <cellStyle name="s_Valuation _DB Dados do Mercado_Açúcar Físico não embarcado - Nov08 - Conferido_DB Entrada_1_Relatório Gerencial_1_Relatório Gerencial_DB Entrada_Relatório Gerencial_DB Entrada_3-Balanço" xfId="11567"/>
    <cellStyle name="s_Valuation _DB Dados do Mercado_Açúcar Físico não embarcado - Nov08 - Conferido_DB Entrada_1_Relatório Gerencial_1_Relatório Gerencial_DB Entrada_Relatório Gerencial_DB Entrada_7-Estoque" xfId="11568"/>
    <cellStyle name="s_Valuation _DB Dados do Mercado_Açúcar Físico não embarcado - Nov08 - Conferido_DB Entrada_1_Relatório Gerencial_1_Relatório Gerencial_DB Exposição" xfId="11569"/>
    <cellStyle name="s_Valuation _DB Dados do Mercado_Açúcar Físico não embarcado - Nov08 - Conferido_DB Entrada_1_Relatório Gerencial_1_Relatório Gerencial_DB Exposição 2" xfId="11570"/>
    <cellStyle name="s_Valuation _DB Dados do Mercado_Açúcar Físico não embarcado - Nov08 - Conferido_DB Entrada_1_Relatório Gerencial_1_Relatório Gerencial_DB Exposição 2_15-FINANCEIRAS" xfId="11571"/>
    <cellStyle name="s_Valuation _DB Dados do Mercado_Açúcar Físico não embarcado - Nov08 - Conferido_DB Entrada_1_Relatório Gerencial_1_Relatório Gerencial_DB Exposição_15-FINANCEIRAS" xfId="11572"/>
    <cellStyle name="s_Valuation _DB Dados do Mercado_Açúcar Físico não embarcado - Nov08 - Conferido_DB Entrada_1_Relatório Gerencial_1_Relatório Gerencial_DB Exposição_15-FINANCEIRAS_1" xfId="11573"/>
    <cellStyle name="s_Valuation _DB Dados do Mercado_Açúcar Físico não embarcado - Nov08 - Conferido_DB Entrada_1_Relatório Gerencial_1_Relatório Gerencial_DB Exposição_3-Balanço" xfId="11574"/>
    <cellStyle name="s_Valuation _DB Dados do Mercado_Açúcar Físico não embarcado - Nov08 - Conferido_DB Entrada_1_Relatório Gerencial_1_Relatório Gerencial_DB Exposição_7-Estoque" xfId="11575"/>
    <cellStyle name="s_Valuation _DB Dados do Mercado_Açúcar Físico não embarcado - Nov08 - Conferido_DB Entrada_1_Relatório Gerencial_1_Relatório Gerencial_DB Exposição_Relatório Gerencial" xfId="11576"/>
    <cellStyle name="s_Valuation _DB Dados do Mercado_Açúcar Físico não embarcado - Nov08 - Conferido_DB Entrada_1_Relatório Gerencial_1_Relatório Gerencial_DB Exposição_Relatório Gerencial 2" xfId="11577"/>
    <cellStyle name="s_Valuation _DB Dados do Mercado_Açúcar Físico não embarcado - Nov08 - Conferido_DB Entrada_1_Relatório Gerencial_1_Relatório Gerencial_DB Exposição_Relatório Gerencial 2_15-FINANCEIRAS" xfId="11578"/>
    <cellStyle name="s_Valuation _DB Dados do Mercado_Açúcar Físico não embarcado - Nov08 - Conferido_DB Entrada_1_Relatório Gerencial_1_Relatório Gerencial_DB Exposição_Relatório Gerencial_15-FINANCEIRAS" xfId="11579"/>
    <cellStyle name="s_Valuation _DB Dados do Mercado_Açúcar Físico não embarcado - Nov08 - Conferido_DB Entrada_1_Relatório Gerencial_1_Relatório Gerencial_DB Exposição_Relatório Gerencial_15-FINANCEIRAS_1" xfId="11580"/>
    <cellStyle name="s_Valuation _DB Dados do Mercado_Açúcar Físico não embarcado - Nov08 - Conferido_DB Entrada_1_Relatório Gerencial_1_Relatório Gerencial_DB Exposição_Relatório Gerencial_3-Balanço" xfId="11581"/>
    <cellStyle name="s_Valuation _DB Dados do Mercado_Açúcar Físico não embarcado - Nov08 - Conferido_DB Entrada_1_Relatório Gerencial_1_Relatório Gerencial_DB Exposição_Relatório Gerencial_7-Estoque" xfId="11582"/>
    <cellStyle name="s_Valuation _DB Dados do Mercado_Açúcar Físico não embarcado - Nov08 - Conferido_DB Entrada_1_Relatório Gerencial_1_Relatório Gerencial_DB Exposição_Relatório Gerencial_DB Entrada" xfId="11583"/>
    <cellStyle name="s_Valuation _DB Dados do Mercado_Açúcar Físico não embarcado - Nov08 - Conferido_DB Entrada_1_Relatório Gerencial_1_Relatório Gerencial_DB Exposição_Relatório Gerencial_DB Entrada 2" xfId="11584"/>
    <cellStyle name="s_Valuation _DB Dados do Mercado_Açúcar Físico não embarcado - Nov08 - Conferido_DB Entrada_1_Relatório Gerencial_1_Relatório Gerencial_DB Exposição_Relatório Gerencial_DB Entrada 2_15-FINANCEIRAS" xfId="11585"/>
    <cellStyle name="s_Valuation _DB Dados do Mercado_Açúcar Físico não embarcado - Nov08 - Conferido_DB Entrada_1_Relatório Gerencial_1_Relatório Gerencial_DB Exposição_Relatório Gerencial_DB Entrada_15-FINANCEIRAS" xfId="11586"/>
    <cellStyle name="s_Valuation _DB Dados do Mercado_Açúcar Físico não embarcado - Nov08 - Conferido_DB Entrada_1_Relatório Gerencial_1_Relatório Gerencial_DB Exposição_Relatório Gerencial_DB Entrada_15-FINANCEIRAS_1" xfId="11587"/>
    <cellStyle name="s_Valuation _DB Dados do Mercado_Açúcar Físico não embarcado - Nov08 - Conferido_DB Entrada_1_Relatório Gerencial_1_Relatório Gerencial_DB Exposição_Relatório Gerencial_DB Entrada_3-Balanço" xfId="11588"/>
    <cellStyle name="s_Valuation _DB Dados do Mercado_Açúcar Físico não embarcado - Nov08 - Conferido_DB Entrada_1_Relatório Gerencial_1_Relatório Gerencial_DB Exposição_Relatório Gerencial_DB Entrada_7-Estoque" xfId="11589"/>
    <cellStyle name="s_Valuation _DB Dados do Mercado_Açúcar Físico não embarcado - Nov08 - Conferido_DB Entrada_1_Relatório Gerencial_1_Relatório Gerencial_DB Posição" xfId="11590"/>
    <cellStyle name="s_Valuation _DB Dados do Mercado_Açúcar Físico não embarcado - Nov08 - Conferido_DB Entrada_1_Relatório Gerencial_1_Relatório Gerencial_DB Posição 2" xfId="11591"/>
    <cellStyle name="s_Valuation _DB Dados do Mercado_Açúcar Físico não embarcado - Nov08 - Conferido_DB Entrada_1_Relatório Gerencial_1_Relatório Gerencial_DB Posição 2_15-FINANCEIRAS" xfId="11592"/>
    <cellStyle name="s_Valuation _DB Dados do Mercado_Açúcar Físico não embarcado - Nov08 - Conferido_DB Entrada_1_Relatório Gerencial_1_Relatório Gerencial_DB Posição_15-FINANCEIRAS" xfId="11593"/>
    <cellStyle name="s_Valuation _DB Dados do Mercado_Açúcar Físico não embarcado - Nov08 - Conferido_DB Entrada_1_Relatório Gerencial_1_Relatório Gerencial_DB Posição_15-FINANCEIRAS_1" xfId="11594"/>
    <cellStyle name="s_Valuation _DB Dados do Mercado_Açúcar Físico não embarcado - Nov08 - Conferido_DB Entrada_1_Relatório Gerencial_1_Relatório Gerencial_DB Posição_3-Balanço" xfId="11595"/>
    <cellStyle name="s_Valuation _DB Dados do Mercado_Açúcar Físico não embarcado - Nov08 - Conferido_DB Entrada_1_Relatório Gerencial_1_Relatório Gerencial_DB Posição_7-Estoque" xfId="11596"/>
    <cellStyle name="s_Valuation _DB Dados do Mercado_Açúcar Físico não embarcado - Nov08 - Conferido_DB Entrada_1_Relatório Gerencial_1_Relatório Gerencial_Relatório de Commodities" xfId="11597"/>
    <cellStyle name="s_Valuation _DB Dados do Mercado_Açúcar Físico não embarcado - Nov08 - Conferido_DB Entrada_1_Relatório Gerencial_1_Relatório Gerencial_Relatório de Commodities 2" xfId="11598"/>
    <cellStyle name="s_Valuation _DB Dados do Mercado_Açúcar Físico não embarcado - Nov08 - Conferido_DB Entrada_1_Relatório Gerencial_1_Relatório Gerencial_Relatório de Commodities 2_15-FINANCEIRAS" xfId="11599"/>
    <cellStyle name="s_Valuation _DB Dados do Mercado_Açúcar Físico não embarcado - Nov08 - Conferido_DB Entrada_1_Relatório Gerencial_1_Relatório Gerencial_Relatório de Commodities_15-FINANCEIRAS" xfId="11600"/>
    <cellStyle name="s_Valuation _DB Dados do Mercado_Açúcar Físico não embarcado - Nov08 - Conferido_DB Entrada_1_Relatório Gerencial_1_Relatório Gerencial_Relatório de Commodities_15-FINANCEIRAS_1" xfId="11601"/>
    <cellStyle name="s_Valuation _DB Dados do Mercado_Açúcar Físico não embarcado - Nov08 - Conferido_DB Entrada_1_Relatório Gerencial_1_Relatório Gerencial_Relatório de Commodities_3-Balanço" xfId="11602"/>
    <cellStyle name="s_Valuation _DB Dados do Mercado_Açúcar Físico não embarcado - Nov08 - Conferido_DB Entrada_1_Relatório Gerencial_1_Relatório Gerencial_Relatório de Commodities_7-Estoque" xfId="11603"/>
    <cellStyle name="s_Valuation _DB Dados do Mercado_Açúcar Físico não embarcado - Nov08 - Conferido_DB Entrada_1_Relatório Gerencial_1_Relatório Gerencial_Relatório de Commodities_Relatório Gerencial" xfId="11604"/>
    <cellStyle name="s_Valuation _DB Dados do Mercado_Açúcar Físico não embarcado - Nov08 - Conferido_DB Entrada_1_Relatório Gerencial_1_Relatório Gerencial_Relatório de Commodities_Relatório Gerencial 2" xfId="11605"/>
    <cellStyle name="s_Valuation _DB Dados do Mercado_Açúcar Físico não embarcado - Nov08 - Conferido_DB Entrada_1_Relatório Gerencial_1_Relatório Gerencial_Relatório de Commodities_Relatório Gerencial 2_15-FINANCEIRAS" xfId="11606"/>
    <cellStyle name="s_Valuation _DB Dados do Mercado_Açúcar Físico não embarcado - Nov08 - Conferido_DB Entrada_1_Relatório Gerencial_1_Relatório Gerencial_Relatório de Commodities_Relatório Gerencial_15-FINANCEIRAS" xfId="11607"/>
    <cellStyle name="s_Valuation _DB Dados do Mercado_Açúcar Físico não embarcado - Nov08 - Conferido_DB Entrada_1_Relatório Gerencial_1_Relatório Gerencial_Relatório de Commodities_Relatório Gerencial_15-FINANCEIRAS_1" xfId="11608"/>
    <cellStyle name="s_Valuation _DB Dados do Mercado_Açúcar Físico não embarcado - Nov08 - Conferido_DB Entrada_1_Relatório Gerencial_1_Relatório Gerencial_Relatório de Commodities_Relatório Gerencial_3-Balanço" xfId="11609"/>
    <cellStyle name="s_Valuation _DB Dados do Mercado_Açúcar Físico não embarcado - Nov08 - Conferido_DB Entrada_1_Relatório Gerencial_1_Relatório Gerencial_Relatório de Commodities_Relatório Gerencial_7-Estoque" xfId="11610"/>
    <cellStyle name="s_Valuation _DB Dados do Mercado_Açúcar Físico não embarcado - Nov08 - Conferido_DB Entrada_1_Relatório Gerencial_1_Relatório Gerencial_Relatório de Commodities_Relatório Gerencial_DB Entrada" xfId="11611"/>
    <cellStyle name="s_Valuation _DB Dados do Mercado_Açúcar Físico não embarcado - Nov08 - Conferido_DB Entrada_1_Relatório Gerencial_1_Relatório Gerencial_Relatório de Commodities_Relatório Gerencial_DB Entrada 2" xfId="11612"/>
    <cellStyle name="s_Valuation _DB Dados do Mercado_Açúcar Físico não embarcado - Nov08 - Conferido_DB Entrada_1_Relatório Gerencial_1_Relatório Gerencial_Relatório de Commodities_Relatório Gerencial_DB Entrada 2_15-FINANCEIRAS" xfId="11613"/>
    <cellStyle name="s_Valuation _DB Dados do Mercado_Açúcar Físico não embarcado - Nov08 - Conferido_DB Entrada_1_Relatório Gerencial_1_Relatório Gerencial_Relatório de Commodities_Relatório Gerencial_DB Entrada_15-FINANCEIRAS" xfId="11614"/>
    <cellStyle name="s_Valuation _DB Dados do Mercado_Açúcar Físico não embarcado - Nov08 - Conferido_DB Entrada_1_Relatório Gerencial_1_Relatório Gerencial_Relatório de Commodities_Relatório Gerencial_DB Entrada_15-FINANCEIRAS_1" xfId="11615"/>
    <cellStyle name="s_Valuation _DB Dados do Mercado_Açúcar Físico não embarcado - Nov08 - Conferido_DB Entrada_1_Relatório Gerencial_1_Relatório Gerencial_Relatório de Commodities_Relatório Gerencial_DB Entrada_3-Balanço" xfId="11616"/>
    <cellStyle name="s_Valuation _DB Dados do Mercado_Açúcar Físico não embarcado - Nov08 - Conferido_DB Entrada_1_Relatório Gerencial_1_Relatório Gerencial_Relatório de Commodities_Relatório Gerencial_DB Entrada_7-Estoque" xfId="11617"/>
    <cellStyle name="s_Valuation _DB Dados do Mercado_Açúcar Físico não embarcado - Nov08 - Conferido_DB Entrada_1_Relatório Gerencial_1_Relatório Gerencial_Relatório Fechamento" xfId="11618"/>
    <cellStyle name="s_Valuation _DB Dados do Mercado_Açúcar Físico não embarcado - Nov08 - Conferido_DB Entrada_1_Relatório Gerencial_1_Relatório Gerencial_Relatório Fechamento 2" xfId="11619"/>
    <cellStyle name="s_Valuation _DB Dados do Mercado_Açúcar Físico não embarcado - Nov08 - Conferido_DB Entrada_1_Relatório Gerencial_1_Relatório Gerencial_Relatório Fechamento 2_15-FINANCEIRAS" xfId="11620"/>
    <cellStyle name="s_Valuation _DB Dados do Mercado_Açúcar Físico não embarcado - Nov08 - Conferido_DB Entrada_1_Relatório Gerencial_1_Relatório Gerencial_Relatório Fechamento_15-FINANCEIRAS" xfId="11621"/>
    <cellStyle name="s_Valuation _DB Dados do Mercado_Açúcar Físico não embarcado - Nov08 - Conferido_DB Entrada_1_Relatório Gerencial_1_Relatório Gerencial_Relatório Fechamento_15-FINANCEIRAS_1" xfId="11622"/>
    <cellStyle name="s_Valuation _DB Dados do Mercado_Açúcar Físico não embarcado - Nov08 - Conferido_DB Entrada_1_Relatório Gerencial_1_Relatório Gerencial_Relatório Fechamento_3-Balanço" xfId="11623"/>
    <cellStyle name="s_Valuation _DB Dados do Mercado_Açúcar Físico não embarcado - Nov08 - Conferido_DB Entrada_1_Relatório Gerencial_1_Relatório Gerencial_Relatório Fechamento_7-Estoque" xfId="11624"/>
    <cellStyle name="s_Valuation _DB Dados do Mercado_Açúcar Físico não embarcado - Nov08 - Conferido_DB Entrada_1_Relatório Gerencial_1_Relatório Gerencial_Relatório Gerencial" xfId="11625"/>
    <cellStyle name="s_Valuation _DB Dados do Mercado_Açúcar Físico não embarcado - Nov08 - Conferido_DB Entrada_1_Relatório Gerencial_1_Relatório Gerencial_Relatório Gerencial 2" xfId="11626"/>
    <cellStyle name="s_Valuation _DB Dados do Mercado_Açúcar Físico não embarcado - Nov08 - Conferido_DB Entrada_1_Relatório Gerencial_1_Relatório Gerencial_Relatório Gerencial 2_15-FINANCEIRAS" xfId="11627"/>
    <cellStyle name="s_Valuation _DB Dados do Mercado_Açúcar Físico não embarcado - Nov08 - Conferido_DB Entrada_1_Relatório Gerencial_1_Relatório Gerencial_Relatório Gerencial_1" xfId="11628"/>
    <cellStyle name="s_Valuation _DB Dados do Mercado_Açúcar Físico não embarcado - Nov08 - Conferido_DB Entrada_1_Relatório Gerencial_1_Relatório Gerencial_Relatório Gerencial_1 2" xfId="11629"/>
    <cellStyle name="s_Valuation _DB Dados do Mercado_Açúcar Físico não embarcado - Nov08 - Conferido_DB Entrada_1_Relatório Gerencial_1_Relatório Gerencial_Relatório Gerencial_1 2_15-FINANCEIRAS" xfId="11630"/>
    <cellStyle name="s_Valuation _DB Dados do Mercado_Açúcar Físico não embarcado - Nov08 - Conferido_DB Entrada_1_Relatório Gerencial_1_Relatório Gerencial_Relatório Gerencial_1_15-FINANCEIRAS" xfId="11631"/>
    <cellStyle name="s_Valuation _DB Dados do Mercado_Açúcar Físico não embarcado - Nov08 - Conferido_DB Entrada_1_Relatório Gerencial_1_Relatório Gerencial_Relatório Gerencial_1_15-FINANCEIRAS_1" xfId="11632"/>
    <cellStyle name="s_Valuation _DB Dados do Mercado_Açúcar Físico não embarcado - Nov08 - Conferido_DB Entrada_1_Relatório Gerencial_1_Relatório Gerencial_Relatório Gerencial_1_3-Balanço" xfId="11633"/>
    <cellStyle name="s_Valuation _DB Dados do Mercado_Açúcar Físico não embarcado - Nov08 - Conferido_DB Entrada_1_Relatório Gerencial_1_Relatório Gerencial_Relatório Gerencial_1_7-Estoque" xfId="11634"/>
    <cellStyle name="s_Valuation _DB Dados do Mercado_Açúcar Físico não embarcado - Nov08 - Conferido_DB Entrada_1_Relatório Gerencial_1_Relatório Gerencial_Relatório Gerencial_1_DB Entrada" xfId="11635"/>
    <cellStyle name="s_Valuation _DB Dados do Mercado_Açúcar Físico não embarcado - Nov08 - Conferido_DB Entrada_1_Relatório Gerencial_1_Relatório Gerencial_Relatório Gerencial_1_DB Entrada 2" xfId="11636"/>
    <cellStyle name="s_Valuation _DB Dados do Mercado_Açúcar Físico não embarcado - Nov08 - Conferido_DB Entrada_1_Relatório Gerencial_1_Relatório Gerencial_Relatório Gerencial_1_DB Entrada 2_15-FINANCEIRAS" xfId="11637"/>
    <cellStyle name="s_Valuation _DB Dados do Mercado_Açúcar Físico não embarcado - Nov08 - Conferido_DB Entrada_1_Relatório Gerencial_1_Relatório Gerencial_Relatório Gerencial_1_DB Entrada_15-FINANCEIRAS" xfId="11638"/>
    <cellStyle name="s_Valuation _DB Dados do Mercado_Açúcar Físico não embarcado - Nov08 - Conferido_DB Entrada_1_Relatório Gerencial_1_Relatório Gerencial_Relatório Gerencial_1_DB Entrada_15-FINANCEIRAS_1" xfId="11639"/>
    <cellStyle name="s_Valuation _DB Dados do Mercado_Açúcar Físico não embarcado - Nov08 - Conferido_DB Entrada_1_Relatório Gerencial_1_Relatório Gerencial_Relatório Gerencial_1_DB Entrada_3-Balanço" xfId="11640"/>
    <cellStyle name="s_Valuation _DB Dados do Mercado_Açúcar Físico não embarcado - Nov08 - Conferido_DB Entrada_1_Relatório Gerencial_1_Relatório Gerencial_Relatório Gerencial_1_DB Entrada_7-Estoque" xfId="11641"/>
    <cellStyle name="s_Valuation _DB Dados do Mercado_Açúcar Físico não embarcado - Nov08 - Conferido_DB Entrada_1_Relatório Gerencial_1_Relatório Gerencial_Relatório Gerencial_15-FINANCEIRAS" xfId="11642"/>
    <cellStyle name="s_Valuation _DB Dados do Mercado_Açúcar Físico não embarcado - Nov08 - Conferido_DB Entrada_1_Relatório Gerencial_1_Relatório Gerencial_Relatório Gerencial_15-FINANCEIRAS_1" xfId="11643"/>
    <cellStyle name="s_Valuation _DB Dados do Mercado_Açúcar Físico não embarcado - Nov08 - Conferido_DB Entrada_1_Relatório Gerencial_1_Relatório Gerencial_Relatório Gerencial_3-Balanço" xfId="11644"/>
    <cellStyle name="s_Valuation _DB Dados do Mercado_Açúcar Físico não embarcado - Nov08 - Conferido_DB Entrada_1_Relatório Gerencial_1_Relatório Gerencial_Relatório Gerencial_7-Estoque" xfId="11645"/>
    <cellStyle name="s_Valuation _DB Dados do Mercado_Açúcar Físico não embarcado - Nov08 - Conferido_DB Entrada_1_Relatório Gerencial_1_Relatório Gerencial_Sistema Cosan backup 103 Retirada de relatorios" xfId="11646"/>
    <cellStyle name="s_Valuation _DB Dados do Mercado_Açúcar Físico não embarcado - Nov08 - Conferido_DB Entrada_1_Relatório Gerencial_1_Relatório Gerencial_Sistema Cosan backup 103 Retirada de relatorios 2" xfId="11647"/>
    <cellStyle name="s_Valuation _DB Dados do Mercado_Açúcar Físico não embarcado - Nov08 - Conferido_DB Entrada_1_Relatório Gerencial_1_Relatório Gerencial_Sistema Cosan backup 103 Retirada de relatorios 2_15-FINANCEIRAS" xfId="11648"/>
    <cellStyle name="s_Valuation _DB Dados do Mercado_Açúcar Físico não embarcado - Nov08 - Conferido_DB Entrada_1_Relatório Gerencial_1_Relatório Gerencial_Sistema Cosan backup 103 Retirada de relatorios_15-FINANCEIRAS" xfId="11649"/>
    <cellStyle name="s_Valuation _DB Dados do Mercado_Açúcar Físico não embarcado - Nov08 - Conferido_DB Entrada_1_Relatório Gerencial_1_Relatório Gerencial_Sistema Cosan backup 103 Retirada de relatorios_15-FINANCEIRAS_1" xfId="11650"/>
    <cellStyle name="s_Valuation _DB Dados do Mercado_Açúcar Físico não embarcado - Nov08 - Conferido_DB Entrada_1_Relatório Gerencial_1_Relatório Gerencial_Sistema Cosan backup 103 Retirada de relatorios_3-Balanço" xfId="11651"/>
    <cellStyle name="s_Valuation _DB Dados do Mercado_Açúcar Físico não embarcado - Nov08 - Conferido_DB Entrada_1_Relatório Gerencial_1_Relatório Gerencial_Sistema Cosan backup 103 Retirada de relatorios_7-Estoque" xfId="11652"/>
    <cellStyle name="s_Valuation _DB Dados do Mercado_Açúcar Físico não embarcado - Nov08 - Conferido_DB Entrada_1_Relatório Gerencial_1_Sistema Cosan backup 103 Retirada de relatorios" xfId="11653"/>
    <cellStyle name="s_Valuation _DB Dados do Mercado_Açúcar Físico não embarcado - Nov08 - Conferido_DB Entrada_1_Relatório Gerencial_1_Sistema Cosan backup 103 Retirada de relatorios 2" xfId="11654"/>
    <cellStyle name="s_Valuation _DB Dados do Mercado_Açúcar Físico não embarcado - Nov08 - Conferido_DB Entrada_1_Relatório Gerencial_1_Sistema Cosan backup 103 Retirada de relatorios 2_15-FINANCEIRAS" xfId="11655"/>
    <cellStyle name="s_Valuation _DB Dados do Mercado_Açúcar Físico não embarcado - Nov08 - Conferido_DB Entrada_1_Relatório Gerencial_1_Sistema Cosan backup 103 Retirada de relatorios_15-FINANCEIRAS" xfId="11656"/>
    <cellStyle name="s_Valuation _DB Dados do Mercado_Açúcar Físico não embarcado - Nov08 - Conferido_DB Entrada_1_Relatório Gerencial_1_Sistema Cosan backup 103 Retirada de relatorios_15-FINANCEIRAS_1" xfId="11657"/>
    <cellStyle name="s_Valuation _DB Dados do Mercado_Açúcar Físico não embarcado - Nov08 - Conferido_DB Entrada_1_Relatório Gerencial_1_Sistema Cosan backup 103 Retirada de relatorios_3-Balanço" xfId="11658"/>
    <cellStyle name="s_Valuation _DB Dados do Mercado_Açúcar Físico não embarcado - Nov08 - Conferido_DB Entrada_1_Relatório Gerencial_1_Sistema Cosan backup 103 Retirada de relatorios_7-Estoque" xfId="11659"/>
    <cellStyle name="s_Valuation _DB Dados do Mercado_Açúcar Físico não embarcado - Nov08 - Conferido_DB Entrada_1_Relatório Gerencial_15-FINANCEIRAS" xfId="11660"/>
    <cellStyle name="s_Valuation _DB Dados do Mercado_Açúcar Físico não embarcado - Nov08 - Conferido_DB Entrada_1_Relatório Gerencial_15-FINANCEIRAS_1" xfId="11661"/>
    <cellStyle name="s_Valuation _DB Dados do Mercado_Açúcar Físico não embarcado - Nov08 - Conferido_DB Entrada_1_Relatório Gerencial_2" xfId="11662"/>
    <cellStyle name="s_Valuation _DB Dados do Mercado_Açúcar Físico não embarcado - Nov08 - Conferido_DB Entrada_1_Relatório Gerencial_2 2" xfId="11663"/>
    <cellStyle name="s_Valuation _DB Dados do Mercado_Açúcar Físico não embarcado - Nov08 - Conferido_DB Entrada_1_Relatório Gerencial_2 2_15-FINANCEIRAS" xfId="11664"/>
    <cellStyle name="s_Valuation _DB Dados do Mercado_Açúcar Físico não embarcado - Nov08 - Conferido_DB Entrada_1_Relatório Gerencial_2_15-FINANCEIRAS" xfId="11665"/>
    <cellStyle name="s_Valuation _DB Dados do Mercado_Açúcar Físico não embarcado - Nov08 - Conferido_DB Entrada_1_Relatório Gerencial_2_15-FINANCEIRAS_1" xfId="11666"/>
    <cellStyle name="s_Valuation _DB Dados do Mercado_Açúcar Físico não embarcado - Nov08 - Conferido_DB Entrada_1_Relatório Gerencial_2_3-Balanço" xfId="11667"/>
    <cellStyle name="s_Valuation _DB Dados do Mercado_Açúcar Físico não embarcado - Nov08 - Conferido_DB Entrada_1_Relatório Gerencial_2_7-Estoque" xfId="11668"/>
    <cellStyle name="s_Valuation _DB Dados do Mercado_Açúcar Físico não embarcado - Nov08 - Conferido_DB Entrada_1_Relatório Gerencial_2_DB Boletas Abertas" xfId="11669"/>
    <cellStyle name="s_Valuation _DB Dados do Mercado_Açúcar Físico não embarcado - Nov08 - Conferido_DB Entrada_1_Relatório Gerencial_2_DB Boletas Abertas 2" xfId="11670"/>
    <cellStyle name="s_Valuation _DB Dados do Mercado_Açúcar Físico não embarcado - Nov08 - Conferido_DB Entrada_1_Relatório Gerencial_2_DB Boletas Abertas 2_15-FINANCEIRAS" xfId="11671"/>
    <cellStyle name="s_Valuation _DB Dados do Mercado_Açúcar Físico não embarcado - Nov08 - Conferido_DB Entrada_1_Relatório Gerencial_2_DB Boletas Abertas_15-FINANCEIRAS" xfId="11672"/>
    <cellStyle name="s_Valuation _DB Dados do Mercado_Açúcar Físico não embarcado - Nov08 - Conferido_DB Entrada_1_Relatório Gerencial_2_DB Boletas Abertas_15-FINANCEIRAS_1" xfId="11673"/>
    <cellStyle name="s_Valuation _DB Dados do Mercado_Açúcar Físico não embarcado - Nov08 - Conferido_DB Entrada_1_Relatório Gerencial_2_DB Boletas Abertas_3-Balanço" xfId="11674"/>
    <cellStyle name="s_Valuation _DB Dados do Mercado_Açúcar Físico não embarcado - Nov08 - Conferido_DB Entrada_1_Relatório Gerencial_2_DB Boletas Abertas_7-Estoque" xfId="11675"/>
    <cellStyle name="s_Valuation _DB Dados do Mercado_Açúcar Físico não embarcado - Nov08 - Conferido_DB Entrada_1_Relatório Gerencial_2_DB Boletas Vencendo" xfId="11676"/>
    <cellStyle name="s_Valuation _DB Dados do Mercado_Açúcar Físico não embarcado - Nov08 - Conferido_DB Entrada_1_Relatório Gerencial_2_DB Boletas Vencendo 2" xfId="11677"/>
    <cellStyle name="s_Valuation _DB Dados do Mercado_Açúcar Físico não embarcado - Nov08 - Conferido_DB Entrada_1_Relatório Gerencial_2_DB Boletas Vencendo 2_15-FINANCEIRAS" xfId="11678"/>
    <cellStyle name="s_Valuation _DB Dados do Mercado_Açúcar Físico não embarcado - Nov08 - Conferido_DB Entrada_1_Relatório Gerencial_2_DB Boletas Vencendo_15-FINANCEIRAS" xfId="11679"/>
    <cellStyle name="s_Valuation _DB Dados do Mercado_Açúcar Físico não embarcado - Nov08 - Conferido_DB Entrada_1_Relatório Gerencial_2_DB Boletas Vencendo_15-FINANCEIRAS_1" xfId="11680"/>
    <cellStyle name="s_Valuation _DB Dados do Mercado_Açúcar Físico não embarcado - Nov08 - Conferido_DB Entrada_1_Relatório Gerencial_2_DB Boletas Vencendo_3-Balanço" xfId="11681"/>
    <cellStyle name="s_Valuation _DB Dados do Mercado_Açúcar Físico não embarcado - Nov08 - Conferido_DB Entrada_1_Relatório Gerencial_2_DB Boletas Vencendo_7-Estoque" xfId="11682"/>
    <cellStyle name="s_Valuation _DB Dados do Mercado_Açúcar Físico não embarcado - Nov08 - Conferido_DB Entrada_1_Relatório Gerencial_2_DB Boletas Vencendo_Relatório Gerencial" xfId="11683"/>
    <cellStyle name="s_Valuation _DB Dados do Mercado_Açúcar Físico não embarcado - Nov08 - Conferido_DB Entrada_1_Relatório Gerencial_2_DB Boletas Vencendo_Relatório Gerencial 2" xfId="11684"/>
    <cellStyle name="s_Valuation _DB Dados do Mercado_Açúcar Físico não embarcado - Nov08 - Conferido_DB Entrada_1_Relatório Gerencial_2_DB Boletas Vencendo_Relatório Gerencial 2_15-FINANCEIRAS" xfId="11685"/>
    <cellStyle name="s_Valuation _DB Dados do Mercado_Açúcar Físico não embarcado - Nov08 - Conferido_DB Entrada_1_Relatório Gerencial_2_DB Boletas Vencendo_Relatório Gerencial_15-FINANCEIRAS" xfId="11686"/>
    <cellStyle name="s_Valuation _DB Dados do Mercado_Açúcar Físico não embarcado - Nov08 - Conferido_DB Entrada_1_Relatório Gerencial_2_DB Boletas Vencendo_Relatório Gerencial_15-FINANCEIRAS_1" xfId="11687"/>
    <cellStyle name="s_Valuation _DB Dados do Mercado_Açúcar Físico não embarcado - Nov08 - Conferido_DB Entrada_1_Relatório Gerencial_2_DB Boletas Vencendo_Relatório Gerencial_3-Balanço" xfId="11688"/>
    <cellStyle name="s_Valuation _DB Dados do Mercado_Açúcar Físico não embarcado - Nov08 - Conferido_DB Entrada_1_Relatório Gerencial_2_DB Boletas Vencendo_Relatório Gerencial_7-Estoque" xfId="11689"/>
    <cellStyle name="s_Valuation _DB Dados do Mercado_Açúcar Físico não embarcado - Nov08 - Conferido_DB Entrada_1_Relatório Gerencial_2_DB Boletas Vencendo_Relatório Gerencial_DB Entrada" xfId="11690"/>
    <cellStyle name="s_Valuation _DB Dados do Mercado_Açúcar Físico não embarcado - Nov08 - Conferido_DB Entrada_1_Relatório Gerencial_2_DB Boletas Vencendo_Relatório Gerencial_DB Entrada 2" xfId="11691"/>
    <cellStyle name="s_Valuation _DB Dados do Mercado_Açúcar Físico não embarcado - Nov08 - Conferido_DB Entrada_1_Relatório Gerencial_2_DB Boletas Vencendo_Relatório Gerencial_DB Entrada 2_15-FINANCEIRAS" xfId="11692"/>
    <cellStyle name="s_Valuation _DB Dados do Mercado_Açúcar Físico não embarcado - Nov08 - Conferido_DB Entrada_1_Relatório Gerencial_2_DB Boletas Vencendo_Relatório Gerencial_DB Entrada_15-FINANCEIRAS" xfId="11693"/>
    <cellStyle name="s_Valuation _DB Dados do Mercado_Açúcar Físico não embarcado - Nov08 - Conferido_DB Entrada_1_Relatório Gerencial_2_DB Boletas Vencendo_Relatório Gerencial_DB Entrada_15-FINANCEIRAS_1" xfId="11694"/>
    <cellStyle name="s_Valuation _DB Dados do Mercado_Açúcar Físico não embarcado - Nov08 - Conferido_DB Entrada_1_Relatório Gerencial_2_DB Boletas Vencendo_Relatório Gerencial_DB Entrada_3-Balanço" xfId="11695"/>
    <cellStyle name="s_Valuation _DB Dados do Mercado_Açúcar Físico não embarcado - Nov08 - Conferido_DB Entrada_1_Relatório Gerencial_2_DB Boletas Vencendo_Relatório Gerencial_DB Entrada_7-Estoque" xfId="11696"/>
    <cellStyle name="s_Valuation _DB Dados do Mercado_Açúcar Físico não embarcado - Nov08 - Conferido_DB Entrada_1_Relatório Gerencial_2_DB Controle" xfId="11697"/>
    <cellStyle name="s_Valuation _DB Dados do Mercado_Açúcar Físico não embarcado - Nov08 - Conferido_DB Entrada_1_Relatório Gerencial_2_DB Controle 2" xfId="11698"/>
    <cellStyle name="s_Valuation _DB Dados do Mercado_Açúcar Físico não embarcado - Nov08 - Conferido_DB Entrada_1_Relatório Gerencial_2_DB Controle 2_15-FINANCEIRAS" xfId="11699"/>
    <cellStyle name="s_Valuation _DB Dados do Mercado_Açúcar Físico não embarcado - Nov08 - Conferido_DB Entrada_1_Relatório Gerencial_2_DB Controle_15-FINANCEIRAS" xfId="11700"/>
    <cellStyle name="s_Valuation _DB Dados do Mercado_Açúcar Físico não embarcado - Nov08 - Conferido_DB Entrada_1_Relatório Gerencial_2_DB Controle_15-FINANCEIRAS_1" xfId="11701"/>
    <cellStyle name="s_Valuation _DB Dados do Mercado_Açúcar Físico não embarcado - Nov08 - Conferido_DB Entrada_1_Relatório Gerencial_2_DB Controle_3-Balanço" xfId="11702"/>
    <cellStyle name="s_Valuation _DB Dados do Mercado_Açúcar Físico não embarcado - Nov08 - Conferido_DB Entrada_1_Relatório Gerencial_2_DB Controle_7-Estoque" xfId="11703"/>
    <cellStyle name="s_Valuation _DB Dados do Mercado_Açúcar Físico não embarcado - Nov08 - Conferido_DB Entrada_1_Relatório Gerencial_2_DB Entrada" xfId="11704"/>
    <cellStyle name="s_Valuation _DB Dados do Mercado_Açúcar Físico não embarcado - Nov08 - Conferido_DB Entrada_1_Relatório Gerencial_2_DB Entrada 2" xfId="11705"/>
    <cellStyle name="s_Valuation _DB Dados do Mercado_Açúcar Físico não embarcado - Nov08 - Conferido_DB Entrada_1_Relatório Gerencial_2_DB Entrada 2_15-FINANCEIRAS" xfId="11706"/>
    <cellStyle name="s_Valuation _DB Dados do Mercado_Açúcar Físico não embarcado - Nov08 - Conferido_DB Entrada_1_Relatório Gerencial_2_DB Entrada_1" xfId="11707"/>
    <cellStyle name="s_Valuation _DB Dados do Mercado_Açúcar Físico não embarcado - Nov08 - Conferido_DB Entrada_1_Relatório Gerencial_2_DB Entrada_1 2" xfId="11708"/>
    <cellStyle name="s_Valuation _DB Dados do Mercado_Açúcar Físico não embarcado - Nov08 - Conferido_DB Entrada_1_Relatório Gerencial_2_DB Entrada_1 2_15-FINANCEIRAS" xfId="11709"/>
    <cellStyle name="s_Valuation _DB Dados do Mercado_Açúcar Físico não embarcado - Nov08 - Conferido_DB Entrada_1_Relatório Gerencial_2_DB Entrada_1_15-FINANCEIRAS" xfId="11710"/>
    <cellStyle name="s_Valuation _DB Dados do Mercado_Açúcar Físico não embarcado - Nov08 - Conferido_DB Entrada_1_Relatório Gerencial_2_DB Entrada_1_15-FINANCEIRAS_1" xfId="11711"/>
    <cellStyle name="s_Valuation _DB Dados do Mercado_Açúcar Físico não embarcado - Nov08 - Conferido_DB Entrada_1_Relatório Gerencial_2_DB Entrada_1_3-Balanço" xfId="11712"/>
    <cellStyle name="s_Valuation _DB Dados do Mercado_Açúcar Físico não embarcado - Nov08 - Conferido_DB Entrada_1_Relatório Gerencial_2_DB Entrada_1_7-Estoque" xfId="11713"/>
    <cellStyle name="s_Valuation _DB Dados do Mercado_Açúcar Físico não embarcado - Nov08 - Conferido_DB Entrada_1_Relatório Gerencial_2_DB Entrada_1_DB Boletas Abertas" xfId="11714"/>
    <cellStyle name="s_Valuation _DB Dados do Mercado_Açúcar Físico não embarcado - Nov08 - Conferido_DB Entrada_1_Relatório Gerencial_2_DB Entrada_1_DB Boletas Abertas 2" xfId="11715"/>
    <cellStyle name="s_Valuation _DB Dados do Mercado_Açúcar Físico não embarcado - Nov08 - Conferido_DB Entrada_1_Relatório Gerencial_2_DB Entrada_1_DB Boletas Abertas 2_15-FINANCEIRAS" xfId="11716"/>
    <cellStyle name="s_Valuation _DB Dados do Mercado_Açúcar Físico não embarcado - Nov08 - Conferido_DB Entrada_1_Relatório Gerencial_2_DB Entrada_1_DB Boletas Abertas_15-FINANCEIRAS" xfId="11717"/>
    <cellStyle name="s_Valuation _DB Dados do Mercado_Açúcar Físico não embarcado - Nov08 - Conferido_DB Entrada_1_Relatório Gerencial_2_DB Entrada_1_DB Boletas Abertas_15-FINANCEIRAS_1" xfId="11718"/>
    <cellStyle name="s_Valuation _DB Dados do Mercado_Açúcar Físico não embarcado - Nov08 - Conferido_DB Entrada_1_Relatório Gerencial_2_DB Entrada_1_DB Boletas Abertas_3-Balanço" xfId="11719"/>
    <cellStyle name="s_Valuation _DB Dados do Mercado_Açúcar Físico não embarcado - Nov08 - Conferido_DB Entrada_1_Relatório Gerencial_2_DB Entrada_1_DB Boletas Abertas_7-Estoque" xfId="11720"/>
    <cellStyle name="s_Valuation _DB Dados do Mercado_Açúcar Físico não embarcado - Nov08 - Conferido_DB Entrada_1_Relatório Gerencial_2_DB Entrada_1_DB Controle" xfId="11721"/>
    <cellStyle name="s_Valuation _DB Dados do Mercado_Açúcar Físico não embarcado - Nov08 - Conferido_DB Entrada_1_Relatório Gerencial_2_DB Entrada_1_DB Controle 2" xfId="11722"/>
    <cellStyle name="s_Valuation _DB Dados do Mercado_Açúcar Físico não embarcado - Nov08 - Conferido_DB Entrada_1_Relatório Gerencial_2_DB Entrada_1_DB Controle 2_15-FINANCEIRAS" xfId="11723"/>
    <cellStyle name="s_Valuation _DB Dados do Mercado_Açúcar Físico não embarcado - Nov08 - Conferido_DB Entrada_1_Relatório Gerencial_2_DB Entrada_1_DB Controle_15-FINANCEIRAS" xfId="11724"/>
    <cellStyle name="s_Valuation _DB Dados do Mercado_Açúcar Físico não embarcado - Nov08 - Conferido_DB Entrada_1_Relatório Gerencial_2_DB Entrada_1_DB Controle_15-FINANCEIRAS_1" xfId="11725"/>
    <cellStyle name="s_Valuation _DB Dados do Mercado_Açúcar Físico não embarcado - Nov08 - Conferido_DB Entrada_1_Relatório Gerencial_2_DB Entrada_1_DB Controle_3-Balanço" xfId="11726"/>
    <cellStyle name="s_Valuation _DB Dados do Mercado_Açúcar Físico não embarcado - Nov08 - Conferido_DB Entrada_1_Relatório Gerencial_2_DB Entrada_1_DB Controle_7-Estoque" xfId="11727"/>
    <cellStyle name="s_Valuation _DB Dados do Mercado_Açúcar Físico não embarcado - Nov08 - Conferido_DB Entrada_1_Relatório Gerencial_2_DB Entrada_1_DB Entrada" xfId="11728"/>
    <cellStyle name="s_Valuation _DB Dados do Mercado_Açúcar Físico não embarcado - Nov08 - Conferido_DB Entrada_1_Relatório Gerencial_2_DB Entrada_1_DB Entrada 2" xfId="11729"/>
    <cellStyle name="s_Valuation _DB Dados do Mercado_Açúcar Físico não embarcado - Nov08 - Conferido_DB Entrada_1_Relatório Gerencial_2_DB Entrada_1_DB Entrada 2_15-FINANCEIRAS" xfId="11730"/>
    <cellStyle name="s_Valuation _DB Dados do Mercado_Açúcar Físico não embarcado - Nov08 - Conferido_DB Entrada_1_Relatório Gerencial_2_DB Entrada_1_DB Entrada_15-FINANCEIRAS" xfId="11731"/>
    <cellStyle name="s_Valuation _DB Dados do Mercado_Açúcar Físico não embarcado - Nov08 - Conferido_DB Entrada_1_Relatório Gerencial_2_DB Entrada_1_DB Entrada_15-FINANCEIRAS_1" xfId="11732"/>
    <cellStyle name="s_Valuation _DB Dados do Mercado_Açúcar Físico não embarcado - Nov08 - Conferido_DB Entrada_1_Relatório Gerencial_2_DB Entrada_1_DB Entrada_3-Balanço" xfId="11733"/>
    <cellStyle name="s_Valuation _DB Dados do Mercado_Açúcar Físico não embarcado - Nov08 - Conferido_DB Entrada_1_Relatório Gerencial_2_DB Entrada_1_DB Entrada_7-Estoque" xfId="11734"/>
    <cellStyle name="s_Valuation _DB Dados do Mercado_Açúcar Físico não embarcado - Nov08 - Conferido_DB Entrada_1_Relatório Gerencial_2_DB Entrada_1_DB Entrada_Relatório Gerencial" xfId="11735"/>
    <cellStyle name="s_Valuation _DB Dados do Mercado_Açúcar Físico não embarcado - Nov08 - Conferido_DB Entrada_1_Relatório Gerencial_2_DB Entrada_1_DB Entrada_Relatório Gerencial 2" xfId="11736"/>
    <cellStyle name="s_Valuation _DB Dados do Mercado_Açúcar Físico não embarcado - Nov08 - Conferido_DB Entrada_1_Relatório Gerencial_2_DB Entrada_1_DB Entrada_Relatório Gerencial 2_15-FINANCEIRAS" xfId="11737"/>
    <cellStyle name="s_Valuation _DB Dados do Mercado_Açúcar Físico não embarcado - Nov08 - Conferido_DB Entrada_1_Relatório Gerencial_2_DB Entrada_1_DB Entrada_Relatório Gerencial_15-FINANCEIRAS" xfId="11738"/>
    <cellStyle name="s_Valuation _DB Dados do Mercado_Açúcar Físico não embarcado - Nov08 - Conferido_DB Entrada_1_Relatório Gerencial_2_DB Entrada_1_DB Entrada_Relatório Gerencial_15-FINANCEIRAS_1" xfId="11739"/>
    <cellStyle name="s_Valuation _DB Dados do Mercado_Açúcar Físico não embarcado - Nov08 - Conferido_DB Entrada_1_Relatório Gerencial_2_DB Entrada_1_DB Entrada_Relatório Gerencial_3-Balanço" xfId="11740"/>
    <cellStyle name="s_Valuation _DB Dados do Mercado_Açúcar Físico não embarcado - Nov08 - Conferido_DB Entrada_1_Relatório Gerencial_2_DB Entrada_1_DB Entrada_Relatório Gerencial_7-Estoque" xfId="11741"/>
    <cellStyle name="s_Valuation _DB Dados do Mercado_Açúcar Físico não embarcado - Nov08 - Conferido_DB Entrada_1_Relatório Gerencial_2_DB Entrada_1_DB Entrada_Relatório Gerencial_DB Entrada" xfId="11742"/>
    <cellStyle name="s_Valuation _DB Dados do Mercado_Açúcar Físico não embarcado - Nov08 - Conferido_DB Entrada_1_Relatório Gerencial_2_DB Entrada_1_DB Entrada_Relatório Gerencial_DB Entrada 2" xfId="11743"/>
    <cellStyle name="s_Valuation _DB Dados do Mercado_Açúcar Físico não embarcado - Nov08 - Conferido_DB Entrada_1_Relatório Gerencial_2_DB Entrada_1_DB Entrada_Relatório Gerencial_DB Entrada 2_15-FINANCEIRAS" xfId="11744"/>
    <cellStyle name="s_Valuation _DB Dados do Mercado_Açúcar Físico não embarcado - Nov08 - Conferido_DB Entrada_1_Relatório Gerencial_2_DB Entrada_1_DB Entrada_Relatório Gerencial_DB Entrada_15-FINANCEIRAS" xfId="11745"/>
    <cellStyle name="s_Valuation _DB Dados do Mercado_Açúcar Físico não embarcado - Nov08 - Conferido_DB Entrada_1_Relatório Gerencial_2_DB Entrada_1_DB Entrada_Relatório Gerencial_DB Entrada_15-FINANCEIRAS_1" xfId="11746"/>
    <cellStyle name="s_Valuation _DB Dados do Mercado_Açúcar Físico não embarcado - Nov08 - Conferido_DB Entrada_1_Relatório Gerencial_2_DB Entrada_1_DB Entrada_Relatório Gerencial_DB Entrada_3-Balanço" xfId="11747"/>
    <cellStyle name="s_Valuation _DB Dados do Mercado_Açúcar Físico não embarcado - Nov08 - Conferido_DB Entrada_1_Relatório Gerencial_2_DB Entrada_1_DB Entrada_Relatório Gerencial_DB Entrada_7-Estoque" xfId="11748"/>
    <cellStyle name="s_Valuation _DB Dados do Mercado_Açúcar Físico não embarcado - Nov08 - Conferido_DB Entrada_1_Relatório Gerencial_2_DB Entrada_1_DB Exposição" xfId="11749"/>
    <cellStyle name="s_Valuation _DB Dados do Mercado_Açúcar Físico não embarcado - Nov08 - Conferido_DB Entrada_1_Relatório Gerencial_2_DB Entrada_1_DB Exposição 2" xfId="11750"/>
    <cellStyle name="s_Valuation _DB Dados do Mercado_Açúcar Físico não embarcado - Nov08 - Conferido_DB Entrada_1_Relatório Gerencial_2_DB Entrada_1_DB Exposição 2_15-FINANCEIRAS" xfId="11751"/>
    <cellStyle name="s_Valuation _DB Dados do Mercado_Açúcar Físico não embarcado - Nov08 - Conferido_DB Entrada_1_Relatório Gerencial_2_DB Entrada_1_DB Exposição_15-FINANCEIRAS" xfId="11752"/>
    <cellStyle name="s_Valuation _DB Dados do Mercado_Açúcar Físico não embarcado - Nov08 - Conferido_DB Entrada_1_Relatório Gerencial_2_DB Entrada_1_DB Exposição_15-FINANCEIRAS_1" xfId="11753"/>
    <cellStyle name="s_Valuation _DB Dados do Mercado_Açúcar Físico não embarcado - Nov08 - Conferido_DB Entrada_1_Relatório Gerencial_2_DB Entrada_1_DB Exposição_3-Balanço" xfId="11754"/>
    <cellStyle name="s_Valuation _DB Dados do Mercado_Açúcar Físico não embarcado - Nov08 - Conferido_DB Entrada_1_Relatório Gerencial_2_DB Entrada_1_DB Exposição_7-Estoque" xfId="11755"/>
    <cellStyle name="s_Valuation _DB Dados do Mercado_Açúcar Físico não embarcado - Nov08 - Conferido_DB Entrada_1_Relatório Gerencial_2_DB Entrada_1_DB Exposição_Relatório Gerencial" xfId="11756"/>
    <cellStyle name="s_Valuation _DB Dados do Mercado_Açúcar Físico não embarcado - Nov08 - Conferido_DB Entrada_1_Relatório Gerencial_2_DB Entrada_1_DB Exposição_Relatório Gerencial 2" xfId="11757"/>
    <cellStyle name="s_Valuation _DB Dados do Mercado_Açúcar Físico não embarcado - Nov08 - Conferido_DB Entrada_1_Relatório Gerencial_2_DB Entrada_1_DB Exposição_Relatório Gerencial 2_15-FINANCEIRAS" xfId="11758"/>
    <cellStyle name="s_Valuation _DB Dados do Mercado_Açúcar Físico não embarcado - Nov08 - Conferido_DB Entrada_1_Relatório Gerencial_2_DB Entrada_1_DB Exposição_Relatório Gerencial_15-FINANCEIRAS" xfId="11759"/>
    <cellStyle name="s_Valuation _DB Dados do Mercado_Açúcar Físico não embarcado - Nov08 - Conferido_DB Entrada_1_Relatório Gerencial_2_DB Entrada_1_DB Exposição_Relatório Gerencial_15-FINANCEIRAS_1" xfId="11760"/>
    <cellStyle name="s_Valuation _DB Dados do Mercado_Açúcar Físico não embarcado - Nov08 - Conferido_DB Entrada_1_Relatório Gerencial_2_DB Entrada_1_DB Exposição_Relatório Gerencial_3-Balanço" xfId="11761"/>
    <cellStyle name="s_Valuation _DB Dados do Mercado_Açúcar Físico não embarcado - Nov08 - Conferido_DB Entrada_1_Relatório Gerencial_2_DB Entrada_1_DB Exposição_Relatório Gerencial_7-Estoque" xfId="11762"/>
    <cellStyle name="s_Valuation _DB Dados do Mercado_Açúcar Físico não embarcado - Nov08 - Conferido_DB Entrada_1_Relatório Gerencial_2_DB Entrada_1_DB Exposição_Relatório Gerencial_DB Entrada" xfId="11763"/>
    <cellStyle name="s_Valuation _DB Dados do Mercado_Açúcar Físico não embarcado - Nov08 - Conferido_DB Entrada_1_Relatório Gerencial_2_DB Entrada_1_DB Exposição_Relatório Gerencial_DB Entrada 2" xfId="11764"/>
    <cellStyle name="s_Valuation _DB Dados do Mercado_Açúcar Físico não embarcado - Nov08 - Conferido_DB Entrada_1_Relatório Gerencial_2_DB Entrada_1_DB Exposição_Relatório Gerencial_DB Entrada 2_15-FINANCEIRAS" xfId="11765"/>
    <cellStyle name="s_Valuation _DB Dados do Mercado_Açúcar Físico não embarcado - Nov08 - Conferido_DB Entrada_1_Relatório Gerencial_2_DB Entrada_1_DB Exposição_Relatório Gerencial_DB Entrada_15-FINANCEIRAS" xfId="11766"/>
    <cellStyle name="s_Valuation _DB Dados do Mercado_Açúcar Físico não embarcado - Nov08 - Conferido_DB Entrada_1_Relatório Gerencial_2_DB Entrada_1_DB Exposição_Relatório Gerencial_DB Entrada_15-FINANCEIRAS_1" xfId="11767"/>
    <cellStyle name="s_Valuation _DB Dados do Mercado_Açúcar Físico não embarcado - Nov08 - Conferido_DB Entrada_1_Relatório Gerencial_2_DB Entrada_1_DB Exposição_Relatório Gerencial_DB Entrada_3-Balanço" xfId="11768"/>
    <cellStyle name="s_Valuation _DB Dados do Mercado_Açúcar Físico não embarcado - Nov08 - Conferido_DB Entrada_1_Relatório Gerencial_2_DB Entrada_1_DB Exposição_Relatório Gerencial_DB Entrada_7-Estoque" xfId="11769"/>
    <cellStyle name="s_Valuation _DB Dados do Mercado_Açúcar Físico não embarcado - Nov08 - Conferido_DB Entrada_1_Relatório Gerencial_2_DB Entrada_1_DB Posição" xfId="11770"/>
    <cellStyle name="s_Valuation _DB Dados do Mercado_Açúcar Físico não embarcado - Nov08 - Conferido_DB Entrada_1_Relatório Gerencial_2_DB Entrada_1_DB Posição 2" xfId="11771"/>
    <cellStyle name="s_Valuation _DB Dados do Mercado_Açúcar Físico não embarcado - Nov08 - Conferido_DB Entrada_1_Relatório Gerencial_2_DB Entrada_1_DB Posição 2_15-FINANCEIRAS" xfId="11772"/>
    <cellStyle name="s_Valuation _DB Dados do Mercado_Açúcar Físico não embarcado - Nov08 - Conferido_DB Entrada_1_Relatório Gerencial_2_DB Entrada_1_DB Posição_15-FINANCEIRAS" xfId="11773"/>
    <cellStyle name="s_Valuation _DB Dados do Mercado_Açúcar Físico não embarcado - Nov08 - Conferido_DB Entrada_1_Relatório Gerencial_2_DB Entrada_1_DB Posição_15-FINANCEIRAS_1" xfId="11774"/>
    <cellStyle name="s_Valuation _DB Dados do Mercado_Açúcar Físico não embarcado - Nov08 - Conferido_DB Entrada_1_Relatório Gerencial_2_DB Entrada_1_DB Posição_3-Balanço" xfId="11775"/>
    <cellStyle name="s_Valuation _DB Dados do Mercado_Açúcar Físico não embarcado - Nov08 - Conferido_DB Entrada_1_Relatório Gerencial_2_DB Entrada_1_DB Posição_7-Estoque" xfId="11776"/>
    <cellStyle name="s_Valuation _DB Dados do Mercado_Açúcar Físico não embarcado - Nov08 - Conferido_DB Entrada_1_Relatório Gerencial_2_DB Entrada_1_Liquidações_Prêmios" xfId="11777"/>
    <cellStyle name="s_Valuation _DB Dados do Mercado_Açúcar Físico não embarcado - Nov08 - Conferido_DB Entrada_1_Relatório Gerencial_2_DB Entrada_1_Liquidações_Prêmios 2" xfId="11778"/>
    <cellStyle name="s_Valuation _DB Dados do Mercado_Açúcar Físico não embarcado - Nov08 - Conferido_DB Entrada_1_Relatório Gerencial_2_DB Entrada_1_Liquidações_Prêmios 2_15-FINANCEIRAS" xfId="11779"/>
    <cellStyle name="s_Valuation _DB Dados do Mercado_Açúcar Físico não embarcado - Nov08 - Conferido_DB Entrada_1_Relatório Gerencial_2_DB Entrada_1_Liquidações_Prêmios_15-FINANCEIRAS" xfId="11780"/>
    <cellStyle name="s_Valuation _DB Dados do Mercado_Açúcar Físico não embarcado - Nov08 - Conferido_DB Entrada_1_Relatório Gerencial_2_DB Entrada_1_Liquidações_Prêmios_15-FINANCEIRAS_1" xfId="11781"/>
    <cellStyle name="s_Valuation _DB Dados do Mercado_Açúcar Físico não embarcado - Nov08 - Conferido_DB Entrada_1_Relatório Gerencial_2_DB Entrada_1_Liquidações_Prêmios_3-Balanço" xfId="11782"/>
    <cellStyle name="s_Valuation _DB Dados do Mercado_Açúcar Físico não embarcado - Nov08 - Conferido_DB Entrada_1_Relatório Gerencial_2_DB Entrada_1_Liquidações_Prêmios_7-Estoque" xfId="11783"/>
    <cellStyle name="s_Valuation _DB Dados do Mercado_Açúcar Físico não embarcado - Nov08 - Conferido_DB Entrada_1_Relatório Gerencial_2_DB Entrada_1_Posição Futuros" xfId="11784"/>
    <cellStyle name="s_Valuation _DB Dados do Mercado_Açúcar Físico não embarcado - Nov08 - Conferido_DB Entrada_1_Relatório Gerencial_2_DB Entrada_1_Posição Futuros 2" xfId="11785"/>
    <cellStyle name="s_Valuation _DB Dados do Mercado_Açúcar Físico não embarcado - Nov08 - Conferido_DB Entrada_1_Relatório Gerencial_2_DB Entrada_1_Posição Futuros 2_15-FINANCEIRAS" xfId="11786"/>
    <cellStyle name="s_Valuation _DB Dados do Mercado_Açúcar Físico não embarcado - Nov08 - Conferido_DB Entrada_1_Relatório Gerencial_2_DB Entrada_1_Posição Futuros_15-FINANCEIRAS" xfId="11787"/>
    <cellStyle name="s_Valuation _DB Dados do Mercado_Açúcar Físico não embarcado - Nov08 - Conferido_DB Entrada_1_Relatório Gerencial_2_DB Entrada_1_Posição Futuros_15-FINANCEIRAS_1" xfId="11788"/>
    <cellStyle name="s_Valuation _DB Dados do Mercado_Açúcar Físico não embarcado - Nov08 - Conferido_DB Entrada_1_Relatório Gerencial_2_DB Entrada_1_Posição Futuros_3-Balanço" xfId="11789"/>
    <cellStyle name="s_Valuation _DB Dados do Mercado_Açúcar Físico não embarcado - Nov08 - Conferido_DB Entrada_1_Relatório Gerencial_2_DB Entrada_1_Posição Futuros_7-Estoque" xfId="11790"/>
    <cellStyle name="s_Valuation _DB Dados do Mercado_Açúcar Físico não embarcado - Nov08 - Conferido_DB Entrada_1_Relatório Gerencial_2_DB Entrada_1_Relatório de Commodities" xfId="11791"/>
    <cellStyle name="s_Valuation _DB Dados do Mercado_Açúcar Físico não embarcado - Nov08 - Conferido_DB Entrada_1_Relatório Gerencial_2_DB Entrada_1_Relatório de Commodities 2" xfId="11792"/>
    <cellStyle name="s_Valuation _DB Dados do Mercado_Açúcar Físico não embarcado - Nov08 - Conferido_DB Entrada_1_Relatório Gerencial_2_DB Entrada_1_Relatório de Commodities 2_15-FINANCEIRAS" xfId="11793"/>
    <cellStyle name="s_Valuation _DB Dados do Mercado_Açúcar Físico não embarcado - Nov08 - Conferido_DB Entrada_1_Relatório Gerencial_2_DB Entrada_1_Relatório de Commodities_15-FINANCEIRAS" xfId="11794"/>
    <cellStyle name="s_Valuation _DB Dados do Mercado_Açúcar Físico não embarcado - Nov08 - Conferido_DB Entrada_1_Relatório Gerencial_2_DB Entrada_1_Relatório de Commodities_15-FINANCEIRAS_1" xfId="11795"/>
    <cellStyle name="s_Valuation _DB Dados do Mercado_Açúcar Físico não embarcado - Nov08 - Conferido_DB Entrada_1_Relatório Gerencial_2_DB Entrada_1_Relatório de Commodities_3-Balanço" xfId="11796"/>
    <cellStyle name="s_Valuation _DB Dados do Mercado_Açúcar Físico não embarcado - Nov08 - Conferido_DB Entrada_1_Relatório Gerencial_2_DB Entrada_1_Relatório de Commodities_7-Estoque" xfId="11797"/>
    <cellStyle name="s_Valuation _DB Dados do Mercado_Açúcar Físico não embarcado - Nov08 - Conferido_DB Entrada_1_Relatório Gerencial_2_DB Entrada_1_Relatório de Commodities_Relatório Gerencial" xfId="11798"/>
    <cellStyle name="s_Valuation _DB Dados do Mercado_Açúcar Físico não embarcado - Nov08 - Conferido_DB Entrada_1_Relatório Gerencial_2_DB Entrada_1_Relatório de Commodities_Relatório Gerencial 2" xfId="11799"/>
    <cellStyle name="s_Valuation _DB Dados do Mercado_Açúcar Físico não embarcado - Nov08 - Conferido_DB Entrada_1_Relatório Gerencial_2_DB Entrada_1_Relatório de Commodities_Relatório Gerencial 2_15-FINANCEIRAS" xfId="11800"/>
    <cellStyle name="s_Valuation _DB Dados do Mercado_Açúcar Físico não embarcado - Nov08 - Conferido_DB Entrada_1_Relatório Gerencial_2_DB Entrada_1_Relatório de Commodities_Relatório Gerencial_15-FINANCEIRAS" xfId="11801"/>
    <cellStyle name="s_Valuation _DB Dados do Mercado_Açúcar Físico não embarcado - Nov08 - Conferido_DB Entrada_1_Relatório Gerencial_2_DB Entrada_1_Relatório de Commodities_Relatório Gerencial_15-FINANCEIRAS_1" xfId="11802"/>
    <cellStyle name="s_Valuation _DB Dados do Mercado_Açúcar Físico não embarcado - Nov08 - Conferido_DB Entrada_1_Relatório Gerencial_2_DB Entrada_1_Relatório de Commodities_Relatório Gerencial_3-Balanço" xfId="11803"/>
    <cellStyle name="s_Valuation _DB Dados do Mercado_Açúcar Físico não embarcado - Nov08 - Conferido_DB Entrada_1_Relatório Gerencial_2_DB Entrada_1_Relatório de Commodities_Relatório Gerencial_7-Estoque" xfId="11804"/>
    <cellStyle name="s_Valuation _DB Dados do Mercado_Açúcar Físico não embarcado - Nov08 - Conferido_DB Entrada_1_Relatório Gerencial_2_DB Entrada_1_Relatório de Commodities_Relatório Gerencial_DB Entrada" xfId="11805"/>
    <cellStyle name="s_Valuation _DB Dados do Mercado_Açúcar Físico não embarcado - Nov08 - Conferido_DB Entrada_1_Relatório Gerencial_2_DB Entrada_1_Relatório de Commodities_Relatório Gerencial_DB Entrada 2" xfId="11806"/>
    <cellStyle name="s_Valuation _DB Dados do Mercado_Açúcar Físico não embarcado - Nov08 - Conferido_DB Entrada_1_Relatório Gerencial_2_DB Entrada_1_Relatório de Commodities_Relatório Gerencial_DB Entrada 2_15-FINANCEIRAS" xfId="11807"/>
    <cellStyle name="s_Valuation _DB Dados do Mercado_Açúcar Físico não embarcado - Nov08 - Conferido_DB Entrada_1_Relatório Gerencial_2_DB Entrada_1_Relatório de Commodities_Relatório Gerencial_DB Entrada_15-FINANCEIRAS" xfId="11808"/>
    <cellStyle name="s_Valuation _DB Dados do Mercado_Açúcar Físico não embarcado - Nov08 - Conferido_DB Entrada_1_Relatório Gerencial_2_DB Entrada_1_Relatório de Commodities_Relatório Gerencial_DB Entrada_15-FINANCEIRAS_1" xfId="11809"/>
    <cellStyle name="s_Valuation _DB Dados do Mercado_Açúcar Físico não embarcado - Nov08 - Conferido_DB Entrada_1_Relatório Gerencial_2_DB Entrada_1_Relatório de Commodities_Relatório Gerencial_DB Entrada_3-Balanço" xfId="11810"/>
    <cellStyle name="s_Valuation _DB Dados do Mercado_Açúcar Físico não embarcado - Nov08 - Conferido_DB Entrada_1_Relatório Gerencial_2_DB Entrada_1_Relatório de Commodities_Relatório Gerencial_DB Entrada_7-Estoque" xfId="11811"/>
    <cellStyle name="s_Valuation _DB Dados do Mercado_Açúcar Físico não embarcado - Nov08 - Conferido_DB Entrada_1_Relatório Gerencial_2_DB Entrada_1_Relatório Fechamento" xfId="11812"/>
    <cellStyle name="s_Valuation _DB Dados do Mercado_Açúcar Físico não embarcado - Nov08 - Conferido_DB Entrada_1_Relatório Gerencial_2_DB Entrada_1_Relatório Fechamento 2" xfId="11813"/>
    <cellStyle name="s_Valuation _DB Dados do Mercado_Açúcar Físico não embarcado - Nov08 - Conferido_DB Entrada_1_Relatório Gerencial_2_DB Entrada_1_Relatório Fechamento 2_15-FINANCEIRAS" xfId="11814"/>
    <cellStyle name="s_Valuation _DB Dados do Mercado_Açúcar Físico não embarcado - Nov08 - Conferido_DB Entrada_1_Relatório Gerencial_2_DB Entrada_1_Relatório Fechamento_15-FINANCEIRAS" xfId="11815"/>
    <cellStyle name="s_Valuation _DB Dados do Mercado_Açúcar Físico não embarcado - Nov08 - Conferido_DB Entrada_1_Relatório Gerencial_2_DB Entrada_1_Relatório Fechamento_15-FINANCEIRAS_1" xfId="11816"/>
    <cellStyle name="s_Valuation _DB Dados do Mercado_Açúcar Físico não embarcado - Nov08 - Conferido_DB Entrada_1_Relatório Gerencial_2_DB Entrada_1_Relatório Fechamento_3-Balanço" xfId="11817"/>
    <cellStyle name="s_Valuation _DB Dados do Mercado_Açúcar Físico não embarcado - Nov08 - Conferido_DB Entrada_1_Relatório Gerencial_2_DB Entrada_1_Relatório Fechamento_7-Estoque" xfId="11818"/>
    <cellStyle name="s_Valuation _DB Dados do Mercado_Açúcar Físico não embarcado - Nov08 - Conferido_DB Entrada_1_Relatório Gerencial_2_DB Entrada_1_Relatório Gerencial" xfId="11819"/>
    <cellStyle name="s_Valuation _DB Dados do Mercado_Açúcar Físico não embarcado - Nov08 - Conferido_DB Entrada_1_Relatório Gerencial_2_DB Entrada_1_Relatório Gerencial 2" xfId="11820"/>
    <cellStyle name="s_Valuation _DB Dados do Mercado_Açúcar Físico não embarcado - Nov08 - Conferido_DB Entrada_1_Relatório Gerencial_2_DB Entrada_1_Relatório Gerencial 2_15-FINANCEIRAS" xfId="11821"/>
    <cellStyle name="s_Valuation _DB Dados do Mercado_Açúcar Físico não embarcado - Nov08 - Conferido_DB Entrada_1_Relatório Gerencial_2_DB Entrada_1_Relatório Gerencial_1" xfId="11822"/>
    <cellStyle name="s_Valuation _DB Dados do Mercado_Açúcar Físico não embarcado - Nov08 - Conferido_DB Entrada_1_Relatório Gerencial_2_DB Entrada_1_Relatório Gerencial_1 2" xfId="11823"/>
    <cellStyle name="s_Valuation _DB Dados do Mercado_Açúcar Físico não embarcado - Nov08 - Conferido_DB Entrada_1_Relatório Gerencial_2_DB Entrada_1_Relatório Gerencial_1 2_15-FINANCEIRAS" xfId="11824"/>
    <cellStyle name="s_Valuation _DB Dados do Mercado_Açúcar Físico não embarcado - Nov08 - Conferido_DB Entrada_1_Relatório Gerencial_2_DB Entrada_1_Relatório Gerencial_1_15-FINANCEIRAS" xfId="11825"/>
    <cellStyle name="s_Valuation _DB Dados do Mercado_Açúcar Físico não embarcado - Nov08 - Conferido_DB Entrada_1_Relatório Gerencial_2_DB Entrada_1_Relatório Gerencial_1_15-FINANCEIRAS_1" xfId="11826"/>
    <cellStyle name="s_Valuation _DB Dados do Mercado_Açúcar Físico não embarcado - Nov08 - Conferido_DB Entrada_1_Relatório Gerencial_2_DB Entrada_1_Relatório Gerencial_1_3-Balanço" xfId="11827"/>
    <cellStyle name="s_Valuation _DB Dados do Mercado_Açúcar Físico não embarcado - Nov08 - Conferido_DB Entrada_1_Relatório Gerencial_2_DB Entrada_1_Relatório Gerencial_1_7-Estoque" xfId="11828"/>
    <cellStyle name="s_Valuation _DB Dados do Mercado_Açúcar Físico não embarcado - Nov08 - Conferido_DB Entrada_1_Relatório Gerencial_2_DB Entrada_1_Relatório Gerencial_1_DB Entrada" xfId="11829"/>
    <cellStyle name="s_Valuation _DB Dados do Mercado_Açúcar Físico não embarcado - Nov08 - Conferido_DB Entrada_1_Relatório Gerencial_2_DB Entrada_1_Relatório Gerencial_1_DB Entrada 2" xfId="11830"/>
    <cellStyle name="s_Valuation _DB Dados do Mercado_Açúcar Físico não embarcado - Nov08 - Conferido_DB Entrada_1_Relatório Gerencial_2_DB Entrada_1_Relatório Gerencial_1_DB Entrada 2_15-FINANCEIRAS" xfId="11831"/>
    <cellStyle name="s_Valuation _DB Dados do Mercado_Açúcar Físico não embarcado - Nov08 - Conferido_DB Entrada_1_Relatório Gerencial_2_DB Entrada_1_Relatório Gerencial_1_DB Entrada_15-FINANCEIRAS" xfId="11832"/>
    <cellStyle name="s_Valuation _DB Dados do Mercado_Açúcar Físico não embarcado - Nov08 - Conferido_DB Entrada_1_Relatório Gerencial_2_DB Entrada_1_Relatório Gerencial_1_DB Entrada_15-FINANCEIRAS_1" xfId="11833"/>
    <cellStyle name="s_Valuation _DB Dados do Mercado_Açúcar Físico não embarcado - Nov08 - Conferido_DB Entrada_1_Relatório Gerencial_2_DB Entrada_1_Relatório Gerencial_1_DB Entrada_3-Balanço" xfId="11834"/>
    <cellStyle name="s_Valuation _DB Dados do Mercado_Açúcar Físico não embarcado - Nov08 - Conferido_DB Entrada_1_Relatório Gerencial_2_DB Entrada_1_Relatório Gerencial_1_DB Entrada_7-Estoque" xfId="11835"/>
    <cellStyle name="s_Valuation _DB Dados do Mercado_Açúcar Físico não embarcado - Nov08 - Conferido_DB Entrada_1_Relatório Gerencial_2_DB Entrada_1_Relatório Gerencial_15-FINANCEIRAS" xfId="11836"/>
    <cellStyle name="s_Valuation _DB Dados do Mercado_Açúcar Físico não embarcado - Nov08 - Conferido_DB Entrada_1_Relatório Gerencial_2_DB Entrada_1_Relatório Gerencial_15-FINANCEIRAS_1" xfId="11837"/>
    <cellStyle name="s_Valuation _DB Dados do Mercado_Açúcar Físico não embarcado - Nov08 - Conferido_DB Entrada_1_Relatório Gerencial_2_DB Entrada_1_Relatório Gerencial_3-Balanço" xfId="11838"/>
    <cellStyle name="s_Valuation _DB Dados do Mercado_Açúcar Físico não embarcado - Nov08 - Conferido_DB Entrada_1_Relatório Gerencial_2_DB Entrada_1_Relatório Gerencial_7-Estoque" xfId="11839"/>
    <cellStyle name="s_Valuation _DB Dados do Mercado_Açúcar Físico não embarcado - Nov08 - Conferido_DB Entrada_1_Relatório Gerencial_2_DB Entrada_1_Sistema Cosan backup 103 Retirada de relatorios" xfId="11840"/>
    <cellStyle name="s_Valuation _DB Dados do Mercado_Açúcar Físico não embarcado - Nov08 - Conferido_DB Entrada_1_Relatório Gerencial_2_DB Entrada_1_Sistema Cosan backup 103 Retirada de relatorios 2" xfId="11841"/>
    <cellStyle name="s_Valuation _DB Dados do Mercado_Açúcar Físico não embarcado - Nov08 - Conferido_DB Entrada_1_Relatório Gerencial_2_DB Entrada_1_Sistema Cosan backup 103 Retirada de relatorios 2_15-FINANCEIRAS" xfId="11842"/>
    <cellStyle name="s_Valuation _DB Dados do Mercado_Açúcar Físico não embarcado - Nov08 - Conferido_DB Entrada_1_Relatório Gerencial_2_DB Entrada_1_Sistema Cosan backup 103 Retirada de relatorios_15-FINANCEIRAS" xfId="11843"/>
    <cellStyle name="s_Valuation _DB Dados do Mercado_Açúcar Físico não embarcado - Nov08 - Conferido_DB Entrada_1_Relatório Gerencial_2_DB Entrada_1_Sistema Cosan backup 103 Retirada de relatorios_15-FINANCEIRAS_1" xfId="11844"/>
    <cellStyle name="s_Valuation _DB Dados do Mercado_Açúcar Físico não embarcado - Nov08 - Conferido_DB Entrada_1_Relatório Gerencial_2_DB Entrada_1_Sistema Cosan backup 103 Retirada de relatorios_3-Balanço" xfId="11845"/>
    <cellStyle name="s_Valuation _DB Dados do Mercado_Açúcar Físico não embarcado - Nov08 - Conferido_DB Entrada_1_Relatório Gerencial_2_DB Entrada_1_Sistema Cosan backup 103 Retirada de relatorios_7-Estoque" xfId="11846"/>
    <cellStyle name="s_Valuation _DB Dados do Mercado_Açúcar Físico não embarcado - Nov08 - Conferido_DB Entrada_1_Relatório Gerencial_2_DB Entrada_15-FINANCEIRAS" xfId="11847"/>
    <cellStyle name="s_Valuation _DB Dados do Mercado_Açúcar Físico não embarcado - Nov08 - Conferido_DB Entrada_1_Relatório Gerencial_2_DB Entrada_15-FINANCEIRAS_1" xfId="11848"/>
    <cellStyle name="s_Valuation _DB Dados do Mercado_Açúcar Físico não embarcado - Nov08 - Conferido_DB Entrada_1_Relatório Gerencial_2_DB Entrada_3-Balanço" xfId="11849"/>
    <cellStyle name="s_Valuation _DB Dados do Mercado_Açúcar Físico não embarcado - Nov08 - Conferido_DB Entrada_1_Relatório Gerencial_2_DB Entrada_7-Estoque" xfId="11850"/>
    <cellStyle name="s_Valuation _DB Dados do Mercado_Açúcar Físico não embarcado - Nov08 - Conferido_DB Entrada_1_Relatório Gerencial_2_DB Entrada_Relatório Gerencial" xfId="11851"/>
    <cellStyle name="s_Valuation _DB Dados do Mercado_Açúcar Físico não embarcado - Nov08 - Conferido_DB Entrada_1_Relatório Gerencial_2_DB Entrada_Relatório Gerencial 2" xfId="11852"/>
    <cellStyle name="s_Valuation _DB Dados do Mercado_Açúcar Físico não embarcado - Nov08 - Conferido_DB Entrada_1_Relatório Gerencial_2_DB Entrada_Relatório Gerencial 2_15-FINANCEIRAS" xfId="11853"/>
    <cellStyle name="s_Valuation _DB Dados do Mercado_Açúcar Físico não embarcado - Nov08 - Conferido_DB Entrada_1_Relatório Gerencial_2_DB Entrada_Relatório Gerencial_15-FINANCEIRAS" xfId="11854"/>
    <cellStyle name="s_Valuation _DB Dados do Mercado_Açúcar Físico não embarcado - Nov08 - Conferido_DB Entrada_1_Relatório Gerencial_2_DB Entrada_Relatório Gerencial_15-FINANCEIRAS_1" xfId="11855"/>
    <cellStyle name="s_Valuation _DB Dados do Mercado_Açúcar Físico não embarcado - Nov08 - Conferido_DB Entrada_1_Relatório Gerencial_2_DB Entrada_Relatório Gerencial_3-Balanço" xfId="11856"/>
    <cellStyle name="s_Valuation _DB Dados do Mercado_Açúcar Físico não embarcado - Nov08 - Conferido_DB Entrada_1_Relatório Gerencial_2_DB Entrada_Relatório Gerencial_7-Estoque" xfId="11857"/>
    <cellStyle name="s_Valuation _DB Dados do Mercado_Açúcar Físico não embarcado - Nov08 - Conferido_DB Entrada_1_Relatório Gerencial_2_DB Entrada_Relatório Gerencial_DB Entrada" xfId="11858"/>
    <cellStyle name="s_Valuation _DB Dados do Mercado_Açúcar Físico não embarcado - Nov08 - Conferido_DB Entrada_1_Relatório Gerencial_2_DB Entrada_Relatório Gerencial_DB Entrada 2" xfId="11859"/>
    <cellStyle name="s_Valuation _DB Dados do Mercado_Açúcar Físico não embarcado - Nov08 - Conferido_DB Entrada_1_Relatório Gerencial_2_DB Entrada_Relatório Gerencial_DB Entrada 2_15-FINANCEIRAS" xfId="11860"/>
    <cellStyle name="s_Valuation _DB Dados do Mercado_Açúcar Físico não embarcado - Nov08 - Conferido_DB Entrada_1_Relatório Gerencial_2_DB Entrada_Relatório Gerencial_DB Entrada_15-FINANCEIRAS" xfId="11861"/>
    <cellStyle name="s_Valuation _DB Dados do Mercado_Açúcar Físico não embarcado - Nov08 - Conferido_DB Entrada_1_Relatório Gerencial_2_DB Entrada_Relatório Gerencial_DB Entrada_15-FINANCEIRAS_1" xfId="11862"/>
    <cellStyle name="s_Valuation _DB Dados do Mercado_Açúcar Físico não embarcado - Nov08 - Conferido_DB Entrada_1_Relatório Gerencial_2_DB Entrada_Relatório Gerencial_DB Entrada_3-Balanço" xfId="11863"/>
    <cellStyle name="s_Valuation _DB Dados do Mercado_Açúcar Físico não embarcado - Nov08 - Conferido_DB Entrada_1_Relatório Gerencial_2_DB Entrada_Relatório Gerencial_DB Entrada_7-Estoque" xfId="11864"/>
    <cellStyle name="s_Valuation _DB Dados do Mercado_Açúcar Físico não embarcado - Nov08 - Conferido_DB Entrada_1_Relatório Gerencial_2_DB Exposição" xfId="11865"/>
    <cellStyle name="s_Valuation _DB Dados do Mercado_Açúcar Físico não embarcado - Nov08 - Conferido_DB Entrada_1_Relatório Gerencial_2_DB Exposição 2" xfId="11866"/>
    <cellStyle name="s_Valuation _DB Dados do Mercado_Açúcar Físico não embarcado - Nov08 - Conferido_DB Entrada_1_Relatório Gerencial_2_DB Exposição 2_15-FINANCEIRAS" xfId="11867"/>
    <cellStyle name="s_Valuation _DB Dados do Mercado_Açúcar Físico não embarcado - Nov08 - Conferido_DB Entrada_1_Relatório Gerencial_2_DB Exposição_15-FINANCEIRAS" xfId="11868"/>
    <cellStyle name="s_Valuation _DB Dados do Mercado_Açúcar Físico não embarcado - Nov08 - Conferido_DB Entrada_1_Relatório Gerencial_2_DB Exposição_15-FINANCEIRAS_1" xfId="11869"/>
    <cellStyle name="s_Valuation _DB Dados do Mercado_Açúcar Físico não embarcado - Nov08 - Conferido_DB Entrada_1_Relatório Gerencial_2_DB Exposição_3-Balanço" xfId="11870"/>
    <cellStyle name="s_Valuation _DB Dados do Mercado_Açúcar Físico não embarcado - Nov08 - Conferido_DB Entrada_1_Relatório Gerencial_2_DB Exposição_7-Estoque" xfId="11871"/>
    <cellStyle name="s_Valuation _DB Dados do Mercado_Açúcar Físico não embarcado - Nov08 - Conferido_DB Entrada_1_Relatório Gerencial_2_DB Exposição_Relatório Gerencial" xfId="11872"/>
    <cellStyle name="s_Valuation _DB Dados do Mercado_Açúcar Físico não embarcado - Nov08 - Conferido_DB Entrada_1_Relatório Gerencial_2_DB Exposição_Relatório Gerencial 2" xfId="11873"/>
    <cellStyle name="s_Valuation _DB Dados do Mercado_Açúcar Físico não embarcado - Nov08 - Conferido_DB Entrada_1_Relatório Gerencial_2_DB Exposição_Relatório Gerencial 2_15-FINANCEIRAS" xfId="11874"/>
    <cellStyle name="s_Valuation _DB Dados do Mercado_Açúcar Físico não embarcado - Nov08 - Conferido_DB Entrada_1_Relatório Gerencial_2_DB Exposição_Relatório Gerencial_15-FINANCEIRAS" xfId="11875"/>
    <cellStyle name="s_Valuation _DB Dados do Mercado_Açúcar Físico não embarcado - Nov08 - Conferido_DB Entrada_1_Relatório Gerencial_2_DB Exposição_Relatório Gerencial_15-FINANCEIRAS_1" xfId="11876"/>
    <cellStyle name="s_Valuation _DB Dados do Mercado_Açúcar Físico não embarcado - Nov08 - Conferido_DB Entrada_1_Relatório Gerencial_2_DB Exposição_Relatório Gerencial_3-Balanço" xfId="11877"/>
    <cellStyle name="s_Valuation _DB Dados do Mercado_Açúcar Físico não embarcado - Nov08 - Conferido_DB Entrada_1_Relatório Gerencial_2_DB Exposição_Relatório Gerencial_7-Estoque" xfId="11878"/>
    <cellStyle name="s_Valuation _DB Dados do Mercado_Açúcar Físico não embarcado - Nov08 - Conferido_DB Entrada_1_Relatório Gerencial_2_DB Exposição_Relatório Gerencial_DB Entrada" xfId="11879"/>
    <cellStyle name="s_Valuation _DB Dados do Mercado_Açúcar Físico não embarcado - Nov08 - Conferido_DB Entrada_1_Relatório Gerencial_2_DB Exposição_Relatório Gerencial_DB Entrada 2" xfId="11880"/>
    <cellStyle name="s_Valuation _DB Dados do Mercado_Açúcar Físico não embarcado - Nov08 - Conferido_DB Entrada_1_Relatório Gerencial_2_DB Exposição_Relatório Gerencial_DB Entrada 2_15-FINANCEIRAS" xfId="11881"/>
    <cellStyle name="s_Valuation _DB Dados do Mercado_Açúcar Físico não embarcado - Nov08 - Conferido_DB Entrada_1_Relatório Gerencial_2_DB Exposição_Relatório Gerencial_DB Entrada_15-FINANCEIRAS" xfId="11882"/>
    <cellStyle name="s_Valuation _DB Dados do Mercado_Açúcar Físico não embarcado - Nov08 - Conferido_DB Entrada_1_Relatório Gerencial_2_DB Exposição_Relatório Gerencial_DB Entrada_15-FINANCEIRAS_1" xfId="11883"/>
    <cellStyle name="s_Valuation _DB Dados do Mercado_Açúcar Físico não embarcado - Nov08 - Conferido_DB Entrada_1_Relatório Gerencial_2_DB Exposição_Relatório Gerencial_DB Entrada_3-Balanço" xfId="11884"/>
    <cellStyle name="s_Valuation _DB Dados do Mercado_Açúcar Físico não embarcado - Nov08 - Conferido_DB Entrada_1_Relatório Gerencial_2_DB Exposição_Relatório Gerencial_DB Entrada_7-Estoque" xfId="11885"/>
    <cellStyle name="s_Valuation _DB Dados do Mercado_Açúcar Físico não embarcado - Nov08 - Conferido_DB Entrada_1_Relatório Gerencial_2_DB Posição" xfId="11886"/>
    <cellStyle name="s_Valuation _DB Dados do Mercado_Açúcar Físico não embarcado - Nov08 - Conferido_DB Entrada_1_Relatório Gerencial_2_DB Posição 2" xfId="11887"/>
    <cellStyle name="s_Valuation _DB Dados do Mercado_Açúcar Físico não embarcado - Nov08 - Conferido_DB Entrada_1_Relatório Gerencial_2_DB Posição 2_15-FINANCEIRAS" xfId="11888"/>
    <cellStyle name="s_Valuation _DB Dados do Mercado_Açúcar Físico não embarcado - Nov08 - Conferido_DB Entrada_1_Relatório Gerencial_2_DB Posição_15-FINANCEIRAS" xfId="11889"/>
    <cellStyle name="s_Valuation _DB Dados do Mercado_Açúcar Físico não embarcado - Nov08 - Conferido_DB Entrada_1_Relatório Gerencial_2_DB Posição_15-FINANCEIRAS_1" xfId="11890"/>
    <cellStyle name="s_Valuation _DB Dados do Mercado_Açúcar Físico não embarcado - Nov08 - Conferido_DB Entrada_1_Relatório Gerencial_2_DB Posição_3-Balanço" xfId="11891"/>
    <cellStyle name="s_Valuation _DB Dados do Mercado_Açúcar Físico não embarcado - Nov08 - Conferido_DB Entrada_1_Relatório Gerencial_2_DB Posição_7-Estoque" xfId="11892"/>
    <cellStyle name="s_Valuation _DB Dados do Mercado_Açúcar Físico não embarcado - Nov08 - Conferido_DB Entrada_1_Relatório Gerencial_2_Relatório de Commodities" xfId="11893"/>
    <cellStyle name="s_Valuation _DB Dados do Mercado_Açúcar Físico não embarcado - Nov08 - Conferido_DB Entrada_1_Relatório Gerencial_2_Relatório de Commodities 2" xfId="11894"/>
    <cellStyle name="s_Valuation _DB Dados do Mercado_Açúcar Físico não embarcado - Nov08 - Conferido_DB Entrada_1_Relatório Gerencial_2_Relatório de Commodities 2_15-FINANCEIRAS" xfId="11895"/>
    <cellStyle name="s_Valuation _DB Dados do Mercado_Açúcar Físico não embarcado - Nov08 - Conferido_DB Entrada_1_Relatório Gerencial_2_Relatório de Commodities_15-FINANCEIRAS" xfId="11896"/>
    <cellStyle name="s_Valuation _DB Dados do Mercado_Açúcar Físico não embarcado - Nov08 - Conferido_DB Entrada_1_Relatório Gerencial_2_Relatório de Commodities_15-FINANCEIRAS_1" xfId="11897"/>
    <cellStyle name="s_Valuation _DB Dados do Mercado_Açúcar Físico não embarcado - Nov08 - Conferido_DB Entrada_1_Relatório Gerencial_2_Relatório de Commodities_3-Balanço" xfId="11898"/>
    <cellStyle name="s_Valuation _DB Dados do Mercado_Açúcar Físico não embarcado - Nov08 - Conferido_DB Entrada_1_Relatório Gerencial_2_Relatório de Commodities_7-Estoque" xfId="11899"/>
    <cellStyle name="s_Valuation _DB Dados do Mercado_Açúcar Físico não embarcado - Nov08 - Conferido_DB Entrada_1_Relatório Gerencial_2_Relatório de Commodities_Relatório Gerencial" xfId="11900"/>
    <cellStyle name="s_Valuation _DB Dados do Mercado_Açúcar Físico não embarcado - Nov08 - Conferido_DB Entrada_1_Relatório Gerencial_2_Relatório de Commodities_Relatório Gerencial 2" xfId="11901"/>
    <cellStyle name="s_Valuation _DB Dados do Mercado_Açúcar Físico não embarcado - Nov08 - Conferido_DB Entrada_1_Relatório Gerencial_2_Relatório de Commodities_Relatório Gerencial 2_15-FINANCEIRAS" xfId="11902"/>
    <cellStyle name="s_Valuation _DB Dados do Mercado_Açúcar Físico não embarcado - Nov08 - Conferido_DB Entrada_1_Relatório Gerencial_2_Relatório de Commodities_Relatório Gerencial_15-FINANCEIRAS" xfId="11903"/>
    <cellStyle name="s_Valuation _DB Dados do Mercado_Açúcar Físico não embarcado - Nov08 - Conferido_DB Entrada_1_Relatório Gerencial_2_Relatório de Commodities_Relatório Gerencial_15-FINANCEIRAS_1" xfId="11904"/>
    <cellStyle name="s_Valuation _DB Dados do Mercado_Açúcar Físico não embarcado - Nov08 - Conferido_DB Entrada_1_Relatório Gerencial_2_Relatório de Commodities_Relatório Gerencial_3-Balanço" xfId="11905"/>
    <cellStyle name="s_Valuation _DB Dados do Mercado_Açúcar Físico não embarcado - Nov08 - Conferido_DB Entrada_1_Relatório Gerencial_2_Relatório de Commodities_Relatório Gerencial_7-Estoque" xfId="11906"/>
    <cellStyle name="s_Valuation _DB Dados do Mercado_Açúcar Físico não embarcado - Nov08 - Conferido_DB Entrada_1_Relatório Gerencial_2_Relatório de Commodities_Relatório Gerencial_DB Entrada" xfId="11907"/>
    <cellStyle name="s_Valuation _DB Dados do Mercado_Açúcar Físico não embarcado - Nov08 - Conferido_DB Entrada_1_Relatório Gerencial_2_Relatório de Commodities_Relatório Gerencial_DB Entrada 2" xfId="11908"/>
    <cellStyle name="s_Valuation _DB Dados do Mercado_Açúcar Físico não embarcado - Nov08 - Conferido_DB Entrada_1_Relatório Gerencial_2_Relatório de Commodities_Relatório Gerencial_DB Entrada 2_15-FINANCEIRAS" xfId="11909"/>
    <cellStyle name="s_Valuation _DB Dados do Mercado_Açúcar Físico não embarcado - Nov08 - Conferido_DB Entrada_1_Relatório Gerencial_2_Relatório de Commodities_Relatório Gerencial_DB Entrada_15-FINANCEIRAS" xfId="11910"/>
    <cellStyle name="s_Valuation _DB Dados do Mercado_Açúcar Físico não embarcado - Nov08 - Conferido_DB Entrada_1_Relatório Gerencial_2_Relatório de Commodities_Relatório Gerencial_DB Entrada_15-FINANCEIRAS_1" xfId="11911"/>
    <cellStyle name="s_Valuation _DB Dados do Mercado_Açúcar Físico não embarcado - Nov08 - Conferido_DB Entrada_1_Relatório Gerencial_2_Relatório de Commodities_Relatório Gerencial_DB Entrada_3-Balanço" xfId="11912"/>
    <cellStyle name="s_Valuation _DB Dados do Mercado_Açúcar Físico não embarcado - Nov08 - Conferido_DB Entrada_1_Relatório Gerencial_2_Relatório de Commodities_Relatório Gerencial_DB Entrada_7-Estoque" xfId="11913"/>
    <cellStyle name="s_Valuation _DB Dados do Mercado_Açúcar Físico não embarcado - Nov08 - Conferido_DB Entrada_1_Relatório Gerencial_2_Relatório Fechamento" xfId="11914"/>
    <cellStyle name="s_Valuation _DB Dados do Mercado_Açúcar Físico não embarcado - Nov08 - Conferido_DB Entrada_1_Relatório Gerencial_2_Relatório Fechamento 2" xfId="11915"/>
    <cellStyle name="s_Valuation _DB Dados do Mercado_Açúcar Físico não embarcado - Nov08 - Conferido_DB Entrada_1_Relatório Gerencial_2_Relatório Fechamento 2_15-FINANCEIRAS" xfId="11916"/>
    <cellStyle name="s_Valuation _DB Dados do Mercado_Açúcar Físico não embarcado - Nov08 - Conferido_DB Entrada_1_Relatório Gerencial_2_Relatório Fechamento_15-FINANCEIRAS" xfId="11917"/>
    <cellStyle name="s_Valuation _DB Dados do Mercado_Açúcar Físico não embarcado - Nov08 - Conferido_DB Entrada_1_Relatório Gerencial_2_Relatório Fechamento_15-FINANCEIRAS_1" xfId="11918"/>
    <cellStyle name="s_Valuation _DB Dados do Mercado_Açúcar Físico não embarcado - Nov08 - Conferido_DB Entrada_1_Relatório Gerencial_2_Relatório Fechamento_3-Balanço" xfId="11919"/>
    <cellStyle name="s_Valuation _DB Dados do Mercado_Açúcar Físico não embarcado - Nov08 - Conferido_DB Entrada_1_Relatório Gerencial_2_Relatório Fechamento_7-Estoque" xfId="11920"/>
    <cellStyle name="s_Valuation _DB Dados do Mercado_Açúcar Físico não embarcado - Nov08 - Conferido_DB Entrada_1_Relatório Gerencial_2_Relatório Gerencial" xfId="11921"/>
    <cellStyle name="s_Valuation _DB Dados do Mercado_Açúcar Físico não embarcado - Nov08 - Conferido_DB Entrada_1_Relatório Gerencial_2_Relatório Gerencial 2" xfId="11922"/>
    <cellStyle name="s_Valuation _DB Dados do Mercado_Açúcar Físico não embarcado - Nov08 - Conferido_DB Entrada_1_Relatório Gerencial_2_Relatório Gerencial 2_15-FINANCEIRAS" xfId="11923"/>
    <cellStyle name="s_Valuation _DB Dados do Mercado_Açúcar Físico não embarcado - Nov08 - Conferido_DB Entrada_1_Relatório Gerencial_2_Relatório Gerencial_1" xfId="11924"/>
    <cellStyle name="s_Valuation _DB Dados do Mercado_Açúcar Físico não embarcado - Nov08 - Conferido_DB Entrada_1_Relatório Gerencial_2_Relatório Gerencial_1 2" xfId="11925"/>
    <cellStyle name="s_Valuation _DB Dados do Mercado_Açúcar Físico não embarcado - Nov08 - Conferido_DB Entrada_1_Relatório Gerencial_2_Relatório Gerencial_1 2_15-FINANCEIRAS" xfId="11926"/>
    <cellStyle name="s_Valuation _DB Dados do Mercado_Açúcar Físico não embarcado - Nov08 - Conferido_DB Entrada_1_Relatório Gerencial_2_Relatório Gerencial_1_15-FINANCEIRAS" xfId="11927"/>
    <cellStyle name="s_Valuation _DB Dados do Mercado_Açúcar Físico não embarcado - Nov08 - Conferido_DB Entrada_1_Relatório Gerencial_2_Relatório Gerencial_1_15-FINANCEIRAS_1" xfId="11928"/>
    <cellStyle name="s_Valuation _DB Dados do Mercado_Açúcar Físico não embarcado - Nov08 - Conferido_DB Entrada_1_Relatório Gerencial_2_Relatório Gerencial_1_3-Balanço" xfId="11929"/>
    <cellStyle name="s_Valuation _DB Dados do Mercado_Açúcar Físico não embarcado - Nov08 - Conferido_DB Entrada_1_Relatório Gerencial_2_Relatório Gerencial_1_7-Estoque" xfId="11930"/>
    <cellStyle name="s_Valuation _DB Dados do Mercado_Açúcar Físico não embarcado - Nov08 - Conferido_DB Entrada_1_Relatório Gerencial_2_Relatório Gerencial_1_DB Entrada" xfId="11931"/>
    <cellStyle name="s_Valuation _DB Dados do Mercado_Açúcar Físico não embarcado - Nov08 - Conferido_DB Entrada_1_Relatório Gerencial_2_Relatório Gerencial_1_DB Entrada 2" xfId="11932"/>
    <cellStyle name="s_Valuation _DB Dados do Mercado_Açúcar Físico não embarcado - Nov08 - Conferido_DB Entrada_1_Relatório Gerencial_2_Relatório Gerencial_1_DB Entrada 2_15-FINANCEIRAS" xfId="11933"/>
    <cellStyle name="s_Valuation _DB Dados do Mercado_Açúcar Físico não embarcado - Nov08 - Conferido_DB Entrada_1_Relatório Gerencial_2_Relatório Gerencial_1_DB Entrada_15-FINANCEIRAS" xfId="11934"/>
    <cellStyle name="s_Valuation _DB Dados do Mercado_Açúcar Físico não embarcado - Nov08 - Conferido_DB Entrada_1_Relatório Gerencial_2_Relatório Gerencial_1_DB Entrada_15-FINANCEIRAS_1" xfId="11935"/>
    <cellStyle name="s_Valuation _DB Dados do Mercado_Açúcar Físico não embarcado - Nov08 - Conferido_DB Entrada_1_Relatório Gerencial_2_Relatório Gerencial_1_DB Entrada_3-Balanço" xfId="11936"/>
    <cellStyle name="s_Valuation _DB Dados do Mercado_Açúcar Físico não embarcado - Nov08 - Conferido_DB Entrada_1_Relatório Gerencial_2_Relatório Gerencial_1_DB Entrada_7-Estoque" xfId="11937"/>
    <cellStyle name="s_Valuation _DB Dados do Mercado_Açúcar Físico não embarcado - Nov08 - Conferido_DB Entrada_1_Relatório Gerencial_2_Relatório Gerencial_15-FINANCEIRAS" xfId="11938"/>
    <cellStyle name="s_Valuation _DB Dados do Mercado_Açúcar Físico não embarcado - Nov08 - Conferido_DB Entrada_1_Relatório Gerencial_2_Relatório Gerencial_15-FINANCEIRAS_1" xfId="11939"/>
    <cellStyle name="s_Valuation _DB Dados do Mercado_Açúcar Físico não embarcado - Nov08 - Conferido_DB Entrada_1_Relatório Gerencial_2_Relatório Gerencial_3-Balanço" xfId="11940"/>
    <cellStyle name="s_Valuation _DB Dados do Mercado_Açúcar Físico não embarcado - Nov08 - Conferido_DB Entrada_1_Relatório Gerencial_2_Relatório Gerencial_7-Estoque" xfId="11941"/>
    <cellStyle name="s_Valuation _DB Dados do Mercado_Açúcar Físico não embarcado - Nov08 - Conferido_DB Entrada_1_Relatório Gerencial_2_Sistema Cosan backup 103 Retirada de relatorios" xfId="11942"/>
    <cellStyle name="s_Valuation _DB Dados do Mercado_Açúcar Físico não embarcado - Nov08 - Conferido_DB Entrada_1_Relatório Gerencial_2_Sistema Cosan backup 103 Retirada de relatorios 2" xfId="11943"/>
    <cellStyle name="s_Valuation _DB Dados do Mercado_Açúcar Físico não embarcado - Nov08 - Conferido_DB Entrada_1_Relatório Gerencial_2_Sistema Cosan backup 103 Retirada de relatorios 2_15-FINANCEIRAS" xfId="11944"/>
    <cellStyle name="s_Valuation _DB Dados do Mercado_Açúcar Físico não embarcado - Nov08 - Conferido_DB Entrada_1_Relatório Gerencial_2_Sistema Cosan backup 103 Retirada de relatorios_15-FINANCEIRAS" xfId="11945"/>
    <cellStyle name="s_Valuation _DB Dados do Mercado_Açúcar Físico não embarcado - Nov08 - Conferido_DB Entrada_1_Relatório Gerencial_2_Sistema Cosan backup 103 Retirada de relatorios_15-FINANCEIRAS_1" xfId="11946"/>
    <cellStyle name="s_Valuation _DB Dados do Mercado_Açúcar Físico não embarcado - Nov08 - Conferido_DB Entrada_1_Relatório Gerencial_2_Sistema Cosan backup 103 Retirada de relatorios_3-Balanço" xfId="11947"/>
    <cellStyle name="s_Valuation _DB Dados do Mercado_Açúcar Físico não embarcado - Nov08 - Conferido_DB Entrada_1_Relatório Gerencial_2_Sistema Cosan backup 103 Retirada de relatorios_7-Estoque" xfId="11948"/>
    <cellStyle name="s_Valuation _DB Dados do Mercado_Açúcar Físico não embarcado - Nov08 - Conferido_DB Entrada_1_Relatório Gerencial_3" xfId="11949"/>
    <cellStyle name="s_Valuation _DB Dados do Mercado_Açúcar Físico não embarcado - Nov08 - Conferido_DB Entrada_1_Relatório Gerencial_3 2" xfId="11950"/>
    <cellStyle name="s_Valuation _DB Dados do Mercado_Açúcar Físico não embarcado - Nov08 - Conferido_DB Entrada_1_Relatório Gerencial_3 2_15-FINANCEIRAS" xfId="11951"/>
    <cellStyle name="s_Valuation _DB Dados do Mercado_Açúcar Físico não embarcado - Nov08 - Conferido_DB Entrada_1_Relatório Gerencial_3_15-FINANCEIRAS" xfId="11952"/>
    <cellStyle name="s_Valuation _DB Dados do Mercado_Açúcar Físico não embarcado - Nov08 - Conferido_DB Entrada_1_Relatório Gerencial_3_15-FINANCEIRAS_1" xfId="11953"/>
    <cellStyle name="s_Valuation _DB Dados do Mercado_Açúcar Físico não embarcado - Nov08 - Conferido_DB Entrada_1_Relatório Gerencial_3_3-Balanço" xfId="11954"/>
    <cellStyle name="s_Valuation _DB Dados do Mercado_Açúcar Físico não embarcado - Nov08 - Conferido_DB Entrada_1_Relatório Gerencial_3_7-Estoque" xfId="11955"/>
    <cellStyle name="s_Valuation _DB Dados do Mercado_Açúcar Físico não embarcado - Nov08 - Conferido_DB Entrada_1_Relatório Gerencial_3_DB Entrada" xfId="11956"/>
    <cellStyle name="s_Valuation _DB Dados do Mercado_Açúcar Físico não embarcado - Nov08 - Conferido_DB Entrada_1_Relatório Gerencial_3_DB Entrada 2" xfId="11957"/>
    <cellStyle name="s_Valuation _DB Dados do Mercado_Açúcar Físico não embarcado - Nov08 - Conferido_DB Entrada_1_Relatório Gerencial_3_DB Entrada 2_15-FINANCEIRAS" xfId="11958"/>
    <cellStyle name="s_Valuation _DB Dados do Mercado_Açúcar Físico não embarcado - Nov08 - Conferido_DB Entrada_1_Relatório Gerencial_3_DB Entrada_15-FINANCEIRAS" xfId="11959"/>
    <cellStyle name="s_Valuation _DB Dados do Mercado_Açúcar Físico não embarcado - Nov08 - Conferido_DB Entrada_1_Relatório Gerencial_3_DB Entrada_15-FINANCEIRAS_1" xfId="11960"/>
    <cellStyle name="s_Valuation _DB Dados do Mercado_Açúcar Físico não embarcado - Nov08 - Conferido_DB Entrada_1_Relatório Gerencial_3_DB Entrada_3-Balanço" xfId="11961"/>
    <cellStyle name="s_Valuation _DB Dados do Mercado_Açúcar Físico não embarcado - Nov08 - Conferido_DB Entrada_1_Relatório Gerencial_3_DB Entrada_7-Estoque" xfId="11962"/>
    <cellStyle name="s_Valuation _DB Dados do Mercado_Açúcar Físico não embarcado - Nov08 - Conferido_DB Entrada_1_Relatório Gerencial_3-Balanço" xfId="11963"/>
    <cellStyle name="s_Valuation _DB Dados do Mercado_Açúcar Físico não embarcado - Nov08 - Conferido_DB Entrada_1_Relatório Gerencial_7-Estoque" xfId="11964"/>
    <cellStyle name="s_Valuation _DB Dados do Mercado_Açúcar Físico não embarcado - Nov08 - Conferido_DB Entrada_1_Relatório Gerencial_Relatório Gerencial" xfId="11965"/>
    <cellStyle name="s_Valuation _DB Dados do Mercado_Açúcar Físico não embarcado - Nov08 - Conferido_DB Entrada_1_Relatório Gerencial_Relatório Gerencial 2" xfId="11966"/>
    <cellStyle name="s_Valuation _DB Dados do Mercado_Açúcar Físico não embarcado - Nov08 - Conferido_DB Entrada_1_Relatório Gerencial_Relatório Gerencial 2_15-FINANCEIRAS" xfId="11967"/>
    <cellStyle name="s_Valuation _DB Dados do Mercado_Açúcar Físico não embarcado - Nov08 - Conferido_DB Entrada_1_Relatório Gerencial_Relatório Gerencial_15-FINANCEIRAS" xfId="11968"/>
    <cellStyle name="s_Valuation _DB Dados do Mercado_Açúcar Físico não embarcado - Nov08 - Conferido_DB Entrada_1_Relatório Gerencial_Relatório Gerencial_15-FINANCEIRAS_1" xfId="11969"/>
    <cellStyle name="s_Valuation _DB Dados do Mercado_Açúcar Físico não embarcado - Nov08 - Conferido_DB Entrada_1_Relatório Gerencial_Relatório Gerencial_3-Balanço" xfId="11970"/>
    <cellStyle name="s_Valuation _DB Dados do Mercado_Açúcar Físico não embarcado - Nov08 - Conferido_DB Entrada_1_Relatório Gerencial_Relatório Gerencial_7-Estoque" xfId="11971"/>
    <cellStyle name="s_Valuation _DB Dados do Mercado_Açúcar Físico não embarcado - Nov08 - Conferido_DB Entrada_1_Relatório Gerencial_Relatório Gerencial_DB Entrada" xfId="11972"/>
    <cellStyle name="s_Valuation _DB Dados do Mercado_Açúcar Físico não embarcado - Nov08 - Conferido_DB Entrada_1_Relatório Gerencial_Relatório Gerencial_DB Entrada 2" xfId="11973"/>
    <cellStyle name="s_Valuation _DB Dados do Mercado_Açúcar Físico não embarcado - Nov08 - Conferido_DB Entrada_1_Relatório Gerencial_Relatório Gerencial_DB Entrada 2_15-FINANCEIRAS" xfId="11974"/>
    <cellStyle name="s_Valuation _DB Dados do Mercado_Açúcar Físico não embarcado - Nov08 - Conferido_DB Entrada_1_Relatório Gerencial_Relatório Gerencial_DB Entrada_15-FINANCEIRAS" xfId="11975"/>
    <cellStyle name="s_Valuation _DB Dados do Mercado_Açúcar Físico não embarcado - Nov08 - Conferido_DB Entrada_1_Relatório Gerencial_Relatório Gerencial_DB Entrada_15-FINANCEIRAS_1" xfId="11976"/>
    <cellStyle name="s_Valuation _DB Dados do Mercado_Açúcar Físico não embarcado - Nov08 - Conferido_DB Entrada_1_Relatório Gerencial_Relatório Gerencial_DB Entrada_3-Balanço" xfId="11977"/>
    <cellStyle name="s_Valuation _DB Dados do Mercado_Açúcar Físico não embarcado - Nov08 - Conferido_DB Entrada_1_Relatório Gerencial_Relatório Gerencial_DB Entrada_7-Estoque" xfId="11978"/>
    <cellStyle name="s_Valuation _DB Dados do Mercado_Açúcar Físico não embarcado - Nov08 - Conferido_DB Entrada_1_relatorio_1" xfId="11979"/>
    <cellStyle name="s_Valuation _DB Dados do Mercado_Açúcar Físico não embarcado - Nov08 - Conferido_DB Entrada_1_relatorio_1 2" xfId="11980"/>
    <cellStyle name="s_Valuation _DB Dados do Mercado_Açúcar Físico não embarcado - Nov08 - Conferido_DB Entrada_1_relatorio_1 2_15-FINANCEIRAS" xfId="11981"/>
    <cellStyle name="s_Valuation _DB Dados do Mercado_Açúcar Físico não embarcado - Nov08 - Conferido_DB Entrada_1_relatorio_1_15-FINANCEIRAS" xfId="11982"/>
    <cellStyle name="s_Valuation _DB Dados do Mercado_Açúcar Físico não embarcado - Nov08 - Conferido_DB Entrada_1_relatorio_1_15-FINANCEIRAS_1" xfId="11983"/>
    <cellStyle name="s_Valuation _DB Dados do Mercado_Açúcar Físico não embarcado - Nov08 - Conferido_DB Entrada_1_relatorio_1_3-Balanço" xfId="11984"/>
    <cellStyle name="s_Valuation _DB Dados do Mercado_Açúcar Físico não embarcado - Nov08 - Conferido_DB Entrada_1_relatorio_1_7-Estoque" xfId="11985"/>
    <cellStyle name="s_Valuation _DB Dados do Mercado_Açúcar Físico não embarcado - Nov08 - Conferido_DB Entrada_1_relatorio_1_Relatório Gerencial" xfId="11986"/>
    <cellStyle name="s_Valuation _DB Dados do Mercado_Açúcar Físico não embarcado - Nov08 - Conferido_DB Entrada_1_relatorio_1_Relatório Gerencial 2" xfId="11987"/>
    <cellStyle name="s_Valuation _DB Dados do Mercado_Açúcar Físico não embarcado - Nov08 - Conferido_DB Entrada_1_relatorio_1_Relatório Gerencial 2_15-FINANCEIRAS" xfId="11988"/>
    <cellStyle name="s_Valuation _DB Dados do Mercado_Açúcar Físico não embarcado - Nov08 - Conferido_DB Entrada_1_relatorio_1_Relatório Gerencial_15-FINANCEIRAS" xfId="11989"/>
    <cellStyle name="s_Valuation _DB Dados do Mercado_Açúcar Físico não embarcado - Nov08 - Conferido_DB Entrada_1_relatorio_1_Relatório Gerencial_15-FINANCEIRAS_1" xfId="11990"/>
    <cellStyle name="s_Valuation _DB Dados do Mercado_Açúcar Físico não embarcado - Nov08 - Conferido_DB Entrada_1_relatorio_1_Relatório Gerencial_3-Balanço" xfId="11991"/>
    <cellStyle name="s_Valuation _DB Dados do Mercado_Açúcar Físico não embarcado - Nov08 - Conferido_DB Entrada_1_relatorio_1_Relatório Gerencial_7-Estoque" xfId="11992"/>
    <cellStyle name="s_Valuation _DB Dados do Mercado_Açúcar Físico não embarcado - Nov08 - Conferido_DB Entrada_1_relatorio_1_Relatório Gerencial_DB Entrada" xfId="11993"/>
    <cellStyle name="s_Valuation _DB Dados do Mercado_Açúcar Físico não embarcado - Nov08 - Conferido_DB Entrada_1_relatorio_1_Relatório Gerencial_DB Entrada 2" xfId="11994"/>
    <cellStyle name="s_Valuation _DB Dados do Mercado_Açúcar Físico não embarcado - Nov08 - Conferido_DB Entrada_1_relatorio_1_Relatório Gerencial_DB Entrada 2_15-FINANCEIRAS" xfId="11995"/>
    <cellStyle name="s_Valuation _DB Dados do Mercado_Açúcar Físico não embarcado - Nov08 - Conferido_DB Entrada_1_relatorio_1_Relatório Gerencial_DB Entrada_15-FINANCEIRAS" xfId="11996"/>
    <cellStyle name="s_Valuation _DB Dados do Mercado_Açúcar Físico não embarcado - Nov08 - Conferido_DB Entrada_1_relatorio_1_Relatório Gerencial_DB Entrada_15-FINANCEIRAS_1" xfId="11997"/>
    <cellStyle name="s_Valuation _DB Dados do Mercado_Açúcar Físico não embarcado - Nov08 - Conferido_DB Entrada_1_relatorio_1_Relatório Gerencial_DB Entrada_3-Balanço" xfId="11998"/>
    <cellStyle name="s_Valuation _DB Dados do Mercado_Açúcar Físico não embarcado - Nov08 - Conferido_DB Entrada_1_relatorio_1_Relatório Gerencial_DB Entrada_7-Estoque" xfId="11999"/>
    <cellStyle name="s_Valuation _DB Dados do Mercado_Açúcar Físico não embarcado - Nov08 - Conferido_DB Entrada_1_relatorio_15-FINANCEIRAS" xfId="12000"/>
    <cellStyle name="s_Valuation _DB Dados do Mercado_Açúcar Físico não embarcado - Nov08 - Conferido_DB Entrada_1_relatorio_15-FINANCEIRAS_1" xfId="12001"/>
    <cellStyle name="s_Valuation _DB Dados do Mercado_Açúcar Físico não embarcado - Nov08 - Conferido_DB Entrada_1_relatorio_3-Balanço" xfId="12002"/>
    <cellStyle name="s_Valuation _DB Dados do Mercado_Açúcar Físico não embarcado - Nov08 - Conferido_DB Entrada_1_relatorio_7-Estoque" xfId="12003"/>
    <cellStyle name="s_Valuation _DB Dados do Mercado_Açúcar Físico não embarcado - Nov08 - Conferido_DB Entrada_1_relatorio_Relatório Gerencial" xfId="12004"/>
    <cellStyle name="s_Valuation _DB Dados do Mercado_Açúcar Físico não embarcado - Nov08 - Conferido_DB Entrada_1_relatorio_Relatório Gerencial 2" xfId="12005"/>
    <cellStyle name="s_Valuation _DB Dados do Mercado_Açúcar Físico não embarcado - Nov08 - Conferido_DB Entrada_1_relatorio_Relatório Gerencial 2_15-FINANCEIRAS" xfId="12006"/>
    <cellStyle name="s_Valuation _DB Dados do Mercado_Açúcar Físico não embarcado - Nov08 - Conferido_DB Entrada_1_relatorio_Relatório Gerencial_15-FINANCEIRAS" xfId="12007"/>
    <cellStyle name="s_Valuation _DB Dados do Mercado_Açúcar Físico não embarcado - Nov08 - Conferido_DB Entrada_1_relatorio_Relatório Gerencial_15-FINANCEIRAS_1" xfId="12008"/>
    <cellStyle name="s_Valuation _DB Dados do Mercado_Açúcar Físico não embarcado - Nov08 - Conferido_DB Entrada_1_relatorio_Relatório Gerencial_3-Balanço" xfId="12009"/>
    <cellStyle name="s_Valuation _DB Dados do Mercado_Açúcar Físico não embarcado - Nov08 - Conferido_DB Entrada_1_relatorio_Relatório Gerencial_7-Estoque" xfId="12010"/>
    <cellStyle name="s_Valuation _DB Dados do Mercado_Açúcar Físico não embarcado - Nov08 - Conferido_DB Entrada_1_relatorio_Relatório Gerencial_DB Entrada" xfId="12011"/>
    <cellStyle name="s_Valuation _DB Dados do Mercado_Açúcar Físico não embarcado - Nov08 - Conferido_DB Entrada_1_relatorio_Relatório Gerencial_DB Entrada 2" xfId="12012"/>
    <cellStyle name="s_Valuation _DB Dados do Mercado_Açúcar Físico não embarcado - Nov08 - Conferido_DB Entrada_1_relatorio_Relatório Gerencial_DB Entrada 2_15-FINANCEIRAS" xfId="12013"/>
    <cellStyle name="s_Valuation _DB Dados do Mercado_Açúcar Físico não embarcado - Nov08 - Conferido_DB Entrada_1_relatorio_Relatório Gerencial_DB Entrada_15-FINANCEIRAS" xfId="12014"/>
    <cellStyle name="s_Valuation _DB Dados do Mercado_Açúcar Físico não embarcado - Nov08 - Conferido_DB Entrada_1_relatorio_Relatório Gerencial_DB Entrada_15-FINANCEIRAS_1" xfId="12015"/>
    <cellStyle name="s_Valuation _DB Dados do Mercado_Açúcar Físico não embarcado - Nov08 - Conferido_DB Entrada_1_relatorio_Relatório Gerencial_DB Entrada_3-Balanço" xfId="12016"/>
    <cellStyle name="s_Valuation _DB Dados do Mercado_Açúcar Físico não embarcado - Nov08 - Conferido_DB Entrada_1_relatorio_Relatório Gerencial_DB Entrada_7-Estoque" xfId="12017"/>
    <cellStyle name="s_Valuation _DB Dados do Mercado_Açúcar Físico não embarcado - Nov08 - Conferido_DB Entrada_1_RES500-NEWEDGE" xfId="12018"/>
    <cellStyle name="s_Valuation _DB Dados do Mercado_Açúcar Físico não embarcado - Nov08 - Conferido_DB Entrada_1_RES500-NEWEDGE 2" xfId="12019"/>
    <cellStyle name="s_Valuation _DB Dados do Mercado_Açúcar Físico não embarcado - Nov08 - Conferido_DB Entrada_1_RES500-NEWEDGE 2_15-FINANCEIRAS" xfId="12020"/>
    <cellStyle name="s_Valuation _DB Dados do Mercado_Açúcar Físico não embarcado - Nov08 - Conferido_DB Entrada_1_RES500-NEWEDGE_15-FINANCEIRAS" xfId="12021"/>
    <cellStyle name="s_Valuation _DB Dados do Mercado_Açúcar Físico não embarcado - Nov08 - Conferido_DB Entrada_1_RES500-NEWEDGE_15-FINANCEIRAS_1" xfId="12022"/>
    <cellStyle name="s_Valuation _DB Dados do Mercado_Açúcar Físico não embarcado - Nov08 - Conferido_DB Entrada_1_RES500-NEWEDGE_3-Balanço" xfId="12023"/>
    <cellStyle name="s_Valuation _DB Dados do Mercado_Açúcar Físico não embarcado - Nov08 - Conferido_DB Entrada_1_RES500-NEWEDGE_7-Estoque" xfId="12024"/>
    <cellStyle name="s_Valuation _DB Dados do Mercado_Açúcar Físico não embarcado - Nov08 - Conferido_DB Entrada_1_RES500-NEWEDGE_Relatório Gerencial" xfId="12025"/>
    <cellStyle name="s_Valuation _DB Dados do Mercado_Açúcar Físico não embarcado - Nov08 - Conferido_DB Entrada_1_RES500-NEWEDGE_Relatório Gerencial 2" xfId="12026"/>
    <cellStyle name="s_Valuation _DB Dados do Mercado_Açúcar Físico não embarcado - Nov08 - Conferido_DB Entrada_1_RES500-NEWEDGE_Relatório Gerencial 2_15-FINANCEIRAS" xfId="12027"/>
    <cellStyle name="s_Valuation _DB Dados do Mercado_Açúcar Físico não embarcado - Nov08 - Conferido_DB Entrada_1_RES500-NEWEDGE_Relatório Gerencial_15-FINANCEIRAS" xfId="12028"/>
    <cellStyle name="s_Valuation _DB Dados do Mercado_Açúcar Físico não embarcado - Nov08 - Conferido_DB Entrada_1_RES500-NEWEDGE_Relatório Gerencial_15-FINANCEIRAS_1" xfId="12029"/>
    <cellStyle name="s_Valuation _DB Dados do Mercado_Açúcar Físico não embarcado - Nov08 - Conferido_DB Entrada_1_RES500-NEWEDGE_Relatório Gerencial_3-Balanço" xfId="12030"/>
    <cellStyle name="s_Valuation _DB Dados do Mercado_Açúcar Físico não embarcado - Nov08 - Conferido_DB Entrada_1_RES500-NEWEDGE_Relatório Gerencial_7-Estoque" xfId="12031"/>
    <cellStyle name="s_Valuation _DB Dados do Mercado_Açúcar Físico não embarcado - Nov08 - Conferido_DB Entrada_1_RES500-NEWEDGE_Relatório Gerencial_DB Entrada" xfId="12032"/>
    <cellStyle name="s_Valuation _DB Dados do Mercado_Açúcar Físico não embarcado - Nov08 - Conferido_DB Entrada_1_RES500-NEWEDGE_Relatório Gerencial_DB Entrada 2" xfId="12033"/>
    <cellStyle name="s_Valuation _DB Dados do Mercado_Açúcar Físico não embarcado - Nov08 - Conferido_DB Entrada_1_RES500-NEWEDGE_Relatório Gerencial_DB Entrada 2_15-FINANCEIRAS" xfId="12034"/>
    <cellStyle name="s_Valuation _DB Dados do Mercado_Açúcar Físico não embarcado - Nov08 - Conferido_DB Entrada_1_RES500-NEWEDGE_Relatório Gerencial_DB Entrada_15-FINANCEIRAS" xfId="12035"/>
    <cellStyle name="s_Valuation _DB Dados do Mercado_Açúcar Físico não embarcado - Nov08 - Conferido_DB Entrada_1_RES500-NEWEDGE_Relatório Gerencial_DB Entrada_15-FINANCEIRAS_1" xfId="12036"/>
    <cellStyle name="s_Valuation _DB Dados do Mercado_Açúcar Físico não embarcado - Nov08 - Conferido_DB Entrada_1_RES500-NEWEDGE_Relatório Gerencial_DB Entrada_3-Balanço" xfId="12037"/>
    <cellStyle name="s_Valuation _DB Dados do Mercado_Açúcar Físico não embarcado - Nov08 - Conferido_DB Entrada_1_RES500-NEWEDGE_Relatório Gerencial_DB Entrada_7-Estoque" xfId="12038"/>
    <cellStyle name="s_Valuation _DB Dados do Mercado_Açúcar Físico não embarcado - Nov08 - Conferido_DB Entrada_1_segregado" xfId="12039"/>
    <cellStyle name="s_Valuation _DB Dados do Mercado_Açúcar Físico não embarcado - Nov08 - Conferido_DB Entrada_1_segregado 2" xfId="12040"/>
    <cellStyle name="s_Valuation _DB Dados do Mercado_Açúcar Físico não embarcado - Nov08 - Conferido_DB Entrada_1_segregado 2_15-FINANCEIRAS" xfId="12041"/>
    <cellStyle name="s_Valuation _DB Dados do Mercado_Açúcar Físico não embarcado - Nov08 - Conferido_DB Entrada_1_segregado_1" xfId="12042"/>
    <cellStyle name="s_Valuation _DB Dados do Mercado_Açúcar Físico não embarcado - Nov08 - Conferido_DB Entrada_1_segregado_1 2" xfId="12043"/>
    <cellStyle name="s_Valuation _DB Dados do Mercado_Açúcar Físico não embarcado - Nov08 - Conferido_DB Entrada_1_segregado_1 2_15-FINANCEIRAS" xfId="12044"/>
    <cellStyle name="s_Valuation _DB Dados do Mercado_Açúcar Físico não embarcado - Nov08 - Conferido_DB Entrada_1_segregado_1_15-FINANCEIRAS" xfId="12045"/>
    <cellStyle name="s_Valuation _DB Dados do Mercado_Açúcar Físico não embarcado - Nov08 - Conferido_DB Entrada_1_segregado_1_15-FINANCEIRAS_1" xfId="12046"/>
    <cellStyle name="s_Valuation _DB Dados do Mercado_Açúcar Físico não embarcado - Nov08 - Conferido_DB Entrada_1_segregado_1_3-Balanço" xfId="12047"/>
    <cellStyle name="s_Valuation _DB Dados do Mercado_Açúcar Físico não embarcado - Nov08 - Conferido_DB Entrada_1_segregado_1_7-Estoque" xfId="12048"/>
    <cellStyle name="s_Valuation _DB Dados do Mercado_Açúcar Físico não embarcado - Nov08 - Conferido_DB Entrada_1_segregado_1_Relatório Gerencial" xfId="12049"/>
    <cellStyle name="s_Valuation _DB Dados do Mercado_Açúcar Físico não embarcado - Nov08 - Conferido_DB Entrada_1_segregado_1_Relatório Gerencial 2" xfId="12050"/>
    <cellStyle name="s_Valuation _DB Dados do Mercado_Açúcar Físico não embarcado - Nov08 - Conferido_DB Entrada_1_segregado_1_Relatório Gerencial 2_15-FINANCEIRAS" xfId="12051"/>
    <cellStyle name="s_Valuation _DB Dados do Mercado_Açúcar Físico não embarcado - Nov08 - Conferido_DB Entrada_1_segregado_1_Relatório Gerencial_15-FINANCEIRAS" xfId="12052"/>
    <cellStyle name="s_Valuation _DB Dados do Mercado_Açúcar Físico não embarcado - Nov08 - Conferido_DB Entrada_1_segregado_1_Relatório Gerencial_15-FINANCEIRAS_1" xfId="12053"/>
    <cellStyle name="s_Valuation _DB Dados do Mercado_Açúcar Físico não embarcado - Nov08 - Conferido_DB Entrada_1_segregado_1_Relatório Gerencial_3-Balanço" xfId="12054"/>
    <cellStyle name="s_Valuation _DB Dados do Mercado_Açúcar Físico não embarcado - Nov08 - Conferido_DB Entrada_1_segregado_1_Relatório Gerencial_7-Estoque" xfId="12055"/>
    <cellStyle name="s_Valuation _DB Dados do Mercado_Açúcar Físico não embarcado - Nov08 - Conferido_DB Entrada_1_segregado_1_Relatório Gerencial_DB Entrada" xfId="12056"/>
    <cellStyle name="s_Valuation _DB Dados do Mercado_Açúcar Físico não embarcado - Nov08 - Conferido_DB Entrada_1_segregado_1_Relatório Gerencial_DB Entrada 2" xfId="12057"/>
    <cellStyle name="s_Valuation _DB Dados do Mercado_Açúcar Físico não embarcado - Nov08 - Conferido_DB Entrada_1_segregado_1_Relatório Gerencial_DB Entrada 2_15-FINANCEIRAS" xfId="12058"/>
    <cellStyle name="s_Valuation _DB Dados do Mercado_Açúcar Físico não embarcado - Nov08 - Conferido_DB Entrada_1_segregado_1_Relatório Gerencial_DB Entrada_15-FINANCEIRAS" xfId="12059"/>
    <cellStyle name="s_Valuation _DB Dados do Mercado_Açúcar Físico não embarcado - Nov08 - Conferido_DB Entrada_1_segregado_1_Relatório Gerencial_DB Entrada_15-FINANCEIRAS_1" xfId="12060"/>
    <cellStyle name="s_Valuation _DB Dados do Mercado_Açúcar Físico não embarcado - Nov08 - Conferido_DB Entrada_1_segregado_1_Relatório Gerencial_DB Entrada_3-Balanço" xfId="12061"/>
    <cellStyle name="s_Valuation _DB Dados do Mercado_Açúcar Físico não embarcado - Nov08 - Conferido_DB Entrada_1_segregado_1_Relatório Gerencial_DB Entrada_7-Estoque" xfId="12062"/>
    <cellStyle name="s_Valuation _DB Dados do Mercado_Açúcar Físico não embarcado - Nov08 - Conferido_DB Entrada_1_segregado_15-FINANCEIRAS" xfId="12063"/>
    <cellStyle name="s_Valuation _DB Dados do Mercado_Açúcar Físico não embarcado - Nov08 - Conferido_DB Entrada_1_segregado_15-FINANCEIRAS_1" xfId="12064"/>
    <cellStyle name="s_Valuation _DB Dados do Mercado_Açúcar Físico não embarcado - Nov08 - Conferido_DB Entrada_1_segregado_2" xfId="12065"/>
    <cellStyle name="s_Valuation _DB Dados do Mercado_Açúcar Físico não embarcado - Nov08 - Conferido_DB Entrada_1_segregado_2 2" xfId="12066"/>
    <cellStyle name="s_Valuation _DB Dados do Mercado_Açúcar Físico não embarcado - Nov08 - Conferido_DB Entrada_1_segregado_2 2_15-FINANCEIRAS" xfId="12067"/>
    <cellStyle name="s_Valuation _DB Dados do Mercado_Açúcar Físico não embarcado - Nov08 - Conferido_DB Entrada_1_segregado_2_15-FINANCEIRAS" xfId="12068"/>
    <cellStyle name="s_Valuation _DB Dados do Mercado_Açúcar Físico não embarcado - Nov08 - Conferido_DB Entrada_1_segregado_2_15-FINANCEIRAS_1" xfId="12069"/>
    <cellStyle name="s_Valuation _DB Dados do Mercado_Açúcar Físico não embarcado - Nov08 - Conferido_DB Entrada_1_segregado_2_3-Balanço" xfId="12070"/>
    <cellStyle name="s_Valuation _DB Dados do Mercado_Açúcar Físico não embarcado - Nov08 - Conferido_DB Entrada_1_segregado_2_7-Estoque" xfId="12071"/>
    <cellStyle name="s_Valuation _DB Dados do Mercado_Açúcar Físico não embarcado - Nov08 - Conferido_DB Entrada_1_segregado_2_DB Boletas Abertas" xfId="12072"/>
    <cellStyle name="s_Valuation _DB Dados do Mercado_Açúcar Físico não embarcado - Nov08 - Conferido_DB Entrada_1_segregado_2_DB Boletas Abertas 2" xfId="12073"/>
    <cellStyle name="s_Valuation _DB Dados do Mercado_Açúcar Físico não embarcado - Nov08 - Conferido_DB Entrada_1_segregado_2_DB Boletas Abertas 2_15-FINANCEIRAS" xfId="12074"/>
    <cellStyle name="s_Valuation _DB Dados do Mercado_Açúcar Físico não embarcado - Nov08 - Conferido_DB Entrada_1_segregado_2_DB Boletas Abertas_15-FINANCEIRAS" xfId="12075"/>
    <cellStyle name="s_Valuation _DB Dados do Mercado_Açúcar Físico não embarcado - Nov08 - Conferido_DB Entrada_1_segregado_2_DB Boletas Abertas_15-FINANCEIRAS_1" xfId="12076"/>
    <cellStyle name="s_Valuation _DB Dados do Mercado_Açúcar Físico não embarcado - Nov08 - Conferido_DB Entrada_1_segregado_2_DB Boletas Abertas_3-Balanço" xfId="12077"/>
    <cellStyle name="s_Valuation _DB Dados do Mercado_Açúcar Físico não embarcado - Nov08 - Conferido_DB Entrada_1_segregado_2_DB Boletas Abertas_7-Estoque" xfId="12078"/>
    <cellStyle name="s_Valuation _DB Dados do Mercado_Açúcar Físico não embarcado - Nov08 - Conferido_DB Entrada_1_segregado_2_DB Boletas Vencendo" xfId="12079"/>
    <cellStyle name="s_Valuation _DB Dados do Mercado_Açúcar Físico não embarcado - Nov08 - Conferido_DB Entrada_1_segregado_2_DB Boletas Vencendo 2" xfId="12080"/>
    <cellStyle name="s_Valuation _DB Dados do Mercado_Açúcar Físico não embarcado - Nov08 - Conferido_DB Entrada_1_segregado_2_DB Boletas Vencendo 2_15-FINANCEIRAS" xfId="12081"/>
    <cellStyle name="s_Valuation _DB Dados do Mercado_Açúcar Físico não embarcado - Nov08 - Conferido_DB Entrada_1_segregado_2_DB Boletas Vencendo_15-FINANCEIRAS" xfId="12082"/>
    <cellStyle name="s_Valuation _DB Dados do Mercado_Açúcar Físico não embarcado - Nov08 - Conferido_DB Entrada_1_segregado_2_DB Boletas Vencendo_15-FINANCEIRAS_1" xfId="12083"/>
    <cellStyle name="s_Valuation _DB Dados do Mercado_Açúcar Físico não embarcado - Nov08 - Conferido_DB Entrada_1_segregado_2_DB Boletas Vencendo_3-Balanço" xfId="12084"/>
    <cellStyle name="s_Valuation _DB Dados do Mercado_Açúcar Físico não embarcado - Nov08 - Conferido_DB Entrada_1_segregado_2_DB Boletas Vencendo_7-Estoque" xfId="12085"/>
    <cellStyle name="s_Valuation _DB Dados do Mercado_Açúcar Físico não embarcado - Nov08 - Conferido_DB Entrada_1_segregado_2_DB Boletas Vencendo_Relatório Gerencial" xfId="12086"/>
    <cellStyle name="s_Valuation _DB Dados do Mercado_Açúcar Físico não embarcado - Nov08 - Conferido_DB Entrada_1_segregado_2_DB Boletas Vencendo_Relatório Gerencial 2" xfId="12087"/>
    <cellStyle name="s_Valuation _DB Dados do Mercado_Açúcar Físico não embarcado - Nov08 - Conferido_DB Entrada_1_segregado_2_DB Boletas Vencendo_Relatório Gerencial 2_15-FINANCEIRAS" xfId="12088"/>
    <cellStyle name="s_Valuation _DB Dados do Mercado_Açúcar Físico não embarcado - Nov08 - Conferido_DB Entrada_1_segregado_2_DB Boletas Vencendo_Relatório Gerencial_15-FINANCEIRAS" xfId="12089"/>
    <cellStyle name="s_Valuation _DB Dados do Mercado_Açúcar Físico não embarcado - Nov08 - Conferido_DB Entrada_1_segregado_2_DB Boletas Vencendo_Relatório Gerencial_15-FINANCEIRAS_1" xfId="12090"/>
    <cellStyle name="s_Valuation _DB Dados do Mercado_Açúcar Físico não embarcado - Nov08 - Conferido_DB Entrada_1_segregado_2_DB Boletas Vencendo_Relatório Gerencial_3-Balanço" xfId="12091"/>
    <cellStyle name="s_Valuation _DB Dados do Mercado_Açúcar Físico não embarcado - Nov08 - Conferido_DB Entrada_1_segregado_2_DB Boletas Vencendo_Relatório Gerencial_7-Estoque" xfId="12092"/>
    <cellStyle name="s_Valuation _DB Dados do Mercado_Açúcar Físico não embarcado - Nov08 - Conferido_DB Entrada_1_segregado_2_DB Boletas Vencendo_Relatório Gerencial_DB Entrada" xfId="12093"/>
    <cellStyle name="s_Valuation _DB Dados do Mercado_Açúcar Físico não embarcado - Nov08 - Conferido_DB Entrada_1_segregado_2_DB Boletas Vencendo_Relatório Gerencial_DB Entrada 2" xfId="12094"/>
    <cellStyle name="s_Valuation _DB Dados do Mercado_Açúcar Físico não embarcado - Nov08 - Conferido_DB Entrada_1_segregado_2_DB Boletas Vencendo_Relatório Gerencial_DB Entrada 2_15-FINANCEIRAS" xfId="12095"/>
    <cellStyle name="s_Valuation _DB Dados do Mercado_Açúcar Físico não embarcado - Nov08 - Conferido_DB Entrada_1_segregado_2_DB Boletas Vencendo_Relatório Gerencial_DB Entrada_15-FINANCEIRAS" xfId="12096"/>
    <cellStyle name="s_Valuation _DB Dados do Mercado_Açúcar Físico não embarcado - Nov08 - Conferido_DB Entrada_1_segregado_2_DB Boletas Vencendo_Relatório Gerencial_DB Entrada_15-FINANCEIRAS_1" xfId="12097"/>
    <cellStyle name="s_Valuation _DB Dados do Mercado_Açúcar Físico não embarcado - Nov08 - Conferido_DB Entrada_1_segregado_2_DB Boletas Vencendo_Relatório Gerencial_DB Entrada_3-Balanço" xfId="12098"/>
    <cellStyle name="s_Valuation _DB Dados do Mercado_Açúcar Físico não embarcado - Nov08 - Conferido_DB Entrada_1_segregado_2_DB Boletas Vencendo_Relatório Gerencial_DB Entrada_7-Estoque" xfId="12099"/>
    <cellStyle name="s_Valuation _DB Dados do Mercado_Açúcar Físico não embarcado - Nov08 - Conferido_DB Entrada_1_segregado_2_DB Controle" xfId="12100"/>
    <cellStyle name="s_Valuation _DB Dados do Mercado_Açúcar Físico não embarcado - Nov08 - Conferido_DB Entrada_1_segregado_2_DB Controle 2" xfId="12101"/>
    <cellStyle name="s_Valuation _DB Dados do Mercado_Açúcar Físico não embarcado - Nov08 - Conferido_DB Entrada_1_segregado_2_DB Controle 2_15-FINANCEIRAS" xfId="12102"/>
    <cellStyle name="s_Valuation _DB Dados do Mercado_Açúcar Físico não embarcado - Nov08 - Conferido_DB Entrada_1_segregado_2_DB Controle_15-FINANCEIRAS" xfId="12103"/>
    <cellStyle name="s_Valuation _DB Dados do Mercado_Açúcar Físico não embarcado - Nov08 - Conferido_DB Entrada_1_segregado_2_DB Controle_15-FINANCEIRAS_1" xfId="12104"/>
    <cellStyle name="s_Valuation _DB Dados do Mercado_Açúcar Físico não embarcado - Nov08 - Conferido_DB Entrada_1_segregado_2_DB Controle_3-Balanço" xfId="12105"/>
    <cellStyle name="s_Valuation _DB Dados do Mercado_Açúcar Físico não embarcado - Nov08 - Conferido_DB Entrada_1_segregado_2_DB Controle_7-Estoque" xfId="12106"/>
    <cellStyle name="s_Valuation _DB Dados do Mercado_Açúcar Físico não embarcado - Nov08 - Conferido_DB Entrada_1_segregado_2_DB Entrada" xfId="12107"/>
    <cellStyle name="s_Valuation _DB Dados do Mercado_Açúcar Físico não embarcado - Nov08 - Conferido_DB Entrada_1_segregado_2_DB Entrada 2" xfId="12108"/>
    <cellStyle name="s_Valuation _DB Dados do Mercado_Açúcar Físico não embarcado - Nov08 - Conferido_DB Entrada_1_segregado_2_DB Entrada 2_15-FINANCEIRAS" xfId="12109"/>
    <cellStyle name="s_Valuation _DB Dados do Mercado_Açúcar Físico não embarcado - Nov08 - Conferido_DB Entrada_1_segregado_2_DB Entrada_1" xfId="12110"/>
    <cellStyle name="s_Valuation _DB Dados do Mercado_Açúcar Físico não embarcado - Nov08 - Conferido_DB Entrada_1_segregado_2_DB Entrada_1 2" xfId="12111"/>
    <cellStyle name="s_Valuation _DB Dados do Mercado_Açúcar Físico não embarcado - Nov08 - Conferido_DB Entrada_1_segregado_2_DB Entrada_1 2_15-FINANCEIRAS" xfId="12112"/>
    <cellStyle name="s_Valuation _DB Dados do Mercado_Açúcar Físico não embarcado - Nov08 - Conferido_DB Entrada_1_segregado_2_DB Entrada_1_15-FINANCEIRAS" xfId="12113"/>
    <cellStyle name="s_Valuation _DB Dados do Mercado_Açúcar Físico não embarcado - Nov08 - Conferido_DB Entrada_1_segregado_2_DB Entrada_1_15-FINANCEIRAS_1" xfId="12114"/>
    <cellStyle name="s_Valuation _DB Dados do Mercado_Açúcar Físico não embarcado - Nov08 - Conferido_DB Entrada_1_segregado_2_DB Entrada_1_3-Balanço" xfId="12115"/>
    <cellStyle name="s_Valuation _DB Dados do Mercado_Açúcar Físico não embarcado - Nov08 - Conferido_DB Entrada_1_segregado_2_DB Entrada_1_7-Estoque" xfId="12116"/>
    <cellStyle name="s_Valuation _DB Dados do Mercado_Açúcar Físico não embarcado - Nov08 - Conferido_DB Entrada_1_segregado_2_DB Entrada_1_Relatório Gerencial" xfId="12117"/>
    <cellStyle name="s_Valuation _DB Dados do Mercado_Açúcar Físico não embarcado - Nov08 - Conferido_DB Entrada_1_segregado_2_DB Entrada_1_Relatório Gerencial 2" xfId="12118"/>
    <cellStyle name="s_Valuation _DB Dados do Mercado_Açúcar Físico não embarcado - Nov08 - Conferido_DB Entrada_1_segregado_2_DB Entrada_1_Relatório Gerencial 2_15-FINANCEIRAS" xfId="12119"/>
    <cellStyle name="s_Valuation _DB Dados do Mercado_Açúcar Físico não embarcado - Nov08 - Conferido_DB Entrada_1_segregado_2_DB Entrada_1_Relatório Gerencial_15-FINANCEIRAS" xfId="12120"/>
    <cellStyle name="s_Valuation _DB Dados do Mercado_Açúcar Físico não embarcado - Nov08 - Conferido_DB Entrada_1_segregado_2_DB Entrada_1_Relatório Gerencial_15-FINANCEIRAS_1" xfId="12121"/>
    <cellStyle name="s_Valuation _DB Dados do Mercado_Açúcar Físico não embarcado - Nov08 - Conferido_DB Entrada_1_segregado_2_DB Entrada_1_Relatório Gerencial_3-Balanço" xfId="12122"/>
    <cellStyle name="s_Valuation _DB Dados do Mercado_Açúcar Físico não embarcado - Nov08 - Conferido_DB Entrada_1_segregado_2_DB Entrada_1_Relatório Gerencial_7-Estoque" xfId="12123"/>
    <cellStyle name="s_Valuation _DB Dados do Mercado_Açúcar Físico não embarcado - Nov08 - Conferido_DB Entrada_1_segregado_2_DB Entrada_1_Relatório Gerencial_DB Entrada" xfId="12124"/>
    <cellStyle name="s_Valuation _DB Dados do Mercado_Açúcar Físico não embarcado - Nov08 - Conferido_DB Entrada_1_segregado_2_DB Entrada_1_Relatório Gerencial_DB Entrada 2" xfId="12125"/>
    <cellStyle name="s_Valuation _DB Dados do Mercado_Açúcar Físico não embarcado - Nov08 - Conferido_DB Entrada_1_segregado_2_DB Entrada_1_Relatório Gerencial_DB Entrada 2_15-FINANCEIRAS" xfId="12126"/>
    <cellStyle name="s_Valuation _DB Dados do Mercado_Açúcar Físico não embarcado - Nov08 - Conferido_DB Entrada_1_segregado_2_DB Entrada_1_Relatório Gerencial_DB Entrada_15-FINANCEIRAS" xfId="12127"/>
    <cellStyle name="s_Valuation _DB Dados do Mercado_Açúcar Físico não embarcado - Nov08 - Conferido_DB Entrada_1_segregado_2_DB Entrada_1_Relatório Gerencial_DB Entrada_15-FINANCEIRAS_1" xfId="12128"/>
    <cellStyle name="s_Valuation _DB Dados do Mercado_Açúcar Físico não embarcado - Nov08 - Conferido_DB Entrada_1_segregado_2_DB Entrada_1_Relatório Gerencial_DB Entrada_3-Balanço" xfId="12129"/>
    <cellStyle name="s_Valuation _DB Dados do Mercado_Açúcar Físico não embarcado - Nov08 - Conferido_DB Entrada_1_segregado_2_DB Entrada_1_Relatório Gerencial_DB Entrada_7-Estoque" xfId="12130"/>
    <cellStyle name="s_Valuation _DB Dados do Mercado_Açúcar Físico não embarcado - Nov08 - Conferido_DB Entrada_1_segregado_2_DB Entrada_15-FINANCEIRAS" xfId="12131"/>
    <cellStyle name="s_Valuation _DB Dados do Mercado_Açúcar Físico não embarcado - Nov08 - Conferido_DB Entrada_1_segregado_2_DB Entrada_15-FINANCEIRAS_1" xfId="12132"/>
    <cellStyle name="s_Valuation _DB Dados do Mercado_Açúcar Físico não embarcado - Nov08 - Conferido_DB Entrada_1_segregado_2_DB Entrada_3-Balanço" xfId="12133"/>
    <cellStyle name="s_Valuation _DB Dados do Mercado_Açúcar Físico não embarcado - Nov08 - Conferido_DB Entrada_1_segregado_2_DB Entrada_7-Estoque" xfId="12134"/>
    <cellStyle name="s_Valuation _DB Dados do Mercado_Açúcar Físico não embarcado - Nov08 - Conferido_DB Entrada_1_segregado_2_DB Entrada_DB Boletas Abertas" xfId="12135"/>
    <cellStyle name="s_Valuation _DB Dados do Mercado_Açúcar Físico não embarcado - Nov08 - Conferido_DB Entrada_1_segregado_2_DB Entrada_DB Boletas Abertas 2" xfId="12136"/>
    <cellStyle name="s_Valuation _DB Dados do Mercado_Açúcar Físico não embarcado - Nov08 - Conferido_DB Entrada_1_segregado_2_DB Entrada_DB Boletas Abertas 2_15-FINANCEIRAS" xfId="12137"/>
    <cellStyle name="s_Valuation _DB Dados do Mercado_Açúcar Físico não embarcado - Nov08 - Conferido_DB Entrada_1_segregado_2_DB Entrada_DB Boletas Abertas_15-FINANCEIRAS" xfId="12138"/>
    <cellStyle name="s_Valuation _DB Dados do Mercado_Açúcar Físico não embarcado - Nov08 - Conferido_DB Entrada_1_segregado_2_DB Entrada_DB Boletas Abertas_15-FINANCEIRAS_1" xfId="12139"/>
    <cellStyle name="s_Valuation _DB Dados do Mercado_Açúcar Físico não embarcado - Nov08 - Conferido_DB Entrada_1_segregado_2_DB Entrada_DB Boletas Abertas_3-Balanço" xfId="12140"/>
    <cellStyle name="s_Valuation _DB Dados do Mercado_Açúcar Físico não embarcado - Nov08 - Conferido_DB Entrada_1_segregado_2_DB Entrada_DB Boletas Abertas_7-Estoque" xfId="12141"/>
    <cellStyle name="s_Valuation _DB Dados do Mercado_Açúcar Físico não embarcado - Nov08 - Conferido_DB Entrada_1_segregado_2_DB Entrada_DB Boletas Vencendo" xfId="12142"/>
    <cellStyle name="s_Valuation _DB Dados do Mercado_Açúcar Físico não embarcado - Nov08 - Conferido_DB Entrada_1_segregado_2_DB Entrada_DB Boletas Vencendo 2" xfId="12143"/>
    <cellStyle name="s_Valuation _DB Dados do Mercado_Açúcar Físico não embarcado - Nov08 - Conferido_DB Entrada_1_segregado_2_DB Entrada_DB Boletas Vencendo 2_15-FINANCEIRAS" xfId="12144"/>
    <cellStyle name="s_Valuation _DB Dados do Mercado_Açúcar Físico não embarcado - Nov08 - Conferido_DB Entrada_1_segregado_2_DB Entrada_DB Boletas Vencendo_15-FINANCEIRAS" xfId="12145"/>
    <cellStyle name="s_Valuation _DB Dados do Mercado_Açúcar Físico não embarcado - Nov08 - Conferido_DB Entrada_1_segregado_2_DB Entrada_DB Boletas Vencendo_15-FINANCEIRAS_1" xfId="12146"/>
    <cellStyle name="s_Valuation _DB Dados do Mercado_Açúcar Físico não embarcado - Nov08 - Conferido_DB Entrada_1_segregado_2_DB Entrada_DB Boletas Vencendo_3-Balanço" xfId="12147"/>
    <cellStyle name="s_Valuation _DB Dados do Mercado_Açúcar Físico não embarcado - Nov08 - Conferido_DB Entrada_1_segregado_2_DB Entrada_DB Boletas Vencendo_7-Estoque" xfId="12148"/>
    <cellStyle name="s_Valuation _DB Dados do Mercado_Açúcar Físico não embarcado - Nov08 - Conferido_DB Entrada_1_segregado_2_DB Entrada_DB Boletas Vencendo_Relatório Gerencial" xfId="12149"/>
    <cellStyle name="s_Valuation _DB Dados do Mercado_Açúcar Físico não embarcado - Nov08 - Conferido_DB Entrada_1_segregado_2_DB Entrada_DB Boletas Vencendo_Relatório Gerencial 2" xfId="12150"/>
    <cellStyle name="s_Valuation _DB Dados do Mercado_Açúcar Físico não embarcado - Nov08 - Conferido_DB Entrada_1_segregado_2_DB Entrada_DB Boletas Vencendo_Relatório Gerencial 2_15-FINANCEIRAS" xfId="12151"/>
    <cellStyle name="s_Valuation _DB Dados do Mercado_Açúcar Físico não embarcado - Nov08 - Conferido_DB Entrada_1_segregado_2_DB Entrada_DB Boletas Vencendo_Relatório Gerencial_15-FINANCEIRAS" xfId="12152"/>
    <cellStyle name="s_Valuation _DB Dados do Mercado_Açúcar Físico não embarcado - Nov08 - Conferido_DB Entrada_1_segregado_2_DB Entrada_DB Boletas Vencendo_Relatório Gerencial_15-FINANCEIRAS_1" xfId="12153"/>
    <cellStyle name="s_Valuation _DB Dados do Mercado_Açúcar Físico não embarcado - Nov08 - Conferido_DB Entrada_1_segregado_2_DB Entrada_DB Boletas Vencendo_Relatório Gerencial_3-Balanço" xfId="12154"/>
    <cellStyle name="s_Valuation _DB Dados do Mercado_Açúcar Físico não embarcado - Nov08 - Conferido_DB Entrada_1_segregado_2_DB Entrada_DB Boletas Vencendo_Relatório Gerencial_7-Estoque" xfId="12155"/>
    <cellStyle name="s_Valuation _DB Dados do Mercado_Açúcar Físico não embarcado - Nov08 - Conferido_DB Entrada_1_segregado_2_DB Entrada_DB Boletas Vencendo_Relatório Gerencial_DB Entrada" xfId="12156"/>
    <cellStyle name="s_Valuation _DB Dados do Mercado_Açúcar Físico não embarcado - Nov08 - Conferido_DB Entrada_1_segregado_2_DB Entrada_DB Boletas Vencendo_Relatório Gerencial_DB Entrada 2" xfId="12157"/>
    <cellStyle name="s_Valuation _DB Dados do Mercado_Açúcar Físico não embarcado - Nov08 - Conferido_DB Entrada_1_segregado_2_DB Entrada_DB Boletas Vencendo_Relatório Gerencial_DB Entrada 2_15-FINANCEIRAS" xfId="12158"/>
    <cellStyle name="s_Valuation _DB Dados do Mercado_Açúcar Físico não embarcado - Nov08 - Conferido_DB Entrada_1_segregado_2_DB Entrada_DB Boletas Vencendo_Relatório Gerencial_DB Entrada_15-FINANCEIRAS" xfId="12159"/>
    <cellStyle name="s_Valuation _DB Dados do Mercado_Açúcar Físico não embarcado - Nov08 - Conferido_DB Entrada_1_segregado_2_DB Entrada_DB Boletas Vencendo_Relatório Gerencial_DB Entrada_15-FINANCEIRAS_1" xfId="12160"/>
    <cellStyle name="s_Valuation _DB Dados do Mercado_Açúcar Físico não embarcado - Nov08 - Conferido_DB Entrada_1_segregado_2_DB Entrada_DB Boletas Vencendo_Relatório Gerencial_DB Entrada_3-Balanço" xfId="12161"/>
    <cellStyle name="s_Valuation _DB Dados do Mercado_Açúcar Físico não embarcado - Nov08 - Conferido_DB Entrada_1_segregado_2_DB Entrada_DB Boletas Vencendo_Relatório Gerencial_DB Entrada_7-Estoque" xfId="12162"/>
    <cellStyle name="s_Valuation _DB Dados do Mercado_Açúcar Físico não embarcado - Nov08 - Conferido_DB Entrada_1_segregado_2_DB Entrada_DB Controle" xfId="12163"/>
    <cellStyle name="s_Valuation _DB Dados do Mercado_Açúcar Físico não embarcado - Nov08 - Conferido_DB Entrada_1_segregado_2_DB Entrada_DB Controle 2" xfId="12164"/>
    <cellStyle name="s_Valuation _DB Dados do Mercado_Açúcar Físico não embarcado - Nov08 - Conferido_DB Entrada_1_segregado_2_DB Entrada_DB Controle 2_15-FINANCEIRAS" xfId="12165"/>
    <cellStyle name="s_Valuation _DB Dados do Mercado_Açúcar Físico não embarcado - Nov08 - Conferido_DB Entrada_1_segregado_2_DB Entrada_DB Controle_15-FINANCEIRAS" xfId="12166"/>
    <cellStyle name="s_Valuation _DB Dados do Mercado_Açúcar Físico não embarcado - Nov08 - Conferido_DB Entrada_1_segregado_2_DB Entrada_DB Controle_15-FINANCEIRAS_1" xfId="12167"/>
    <cellStyle name="s_Valuation _DB Dados do Mercado_Açúcar Físico não embarcado - Nov08 - Conferido_DB Entrada_1_segregado_2_DB Entrada_DB Controle_3-Balanço" xfId="12168"/>
    <cellStyle name="s_Valuation _DB Dados do Mercado_Açúcar Físico não embarcado - Nov08 - Conferido_DB Entrada_1_segregado_2_DB Entrada_DB Controle_7-Estoque" xfId="12169"/>
    <cellStyle name="s_Valuation _DB Dados do Mercado_Açúcar Físico não embarcado - Nov08 - Conferido_DB Entrada_1_segregado_2_DB Entrada_DB Entrada" xfId="12170"/>
    <cellStyle name="s_Valuation _DB Dados do Mercado_Açúcar Físico não embarcado - Nov08 - Conferido_DB Entrada_1_segregado_2_DB Entrada_DB Entrada 2" xfId="12171"/>
    <cellStyle name="s_Valuation _DB Dados do Mercado_Açúcar Físico não embarcado - Nov08 - Conferido_DB Entrada_1_segregado_2_DB Entrada_DB Entrada 2_15-FINANCEIRAS" xfId="12172"/>
    <cellStyle name="s_Valuation _DB Dados do Mercado_Açúcar Físico não embarcado - Nov08 - Conferido_DB Entrada_1_segregado_2_DB Entrada_DB Entrada_1" xfId="12173"/>
    <cellStyle name="s_Valuation _DB Dados do Mercado_Açúcar Físico não embarcado - Nov08 - Conferido_DB Entrada_1_segregado_2_DB Entrada_DB Entrada_1 2" xfId="12174"/>
    <cellStyle name="s_Valuation _DB Dados do Mercado_Açúcar Físico não embarcado - Nov08 - Conferido_DB Entrada_1_segregado_2_DB Entrada_DB Entrada_1 2_15-FINANCEIRAS" xfId="12175"/>
    <cellStyle name="s_Valuation _DB Dados do Mercado_Açúcar Físico não embarcado - Nov08 - Conferido_DB Entrada_1_segregado_2_DB Entrada_DB Entrada_1_15-FINANCEIRAS" xfId="12176"/>
    <cellStyle name="s_Valuation _DB Dados do Mercado_Açúcar Físico não embarcado - Nov08 - Conferido_DB Entrada_1_segregado_2_DB Entrada_DB Entrada_1_15-FINANCEIRAS_1" xfId="12177"/>
    <cellStyle name="s_Valuation _DB Dados do Mercado_Açúcar Físico não embarcado - Nov08 - Conferido_DB Entrada_1_segregado_2_DB Entrada_DB Entrada_1_3-Balanço" xfId="12178"/>
    <cellStyle name="s_Valuation _DB Dados do Mercado_Açúcar Físico não embarcado - Nov08 - Conferido_DB Entrada_1_segregado_2_DB Entrada_DB Entrada_1_7-Estoque" xfId="12179"/>
    <cellStyle name="s_Valuation _DB Dados do Mercado_Açúcar Físico não embarcado - Nov08 - Conferido_DB Entrada_1_segregado_2_DB Entrada_DB Entrada_1_DB Boletas Abertas" xfId="12180"/>
    <cellStyle name="s_Valuation _DB Dados do Mercado_Açúcar Físico não embarcado - Nov08 - Conferido_DB Entrada_1_segregado_2_DB Entrada_DB Entrada_1_DB Boletas Abertas 2" xfId="12181"/>
    <cellStyle name="s_Valuation _DB Dados do Mercado_Açúcar Físico não embarcado - Nov08 - Conferido_DB Entrada_1_segregado_2_DB Entrada_DB Entrada_1_DB Boletas Abertas 2_15-FINANCEIRAS" xfId="12182"/>
    <cellStyle name="s_Valuation _DB Dados do Mercado_Açúcar Físico não embarcado - Nov08 - Conferido_DB Entrada_1_segregado_2_DB Entrada_DB Entrada_1_DB Boletas Abertas_15-FINANCEIRAS" xfId="12183"/>
    <cellStyle name="s_Valuation _DB Dados do Mercado_Açúcar Físico não embarcado - Nov08 - Conferido_DB Entrada_1_segregado_2_DB Entrada_DB Entrada_1_DB Boletas Abertas_15-FINANCEIRAS_1" xfId="12184"/>
    <cellStyle name="s_Valuation _DB Dados do Mercado_Açúcar Físico não embarcado - Nov08 - Conferido_DB Entrada_1_segregado_2_DB Entrada_DB Entrada_1_DB Boletas Abertas_3-Balanço" xfId="12185"/>
    <cellStyle name="s_Valuation _DB Dados do Mercado_Açúcar Físico não embarcado - Nov08 - Conferido_DB Entrada_1_segregado_2_DB Entrada_DB Entrada_1_DB Boletas Abertas_7-Estoque" xfId="12186"/>
    <cellStyle name="s_Valuation _DB Dados do Mercado_Açúcar Físico não embarcado - Nov08 - Conferido_DB Entrada_1_segregado_2_DB Entrada_DB Entrada_1_DB Controle" xfId="12187"/>
    <cellStyle name="s_Valuation _DB Dados do Mercado_Açúcar Físico não embarcado - Nov08 - Conferido_DB Entrada_1_segregado_2_DB Entrada_DB Entrada_1_DB Controle 2" xfId="12188"/>
    <cellStyle name="s_Valuation _DB Dados do Mercado_Açúcar Físico não embarcado - Nov08 - Conferido_DB Entrada_1_segregado_2_DB Entrada_DB Entrada_1_DB Controle 2_15-FINANCEIRAS" xfId="12189"/>
    <cellStyle name="s_Valuation _DB Dados do Mercado_Açúcar Físico não embarcado - Nov08 - Conferido_DB Entrada_1_segregado_2_DB Entrada_DB Entrada_1_DB Controle_15-FINANCEIRAS" xfId="12190"/>
    <cellStyle name="s_Valuation _DB Dados do Mercado_Açúcar Físico não embarcado - Nov08 - Conferido_DB Entrada_1_segregado_2_DB Entrada_DB Entrada_1_DB Controle_15-FINANCEIRAS_1" xfId="12191"/>
    <cellStyle name="s_Valuation _DB Dados do Mercado_Açúcar Físico não embarcado - Nov08 - Conferido_DB Entrada_1_segregado_2_DB Entrada_DB Entrada_1_DB Controle_3-Balanço" xfId="12192"/>
    <cellStyle name="s_Valuation _DB Dados do Mercado_Açúcar Físico não embarcado - Nov08 - Conferido_DB Entrada_1_segregado_2_DB Entrada_DB Entrada_1_DB Controle_7-Estoque" xfId="12193"/>
    <cellStyle name="s_Valuation _DB Dados do Mercado_Açúcar Físico não embarcado - Nov08 - Conferido_DB Entrada_1_segregado_2_DB Entrada_DB Entrada_1_DB Entrada" xfId="12194"/>
    <cellStyle name="s_Valuation _DB Dados do Mercado_Açúcar Físico não embarcado - Nov08 - Conferido_DB Entrada_1_segregado_2_DB Entrada_DB Entrada_1_DB Entrada 2" xfId="12195"/>
    <cellStyle name="s_Valuation _DB Dados do Mercado_Açúcar Físico não embarcado - Nov08 - Conferido_DB Entrada_1_segregado_2_DB Entrada_DB Entrada_1_DB Entrada 2_15-FINANCEIRAS" xfId="12196"/>
    <cellStyle name="s_Valuation _DB Dados do Mercado_Açúcar Físico não embarcado - Nov08 - Conferido_DB Entrada_1_segregado_2_DB Entrada_DB Entrada_1_DB Entrada_15-FINANCEIRAS" xfId="12197"/>
    <cellStyle name="s_Valuation _DB Dados do Mercado_Açúcar Físico não embarcado - Nov08 - Conferido_DB Entrada_1_segregado_2_DB Entrada_DB Entrada_1_DB Entrada_15-FINANCEIRAS_1" xfId="12198"/>
    <cellStyle name="s_Valuation _DB Dados do Mercado_Açúcar Físico não embarcado - Nov08 - Conferido_DB Entrada_1_segregado_2_DB Entrada_DB Entrada_1_DB Entrada_3-Balanço" xfId="12199"/>
    <cellStyle name="s_Valuation _DB Dados do Mercado_Açúcar Físico não embarcado - Nov08 - Conferido_DB Entrada_1_segregado_2_DB Entrada_DB Entrada_1_DB Entrada_7-Estoque" xfId="12200"/>
    <cellStyle name="s_Valuation _DB Dados do Mercado_Açúcar Físico não embarcado - Nov08 - Conferido_DB Entrada_1_segregado_2_DB Entrada_DB Entrada_1_DB Entrada_Relatório Gerencial" xfId="12201"/>
    <cellStyle name="s_Valuation _DB Dados do Mercado_Açúcar Físico não embarcado - Nov08 - Conferido_DB Entrada_1_segregado_2_DB Entrada_DB Entrada_1_DB Entrada_Relatório Gerencial 2" xfId="12202"/>
    <cellStyle name="s_Valuation _DB Dados do Mercado_Açúcar Físico não embarcado - Nov08 - Conferido_DB Entrada_1_segregado_2_DB Entrada_DB Entrada_1_DB Entrada_Relatório Gerencial 2_15-FINANCEIRAS" xfId="12203"/>
    <cellStyle name="s_Valuation _DB Dados do Mercado_Açúcar Físico não embarcado - Nov08 - Conferido_DB Entrada_1_segregado_2_DB Entrada_DB Entrada_1_DB Entrada_Relatório Gerencial_15-FINANCEIRAS" xfId="12204"/>
    <cellStyle name="s_Valuation _DB Dados do Mercado_Açúcar Físico não embarcado - Nov08 - Conferido_DB Entrada_1_segregado_2_DB Entrada_DB Entrada_1_DB Entrada_Relatório Gerencial_15-FINANCEIRAS_1" xfId="12205"/>
    <cellStyle name="s_Valuation _DB Dados do Mercado_Açúcar Físico não embarcado - Nov08 - Conferido_DB Entrada_1_segregado_2_DB Entrada_DB Entrada_1_DB Entrada_Relatório Gerencial_3-Balanço" xfId="12206"/>
    <cellStyle name="s_Valuation _DB Dados do Mercado_Açúcar Físico não embarcado - Nov08 - Conferido_DB Entrada_1_segregado_2_DB Entrada_DB Entrada_1_DB Entrada_Relatório Gerencial_7-Estoque" xfId="12207"/>
    <cellStyle name="s_Valuation _DB Dados do Mercado_Açúcar Físico não embarcado - Nov08 - Conferido_DB Entrada_1_segregado_2_DB Entrada_DB Entrada_1_DB Entrada_Relatório Gerencial_DB Entrada" xfId="12208"/>
    <cellStyle name="s_Valuation _DB Dados do Mercado_Açúcar Físico não embarcado - Nov08 - Conferido_DB Entrada_1_segregado_2_DB Entrada_DB Entrada_1_DB Entrada_Relatório Gerencial_DB Entrada 2" xfId="12209"/>
    <cellStyle name="s_Valuation _DB Dados do Mercado_Açúcar Físico não embarcado - Nov08 - Conferido_DB Entrada_1_segregado_2_DB Entrada_DB Entrada_1_DB Entrada_Relatório Gerencial_DB Entrada 2_15-FINANCEIRAS" xfId="12210"/>
    <cellStyle name="s_Valuation _DB Dados do Mercado_Açúcar Físico não embarcado - Nov08 - Conferido_DB Entrada_1_segregado_2_DB Entrada_DB Entrada_1_DB Entrada_Relatório Gerencial_DB Entrada_15-FINANCEIRAS" xfId="12211"/>
    <cellStyle name="s_Valuation _DB Dados do Mercado_Açúcar Físico não embarcado - Nov08 - Conferido_DB Entrada_1_segregado_2_DB Entrada_DB Entrada_1_DB Entrada_Relatório Gerencial_DB Entrada_15-FINANCEIRAS_1" xfId="12212"/>
    <cellStyle name="s_Valuation _DB Dados do Mercado_Açúcar Físico não embarcado - Nov08 - Conferido_DB Entrada_1_segregado_2_DB Entrada_DB Entrada_1_DB Entrada_Relatório Gerencial_DB Entrada_3-Balanço" xfId="12213"/>
    <cellStyle name="s_Valuation _DB Dados do Mercado_Açúcar Físico não embarcado - Nov08 - Conferido_DB Entrada_1_segregado_2_DB Entrada_DB Entrada_1_DB Entrada_Relatório Gerencial_DB Entrada_7-Estoque" xfId="12214"/>
    <cellStyle name="s_Valuation _DB Dados do Mercado_Açúcar Físico não embarcado - Nov08 - Conferido_DB Entrada_1_segregado_2_DB Entrada_DB Entrada_1_DB Exposição" xfId="12215"/>
    <cellStyle name="s_Valuation _DB Dados do Mercado_Açúcar Físico não embarcado - Nov08 - Conferido_DB Entrada_1_segregado_2_DB Entrada_DB Entrada_1_DB Exposição 2" xfId="12216"/>
    <cellStyle name="s_Valuation _DB Dados do Mercado_Açúcar Físico não embarcado - Nov08 - Conferido_DB Entrada_1_segregado_2_DB Entrada_DB Entrada_1_DB Exposição 2_15-FINANCEIRAS" xfId="12217"/>
    <cellStyle name="s_Valuation _DB Dados do Mercado_Açúcar Físico não embarcado - Nov08 - Conferido_DB Entrada_1_segregado_2_DB Entrada_DB Entrada_1_DB Exposição_15-FINANCEIRAS" xfId="12218"/>
    <cellStyle name="s_Valuation _DB Dados do Mercado_Açúcar Físico não embarcado - Nov08 - Conferido_DB Entrada_1_segregado_2_DB Entrada_DB Entrada_1_DB Exposição_15-FINANCEIRAS_1" xfId="12219"/>
    <cellStyle name="s_Valuation _DB Dados do Mercado_Açúcar Físico não embarcado - Nov08 - Conferido_DB Entrada_1_segregado_2_DB Entrada_DB Entrada_1_DB Exposição_3-Balanço" xfId="12220"/>
    <cellStyle name="s_Valuation _DB Dados do Mercado_Açúcar Físico não embarcado - Nov08 - Conferido_DB Entrada_1_segregado_2_DB Entrada_DB Entrada_1_DB Exposição_7-Estoque" xfId="12221"/>
    <cellStyle name="s_Valuation _DB Dados do Mercado_Açúcar Físico não embarcado - Nov08 - Conferido_DB Entrada_1_segregado_2_DB Entrada_DB Entrada_1_DB Exposição_Relatório Gerencial" xfId="12222"/>
    <cellStyle name="s_Valuation _DB Dados do Mercado_Açúcar Físico não embarcado - Nov08 - Conferido_DB Entrada_1_segregado_2_DB Entrada_DB Entrada_1_DB Exposição_Relatório Gerencial 2" xfId="12223"/>
    <cellStyle name="s_Valuation _DB Dados do Mercado_Açúcar Físico não embarcado - Nov08 - Conferido_DB Entrada_1_segregado_2_DB Entrada_DB Entrada_1_DB Exposição_Relatório Gerencial 2_15-FINANCEIRAS" xfId="12224"/>
    <cellStyle name="s_Valuation _DB Dados do Mercado_Açúcar Físico não embarcado - Nov08 - Conferido_DB Entrada_1_segregado_2_DB Entrada_DB Entrada_1_DB Exposição_Relatório Gerencial_15-FINANCEIRAS" xfId="12225"/>
    <cellStyle name="s_Valuation _DB Dados do Mercado_Açúcar Físico não embarcado - Nov08 - Conferido_DB Entrada_1_segregado_2_DB Entrada_DB Entrada_1_DB Exposição_Relatório Gerencial_15-FINANCEIRAS_1" xfId="12226"/>
    <cellStyle name="s_Valuation _DB Dados do Mercado_Açúcar Físico não embarcado - Nov08 - Conferido_DB Entrada_1_segregado_2_DB Entrada_DB Entrada_1_DB Exposição_Relatório Gerencial_3-Balanço" xfId="12227"/>
    <cellStyle name="s_Valuation _DB Dados do Mercado_Açúcar Físico não embarcado - Nov08 - Conferido_DB Entrada_1_segregado_2_DB Entrada_DB Entrada_1_DB Exposição_Relatório Gerencial_7-Estoque" xfId="12228"/>
    <cellStyle name="s_Valuation _DB Dados do Mercado_Açúcar Físico não embarcado - Nov08 - Conferido_DB Entrada_1_segregado_2_DB Entrada_DB Entrada_1_DB Exposição_Relatório Gerencial_DB Entrada" xfId="12229"/>
    <cellStyle name="s_Valuation _DB Dados do Mercado_Açúcar Físico não embarcado - Nov08 - Conferido_DB Entrada_1_segregado_2_DB Entrada_DB Entrada_1_DB Exposição_Relatório Gerencial_DB Entrada 2" xfId="12230"/>
    <cellStyle name="s_Valuation _DB Dados do Mercado_Açúcar Físico não embarcado - Nov08 - Conferido_DB Entrada_1_segregado_2_DB Entrada_DB Entrada_1_DB Exposição_Relatório Gerencial_DB Entrada 2_15-FINANCEIRAS" xfId="12231"/>
    <cellStyle name="s_Valuation _DB Dados do Mercado_Açúcar Físico não embarcado - Nov08 - Conferido_DB Entrada_1_segregado_2_DB Entrada_DB Entrada_1_DB Exposição_Relatório Gerencial_DB Entrada_15-FINANCEIRAS" xfId="12232"/>
    <cellStyle name="s_Valuation _DB Dados do Mercado_Açúcar Físico não embarcado - Nov08 - Conferido_DB Entrada_1_segregado_2_DB Entrada_DB Entrada_1_DB Exposição_Relatório Gerencial_DB Entrada_15-FINANCEIRAS_1" xfId="12233"/>
    <cellStyle name="s_Valuation _DB Dados do Mercado_Açúcar Físico não embarcado - Nov08 - Conferido_DB Entrada_1_segregado_2_DB Entrada_DB Entrada_1_DB Exposição_Relatório Gerencial_DB Entrada_3-Balanço" xfId="12234"/>
    <cellStyle name="s_Valuation _DB Dados do Mercado_Açúcar Físico não embarcado - Nov08 - Conferido_DB Entrada_1_segregado_2_DB Entrada_DB Entrada_1_DB Exposição_Relatório Gerencial_DB Entrada_7-Estoque" xfId="12235"/>
    <cellStyle name="s_Valuation _DB Dados do Mercado_Açúcar Físico não embarcado - Nov08 - Conferido_DB Entrada_1_segregado_2_DB Entrada_DB Entrada_1_DB Posição" xfId="12236"/>
    <cellStyle name="s_Valuation _DB Dados do Mercado_Açúcar Físico não embarcado - Nov08 - Conferido_DB Entrada_1_segregado_2_DB Entrada_DB Entrada_1_DB Posição 2" xfId="12237"/>
    <cellStyle name="s_Valuation _DB Dados do Mercado_Açúcar Físico não embarcado - Nov08 - Conferido_DB Entrada_1_segregado_2_DB Entrada_DB Entrada_1_DB Posição 2_15-FINANCEIRAS" xfId="12238"/>
    <cellStyle name="s_Valuation _DB Dados do Mercado_Açúcar Físico não embarcado - Nov08 - Conferido_DB Entrada_1_segregado_2_DB Entrada_DB Entrada_1_DB Posição_15-FINANCEIRAS" xfId="12239"/>
    <cellStyle name="s_Valuation _DB Dados do Mercado_Açúcar Físico não embarcado - Nov08 - Conferido_DB Entrada_1_segregado_2_DB Entrada_DB Entrada_1_DB Posição_15-FINANCEIRAS_1" xfId="12240"/>
    <cellStyle name="s_Valuation _DB Dados do Mercado_Açúcar Físico não embarcado - Nov08 - Conferido_DB Entrada_1_segregado_2_DB Entrada_DB Entrada_1_DB Posição_3-Balanço" xfId="12241"/>
    <cellStyle name="s_Valuation _DB Dados do Mercado_Açúcar Físico não embarcado - Nov08 - Conferido_DB Entrada_1_segregado_2_DB Entrada_DB Entrada_1_DB Posição_7-Estoque" xfId="12242"/>
    <cellStyle name="s_Valuation _DB Dados do Mercado_Açúcar Físico não embarcado - Nov08 - Conferido_DB Entrada_1_segregado_2_DB Entrada_DB Entrada_1_Liquidações_Prêmios" xfId="12243"/>
    <cellStyle name="s_Valuation _DB Dados do Mercado_Açúcar Físico não embarcado - Nov08 - Conferido_DB Entrada_1_segregado_2_DB Entrada_DB Entrada_1_Liquidações_Prêmios 2" xfId="12244"/>
    <cellStyle name="s_Valuation _DB Dados do Mercado_Açúcar Físico não embarcado - Nov08 - Conferido_DB Entrada_1_segregado_2_DB Entrada_DB Entrada_1_Liquidações_Prêmios 2_15-FINANCEIRAS" xfId="12245"/>
    <cellStyle name="s_Valuation _DB Dados do Mercado_Açúcar Físico não embarcado - Nov08 - Conferido_DB Entrada_1_segregado_2_DB Entrada_DB Entrada_1_Liquidações_Prêmios_15-FINANCEIRAS" xfId="12246"/>
    <cellStyle name="s_Valuation _DB Dados do Mercado_Açúcar Físico não embarcado - Nov08 - Conferido_DB Entrada_1_segregado_2_DB Entrada_DB Entrada_1_Liquidações_Prêmios_15-FINANCEIRAS_1" xfId="12247"/>
    <cellStyle name="s_Valuation _DB Dados do Mercado_Açúcar Físico não embarcado - Nov08 - Conferido_DB Entrada_1_segregado_2_DB Entrada_DB Entrada_1_Liquidações_Prêmios_3-Balanço" xfId="12248"/>
    <cellStyle name="s_Valuation _DB Dados do Mercado_Açúcar Físico não embarcado - Nov08 - Conferido_DB Entrada_1_segregado_2_DB Entrada_DB Entrada_1_Liquidações_Prêmios_7-Estoque" xfId="12249"/>
    <cellStyle name="s_Valuation _DB Dados do Mercado_Açúcar Físico não embarcado - Nov08 - Conferido_DB Entrada_1_segregado_2_DB Entrada_DB Entrada_1_Posição Futuros" xfId="12250"/>
    <cellStyle name="s_Valuation _DB Dados do Mercado_Açúcar Físico não embarcado - Nov08 - Conferido_DB Entrada_1_segregado_2_DB Entrada_DB Entrada_1_Posição Futuros 2" xfId="12251"/>
    <cellStyle name="s_Valuation _DB Dados do Mercado_Açúcar Físico não embarcado - Nov08 - Conferido_DB Entrada_1_segregado_2_DB Entrada_DB Entrada_1_Posição Futuros 2_15-FINANCEIRAS" xfId="12252"/>
    <cellStyle name="s_Valuation _DB Dados do Mercado_Açúcar Físico não embarcado - Nov08 - Conferido_DB Entrada_1_segregado_2_DB Entrada_DB Entrada_1_Posição Futuros_15-FINANCEIRAS" xfId="12253"/>
    <cellStyle name="s_Valuation _DB Dados do Mercado_Açúcar Físico não embarcado - Nov08 - Conferido_DB Entrada_1_segregado_2_DB Entrada_DB Entrada_1_Posição Futuros_15-FINANCEIRAS_1" xfId="12254"/>
    <cellStyle name="s_Valuation _DB Dados do Mercado_Açúcar Físico não embarcado - Nov08 - Conferido_DB Entrada_1_segregado_2_DB Entrada_DB Entrada_1_Posição Futuros_3-Balanço" xfId="12255"/>
    <cellStyle name="s_Valuation _DB Dados do Mercado_Açúcar Físico não embarcado - Nov08 - Conferido_DB Entrada_1_segregado_2_DB Entrada_DB Entrada_1_Posição Futuros_7-Estoque" xfId="12256"/>
    <cellStyle name="s_Valuation _DB Dados do Mercado_Açúcar Físico não embarcado - Nov08 - Conferido_DB Entrada_1_segregado_2_DB Entrada_DB Entrada_1_Relatório de Commodities" xfId="12257"/>
    <cellStyle name="s_Valuation _DB Dados do Mercado_Açúcar Físico não embarcado - Nov08 - Conferido_DB Entrada_1_segregado_2_DB Entrada_DB Entrada_1_Relatório de Commodities 2" xfId="12258"/>
    <cellStyle name="s_Valuation _DB Dados do Mercado_Açúcar Físico não embarcado - Nov08 - Conferido_DB Entrada_1_segregado_2_DB Entrada_DB Entrada_1_Relatório de Commodities 2_15-FINANCEIRAS" xfId="12259"/>
    <cellStyle name="s_Valuation _DB Dados do Mercado_Açúcar Físico não embarcado - Nov08 - Conferido_DB Entrada_1_segregado_2_DB Entrada_DB Entrada_1_Relatório de Commodities_15-FINANCEIRAS" xfId="12260"/>
    <cellStyle name="s_Valuation _DB Dados do Mercado_Açúcar Físico não embarcado - Nov08 - Conferido_DB Entrada_1_segregado_2_DB Entrada_DB Entrada_1_Relatório de Commodities_15-FINANCEIRAS_1" xfId="12261"/>
    <cellStyle name="s_Valuation _DB Dados do Mercado_Açúcar Físico não embarcado - Nov08 - Conferido_DB Entrada_1_segregado_2_DB Entrada_DB Entrada_1_Relatório de Commodities_3-Balanço" xfId="12262"/>
    <cellStyle name="s_Valuation _DB Dados do Mercado_Açúcar Físico não embarcado - Nov08 - Conferido_DB Entrada_1_segregado_2_DB Entrada_DB Entrada_1_Relatório de Commodities_7-Estoque" xfId="12263"/>
    <cellStyle name="s_Valuation _DB Dados do Mercado_Açúcar Físico não embarcado - Nov08 - Conferido_DB Entrada_1_segregado_2_DB Entrada_DB Entrada_1_Relatório de Commodities_Relatório Gerencial" xfId="12264"/>
    <cellStyle name="s_Valuation _DB Dados do Mercado_Açúcar Físico não embarcado - Nov08 - Conferido_DB Entrada_1_segregado_2_DB Entrada_DB Entrada_1_Relatório de Commodities_Relatório Gerencial 2" xfId="12265"/>
    <cellStyle name="s_Valuation _DB Dados do Mercado_Açúcar Físico não embarcado - Nov08 - Conferido_DB Entrada_1_segregado_2_DB Entrada_DB Entrada_1_Relatório de Commodities_Relatório Gerencial 2_15-FINANCEIRAS" xfId="12266"/>
    <cellStyle name="s_Valuation _DB Dados do Mercado_Açúcar Físico não embarcado - Nov08 - Conferido_DB Entrada_1_segregado_2_DB Entrada_DB Entrada_1_Relatório de Commodities_Relatório Gerencial_15-FINANCEIRAS" xfId="12267"/>
    <cellStyle name="s_Valuation _DB Dados do Mercado_Açúcar Físico não embarcado - Nov08 - Conferido_DB Entrada_1_segregado_2_DB Entrada_DB Entrada_1_Relatório de Commodities_Relatório Gerencial_15-FINANCEIRAS_1" xfId="12268"/>
    <cellStyle name="s_Valuation _DB Dados do Mercado_Açúcar Físico não embarcado - Nov08 - Conferido_DB Entrada_1_segregado_2_DB Entrada_DB Entrada_1_Relatório de Commodities_Relatório Gerencial_3-Balanço" xfId="12269"/>
    <cellStyle name="s_Valuation _DB Dados do Mercado_Açúcar Físico não embarcado - Nov08 - Conferido_DB Entrada_1_segregado_2_DB Entrada_DB Entrada_1_Relatório de Commodities_Relatório Gerencial_7-Estoque" xfId="12270"/>
    <cellStyle name="s_Valuation _DB Dados do Mercado_Açúcar Físico não embarcado - Nov08 - Conferido_DB Entrada_1_segregado_2_DB Entrada_DB Entrada_1_Relatório de Commodities_Relatório Gerencial_DB Entrada" xfId="12271"/>
    <cellStyle name="s_Valuation _DB Dados do Mercado_Açúcar Físico não embarcado - Nov08 - Conferido_DB Entrada_1_segregado_2_DB Entrada_DB Entrada_1_Relatório de Commodities_Relatório Gerencial_DB Entrada 2" xfId="12272"/>
    <cellStyle name="s_Valuation _DB Dados do Mercado_Açúcar Físico não embarcado - Nov08 - Conferido_DB Entrada_1_segregado_2_DB Entrada_DB Entrada_1_Relatório de Commodities_Relatório Gerencial_DB Entrada 2_15-FINANCEIRAS" xfId="12273"/>
    <cellStyle name="s_Valuation _DB Dados do Mercado_Açúcar Físico não embarcado - Nov08 - Conferido_DB Entrada_1_segregado_2_DB Entrada_DB Entrada_1_Relatório de Commodities_Relatório Gerencial_DB Entrada_15-FINANCEIRAS" xfId="12274"/>
    <cellStyle name="s_Valuation _DB Dados do Mercado_Açúcar Físico não embarcado - Nov08 - Conferido_DB Entrada_1_segregado_2_DB Entrada_DB Entrada_1_Relatório de Commodities_Relatório Gerencial_DB Entrada_15-FINANCEIRAS_1" xfId="12275"/>
    <cellStyle name="s_Valuation _DB Dados do Mercado_Açúcar Físico não embarcado - Nov08 - Conferido_DB Entrada_1_segregado_2_DB Entrada_DB Entrada_1_Relatório de Commodities_Relatório Gerencial_DB Entrada_3-Balanço" xfId="12276"/>
    <cellStyle name="s_Valuation _DB Dados do Mercado_Açúcar Físico não embarcado - Nov08 - Conferido_DB Entrada_1_segregado_2_DB Entrada_DB Entrada_1_Relatório de Commodities_Relatório Gerencial_DB Entrada_7-Estoque" xfId="12277"/>
    <cellStyle name="s_Valuation _DB Dados do Mercado_Açúcar Físico não embarcado - Nov08 - Conferido_DB Entrada_1_segregado_2_DB Entrada_DB Entrada_1_Relatório Fechamento" xfId="12278"/>
    <cellStyle name="s_Valuation _DB Dados do Mercado_Açúcar Físico não embarcado - Nov08 - Conferido_DB Entrada_1_segregado_2_DB Entrada_DB Entrada_1_Relatório Fechamento 2" xfId="12279"/>
    <cellStyle name="s_Valuation _DB Dados do Mercado_Açúcar Físico não embarcado - Nov08 - Conferido_DB Entrada_1_segregado_2_DB Entrada_DB Entrada_1_Relatório Fechamento 2_15-FINANCEIRAS" xfId="12280"/>
    <cellStyle name="s_Valuation _DB Dados do Mercado_Açúcar Físico não embarcado - Nov08 - Conferido_DB Entrada_1_segregado_2_DB Entrada_DB Entrada_1_Relatório Fechamento_15-FINANCEIRAS" xfId="12281"/>
    <cellStyle name="s_Valuation _DB Dados do Mercado_Açúcar Físico não embarcado - Nov08 - Conferido_DB Entrada_1_segregado_2_DB Entrada_DB Entrada_1_Relatório Fechamento_15-FINANCEIRAS_1" xfId="12282"/>
    <cellStyle name="s_Valuation _DB Dados do Mercado_Açúcar Físico não embarcado - Nov08 - Conferido_DB Entrada_1_segregado_2_DB Entrada_DB Entrada_1_Relatório Fechamento_3-Balanço" xfId="12283"/>
    <cellStyle name="s_Valuation _DB Dados do Mercado_Açúcar Físico não embarcado - Nov08 - Conferido_DB Entrada_1_segregado_2_DB Entrada_DB Entrada_1_Relatório Fechamento_7-Estoque" xfId="12284"/>
    <cellStyle name="s_Valuation _DB Dados do Mercado_Açúcar Físico não embarcado - Nov08 - Conferido_DB Entrada_1_segregado_2_DB Entrada_DB Entrada_1_Relatório Gerencial" xfId="12285"/>
    <cellStyle name="s_Valuation _DB Dados do Mercado_Açúcar Físico não embarcado - Nov08 - Conferido_DB Entrada_1_segregado_2_DB Entrada_DB Entrada_1_Relatório Gerencial 2" xfId="12286"/>
    <cellStyle name="s_Valuation _DB Dados do Mercado_Açúcar Físico não embarcado - Nov08 - Conferido_DB Entrada_1_segregado_2_DB Entrada_DB Entrada_1_Relatório Gerencial 2_15-FINANCEIRAS" xfId="12287"/>
    <cellStyle name="s_Valuation _DB Dados do Mercado_Açúcar Físico não embarcado - Nov08 - Conferido_DB Entrada_1_segregado_2_DB Entrada_DB Entrada_1_Relatório Gerencial_1" xfId="12288"/>
    <cellStyle name="s_Valuation _DB Dados do Mercado_Açúcar Físico não embarcado - Nov08 - Conferido_DB Entrada_1_segregado_2_DB Entrada_DB Entrada_1_Relatório Gerencial_1 2" xfId="12289"/>
    <cellStyle name="s_Valuation _DB Dados do Mercado_Açúcar Físico não embarcado - Nov08 - Conferido_DB Entrada_1_segregado_2_DB Entrada_DB Entrada_1_Relatório Gerencial_1 2_15-FINANCEIRAS" xfId="12290"/>
    <cellStyle name="s_Valuation _DB Dados do Mercado_Açúcar Físico não embarcado - Nov08 - Conferido_DB Entrada_1_segregado_2_DB Entrada_DB Entrada_1_Relatório Gerencial_1_15-FINANCEIRAS" xfId="12291"/>
    <cellStyle name="s_Valuation _DB Dados do Mercado_Açúcar Físico não embarcado - Nov08 - Conferido_DB Entrada_1_segregado_2_DB Entrada_DB Entrada_1_Relatório Gerencial_1_15-FINANCEIRAS_1" xfId="12292"/>
    <cellStyle name="s_Valuation _DB Dados do Mercado_Açúcar Físico não embarcado - Nov08 - Conferido_DB Entrada_1_segregado_2_DB Entrada_DB Entrada_1_Relatório Gerencial_1_3-Balanço" xfId="12293"/>
    <cellStyle name="s_Valuation _DB Dados do Mercado_Açúcar Físico não embarcado - Nov08 - Conferido_DB Entrada_1_segregado_2_DB Entrada_DB Entrada_1_Relatório Gerencial_1_7-Estoque" xfId="12294"/>
    <cellStyle name="s_Valuation _DB Dados do Mercado_Açúcar Físico não embarcado - Nov08 - Conferido_DB Entrada_1_segregado_2_DB Entrada_DB Entrada_1_Relatório Gerencial_1_DB Entrada" xfId="12295"/>
    <cellStyle name="s_Valuation _DB Dados do Mercado_Açúcar Físico não embarcado - Nov08 - Conferido_DB Entrada_1_segregado_2_DB Entrada_DB Entrada_1_Relatório Gerencial_1_DB Entrada 2" xfId="12296"/>
    <cellStyle name="s_Valuation _DB Dados do Mercado_Açúcar Físico não embarcado - Nov08 - Conferido_DB Entrada_1_segregado_2_DB Entrada_DB Entrada_1_Relatório Gerencial_1_DB Entrada 2_15-FINANCEIRAS" xfId="12297"/>
    <cellStyle name="s_Valuation _DB Dados do Mercado_Açúcar Físico não embarcado - Nov08 - Conferido_DB Entrada_1_segregado_2_DB Entrada_DB Entrada_1_Relatório Gerencial_1_DB Entrada_15-FINANCEIRAS" xfId="12298"/>
    <cellStyle name="s_Valuation _DB Dados do Mercado_Açúcar Físico não embarcado - Nov08 - Conferido_DB Entrada_1_segregado_2_DB Entrada_DB Entrada_1_Relatório Gerencial_1_DB Entrada_15-FINANCEIRAS_1" xfId="12299"/>
    <cellStyle name="s_Valuation _DB Dados do Mercado_Açúcar Físico não embarcado - Nov08 - Conferido_DB Entrada_1_segregado_2_DB Entrada_DB Entrada_1_Relatório Gerencial_1_DB Entrada_3-Balanço" xfId="12300"/>
    <cellStyle name="s_Valuation _DB Dados do Mercado_Açúcar Físico não embarcado - Nov08 - Conferido_DB Entrada_1_segregado_2_DB Entrada_DB Entrada_1_Relatório Gerencial_1_DB Entrada_7-Estoque" xfId="12301"/>
    <cellStyle name="s_Valuation _DB Dados do Mercado_Açúcar Físico não embarcado - Nov08 - Conferido_DB Entrada_1_segregado_2_DB Entrada_DB Entrada_1_Relatório Gerencial_15-FINANCEIRAS" xfId="12302"/>
    <cellStyle name="s_Valuation _DB Dados do Mercado_Açúcar Físico não embarcado - Nov08 - Conferido_DB Entrada_1_segregado_2_DB Entrada_DB Entrada_1_Relatório Gerencial_15-FINANCEIRAS_1" xfId="12303"/>
    <cellStyle name="s_Valuation _DB Dados do Mercado_Açúcar Físico não embarcado - Nov08 - Conferido_DB Entrada_1_segregado_2_DB Entrada_DB Entrada_1_Relatório Gerencial_3-Balanço" xfId="12304"/>
    <cellStyle name="s_Valuation _DB Dados do Mercado_Açúcar Físico não embarcado - Nov08 - Conferido_DB Entrada_1_segregado_2_DB Entrada_DB Entrada_1_Relatório Gerencial_7-Estoque" xfId="12305"/>
    <cellStyle name="s_Valuation _DB Dados do Mercado_Açúcar Físico não embarcado - Nov08 - Conferido_DB Entrada_1_segregado_2_DB Entrada_DB Entrada_1_Sistema Cosan backup 103 Retirada de relatorios" xfId="12306"/>
    <cellStyle name="s_Valuation _DB Dados do Mercado_Açúcar Físico não embarcado - Nov08 - Conferido_DB Entrada_1_segregado_2_DB Entrada_DB Entrada_1_Sistema Cosan backup 103 Retirada de relatorios 2" xfId="12307"/>
    <cellStyle name="s_Valuation _DB Dados do Mercado_Açúcar Físico não embarcado - Nov08 - Conferido_DB Entrada_1_segregado_2_DB Entrada_DB Entrada_1_Sistema Cosan backup 103 Retirada de relatorios 2_15-FINANCEIRAS" xfId="12308"/>
    <cellStyle name="s_Valuation _DB Dados do Mercado_Açúcar Físico não embarcado - Nov08 - Conferido_DB Entrada_1_segregado_2_DB Entrada_DB Entrada_1_Sistema Cosan backup 103 Retirada de relatorios_15-FINANCEIRAS" xfId="12309"/>
    <cellStyle name="s_Valuation _DB Dados do Mercado_Açúcar Físico não embarcado - Nov08 - Conferido_DB Entrada_1_segregado_2_DB Entrada_DB Entrada_1_Sistema Cosan backup 103 Retirada de relatorios_15-FINANCEIRAS_1" xfId="12310"/>
    <cellStyle name="s_Valuation _DB Dados do Mercado_Açúcar Físico não embarcado - Nov08 - Conferido_DB Entrada_1_segregado_2_DB Entrada_DB Entrada_1_Sistema Cosan backup 103 Retirada de relatorios_3-Balanço" xfId="12311"/>
    <cellStyle name="s_Valuation _DB Dados do Mercado_Açúcar Físico não embarcado - Nov08 - Conferido_DB Entrada_1_segregado_2_DB Entrada_DB Entrada_1_Sistema Cosan backup 103 Retirada de relatorios_7-Estoque" xfId="12312"/>
    <cellStyle name="s_Valuation _DB Dados do Mercado_Açúcar Físico não embarcado - Nov08 - Conferido_DB Entrada_1_segregado_2_DB Entrada_DB Entrada_15-FINANCEIRAS" xfId="12313"/>
    <cellStyle name="s_Valuation _DB Dados do Mercado_Açúcar Físico não embarcado - Nov08 - Conferido_DB Entrada_1_segregado_2_DB Entrada_DB Entrada_15-FINANCEIRAS_1" xfId="12314"/>
    <cellStyle name="s_Valuation _DB Dados do Mercado_Açúcar Físico não embarcado - Nov08 - Conferido_DB Entrada_1_segregado_2_DB Entrada_DB Entrada_3-Balanço" xfId="12315"/>
    <cellStyle name="s_Valuation _DB Dados do Mercado_Açúcar Físico não embarcado - Nov08 - Conferido_DB Entrada_1_segregado_2_DB Entrada_DB Entrada_7-Estoque" xfId="12316"/>
    <cellStyle name="s_Valuation _DB Dados do Mercado_Açúcar Físico não embarcado - Nov08 - Conferido_DB Entrada_1_segregado_2_DB Entrada_DB Entrada_Relatório Gerencial" xfId="12317"/>
    <cellStyle name="s_Valuation _DB Dados do Mercado_Açúcar Físico não embarcado - Nov08 - Conferido_DB Entrada_1_segregado_2_DB Entrada_DB Entrada_Relatório Gerencial 2" xfId="12318"/>
    <cellStyle name="s_Valuation _DB Dados do Mercado_Açúcar Físico não embarcado - Nov08 - Conferido_DB Entrada_1_segregado_2_DB Entrada_DB Entrada_Relatório Gerencial 2_15-FINANCEIRAS" xfId="12319"/>
    <cellStyle name="s_Valuation _DB Dados do Mercado_Açúcar Físico não embarcado - Nov08 - Conferido_DB Entrada_1_segregado_2_DB Entrada_DB Entrada_Relatório Gerencial_15-FINANCEIRAS" xfId="12320"/>
    <cellStyle name="s_Valuation _DB Dados do Mercado_Açúcar Físico não embarcado - Nov08 - Conferido_DB Entrada_1_segregado_2_DB Entrada_DB Entrada_Relatório Gerencial_15-FINANCEIRAS_1" xfId="12321"/>
    <cellStyle name="s_Valuation _DB Dados do Mercado_Açúcar Físico não embarcado - Nov08 - Conferido_DB Entrada_1_segregado_2_DB Entrada_DB Entrada_Relatório Gerencial_3-Balanço" xfId="12322"/>
    <cellStyle name="s_Valuation _DB Dados do Mercado_Açúcar Físico não embarcado - Nov08 - Conferido_DB Entrada_1_segregado_2_DB Entrada_DB Entrada_Relatório Gerencial_7-Estoque" xfId="12323"/>
    <cellStyle name="s_Valuation _DB Dados do Mercado_Açúcar Físico não embarcado - Nov08 - Conferido_DB Entrada_1_segregado_2_DB Entrada_DB Entrada_Relatório Gerencial_DB Entrada" xfId="12324"/>
    <cellStyle name="s_Valuation _DB Dados do Mercado_Açúcar Físico não embarcado - Nov08 - Conferido_DB Entrada_1_segregado_2_DB Entrada_DB Entrada_Relatório Gerencial_DB Entrada 2" xfId="12325"/>
    <cellStyle name="s_Valuation _DB Dados do Mercado_Açúcar Físico não embarcado - Nov08 - Conferido_DB Entrada_1_segregado_2_DB Entrada_DB Entrada_Relatório Gerencial_DB Entrada 2_15-FINANCEIRAS" xfId="12326"/>
    <cellStyle name="s_Valuation _DB Dados do Mercado_Açúcar Físico não embarcado - Nov08 - Conferido_DB Entrada_1_segregado_2_DB Entrada_DB Entrada_Relatório Gerencial_DB Entrada_15-FINANCEIRAS" xfId="12327"/>
    <cellStyle name="s_Valuation _DB Dados do Mercado_Açúcar Físico não embarcado - Nov08 - Conferido_DB Entrada_1_segregado_2_DB Entrada_DB Entrada_Relatório Gerencial_DB Entrada_15-FINANCEIRAS_1" xfId="12328"/>
    <cellStyle name="s_Valuation _DB Dados do Mercado_Açúcar Físico não embarcado - Nov08 - Conferido_DB Entrada_1_segregado_2_DB Entrada_DB Entrada_Relatório Gerencial_DB Entrada_3-Balanço" xfId="12329"/>
    <cellStyle name="s_Valuation _DB Dados do Mercado_Açúcar Físico não embarcado - Nov08 - Conferido_DB Entrada_1_segregado_2_DB Entrada_DB Entrada_Relatório Gerencial_DB Entrada_7-Estoque" xfId="12330"/>
    <cellStyle name="s_Valuation _DB Dados do Mercado_Açúcar Físico não embarcado - Nov08 - Conferido_DB Entrada_1_segregado_2_DB Entrada_DB Exposição" xfId="12331"/>
    <cellStyle name="s_Valuation _DB Dados do Mercado_Açúcar Físico não embarcado - Nov08 - Conferido_DB Entrada_1_segregado_2_DB Entrada_DB Exposição 2" xfId="12332"/>
    <cellStyle name="s_Valuation _DB Dados do Mercado_Açúcar Físico não embarcado - Nov08 - Conferido_DB Entrada_1_segregado_2_DB Entrada_DB Exposição 2_15-FINANCEIRAS" xfId="12333"/>
    <cellStyle name="s_Valuation _DB Dados do Mercado_Açúcar Físico não embarcado - Nov08 - Conferido_DB Entrada_1_segregado_2_DB Entrada_DB Exposição_15-FINANCEIRAS" xfId="12334"/>
    <cellStyle name="s_Valuation _DB Dados do Mercado_Açúcar Físico não embarcado - Nov08 - Conferido_DB Entrada_1_segregado_2_DB Entrada_DB Exposição_15-FINANCEIRAS_1" xfId="12335"/>
    <cellStyle name="s_Valuation _DB Dados do Mercado_Açúcar Físico não embarcado - Nov08 - Conferido_DB Entrada_1_segregado_2_DB Entrada_DB Exposição_3-Balanço" xfId="12336"/>
    <cellStyle name="s_Valuation _DB Dados do Mercado_Açúcar Físico não embarcado - Nov08 - Conferido_DB Entrada_1_segregado_2_DB Entrada_DB Exposição_7-Estoque" xfId="12337"/>
    <cellStyle name="s_Valuation _DB Dados do Mercado_Açúcar Físico não embarcado - Nov08 - Conferido_DB Entrada_1_segregado_2_DB Entrada_DB Exposição_Relatório Gerencial" xfId="12338"/>
    <cellStyle name="s_Valuation _DB Dados do Mercado_Açúcar Físico não embarcado - Nov08 - Conferido_DB Entrada_1_segregado_2_DB Entrada_DB Exposição_Relatório Gerencial 2" xfId="12339"/>
    <cellStyle name="s_Valuation _DB Dados do Mercado_Açúcar Físico não embarcado - Nov08 - Conferido_DB Entrada_1_segregado_2_DB Entrada_DB Exposição_Relatório Gerencial 2_15-FINANCEIRAS" xfId="12340"/>
    <cellStyle name="s_Valuation _DB Dados do Mercado_Açúcar Físico não embarcado - Nov08 - Conferido_DB Entrada_1_segregado_2_DB Entrada_DB Exposição_Relatório Gerencial_15-FINANCEIRAS" xfId="12341"/>
    <cellStyle name="s_Valuation _DB Dados do Mercado_Açúcar Físico não embarcado - Nov08 - Conferido_DB Entrada_1_segregado_2_DB Entrada_DB Exposição_Relatório Gerencial_15-FINANCEIRAS_1" xfId="12342"/>
    <cellStyle name="s_Valuation _DB Dados do Mercado_Açúcar Físico não embarcado - Nov08 - Conferido_DB Entrada_1_segregado_2_DB Entrada_DB Exposição_Relatório Gerencial_3-Balanço" xfId="12343"/>
    <cellStyle name="s_Valuation _DB Dados do Mercado_Açúcar Físico não embarcado - Nov08 - Conferido_DB Entrada_1_segregado_2_DB Entrada_DB Exposição_Relatório Gerencial_7-Estoque" xfId="12344"/>
    <cellStyle name="s_Valuation _DB Dados do Mercado_Açúcar Físico não embarcado - Nov08 - Conferido_DB Entrada_1_segregado_2_DB Entrada_DB Exposição_Relatório Gerencial_DB Entrada" xfId="12345"/>
    <cellStyle name="s_Valuation _DB Dados do Mercado_Açúcar Físico não embarcado - Nov08 - Conferido_DB Entrada_1_segregado_2_DB Entrada_DB Exposição_Relatório Gerencial_DB Entrada 2" xfId="12346"/>
    <cellStyle name="s_Valuation _DB Dados do Mercado_Açúcar Físico não embarcado - Nov08 - Conferido_DB Entrada_1_segregado_2_DB Entrada_DB Exposição_Relatório Gerencial_DB Entrada 2_15-FINANCEIRAS" xfId="12347"/>
    <cellStyle name="s_Valuation _DB Dados do Mercado_Açúcar Físico não embarcado - Nov08 - Conferido_DB Entrada_1_segregado_2_DB Entrada_DB Exposição_Relatório Gerencial_DB Entrada_15-FINANCEIRAS" xfId="12348"/>
    <cellStyle name="s_Valuation _DB Dados do Mercado_Açúcar Físico não embarcado - Nov08 - Conferido_DB Entrada_1_segregado_2_DB Entrada_DB Exposição_Relatório Gerencial_DB Entrada_15-FINANCEIRAS_1" xfId="12349"/>
    <cellStyle name="s_Valuation _DB Dados do Mercado_Açúcar Físico não embarcado - Nov08 - Conferido_DB Entrada_1_segregado_2_DB Entrada_DB Exposição_Relatório Gerencial_DB Entrada_3-Balanço" xfId="12350"/>
    <cellStyle name="s_Valuation _DB Dados do Mercado_Açúcar Físico não embarcado - Nov08 - Conferido_DB Entrada_1_segregado_2_DB Entrada_DB Exposição_Relatório Gerencial_DB Entrada_7-Estoque" xfId="12351"/>
    <cellStyle name="s_Valuation _DB Dados do Mercado_Açúcar Físico não embarcado - Nov08 - Conferido_DB Entrada_1_segregado_2_DB Entrada_DB Posição" xfId="12352"/>
    <cellStyle name="s_Valuation _DB Dados do Mercado_Açúcar Físico não embarcado - Nov08 - Conferido_DB Entrada_1_segregado_2_DB Entrada_DB Posição 2" xfId="12353"/>
    <cellStyle name="s_Valuation _DB Dados do Mercado_Açúcar Físico não embarcado - Nov08 - Conferido_DB Entrada_1_segregado_2_DB Entrada_DB Posição 2_15-FINANCEIRAS" xfId="12354"/>
    <cellStyle name="s_Valuation _DB Dados do Mercado_Açúcar Físico não embarcado - Nov08 - Conferido_DB Entrada_1_segregado_2_DB Entrada_DB Posição_15-FINANCEIRAS" xfId="12355"/>
    <cellStyle name="s_Valuation _DB Dados do Mercado_Açúcar Físico não embarcado - Nov08 - Conferido_DB Entrada_1_segregado_2_DB Entrada_DB Posição_15-FINANCEIRAS_1" xfId="12356"/>
    <cellStyle name="s_Valuation _DB Dados do Mercado_Açúcar Físico não embarcado - Nov08 - Conferido_DB Entrada_1_segregado_2_DB Entrada_DB Posição_3-Balanço" xfId="12357"/>
    <cellStyle name="s_Valuation _DB Dados do Mercado_Açúcar Físico não embarcado - Nov08 - Conferido_DB Entrada_1_segregado_2_DB Entrada_DB Posição_7-Estoque" xfId="12358"/>
    <cellStyle name="s_Valuation _DB Dados do Mercado_Açúcar Físico não embarcado - Nov08 - Conferido_DB Entrada_1_segregado_2_DB Entrada_Relatório de Commodities" xfId="12359"/>
    <cellStyle name="s_Valuation _DB Dados do Mercado_Açúcar Físico não embarcado - Nov08 - Conferido_DB Entrada_1_segregado_2_DB Entrada_Relatório de Commodities 2" xfId="12360"/>
    <cellStyle name="s_Valuation _DB Dados do Mercado_Açúcar Físico não embarcado - Nov08 - Conferido_DB Entrada_1_segregado_2_DB Entrada_Relatório de Commodities 2_15-FINANCEIRAS" xfId="12361"/>
    <cellStyle name="s_Valuation _DB Dados do Mercado_Açúcar Físico não embarcado - Nov08 - Conferido_DB Entrada_1_segregado_2_DB Entrada_Relatório de Commodities_15-FINANCEIRAS" xfId="12362"/>
    <cellStyle name="s_Valuation _DB Dados do Mercado_Açúcar Físico não embarcado - Nov08 - Conferido_DB Entrada_1_segregado_2_DB Entrada_Relatório de Commodities_15-FINANCEIRAS_1" xfId="12363"/>
    <cellStyle name="s_Valuation _DB Dados do Mercado_Açúcar Físico não embarcado - Nov08 - Conferido_DB Entrada_1_segregado_2_DB Entrada_Relatório de Commodities_3-Balanço" xfId="12364"/>
    <cellStyle name="s_Valuation _DB Dados do Mercado_Açúcar Físico não embarcado - Nov08 - Conferido_DB Entrada_1_segregado_2_DB Entrada_Relatório de Commodities_7-Estoque" xfId="12365"/>
    <cellStyle name="s_Valuation _DB Dados do Mercado_Açúcar Físico não embarcado - Nov08 - Conferido_DB Entrada_1_segregado_2_DB Entrada_Relatório de Commodities_Relatório Gerencial" xfId="12366"/>
    <cellStyle name="s_Valuation _DB Dados do Mercado_Açúcar Físico não embarcado - Nov08 - Conferido_DB Entrada_1_segregado_2_DB Entrada_Relatório de Commodities_Relatório Gerencial 2" xfId="12367"/>
    <cellStyle name="s_Valuation _DB Dados do Mercado_Açúcar Físico não embarcado - Nov08 - Conferido_DB Entrada_1_segregado_2_DB Entrada_Relatório de Commodities_Relatório Gerencial 2_15-FINANCEIRAS" xfId="12368"/>
    <cellStyle name="s_Valuation _DB Dados do Mercado_Açúcar Físico não embarcado - Nov08 - Conferido_DB Entrada_1_segregado_2_DB Entrada_Relatório de Commodities_Relatório Gerencial_15-FINANCEIRAS" xfId="12369"/>
    <cellStyle name="s_Valuation _DB Dados do Mercado_Açúcar Físico não embarcado - Nov08 - Conferido_DB Entrada_1_segregado_2_DB Entrada_Relatório de Commodities_Relatório Gerencial_15-FINANCEIRAS_1" xfId="12370"/>
    <cellStyle name="s_Valuation _DB Dados do Mercado_Açúcar Físico não embarcado - Nov08 - Conferido_DB Entrada_1_segregado_2_DB Entrada_Relatório de Commodities_Relatório Gerencial_3-Balanço" xfId="12371"/>
    <cellStyle name="s_Valuation _DB Dados do Mercado_Açúcar Físico não embarcado - Nov08 - Conferido_DB Entrada_1_segregado_2_DB Entrada_Relatório de Commodities_Relatório Gerencial_7-Estoque" xfId="12372"/>
    <cellStyle name="s_Valuation _DB Dados do Mercado_Açúcar Físico não embarcado - Nov08 - Conferido_DB Entrada_1_segregado_2_DB Entrada_Relatório de Commodities_Relatório Gerencial_DB Entrada" xfId="12373"/>
    <cellStyle name="s_Valuation _DB Dados do Mercado_Açúcar Físico não embarcado - Nov08 - Conferido_DB Entrada_1_segregado_2_DB Entrada_Relatório de Commodities_Relatório Gerencial_DB Entrada 2" xfId="12374"/>
    <cellStyle name="s_Valuation _DB Dados do Mercado_Açúcar Físico não embarcado - Nov08 - Conferido_DB Entrada_1_segregado_2_DB Entrada_Relatório de Commodities_Relatório Gerencial_DB Entrada 2_15-FINANCEIRAS" xfId="12375"/>
    <cellStyle name="s_Valuation _DB Dados do Mercado_Açúcar Físico não embarcado - Nov08 - Conferido_DB Entrada_1_segregado_2_DB Entrada_Relatório de Commodities_Relatório Gerencial_DB Entrada_15-FINANCEIRAS" xfId="12376"/>
    <cellStyle name="s_Valuation _DB Dados do Mercado_Açúcar Físico não embarcado - Nov08 - Conferido_DB Entrada_1_segregado_2_DB Entrada_Relatório de Commodities_Relatório Gerencial_DB Entrada_15-FINANCEIRAS_1" xfId="12377"/>
    <cellStyle name="s_Valuation _DB Dados do Mercado_Açúcar Físico não embarcado - Nov08 - Conferido_DB Entrada_1_segregado_2_DB Entrada_Relatório de Commodities_Relatório Gerencial_DB Entrada_3-Balanço" xfId="12378"/>
    <cellStyle name="s_Valuation _DB Dados do Mercado_Açúcar Físico não embarcado - Nov08 - Conferido_DB Entrada_1_segregado_2_DB Entrada_Relatório de Commodities_Relatório Gerencial_DB Entrada_7-Estoque" xfId="12379"/>
    <cellStyle name="s_Valuation _DB Dados do Mercado_Açúcar Físico não embarcado - Nov08 - Conferido_DB Entrada_1_segregado_2_DB Entrada_Relatório Fechamento" xfId="12380"/>
    <cellStyle name="s_Valuation _DB Dados do Mercado_Açúcar Físico não embarcado - Nov08 - Conferido_DB Entrada_1_segregado_2_DB Entrada_Relatório Fechamento 2" xfId="12381"/>
    <cellStyle name="s_Valuation _DB Dados do Mercado_Açúcar Físico não embarcado - Nov08 - Conferido_DB Entrada_1_segregado_2_DB Entrada_Relatório Fechamento 2_15-FINANCEIRAS" xfId="12382"/>
    <cellStyle name="s_Valuation _DB Dados do Mercado_Açúcar Físico não embarcado - Nov08 - Conferido_DB Entrada_1_segregado_2_DB Entrada_Relatório Fechamento_15-FINANCEIRAS" xfId="12383"/>
    <cellStyle name="s_Valuation _DB Dados do Mercado_Açúcar Físico não embarcado - Nov08 - Conferido_DB Entrada_1_segregado_2_DB Entrada_Relatório Fechamento_15-FINANCEIRAS_1" xfId="12384"/>
    <cellStyle name="s_Valuation _DB Dados do Mercado_Açúcar Físico não embarcado - Nov08 - Conferido_DB Entrada_1_segregado_2_DB Entrada_Relatório Fechamento_3-Balanço" xfId="12385"/>
    <cellStyle name="s_Valuation _DB Dados do Mercado_Açúcar Físico não embarcado - Nov08 - Conferido_DB Entrada_1_segregado_2_DB Entrada_Relatório Fechamento_7-Estoque" xfId="12386"/>
    <cellStyle name="s_Valuation _DB Dados do Mercado_Açúcar Físico não embarcado - Nov08 - Conferido_DB Entrada_1_segregado_2_DB Entrada_Relatório Gerencial" xfId="12387"/>
    <cellStyle name="s_Valuation _DB Dados do Mercado_Açúcar Físico não embarcado - Nov08 - Conferido_DB Entrada_1_segregado_2_DB Entrada_Relatório Gerencial 2" xfId="12388"/>
    <cellStyle name="s_Valuation _DB Dados do Mercado_Açúcar Físico não embarcado - Nov08 - Conferido_DB Entrada_1_segregado_2_DB Entrada_Relatório Gerencial 2_15-FINANCEIRAS" xfId="12389"/>
    <cellStyle name="s_Valuation _DB Dados do Mercado_Açúcar Físico não embarcado - Nov08 - Conferido_DB Entrada_1_segregado_2_DB Entrada_Relatório Gerencial_1" xfId="12390"/>
    <cellStyle name="s_Valuation _DB Dados do Mercado_Açúcar Físico não embarcado - Nov08 - Conferido_DB Entrada_1_segregado_2_DB Entrada_Relatório Gerencial_1 2" xfId="12391"/>
    <cellStyle name="s_Valuation _DB Dados do Mercado_Açúcar Físico não embarcado - Nov08 - Conferido_DB Entrada_1_segregado_2_DB Entrada_Relatório Gerencial_1 2_15-FINANCEIRAS" xfId="12392"/>
    <cellStyle name="s_Valuation _DB Dados do Mercado_Açúcar Físico não embarcado - Nov08 - Conferido_DB Entrada_1_segregado_2_DB Entrada_Relatório Gerencial_1_15-FINANCEIRAS" xfId="12393"/>
    <cellStyle name="s_Valuation _DB Dados do Mercado_Açúcar Físico não embarcado - Nov08 - Conferido_DB Entrada_1_segregado_2_DB Entrada_Relatório Gerencial_1_15-FINANCEIRAS_1" xfId="12394"/>
    <cellStyle name="s_Valuation _DB Dados do Mercado_Açúcar Físico não embarcado - Nov08 - Conferido_DB Entrada_1_segregado_2_DB Entrada_Relatório Gerencial_1_3-Balanço" xfId="12395"/>
    <cellStyle name="s_Valuation _DB Dados do Mercado_Açúcar Físico não embarcado - Nov08 - Conferido_DB Entrada_1_segregado_2_DB Entrada_Relatório Gerencial_1_7-Estoque" xfId="12396"/>
    <cellStyle name="s_Valuation _DB Dados do Mercado_Açúcar Físico não embarcado - Nov08 - Conferido_DB Entrada_1_segregado_2_DB Entrada_Relatório Gerencial_1_DB Entrada" xfId="12397"/>
    <cellStyle name="s_Valuation _DB Dados do Mercado_Açúcar Físico não embarcado - Nov08 - Conferido_DB Entrada_1_segregado_2_DB Entrada_Relatório Gerencial_1_DB Entrada 2" xfId="12398"/>
    <cellStyle name="s_Valuation _DB Dados do Mercado_Açúcar Físico não embarcado - Nov08 - Conferido_DB Entrada_1_segregado_2_DB Entrada_Relatório Gerencial_1_DB Entrada 2_15-FINANCEIRAS" xfId="12399"/>
    <cellStyle name="s_Valuation _DB Dados do Mercado_Açúcar Físico não embarcado - Nov08 - Conferido_DB Entrada_1_segregado_2_DB Entrada_Relatório Gerencial_1_DB Entrada_15-FINANCEIRAS" xfId="12400"/>
    <cellStyle name="s_Valuation _DB Dados do Mercado_Açúcar Físico não embarcado - Nov08 - Conferido_DB Entrada_1_segregado_2_DB Entrada_Relatório Gerencial_1_DB Entrada_15-FINANCEIRAS_1" xfId="12401"/>
    <cellStyle name="s_Valuation _DB Dados do Mercado_Açúcar Físico não embarcado - Nov08 - Conferido_DB Entrada_1_segregado_2_DB Entrada_Relatório Gerencial_1_DB Entrada_3-Balanço" xfId="12402"/>
    <cellStyle name="s_Valuation _DB Dados do Mercado_Açúcar Físico não embarcado - Nov08 - Conferido_DB Entrada_1_segregado_2_DB Entrada_Relatório Gerencial_1_DB Entrada_7-Estoque" xfId="12403"/>
    <cellStyle name="s_Valuation _DB Dados do Mercado_Açúcar Físico não embarcado - Nov08 - Conferido_DB Entrada_1_segregado_2_DB Entrada_Relatório Gerencial_15-FINANCEIRAS" xfId="12404"/>
    <cellStyle name="s_Valuation _DB Dados do Mercado_Açúcar Físico não embarcado - Nov08 - Conferido_DB Entrada_1_segregado_2_DB Entrada_Relatório Gerencial_15-FINANCEIRAS_1" xfId="12405"/>
    <cellStyle name="s_Valuation _DB Dados do Mercado_Açúcar Físico não embarcado - Nov08 - Conferido_DB Entrada_1_segregado_2_DB Entrada_Relatório Gerencial_3-Balanço" xfId="12406"/>
    <cellStyle name="s_Valuation _DB Dados do Mercado_Açúcar Físico não embarcado - Nov08 - Conferido_DB Entrada_1_segregado_2_DB Entrada_Relatório Gerencial_7-Estoque" xfId="12407"/>
    <cellStyle name="s_Valuation _DB Dados do Mercado_Açúcar Físico não embarcado - Nov08 - Conferido_DB Entrada_1_segregado_2_DB Entrada_Sistema Cosan backup 103 Retirada de relatorios" xfId="12408"/>
    <cellStyle name="s_Valuation _DB Dados do Mercado_Açúcar Físico não embarcado - Nov08 - Conferido_DB Entrada_1_segregado_2_DB Entrada_Sistema Cosan backup 103 Retirada de relatorios 2" xfId="12409"/>
    <cellStyle name="s_Valuation _DB Dados do Mercado_Açúcar Físico não embarcado - Nov08 - Conferido_DB Entrada_1_segregado_2_DB Entrada_Sistema Cosan backup 103 Retirada de relatorios 2_15-FINANCEIRAS" xfId="12410"/>
    <cellStyle name="s_Valuation _DB Dados do Mercado_Açúcar Físico não embarcado - Nov08 - Conferido_DB Entrada_1_segregado_2_DB Entrada_Sistema Cosan backup 103 Retirada de relatorios_15-FINANCEIRAS" xfId="12411"/>
    <cellStyle name="s_Valuation _DB Dados do Mercado_Açúcar Físico não embarcado - Nov08 - Conferido_DB Entrada_1_segregado_2_DB Entrada_Sistema Cosan backup 103 Retirada de relatorios_15-FINANCEIRAS_1" xfId="12412"/>
    <cellStyle name="s_Valuation _DB Dados do Mercado_Açúcar Físico não embarcado - Nov08 - Conferido_DB Entrada_1_segregado_2_DB Entrada_Sistema Cosan backup 103 Retirada de relatorios_3-Balanço" xfId="12413"/>
    <cellStyle name="s_Valuation _DB Dados do Mercado_Açúcar Físico não embarcado - Nov08 - Conferido_DB Entrada_1_segregado_2_DB Entrada_Sistema Cosan backup 103 Retirada de relatorios_7-Estoque" xfId="12414"/>
    <cellStyle name="s_Valuation _DB Dados do Mercado_Açúcar Físico não embarcado - Nov08 - Conferido_DB Entrada_1_segregado_2_DB Exposição" xfId="12415"/>
    <cellStyle name="s_Valuation _DB Dados do Mercado_Açúcar Físico não embarcado - Nov08 - Conferido_DB Entrada_1_segregado_2_DB Exposição 2" xfId="12416"/>
    <cellStyle name="s_Valuation _DB Dados do Mercado_Açúcar Físico não embarcado - Nov08 - Conferido_DB Entrada_1_segregado_2_DB Exposição 2_15-FINANCEIRAS" xfId="12417"/>
    <cellStyle name="s_Valuation _DB Dados do Mercado_Açúcar Físico não embarcado - Nov08 - Conferido_DB Entrada_1_segregado_2_DB Exposição_15-FINANCEIRAS" xfId="12418"/>
    <cellStyle name="s_Valuation _DB Dados do Mercado_Açúcar Físico não embarcado - Nov08 - Conferido_DB Entrada_1_segregado_2_DB Exposição_15-FINANCEIRAS_1" xfId="12419"/>
    <cellStyle name="s_Valuation _DB Dados do Mercado_Açúcar Físico não embarcado - Nov08 - Conferido_DB Entrada_1_segregado_2_DB Exposição_3-Balanço" xfId="12420"/>
    <cellStyle name="s_Valuation _DB Dados do Mercado_Açúcar Físico não embarcado - Nov08 - Conferido_DB Entrada_1_segregado_2_DB Exposição_7-Estoque" xfId="12421"/>
    <cellStyle name="s_Valuation _DB Dados do Mercado_Açúcar Físico não embarcado - Nov08 - Conferido_DB Entrada_1_segregado_2_DB Exposição_Relatório Gerencial" xfId="12422"/>
    <cellStyle name="s_Valuation _DB Dados do Mercado_Açúcar Físico não embarcado - Nov08 - Conferido_DB Entrada_1_segregado_2_DB Exposição_Relatório Gerencial 2" xfId="12423"/>
    <cellStyle name="s_Valuation _DB Dados do Mercado_Açúcar Físico não embarcado - Nov08 - Conferido_DB Entrada_1_segregado_2_DB Exposição_Relatório Gerencial 2_15-FINANCEIRAS" xfId="12424"/>
    <cellStyle name="s_Valuation _DB Dados do Mercado_Açúcar Físico não embarcado - Nov08 - Conferido_DB Entrada_1_segregado_2_DB Exposição_Relatório Gerencial_15-FINANCEIRAS" xfId="12425"/>
    <cellStyle name="s_Valuation _DB Dados do Mercado_Açúcar Físico não embarcado - Nov08 - Conferido_DB Entrada_1_segregado_2_DB Exposição_Relatório Gerencial_15-FINANCEIRAS_1" xfId="12426"/>
    <cellStyle name="s_Valuation _DB Dados do Mercado_Açúcar Físico não embarcado - Nov08 - Conferido_DB Entrada_1_segregado_2_DB Exposição_Relatório Gerencial_3-Balanço" xfId="12427"/>
    <cellStyle name="s_Valuation _DB Dados do Mercado_Açúcar Físico não embarcado - Nov08 - Conferido_DB Entrada_1_segregado_2_DB Exposição_Relatório Gerencial_7-Estoque" xfId="12428"/>
    <cellStyle name="s_Valuation _DB Dados do Mercado_Açúcar Físico não embarcado - Nov08 - Conferido_DB Entrada_1_segregado_2_DB Exposição_Relatório Gerencial_DB Entrada" xfId="12429"/>
    <cellStyle name="s_Valuation _DB Dados do Mercado_Açúcar Físico não embarcado - Nov08 - Conferido_DB Entrada_1_segregado_2_DB Exposição_Relatório Gerencial_DB Entrada 2" xfId="12430"/>
    <cellStyle name="s_Valuation _DB Dados do Mercado_Açúcar Físico não embarcado - Nov08 - Conferido_DB Entrada_1_segregado_2_DB Exposição_Relatório Gerencial_DB Entrada 2_15-FINANCEIRAS" xfId="12431"/>
    <cellStyle name="s_Valuation _DB Dados do Mercado_Açúcar Físico não embarcado - Nov08 - Conferido_DB Entrada_1_segregado_2_DB Exposição_Relatório Gerencial_DB Entrada_15-FINANCEIRAS" xfId="12432"/>
    <cellStyle name="s_Valuation _DB Dados do Mercado_Açúcar Físico não embarcado - Nov08 - Conferido_DB Entrada_1_segregado_2_DB Exposição_Relatório Gerencial_DB Entrada_15-FINANCEIRAS_1" xfId="12433"/>
    <cellStyle name="s_Valuation _DB Dados do Mercado_Açúcar Físico não embarcado - Nov08 - Conferido_DB Entrada_1_segregado_2_DB Exposição_Relatório Gerencial_DB Entrada_3-Balanço" xfId="12434"/>
    <cellStyle name="s_Valuation _DB Dados do Mercado_Açúcar Físico não embarcado - Nov08 - Conferido_DB Entrada_1_segregado_2_DB Exposição_Relatório Gerencial_DB Entrada_7-Estoque" xfId="12435"/>
    <cellStyle name="s_Valuation _DB Dados do Mercado_Açúcar Físico não embarcado - Nov08 - Conferido_DB Entrada_1_segregado_2_DB Posição" xfId="12436"/>
    <cellStyle name="s_Valuation _DB Dados do Mercado_Açúcar Físico não embarcado - Nov08 - Conferido_DB Entrada_1_segregado_2_DB Posição 2" xfId="12437"/>
    <cellStyle name="s_Valuation _DB Dados do Mercado_Açúcar Físico não embarcado - Nov08 - Conferido_DB Entrada_1_segregado_2_DB Posição 2_15-FINANCEIRAS" xfId="12438"/>
    <cellStyle name="s_Valuation _DB Dados do Mercado_Açúcar Físico não embarcado - Nov08 - Conferido_DB Entrada_1_segregado_2_DB Posição_15-FINANCEIRAS" xfId="12439"/>
    <cellStyle name="s_Valuation _DB Dados do Mercado_Açúcar Físico não embarcado - Nov08 - Conferido_DB Entrada_1_segregado_2_DB Posição_15-FINANCEIRAS_1" xfId="12440"/>
    <cellStyle name="s_Valuation _DB Dados do Mercado_Açúcar Físico não embarcado - Nov08 - Conferido_DB Entrada_1_segregado_2_DB Posição_3-Balanço" xfId="12441"/>
    <cellStyle name="s_Valuation _DB Dados do Mercado_Açúcar Físico não embarcado - Nov08 - Conferido_DB Entrada_1_segregado_2_DB Posição_7-Estoque" xfId="12442"/>
    <cellStyle name="s_Valuation _DB Dados do Mercado_Açúcar Físico não embarcado - Nov08 - Conferido_DB Entrada_1_segregado_2_Relatório de Commodities" xfId="12443"/>
    <cellStyle name="s_Valuation _DB Dados do Mercado_Açúcar Físico não embarcado - Nov08 - Conferido_DB Entrada_1_segregado_2_Relatório de Commodities 2" xfId="12444"/>
    <cellStyle name="s_Valuation _DB Dados do Mercado_Açúcar Físico não embarcado - Nov08 - Conferido_DB Entrada_1_segregado_2_Relatório de Commodities 2_15-FINANCEIRAS" xfId="12445"/>
    <cellStyle name="s_Valuation _DB Dados do Mercado_Açúcar Físico não embarcado - Nov08 - Conferido_DB Entrada_1_segregado_2_Relatório de Commodities_15-FINANCEIRAS" xfId="12446"/>
    <cellStyle name="s_Valuation _DB Dados do Mercado_Açúcar Físico não embarcado - Nov08 - Conferido_DB Entrada_1_segregado_2_Relatório de Commodities_15-FINANCEIRAS_1" xfId="12447"/>
    <cellStyle name="s_Valuation _DB Dados do Mercado_Açúcar Físico não embarcado - Nov08 - Conferido_DB Entrada_1_segregado_2_Relatório de Commodities_3-Balanço" xfId="12448"/>
    <cellStyle name="s_Valuation _DB Dados do Mercado_Açúcar Físico não embarcado - Nov08 - Conferido_DB Entrada_1_segregado_2_Relatório de Commodities_7-Estoque" xfId="12449"/>
    <cellStyle name="s_Valuation _DB Dados do Mercado_Açúcar Físico não embarcado - Nov08 - Conferido_DB Entrada_1_segregado_2_Relatório de Commodities_Relatório Gerencial" xfId="12450"/>
    <cellStyle name="s_Valuation _DB Dados do Mercado_Açúcar Físico não embarcado - Nov08 - Conferido_DB Entrada_1_segregado_2_Relatório de Commodities_Relatório Gerencial 2" xfId="12451"/>
    <cellStyle name="s_Valuation _DB Dados do Mercado_Açúcar Físico não embarcado - Nov08 - Conferido_DB Entrada_1_segregado_2_Relatório de Commodities_Relatório Gerencial 2_15-FINANCEIRAS" xfId="12452"/>
    <cellStyle name="s_Valuation _DB Dados do Mercado_Açúcar Físico não embarcado - Nov08 - Conferido_DB Entrada_1_segregado_2_Relatório de Commodities_Relatório Gerencial_15-FINANCEIRAS" xfId="12453"/>
    <cellStyle name="s_Valuation _DB Dados do Mercado_Açúcar Físico não embarcado - Nov08 - Conferido_DB Entrada_1_segregado_2_Relatório de Commodities_Relatório Gerencial_15-FINANCEIRAS_1" xfId="12454"/>
    <cellStyle name="s_Valuation _DB Dados do Mercado_Açúcar Físico não embarcado - Nov08 - Conferido_DB Entrada_1_segregado_2_Relatório de Commodities_Relatório Gerencial_3-Balanço" xfId="12455"/>
    <cellStyle name="s_Valuation _DB Dados do Mercado_Açúcar Físico não embarcado - Nov08 - Conferido_DB Entrada_1_segregado_2_Relatório de Commodities_Relatório Gerencial_7-Estoque" xfId="12456"/>
    <cellStyle name="s_Valuation _DB Dados do Mercado_Açúcar Físico não embarcado - Nov08 - Conferido_DB Entrada_1_segregado_2_Relatório de Commodities_Relatório Gerencial_DB Entrada" xfId="12457"/>
    <cellStyle name="s_Valuation _DB Dados do Mercado_Açúcar Físico não embarcado - Nov08 - Conferido_DB Entrada_1_segregado_2_Relatório de Commodities_Relatório Gerencial_DB Entrada 2" xfId="12458"/>
    <cellStyle name="s_Valuation _DB Dados do Mercado_Açúcar Físico não embarcado - Nov08 - Conferido_DB Entrada_1_segregado_2_Relatório de Commodities_Relatório Gerencial_DB Entrada 2_15-FINANCEIRAS" xfId="12459"/>
    <cellStyle name="s_Valuation _DB Dados do Mercado_Açúcar Físico não embarcado - Nov08 - Conferido_DB Entrada_1_segregado_2_Relatório de Commodities_Relatório Gerencial_DB Entrada_15-FINANCEIRAS" xfId="12460"/>
    <cellStyle name="s_Valuation _DB Dados do Mercado_Açúcar Físico não embarcado - Nov08 - Conferido_DB Entrada_1_segregado_2_Relatório de Commodities_Relatório Gerencial_DB Entrada_15-FINANCEIRAS_1" xfId="12461"/>
    <cellStyle name="s_Valuation _DB Dados do Mercado_Açúcar Físico não embarcado - Nov08 - Conferido_DB Entrada_1_segregado_2_Relatório de Commodities_Relatório Gerencial_DB Entrada_3-Balanço" xfId="12462"/>
    <cellStyle name="s_Valuation _DB Dados do Mercado_Açúcar Físico não embarcado - Nov08 - Conferido_DB Entrada_1_segregado_2_Relatório de Commodities_Relatório Gerencial_DB Entrada_7-Estoque" xfId="12463"/>
    <cellStyle name="s_Valuation _DB Dados do Mercado_Açúcar Físico não embarcado - Nov08 - Conferido_DB Entrada_1_segregado_2_Relatório Fechamento" xfId="12464"/>
    <cellStyle name="s_Valuation _DB Dados do Mercado_Açúcar Físico não embarcado - Nov08 - Conferido_DB Entrada_1_segregado_2_Relatório Fechamento 2" xfId="12465"/>
    <cellStyle name="s_Valuation _DB Dados do Mercado_Açúcar Físico não embarcado - Nov08 - Conferido_DB Entrada_1_segregado_2_Relatório Fechamento 2_15-FINANCEIRAS" xfId="12466"/>
    <cellStyle name="s_Valuation _DB Dados do Mercado_Açúcar Físico não embarcado - Nov08 - Conferido_DB Entrada_1_segregado_2_Relatório Fechamento_15-FINANCEIRAS" xfId="12467"/>
    <cellStyle name="s_Valuation _DB Dados do Mercado_Açúcar Físico não embarcado - Nov08 - Conferido_DB Entrada_1_segregado_2_Relatório Fechamento_15-FINANCEIRAS_1" xfId="12468"/>
    <cellStyle name="s_Valuation _DB Dados do Mercado_Açúcar Físico não embarcado - Nov08 - Conferido_DB Entrada_1_segregado_2_Relatório Fechamento_3-Balanço" xfId="12469"/>
    <cellStyle name="s_Valuation _DB Dados do Mercado_Açúcar Físico não embarcado - Nov08 - Conferido_DB Entrada_1_segregado_2_Relatório Fechamento_7-Estoque" xfId="12470"/>
    <cellStyle name="s_Valuation _DB Dados do Mercado_Açúcar Físico não embarcado - Nov08 - Conferido_DB Entrada_1_segregado_2_Relatório Gerencial" xfId="12471"/>
    <cellStyle name="s_Valuation _DB Dados do Mercado_Açúcar Físico não embarcado - Nov08 - Conferido_DB Entrada_1_segregado_2_Relatório Gerencial 2" xfId="12472"/>
    <cellStyle name="s_Valuation _DB Dados do Mercado_Açúcar Físico não embarcado - Nov08 - Conferido_DB Entrada_1_segregado_2_Relatório Gerencial 2_15-FINANCEIRAS" xfId="12473"/>
    <cellStyle name="s_Valuation _DB Dados do Mercado_Açúcar Físico não embarcado - Nov08 - Conferido_DB Entrada_1_segregado_2_Relatório Gerencial_1" xfId="12474"/>
    <cellStyle name="s_Valuation _DB Dados do Mercado_Açúcar Físico não embarcado - Nov08 - Conferido_DB Entrada_1_segregado_2_Relatório Gerencial_1 2" xfId="12475"/>
    <cellStyle name="s_Valuation _DB Dados do Mercado_Açúcar Físico não embarcado - Nov08 - Conferido_DB Entrada_1_segregado_2_Relatório Gerencial_1 2_15-FINANCEIRAS" xfId="12476"/>
    <cellStyle name="s_Valuation _DB Dados do Mercado_Açúcar Físico não embarcado - Nov08 - Conferido_DB Entrada_1_segregado_2_Relatório Gerencial_1_15-FINANCEIRAS" xfId="12477"/>
    <cellStyle name="s_Valuation _DB Dados do Mercado_Açúcar Físico não embarcado - Nov08 - Conferido_DB Entrada_1_segregado_2_Relatório Gerencial_1_15-FINANCEIRAS_1" xfId="12478"/>
    <cellStyle name="s_Valuation _DB Dados do Mercado_Açúcar Físico não embarcado - Nov08 - Conferido_DB Entrada_1_segregado_2_Relatório Gerencial_1_3-Balanço" xfId="12479"/>
    <cellStyle name="s_Valuation _DB Dados do Mercado_Açúcar Físico não embarcado - Nov08 - Conferido_DB Entrada_1_segregado_2_Relatório Gerencial_1_7-Estoque" xfId="12480"/>
    <cellStyle name="s_Valuation _DB Dados do Mercado_Açúcar Físico não embarcado - Nov08 - Conferido_DB Entrada_1_segregado_2_Relatório Gerencial_15-FINANCEIRAS" xfId="12481"/>
    <cellStyle name="s_Valuation _DB Dados do Mercado_Açúcar Físico não embarcado - Nov08 - Conferido_DB Entrada_1_segregado_2_Relatório Gerencial_15-FINANCEIRAS_1" xfId="12482"/>
    <cellStyle name="s_Valuation _DB Dados do Mercado_Açúcar Físico não embarcado - Nov08 - Conferido_DB Entrada_1_segregado_2_Relatório Gerencial_2" xfId="12483"/>
    <cellStyle name="s_Valuation _DB Dados do Mercado_Açúcar Físico não embarcado - Nov08 - Conferido_DB Entrada_1_segregado_2_Relatório Gerencial_2 2" xfId="12484"/>
    <cellStyle name="s_Valuation _DB Dados do Mercado_Açúcar Físico não embarcado - Nov08 - Conferido_DB Entrada_1_segregado_2_Relatório Gerencial_2 2_15-FINANCEIRAS" xfId="12485"/>
    <cellStyle name="s_Valuation _DB Dados do Mercado_Açúcar Físico não embarcado - Nov08 - Conferido_DB Entrada_1_segregado_2_Relatório Gerencial_2_15-FINANCEIRAS" xfId="12486"/>
    <cellStyle name="s_Valuation _DB Dados do Mercado_Açúcar Físico não embarcado - Nov08 - Conferido_DB Entrada_1_segregado_2_Relatório Gerencial_2_15-FINANCEIRAS_1" xfId="12487"/>
    <cellStyle name="s_Valuation _DB Dados do Mercado_Açúcar Físico não embarcado - Nov08 - Conferido_DB Entrada_1_segregado_2_Relatório Gerencial_2_3-Balanço" xfId="12488"/>
    <cellStyle name="s_Valuation _DB Dados do Mercado_Açúcar Físico não embarcado - Nov08 - Conferido_DB Entrada_1_segregado_2_Relatório Gerencial_2_7-Estoque" xfId="12489"/>
    <cellStyle name="s_Valuation _DB Dados do Mercado_Açúcar Físico não embarcado - Nov08 - Conferido_DB Entrada_1_segregado_2_Relatório Gerencial_2_DB Entrada" xfId="12490"/>
    <cellStyle name="s_Valuation _DB Dados do Mercado_Açúcar Físico não embarcado - Nov08 - Conferido_DB Entrada_1_segregado_2_Relatório Gerencial_2_DB Entrada 2" xfId="12491"/>
    <cellStyle name="s_Valuation _DB Dados do Mercado_Açúcar Físico não embarcado - Nov08 - Conferido_DB Entrada_1_segregado_2_Relatório Gerencial_2_DB Entrada 2_15-FINANCEIRAS" xfId="12492"/>
    <cellStyle name="s_Valuation _DB Dados do Mercado_Açúcar Físico não embarcado - Nov08 - Conferido_DB Entrada_1_segregado_2_Relatório Gerencial_2_DB Entrada_15-FINANCEIRAS" xfId="12493"/>
    <cellStyle name="s_Valuation _DB Dados do Mercado_Açúcar Físico não embarcado - Nov08 - Conferido_DB Entrada_1_segregado_2_Relatório Gerencial_2_DB Entrada_15-FINANCEIRAS_1" xfId="12494"/>
    <cellStyle name="s_Valuation _DB Dados do Mercado_Açúcar Físico não embarcado - Nov08 - Conferido_DB Entrada_1_segregado_2_Relatório Gerencial_2_DB Entrada_3-Balanço" xfId="12495"/>
    <cellStyle name="s_Valuation _DB Dados do Mercado_Açúcar Físico não embarcado - Nov08 - Conferido_DB Entrada_1_segregado_2_Relatório Gerencial_2_DB Entrada_7-Estoque" xfId="12496"/>
    <cellStyle name="s_Valuation _DB Dados do Mercado_Açúcar Físico não embarcado - Nov08 - Conferido_DB Entrada_1_segregado_2_Relatório Gerencial_3-Balanço" xfId="12497"/>
    <cellStyle name="s_Valuation _DB Dados do Mercado_Açúcar Físico não embarcado - Nov08 - Conferido_DB Entrada_1_segregado_2_Relatório Gerencial_7-Estoque" xfId="12498"/>
    <cellStyle name="s_Valuation _DB Dados do Mercado_Açúcar Físico não embarcado - Nov08 - Conferido_DB Entrada_1_segregado_2_Relatório Gerencial_DB Boletas Abertas" xfId="12499"/>
    <cellStyle name="s_Valuation _DB Dados do Mercado_Açúcar Físico não embarcado - Nov08 - Conferido_DB Entrada_1_segregado_2_Relatório Gerencial_DB Boletas Abertas 2" xfId="12500"/>
    <cellStyle name="s_Valuation _DB Dados do Mercado_Açúcar Físico não embarcado - Nov08 - Conferido_DB Entrada_1_segregado_2_Relatório Gerencial_DB Boletas Abertas 2_15-FINANCEIRAS" xfId="12501"/>
    <cellStyle name="s_Valuation _DB Dados do Mercado_Açúcar Físico não embarcado - Nov08 - Conferido_DB Entrada_1_segregado_2_Relatório Gerencial_DB Boletas Abertas_15-FINANCEIRAS" xfId="12502"/>
    <cellStyle name="s_Valuation _DB Dados do Mercado_Açúcar Físico não embarcado - Nov08 - Conferido_DB Entrada_1_segregado_2_Relatório Gerencial_DB Boletas Abertas_15-FINANCEIRAS_1" xfId="12503"/>
    <cellStyle name="s_Valuation _DB Dados do Mercado_Açúcar Físico não embarcado - Nov08 - Conferido_DB Entrada_1_segregado_2_Relatório Gerencial_DB Boletas Abertas_3-Balanço" xfId="12504"/>
    <cellStyle name="s_Valuation _DB Dados do Mercado_Açúcar Físico não embarcado - Nov08 - Conferido_DB Entrada_1_segregado_2_Relatório Gerencial_DB Boletas Abertas_7-Estoque" xfId="12505"/>
    <cellStyle name="s_Valuation _DB Dados do Mercado_Açúcar Físico não embarcado - Nov08 - Conferido_DB Entrada_1_segregado_2_Relatório Gerencial_DB Boletas Vencendo" xfId="12506"/>
    <cellStyle name="s_Valuation _DB Dados do Mercado_Açúcar Físico não embarcado - Nov08 - Conferido_DB Entrada_1_segregado_2_Relatório Gerencial_DB Boletas Vencendo 2" xfId="12507"/>
    <cellStyle name="s_Valuation _DB Dados do Mercado_Açúcar Físico não embarcado - Nov08 - Conferido_DB Entrada_1_segregado_2_Relatório Gerencial_DB Boletas Vencendo 2_15-FINANCEIRAS" xfId="12508"/>
    <cellStyle name="s_Valuation _DB Dados do Mercado_Açúcar Físico não embarcado - Nov08 - Conferido_DB Entrada_1_segregado_2_Relatório Gerencial_DB Boletas Vencendo_15-FINANCEIRAS" xfId="12509"/>
    <cellStyle name="s_Valuation _DB Dados do Mercado_Açúcar Físico não embarcado - Nov08 - Conferido_DB Entrada_1_segregado_2_Relatório Gerencial_DB Boletas Vencendo_15-FINANCEIRAS_1" xfId="12510"/>
    <cellStyle name="s_Valuation _DB Dados do Mercado_Açúcar Físico não embarcado - Nov08 - Conferido_DB Entrada_1_segregado_2_Relatório Gerencial_DB Boletas Vencendo_3-Balanço" xfId="12511"/>
    <cellStyle name="s_Valuation _DB Dados do Mercado_Açúcar Físico não embarcado - Nov08 - Conferido_DB Entrada_1_segregado_2_Relatório Gerencial_DB Boletas Vencendo_7-Estoque" xfId="12512"/>
    <cellStyle name="s_Valuation _DB Dados do Mercado_Açúcar Físico não embarcado - Nov08 - Conferido_DB Entrada_1_segregado_2_Relatório Gerencial_DB Boletas Vencendo_Relatório Gerencial" xfId="12513"/>
    <cellStyle name="s_Valuation _DB Dados do Mercado_Açúcar Físico não embarcado - Nov08 - Conferido_DB Entrada_1_segregado_2_Relatório Gerencial_DB Boletas Vencendo_Relatório Gerencial 2" xfId="12514"/>
    <cellStyle name="s_Valuation _DB Dados do Mercado_Açúcar Físico não embarcado - Nov08 - Conferido_DB Entrada_1_segregado_2_Relatório Gerencial_DB Boletas Vencendo_Relatório Gerencial 2_15-FINANCEIRAS" xfId="12515"/>
    <cellStyle name="s_Valuation _DB Dados do Mercado_Açúcar Físico não embarcado - Nov08 - Conferido_DB Entrada_1_segregado_2_Relatório Gerencial_DB Boletas Vencendo_Relatório Gerencial_15-FINANCEIRAS" xfId="12516"/>
    <cellStyle name="s_Valuation _DB Dados do Mercado_Açúcar Físico não embarcado - Nov08 - Conferido_DB Entrada_1_segregado_2_Relatório Gerencial_DB Boletas Vencendo_Relatório Gerencial_15-FINANCEIRAS_1" xfId="12517"/>
    <cellStyle name="s_Valuation _DB Dados do Mercado_Açúcar Físico não embarcado - Nov08 - Conferido_DB Entrada_1_segregado_2_Relatório Gerencial_DB Boletas Vencendo_Relatório Gerencial_3-Balanço" xfId="12518"/>
    <cellStyle name="s_Valuation _DB Dados do Mercado_Açúcar Físico não embarcado - Nov08 - Conferido_DB Entrada_1_segregado_2_Relatório Gerencial_DB Boletas Vencendo_Relatório Gerencial_7-Estoque" xfId="12519"/>
    <cellStyle name="s_Valuation _DB Dados do Mercado_Açúcar Físico não embarcado - Nov08 - Conferido_DB Entrada_1_segregado_2_Relatório Gerencial_DB Boletas Vencendo_Relatório Gerencial_DB Entrada" xfId="12520"/>
    <cellStyle name="s_Valuation _DB Dados do Mercado_Açúcar Físico não embarcado - Nov08 - Conferido_DB Entrada_1_segregado_2_Relatório Gerencial_DB Boletas Vencendo_Relatório Gerencial_DB Entrada 2" xfId="12521"/>
    <cellStyle name="s_Valuation _DB Dados do Mercado_Açúcar Físico não embarcado - Nov08 - Conferido_DB Entrada_1_segregado_2_Relatório Gerencial_DB Boletas Vencendo_Relatório Gerencial_DB Entrada 2_15-FINANCEIRAS" xfId="12522"/>
    <cellStyle name="s_Valuation _DB Dados do Mercado_Açúcar Físico não embarcado - Nov08 - Conferido_DB Entrada_1_segregado_2_Relatório Gerencial_DB Boletas Vencendo_Relatório Gerencial_DB Entrada_15-FINANCEIRAS" xfId="12523"/>
    <cellStyle name="s_Valuation _DB Dados do Mercado_Açúcar Físico não embarcado - Nov08 - Conferido_DB Entrada_1_segregado_2_Relatório Gerencial_DB Boletas Vencendo_Relatório Gerencial_DB Entrada_15-FINANCEIRAS_1" xfId="12524"/>
    <cellStyle name="s_Valuation _DB Dados do Mercado_Açúcar Físico não embarcado - Nov08 - Conferido_DB Entrada_1_segregado_2_Relatório Gerencial_DB Boletas Vencendo_Relatório Gerencial_DB Entrada_3-Balanço" xfId="12525"/>
    <cellStyle name="s_Valuation _DB Dados do Mercado_Açúcar Físico não embarcado - Nov08 - Conferido_DB Entrada_1_segregado_2_Relatório Gerencial_DB Boletas Vencendo_Relatório Gerencial_DB Entrada_7-Estoque" xfId="12526"/>
    <cellStyle name="s_Valuation _DB Dados do Mercado_Açúcar Físico não embarcado - Nov08 - Conferido_DB Entrada_1_segregado_2_Relatório Gerencial_DB Controle" xfId="12527"/>
    <cellStyle name="s_Valuation _DB Dados do Mercado_Açúcar Físico não embarcado - Nov08 - Conferido_DB Entrada_1_segregado_2_Relatório Gerencial_DB Controle 2" xfId="12528"/>
    <cellStyle name="s_Valuation _DB Dados do Mercado_Açúcar Físico não embarcado - Nov08 - Conferido_DB Entrada_1_segregado_2_Relatório Gerencial_DB Controle 2_15-FINANCEIRAS" xfId="12529"/>
    <cellStyle name="s_Valuation _DB Dados do Mercado_Açúcar Físico não embarcado - Nov08 - Conferido_DB Entrada_1_segregado_2_Relatório Gerencial_DB Controle_15-FINANCEIRAS" xfId="12530"/>
    <cellStyle name="s_Valuation _DB Dados do Mercado_Açúcar Físico não embarcado - Nov08 - Conferido_DB Entrada_1_segregado_2_Relatório Gerencial_DB Controle_15-FINANCEIRAS_1" xfId="12531"/>
    <cellStyle name="s_Valuation _DB Dados do Mercado_Açúcar Físico não embarcado - Nov08 - Conferido_DB Entrada_1_segregado_2_Relatório Gerencial_DB Controle_3-Balanço" xfId="12532"/>
    <cellStyle name="s_Valuation _DB Dados do Mercado_Açúcar Físico não embarcado - Nov08 - Conferido_DB Entrada_1_segregado_2_Relatório Gerencial_DB Controle_7-Estoque" xfId="12533"/>
    <cellStyle name="s_Valuation _DB Dados do Mercado_Açúcar Físico não embarcado - Nov08 - Conferido_DB Entrada_1_segregado_2_Relatório Gerencial_DB Entrada" xfId="12534"/>
    <cellStyle name="s_Valuation _DB Dados do Mercado_Açúcar Físico não embarcado - Nov08 - Conferido_DB Entrada_1_segregado_2_Relatório Gerencial_DB Entrada 2" xfId="12535"/>
    <cellStyle name="s_Valuation _DB Dados do Mercado_Açúcar Físico não embarcado - Nov08 - Conferido_DB Entrada_1_segregado_2_Relatório Gerencial_DB Entrada 2_15-FINANCEIRAS" xfId="12536"/>
    <cellStyle name="s_Valuation _DB Dados do Mercado_Açúcar Físico não embarcado - Nov08 - Conferido_DB Entrada_1_segregado_2_Relatório Gerencial_DB Entrada_1" xfId="12537"/>
    <cellStyle name="s_Valuation _DB Dados do Mercado_Açúcar Físico não embarcado - Nov08 - Conferido_DB Entrada_1_segregado_2_Relatório Gerencial_DB Entrada_1 2" xfId="12538"/>
    <cellStyle name="s_Valuation _DB Dados do Mercado_Açúcar Físico não embarcado - Nov08 - Conferido_DB Entrada_1_segregado_2_Relatório Gerencial_DB Entrada_1 2_15-FINANCEIRAS" xfId="12539"/>
    <cellStyle name="s_Valuation _DB Dados do Mercado_Açúcar Físico não embarcado - Nov08 - Conferido_DB Entrada_1_segregado_2_Relatório Gerencial_DB Entrada_1_15-FINANCEIRAS" xfId="12540"/>
    <cellStyle name="s_Valuation _DB Dados do Mercado_Açúcar Físico não embarcado - Nov08 - Conferido_DB Entrada_1_segregado_2_Relatório Gerencial_DB Entrada_1_15-FINANCEIRAS_1" xfId="12541"/>
    <cellStyle name="s_Valuation _DB Dados do Mercado_Açúcar Físico não embarcado - Nov08 - Conferido_DB Entrada_1_segregado_2_Relatório Gerencial_DB Entrada_1_3-Balanço" xfId="12542"/>
    <cellStyle name="s_Valuation _DB Dados do Mercado_Açúcar Físico não embarcado - Nov08 - Conferido_DB Entrada_1_segregado_2_Relatório Gerencial_DB Entrada_1_7-Estoque" xfId="12543"/>
    <cellStyle name="s_Valuation _DB Dados do Mercado_Açúcar Físico não embarcado - Nov08 - Conferido_DB Entrada_1_segregado_2_Relatório Gerencial_DB Entrada_1_DB Boletas Abertas" xfId="12544"/>
    <cellStyle name="s_Valuation _DB Dados do Mercado_Açúcar Físico não embarcado - Nov08 - Conferido_DB Entrada_1_segregado_2_Relatório Gerencial_DB Entrada_1_DB Boletas Abertas 2" xfId="12545"/>
    <cellStyle name="s_Valuation _DB Dados do Mercado_Açúcar Físico não embarcado - Nov08 - Conferido_DB Entrada_1_segregado_2_Relatório Gerencial_DB Entrada_1_DB Boletas Abertas 2_15-FINANCEIRAS" xfId="12546"/>
    <cellStyle name="s_Valuation _DB Dados do Mercado_Açúcar Físico não embarcado - Nov08 - Conferido_DB Entrada_1_segregado_2_Relatório Gerencial_DB Entrada_1_DB Boletas Abertas_15-FINANCEIRAS" xfId="12547"/>
    <cellStyle name="s_Valuation _DB Dados do Mercado_Açúcar Físico não embarcado - Nov08 - Conferido_DB Entrada_1_segregado_2_Relatório Gerencial_DB Entrada_1_DB Boletas Abertas_15-FINANCEIRAS_1" xfId="12548"/>
    <cellStyle name="s_Valuation _DB Dados do Mercado_Açúcar Físico não embarcado - Nov08 - Conferido_DB Entrada_1_segregado_2_Relatório Gerencial_DB Entrada_1_DB Boletas Abertas_3-Balanço" xfId="12549"/>
    <cellStyle name="s_Valuation _DB Dados do Mercado_Açúcar Físico não embarcado - Nov08 - Conferido_DB Entrada_1_segregado_2_Relatório Gerencial_DB Entrada_1_DB Boletas Abertas_7-Estoque" xfId="12550"/>
    <cellStyle name="s_Valuation _DB Dados do Mercado_Açúcar Físico não embarcado - Nov08 - Conferido_DB Entrada_1_segregado_2_Relatório Gerencial_DB Entrada_1_DB Controle" xfId="12551"/>
    <cellStyle name="s_Valuation _DB Dados do Mercado_Açúcar Físico não embarcado - Nov08 - Conferido_DB Entrada_1_segregado_2_Relatório Gerencial_DB Entrada_1_DB Controle 2" xfId="12552"/>
    <cellStyle name="s_Valuation _DB Dados do Mercado_Açúcar Físico não embarcado - Nov08 - Conferido_DB Entrada_1_segregado_2_Relatório Gerencial_DB Entrada_1_DB Controle 2_15-FINANCEIRAS" xfId="12553"/>
    <cellStyle name="s_Valuation _DB Dados do Mercado_Açúcar Físico não embarcado - Nov08 - Conferido_DB Entrada_1_segregado_2_Relatório Gerencial_DB Entrada_1_DB Controle_15-FINANCEIRAS" xfId="12554"/>
    <cellStyle name="s_Valuation _DB Dados do Mercado_Açúcar Físico não embarcado - Nov08 - Conferido_DB Entrada_1_segregado_2_Relatório Gerencial_DB Entrada_1_DB Controle_15-FINANCEIRAS_1" xfId="12555"/>
    <cellStyle name="s_Valuation _DB Dados do Mercado_Açúcar Físico não embarcado - Nov08 - Conferido_DB Entrada_1_segregado_2_Relatório Gerencial_DB Entrada_1_DB Controle_3-Balanço" xfId="12556"/>
    <cellStyle name="s_Valuation _DB Dados do Mercado_Açúcar Físico não embarcado - Nov08 - Conferido_DB Entrada_1_segregado_2_Relatório Gerencial_DB Entrada_1_DB Controle_7-Estoque" xfId="12557"/>
    <cellStyle name="s_Valuation _DB Dados do Mercado_Açúcar Físico não embarcado - Nov08 - Conferido_DB Entrada_1_segregado_2_Relatório Gerencial_DB Entrada_1_DB Entrada" xfId="12558"/>
    <cellStyle name="s_Valuation _DB Dados do Mercado_Açúcar Físico não embarcado - Nov08 - Conferido_DB Entrada_1_segregado_2_Relatório Gerencial_DB Entrada_1_DB Entrada 2" xfId="12559"/>
    <cellStyle name="s_Valuation _DB Dados do Mercado_Açúcar Físico não embarcado - Nov08 - Conferido_DB Entrada_1_segregado_2_Relatório Gerencial_DB Entrada_1_DB Entrada 2_15-FINANCEIRAS" xfId="12560"/>
    <cellStyle name="s_Valuation _DB Dados do Mercado_Açúcar Físico não embarcado - Nov08 - Conferido_DB Entrada_1_segregado_2_Relatório Gerencial_DB Entrada_1_DB Entrada_15-FINANCEIRAS" xfId="12561"/>
    <cellStyle name="s_Valuation _DB Dados do Mercado_Açúcar Físico não embarcado - Nov08 - Conferido_DB Entrada_1_segregado_2_Relatório Gerencial_DB Entrada_1_DB Entrada_15-FINANCEIRAS_1" xfId="12562"/>
    <cellStyle name="s_Valuation _DB Dados do Mercado_Açúcar Físico não embarcado - Nov08 - Conferido_DB Entrada_1_segregado_2_Relatório Gerencial_DB Entrada_1_DB Entrada_3-Balanço" xfId="12563"/>
    <cellStyle name="s_Valuation _DB Dados do Mercado_Açúcar Físico não embarcado - Nov08 - Conferido_DB Entrada_1_segregado_2_Relatório Gerencial_DB Entrada_1_DB Entrada_7-Estoque" xfId="12564"/>
    <cellStyle name="s_Valuation _DB Dados do Mercado_Açúcar Físico não embarcado - Nov08 - Conferido_DB Entrada_1_segregado_2_Relatório Gerencial_DB Entrada_1_DB Entrada_Relatório Gerencial" xfId="12565"/>
    <cellStyle name="s_Valuation _DB Dados do Mercado_Açúcar Físico não embarcado - Nov08 - Conferido_DB Entrada_1_segregado_2_Relatório Gerencial_DB Entrada_1_DB Entrada_Relatório Gerencial 2" xfId="12566"/>
    <cellStyle name="s_Valuation _DB Dados do Mercado_Açúcar Físico não embarcado - Nov08 - Conferido_DB Entrada_1_segregado_2_Relatório Gerencial_DB Entrada_1_DB Entrada_Relatório Gerencial 2_15-FINANCEIRAS" xfId="12567"/>
    <cellStyle name="s_Valuation _DB Dados do Mercado_Açúcar Físico não embarcado - Nov08 - Conferido_DB Entrada_1_segregado_2_Relatório Gerencial_DB Entrada_1_DB Entrada_Relatório Gerencial_15-FINANCEIRAS" xfId="12568"/>
    <cellStyle name="s_Valuation _DB Dados do Mercado_Açúcar Físico não embarcado - Nov08 - Conferido_DB Entrada_1_segregado_2_Relatório Gerencial_DB Entrada_1_DB Entrada_Relatório Gerencial_15-FINANCEIRAS_1" xfId="12569"/>
    <cellStyle name="s_Valuation _DB Dados do Mercado_Açúcar Físico não embarcado - Nov08 - Conferido_DB Entrada_1_segregado_2_Relatório Gerencial_DB Entrada_1_DB Entrada_Relatório Gerencial_3-Balanço" xfId="12570"/>
    <cellStyle name="s_Valuation _DB Dados do Mercado_Açúcar Físico não embarcado - Nov08 - Conferido_DB Entrada_1_segregado_2_Relatório Gerencial_DB Entrada_1_DB Entrada_Relatório Gerencial_7-Estoque" xfId="12571"/>
    <cellStyle name="s_Valuation _DB Dados do Mercado_Açúcar Físico não embarcado - Nov08 - Conferido_DB Entrada_1_segregado_2_Relatório Gerencial_DB Entrada_1_DB Entrada_Relatório Gerencial_DB Entrada" xfId="12572"/>
    <cellStyle name="s_Valuation _DB Dados do Mercado_Açúcar Físico não embarcado - Nov08 - Conferido_DB Entrada_1_segregado_2_Relatório Gerencial_DB Entrada_1_DB Entrada_Relatório Gerencial_DB Entrada 2" xfId="12573"/>
    <cellStyle name="s_Valuation _DB Dados do Mercado_Açúcar Físico não embarcado - Nov08 - Conferido_DB Entrada_1_segregado_2_Relatório Gerencial_DB Entrada_1_DB Entrada_Relatório Gerencial_DB Entrada 2_15-FINANCEIRAS" xfId="12574"/>
    <cellStyle name="s_Valuation _DB Dados do Mercado_Açúcar Físico não embarcado - Nov08 - Conferido_DB Entrada_1_segregado_2_Relatório Gerencial_DB Entrada_1_DB Entrada_Relatório Gerencial_DB Entrada_15-FINANCEIRAS" xfId="12575"/>
    <cellStyle name="s_Valuation _DB Dados do Mercado_Açúcar Físico não embarcado - Nov08 - Conferido_DB Entrada_1_segregado_2_Relatório Gerencial_DB Entrada_1_DB Entrada_Relatório Gerencial_DB Entrada_15-FINANCEIRAS_1" xfId="12576"/>
    <cellStyle name="s_Valuation _DB Dados do Mercado_Açúcar Físico não embarcado - Nov08 - Conferido_DB Entrada_1_segregado_2_Relatório Gerencial_DB Entrada_1_DB Entrada_Relatório Gerencial_DB Entrada_3-Balanço" xfId="12577"/>
    <cellStyle name="s_Valuation _DB Dados do Mercado_Açúcar Físico não embarcado - Nov08 - Conferido_DB Entrada_1_segregado_2_Relatório Gerencial_DB Entrada_1_DB Entrada_Relatório Gerencial_DB Entrada_7-Estoque" xfId="12578"/>
    <cellStyle name="s_Valuation _DB Dados do Mercado_Açúcar Físico não embarcado - Nov08 - Conferido_DB Entrada_1_segregado_2_Relatório Gerencial_DB Entrada_1_DB Exposição" xfId="12579"/>
    <cellStyle name="s_Valuation _DB Dados do Mercado_Açúcar Físico não embarcado - Nov08 - Conferido_DB Entrada_1_segregado_2_Relatório Gerencial_DB Entrada_1_DB Exposição 2" xfId="12580"/>
    <cellStyle name="s_Valuation _DB Dados do Mercado_Açúcar Físico não embarcado - Nov08 - Conferido_DB Entrada_1_segregado_2_Relatório Gerencial_DB Entrada_1_DB Exposição 2_15-FINANCEIRAS" xfId="12581"/>
    <cellStyle name="s_Valuation _DB Dados do Mercado_Açúcar Físico não embarcado - Nov08 - Conferido_DB Entrada_1_segregado_2_Relatório Gerencial_DB Entrada_1_DB Exposição_15-FINANCEIRAS" xfId="12582"/>
    <cellStyle name="s_Valuation _DB Dados do Mercado_Açúcar Físico não embarcado - Nov08 - Conferido_DB Entrada_1_segregado_2_Relatório Gerencial_DB Entrada_1_DB Exposição_15-FINANCEIRAS_1" xfId="12583"/>
    <cellStyle name="s_Valuation _DB Dados do Mercado_Açúcar Físico não embarcado - Nov08 - Conferido_DB Entrada_1_segregado_2_Relatório Gerencial_DB Entrada_1_DB Exposição_3-Balanço" xfId="12584"/>
    <cellStyle name="s_Valuation _DB Dados do Mercado_Açúcar Físico não embarcado - Nov08 - Conferido_DB Entrada_1_segregado_2_Relatório Gerencial_DB Entrada_1_DB Exposição_7-Estoque" xfId="12585"/>
    <cellStyle name="s_Valuation _DB Dados do Mercado_Açúcar Físico não embarcado - Nov08 - Conferido_DB Entrada_1_segregado_2_Relatório Gerencial_DB Entrada_1_DB Exposição_Relatório Gerencial" xfId="12586"/>
    <cellStyle name="s_Valuation _DB Dados do Mercado_Açúcar Físico não embarcado - Nov08 - Conferido_DB Entrada_1_segregado_2_Relatório Gerencial_DB Entrada_1_DB Exposição_Relatório Gerencial 2" xfId="12587"/>
    <cellStyle name="s_Valuation _DB Dados do Mercado_Açúcar Físico não embarcado - Nov08 - Conferido_DB Entrada_1_segregado_2_Relatório Gerencial_DB Entrada_1_DB Exposição_Relatório Gerencial 2_15-FINANCEIRAS" xfId="12588"/>
    <cellStyle name="s_Valuation _DB Dados do Mercado_Açúcar Físico não embarcado - Nov08 - Conferido_DB Entrada_1_segregado_2_Relatório Gerencial_DB Entrada_1_DB Exposição_Relatório Gerencial_15-FINANCEIRAS" xfId="12589"/>
    <cellStyle name="s_Valuation _DB Dados do Mercado_Açúcar Físico não embarcado - Nov08 - Conferido_DB Entrada_1_segregado_2_Relatório Gerencial_DB Entrada_1_DB Exposição_Relatório Gerencial_15-FINANCEIRAS_1" xfId="12590"/>
    <cellStyle name="s_Valuation _DB Dados do Mercado_Açúcar Físico não embarcado - Nov08 - Conferido_DB Entrada_1_segregado_2_Relatório Gerencial_DB Entrada_1_DB Exposição_Relatório Gerencial_3-Balanço" xfId="12591"/>
    <cellStyle name="s_Valuation _DB Dados do Mercado_Açúcar Físico não embarcado - Nov08 - Conferido_DB Entrada_1_segregado_2_Relatório Gerencial_DB Entrada_1_DB Exposição_Relatório Gerencial_7-Estoque" xfId="12592"/>
    <cellStyle name="s_Valuation _DB Dados do Mercado_Açúcar Físico não embarcado - Nov08 - Conferido_DB Entrada_1_segregado_2_Relatório Gerencial_DB Entrada_1_DB Exposição_Relatório Gerencial_DB Entrada" xfId="12593"/>
    <cellStyle name="s_Valuation _DB Dados do Mercado_Açúcar Físico não embarcado - Nov08 - Conferido_DB Entrada_1_segregado_2_Relatório Gerencial_DB Entrada_1_DB Exposição_Relatório Gerencial_DB Entrada 2" xfId="12594"/>
    <cellStyle name="s_Valuation _DB Dados do Mercado_Açúcar Físico não embarcado - Nov08 - Conferido_DB Entrada_1_segregado_2_Relatório Gerencial_DB Entrada_1_DB Exposição_Relatório Gerencial_DB Entrada 2_15-FINANCEIRAS" xfId="12595"/>
    <cellStyle name="s_Valuation _DB Dados do Mercado_Açúcar Físico não embarcado - Nov08 - Conferido_DB Entrada_1_segregado_2_Relatório Gerencial_DB Entrada_1_DB Exposição_Relatório Gerencial_DB Entrada_15-FINANCEIRAS" xfId="12596"/>
    <cellStyle name="s_Valuation _DB Dados do Mercado_Açúcar Físico não embarcado - Nov08 - Conferido_DB Entrada_1_segregado_2_Relatório Gerencial_DB Entrada_1_DB Exposição_Relatório Gerencial_DB Entrada_15-FINANCEIRAS_1" xfId="12597"/>
    <cellStyle name="s_Valuation _DB Dados do Mercado_Açúcar Físico não embarcado - Nov08 - Conferido_DB Entrada_1_segregado_2_Relatório Gerencial_DB Entrada_1_DB Exposição_Relatório Gerencial_DB Entrada_3-Balanço" xfId="12598"/>
    <cellStyle name="s_Valuation _DB Dados do Mercado_Açúcar Físico não embarcado - Nov08 - Conferido_DB Entrada_1_segregado_2_Relatório Gerencial_DB Entrada_1_DB Exposição_Relatório Gerencial_DB Entrada_7-Estoque" xfId="12599"/>
    <cellStyle name="s_Valuation _DB Dados do Mercado_Açúcar Físico não embarcado - Nov08 - Conferido_DB Entrada_1_segregado_2_Relatório Gerencial_DB Entrada_1_DB Posição" xfId="12600"/>
    <cellStyle name="s_Valuation _DB Dados do Mercado_Açúcar Físico não embarcado - Nov08 - Conferido_DB Entrada_1_segregado_2_Relatório Gerencial_DB Entrada_1_DB Posição 2" xfId="12601"/>
    <cellStyle name="s_Valuation _DB Dados do Mercado_Açúcar Físico não embarcado - Nov08 - Conferido_DB Entrada_1_segregado_2_Relatório Gerencial_DB Entrada_1_DB Posição 2_15-FINANCEIRAS" xfId="12602"/>
    <cellStyle name="s_Valuation _DB Dados do Mercado_Açúcar Físico não embarcado - Nov08 - Conferido_DB Entrada_1_segregado_2_Relatório Gerencial_DB Entrada_1_DB Posição_15-FINANCEIRAS" xfId="12603"/>
    <cellStyle name="s_Valuation _DB Dados do Mercado_Açúcar Físico não embarcado - Nov08 - Conferido_DB Entrada_1_segregado_2_Relatório Gerencial_DB Entrada_1_DB Posição_15-FINANCEIRAS_1" xfId="12604"/>
    <cellStyle name="s_Valuation _DB Dados do Mercado_Açúcar Físico não embarcado - Nov08 - Conferido_DB Entrada_1_segregado_2_Relatório Gerencial_DB Entrada_1_DB Posição_3-Balanço" xfId="12605"/>
    <cellStyle name="s_Valuation _DB Dados do Mercado_Açúcar Físico não embarcado - Nov08 - Conferido_DB Entrada_1_segregado_2_Relatório Gerencial_DB Entrada_1_DB Posição_7-Estoque" xfId="12606"/>
    <cellStyle name="s_Valuation _DB Dados do Mercado_Açúcar Físico não embarcado - Nov08 - Conferido_DB Entrada_1_segregado_2_Relatório Gerencial_DB Entrada_1_Liquidações_Prêmios" xfId="12607"/>
    <cellStyle name="s_Valuation _DB Dados do Mercado_Açúcar Físico não embarcado - Nov08 - Conferido_DB Entrada_1_segregado_2_Relatório Gerencial_DB Entrada_1_Liquidações_Prêmios 2" xfId="12608"/>
    <cellStyle name="s_Valuation _DB Dados do Mercado_Açúcar Físico não embarcado - Nov08 - Conferido_DB Entrada_1_segregado_2_Relatório Gerencial_DB Entrada_1_Liquidações_Prêmios 2_15-FINANCEIRAS" xfId="12609"/>
    <cellStyle name="s_Valuation _DB Dados do Mercado_Açúcar Físico não embarcado - Nov08 - Conferido_DB Entrada_1_segregado_2_Relatório Gerencial_DB Entrada_1_Liquidações_Prêmios_15-FINANCEIRAS" xfId="12610"/>
    <cellStyle name="s_Valuation _DB Dados do Mercado_Açúcar Físico não embarcado - Nov08 - Conferido_DB Entrada_1_segregado_2_Relatório Gerencial_DB Entrada_1_Liquidações_Prêmios_15-FINANCEIRAS_1" xfId="12611"/>
    <cellStyle name="s_Valuation _DB Dados do Mercado_Açúcar Físico não embarcado - Nov08 - Conferido_DB Entrada_1_segregado_2_Relatório Gerencial_DB Entrada_1_Liquidações_Prêmios_3-Balanço" xfId="12612"/>
    <cellStyle name="s_Valuation _DB Dados do Mercado_Açúcar Físico não embarcado - Nov08 - Conferido_DB Entrada_1_segregado_2_Relatório Gerencial_DB Entrada_1_Liquidações_Prêmios_7-Estoque" xfId="12613"/>
    <cellStyle name="s_Valuation _DB Dados do Mercado_Açúcar Físico não embarcado - Nov08 - Conferido_DB Entrada_1_segregado_2_Relatório Gerencial_DB Entrada_1_Posição Futuros" xfId="12614"/>
    <cellStyle name="s_Valuation _DB Dados do Mercado_Açúcar Físico não embarcado - Nov08 - Conferido_DB Entrada_1_segregado_2_Relatório Gerencial_DB Entrada_1_Posição Futuros 2" xfId="12615"/>
    <cellStyle name="s_Valuation _DB Dados do Mercado_Açúcar Físico não embarcado - Nov08 - Conferido_DB Entrada_1_segregado_2_Relatório Gerencial_DB Entrada_1_Posição Futuros 2_15-FINANCEIRAS" xfId="12616"/>
    <cellStyle name="s_Valuation _DB Dados do Mercado_Açúcar Físico não embarcado - Nov08 - Conferido_DB Entrada_1_segregado_2_Relatório Gerencial_DB Entrada_1_Posição Futuros_15-FINANCEIRAS" xfId="12617"/>
    <cellStyle name="s_Valuation _DB Dados do Mercado_Açúcar Físico não embarcado - Nov08 - Conferido_DB Entrada_1_segregado_2_Relatório Gerencial_DB Entrada_1_Posição Futuros_15-FINANCEIRAS_1" xfId="12618"/>
    <cellStyle name="s_Valuation _DB Dados do Mercado_Açúcar Físico não embarcado - Nov08 - Conferido_DB Entrada_1_segregado_2_Relatório Gerencial_DB Entrada_1_Posição Futuros_3-Balanço" xfId="12619"/>
    <cellStyle name="s_Valuation _DB Dados do Mercado_Açúcar Físico não embarcado - Nov08 - Conferido_DB Entrada_1_segregado_2_Relatório Gerencial_DB Entrada_1_Posição Futuros_7-Estoque" xfId="12620"/>
    <cellStyle name="s_Valuation _DB Dados do Mercado_Açúcar Físico não embarcado - Nov08 - Conferido_DB Entrada_1_segregado_2_Relatório Gerencial_DB Entrada_1_Relatório de Commodities" xfId="12621"/>
    <cellStyle name="s_Valuation _DB Dados do Mercado_Açúcar Físico não embarcado - Nov08 - Conferido_DB Entrada_1_segregado_2_Relatório Gerencial_DB Entrada_1_Relatório de Commodities 2" xfId="12622"/>
    <cellStyle name="s_Valuation _DB Dados do Mercado_Açúcar Físico não embarcado - Nov08 - Conferido_DB Entrada_1_segregado_2_Relatório Gerencial_DB Entrada_1_Relatório de Commodities 2_15-FINANCEIRAS" xfId="12623"/>
    <cellStyle name="s_Valuation _DB Dados do Mercado_Açúcar Físico não embarcado - Nov08 - Conferido_DB Entrada_1_segregado_2_Relatório Gerencial_DB Entrada_1_Relatório de Commodities_15-FINANCEIRAS" xfId="12624"/>
    <cellStyle name="s_Valuation _DB Dados do Mercado_Açúcar Físico não embarcado - Nov08 - Conferido_DB Entrada_1_segregado_2_Relatório Gerencial_DB Entrada_1_Relatório de Commodities_15-FINANCEIRAS_1" xfId="12625"/>
    <cellStyle name="s_Valuation _DB Dados do Mercado_Açúcar Físico não embarcado - Nov08 - Conferido_DB Entrada_1_segregado_2_Relatório Gerencial_DB Entrada_1_Relatório de Commodities_3-Balanço" xfId="12626"/>
    <cellStyle name="s_Valuation _DB Dados do Mercado_Açúcar Físico não embarcado - Nov08 - Conferido_DB Entrada_1_segregado_2_Relatório Gerencial_DB Entrada_1_Relatório de Commodities_7-Estoque" xfId="12627"/>
    <cellStyle name="s_Valuation _DB Dados do Mercado_Açúcar Físico não embarcado - Nov08 - Conferido_DB Entrada_1_segregado_2_Relatório Gerencial_DB Entrada_1_Relatório de Commodities_Relatório Gerencial" xfId="12628"/>
    <cellStyle name="s_Valuation _DB Dados do Mercado_Açúcar Físico não embarcado - Nov08 - Conferido_DB Entrada_1_segregado_2_Relatório Gerencial_DB Entrada_1_Relatório de Commodities_Relatório Gerencial 2" xfId="12629"/>
    <cellStyle name="s_Valuation _DB Dados do Mercado_Açúcar Físico não embarcado - Nov08 - Conferido_DB Entrada_1_segregado_2_Relatório Gerencial_DB Entrada_1_Relatório de Commodities_Relatório Gerencial 2_15-FINANCEIRAS" xfId="12630"/>
    <cellStyle name="s_Valuation _DB Dados do Mercado_Açúcar Físico não embarcado - Nov08 - Conferido_DB Entrada_1_segregado_2_Relatório Gerencial_DB Entrada_1_Relatório de Commodities_Relatório Gerencial_15-FINANCEIRAS" xfId="12631"/>
    <cellStyle name="s_Valuation _DB Dados do Mercado_Açúcar Físico não embarcado - Nov08 - Conferido_DB Entrada_1_segregado_2_Relatório Gerencial_DB Entrada_1_Relatório de Commodities_Relatório Gerencial_15-FINANCEIRAS_1" xfId="12632"/>
    <cellStyle name="s_Valuation _DB Dados do Mercado_Açúcar Físico não embarcado - Nov08 - Conferido_DB Entrada_1_segregado_2_Relatório Gerencial_DB Entrada_1_Relatório de Commodities_Relatório Gerencial_3-Balanço" xfId="12633"/>
    <cellStyle name="s_Valuation _DB Dados do Mercado_Açúcar Físico não embarcado - Nov08 - Conferido_DB Entrada_1_segregado_2_Relatório Gerencial_DB Entrada_1_Relatório de Commodities_Relatório Gerencial_7-Estoque" xfId="12634"/>
    <cellStyle name="s_Valuation _DB Dados do Mercado_Açúcar Físico não embarcado - Nov08 - Conferido_DB Entrada_1_segregado_2_Relatório Gerencial_DB Entrada_1_Relatório de Commodities_Relatório Gerencial_DB Entrada" xfId="12635"/>
    <cellStyle name="s_Valuation _DB Dados do Mercado_Açúcar Físico não embarcado - Nov08 - Conferido_DB Entrada_1_segregado_2_Relatório Gerencial_DB Entrada_1_Relatório de Commodities_Relatório Gerencial_DB Entrada 2" xfId="12636"/>
    <cellStyle name="s_Valuation _DB Dados do Mercado_Açúcar Físico não embarcado - Nov08 - Conferido_DB Entrada_1_segregado_2_Relatório Gerencial_DB Entrada_1_Relatório de Commodities_Relatório Gerencial_DB Entrada 2_15-FINANCEIRAS" xfId="12637"/>
    <cellStyle name="s_Valuation _DB Dados do Mercado_Açúcar Físico não embarcado - Nov08 - Conferido_DB Entrada_1_segregado_2_Relatório Gerencial_DB Entrada_1_Relatório de Commodities_Relatório Gerencial_DB Entrada_15-FINANCEIRAS" xfId="12638"/>
    <cellStyle name="s_Valuation _DB Dados do Mercado_Açúcar Físico não embarcado - Nov08 - Conferido_DB Entrada_1_segregado_2_Relatório Gerencial_DB Entrada_1_Relatório de Commodities_Relatório Gerencial_DB Entrada_15-FINANCEIRAS_1" xfId="12639"/>
    <cellStyle name="s_Valuation _DB Dados do Mercado_Açúcar Físico não embarcado - Nov08 - Conferido_DB Entrada_1_segregado_2_Relatório Gerencial_DB Entrada_1_Relatório de Commodities_Relatório Gerencial_DB Entrada_3-Balanço" xfId="12640"/>
    <cellStyle name="s_Valuation _DB Dados do Mercado_Açúcar Físico não embarcado - Nov08 - Conferido_DB Entrada_1_segregado_2_Relatório Gerencial_DB Entrada_1_Relatório de Commodities_Relatório Gerencial_DB Entrada_7-Estoque" xfId="12641"/>
    <cellStyle name="s_Valuation _DB Dados do Mercado_Açúcar Físico não embarcado - Nov08 - Conferido_DB Entrada_1_segregado_2_Relatório Gerencial_DB Entrada_1_Relatório Fechamento" xfId="12642"/>
    <cellStyle name="s_Valuation _DB Dados do Mercado_Açúcar Físico não embarcado - Nov08 - Conferido_DB Entrada_1_segregado_2_Relatório Gerencial_DB Entrada_1_Relatório Fechamento 2" xfId="12643"/>
    <cellStyle name="s_Valuation _DB Dados do Mercado_Açúcar Físico não embarcado - Nov08 - Conferido_DB Entrada_1_segregado_2_Relatório Gerencial_DB Entrada_1_Relatório Fechamento 2_15-FINANCEIRAS" xfId="12644"/>
    <cellStyle name="s_Valuation _DB Dados do Mercado_Açúcar Físico não embarcado - Nov08 - Conferido_DB Entrada_1_segregado_2_Relatório Gerencial_DB Entrada_1_Relatório Fechamento_15-FINANCEIRAS" xfId="12645"/>
    <cellStyle name="s_Valuation _DB Dados do Mercado_Açúcar Físico não embarcado - Nov08 - Conferido_DB Entrada_1_segregado_2_Relatório Gerencial_DB Entrada_1_Relatório Fechamento_15-FINANCEIRAS_1" xfId="12646"/>
    <cellStyle name="s_Valuation _DB Dados do Mercado_Açúcar Físico não embarcado - Nov08 - Conferido_DB Entrada_1_segregado_2_Relatório Gerencial_DB Entrada_1_Relatório Fechamento_3-Balanço" xfId="12647"/>
    <cellStyle name="s_Valuation _DB Dados do Mercado_Açúcar Físico não embarcado - Nov08 - Conferido_DB Entrada_1_segregado_2_Relatório Gerencial_DB Entrada_1_Relatório Fechamento_7-Estoque" xfId="12648"/>
    <cellStyle name="s_Valuation _DB Dados do Mercado_Açúcar Físico não embarcado - Nov08 - Conferido_DB Entrada_1_segregado_2_Relatório Gerencial_DB Entrada_1_Relatório Gerencial" xfId="12649"/>
    <cellStyle name="s_Valuation _DB Dados do Mercado_Açúcar Físico não embarcado - Nov08 - Conferido_DB Entrada_1_segregado_2_Relatório Gerencial_DB Entrada_1_Relatório Gerencial 2" xfId="12650"/>
    <cellStyle name="s_Valuation _DB Dados do Mercado_Açúcar Físico não embarcado - Nov08 - Conferido_DB Entrada_1_segregado_2_Relatório Gerencial_DB Entrada_1_Relatório Gerencial 2_15-FINANCEIRAS" xfId="12651"/>
    <cellStyle name="s_Valuation _DB Dados do Mercado_Açúcar Físico não embarcado - Nov08 - Conferido_DB Entrada_1_segregado_2_Relatório Gerencial_DB Entrada_1_Relatório Gerencial_1" xfId="12652"/>
    <cellStyle name="s_Valuation _DB Dados do Mercado_Açúcar Físico não embarcado - Nov08 - Conferido_DB Entrada_1_segregado_2_Relatório Gerencial_DB Entrada_1_Relatório Gerencial_1 2" xfId="12653"/>
    <cellStyle name="s_Valuation _DB Dados do Mercado_Açúcar Físico não embarcado - Nov08 - Conferido_DB Entrada_1_segregado_2_Relatório Gerencial_DB Entrada_1_Relatório Gerencial_1 2_15-FINANCEIRAS" xfId="12654"/>
    <cellStyle name="s_Valuation _DB Dados do Mercado_Açúcar Físico não embarcado - Nov08 - Conferido_DB Entrada_1_segregado_2_Relatório Gerencial_DB Entrada_1_Relatório Gerencial_1_15-FINANCEIRAS" xfId="12655"/>
    <cellStyle name="s_Valuation _DB Dados do Mercado_Açúcar Físico não embarcado - Nov08 - Conferido_DB Entrada_1_segregado_2_Relatório Gerencial_DB Entrada_1_Relatório Gerencial_1_15-FINANCEIRAS_1" xfId="12656"/>
    <cellStyle name="s_Valuation _DB Dados do Mercado_Açúcar Físico não embarcado - Nov08 - Conferido_DB Entrada_1_segregado_2_Relatório Gerencial_DB Entrada_1_Relatório Gerencial_1_3-Balanço" xfId="12657"/>
    <cellStyle name="s_Valuation _DB Dados do Mercado_Açúcar Físico não embarcado - Nov08 - Conferido_DB Entrada_1_segregado_2_Relatório Gerencial_DB Entrada_1_Relatório Gerencial_1_7-Estoque" xfId="12658"/>
    <cellStyle name="s_Valuation _DB Dados do Mercado_Açúcar Físico não embarcado - Nov08 - Conferido_DB Entrada_1_segregado_2_Relatório Gerencial_DB Entrada_1_Relatório Gerencial_1_DB Entrada" xfId="12659"/>
    <cellStyle name="s_Valuation _DB Dados do Mercado_Açúcar Físico não embarcado - Nov08 - Conferido_DB Entrada_1_segregado_2_Relatório Gerencial_DB Entrada_1_Relatório Gerencial_1_DB Entrada 2" xfId="12660"/>
    <cellStyle name="s_Valuation _DB Dados do Mercado_Açúcar Físico não embarcado - Nov08 - Conferido_DB Entrada_1_segregado_2_Relatório Gerencial_DB Entrada_1_Relatório Gerencial_1_DB Entrada 2_15-FINANCEIRAS" xfId="12661"/>
    <cellStyle name="s_Valuation _DB Dados do Mercado_Açúcar Físico não embarcado - Nov08 - Conferido_DB Entrada_1_segregado_2_Relatório Gerencial_DB Entrada_1_Relatório Gerencial_1_DB Entrada_15-FINANCEIRAS" xfId="12662"/>
    <cellStyle name="s_Valuation _DB Dados do Mercado_Açúcar Físico não embarcado - Nov08 - Conferido_DB Entrada_1_segregado_2_Relatório Gerencial_DB Entrada_1_Relatório Gerencial_1_DB Entrada_15-FINANCEIRAS_1" xfId="12663"/>
    <cellStyle name="s_Valuation _DB Dados do Mercado_Açúcar Físico não embarcado - Nov08 - Conferido_DB Entrada_1_segregado_2_Relatório Gerencial_DB Entrada_1_Relatório Gerencial_1_DB Entrada_3-Balanço" xfId="12664"/>
    <cellStyle name="s_Valuation _DB Dados do Mercado_Açúcar Físico não embarcado - Nov08 - Conferido_DB Entrada_1_segregado_2_Relatório Gerencial_DB Entrada_1_Relatório Gerencial_1_DB Entrada_7-Estoque" xfId="12665"/>
    <cellStyle name="s_Valuation _DB Dados do Mercado_Açúcar Físico não embarcado - Nov08 - Conferido_DB Entrada_1_segregado_2_Relatório Gerencial_DB Entrada_1_Relatório Gerencial_15-FINANCEIRAS" xfId="12666"/>
    <cellStyle name="s_Valuation _DB Dados do Mercado_Açúcar Físico não embarcado - Nov08 - Conferido_DB Entrada_1_segregado_2_Relatório Gerencial_DB Entrada_1_Relatório Gerencial_15-FINANCEIRAS_1" xfId="12667"/>
    <cellStyle name="s_Valuation _DB Dados do Mercado_Açúcar Físico não embarcado - Nov08 - Conferido_DB Entrada_1_segregado_2_Relatório Gerencial_DB Entrada_1_Relatório Gerencial_3-Balanço" xfId="12668"/>
    <cellStyle name="s_Valuation _DB Dados do Mercado_Açúcar Físico não embarcado - Nov08 - Conferido_DB Entrada_1_segregado_2_Relatório Gerencial_DB Entrada_1_Relatório Gerencial_7-Estoque" xfId="12669"/>
    <cellStyle name="s_Valuation _DB Dados do Mercado_Açúcar Físico não embarcado - Nov08 - Conferido_DB Entrada_1_segregado_2_Relatório Gerencial_DB Entrada_1_Sistema Cosan backup 103 Retirada de relatorios" xfId="12670"/>
    <cellStyle name="s_Valuation _DB Dados do Mercado_Açúcar Físico não embarcado - Nov08 - Conferido_DB Entrada_1_segregado_2_Relatório Gerencial_DB Entrada_1_Sistema Cosan backup 103 Retirada de relatorios 2" xfId="12671"/>
    <cellStyle name="s_Valuation _DB Dados do Mercado_Açúcar Físico não embarcado - Nov08 - Conferido_DB Entrada_1_segregado_2_Relatório Gerencial_DB Entrada_1_Sistema Cosan backup 103 Retirada de relatorios 2_15-FINANCEIRAS" xfId="12672"/>
    <cellStyle name="s_Valuation _DB Dados do Mercado_Açúcar Físico não embarcado - Nov08 - Conferido_DB Entrada_1_segregado_2_Relatório Gerencial_DB Entrada_1_Sistema Cosan backup 103 Retirada de relatorios_15-FINANCEIRAS" xfId="12673"/>
    <cellStyle name="s_Valuation _DB Dados do Mercado_Açúcar Físico não embarcado - Nov08 - Conferido_DB Entrada_1_segregado_2_Relatório Gerencial_DB Entrada_1_Sistema Cosan backup 103 Retirada de relatorios_15-FINANCEIRAS_1" xfId="12674"/>
    <cellStyle name="s_Valuation _DB Dados do Mercado_Açúcar Físico não embarcado - Nov08 - Conferido_DB Entrada_1_segregado_2_Relatório Gerencial_DB Entrada_1_Sistema Cosan backup 103 Retirada de relatorios_3-Balanço" xfId="12675"/>
    <cellStyle name="s_Valuation _DB Dados do Mercado_Açúcar Físico não embarcado - Nov08 - Conferido_DB Entrada_1_segregado_2_Relatório Gerencial_DB Entrada_1_Sistema Cosan backup 103 Retirada de relatorios_7-Estoque" xfId="12676"/>
    <cellStyle name="s_Valuation _DB Dados do Mercado_Açúcar Físico não embarcado - Nov08 - Conferido_DB Entrada_1_segregado_2_Relatório Gerencial_DB Entrada_15-FINANCEIRAS" xfId="12677"/>
    <cellStyle name="s_Valuation _DB Dados do Mercado_Açúcar Físico não embarcado - Nov08 - Conferido_DB Entrada_1_segregado_2_Relatório Gerencial_DB Entrada_15-FINANCEIRAS_1" xfId="12678"/>
    <cellStyle name="s_Valuation _DB Dados do Mercado_Açúcar Físico não embarcado - Nov08 - Conferido_DB Entrada_1_segregado_2_Relatório Gerencial_DB Entrada_3-Balanço" xfId="12679"/>
    <cellStyle name="s_Valuation _DB Dados do Mercado_Açúcar Físico não embarcado - Nov08 - Conferido_DB Entrada_1_segregado_2_Relatório Gerencial_DB Entrada_7-Estoque" xfId="12680"/>
    <cellStyle name="s_Valuation _DB Dados do Mercado_Açúcar Físico não embarcado - Nov08 - Conferido_DB Entrada_1_segregado_2_Relatório Gerencial_DB Entrada_Relatório Gerencial" xfId="12681"/>
    <cellStyle name="s_Valuation _DB Dados do Mercado_Açúcar Físico não embarcado - Nov08 - Conferido_DB Entrada_1_segregado_2_Relatório Gerencial_DB Entrada_Relatório Gerencial 2" xfId="12682"/>
    <cellStyle name="s_Valuation _DB Dados do Mercado_Açúcar Físico não embarcado - Nov08 - Conferido_DB Entrada_1_segregado_2_Relatório Gerencial_DB Entrada_Relatório Gerencial 2_15-FINANCEIRAS" xfId="12683"/>
    <cellStyle name="s_Valuation _DB Dados do Mercado_Açúcar Físico não embarcado - Nov08 - Conferido_DB Entrada_1_segregado_2_Relatório Gerencial_DB Entrada_Relatório Gerencial_15-FINANCEIRAS" xfId="12684"/>
    <cellStyle name="s_Valuation _DB Dados do Mercado_Açúcar Físico não embarcado - Nov08 - Conferido_DB Entrada_1_segregado_2_Relatório Gerencial_DB Entrada_Relatório Gerencial_15-FINANCEIRAS_1" xfId="12685"/>
    <cellStyle name="s_Valuation _DB Dados do Mercado_Açúcar Físico não embarcado - Nov08 - Conferido_DB Entrada_1_segregado_2_Relatório Gerencial_DB Entrada_Relatório Gerencial_3-Balanço" xfId="12686"/>
    <cellStyle name="s_Valuation _DB Dados do Mercado_Açúcar Físico não embarcado - Nov08 - Conferido_DB Entrada_1_segregado_2_Relatório Gerencial_DB Entrada_Relatório Gerencial_7-Estoque" xfId="12687"/>
    <cellStyle name="s_Valuation _DB Dados do Mercado_Açúcar Físico não embarcado - Nov08 - Conferido_DB Entrada_1_segregado_2_Relatório Gerencial_DB Entrada_Relatório Gerencial_DB Entrada" xfId="12688"/>
    <cellStyle name="s_Valuation _DB Dados do Mercado_Açúcar Físico não embarcado - Nov08 - Conferido_DB Entrada_1_segregado_2_Relatório Gerencial_DB Entrada_Relatório Gerencial_DB Entrada 2" xfId="12689"/>
    <cellStyle name="s_Valuation _DB Dados do Mercado_Açúcar Físico não embarcado - Nov08 - Conferido_DB Entrada_1_segregado_2_Relatório Gerencial_DB Entrada_Relatório Gerencial_DB Entrada 2_15-FINANCEIRAS" xfId="12690"/>
    <cellStyle name="s_Valuation _DB Dados do Mercado_Açúcar Físico não embarcado - Nov08 - Conferido_DB Entrada_1_segregado_2_Relatório Gerencial_DB Entrada_Relatório Gerencial_DB Entrada_15-FINANCEIRAS" xfId="12691"/>
    <cellStyle name="s_Valuation _DB Dados do Mercado_Açúcar Físico não embarcado - Nov08 - Conferido_DB Entrada_1_segregado_2_Relatório Gerencial_DB Entrada_Relatório Gerencial_DB Entrada_15-FINANCEIRAS_1" xfId="12692"/>
    <cellStyle name="s_Valuation _DB Dados do Mercado_Açúcar Físico não embarcado - Nov08 - Conferido_DB Entrada_1_segregado_2_Relatório Gerencial_DB Entrada_Relatório Gerencial_DB Entrada_3-Balanço" xfId="12693"/>
    <cellStyle name="s_Valuation _DB Dados do Mercado_Açúcar Físico não embarcado - Nov08 - Conferido_DB Entrada_1_segregado_2_Relatório Gerencial_DB Entrada_Relatório Gerencial_DB Entrada_7-Estoque" xfId="12694"/>
    <cellStyle name="s_Valuation _DB Dados do Mercado_Açúcar Físico não embarcado - Nov08 - Conferido_DB Entrada_1_segregado_2_Relatório Gerencial_DB Exposição" xfId="12695"/>
    <cellStyle name="s_Valuation _DB Dados do Mercado_Açúcar Físico não embarcado - Nov08 - Conferido_DB Entrada_1_segregado_2_Relatório Gerencial_DB Exposição 2" xfId="12696"/>
    <cellStyle name="s_Valuation _DB Dados do Mercado_Açúcar Físico não embarcado - Nov08 - Conferido_DB Entrada_1_segregado_2_Relatório Gerencial_DB Exposição 2_15-FINANCEIRAS" xfId="12697"/>
    <cellStyle name="s_Valuation _DB Dados do Mercado_Açúcar Físico não embarcado - Nov08 - Conferido_DB Entrada_1_segregado_2_Relatório Gerencial_DB Exposição_15-FINANCEIRAS" xfId="12698"/>
    <cellStyle name="s_Valuation _DB Dados do Mercado_Açúcar Físico não embarcado - Nov08 - Conferido_DB Entrada_1_segregado_2_Relatório Gerencial_DB Exposição_15-FINANCEIRAS_1" xfId="12699"/>
    <cellStyle name="s_Valuation _DB Dados do Mercado_Açúcar Físico não embarcado - Nov08 - Conferido_DB Entrada_1_segregado_2_Relatório Gerencial_DB Exposição_3-Balanço" xfId="12700"/>
    <cellStyle name="s_Valuation _DB Dados do Mercado_Açúcar Físico não embarcado - Nov08 - Conferido_DB Entrada_1_segregado_2_Relatório Gerencial_DB Exposição_7-Estoque" xfId="12701"/>
    <cellStyle name="s_Valuation _DB Dados do Mercado_Açúcar Físico não embarcado - Nov08 - Conferido_DB Entrada_1_segregado_2_Relatório Gerencial_DB Exposição_Relatório Gerencial" xfId="12702"/>
    <cellStyle name="s_Valuation _DB Dados do Mercado_Açúcar Físico não embarcado - Nov08 - Conferido_DB Entrada_1_segregado_2_Relatório Gerencial_DB Exposição_Relatório Gerencial 2" xfId="12703"/>
    <cellStyle name="s_Valuation _DB Dados do Mercado_Açúcar Físico não embarcado - Nov08 - Conferido_DB Entrada_1_segregado_2_Relatório Gerencial_DB Exposição_Relatório Gerencial 2_15-FINANCEIRAS" xfId="12704"/>
    <cellStyle name="s_Valuation _DB Dados do Mercado_Açúcar Físico não embarcado - Nov08 - Conferido_DB Entrada_1_segregado_2_Relatório Gerencial_DB Exposição_Relatório Gerencial_15-FINANCEIRAS" xfId="12705"/>
    <cellStyle name="s_Valuation _DB Dados do Mercado_Açúcar Físico não embarcado - Nov08 - Conferido_DB Entrada_1_segregado_2_Relatório Gerencial_DB Exposição_Relatório Gerencial_15-FINANCEIRAS_1" xfId="12706"/>
    <cellStyle name="s_Valuation _DB Dados do Mercado_Açúcar Físico não embarcado - Nov08 - Conferido_DB Entrada_1_segregado_2_Relatório Gerencial_DB Exposição_Relatório Gerencial_3-Balanço" xfId="12707"/>
    <cellStyle name="s_Valuation _DB Dados do Mercado_Açúcar Físico não embarcado - Nov08 - Conferido_DB Entrada_1_segregado_2_Relatório Gerencial_DB Exposição_Relatório Gerencial_7-Estoque" xfId="12708"/>
    <cellStyle name="s_Valuation _DB Dados do Mercado_Açúcar Físico não embarcado - Nov08 - Conferido_DB Entrada_1_segregado_2_Relatório Gerencial_DB Exposição_Relatório Gerencial_DB Entrada" xfId="12709"/>
    <cellStyle name="s_Valuation _DB Dados do Mercado_Açúcar Físico não embarcado - Nov08 - Conferido_DB Entrada_1_segregado_2_Relatório Gerencial_DB Exposição_Relatório Gerencial_DB Entrada 2" xfId="12710"/>
    <cellStyle name="s_Valuation _DB Dados do Mercado_Açúcar Físico não embarcado - Nov08 - Conferido_DB Entrada_1_segregado_2_Relatório Gerencial_DB Exposição_Relatório Gerencial_DB Entrada 2_15-FINANCEIRAS" xfId="12711"/>
    <cellStyle name="s_Valuation _DB Dados do Mercado_Açúcar Físico não embarcado - Nov08 - Conferido_DB Entrada_1_segregado_2_Relatório Gerencial_DB Exposição_Relatório Gerencial_DB Entrada_15-FINANCEIRAS" xfId="12712"/>
    <cellStyle name="s_Valuation _DB Dados do Mercado_Açúcar Físico não embarcado - Nov08 - Conferido_DB Entrada_1_segregado_2_Relatório Gerencial_DB Exposição_Relatório Gerencial_DB Entrada_15-FINANCEIRAS_1" xfId="12713"/>
    <cellStyle name="s_Valuation _DB Dados do Mercado_Açúcar Físico não embarcado - Nov08 - Conferido_DB Entrada_1_segregado_2_Relatório Gerencial_DB Exposição_Relatório Gerencial_DB Entrada_3-Balanço" xfId="12714"/>
    <cellStyle name="s_Valuation _DB Dados do Mercado_Açúcar Físico não embarcado - Nov08 - Conferido_DB Entrada_1_segregado_2_Relatório Gerencial_DB Exposição_Relatório Gerencial_DB Entrada_7-Estoque" xfId="12715"/>
    <cellStyle name="s_Valuation _DB Dados do Mercado_Açúcar Físico não embarcado - Nov08 - Conferido_DB Entrada_1_segregado_2_Relatório Gerencial_DB Posição" xfId="12716"/>
    <cellStyle name="s_Valuation _DB Dados do Mercado_Açúcar Físico não embarcado - Nov08 - Conferido_DB Entrada_1_segregado_2_Relatório Gerencial_DB Posição 2" xfId="12717"/>
    <cellStyle name="s_Valuation _DB Dados do Mercado_Açúcar Físico não embarcado - Nov08 - Conferido_DB Entrada_1_segregado_2_Relatório Gerencial_DB Posição 2_15-FINANCEIRAS" xfId="12718"/>
    <cellStyle name="s_Valuation _DB Dados do Mercado_Açúcar Físico não embarcado - Nov08 - Conferido_DB Entrada_1_segregado_2_Relatório Gerencial_DB Posição_15-FINANCEIRAS" xfId="12719"/>
    <cellStyle name="s_Valuation _DB Dados do Mercado_Açúcar Físico não embarcado - Nov08 - Conferido_DB Entrada_1_segregado_2_Relatório Gerencial_DB Posição_15-FINANCEIRAS_1" xfId="12720"/>
    <cellStyle name="s_Valuation _DB Dados do Mercado_Açúcar Físico não embarcado - Nov08 - Conferido_DB Entrada_1_segregado_2_Relatório Gerencial_DB Posição_3-Balanço" xfId="12721"/>
    <cellStyle name="s_Valuation _DB Dados do Mercado_Açúcar Físico não embarcado - Nov08 - Conferido_DB Entrada_1_segregado_2_Relatório Gerencial_DB Posição_7-Estoque" xfId="12722"/>
    <cellStyle name="s_Valuation _DB Dados do Mercado_Açúcar Físico não embarcado - Nov08 - Conferido_DB Entrada_1_segregado_2_Relatório Gerencial_Relatório de Commodities" xfId="12723"/>
    <cellStyle name="s_Valuation _DB Dados do Mercado_Açúcar Físico não embarcado - Nov08 - Conferido_DB Entrada_1_segregado_2_Relatório Gerencial_Relatório de Commodities 2" xfId="12724"/>
    <cellStyle name="s_Valuation _DB Dados do Mercado_Açúcar Físico não embarcado - Nov08 - Conferido_DB Entrada_1_segregado_2_Relatório Gerencial_Relatório de Commodities 2_15-FINANCEIRAS" xfId="12725"/>
    <cellStyle name="s_Valuation _DB Dados do Mercado_Açúcar Físico não embarcado - Nov08 - Conferido_DB Entrada_1_segregado_2_Relatório Gerencial_Relatório de Commodities_15-FINANCEIRAS" xfId="12726"/>
    <cellStyle name="s_Valuation _DB Dados do Mercado_Açúcar Físico não embarcado - Nov08 - Conferido_DB Entrada_1_segregado_2_Relatório Gerencial_Relatório de Commodities_15-FINANCEIRAS_1" xfId="12727"/>
    <cellStyle name="s_Valuation _DB Dados do Mercado_Açúcar Físico não embarcado - Nov08 - Conferido_DB Entrada_1_segregado_2_Relatório Gerencial_Relatório de Commodities_3-Balanço" xfId="12728"/>
    <cellStyle name="s_Valuation _DB Dados do Mercado_Açúcar Físico não embarcado - Nov08 - Conferido_DB Entrada_1_segregado_2_Relatório Gerencial_Relatório de Commodities_7-Estoque" xfId="12729"/>
    <cellStyle name="s_Valuation _DB Dados do Mercado_Açúcar Físico não embarcado - Nov08 - Conferido_DB Entrada_1_segregado_2_Relatório Gerencial_Relatório de Commodities_Relatório Gerencial" xfId="12730"/>
    <cellStyle name="s_Valuation _DB Dados do Mercado_Açúcar Físico não embarcado - Nov08 - Conferido_DB Entrada_1_segregado_2_Relatório Gerencial_Relatório de Commodities_Relatório Gerencial 2" xfId="12731"/>
    <cellStyle name="s_Valuation _DB Dados do Mercado_Açúcar Físico não embarcado - Nov08 - Conferido_DB Entrada_1_segregado_2_Relatório Gerencial_Relatório de Commodities_Relatório Gerencial 2_15-FINANCEIRAS" xfId="12732"/>
    <cellStyle name="s_Valuation _DB Dados do Mercado_Açúcar Físico não embarcado - Nov08 - Conferido_DB Entrada_1_segregado_2_Relatório Gerencial_Relatório de Commodities_Relatório Gerencial_15-FINANCEIRAS" xfId="12733"/>
    <cellStyle name="s_Valuation _DB Dados do Mercado_Açúcar Físico não embarcado - Nov08 - Conferido_DB Entrada_1_segregado_2_Relatório Gerencial_Relatório de Commodities_Relatório Gerencial_15-FINANCEIRAS_1" xfId="12734"/>
    <cellStyle name="s_Valuation _DB Dados do Mercado_Açúcar Físico não embarcado - Nov08 - Conferido_DB Entrada_1_segregado_2_Relatório Gerencial_Relatório de Commodities_Relatório Gerencial_3-Balanço" xfId="12735"/>
    <cellStyle name="s_Valuation _DB Dados do Mercado_Açúcar Físico não embarcado - Nov08 - Conferido_DB Entrada_1_segregado_2_Relatório Gerencial_Relatório de Commodities_Relatório Gerencial_7-Estoque" xfId="12736"/>
    <cellStyle name="s_Valuation _DB Dados do Mercado_Açúcar Físico não embarcado - Nov08 - Conferido_DB Entrada_1_segregado_2_Relatório Gerencial_Relatório de Commodities_Relatório Gerencial_DB Entrada" xfId="12737"/>
    <cellStyle name="s_Valuation _DB Dados do Mercado_Açúcar Físico não embarcado - Nov08 - Conferido_DB Entrada_1_segregado_2_Relatório Gerencial_Relatório de Commodities_Relatório Gerencial_DB Entrada 2" xfId="12738"/>
    <cellStyle name="s_Valuation _DB Dados do Mercado_Açúcar Físico não embarcado - Nov08 - Conferido_DB Entrada_1_segregado_2_Relatório Gerencial_Relatório de Commodities_Relatório Gerencial_DB Entrada 2_15-FINANCEIRAS" xfId="12739"/>
    <cellStyle name="s_Valuation _DB Dados do Mercado_Açúcar Físico não embarcado - Nov08 - Conferido_DB Entrada_1_segregado_2_Relatório Gerencial_Relatório de Commodities_Relatório Gerencial_DB Entrada_15-FINANCEIRAS" xfId="12740"/>
    <cellStyle name="s_Valuation _DB Dados do Mercado_Açúcar Físico não embarcado - Nov08 - Conferido_DB Entrada_1_segregado_2_Relatório Gerencial_Relatório de Commodities_Relatório Gerencial_DB Entrada_15-FINANCEIRAS_1" xfId="12741"/>
    <cellStyle name="s_Valuation _DB Dados do Mercado_Açúcar Físico não embarcado - Nov08 - Conferido_DB Entrada_1_segregado_2_Relatório Gerencial_Relatório de Commodities_Relatório Gerencial_DB Entrada_3-Balanço" xfId="12742"/>
    <cellStyle name="s_Valuation _DB Dados do Mercado_Açúcar Físico não embarcado - Nov08 - Conferido_DB Entrada_1_segregado_2_Relatório Gerencial_Relatório de Commodities_Relatório Gerencial_DB Entrada_7-Estoque" xfId="12743"/>
    <cellStyle name="s_Valuation _DB Dados do Mercado_Açúcar Físico não embarcado - Nov08 - Conferido_DB Entrada_1_segregado_2_Relatório Gerencial_Relatório Fechamento" xfId="12744"/>
    <cellStyle name="s_Valuation _DB Dados do Mercado_Açúcar Físico não embarcado - Nov08 - Conferido_DB Entrada_1_segregado_2_Relatório Gerencial_Relatório Fechamento 2" xfId="12745"/>
    <cellStyle name="s_Valuation _DB Dados do Mercado_Açúcar Físico não embarcado - Nov08 - Conferido_DB Entrada_1_segregado_2_Relatório Gerencial_Relatório Fechamento 2_15-FINANCEIRAS" xfId="12746"/>
    <cellStyle name="s_Valuation _DB Dados do Mercado_Açúcar Físico não embarcado - Nov08 - Conferido_DB Entrada_1_segregado_2_Relatório Gerencial_Relatório Fechamento_15-FINANCEIRAS" xfId="12747"/>
    <cellStyle name="s_Valuation _DB Dados do Mercado_Açúcar Físico não embarcado - Nov08 - Conferido_DB Entrada_1_segregado_2_Relatório Gerencial_Relatório Fechamento_15-FINANCEIRAS_1" xfId="12748"/>
    <cellStyle name="s_Valuation _DB Dados do Mercado_Açúcar Físico não embarcado - Nov08 - Conferido_DB Entrada_1_segregado_2_Relatório Gerencial_Relatório Fechamento_3-Balanço" xfId="12749"/>
    <cellStyle name="s_Valuation _DB Dados do Mercado_Açúcar Físico não embarcado - Nov08 - Conferido_DB Entrada_1_segregado_2_Relatório Gerencial_Relatório Fechamento_7-Estoque" xfId="12750"/>
    <cellStyle name="s_Valuation _DB Dados do Mercado_Açúcar Físico não embarcado - Nov08 - Conferido_DB Entrada_1_segregado_2_Relatório Gerencial_Relatório Gerencial" xfId="12751"/>
    <cellStyle name="s_Valuation _DB Dados do Mercado_Açúcar Físico não embarcado - Nov08 - Conferido_DB Entrada_1_segregado_2_Relatório Gerencial_Relatório Gerencial 2" xfId="12752"/>
    <cellStyle name="s_Valuation _DB Dados do Mercado_Açúcar Físico não embarcado - Nov08 - Conferido_DB Entrada_1_segregado_2_Relatório Gerencial_Relatório Gerencial 2_15-FINANCEIRAS" xfId="12753"/>
    <cellStyle name="s_Valuation _DB Dados do Mercado_Açúcar Físico não embarcado - Nov08 - Conferido_DB Entrada_1_segregado_2_Relatório Gerencial_Relatório Gerencial_1" xfId="12754"/>
    <cellStyle name="s_Valuation _DB Dados do Mercado_Açúcar Físico não embarcado - Nov08 - Conferido_DB Entrada_1_segregado_2_Relatório Gerencial_Relatório Gerencial_1 2" xfId="12755"/>
    <cellStyle name="s_Valuation _DB Dados do Mercado_Açúcar Físico não embarcado - Nov08 - Conferido_DB Entrada_1_segregado_2_Relatório Gerencial_Relatório Gerencial_1 2_15-FINANCEIRAS" xfId="12756"/>
    <cellStyle name="s_Valuation _DB Dados do Mercado_Açúcar Físico não embarcado - Nov08 - Conferido_DB Entrada_1_segregado_2_Relatório Gerencial_Relatório Gerencial_1_15-FINANCEIRAS" xfId="12757"/>
    <cellStyle name="s_Valuation _DB Dados do Mercado_Açúcar Físico não embarcado - Nov08 - Conferido_DB Entrada_1_segregado_2_Relatório Gerencial_Relatório Gerencial_1_15-FINANCEIRAS_1" xfId="12758"/>
    <cellStyle name="s_Valuation _DB Dados do Mercado_Açúcar Físico não embarcado - Nov08 - Conferido_DB Entrada_1_segregado_2_Relatório Gerencial_Relatório Gerencial_1_3-Balanço" xfId="12759"/>
    <cellStyle name="s_Valuation _DB Dados do Mercado_Açúcar Físico não embarcado - Nov08 - Conferido_DB Entrada_1_segregado_2_Relatório Gerencial_Relatório Gerencial_1_7-Estoque" xfId="12760"/>
    <cellStyle name="s_Valuation _DB Dados do Mercado_Açúcar Físico não embarcado - Nov08 - Conferido_DB Entrada_1_segregado_2_Relatório Gerencial_Relatório Gerencial_1_DB Entrada" xfId="12761"/>
    <cellStyle name="s_Valuation _DB Dados do Mercado_Açúcar Físico não embarcado - Nov08 - Conferido_DB Entrada_1_segregado_2_Relatório Gerencial_Relatório Gerencial_1_DB Entrada 2" xfId="12762"/>
    <cellStyle name="s_Valuation _DB Dados do Mercado_Açúcar Físico não embarcado - Nov08 - Conferido_DB Entrada_1_segregado_2_Relatório Gerencial_Relatório Gerencial_1_DB Entrada 2_15-FINANCEIRAS" xfId="12763"/>
    <cellStyle name="s_Valuation _DB Dados do Mercado_Açúcar Físico não embarcado - Nov08 - Conferido_DB Entrada_1_segregado_2_Relatório Gerencial_Relatório Gerencial_1_DB Entrada_15-FINANCEIRAS" xfId="12764"/>
    <cellStyle name="s_Valuation _DB Dados do Mercado_Açúcar Físico não embarcado - Nov08 - Conferido_DB Entrada_1_segregado_2_Relatório Gerencial_Relatório Gerencial_1_DB Entrada_15-FINANCEIRAS_1" xfId="12765"/>
    <cellStyle name="s_Valuation _DB Dados do Mercado_Açúcar Físico não embarcado - Nov08 - Conferido_DB Entrada_1_segregado_2_Relatório Gerencial_Relatório Gerencial_1_DB Entrada_3-Balanço" xfId="12766"/>
    <cellStyle name="s_Valuation _DB Dados do Mercado_Açúcar Físico não embarcado - Nov08 - Conferido_DB Entrada_1_segregado_2_Relatório Gerencial_Relatório Gerencial_1_DB Entrada_7-Estoque" xfId="12767"/>
    <cellStyle name="s_Valuation _DB Dados do Mercado_Açúcar Físico não embarcado - Nov08 - Conferido_DB Entrada_1_segregado_2_Relatório Gerencial_Relatório Gerencial_15-FINANCEIRAS" xfId="12768"/>
    <cellStyle name="s_Valuation _DB Dados do Mercado_Açúcar Físico não embarcado - Nov08 - Conferido_DB Entrada_1_segregado_2_Relatório Gerencial_Relatório Gerencial_15-FINANCEIRAS_1" xfId="12769"/>
    <cellStyle name="s_Valuation _DB Dados do Mercado_Açúcar Físico não embarcado - Nov08 - Conferido_DB Entrada_1_segregado_2_Relatório Gerencial_Relatório Gerencial_3-Balanço" xfId="12770"/>
    <cellStyle name="s_Valuation _DB Dados do Mercado_Açúcar Físico não embarcado - Nov08 - Conferido_DB Entrada_1_segregado_2_Relatório Gerencial_Relatório Gerencial_7-Estoque" xfId="12771"/>
    <cellStyle name="s_Valuation _DB Dados do Mercado_Açúcar Físico não embarcado - Nov08 - Conferido_DB Entrada_1_segregado_2_Relatório Gerencial_Sistema Cosan backup 103 Retirada de relatorios" xfId="12772"/>
    <cellStyle name="s_Valuation _DB Dados do Mercado_Açúcar Físico não embarcado - Nov08 - Conferido_DB Entrada_1_segregado_2_Relatório Gerencial_Sistema Cosan backup 103 Retirada de relatorios 2" xfId="12773"/>
    <cellStyle name="s_Valuation _DB Dados do Mercado_Açúcar Físico não embarcado - Nov08 - Conferido_DB Entrada_1_segregado_2_Relatório Gerencial_Sistema Cosan backup 103 Retirada de relatorios 2_15-FINANCEIRAS" xfId="12774"/>
    <cellStyle name="s_Valuation _DB Dados do Mercado_Açúcar Físico não embarcado - Nov08 - Conferido_DB Entrada_1_segregado_2_Relatório Gerencial_Sistema Cosan backup 103 Retirada de relatorios_15-FINANCEIRAS" xfId="12775"/>
    <cellStyle name="s_Valuation _DB Dados do Mercado_Açúcar Físico não embarcado - Nov08 - Conferido_DB Entrada_1_segregado_2_Relatório Gerencial_Sistema Cosan backup 103 Retirada de relatorios_15-FINANCEIRAS_1" xfId="12776"/>
    <cellStyle name="s_Valuation _DB Dados do Mercado_Açúcar Físico não embarcado - Nov08 - Conferido_DB Entrada_1_segregado_2_Relatório Gerencial_Sistema Cosan backup 103 Retirada de relatorios_3-Balanço" xfId="12777"/>
    <cellStyle name="s_Valuation _DB Dados do Mercado_Açúcar Físico não embarcado - Nov08 - Conferido_DB Entrada_1_segregado_2_Relatório Gerencial_Sistema Cosan backup 103 Retirada de relatorios_7-Estoque" xfId="12778"/>
    <cellStyle name="s_Valuation _DB Dados do Mercado_Açúcar Físico não embarcado - Nov08 - Conferido_DB Entrada_1_segregado_2_Sistema Cosan backup 103 Retirada de relatorios" xfId="12779"/>
    <cellStyle name="s_Valuation _DB Dados do Mercado_Açúcar Físico não embarcado - Nov08 - Conferido_DB Entrada_1_segregado_2_Sistema Cosan backup 103 Retirada de relatorios 2" xfId="12780"/>
    <cellStyle name="s_Valuation _DB Dados do Mercado_Açúcar Físico não embarcado - Nov08 - Conferido_DB Entrada_1_segregado_2_Sistema Cosan backup 103 Retirada de relatorios 2_15-FINANCEIRAS" xfId="12781"/>
    <cellStyle name="s_Valuation _DB Dados do Mercado_Açúcar Físico não embarcado - Nov08 - Conferido_DB Entrada_1_segregado_2_Sistema Cosan backup 103 Retirada de relatorios_15-FINANCEIRAS" xfId="12782"/>
    <cellStyle name="s_Valuation _DB Dados do Mercado_Açúcar Físico não embarcado - Nov08 - Conferido_DB Entrada_1_segregado_2_Sistema Cosan backup 103 Retirada de relatorios_15-FINANCEIRAS_1" xfId="12783"/>
    <cellStyle name="s_Valuation _DB Dados do Mercado_Açúcar Físico não embarcado - Nov08 - Conferido_DB Entrada_1_segregado_2_Sistema Cosan backup 103 Retirada de relatorios_3-Balanço" xfId="12784"/>
    <cellStyle name="s_Valuation _DB Dados do Mercado_Açúcar Físico não embarcado - Nov08 - Conferido_DB Entrada_1_segregado_2_Sistema Cosan backup 103 Retirada de relatorios_7-Estoque" xfId="12785"/>
    <cellStyle name="s_Valuation _DB Dados do Mercado_Açúcar Físico não embarcado - Nov08 - Conferido_DB Entrada_1_segregado_3-Balanço" xfId="12786"/>
    <cellStyle name="s_Valuation _DB Dados do Mercado_Açúcar Físico não embarcado - Nov08 - Conferido_DB Entrada_1_segregado_7-Estoque" xfId="12787"/>
    <cellStyle name="s_Valuation _DB Dados do Mercado_Açúcar Físico não embarcado - Nov08 - Conferido_DB Entrada_1_segregado_Relatório Gerencial" xfId="12788"/>
    <cellStyle name="s_Valuation _DB Dados do Mercado_Açúcar Físico não embarcado - Nov08 - Conferido_DB Entrada_1_segregado_Relatório Gerencial 2" xfId="12789"/>
    <cellStyle name="s_Valuation _DB Dados do Mercado_Açúcar Físico não embarcado - Nov08 - Conferido_DB Entrada_1_segregado_Relatório Gerencial 2_15-FINANCEIRAS" xfId="12790"/>
    <cellStyle name="s_Valuation _DB Dados do Mercado_Açúcar Físico não embarcado - Nov08 - Conferido_DB Entrada_1_segregado_Relatório Gerencial_15-FINANCEIRAS" xfId="12791"/>
    <cellStyle name="s_Valuation _DB Dados do Mercado_Açúcar Físico não embarcado - Nov08 - Conferido_DB Entrada_1_segregado_Relatório Gerencial_15-FINANCEIRAS_1" xfId="12792"/>
    <cellStyle name="s_Valuation _DB Dados do Mercado_Açúcar Físico não embarcado - Nov08 - Conferido_DB Entrada_1_segregado_Relatório Gerencial_3-Balanço" xfId="12793"/>
    <cellStyle name="s_Valuation _DB Dados do Mercado_Açúcar Físico não embarcado - Nov08 - Conferido_DB Entrada_1_segregado_Relatório Gerencial_7-Estoque" xfId="12794"/>
    <cellStyle name="s_Valuation _DB Dados do Mercado_Açúcar Físico não embarcado - Nov08 - Conferido_DB Entrada_1_segregado_Relatório Gerencial_DB Entrada" xfId="12795"/>
    <cellStyle name="s_Valuation _DB Dados do Mercado_Açúcar Físico não embarcado - Nov08 - Conferido_DB Entrada_1_segregado_Relatório Gerencial_DB Entrada 2" xfId="12796"/>
    <cellStyle name="s_Valuation _DB Dados do Mercado_Açúcar Físico não embarcado - Nov08 - Conferido_DB Entrada_1_segregado_Relatório Gerencial_DB Entrada 2_15-FINANCEIRAS" xfId="12797"/>
    <cellStyle name="s_Valuation _DB Dados do Mercado_Açúcar Físico não embarcado - Nov08 - Conferido_DB Entrada_1_segregado_Relatório Gerencial_DB Entrada_15-FINANCEIRAS" xfId="12798"/>
    <cellStyle name="s_Valuation _DB Dados do Mercado_Açúcar Físico não embarcado - Nov08 - Conferido_DB Entrada_1_segregado_Relatório Gerencial_DB Entrada_15-FINANCEIRAS_1" xfId="12799"/>
    <cellStyle name="s_Valuation _DB Dados do Mercado_Açúcar Físico não embarcado - Nov08 - Conferido_DB Entrada_1_segregado_Relatório Gerencial_DB Entrada_3-Balanço" xfId="12800"/>
    <cellStyle name="s_Valuation _DB Dados do Mercado_Açúcar Físico não embarcado - Nov08 - Conferido_DB Entrada_1_segregado_Relatório Gerencial_DB Entrada_7-Estoque" xfId="12801"/>
    <cellStyle name="s_Valuation _DB Dados do Mercado_Açúcar Físico não embarcado - Nov08 - Conferido_DB Entrada_1_Sistema Cosan backup 103 Retirada de relatorios" xfId="12802"/>
    <cellStyle name="s_Valuation _DB Dados do Mercado_Açúcar Físico não embarcado - Nov08 - Conferido_DB Entrada_1_Sistema Cosan backup 103 Retirada de relatorios 2" xfId="12803"/>
    <cellStyle name="s_Valuation _DB Dados do Mercado_Açúcar Físico não embarcado - Nov08 - Conferido_DB Entrada_1_Sistema Cosan backup 103 Retirada de relatorios 2_15-FINANCEIRAS" xfId="12804"/>
    <cellStyle name="s_Valuation _DB Dados do Mercado_Açúcar Físico não embarcado - Nov08 - Conferido_DB Entrada_1_Sistema Cosan backup 103 Retirada de relatorios_15-FINANCEIRAS" xfId="12805"/>
    <cellStyle name="s_Valuation _DB Dados do Mercado_Açúcar Físico não embarcado - Nov08 - Conferido_DB Entrada_1_Sistema Cosan backup 103 Retirada de relatorios_15-FINANCEIRAS_1" xfId="12806"/>
    <cellStyle name="s_Valuation _DB Dados do Mercado_Açúcar Físico não embarcado - Nov08 - Conferido_DB Entrada_1_Sistema Cosan backup 103 Retirada de relatorios_3-Balanço" xfId="12807"/>
    <cellStyle name="s_Valuation _DB Dados do Mercado_Açúcar Físico não embarcado - Nov08 - Conferido_DB Entrada_1_Sistema Cosan backup 103 Retirada de relatorios_7-Estoque" xfId="12808"/>
    <cellStyle name="s_Valuation _DB Dados do Mercado_Açúcar Físico não embarcado - Nov08 - Conferido_DB Entrada_1_Sugar #11" xfId="12809"/>
    <cellStyle name="s_Valuation _DB Dados do Mercado_Açúcar Físico não embarcado - Nov08 - Conferido_DB Entrada_1_Sugar #11 2" xfId="12810"/>
    <cellStyle name="s_Valuation _DB Dados do Mercado_Açúcar Físico não embarcado - Nov08 - Conferido_DB Entrada_1_Sugar #11 2_15-FINANCEIRAS" xfId="12811"/>
    <cellStyle name="s_Valuation _DB Dados do Mercado_Açúcar Físico não embarcado - Nov08 - Conferido_DB Entrada_1_Sugar #11_15-FINANCEIRAS" xfId="12812"/>
    <cellStyle name="s_Valuation _DB Dados do Mercado_Açúcar Físico não embarcado - Nov08 - Conferido_DB Entrada_1_Sugar #11_15-FINANCEIRAS_1" xfId="12813"/>
    <cellStyle name="s_Valuation _DB Dados do Mercado_Açúcar Físico não embarcado - Nov08 - Conferido_DB Entrada_1_Sugar #11_3-Balanço" xfId="12814"/>
    <cellStyle name="s_Valuation _DB Dados do Mercado_Açúcar Físico não embarcado - Nov08 - Conferido_DB Entrada_1_Sugar #11_7-Estoque" xfId="12815"/>
    <cellStyle name="s_Valuation _DB Dados do Mercado_Açúcar Físico não embarcado - Nov08 - Conferido_DB Entrada_1_Sugar #11_Relatório Gerencial" xfId="12816"/>
    <cellStyle name="s_Valuation _DB Dados do Mercado_Açúcar Físico não embarcado - Nov08 - Conferido_DB Entrada_1_Sugar #11_Relatório Gerencial 2" xfId="12817"/>
    <cellStyle name="s_Valuation _DB Dados do Mercado_Açúcar Físico não embarcado - Nov08 - Conferido_DB Entrada_1_Sugar #11_Relatório Gerencial 2_15-FINANCEIRAS" xfId="12818"/>
    <cellStyle name="s_Valuation _DB Dados do Mercado_Açúcar Físico não embarcado - Nov08 - Conferido_DB Entrada_1_Sugar #11_Relatório Gerencial_15-FINANCEIRAS" xfId="12819"/>
    <cellStyle name="s_Valuation _DB Dados do Mercado_Açúcar Físico não embarcado - Nov08 - Conferido_DB Entrada_1_Sugar #11_Relatório Gerencial_15-FINANCEIRAS_1" xfId="12820"/>
    <cellStyle name="s_Valuation _DB Dados do Mercado_Açúcar Físico não embarcado - Nov08 - Conferido_DB Entrada_1_Sugar #11_Relatório Gerencial_3-Balanço" xfId="12821"/>
    <cellStyle name="s_Valuation _DB Dados do Mercado_Açúcar Físico não embarcado - Nov08 - Conferido_DB Entrada_1_Sugar #11_Relatório Gerencial_7-Estoque" xfId="12822"/>
    <cellStyle name="s_Valuation _DB Dados do Mercado_Açúcar Físico não embarcado - Nov08 - Conferido_DB Entrada_1_Sugar #11_Relatório Gerencial_DB Entrada" xfId="12823"/>
    <cellStyle name="s_Valuation _DB Dados do Mercado_Açúcar Físico não embarcado - Nov08 - Conferido_DB Entrada_1_Sugar #11_Relatório Gerencial_DB Entrada 2" xfId="12824"/>
    <cellStyle name="s_Valuation _DB Dados do Mercado_Açúcar Físico não embarcado - Nov08 - Conferido_DB Entrada_1_Sugar #11_Relatório Gerencial_DB Entrada 2_15-FINANCEIRAS" xfId="12825"/>
    <cellStyle name="s_Valuation _DB Dados do Mercado_Açúcar Físico não embarcado - Nov08 - Conferido_DB Entrada_1_Sugar #11_Relatório Gerencial_DB Entrada_15-FINANCEIRAS" xfId="12826"/>
    <cellStyle name="s_Valuation _DB Dados do Mercado_Açúcar Físico não embarcado - Nov08 - Conferido_DB Entrada_1_Sugar #11_Relatório Gerencial_DB Entrada_15-FINANCEIRAS_1" xfId="12827"/>
    <cellStyle name="s_Valuation _DB Dados do Mercado_Açúcar Físico não embarcado - Nov08 - Conferido_DB Entrada_1_Sugar #11_Relatório Gerencial_DB Entrada_3-Balanço" xfId="12828"/>
    <cellStyle name="s_Valuation _DB Dados do Mercado_Açúcar Físico não embarcado - Nov08 - Conferido_DB Entrada_1_Sugar #11_Relatório Gerencial_DB Entrada_7-Estoque" xfId="12829"/>
    <cellStyle name="s_Valuation _DB Dados do Mercado_Açúcar Físico não embarcado - Nov08 - Conferido_DB Entrada_1_Sugar #5" xfId="12830"/>
    <cellStyle name="s_Valuation _DB Dados do Mercado_Açúcar Físico não embarcado - Nov08 - Conferido_DB Entrada_1_Sugar #5 2" xfId="12831"/>
    <cellStyle name="s_Valuation _DB Dados do Mercado_Açúcar Físico não embarcado - Nov08 - Conferido_DB Entrada_1_Sugar #5 2_15-FINANCEIRAS" xfId="12832"/>
    <cellStyle name="s_Valuation _DB Dados do Mercado_Açúcar Físico não embarcado - Nov08 - Conferido_DB Entrada_1_Sugar #5_15-FINANCEIRAS" xfId="12833"/>
    <cellStyle name="s_Valuation _DB Dados do Mercado_Açúcar Físico não embarcado - Nov08 - Conferido_DB Entrada_1_Sugar #5_15-FINANCEIRAS_1" xfId="12834"/>
    <cellStyle name="s_Valuation _DB Dados do Mercado_Açúcar Físico não embarcado - Nov08 - Conferido_DB Entrada_1_Sugar #5_3-Balanço" xfId="12835"/>
    <cellStyle name="s_Valuation _DB Dados do Mercado_Açúcar Físico não embarcado - Nov08 - Conferido_DB Entrada_1_Sugar #5_7-Estoque" xfId="12836"/>
    <cellStyle name="s_Valuation _DB Dados do Mercado_Açúcar Físico não embarcado - Nov08 - Conferido_DB Entrada_1_Sugar #5_Relatório Gerencial" xfId="12837"/>
    <cellStyle name="s_Valuation _DB Dados do Mercado_Açúcar Físico não embarcado - Nov08 - Conferido_DB Entrada_1_Sugar #5_Relatório Gerencial 2" xfId="12838"/>
    <cellStyle name="s_Valuation _DB Dados do Mercado_Açúcar Físico não embarcado - Nov08 - Conferido_DB Entrada_1_Sugar #5_Relatório Gerencial 2_15-FINANCEIRAS" xfId="12839"/>
    <cellStyle name="s_Valuation _DB Dados do Mercado_Açúcar Físico não embarcado - Nov08 - Conferido_DB Entrada_1_Sugar #5_Relatório Gerencial_15-FINANCEIRAS" xfId="12840"/>
    <cellStyle name="s_Valuation _DB Dados do Mercado_Açúcar Físico não embarcado - Nov08 - Conferido_DB Entrada_1_Sugar #5_Relatório Gerencial_15-FINANCEIRAS_1" xfId="12841"/>
    <cellStyle name="s_Valuation _DB Dados do Mercado_Açúcar Físico não embarcado - Nov08 - Conferido_DB Entrada_1_Sugar #5_Relatório Gerencial_3-Balanço" xfId="12842"/>
    <cellStyle name="s_Valuation _DB Dados do Mercado_Açúcar Físico não embarcado - Nov08 - Conferido_DB Entrada_1_Sugar #5_Relatório Gerencial_7-Estoque" xfId="12843"/>
    <cellStyle name="s_Valuation _DB Dados do Mercado_Açúcar Físico não embarcado - Nov08 - Conferido_DB Entrada_1_Sugar #5_Relatório Gerencial_DB Entrada" xfId="12844"/>
    <cellStyle name="s_Valuation _DB Dados do Mercado_Açúcar Físico não embarcado - Nov08 - Conferido_DB Entrada_1_Sugar #5_Relatório Gerencial_DB Entrada 2" xfId="12845"/>
    <cellStyle name="s_Valuation _DB Dados do Mercado_Açúcar Físico não embarcado - Nov08 - Conferido_DB Entrada_1_Sugar #5_Relatório Gerencial_DB Entrada 2_15-FINANCEIRAS" xfId="12846"/>
    <cellStyle name="s_Valuation _DB Dados do Mercado_Açúcar Físico não embarcado - Nov08 - Conferido_DB Entrada_1_Sugar #5_Relatório Gerencial_DB Entrada_15-FINANCEIRAS" xfId="12847"/>
    <cellStyle name="s_Valuation _DB Dados do Mercado_Açúcar Físico não embarcado - Nov08 - Conferido_DB Entrada_1_Sugar #5_Relatório Gerencial_DB Entrada_15-FINANCEIRAS_1" xfId="12848"/>
    <cellStyle name="s_Valuation _DB Dados do Mercado_Açúcar Físico não embarcado - Nov08 - Conferido_DB Entrada_1_Sugar #5_Relatório Gerencial_DB Entrada_3-Balanço" xfId="12849"/>
    <cellStyle name="s_Valuation _DB Dados do Mercado_Açúcar Físico não embarcado - Nov08 - Conferido_DB Entrada_1_Sugar #5_Relatório Gerencial_DB Entrada_7-Estoque" xfId="12850"/>
    <cellStyle name="s_Valuation _DB Dados do Mercado_Açúcar Físico não embarcado - Nov08 - Conferido_DB Entrada_15-FINANCEIRAS" xfId="12851"/>
    <cellStyle name="s_Valuation _DB Dados do Mercado_Açúcar Físico não embarcado - Nov08 - Conferido_DB Entrada_15-FINANCEIRAS_1" xfId="12852"/>
    <cellStyle name="s_Valuation _DB Dados do Mercado_Açúcar Físico não embarcado - Nov08 - Conferido_DB Entrada_3-Balanço" xfId="12853"/>
    <cellStyle name="s_Valuation _DB Dados do Mercado_Açúcar Físico não embarcado - Nov08 - Conferido_DB Entrada_7-Estoque" xfId="12854"/>
    <cellStyle name="s_Valuation _DB Dados do Mercado_Açúcar Físico não embarcado - Nov08 - Conferido_DB Entrada_Relatório Gerencial" xfId="12855"/>
    <cellStyle name="s_Valuation _DB Dados do Mercado_Açúcar Físico não embarcado - Nov08 - Conferido_DB Entrada_Relatório Gerencial 2" xfId="12856"/>
    <cellStyle name="s_Valuation _DB Dados do Mercado_Açúcar Físico não embarcado - Nov08 - Conferido_DB Entrada_Relatório Gerencial 2_15-FINANCEIRAS" xfId="12857"/>
    <cellStyle name="s_Valuation _DB Dados do Mercado_Açúcar Físico não embarcado - Nov08 - Conferido_DB Entrada_Relatório Gerencial_15-FINANCEIRAS" xfId="12858"/>
    <cellStyle name="s_Valuation _DB Dados do Mercado_Açúcar Físico não embarcado - Nov08 - Conferido_DB Entrada_Relatório Gerencial_15-FINANCEIRAS_1" xfId="12859"/>
    <cellStyle name="s_Valuation _DB Dados do Mercado_Açúcar Físico não embarcado - Nov08 - Conferido_DB Entrada_Relatório Gerencial_3-Balanço" xfId="12860"/>
    <cellStyle name="s_Valuation _DB Dados do Mercado_Açúcar Físico não embarcado - Nov08 - Conferido_DB Entrada_Relatório Gerencial_7-Estoque" xfId="12861"/>
    <cellStyle name="s_Valuation _DB Dados do Mercado_Açúcar Físico não embarcado - Nov08 - Conferido_DB Entrada_Relatório Gerencial_DB Entrada" xfId="12862"/>
    <cellStyle name="s_Valuation _DB Dados do Mercado_Açúcar Físico não embarcado - Nov08 - Conferido_DB Entrada_Relatório Gerencial_DB Entrada 2" xfId="12863"/>
    <cellStyle name="s_Valuation _DB Dados do Mercado_Açúcar Físico não embarcado - Nov08 - Conferido_DB Entrada_Relatório Gerencial_DB Entrada 2_15-FINANCEIRAS" xfId="12864"/>
    <cellStyle name="s_Valuation _DB Dados do Mercado_Açúcar Físico não embarcado - Nov08 - Conferido_DB Entrada_Relatório Gerencial_DB Entrada_15-FINANCEIRAS" xfId="12865"/>
    <cellStyle name="s_Valuation _DB Dados do Mercado_Açúcar Físico não embarcado - Nov08 - Conferido_DB Entrada_Relatório Gerencial_DB Entrada_15-FINANCEIRAS_1" xfId="12866"/>
    <cellStyle name="s_Valuation _DB Dados do Mercado_Açúcar Físico não embarcado - Nov08 - Conferido_DB Entrada_Relatório Gerencial_DB Entrada_3-Balanço" xfId="12867"/>
    <cellStyle name="s_Valuation _DB Dados do Mercado_Açúcar Físico não embarcado - Nov08 - Conferido_DB Entrada_Relatório Gerencial_DB Entrada_7-Estoque" xfId="12868"/>
    <cellStyle name="s_Valuation _DB Dados do Mercado_Açúcar Físico não embarcado - Nov08 - Conferido_DB Exposição" xfId="12869"/>
    <cellStyle name="s_Valuation _DB Dados do Mercado_Açúcar Físico não embarcado - Nov08 - Conferido_DB Exposição 2" xfId="12870"/>
    <cellStyle name="s_Valuation _DB Dados do Mercado_Açúcar Físico não embarcado - Nov08 - Conferido_DB Exposição 2_15-FINANCEIRAS" xfId="12871"/>
    <cellStyle name="s_Valuation _DB Dados do Mercado_Açúcar Físico não embarcado - Nov08 - Conferido_DB Exposição_15-FINANCEIRAS" xfId="12872"/>
    <cellStyle name="s_Valuation _DB Dados do Mercado_Açúcar Físico não embarcado - Nov08 - Conferido_DB Exposição_15-FINANCEIRAS_1" xfId="12873"/>
    <cellStyle name="s_Valuation _DB Dados do Mercado_Açúcar Físico não embarcado - Nov08 - Conferido_DB Exposição_3-Balanço" xfId="12874"/>
    <cellStyle name="s_Valuation _DB Dados do Mercado_Açúcar Físico não embarcado - Nov08 - Conferido_DB Exposição_7-Estoque" xfId="12875"/>
    <cellStyle name="s_Valuation _DB Dados do Mercado_Açúcar Físico não embarcado - Nov08 - Conferido_DB Exposição_Relatório Gerencial" xfId="12876"/>
    <cellStyle name="s_Valuation _DB Dados do Mercado_Açúcar Físico não embarcado - Nov08 - Conferido_DB Exposição_Relatório Gerencial 2" xfId="12877"/>
    <cellStyle name="s_Valuation _DB Dados do Mercado_Açúcar Físico não embarcado - Nov08 - Conferido_DB Exposição_Relatório Gerencial 2_15-FINANCEIRAS" xfId="12878"/>
    <cellStyle name="s_Valuation _DB Dados do Mercado_Açúcar Físico não embarcado - Nov08 - Conferido_DB Exposição_Relatório Gerencial_15-FINANCEIRAS" xfId="12879"/>
    <cellStyle name="s_Valuation _DB Dados do Mercado_Açúcar Físico não embarcado - Nov08 - Conferido_DB Exposição_Relatório Gerencial_15-FINANCEIRAS_1" xfId="12880"/>
    <cellStyle name="s_Valuation _DB Dados do Mercado_Açúcar Físico não embarcado - Nov08 - Conferido_DB Exposição_Relatório Gerencial_3-Balanço" xfId="12881"/>
    <cellStyle name="s_Valuation _DB Dados do Mercado_Açúcar Físico não embarcado - Nov08 - Conferido_DB Exposição_Relatório Gerencial_7-Estoque" xfId="12882"/>
    <cellStyle name="s_Valuation _DB Dados do Mercado_Açúcar Físico não embarcado - Nov08 - Conferido_DB Exposição_Relatório Gerencial_DB Entrada" xfId="12883"/>
    <cellStyle name="s_Valuation _DB Dados do Mercado_Açúcar Físico não embarcado - Nov08 - Conferido_DB Exposição_Relatório Gerencial_DB Entrada 2" xfId="12884"/>
    <cellStyle name="s_Valuation _DB Dados do Mercado_Açúcar Físico não embarcado - Nov08 - Conferido_DB Exposição_Relatório Gerencial_DB Entrada 2_15-FINANCEIRAS" xfId="12885"/>
    <cellStyle name="s_Valuation _DB Dados do Mercado_Açúcar Físico não embarcado - Nov08 - Conferido_DB Exposição_Relatório Gerencial_DB Entrada_15-FINANCEIRAS" xfId="12886"/>
    <cellStyle name="s_Valuation _DB Dados do Mercado_Açúcar Físico não embarcado - Nov08 - Conferido_DB Exposição_Relatório Gerencial_DB Entrada_15-FINANCEIRAS_1" xfId="12887"/>
    <cellStyle name="s_Valuation _DB Dados do Mercado_Açúcar Físico não embarcado - Nov08 - Conferido_DB Exposição_Relatório Gerencial_DB Entrada_3-Balanço" xfId="12888"/>
    <cellStyle name="s_Valuation _DB Dados do Mercado_Açúcar Físico não embarcado - Nov08 - Conferido_DB Exposição_Relatório Gerencial_DB Entrada_7-Estoque" xfId="12889"/>
    <cellStyle name="s_Valuation _DB Dados do Mercado_Açúcar Físico não embarcado - Nov08 - Conferido_DB Posição" xfId="12890"/>
    <cellStyle name="s_Valuation _DB Dados do Mercado_Açúcar Físico não embarcado - Nov08 - Conferido_DB Posição 2" xfId="12891"/>
    <cellStyle name="s_Valuation _DB Dados do Mercado_Açúcar Físico não embarcado - Nov08 - Conferido_DB Posição 2_15-FINANCEIRAS" xfId="12892"/>
    <cellStyle name="s_Valuation _DB Dados do Mercado_Açúcar Físico não embarcado - Nov08 - Conferido_DB Posição_15-FINANCEIRAS" xfId="12893"/>
    <cellStyle name="s_Valuation _DB Dados do Mercado_Açúcar Físico não embarcado - Nov08 - Conferido_DB Posição_15-FINANCEIRAS_1" xfId="12894"/>
    <cellStyle name="s_Valuation _DB Dados do Mercado_Açúcar Físico não embarcado - Nov08 - Conferido_DB Posição_3-Balanço" xfId="12895"/>
    <cellStyle name="s_Valuation _DB Dados do Mercado_Açúcar Físico não embarcado - Nov08 - Conferido_DB Posição_7-Estoque" xfId="12896"/>
    <cellStyle name="s_Valuation _DB Dados do Mercado_Açúcar Físico não embarcado - Nov08 - Conferido_Dólar" xfId="12897"/>
    <cellStyle name="s_Valuation _DB Dados do Mercado_Açúcar Físico não embarcado - Nov08 - Conferido_Dólar + NDF" xfId="12898"/>
    <cellStyle name="s_Valuation _DB Dados do Mercado_Açúcar Físico não embarcado - Nov08 - Conferido_Dólar + NDF 2" xfId="12899"/>
    <cellStyle name="s_Valuation _DB Dados do Mercado_Açúcar Físico não embarcado - Nov08 - Conferido_Dólar + NDF 2_15-FINANCEIRAS" xfId="12900"/>
    <cellStyle name="s_Valuation _DB Dados do Mercado_Açúcar Físico não embarcado - Nov08 - Conferido_Dólar + NDF_15-FINANCEIRAS" xfId="12901"/>
    <cellStyle name="s_Valuation _DB Dados do Mercado_Açúcar Físico não embarcado - Nov08 - Conferido_Dólar + NDF_15-FINANCEIRAS_1" xfId="12902"/>
    <cellStyle name="s_Valuation _DB Dados do Mercado_Açúcar Físico não embarcado - Nov08 - Conferido_Dólar + NDF_3-Balanço" xfId="12903"/>
    <cellStyle name="s_Valuation _DB Dados do Mercado_Açúcar Físico não embarcado - Nov08 - Conferido_Dólar + NDF_7-Estoque" xfId="12904"/>
    <cellStyle name="s_Valuation _DB Dados do Mercado_Açúcar Físico não embarcado - Nov08 - Conferido_Dólar + NDF_Relatório Gerencial" xfId="12905"/>
    <cellStyle name="s_Valuation _DB Dados do Mercado_Açúcar Físico não embarcado - Nov08 - Conferido_Dólar + NDF_Relatório Gerencial 2" xfId="12906"/>
    <cellStyle name="s_Valuation _DB Dados do Mercado_Açúcar Físico não embarcado - Nov08 - Conferido_Dólar + NDF_Relatório Gerencial 2_15-FINANCEIRAS" xfId="12907"/>
    <cellStyle name="s_Valuation _DB Dados do Mercado_Açúcar Físico não embarcado - Nov08 - Conferido_Dólar + NDF_Relatório Gerencial_15-FINANCEIRAS" xfId="12908"/>
    <cellStyle name="s_Valuation _DB Dados do Mercado_Açúcar Físico não embarcado - Nov08 - Conferido_Dólar + NDF_Relatório Gerencial_15-FINANCEIRAS_1" xfId="12909"/>
    <cellStyle name="s_Valuation _DB Dados do Mercado_Açúcar Físico não embarcado - Nov08 - Conferido_Dólar + NDF_Relatório Gerencial_3-Balanço" xfId="12910"/>
    <cellStyle name="s_Valuation _DB Dados do Mercado_Açúcar Físico não embarcado - Nov08 - Conferido_Dólar + NDF_Relatório Gerencial_7-Estoque" xfId="12911"/>
    <cellStyle name="s_Valuation _DB Dados do Mercado_Açúcar Físico não embarcado - Nov08 - Conferido_Dólar + NDF_Relatório Gerencial_DB Entrada" xfId="12912"/>
    <cellStyle name="s_Valuation _DB Dados do Mercado_Açúcar Físico não embarcado - Nov08 - Conferido_Dólar + NDF_Relatório Gerencial_DB Entrada 2" xfId="12913"/>
    <cellStyle name="s_Valuation _DB Dados do Mercado_Açúcar Físico não embarcado - Nov08 - Conferido_Dólar + NDF_Relatório Gerencial_DB Entrada 2_15-FINANCEIRAS" xfId="12914"/>
    <cellStyle name="s_Valuation _DB Dados do Mercado_Açúcar Físico não embarcado - Nov08 - Conferido_Dólar + NDF_Relatório Gerencial_DB Entrada_15-FINANCEIRAS" xfId="12915"/>
    <cellStyle name="s_Valuation _DB Dados do Mercado_Açúcar Físico não embarcado - Nov08 - Conferido_Dólar + NDF_Relatório Gerencial_DB Entrada_15-FINANCEIRAS_1" xfId="12916"/>
    <cellStyle name="s_Valuation _DB Dados do Mercado_Açúcar Físico não embarcado - Nov08 - Conferido_Dólar + NDF_Relatório Gerencial_DB Entrada_3-Balanço" xfId="12917"/>
    <cellStyle name="s_Valuation _DB Dados do Mercado_Açúcar Físico não embarcado - Nov08 - Conferido_Dólar + NDF_Relatório Gerencial_DB Entrada_7-Estoque" xfId="12918"/>
    <cellStyle name="s_Valuation _DB Dados do Mercado_Açúcar Físico não embarcado - Nov08 - Conferido_Dólar 2" xfId="12919"/>
    <cellStyle name="s_Valuation _DB Dados do Mercado_Açúcar Físico não embarcado - Nov08 - Conferido_Dólar 2_15-FINANCEIRAS" xfId="12920"/>
    <cellStyle name="s_Valuation _DB Dados do Mercado_Açúcar Físico não embarcado - Nov08 - Conferido_Dólar 3" xfId="12921"/>
    <cellStyle name="s_Valuation _DB Dados do Mercado_Açúcar Físico não embarcado - Nov08 - Conferido_Dólar 3_15-FINANCEIRAS" xfId="12922"/>
    <cellStyle name="s_Valuation _DB Dados do Mercado_Açúcar Físico não embarcado - Nov08 - Conferido_Dólar 4" xfId="12923"/>
    <cellStyle name="s_Valuation _DB Dados do Mercado_Açúcar Físico não embarcado - Nov08 - Conferido_Dólar 4_15-FINANCEIRAS" xfId="12924"/>
    <cellStyle name="s_Valuation _DB Dados do Mercado_Açúcar Físico não embarcado - Nov08 - Conferido_Dólar Offshore" xfId="12925"/>
    <cellStyle name="s_Valuation _DB Dados do Mercado_Açúcar Físico não embarcado - Nov08 - Conferido_Dólar Offshore 2" xfId="12926"/>
    <cellStyle name="s_Valuation _DB Dados do Mercado_Açúcar Físico não embarcado - Nov08 - Conferido_Dólar Offshore 2_15-FINANCEIRAS" xfId="12927"/>
    <cellStyle name="s_Valuation _DB Dados do Mercado_Açúcar Físico não embarcado - Nov08 - Conferido_Dólar Offshore_15-FINANCEIRAS" xfId="12928"/>
    <cellStyle name="s_Valuation _DB Dados do Mercado_Açúcar Físico não embarcado - Nov08 - Conferido_Dólar Offshore_15-FINANCEIRAS_1" xfId="12929"/>
    <cellStyle name="s_Valuation _DB Dados do Mercado_Açúcar Físico não embarcado - Nov08 - Conferido_Dólar Offshore_3-Balanço" xfId="12930"/>
    <cellStyle name="s_Valuation _DB Dados do Mercado_Açúcar Físico não embarcado - Nov08 - Conferido_Dólar Offshore_7-Estoque" xfId="12931"/>
    <cellStyle name="s_Valuation _DB Dados do Mercado_Açúcar Físico não embarcado - Nov08 - Conferido_Dólar Offshore_Relatório Gerencial" xfId="12932"/>
    <cellStyle name="s_Valuation _DB Dados do Mercado_Açúcar Físico não embarcado - Nov08 - Conferido_Dólar Offshore_Relatório Gerencial 2" xfId="12933"/>
    <cellStyle name="s_Valuation _DB Dados do Mercado_Açúcar Físico não embarcado - Nov08 - Conferido_Dólar Offshore_Relatório Gerencial 2_15-FINANCEIRAS" xfId="12934"/>
    <cellStyle name="s_Valuation _DB Dados do Mercado_Açúcar Físico não embarcado - Nov08 - Conferido_Dólar Offshore_Relatório Gerencial_15-FINANCEIRAS" xfId="12935"/>
    <cellStyle name="s_Valuation _DB Dados do Mercado_Açúcar Físico não embarcado - Nov08 - Conferido_Dólar Offshore_Relatório Gerencial_15-FINANCEIRAS_1" xfId="12936"/>
    <cellStyle name="s_Valuation _DB Dados do Mercado_Açúcar Físico não embarcado - Nov08 - Conferido_Dólar Offshore_Relatório Gerencial_3-Balanço" xfId="12937"/>
    <cellStyle name="s_Valuation _DB Dados do Mercado_Açúcar Físico não embarcado - Nov08 - Conferido_Dólar Offshore_Relatório Gerencial_7-Estoque" xfId="12938"/>
    <cellStyle name="s_Valuation _DB Dados do Mercado_Açúcar Físico não embarcado - Nov08 - Conferido_Dólar Offshore_Relatório Gerencial_DB Entrada" xfId="12939"/>
    <cellStyle name="s_Valuation _DB Dados do Mercado_Açúcar Físico não embarcado - Nov08 - Conferido_Dólar Offshore_Relatório Gerencial_DB Entrada 2" xfId="12940"/>
    <cellStyle name="s_Valuation _DB Dados do Mercado_Açúcar Físico não embarcado - Nov08 - Conferido_Dólar Offshore_Relatório Gerencial_DB Entrada 2_15-FINANCEIRAS" xfId="12941"/>
    <cellStyle name="s_Valuation _DB Dados do Mercado_Açúcar Físico não embarcado - Nov08 - Conferido_Dólar Offshore_Relatório Gerencial_DB Entrada_15-FINANCEIRAS" xfId="12942"/>
    <cellStyle name="s_Valuation _DB Dados do Mercado_Açúcar Físico não embarcado - Nov08 - Conferido_Dólar Offshore_Relatório Gerencial_DB Entrada_15-FINANCEIRAS_1" xfId="12943"/>
    <cellStyle name="s_Valuation _DB Dados do Mercado_Açúcar Físico não embarcado - Nov08 - Conferido_Dólar Offshore_Relatório Gerencial_DB Entrada_3-Balanço" xfId="12944"/>
    <cellStyle name="s_Valuation _DB Dados do Mercado_Açúcar Físico não embarcado - Nov08 - Conferido_Dólar Offshore_Relatório Gerencial_DB Entrada_7-Estoque" xfId="12945"/>
    <cellStyle name="s_Valuation _DB Dados do Mercado_Açúcar Físico não embarcado - Nov08 - Conferido_Dólar_15-FINANCEIRAS" xfId="12946"/>
    <cellStyle name="s_Valuation _DB Dados do Mercado_Açúcar Físico não embarcado - Nov08 - Conferido_Dólar_15-FINANCEIRAS_1" xfId="12947"/>
    <cellStyle name="s_Valuation _DB Dados do Mercado_Açúcar Físico não embarcado - Nov08 - Conferido_Dólar_3-Balanço" xfId="12948"/>
    <cellStyle name="s_Valuation _DB Dados do Mercado_Açúcar Físico não embarcado - Nov08 - Conferido_Dólar_7-Estoque" xfId="12949"/>
    <cellStyle name="s_Valuation _DB Dados do Mercado_Açúcar Físico não embarcado - Nov08 - Conferido_Dólar_Relatório Gerencial" xfId="12950"/>
    <cellStyle name="s_Valuation _DB Dados do Mercado_Açúcar Físico não embarcado - Nov08 - Conferido_Dólar_Relatório Gerencial 2" xfId="12951"/>
    <cellStyle name="s_Valuation _DB Dados do Mercado_Açúcar Físico não embarcado - Nov08 - Conferido_Dólar_Relatório Gerencial 2_15-FINANCEIRAS" xfId="12952"/>
    <cellStyle name="s_Valuation _DB Dados do Mercado_Açúcar Físico não embarcado - Nov08 - Conferido_Dólar_Relatório Gerencial_15-FINANCEIRAS" xfId="12953"/>
    <cellStyle name="s_Valuation _DB Dados do Mercado_Açúcar Físico não embarcado - Nov08 - Conferido_Dólar_Relatório Gerencial_15-FINANCEIRAS_1" xfId="12954"/>
    <cellStyle name="s_Valuation _DB Dados do Mercado_Açúcar Físico não embarcado - Nov08 - Conferido_Dólar_Relatório Gerencial_3-Balanço" xfId="12955"/>
    <cellStyle name="s_Valuation _DB Dados do Mercado_Açúcar Físico não embarcado - Nov08 - Conferido_Dólar_Relatório Gerencial_7-Estoque" xfId="12956"/>
    <cellStyle name="s_Valuation _DB Dados do Mercado_Açúcar Físico não embarcado - Nov08 - Conferido_Dólar_Relatório Gerencial_DB Entrada" xfId="12957"/>
    <cellStyle name="s_Valuation _DB Dados do Mercado_Açúcar Físico não embarcado - Nov08 - Conferido_Dólar_Relatório Gerencial_DB Entrada 2" xfId="12958"/>
    <cellStyle name="s_Valuation _DB Dados do Mercado_Açúcar Físico não embarcado - Nov08 - Conferido_Dólar_Relatório Gerencial_DB Entrada 2_15-FINANCEIRAS" xfId="12959"/>
    <cellStyle name="s_Valuation _DB Dados do Mercado_Açúcar Físico não embarcado - Nov08 - Conferido_Dólar_Relatório Gerencial_DB Entrada_15-FINANCEIRAS" xfId="12960"/>
    <cellStyle name="s_Valuation _DB Dados do Mercado_Açúcar Físico não embarcado - Nov08 - Conferido_Dólar_Relatório Gerencial_DB Entrada_15-FINANCEIRAS_1" xfId="12961"/>
    <cellStyle name="s_Valuation _DB Dados do Mercado_Açúcar Físico não embarcado - Nov08 - Conferido_Dólar_Relatório Gerencial_DB Entrada_3-Balanço" xfId="12962"/>
    <cellStyle name="s_Valuation _DB Dados do Mercado_Açúcar Físico não embarcado - Nov08 - Conferido_Dólar_Relatório Gerencial_DB Entrada_7-Estoque" xfId="12963"/>
    <cellStyle name="s_Valuation _DB Dados do Mercado_Açúcar Físico não embarcado - Nov08 - Conferido_Heating Oil" xfId="12964"/>
    <cellStyle name="s_Valuation _DB Dados do Mercado_Açúcar Físico não embarcado - Nov08 - Conferido_Heating Oil 2" xfId="12965"/>
    <cellStyle name="s_Valuation _DB Dados do Mercado_Açúcar Físico não embarcado - Nov08 - Conferido_Heating Oil 2_15-FINANCEIRAS" xfId="12966"/>
    <cellStyle name="s_Valuation _DB Dados do Mercado_Açúcar Físico não embarcado - Nov08 - Conferido_Heating Oil_15-FINANCEIRAS" xfId="12967"/>
    <cellStyle name="s_Valuation _DB Dados do Mercado_Açúcar Físico não embarcado - Nov08 - Conferido_Heating Oil_15-FINANCEIRAS_1" xfId="12968"/>
    <cellStyle name="s_Valuation _DB Dados do Mercado_Açúcar Físico não embarcado - Nov08 - Conferido_Heating Oil_3-Balanço" xfId="12969"/>
    <cellStyle name="s_Valuation _DB Dados do Mercado_Açúcar Físico não embarcado - Nov08 - Conferido_Heating Oil_7-Estoque" xfId="12970"/>
    <cellStyle name="s_Valuation _DB Dados do Mercado_Açúcar Físico não embarcado - Nov08 - Conferido_Heating Oil_Relatório Gerencial" xfId="12971"/>
    <cellStyle name="s_Valuation _DB Dados do Mercado_Açúcar Físico não embarcado - Nov08 - Conferido_Heating Oil_Relatório Gerencial 2" xfId="12972"/>
    <cellStyle name="s_Valuation _DB Dados do Mercado_Açúcar Físico não embarcado - Nov08 - Conferido_Heating Oil_Relatório Gerencial 2_15-FINANCEIRAS" xfId="12973"/>
    <cellStyle name="s_Valuation _DB Dados do Mercado_Açúcar Físico não embarcado - Nov08 - Conferido_Heating Oil_Relatório Gerencial_15-FINANCEIRAS" xfId="12974"/>
    <cellStyle name="s_Valuation _DB Dados do Mercado_Açúcar Físico não embarcado - Nov08 - Conferido_Heating Oil_Relatório Gerencial_15-FINANCEIRAS_1" xfId="12975"/>
    <cellStyle name="s_Valuation _DB Dados do Mercado_Açúcar Físico não embarcado - Nov08 - Conferido_Heating Oil_Relatório Gerencial_3-Balanço" xfId="12976"/>
    <cellStyle name="s_Valuation _DB Dados do Mercado_Açúcar Físico não embarcado - Nov08 - Conferido_Heating Oil_Relatório Gerencial_7-Estoque" xfId="12977"/>
    <cellStyle name="s_Valuation _DB Dados do Mercado_Açúcar Físico não embarcado - Nov08 - Conferido_Heating Oil_Relatório Gerencial_DB Entrada" xfId="12978"/>
    <cellStyle name="s_Valuation _DB Dados do Mercado_Açúcar Físico não embarcado - Nov08 - Conferido_Heating Oil_Relatório Gerencial_DB Entrada 2" xfId="12979"/>
    <cellStyle name="s_Valuation _DB Dados do Mercado_Açúcar Físico não embarcado - Nov08 - Conferido_Heating Oil_Relatório Gerencial_DB Entrada 2_15-FINANCEIRAS" xfId="12980"/>
    <cellStyle name="s_Valuation _DB Dados do Mercado_Açúcar Físico não embarcado - Nov08 - Conferido_Heating Oil_Relatório Gerencial_DB Entrada_15-FINANCEIRAS" xfId="12981"/>
    <cellStyle name="s_Valuation _DB Dados do Mercado_Açúcar Físico não embarcado - Nov08 - Conferido_Heating Oil_Relatório Gerencial_DB Entrada_15-FINANCEIRAS_1" xfId="12982"/>
    <cellStyle name="s_Valuation _DB Dados do Mercado_Açúcar Físico não embarcado - Nov08 - Conferido_Heating Oil_Relatório Gerencial_DB Entrada_3-Balanço" xfId="12983"/>
    <cellStyle name="s_Valuation _DB Dados do Mercado_Açúcar Físico não embarcado - Nov08 - Conferido_Heating Oil_Relatório Gerencial_DB Entrada_7-Estoque" xfId="12984"/>
    <cellStyle name="s_Valuation _DB Dados do Mercado_Açúcar Físico não embarcado - Nov08 - Conferido_MARGIN CALL" xfId="12985"/>
    <cellStyle name="s_Valuation _DB Dados do Mercado_Açúcar Físico não embarcado - Nov08 - Conferido_MARGIN CALL 2" xfId="12986"/>
    <cellStyle name="s_Valuation _DB Dados do Mercado_Açúcar Físico não embarcado - Nov08 - Conferido_MARGIN CALL 2_15-FINANCEIRAS" xfId="12987"/>
    <cellStyle name="s_Valuation _DB Dados do Mercado_Açúcar Físico não embarcado - Nov08 - Conferido_MARGIN CALL_15-FINANCEIRAS" xfId="12988"/>
    <cellStyle name="s_Valuation _DB Dados do Mercado_Açúcar Físico não embarcado - Nov08 - Conferido_MARGIN CALL_15-FINANCEIRAS_1" xfId="12989"/>
    <cellStyle name="s_Valuation _DB Dados do Mercado_Açúcar Físico não embarcado - Nov08 - Conferido_MARGIN CALL_3-Balanço" xfId="12990"/>
    <cellStyle name="s_Valuation _DB Dados do Mercado_Açúcar Físico não embarcado - Nov08 - Conferido_MARGIN CALL_7-Estoque" xfId="12991"/>
    <cellStyle name="s_Valuation _DB Dados do Mercado_Açúcar Físico não embarcado - Nov08 - Conferido_MARGIN CALL_Relatório Gerencial" xfId="12992"/>
    <cellStyle name="s_Valuation _DB Dados do Mercado_Açúcar Físico não embarcado - Nov08 - Conferido_MARGIN CALL_Relatório Gerencial 2" xfId="12993"/>
    <cellStyle name="s_Valuation _DB Dados do Mercado_Açúcar Físico não embarcado - Nov08 - Conferido_MARGIN CALL_Relatório Gerencial 2_15-FINANCEIRAS" xfId="12994"/>
    <cellStyle name="s_Valuation _DB Dados do Mercado_Açúcar Físico não embarcado - Nov08 - Conferido_MARGIN CALL_Relatório Gerencial_15-FINANCEIRAS" xfId="12995"/>
    <cellStyle name="s_Valuation _DB Dados do Mercado_Açúcar Físico não embarcado - Nov08 - Conferido_MARGIN CALL_Relatório Gerencial_15-FINANCEIRAS_1" xfId="12996"/>
    <cellStyle name="s_Valuation _DB Dados do Mercado_Açúcar Físico não embarcado - Nov08 - Conferido_MARGIN CALL_Relatório Gerencial_3-Balanço" xfId="12997"/>
    <cellStyle name="s_Valuation _DB Dados do Mercado_Açúcar Físico não embarcado - Nov08 - Conferido_MARGIN CALL_Relatório Gerencial_7-Estoque" xfId="12998"/>
    <cellStyle name="s_Valuation _DB Dados do Mercado_Açúcar Físico não embarcado - Nov08 - Conferido_MARGIN CALL_Relatório Gerencial_DB Entrada" xfId="12999"/>
    <cellStyle name="s_Valuation _DB Dados do Mercado_Açúcar Físico não embarcado - Nov08 - Conferido_MARGIN CALL_Relatório Gerencial_DB Entrada 2" xfId="13000"/>
    <cellStyle name="s_Valuation _DB Dados do Mercado_Açúcar Físico não embarcado - Nov08 - Conferido_MARGIN CALL_Relatório Gerencial_DB Entrada 2_15-FINANCEIRAS" xfId="13001"/>
    <cellStyle name="s_Valuation _DB Dados do Mercado_Açúcar Físico não embarcado - Nov08 - Conferido_MARGIN CALL_Relatório Gerencial_DB Entrada_15-FINANCEIRAS" xfId="13002"/>
    <cellStyle name="s_Valuation _DB Dados do Mercado_Açúcar Físico não embarcado - Nov08 - Conferido_MARGIN CALL_Relatório Gerencial_DB Entrada_15-FINANCEIRAS_1" xfId="13003"/>
    <cellStyle name="s_Valuation _DB Dados do Mercado_Açúcar Físico não embarcado - Nov08 - Conferido_MARGIN CALL_Relatório Gerencial_DB Entrada_3-Balanço" xfId="13004"/>
    <cellStyle name="s_Valuation _DB Dados do Mercado_Açúcar Físico não embarcado - Nov08 - Conferido_MARGIN CALL_Relatório Gerencial_DB Entrada_7-Estoque" xfId="13005"/>
    <cellStyle name="s_Valuation _DB Dados do Mercado_Açúcar Físico não embarcado - Nov08 - Conferido_NDF" xfId="13006"/>
    <cellStyle name="s_Valuation _DB Dados do Mercado_Açúcar Físico não embarcado - Nov08 - Conferido_NDF 2" xfId="13007"/>
    <cellStyle name="s_Valuation _DB Dados do Mercado_Açúcar Físico não embarcado - Nov08 - Conferido_NDF 2_15-FINANCEIRAS" xfId="13008"/>
    <cellStyle name="s_Valuation _DB Dados do Mercado_Açúcar Físico não embarcado - Nov08 - Conferido_NDF_15-FINANCEIRAS" xfId="13009"/>
    <cellStyle name="s_Valuation _DB Dados do Mercado_Açúcar Físico não embarcado - Nov08 - Conferido_NDF_15-FINANCEIRAS_1" xfId="13010"/>
    <cellStyle name="s_Valuation _DB Dados do Mercado_Açúcar Físico não embarcado - Nov08 - Conferido_NDF_3-Balanço" xfId="13011"/>
    <cellStyle name="s_Valuation _DB Dados do Mercado_Açúcar Físico não embarcado - Nov08 - Conferido_NDF_7-Estoque" xfId="13012"/>
    <cellStyle name="s_Valuation _DB Dados do Mercado_Açúcar Físico não embarcado - Nov08 - Conferido_NDF_Relatório Gerencial" xfId="13013"/>
    <cellStyle name="s_Valuation _DB Dados do Mercado_Açúcar Físico não embarcado - Nov08 - Conferido_NDF_Relatório Gerencial 2" xfId="13014"/>
    <cellStyle name="s_Valuation _DB Dados do Mercado_Açúcar Físico não embarcado - Nov08 - Conferido_NDF_Relatório Gerencial 2_15-FINANCEIRAS" xfId="13015"/>
    <cellStyle name="s_Valuation _DB Dados do Mercado_Açúcar Físico não embarcado - Nov08 - Conferido_NDF_Relatório Gerencial_15-FINANCEIRAS" xfId="13016"/>
    <cellStyle name="s_Valuation _DB Dados do Mercado_Açúcar Físico não embarcado - Nov08 - Conferido_NDF_Relatório Gerencial_15-FINANCEIRAS_1" xfId="13017"/>
    <cellStyle name="s_Valuation _DB Dados do Mercado_Açúcar Físico não embarcado - Nov08 - Conferido_NDF_Relatório Gerencial_3-Balanço" xfId="13018"/>
    <cellStyle name="s_Valuation _DB Dados do Mercado_Açúcar Físico não embarcado - Nov08 - Conferido_NDF_Relatório Gerencial_7-Estoque" xfId="13019"/>
    <cellStyle name="s_Valuation _DB Dados do Mercado_Açúcar Físico não embarcado - Nov08 - Conferido_NDF_Relatório Gerencial_DB Entrada" xfId="13020"/>
    <cellStyle name="s_Valuation _DB Dados do Mercado_Açúcar Físico não embarcado - Nov08 - Conferido_NDF_Relatório Gerencial_DB Entrada 2" xfId="13021"/>
    <cellStyle name="s_Valuation _DB Dados do Mercado_Açúcar Físico não embarcado - Nov08 - Conferido_NDF_Relatório Gerencial_DB Entrada 2_15-FINANCEIRAS" xfId="13022"/>
    <cellStyle name="s_Valuation _DB Dados do Mercado_Açúcar Físico não embarcado - Nov08 - Conferido_NDF_Relatório Gerencial_DB Entrada_15-FINANCEIRAS" xfId="13023"/>
    <cellStyle name="s_Valuation _DB Dados do Mercado_Açúcar Físico não embarcado - Nov08 - Conferido_NDF_Relatório Gerencial_DB Entrada_15-FINANCEIRAS_1" xfId="13024"/>
    <cellStyle name="s_Valuation _DB Dados do Mercado_Açúcar Físico não embarcado - Nov08 - Conferido_NDF_Relatório Gerencial_DB Entrada_3-Balanço" xfId="13025"/>
    <cellStyle name="s_Valuation _DB Dados do Mercado_Açúcar Físico não embarcado - Nov08 - Conferido_NDF_Relatório Gerencial_DB Entrada_7-Estoque" xfId="13026"/>
    <cellStyle name="s_Valuation _DB Dados do Mercado_Açúcar Físico não embarcado - Nov08 - Conferido_ptax" xfId="13027"/>
    <cellStyle name="s_Valuation _DB Dados do Mercado_Açúcar Físico não embarcado - Nov08 - Conferido_ptax 2" xfId="13028"/>
    <cellStyle name="s_Valuation _DB Dados do Mercado_Açúcar Físico não embarcado - Nov08 - Conferido_ptax 2_15-FINANCEIRAS" xfId="13029"/>
    <cellStyle name="s_Valuation _DB Dados do Mercado_Açúcar Físico não embarcado - Nov08 - Conferido_ptax_15-FINANCEIRAS" xfId="13030"/>
    <cellStyle name="s_Valuation _DB Dados do Mercado_Açúcar Físico não embarcado - Nov08 - Conferido_ptax_15-FINANCEIRAS_1" xfId="13031"/>
    <cellStyle name="s_Valuation _DB Dados do Mercado_Açúcar Físico não embarcado - Nov08 - Conferido_ptax_3-Balanço" xfId="13032"/>
    <cellStyle name="s_Valuation _DB Dados do Mercado_Açúcar Físico não embarcado - Nov08 - Conferido_ptax_7-Estoque" xfId="13033"/>
    <cellStyle name="s_Valuation _DB Dados do Mercado_Açúcar Físico não embarcado - Nov08 - Conferido_ptax_Relatório Gerencial" xfId="13034"/>
    <cellStyle name="s_Valuation _DB Dados do Mercado_Açúcar Físico não embarcado - Nov08 - Conferido_ptax_Relatório Gerencial 2" xfId="13035"/>
    <cellStyle name="s_Valuation _DB Dados do Mercado_Açúcar Físico não embarcado - Nov08 - Conferido_ptax_Relatório Gerencial 2_15-FINANCEIRAS" xfId="13036"/>
    <cellStyle name="s_Valuation _DB Dados do Mercado_Açúcar Físico não embarcado - Nov08 - Conferido_ptax_Relatório Gerencial_15-FINANCEIRAS" xfId="13037"/>
    <cellStyle name="s_Valuation _DB Dados do Mercado_Açúcar Físico não embarcado - Nov08 - Conferido_ptax_Relatório Gerencial_15-FINANCEIRAS_1" xfId="13038"/>
    <cellStyle name="s_Valuation _DB Dados do Mercado_Açúcar Físico não embarcado - Nov08 - Conferido_ptax_Relatório Gerencial_3-Balanço" xfId="13039"/>
    <cellStyle name="s_Valuation _DB Dados do Mercado_Açúcar Físico não embarcado - Nov08 - Conferido_ptax_Relatório Gerencial_7-Estoque" xfId="13040"/>
    <cellStyle name="s_Valuation _DB Dados do Mercado_Açúcar Físico não embarcado - Nov08 - Conferido_ptax_Relatório Gerencial_DB Entrada" xfId="13041"/>
    <cellStyle name="s_Valuation _DB Dados do Mercado_Açúcar Físico não embarcado - Nov08 - Conferido_ptax_Relatório Gerencial_DB Entrada 2" xfId="13042"/>
    <cellStyle name="s_Valuation _DB Dados do Mercado_Açúcar Físico não embarcado - Nov08 - Conferido_ptax_Relatório Gerencial_DB Entrada 2_15-FINANCEIRAS" xfId="13043"/>
    <cellStyle name="s_Valuation _DB Dados do Mercado_Açúcar Físico não embarcado - Nov08 - Conferido_ptax_Relatório Gerencial_DB Entrada_15-FINANCEIRAS" xfId="13044"/>
    <cellStyle name="s_Valuation _DB Dados do Mercado_Açúcar Físico não embarcado - Nov08 - Conferido_ptax_Relatório Gerencial_DB Entrada_15-FINANCEIRAS_1" xfId="13045"/>
    <cellStyle name="s_Valuation _DB Dados do Mercado_Açúcar Físico não embarcado - Nov08 - Conferido_ptax_Relatório Gerencial_DB Entrada_3-Balanço" xfId="13046"/>
    <cellStyle name="s_Valuation _DB Dados do Mercado_Açúcar Físico não embarcado - Nov08 - Conferido_ptax_Relatório Gerencial_DB Entrada_7-Estoque" xfId="13047"/>
    <cellStyle name="s_Valuation _DB Dados do Mercado_Açúcar Físico não embarcado - Nov08 - Conferido_relatorio" xfId="13048"/>
    <cellStyle name="s_Valuation _DB Dados do Mercado_Açúcar Físico não embarcado - Nov08 - Conferido_relatorio 10" xfId="13049"/>
    <cellStyle name="s_Valuation _DB Dados do Mercado_Açúcar Físico não embarcado - Nov08 - Conferido_relatorio 10 2" xfId="13050"/>
    <cellStyle name="s_Valuation _DB Dados do Mercado_Açúcar Físico não embarcado - Nov08 - Conferido_relatorio 10 2_15-FINANCEIRAS" xfId="13051"/>
    <cellStyle name="s_Valuation _DB Dados do Mercado_Açúcar Físico não embarcado - Nov08 - Conferido_relatorio 10_15-FINANCEIRAS" xfId="13052"/>
    <cellStyle name="s_Valuation _DB Dados do Mercado_Açúcar Físico não embarcado - Nov08 - Conferido_relatorio 10_15-FINANCEIRAS_1" xfId="13053"/>
    <cellStyle name="s_Valuation _DB Dados do Mercado_Açúcar Físico não embarcado - Nov08 - Conferido_relatorio 10_3-Balanço" xfId="13054"/>
    <cellStyle name="s_Valuation _DB Dados do Mercado_Açúcar Físico não embarcado - Nov08 - Conferido_relatorio 10_7-Estoque" xfId="13055"/>
    <cellStyle name="s_Valuation _DB Dados do Mercado_Açúcar Físico não embarcado - Nov08 - Conferido_relatorio 10_Relatório Gerencial" xfId="13056"/>
    <cellStyle name="s_Valuation _DB Dados do Mercado_Açúcar Físico não embarcado - Nov08 - Conferido_relatorio 10_Relatório Gerencial 2" xfId="13057"/>
    <cellStyle name="s_Valuation _DB Dados do Mercado_Açúcar Físico não embarcado - Nov08 - Conferido_relatorio 10_Relatório Gerencial 2_15-FINANCEIRAS" xfId="13058"/>
    <cellStyle name="s_Valuation _DB Dados do Mercado_Açúcar Físico não embarcado - Nov08 - Conferido_relatorio 10_Relatório Gerencial_15-FINANCEIRAS" xfId="13059"/>
    <cellStyle name="s_Valuation _DB Dados do Mercado_Açúcar Físico não embarcado - Nov08 - Conferido_relatorio 10_Relatório Gerencial_15-FINANCEIRAS_1" xfId="13060"/>
    <cellStyle name="s_Valuation _DB Dados do Mercado_Açúcar Físico não embarcado - Nov08 - Conferido_relatorio 10_Relatório Gerencial_3-Balanço" xfId="13061"/>
    <cellStyle name="s_Valuation _DB Dados do Mercado_Açúcar Físico não embarcado - Nov08 - Conferido_relatorio 10_Relatório Gerencial_7-Estoque" xfId="13062"/>
    <cellStyle name="s_Valuation _DB Dados do Mercado_Açúcar Físico não embarcado - Nov08 - Conferido_relatorio 10_Relatório Gerencial_DB Entrada" xfId="13063"/>
    <cellStyle name="s_Valuation _DB Dados do Mercado_Açúcar Físico não embarcado - Nov08 - Conferido_relatorio 10_Relatório Gerencial_DB Entrada 2" xfId="13064"/>
    <cellStyle name="s_Valuation _DB Dados do Mercado_Açúcar Físico não embarcado - Nov08 - Conferido_relatorio 10_Relatório Gerencial_DB Entrada 2_15-FINANCEIRAS" xfId="13065"/>
    <cellStyle name="s_Valuation _DB Dados do Mercado_Açúcar Físico não embarcado - Nov08 - Conferido_relatorio 10_Relatório Gerencial_DB Entrada_15-FINANCEIRAS" xfId="13066"/>
    <cellStyle name="s_Valuation _DB Dados do Mercado_Açúcar Físico não embarcado - Nov08 - Conferido_relatorio 10_Relatório Gerencial_DB Entrada_15-FINANCEIRAS_1" xfId="13067"/>
    <cellStyle name="s_Valuation _DB Dados do Mercado_Açúcar Físico não embarcado - Nov08 - Conferido_relatorio 10_Relatório Gerencial_DB Entrada_3-Balanço" xfId="13068"/>
    <cellStyle name="s_Valuation _DB Dados do Mercado_Açúcar Físico não embarcado - Nov08 - Conferido_relatorio 10_Relatório Gerencial_DB Entrada_7-Estoque" xfId="13069"/>
    <cellStyle name="s_Valuation _DB Dados do Mercado_Açúcar Físico não embarcado - Nov08 - Conferido_relatorio 11" xfId="13070"/>
    <cellStyle name="s_Valuation _DB Dados do Mercado_Açúcar Físico não embarcado - Nov08 - Conferido_relatorio 11 2" xfId="13071"/>
    <cellStyle name="s_Valuation _DB Dados do Mercado_Açúcar Físico não embarcado - Nov08 - Conferido_relatorio 11 2_15-FINANCEIRAS" xfId="13072"/>
    <cellStyle name="s_Valuation _DB Dados do Mercado_Açúcar Físico não embarcado - Nov08 - Conferido_relatorio 11_15-FINANCEIRAS" xfId="13073"/>
    <cellStyle name="s_Valuation _DB Dados do Mercado_Açúcar Físico não embarcado - Nov08 - Conferido_relatorio 11_15-FINANCEIRAS_1" xfId="13074"/>
    <cellStyle name="s_Valuation _DB Dados do Mercado_Açúcar Físico não embarcado - Nov08 - Conferido_relatorio 11_3-Balanço" xfId="13075"/>
    <cellStyle name="s_Valuation _DB Dados do Mercado_Açúcar Físico não embarcado - Nov08 - Conferido_relatorio 11_7-Estoque" xfId="13076"/>
    <cellStyle name="s_Valuation _DB Dados do Mercado_Açúcar Físico não embarcado - Nov08 - Conferido_relatorio 11_Relatório Gerencial" xfId="13077"/>
    <cellStyle name="s_Valuation _DB Dados do Mercado_Açúcar Físico não embarcado - Nov08 - Conferido_relatorio 11_Relatório Gerencial 2" xfId="13078"/>
    <cellStyle name="s_Valuation _DB Dados do Mercado_Açúcar Físico não embarcado - Nov08 - Conferido_relatorio 11_Relatório Gerencial 2_15-FINANCEIRAS" xfId="13079"/>
    <cellStyle name="s_Valuation _DB Dados do Mercado_Açúcar Físico não embarcado - Nov08 - Conferido_relatorio 11_Relatório Gerencial_15-FINANCEIRAS" xfId="13080"/>
    <cellStyle name="s_Valuation _DB Dados do Mercado_Açúcar Físico não embarcado - Nov08 - Conferido_relatorio 11_Relatório Gerencial_15-FINANCEIRAS_1" xfId="13081"/>
    <cellStyle name="s_Valuation _DB Dados do Mercado_Açúcar Físico não embarcado - Nov08 - Conferido_relatorio 11_Relatório Gerencial_3-Balanço" xfId="13082"/>
    <cellStyle name="s_Valuation _DB Dados do Mercado_Açúcar Físico não embarcado - Nov08 - Conferido_relatorio 11_Relatório Gerencial_7-Estoque" xfId="13083"/>
    <cellStyle name="s_Valuation _DB Dados do Mercado_Açúcar Físico não embarcado - Nov08 - Conferido_relatorio 11_Relatório Gerencial_DB Entrada" xfId="13084"/>
    <cellStyle name="s_Valuation _DB Dados do Mercado_Açúcar Físico não embarcado - Nov08 - Conferido_relatorio 11_Relatório Gerencial_DB Entrada 2" xfId="13085"/>
    <cellStyle name="s_Valuation _DB Dados do Mercado_Açúcar Físico não embarcado - Nov08 - Conferido_relatorio 11_Relatório Gerencial_DB Entrada 2_15-FINANCEIRAS" xfId="13086"/>
    <cellStyle name="s_Valuation _DB Dados do Mercado_Açúcar Físico não embarcado - Nov08 - Conferido_relatorio 11_Relatório Gerencial_DB Entrada_15-FINANCEIRAS" xfId="13087"/>
    <cellStyle name="s_Valuation _DB Dados do Mercado_Açúcar Físico não embarcado - Nov08 - Conferido_relatorio 11_Relatório Gerencial_DB Entrada_15-FINANCEIRAS_1" xfId="13088"/>
    <cellStyle name="s_Valuation _DB Dados do Mercado_Açúcar Físico não embarcado - Nov08 - Conferido_relatorio 11_Relatório Gerencial_DB Entrada_3-Balanço" xfId="13089"/>
    <cellStyle name="s_Valuation _DB Dados do Mercado_Açúcar Físico não embarcado - Nov08 - Conferido_relatorio 11_Relatório Gerencial_DB Entrada_7-Estoque" xfId="13090"/>
    <cellStyle name="s_Valuation _DB Dados do Mercado_Açúcar Físico não embarcado - Nov08 - Conferido_relatorio 12" xfId="13091"/>
    <cellStyle name="s_Valuation _DB Dados do Mercado_Açúcar Físico não embarcado - Nov08 - Conferido_relatorio 12 2" xfId="13092"/>
    <cellStyle name="s_Valuation _DB Dados do Mercado_Açúcar Físico não embarcado - Nov08 - Conferido_relatorio 12 2_15-FINANCEIRAS" xfId="13093"/>
    <cellStyle name="s_Valuation _DB Dados do Mercado_Açúcar Físico não embarcado - Nov08 - Conferido_relatorio 12_15-FINANCEIRAS" xfId="13094"/>
    <cellStyle name="s_Valuation _DB Dados do Mercado_Açúcar Físico não embarcado - Nov08 - Conferido_relatorio 12_15-FINANCEIRAS_1" xfId="13095"/>
    <cellStyle name="s_Valuation _DB Dados do Mercado_Açúcar Físico não embarcado - Nov08 - Conferido_relatorio 12_3-Balanço" xfId="13096"/>
    <cellStyle name="s_Valuation _DB Dados do Mercado_Açúcar Físico não embarcado - Nov08 - Conferido_relatorio 12_7-Estoque" xfId="13097"/>
    <cellStyle name="s_Valuation _DB Dados do Mercado_Açúcar Físico não embarcado - Nov08 - Conferido_relatorio 12_Relatório Gerencial" xfId="13098"/>
    <cellStyle name="s_Valuation _DB Dados do Mercado_Açúcar Físico não embarcado - Nov08 - Conferido_relatorio 12_Relatório Gerencial 2" xfId="13099"/>
    <cellStyle name="s_Valuation _DB Dados do Mercado_Açúcar Físico não embarcado - Nov08 - Conferido_relatorio 12_Relatório Gerencial 2_15-FINANCEIRAS" xfId="13100"/>
    <cellStyle name="s_Valuation _DB Dados do Mercado_Açúcar Físico não embarcado - Nov08 - Conferido_relatorio 12_Relatório Gerencial_15-FINANCEIRAS" xfId="13101"/>
    <cellStyle name="s_Valuation _DB Dados do Mercado_Açúcar Físico não embarcado - Nov08 - Conferido_relatorio 12_Relatório Gerencial_15-FINANCEIRAS_1" xfId="13102"/>
    <cellStyle name="s_Valuation _DB Dados do Mercado_Açúcar Físico não embarcado - Nov08 - Conferido_relatorio 12_Relatório Gerencial_3-Balanço" xfId="13103"/>
    <cellStyle name="s_Valuation _DB Dados do Mercado_Açúcar Físico não embarcado - Nov08 - Conferido_relatorio 12_Relatório Gerencial_7-Estoque" xfId="13104"/>
    <cellStyle name="s_Valuation _DB Dados do Mercado_Açúcar Físico não embarcado - Nov08 - Conferido_relatorio 12_Relatório Gerencial_DB Entrada" xfId="13105"/>
    <cellStyle name="s_Valuation _DB Dados do Mercado_Açúcar Físico não embarcado - Nov08 - Conferido_relatorio 12_Relatório Gerencial_DB Entrada 2" xfId="13106"/>
    <cellStyle name="s_Valuation _DB Dados do Mercado_Açúcar Físico não embarcado - Nov08 - Conferido_relatorio 12_Relatório Gerencial_DB Entrada 2_15-FINANCEIRAS" xfId="13107"/>
    <cellStyle name="s_Valuation _DB Dados do Mercado_Açúcar Físico não embarcado - Nov08 - Conferido_relatorio 12_Relatório Gerencial_DB Entrada_15-FINANCEIRAS" xfId="13108"/>
    <cellStyle name="s_Valuation _DB Dados do Mercado_Açúcar Físico não embarcado - Nov08 - Conferido_relatorio 12_Relatório Gerencial_DB Entrada_15-FINANCEIRAS_1" xfId="13109"/>
    <cellStyle name="s_Valuation _DB Dados do Mercado_Açúcar Físico não embarcado - Nov08 - Conferido_relatorio 12_Relatório Gerencial_DB Entrada_3-Balanço" xfId="13110"/>
    <cellStyle name="s_Valuation _DB Dados do Mercado_Açúcar Físico não embarcado - Nov08 - Conferido_relatorio 12_Relatório Gerencial_DB Entrada_7-Estoque" xfId="13111"/>
    <cellStyle name="s_Valuation _DB Dados do Mercado_Açúcar Físico não embarcado - Nov08 - Conferido_relatorio 13" xfId="13112"/>
    <cellStyle name="s_Valuation _DB Dados do Mercado_Açúcar Físico não embarcado - Nov08 - Conferido_relatorio 13 2" xfId="13113"/>
    <cellStyle name="s_Valuation _DB Dados do Mercado_Açúcar Físico não embarcado - Nov08 - Conferido_relatorio 13 2_15-FINANCEIRAS" xfId="13114"/>
    <cellStyle name="s_Valuation _DB Dados do Mercado_Açúcar Físico não embarcado - Nov08 - Conferido_relatorio 13_15-FINANCEIRAS" xfId="13115"/>
    <cellStyle name="s_Valuation _DB Dados do Mercado_Açúcar Físico não embarcado - Nov08 - Conferido_relatorio 13_15-FINANCEIRAS_1" xfId="13116"/>
    <cellStyle name="s_Valuation _DB Dados do Mercado_Açúcar Físico não embarcado - Nov08 - Conferido_relatorio 13_3-Balanço" xfId="13117"/>
    <cellStyle name="s_Valuation _DB Dados do Mercado_Açúcar Físico não embarcado - Nov08 - Conferido_relatorio 13_7-Estoque" xfId="13118"/>
    <cellStyle name="s_Valuation _DB Dados do Mercado_Açúcar Físico não embarcado - Nov08 - Conferido_relatorio 13_Relatório Gerencial" xfId="13119"/>
    <cellStyle name="s_Valuation _DB Dados do Mercado_Açúcar Físico não embarcado - Nov08 - Conferido_relatorio 13_Relatório Gerencial 2" xfId="13120"/>
    <cellStyle name="s_Valuation _DB Dados do Mercado_Açúcar Físico não embarcado - Nov08 - Conferido_relatorio 13_Relatório Gerencial 2_15-FINANCEIRAS" xfId="13121"/>
    <cellStyle name="s_Valuation _DB Dados do Mercado_Açúcar Físico não embarcado - Nov08 - Conferido_relatorio 13_Relatório Gerencial_15-FINANCEIRAS" xfId="13122"/>
    <cellStyle name="s_Valuation _DB Dados do Mercado_Açúcar Físico não embarcado - Nov08 - Conferido_relatorio 13_Relatório Gerencial_15-FINANCEIRAS_1" xfId="13123"/>
    <cellStyle name="s_Valuation _DB Dados do Mercado_Açúcar Físico não embarcado - Nov08 - Conferido_relatorio 13_Relatório Gerencial_3-Balanço" xfId="13124"/>
    <cellStyle name="s_Valuation _DB Dados do Mercado_Açúcar Físico não embarcado - Nov08 - Conferido_relatorio 13_Relatório Gerencial_7-Estoque" xfId="13125"/>
    <cellStyle name="s_Valuation _DB Dados do Mercado_Açúcar Físico não embarcado - Nov08 - Conferido_relatorio 13_Relatório Gerencial_DB Entrada" xfId="13126"/>
    <cellStyle name="s_Valuation _DB Dados do Mercado_Açúcar Físico não embarcado - Nov08 - Conferido_relatorio 13_Relatório Gerencial_DB Entrada 2" xfId="13127"/>
    <cellStyle name="s_Valuation _DB Dados do Mercado_Açúcar Físico não embarcado - Nov08 - Conferido_relatorio 13_Relatório Gerencial_DB Entrada 2_15-FINANCEIRAS" xfId="13128"/>
    <cellStyle name="s_Valuation _DB Dados do Mercado_Açúcar Físico não embarcado - Nov08 - Conferido_relatorio 13_Relatório Gerencial_DB Entrada_15-FINANCEIRAS" xfId="13129"/>
    <cellStyle name="s_Valuation _DB Dados do Mercado_Açúcar Físico não embarcado - Nov08 - Conferido_relatorio 13_Relatório Gerencial_DB Entrada_15-FINANCEIRAS_1" xfId="13130"/>
    <cellStyle name="s_Valuation _DB Dados do Mercado_Açúcar Físico não embarcado - Nov08 - Conferido_relatorio 13_Relatório Gerencial_DB Entrada_3-Balanço" xfId="13131"/>
    <cellStyle name="s_Valuation _DB Dados do Mercado_Açúcar Físico não embarcado - Nov08 - Conferido_relatorio 13_Relatório Gerencial_DB Entrada_7-Estoque" xfId="13132"/>
    <cellStyle name="s_Valuation _DB Dados do Mercado_Açúcar Físico não embarcado - Nov08 - Conferido_relatorio 14" xfId="13133"/>
    <cellStyle name="s_Valuation _DB Dados do Mercado_Açúcar Físico não embarcado - Nov08 - Conferido_relatorio 14 2" xfId="13134"/>
    <cellStyle name="s_Valuation _DB Dados do Mercado_Açúcar Físico não embarcado - Nov08 - Conferido_relatorio 14 2_15-FINANCEIRAS" xfId="13135"/>
    <cellStyle name="s_Valuation _DB Dados do Mercado_Açúcar Físico não embarcado - Nov08 - Conferido_relatorio 14_15-FINANCEIRAS" xfId="13136"/>
    <cellStyle name="s_Valuation _DB Dados do Mercado_Açúcar Físico não embarcado - Nov08 - Conferido_relatorio 14_15-FINANCEIRAS_1" xfId="13137"/>
    <cellStyle name="s_Valuation _DB Dados do Mercado_Açúcar Físico não embarcado - Nov08 - Conferido_relatorio 14_3-Balanço" xfId="13138"/>
    <cellStyle name="s_Valuation _DB Dados do Mercado_Açúcar Físico não embarcado - Nov08 - Conferido_relatorio 14_7-Estoque" xfId="13139"/>
    <cellStyle name="s_Valuation _DB Dados do Mercado_Açúcar Físico não embarcado - Nov08 - Conferido_relatorio 14_Relatório Gerencial" xfId="13140"/>
    <cellStyle name="s_Valuation _DB Dados do Mercado_Açúcar Físico não embarcado - Nov08 - Conferido_relatorio 14_Relatório Gerencial 2" xfId="13141"/>
    <cellStyle name="s_Valuation _DB Dados do Mercado_Açúcar Físico não embarcado - Nov08 - Conferido_relatorio 14_Relatório Gerencial 2_15-FINANCEIRAS" xfId="13142"/>
    <cellStyle name="s_Valuation _DB Dados do Mercado_Açúcar Físico não embarcado - Nov08 - Conferido_relatorio 14_Relatório Gerencial_15-FINANCEIRAS" xfId="13143"/>
    <cellStyle name="s_Valuation _DB Dados do Mercado_Açúcar Físico não embarcado - Nov08 - Conferido_relatorio 14_Relatório Gerencial_15-FINANCEIRAS_1" xfId="13144"/>
    <cellStyle name="s_Valuation _DB Dados do Mercado_Açúcar Físico não embarcado - Nov08 - Conferido_relatorio 14_Relatório Gerencial_3-Balanço" xfId="13145"/>
    <cellStyle name="s_Valuation _DB Dados do Mercado_Açúcar Físico não embarcado - Nov08 - Conferido_relatorio 14_Relatório Gerencial_7-Estoque" xfId="13146"/>
    <cellStyle name="s_Valuation _DB Dados do Mercado_Açúcar Físico não embarcado - Nov08 - Conferido_relatorio 14_Relatório Gerencial_DB Entrada" xfId="13147"/>
    <cellStyle name="s_Valuation _DB Dados do Mercado_Açúcar Físico não embarcado - Nov08 - Conferido_relatorio 14_Relatório Gerencial_DB Entrada 2" xfId="13148"/>
    <cellStyle name="s_Valuation _DB Dados do Mercado_Açúcar Físico não embarcado - Nov08 - Conferido_relatorio 14_Relatório Gerencial_DB Entrada 2_15-FINANCEIRAS" xfId="13149"/>
    <cellStyle name="s_Valuation _DB Dados do Mercado_Açúcar Físico não embarcado - Nov08 - Conferido_relatorio 14_Relatório Gerencial_DB Entrada_15-FINANCEIRAS" xfId="13150"/>
    <cellStyle name="s_Valuation _DB Dados do Mercado_Açúcar Físico não embarcado - Nov08 - Conferido_relatorio 14_Relatório Gerencial_DB Entrada_15-FINANCEIRAS_1" xfId="13151"/>
    <cellStyle name="s_Valuation _DB Dados do Mercado_Açúcar Físico não embarcado - Nov08 - Conferido_relatorio 14_Relatório Gerencial_DB Entrada_3-Balanço" xfId="13152"/>
    <cellStyle name="s_Valuation _DB Dados do Mercado_Açúcar Físico não embarcado - Nov08 - Conferido_relatorio 14_Relatório Gerencial_DB Entrada_7-Estoque" xfId="13153"/>
    <cellStyle name="s_Valuation _DB Dados do Mercado_Açúcar Físico não embarcado - Nov08 - Conferido_relatorio 15" xfId="13154"/>
    <cellStyle name="s_Valuation _DB Dados do Mercado_Açúcar Físico não embarcado - Nov08 - Conferido_relatorio 15_15-FINANCEIRAS" xfId="13155"/>
    <cellStyle name="s_Valuation _DB Dados do Mercado_Açúcar Físico não embarcado - Nov08 - Conferido_relatorio 2" xfId="13156"/>
    <cellStyle name="s_Valuation _DB Dados do Mercado_Açúcar Físico não embarcado - Nov08 - Conferido_relatorio 2 2" xfId="13157"/>
    <cellStyle name="s_Valuation _DB Dados do Mercado_Açúcar Físico não embarcado - Nov08 - Conferido_relatorio 2 2_15-FINANCEIRAS" xfId="13158"/>
    <cellStyle name="s_Valuation _DB Dados do Mercado_Açúcar Físico não embarcado - Nov08 - Conferido_relatorio 2_15-FINANCEIRAS" xfId="13159"/>
    <cellStyle name="s_Valuation _DB Dados do Mercado_Açúcar Físico não embarcado - Nov08 - Conferido_relatorio 2_15-FINANCEIRAS_1" xfId="13160"/>
    <cellStyle name="s_Valuation _DB Dados do Mercado_Açúcar Físico não embarcado - Nov08 - Conferido_relatorio 2_3-Balanço" xfId="13161"/>
    <cellStyle name="s_Valuation _DB Dados do Mercado_Açúcar Físico não embarcado - Nov08 - Conferido_relatorio 2_7-Estoque" xfId="13162"/>
    <cellStyle name="s_Valuation _DB Dados do Mercado_Açúcar Físico não embarcado - Nov08 - Conferido_relatorio 2_Relatório Gerencial" xfId="13163"/>
    <cellStyle name="s_Valuation _DB Dados do Mercado_Açúcar Físico não embarcado - Nov08 - Conferido_relatorio 2_Relatório Gerencial 2" xfId="13164"/>
    <cellStyle name="s_Valuation _DB Dados do Mercado_Açúcar Físico não embarcado - Nov08 - Conferido_relatorio 2_Relatório Gerencial 2_15-FINANCEIRAS" xfId="13165"/>
    <cellStyle name="s_Valuation _DB Dados do Mercado_Açúcar Físico não embarcado - Nov08 - Conferido_relatorio 2_Relatório Gerencial_15-FINANCEIRAS" xfId="13166"/>
    <cellStyle name="s_Valuation _DB Dados do Mercado_Açúcar Físico não embarcado - Nov08 - Conferido_relatorio 2_Relatório Gerencial_15-FINANCEIRAS_1" xfId="13167"/>
    <cellStyle name="s_Valuation _DB Dados do Mercado_Açúcar Físico não embarcado - Nov08 - Conferido_relatorio 2_Relatório Gerencial_3-Balanço" xfId="13168"/>
    <cellStyle name="s_Valuation _DB Dados do Mercado_Açúcar Físico não embarcado - Nov08 - Conferido_relatorio 2_Relatório Gerencial_7-Estoque" xfId="13169"/>
    <cellStyle name="s_Valuation _DB Dados do Mercado_Açúcar Físico não embarcado - Nov08 - Conferido_relatorio 2_Relatório Gerencial_DB Entrada" xfId="13170"/>
    <cellStyle name="s_Valuation _DB Dados do Mercado_Açúcar Físico não embarcado - Nov08 - Conferido_relatorio 2_Relatório Gerencial_DB Entrada 2" xfId="13171"/>
    <cellStyle name="s_Valuation _DB Dados do Mercado_Açúcar Físico não embarcado - Nov08 - Conferido_relatorio 2_Relatório Gerencial_DB Entrada 2_15-FINANCEIRAS" xfId="13172"/>
    <cellStyle name="s_Valuation _DB Dados do Mercado_Açúcar Físico não embarcado - Nov08 - Conferido_relatorio 2_Relatório Gerencial_DB Entrada_15-FINANCEIRAS" xfId="13173"/>
    <cellStyle name="s_Valuation _DB Dados do Mercado_Açúcar Físico não embarcado - Nov08 - Conferido_relatorio 2_Relatório Gerencial_DB Entrada_15-FINANCEIRAS_1" xfId="13174"/>
    <cellStyle name="s_Valuation _DB Dados do Mercado_Açúcar Físico não embarcado - Nov08 - Conferido_relatorio 2_Relatório Gerencial_DB Entrada_3-Balanço" xfId="13175"/>
    <cellStyle name="s_Valuation _DB Dados do Mercado_Açúcar Físico não embarcado - Nov08 - Conferido_relatorio 2_Relatório Gerencial_DB Entrada_7-Estoque" xfId="13176"/>
    <cellStyle name="s_Valuation _DB Dados do Mercado_Açúcar Físico não embarcado - Nov08 - Conferido_relatorio 3" xfId="13177"/>
    <cellStyle name="s_Valuation _DB Dados do Mercado_Açúcar Físico não embarcado - Nov08 - Conferido_relatorio 3 2" xfId="13178"/>
    <cellStyle name="s_Valuation _DB Dados do Mercado_Açúcar Físico não embarcado - Nov08 - Conferido_relatorio 3 2_15-FINANCEIRAS" xfId="13179"/>
    <cellStyle name="s_Valuation _DB Dados do Mercado_Açúcar Físico não embarcado - Nov08 - Conferido_relatorio 3_15-FINANCEIRAS" xfId="13180"/>
    <cellStyle name="s_Valuation _DB Dados do Mercado_Açúcar Físico não embarcado - Nov08 - Conferido_relatorio 3_15-FINANCEIRAS_1" xfId="13181"/>
    <cellStyle name="s_Valuation _DB Dados do Mercado_Açúcar Físico não embarcado - Nov08 - Conferido_relatorio 3_3-Balanço" xfId="13182"/>
    <cellStyle name="s_Valuation _DB Dados do Mercado_Açúcar Físico não embarcado - Nov08 - Conferido_relatorio 3_7-Estoque" xfId="13183"/>
    <cellStyle name="s_Valuation _DB Dados do Mercado_Açúcar Físico não embarcado - Nov08 - Conferido_relatorio 3_Relatório Gerencial" xfId="13184"/>
    <cellStyle name="s_Valuation _DB Dados do Mercado_Açúcar Físico não embarcado - Nov08 - Conferido_relatorio 3_Relatório Gerencial 2" xfId="13185"/>
    <cellStyle name="s_Valuation _DB Dados do Mercado_Açúcar Físico não embarcado - Nov08 - Conferido_relatorio 3_Relatório Gerencial 2_15-FINANCEIRAS" xfId="13186"/>
    <cellStyle name="s_Valuation _DB Dados do Mercado_Açúcar Físico não embarcado - Nov08 - Conferido_relatorio 3_Relatório Gerencial_15-FINANCEIRAS" xfId="13187"/>
    <cellStyle name="s_Valuation _DB Dados do Mercado_Açúcar Físico não embarcado - Nov08 - Conferido_relatorio 3_Relatório Gerencial_15-FINANCEIRAS_1" xfId="13188"/>
    <cellStyle name="s_Valuation _DB Dados do Mercado_Açúcar Físico não embarcado - Nov08 - Conferido_relatorio 3_Relatório Gerencial_3-Balanço" xfId="13189"/>
    <cellStyle name="s_Valuation _DB Dados do Mercado_Açúcar Físico não embarcado - Nov08 - Conferido_relatorio 3_Relatório Gerencial_7-Estoque" xfId="13190"/>
    <cellStyle name="s_Valuation _DB Dados do Mercado_Açúcar Físico não embarcado - Nov08 - Conferido_relatorio 3_Relatório Gerencial_DB Entrada" xfId="13191"/>
    <cellStyle name="s_Valuation _DB Dados do Mercado_Açúcar Físico não embarcado - Nov08 - Conferido_relatorio 3_Relatório Gerencial_DB Entrada 2" xfId="13192"/>
    <cellStyle name="s_Valuation _DB Dados do Mercado_Açúcar Físico não embarcado - Nov08 - Conferido_relatorio 3_Relatório Gerencial_DB Entrada 2_15-FINANCEIRAS" xfId="13193"/>
    <cellStyle name="s_Valuation _DB Dados do Mercado_Açúcar Físico não embarcado - Nov08 - Conferido_relatorio 3_Relatório Gerencial_DB Entrada_15-FINANCEIRAS" xfId="13194"/>
    <cellStyle name="s_Valuation _DB Dados do Mercado_Açúcar Físico não embarcado - Nov08 - Conferido_relatorio 3_Relatório Gerencial_DB Entrada_15-FINANCEIRAS_1" xfId="13195"/>
    <cellStyle name="s_Valuation _DB Dados do Mercado_Açúcar Físico não embarcado - Nov08 - Conferido_relatorio 3_Relatório Gerencial_DB Entrada_3-Balanço" xfId="13196"/>
    <cellStyle name="s_Valuation _DB Dados do Mercado_Açúcar Físico não embarcado - Nov08 - Conferido_relatorio 3_Relatório Gerencial_DB Entrada_7-Estoque" xfId="13197"/>
    <cellStyle name="s_Valuation _DB Dados do Mercado_Açúcar Físico não embarcado - Nov08 - Conferido_relatorio 4" xfId="13198"/>
    <cellStyle name="s_Valuation _DB Dados do Mercado_Açúcar Físico não embarcado - Nov08 - Conferido_relatorio 4 2" xfId="13199"/>
    <cellStyle name="s_Valuation _DB Dados do Mercado_Açúcar Físico não embarcado - Nov08 - Conferido_relatorio 4 2_15-FINANCEIRAS" xfId="13200"/>
    <cellStyle name="s_Valuation _DB Dados do Mercado_Açúcar Físico não embarcado - Nov08 - Conferido_relatorio 4_15-FINANCEIRAS" xfId="13201"/>
    <cellStyle name="s_Valuation _DB Dados do Mercado_Açúcar Físico não embarcado - Nov08 - Conferido_relatorio 4_15-FINANCEIRAS_1" xfId="13202"/>
    <cellStyle name="s_Valuation _DB Dados do Mercado_Açúcar Físico não embarcado - Nov08 - Conferido_relatorio 4_3-Balanço" xfId="13203"/>
    <cellStyle name="s_Valuation _DB Dados do Mercado_Açúcar Físico não embarcado - Nov08 - Conferido_relatorio 4_7-Estoque" xfId="13204"/>
    <cellStyle name="s_Valuation _DB Dados do Mercado_Açúcar Físico não embarcado - Nov08 - Conferido_relatorio 4_Relatório Gerencial" xfId="13205"/>
    <cellStyle name="s_Valuation _DB Dados do Mercado_Açúcar Físico não embarcado - Nov08 - Conferido_relatorio 4_Relatório Gerencial 2" xfId="13206"/>
    <cellStyle name="s_Valuation _DB Dados do Mercado_Açúcar Físico não embarcado - Nov08 - Conferido_relatorio 4_Relatório Gerencial 2_15-FINANCEIRAS" xfId="13207"/>
    <cellStyle name="s_Valuation _DB Dados do Mercado_Açúcar Físico não embarcado - Nov08 - Conferido_relatorio 4_Relatório Gerencial_15-FINANCEIRAS" xfId="13208"/>
    <cellStyle name="s_Valuation _DB Dados do Mercado_Açúcar Físico não embarcado - Nov08 - Conferido_relatorio 4_Relatório Gerencial_15-FINANCEIRAS_1" xfId="13209"/>
    <cellStyle name="s_Valuation _DB Dados do Mercado_Açúcar Físico não embarcado - Nov08 - Conferido_relatorio 4_Relatório Gerencial_3-Balanço" xfId="13210"/>
    <cellStyle name="s_Valuation _DB Dados do Mercado_Açúcar Físico não embarcado - Nov08 - Conferido_relatorio 4_Relatório Gerencial_7-Estoque" xfId="13211"/>
    <cellStyle name="s_Valuation _DB Dados do Mercado_Açúcar Físico não embarcado - Nov08 - Conferido_relatorio 4_Relatório Gerencial_DB Entrada" xfId="13212"/>
    <cellStyle name="s_Valuation _DB Dados do Mercado_Açúcar Físico não embarcado - Nov08 - Conferido_relatorio 4_Relatório Gerencial_DB Entrada 2" xfId="13213"/>
    <cellStyle name="s_Valuation _DB Dados do Mercado_Açúcar Físico não embarcado - Nov08 - Conferido_relatorio 4_Relatório Gerencial_DB Entrada 2_15-FINANCEIRAS" xfId="13214"/>
    <cellStyle name="s_Valuation _DB Dados do Mercado_Açúcar Físico não embarcado - Nov08 - Conferido_relatorio 4_Relatório Gerencial_DB Entrada_15-FINANCEIRAS" xfId="13215"/>
    <cellStyle name="s_Valuation _DB Dados do Mercado_Açúcar Físico não embarcado - Nov08 - Conferido_relatorio 4_Relatório Gerencial_DB Entrada_15-FINANCEIRAS_1" xfId="13216"/>
    <cellStyle name="s_Valuation _DB Dados do Mercado_Açúcar Físico não embarcado - Nov08 - Conferido_relatorio 4_Relatório Gerencial_DB Entrada_3-Balanço" xfId="13217"/>
    <cellStyle name="s_Valuation _DB Dados do Mercado_Açúcar Físico não embarcado - Nov08 - Conferido_relatorio 4_Relatório Gerencial_DB Entrada_7-Estoque" xfId="13218"/>
    <cellStyle name="s_Valuation _DB Dados do Mercado_Açúcar Físico não embarcado - Nov08 - Conferido_relatorio 5" xfId="13219"/>
    <cellStyle name="s_Valuation _DB Dados do Mercado_Açúcar Físico não embarcado - Nov08 - Conferido_relatorio 5 2" xfId="13220"/>
    <cellStyle name="s_Valuation _DB Dados do Mercado_Açúcar Físico não embarcado - Nov08 - Conferido_relatorio 5 2_15-FINANCEIRAS" xfId="13221"/>
    <cellStyle name="s_Valuation _DB Dados do Mercado_Açúcar Físico não embarcado - Nov08 - Conferido_relatorio 5_15-FINANCEIRAS" xfId="13222"/>
    <cellStyle name="s_Valuation _DB Dados do Mercado_Açúcar Físico não embarcado - Nov08 - Conferido_relatorio 5_15-FINANCEIRAS_1" xfId="13223"/>
    <cellStyle name="s_Valuation _DB Dados do Mercado_Açúcar Físico não embarcado - Nov08 - Conferido_relatorio 5_3-Balanço" xfId="13224"/>
    <cellStyle name="s_Valuation _DB Dados do Mercado_Açúcar Físico não embarcado - Nov08 - Conferido_relatorio 5_7-Estoque" xfId="13225"/>
    <cellStyle name="s_Valuation _DB Dados do Mercado_Açúcar Físico não embarcado - Nov08 - Conferido_relatorio 5_Relatório Gerencial" xfId="13226"/>
    <cellStyle name="s_Valuation _DB Dados do Mercado_Açúcar Físico não embarcado - Nov08 - Conferido_relatorio 5_Relatório Gerencial 2" xfId="13227"/>
    <cellStyle name="s_Valuation _DB Dados do Mercado_Açúcar Físico não embarcado - Nov08 - Conferido_relatorio 5_Relatório Gerencial 2_15-FINANCEIRAS" xfId="13228"/>
    <cellStyle name="s_Valuation _DB Dados do Mercado_Açúcar Físico não embarcado - Nov08 - Conferido_relatorio 5_Relatório Gerencial_15-FINANCEIRAS" xfId="13229"/>
    <cellStyle name="s_Valuation _DB Dados do Mercado_Açúcar Físico não embarcado - Nov08 - Conferido_relatorio 5_Relatório Gerencial_15-FINANCEIRAS_1" xfId="13230"/>
    <cellStyle name="s_Valuation _DB Dados do Mercado_Açúcar Físico não embarcado - Nov08 - Conferido_relatorio 5_Relatório Gerencial_3-Balanço" xfId="13231"/>
    <cellStyle name="s_Valuation _DB Dados do Mercado_Açúcar Físico não embarcado - Nov08 - Conferido_relatorio 5_Relatório Gerencial_7-Estoque" xfId="13232"/>
    <cellStyle name="s_Valuation _DB Dados do Mercado_Açúcar Físico não embarcado - Nov08 - Conferido_relatorio 5_Relatório Gerencial_DB Entrada" xfId="13233"/>
    <cellStyle name="s_Valuation _DB Dados do Mercado_Açúcar Físico não embarcado - Nov08 - Conferido_relatorio 5_Relatório Gerencial_DB Entrada 2" xfId="13234"/>
    <cellStyle name="s_Valuation _DB Dados do Mercado_Açúcar Físico não embarcado - Nov08 - Conferido_relatorio 5_Relatório Gerencial_DB Entrada 2_15-FINANCEIRAS" xfId="13235"/>
    <cellStyle name="s_Valuation _DB Dados do Mercado_Açúcar Físico não embarcado - Nov08 - Conferido_relatorio 5_Relatório Gerencial_DB Entrada_15-FINANCEIRAS" xfId="13236"/>
    <cellStyle name="s_Valuation _DB Dados do Mercado_Açúcar Físico não embarcado - Nov08 - Conferido_relatorio 5_Relatório Gerencial_DB Entrada_15-FINANCEIRAS_1" xfId="13237"/>
    <cellStyle name="s_Valuation _DB Dados do Mercado_Açúcar Físico não embarcado - Nov08 - Conferido_relatorio 5_Relatório Gerencial_DB Entrada_3-Balanço" xfId="13238"/>
    <cellStyle name="s_Valuation _DB Dados do Mercado_Açúcar Físico não embarcado - Nov08 - Conferido_relatorio 5_Relatório Gerencial_DB Entrada_7-Estoque" xfId="13239"/>
    <cellStyle name="s_Valuation _DB Dados do Mercado_Açúcar Físico não embarcado - Nov08 - Conferido_relatorio 6" xfId="13240"/>
    <cellStyle name="s_Valuation _DB Dados do Mercado_Açúcar Físico não embarcado - Nov08 - Conferido_relatorio 6 2" xfId="13241"/>
    <cellStyle name="s_Valuation _DB Dados do Mercado_Açúcar Físico não embarcado - Nov08 - Conferido_relatorio 6 2_15-FINANCEIRAS" xfId="13242"/>
    <cellStyle name="s_Valuation _DB Dados do Mercado_Açúcar Físico não embarcado - Nov08 - Conferido_relatorio 6_15-FINANCEIRAS" xfId="13243"/>
    <cellStyle name="s_Valuation _DB Dados do Mercado_Açúcar Físico não embarcado - Nov08 - Conferido_relatorio 6_15-FINANCEIRAS_1" xfId="13244"/>
    <cellStyle name="s_Valuation _DB Dados do Mercado_Açúcar Físico não embarcado - Nov08 - Conferido_relatorio 6_3-Balanço" xfId="13245"/>
    <cellStyle name="s_Valuation _DB Dados do Mercado_Açúcar Físico não embarcado - Nov08 - Conferido_relatorio 6_7-Estoque" xfId="13246"/>
    <cellStyle name="s_Valuation _DB Dados do Mercado_Açúcar Físico não embarcado - Nov08 - Conferido_relatorio 6_Relatório Gerencial" xfId="13247"/>
    <cellStyle name="s_Valuation _DB Dados do Mercado_Açúcar Físico não embarcado - Nov08 - Conferido_relatorio 6_Relatório Gerencial 2" xfId="13248"/>
    <cellStyle name="s_Valuation _DB Dados do Mercado_Açúcar Físico não embarcado - Nov08 - Conferido_relatorio 6_Relatório Gerencial 2_15-FINANCEIRAS" xfId="13249"/>
    <cellStyle name="s_Valuation _DB Dados do Mercado_Açúcar Físico não embarcado - Nov08 - Conferido_relatorio 6_Relatório Gerencial_15-FINANCEIRAS" xfId="13250"/>
    <cellStyle name="s_Valuation _DB Dados do Mercado_Açúcar Físico não embarcado - Nov08 - Conferido_relatorio 6_Relatório Gerencial_15-FINANCEIRAS_1" xfId="13251"/>
    <cellStyle name="s_Valuation _DB Dados do Mercado_Açúcar Físico não embarcado - Nov08 - Conferido_relatorio 6_Relatório Gerencial_3-Balanço" xfId="13252"/>
    <cellStyle name="s_Valuation _DB Dados do Mercado_Açúcar Físico não embarcado - Nov08 - Conferido_relatorio 6_Relatório Gerencial_7-Estoque" xfId="13253"/>
    <cellStyle name="s_Valuation _DB Dados do Mercado_Açúcar Físico não embarcado - Nov08 - Conferido_relatorio 6_Relatório Gerencial_DB Entrada" xfId="13254"/>
    <cellStyle name="s_Valuation _DB Dados do Mercado_Açúcar Físico não embarcado - Nov08 - Conferido_relatorio 6_Relatório Gerencial_DB Entrada 2" xfId="13255"/>
    <cellStyle name="s_Valuation _DB Dados do Mercado_Açúcar Físico não embarcado - Nov08 - Conferido_relatorio 6_Relatório Gerencial_DB Entrada 2_15-FINANCEIRAS" xfId="13256"/>
    <cellStyle name="s_Valuation _DB Dados do Mercado_Açúcar Físico não embarcado - Nov08 - Conferido_relatorio 6_Relatório Gerencial_DB Entrada_15-FINANCEIRAS" xfId="13257"/>
    <cellStyle name="s_Valuation _DB Dados do Mercado_Açúcar Físico não embarcado - Nov08 - Conferido_relatorio 6_Relatório Gerencial_DB Entrada_15-FINANCEIRAS_1" xfId="13258"/>
    <cellStyle name="s_Valuation _DB Dados do Mercado_Açúcar Físico não embarcado - Nov08 - Conferido_relatorio 6_Relatório Gerencial_DB Entrada_3-Balanço" xfId="13259"/>
    <cellStyle name="s_Valuation _DB Dados do Mercado_Açúcar Físico não embarcado - Nov08 - Conferido_relatorio 6_Relatório Gerencial_DB Entrada_7-Estoque" xfId="13260"/>
    <cellStyle name="s_Valuation _DB Dados do Mercado_Açúcar Físico não embarcado - Nov08 - Conferido_relatorio 7" xfId="13261"/>
    <cellStyle name="s_Valuation _DB Dados do Mercado_Açúcar Físico não embarcado - Nov08 - Conferido_relatorio 7 2" xfId="13262"/>
    <cellStyle name="s_Valuation _DB Dados do Mercado_Açúcar Físico não embarcado - Nov08 - Conferido_relatorio 7 2_15-FINANCEIRAS" xfId="13263"/>
    <cellStyle name="s_Valuation _DB Dados do Mercado_Açúcar Físico não embarcado - Nov08 - Conferido_relatorio 7_15-FINANCEIRAS" xfId="13264"/>
    <cellStyle name="s_Valuation _DB Dados do Mercado_Açúcar Físico não embarcado - Nov08 - Conferido_relatorio 7_15-FINANCEIRAS_1" xfId="13265"/>
    <cellStyle name="s_Valuation _DB Dados do Mercado_Açúcar Físico não embarcado - Nov08 - Conferido_relatorio 7_3-Balanço" xfId="13266"/>
    <cellStyle name="s_Valuation _DB Dados do Mercado_Açúcar Físico não embarcado - Nov08 - Conferido_relatorio 7_7-Estoque" xfId="13267"/>
    <cellStyle name="s_Valuation _DB Dados do Mercado_Açúcar Físico não embarcado - Nov08 - Conferido_relatorio 7_Relatório Gerencial" xfId="13268"/>
    <cellStyle name="s_Valuation _DB Dados do Mercado_Açúcar Físico não embarcado - Nov08 - Conferido_relatorio 7_Relatório Gerencial 2" xfId="13269"/>
    <cellStyle name="s_Valuation _DB Dados do Mercado_Açúcar Físico não embarcado - Nov08 - Conferido_relatorio 7_Relatório Gerencial 2_15-FINANCEIRAS" xfId="13270"/>
    <cellStyle name="s_Valuation _DB Dados do Mercado_Açúcar Físico não embarcado - Nov08 - Conferido_relatorio 7_Relatório Gerencial_15-FINANCEIRAS" xfId="13271"/>
    <cellStyle name="s_Valuation _DB Dados do Mercado_Açúcar Físico não embarcado - Nov08 - Conferido_relatorio 7_Relatório Gerencial_15-FINANCEIRAS_1" xfId="13272"/>
    <cellStyle name="s_Valuation _DB Dados do Mercado_Açúcar Físico não embarcado - Nov08 - Conferido_relatorio 7_Relatório Gerencial_3-Balanço" xfId="13273"/>
    <cellStyle name="s_Valuation _DB Dados do Mercado_Açúcar Físico não embarcado - Nov08 - Conferido_relatorio 7_Relatório Gerencial_7-Estoque" xfId="13274"/>
    <cellStyle name="s_Valuation _DB Dados do Mercado_Açúcar Físico não embarcado - Nov08 - Conferido_relatorio 7_Relatório Gerencial_DB Entrada" xfId="13275"/>
    <cellStyle name="s_Valuation _DB Dados do Mercado_Açúcar Físico não embarcado - Nov08 - Conferido_relatorio 7_Relatório Gerencial_DB Entrada 2" xfId="13276"/>
    <cellStyle name="s_Valuation _DB Dados do Mercado_Açúcar Físico não embarcado - Nov08 - Conferido_relatorio 7_Relatório Gerencial_DB Entrada 2_15-FINANCEIRAS" xfId="13277"/>
    <cellStyle name="s_Valuation _DB Dados do Mercado_Açúcar Físico não embarcado - Nov08 - Conferido_relatorio 7_Relatório Gerencial_DB Entrada_15-FINANCEIRAS" xfId="13278"/>
    <cellStyle name="s_Valuation _DB Dados do Mercado_Açúcar Físico não embarcado - Nov08 - Conferido_relatorio 7_Relatório Gerencial_DB Entrada_15-FINANCEIRAS_1" xfId="13279"/>
    <cellStyle name="s_Valuation _DB Dados do Mercado_Açúcar Físico não embarcado - Nov08 - Conferido_relatorio 7_Relatório Gerencial_DB Entrada_3-Balanço" xfId="13280"/>
    <cellStyle name="s_Valuation _DB Dados do Mercado_Açúcar Físico não embarcado - Nov08 - Conferido_relatorio 7_Relatório Gerencial_DB Entrada_7-Estoque" xfId="13281"/>
    <cellStyle name="s_Valuation _DB Dados do Mercado_Açúcar Físico não embarcado - Nov08 - Conferido_relatorio 8" xfId="13282"/>
    <cellStyle name="s_Valuation _DB Dados do Mercado_Açúcar Físico não embarcado - Nov08 - Conferido_relatorio 8 2" xfId="13283"/>
    <cellStyle name="s_Valuation _DB Dados do Mercado_Açúcar Físico não embarcado - Nov08 - Conferido_relatorio 8 2_15-FINANCEIRAS" xfId="13284"/>
    <cellStyle name="s_Valuation _DB Dados do Mercado_Açúcar Físico não embarcado - Nov08 - Conferido_relatorio 8_15-FINANCEIRAS" xfId="13285"/>
    <cellStyle name="s_Valuation _DB Dados do Mercado_Açúcar Físico não embarcado - Nov08 - Conferido_relatorio 8_15-FINANCEIRAS_1" xfId="13286"/>
    <cellStyle name="s_Valuation _DB Dados do Mercado_Açúcar Físico não embarcado - Nov08 - Conferido_relatorio 8_3-Balanço" xfId="13287"/>
    <cellStyle name="s_Valuation _DB Dados do Mercado_Açúcar Físico não embarcado - Nov08 - Conferido_relatorio 8_7-Estoque" xfId="13288"/>
    <cellStyle name="s_Valuation _DB Dados do Mercado_Açúcar Físico não embarcado - Nov08 - Conferido_relatorio 8_Relatório Gerencial" xfId="13289"/>
    <cellStyle name="s_Valuation _DB Dados do Mercado_Açúcar Físico não embarcado - Nov08 - Conferido_relatorio 8_Relatório Gerencial 2" xfId="13290"/>
    <cellStyle name="s_Valuation _DB Dados do Mercado_Açúcar Físico não embarcado - Nov08 - Conferido_relatorio 8_Relatório Gerencial 2_15-FINANCEIRAS" xfId="13291"/>
    <cellStyle name="s_Valuation _DB Dados do Mercado_Açúcar Físico não embarcado - Nov08 - Conferido_relatorio 8_Relatório Gerencial_15-FINANCEIRAS" xfId="13292"/>
    <cellStyle name="s_Valuation _DB Dados do Mercado_Açúcar Físico não embarcado - Nov08 - Conferido_relatorio 8_Relatório Gerencial_15-FINANCEIRAS_1" xfId="13293"/>
    <cellStyle name="s_Valuation _DB Dados do Mercado_Açúcar Físico não embarcado - Nov08 - Conferido_relatorio 8_Relatório Gerencial_3-Balanço" xfId="13294"/>
    <cellStyle name="s_Valuation _DB Dados do Mercado_Açúcar Físico não embarcado - Nov08 - Conferido_relatorio 8_Relatório Gerencial_7-Estoque" xfId="13295"/>
    <cellStyle name="s_Valuation _DB Dados do Mercado_Açúcar Físico não embarcado - Nov08 - Conferido_relatorio 8_Relatório Gerencial_DB Entrada" xfId="13296"/>
    <cellStyle name="s_Valuation _DB Dados do Mercado_Açúcar Físico não embarcado - Nov08 - Conferido_relatorio 8_Relatório Gerencial_DB Entrada 2" xfId="13297"/>
    <cellStyle name="s_Valuation _DB Dados do Mercado_Açúcar Físico não embarcado - Nov08 - Conferido_relatorio 8_Relatório Gerencial_DB Entrada 2_15-FINANCEIRAS" xfId="13298"/>
    <cellStyle name="s_Valuation _DB Dados do Mercado_Açúcar Físico não embarcado - Nov08 - Conferido_relatorio 8_Relatório Gerencial_DB Entrada_15-FINANCEIRAS" xfId="13299"/>
    <cellStyle name="s_Valuation _DB Dados do Mercado_Açúcar Físico não embarcado - Nov08 - Conferido_relatorio 8_Relatório Gerencial_DB Entrada_15-FINANCEIRAS_1" xfId="13300"/>
    <cellStyle name="s_Valuation _DB Dados do Mercado_Açúcar Físico não embarcado - Nov08 - Conferido_relatorio 8_Relatório Gerencial_DB Entrada_3-Balanço" xfId="13301"/>
    <cellStyle name="s_Valuation _DB Dados do Mercado_Açúcar Físico não embarcado - Nov08 - Conferido_relatorio 8_Relatório Gerencial_DB Entrada_7-Estoque" xfId="13302"/>
    <cellStyle name="s_Valuation _DB Dados do Mercado_Açúcar Físico não embarcado - Nov08 - Conferido_relatorio 9" xfId="13303"/>
    <cellStyle name="s_Valuation _DB Dados do Mercado_Açúcar Físico não embarcado - Nov08 - Conferido_relatorio 9 2" xfId="13304"/>
    <cellStyle name="s_Valuation _DB Dados do Mercado_Açúcar Físico não embarcado - Nov08 - Conferido_relatorio 9 2_15-FINANCEIRAS" xfId="13305"/>
    <cellStyle name="s_Valuation _DB Dados do Mercado_Açúcar Físico não embarcado - Nov08 - Conferido_relatorio 9_15-FINANCEIRAS" xfId="13306"/>
    <cellStyle name="s_Valuation _DB Dados do Mercado_Açúcar Físico não embarcado - Nov08 - Conferido_relatorio 9_15-FINANCEIRAS_1" xfId="13307"/>
    <cellStyle name="s_Valuation _DB Dados do Mercado_Açúcar Físico não embarcado - Nov08 - Conferido_relatorio 9_3-Balanço" xfId="13308"/>
    <cellStyle name="s_Valuation _DB Dados do Mercado_Açúcar Físico não embarcado - Nov08 - Conferido_relatorio 9_7-Estoque" xfId="13309"/>
    <cellStyle name="s_Valuation _DB Dados do Mercado_Açúcar Físico não embarcado - Nov08 - Conferido_relatorio 9_Relatório Gerencial" xfId="13310"/>
    <cellStyle name="s_Valuation _DB Dados do Mercado_Açúcar Físico não embarcado - Nov08 - Conferido_relatorio 9_Relatório Gerencial 2" xfId="13311"/>
    <cellStyle name="s_Valuation _DB Dados do Mercado_Açúcar Físico não embarcado - Nov08 - Conferido_relatorio 9_Relatório Gerencial 2_15-FINANCEIRAS" xfId="13312"/>
    <cellStyle name="s_Valuation _DB Dados do Mercado_Açúcar Físico não embarcado - Nov08 - Conferido_relatorio 9_Relatório Gerencial_15-FINANCEIRAS" xfId="13313"/>
    <cellStyle name="s_Valuation _DB Dados do Mercado_Açúcar Físico não embarcado - Nov08 - Conferido_relatorio 9_Relatório Gerencial_15-FINANCEIRAS_1" xfId="13314"/>
    <cellStyle name="s_Valuation _DB Dados do Mercado_Açúcar Físico não embarcado - Nov08 - Conferido_relatorio 9_Relatório Gerencial_3-Balanço" xfId="13315"/>
    <cellStyle name="s_Valuation _DB Dados do Mercado_Açúcar Físico não embarcado - Nov08 - Conferido_relatorio 9_Relatório Gerencial_7-Estoque" xfId="13316"/>
    <cellStyle name="s_Valuation _DB Dados do Mercado_Açúcar Físico não embarcado - Nov08 - Conferido_relatorio 9_Relatório Gerencial_DB Entrada" xfId="13317"/>
    <cellStyle name="s_Valuation _DB Dados do Mercado_Açúcar Físico não embarcado - Nov08 - Conferido_relatorio 9_Relatório Gerencial_DB Entrada 2" xfId="13318"/>
    <cellStyle name="s_Valuation _DB Dados do Mercado_Açúcar Físico não embarcado - Nov08 - Conferido_relatorio 9_Relatório Gerencial_DB Entrada 2_15-FINANCEIRAS" xfId="13319"/>
    <cellStyle name="s_Valuation _DB Dados do Mercado_Açúcar Físico não embarcado - Nov08 - Conferido_relatorio 9_Relatório Gerencial_DB Entrada_15-FINANCEIRAS" xfId="13320"/>
    <cellStyle name="s_Valuation _DB Dados do Mercado_Açúcar Físico não embarcado - Nov08 - Conferido_relatorio 9_Relatório Gerencial_DB Entrada_15-FINANCEIRAS_1" xfId="13321"/>
    <cellStyle name="s_Valuation _DB Dados do Mercado_Açúcar Físico não embarcado - Nov08 - Conferido_relatorio 9_Relatório Gerencial_DB Entrada_3-Balanço" xfId="13322"/>
    <cellStyle name="s_Valuation _DB Dados do Mercado_Açúcar Físico não embarcado - Nov08 - Conferido_relatorio 9_Relatório Gerencial_DB Entrada_7-Estoque" xfId="13323"/>
    <cellStyle name="s_Valuation _DB Dados do Mercado_Açúcar Físico não embarcado - Nov08 - Conferido_Relatório de Commodities" xfId="13324"/>
    <cellStyle name="s_Valuation _DB Dados do Mercado_Açúcar Físico não embarcado - Nov08 - Conferido_Relatório de Commodities 2" xfId="13325"/>
    <cellStyle name="s_Valuation _DB Dados do Mercado_Açúcar Físico não embarcado - Nov08 - Conferido_Relatório de Commodities 2_15-FINANCEIRAS" xfId="13326"/>
    <cellStyle name="s_Valuation _DB Dados do Mercado_Açúcar Físico não embarcado - Nov08 - Conferido_Relatório de Commodities_15-FINANCEIRAS" xfId="13327"/>
    <cellStyle name="s_Valuation _DB Dados do Mercado_Açúcar Físico não embarcado - Nov08 - Conferido_Relatório de Commodities_15-FINANCEIRAS_1" xfId="13328"/>
    <cellStyle name="s_Valuation _DB Dados do Mercado_Açúcar Físico não embarcado - Nov08 - Conferido_Relatório de Commodities_3-Balanço" xfId="13329"/>
    <cellStyle name="s_Valuation _DB Dados do Mercado_Açúcar Físico não embarcado - Nov08 - Conferido_Relatório de Commodities_7-Estoque" xfId="13330"/>
    <cellStyle name="s_Valuation _DB Dados do Mercado_Açúcar Físico não embarcado - Nov08 - Conferido_Relatório de Commodities_Relatório Gerencial" xfId="13331"/>
    <cellStyle name="s_Valuation _DB Dados do Mercado_Açúcar Físico não embarcado - Nov08 - Conferido_Relatório de Commodities_Relatório Gerencial 2" xfId="13332"/>
    <cellStyle name="s_Valuation _DB Dados do Mercado_Açúcar Físico não embarcado - Nov08 - Conferido_Relatório de Commodities_Relatório Gerencial 2_15-FINANCEIRAS" xfId="13333"/>
    <cellStyle name="s_Valuation _DB Dados do Mercado_Açúcar Físico não embarcado - Nov08 - Conferido_Relatório de Commodities_Relatório Gerencial_15-FINANCEIRAS" xfId="13334"/>
    <cellStyle name="s_Valuation _DB Dados do Mercado_Açúcar Físico não embarcado - Nov08 - Conferido_Relatório de Commodities_Relatório Gerencial_15-FINANCEIRAS_1" xfId="13335"/>
    <cellStyle name="s_Valuation _DB Dados do Mercado_Açúcar Físico não embarcado - Nov08 - Conferido_Relatório de Commodities_Relatório Gerencial_3-Balanço" xfId="13336"/>
    <cellStyle name="s_Valuation _DB Dados do Mercado_Açúcar Físico não embarcado - Nov08 - Conferido_Relatório de Commodities_Relatório Gerencial_7-Estoque" xfId="13337"/>
    <cellStyle name="s_Valuation _DB Dados do Mercado_Açúcar Físico não embarcado - Nov08 - Conferido_Relatório de Commodities_Relatório Gerencial_DB Entrada" xfId="13338"/>
    <cellStyle name="s_Valuation _DB Dados do Mercado_Açúcar Físico não embarcado - Nov08 - Conferido_Relatório de Commodities_Relatório Gerencial_DB Entrada 2" xfId="13339"/>
    <cellStyle name="s_Valuation _DB Dados do Mercado_Açúcar Físico não embarcado - Nov08 - Conferido_Relatório de Commodities_Relatório Gerencial_DB Entrada 2_15-FINANCEIRAS" xfId="13340"/>
    <cellStyle name="s_Valuation _DB Dados do Mercado_Açúcar Físico não embarcado - Nov08 - Conferido_Relatório de Commodities_Relatório Gerencial_DB Entrada_15-FINANCEIRAS" xfId="13341"/>
    <cellStyle name="s_Valuation _DB Dados do Mercado_Açúcar Físico não embarcado - Nov08 - Conferido_Relatório de Commodities_Relatório Gerencial_DB Entrada_15-FINANCEIRAS_1" xfId="13342"/>
    <cellStyle name="s_Valuation _DB Dados do Mercado_Açúcar Físico não embarcado - Nov08 - Conferido_Relatório de Commodities_Relatório Gerencial_DB Entrada_3-Balanço" xfId="13343"/>
    <cellStyle name="s_Valuation _DB Dados do Mercado_Açúcar Físico não embarcado - Nov08 - Conferido_Relatório de Commodities_Relatório Gerencial_DB Entrada_7-Estoque" xfId="13344"/>
    <cellStyle name="s_Valuation _DB Dados do Mercado_Açúcar Físico não embarcado - Nov08 - Conferido_Relatório Diário" xfId="13345"/>
    <cellStyle name="s_Valuation _DB Dados do Mercado_Açúcar Físico não embarcado - Nov08 - Conferido_Relatório Diário - 02 Dezembro 09" xfId="13346"/>
    <cellStyle name="s_Valuation _DB Dados do Mercado_Açúcar Físico não embarcado - Nov08 - Conferido_Relatório Diário - 02 Dezembro 09 2" xfId="13347"/>
    <cellStyle name="s_Valuation _DB Dados do Mercado_Açúcar Físico não embarcado - Nov08 - Conferido_Relatório Diário - 02 Dezembro 09 2_15-FINANCEIRAS" xfId="13348"/>
    <cellStyle name="s_Valuation _DB Dados do Mercado_Açúcar Físico não embarcado - Nov08 - Conferido_Relatório Diário - 02 Dezembro 09_15-FINANCEIRAS" xfId="13349"/>
    <cellStyle name="s_Valuation _DB Dados do Mercado_Açúcar Físico não embarcado - Nov08 - Conferido_Relatório Diário - 02 Dezembro 09_15-FINANCEIRAS_1" xfId="13350"/>
    <cellStyle name="s_Valuation _DB Dados do Mercado_Açúcar Físico não embarcado - Nov08 - Conferido_Relatório Diário - 02 Dezembro 09_3-Balanço" xfId="13351"/>
    <cellStyle name="s_Valuation _DB Dados do Mercado_Açúcar Físico não embarcado - Nov08 - Conferido_Relatório Diário - 02 Dezembro 09_7-Estoque" xfId="13352"/>
    <cellStyle name="s_Valuation _DB Dados do Mercado_Açúcar Físico não embarcado - Nov08 - Conferido_Relatório Diário - 02 Dezembro 09_Relatório Gerencial" xfId="13353"/>
    <cellStyle name="s_Valuation _DB Dados do Mercado_Açúcar Físico não embarcado - Nov08 - Conferido_Relatório Diário - 02 Dezembro 09_Relatório Gerencial 2" xfId="13354"/>
    <cellStyle name="s_Valuation _DB Dados do Mercado_Açúcar Físico não embarcado - Nov08 - Conferido_Relatório Diário - 02 Dezembro 09_Relatório Gerencial 2_15-FINANCEIRAS" xfId="13355"/>
    <cellStyle name="s_Valuation _DB Dados do Mercado_Açúcar Físico não embarcado - Nov08 - Conferido_Relatório Diário - 02 Dezembro 09_Relatório Gerencial_15-FINANCEIRAS" xfId="13356"/>
    <cellStyle name="s_Valuation _DB Dados do Mercado_Açúcar Físico não embarcado - Nov08 - Conferido_Relatório Diário - 02 Dezembro 09_Relatório Gerencial_15-FINANCEIRAS_1" xfId="13357"/>
    <cellStyle name="s_Valuation _DB Dados do Mercado_Açúcar Físico não embarcado - Nov08 - Conferido_Relatório Diário - 02 Dezembro 09_Relatório Gerencial_3-Balanço" xfId="13358"/>
    <cellStyle name="s_Valuation _DB Dados do Mercado_Açúcar Físico não embarcado - Nov08 - Conferido_Relatório Diário - 02 Dezembro 09_Relatório Gerencial_7-Estoque" xfId="13359"/>
    <cellStyle name="s_Valuation _DB Dados do Mercado_Açúcar Físico não embarcado - Nov08 - Conferido_Relatório Diário - 02 Dezembro 09_Relatório Gerencial_DB Entrada" xfId="13360"/>
    <cellStyle name="s_Valuation _DB Dados do Mercado_Açúcar Físico não embarcado - Nov08 - Conferido_Relatório Diário - 02 Dezembro 09_Relatório Gerencial_DB Entrada 2" xfId="13361"/>
    <cellStyle name="s_Valuation _DB Dados do Mercado_Açúcar Físico não embarcado - Nov08 - Conferido_Relatório Diário - 02 Dezembro 09_Relatório Gerencial_DB Entrada 2_15-FINANCEIRAS" xfId="13362"/>
    <cellStyle name="s_Valuation _DB Dados do Mercado_Açúcar Físico não embarcado - Nov08 - Conferido_Relatório Diário - 02 Dezembro 09_Relatório Gerencial_DB Entrada_15-FINANCEIRAS" xfId="13363"/>
    <cellStyle name="s_Valuation _DB Dados do Mercado_Açúcar Físico não embarcado - Nov08 - Conferido_Relatório Diário - 02 Dezembro 09_Relatório Gerencial_DB Entrada_15-FINANCEIRAS_1" xfId="13364"/>
    <cellStyle name="s_Valuation _DB Dados do Mercado_Açúcar Físico não embarcado - Nov08 - Conferido_Relatório Diário - 02 Dezembro 09_Relatório Gerencial_DB Entrada_3-Balanço" xfId="13365"/>
    <cellStyle name="s_Valuation _DB Dados do Mercado_Açúcar Físico não embarcado - Nov08 - Conferido_Relatório Diário - 02 Dezembro 09_Relatório Gerencial_DB Entrada_7-Estoque" xfId="13366"/>
    <cellStyle name="s_Valuation _DB Dados do Mercado_Açúcar Físico não embarcado - Nov08 - Conferido_Relatório Diário 2" xfId="13367"/>
    <cellStyle name="s_Valuation _DB Dados do Mercado_Açúcar Físico não embarcado - Nov08 - Conferido_Relatório Diário 2_15-FINANCEIRAS" xfId="13368"/>
    <cellStyle name="s_Valuation _DB Dados do Mercado_Açúcar Físico não embarcado - Nov08 - Conferido_Relatório Diário 3" xfId="13369"/>
    <cellStyle name="s_Valuation _DB Dados do Mercado_Açúcar Físico não embarcado - Nov08 - Conferido_Relatório Diário 3_15-FINANCEIRAS" xfId="13370"/>
    <cellStyle name="s_Valuation _DB Dados do Mercado_Açúcar Físico não embarcado - Nov08 - Conferido_Relatório Diário 4" xfId="13371"/>
    <cellStyle name="s_Valuation _DB Dados do Mercado_Açúcar Físico não embarcado - Nov08 - Conferido_Relatório Diário 4_15-FINANCEIRAS" xfId="13372"/>
    <cellStyle name="s_Valuation _DB Dados do Mercado_Açúcar Físico não embarcado - Nov08 - Conferido_Relatório Diário_15-FINANCEIRAS" xfId="13373"/>
    <cellStyle name="s_Valuation _DB Dados do Mercado_Açúcar Físico não embarcado - Nov08 - Conferido_Relatório Diário_15-FINANCEIRAS_1" xfId="13374"/>
    <cellStyle name="s_Valuation _DB Dados do Mercado_Açúcar Físico não embarcado - Nov08 - Conferido_Relatório Diário_3-Balanço" xfId="13375"/>
    <cellStyle name="s_Valuation _DB Dados do Mercado_Açúcar Físico não embarcado - Nov08 - Conferido_Relatório Diário_7-Estoque" xfId="13376"/>
    <cellStyle name="s_Valuation _DB Dados do Mercado_Açúcar Físico não embarcado - Nov08 - Conferido_Relatório Diário_Relatório Gerencial" xfId="13377"/>
    <cellStyle name="s_Valuation _DB Dados do Mercado_Açúcar Físico não embarcado - Nov08 - Conferido_Relatório Diário_Relatório Gerencial 2" xfId="13378"/>
    <cellStyle name="s_Valuation _DB Dados do Mercado_Açúcar Físico não embarcado - Nov08 - Conferido_Relatório Diário_Relatório Gerencial 2_15-FINANCEIRAS" xfId="13379"/>
    <cellStyle name="s_Valuation _DB Dados do Mercado_Açúcar Físico não embarcado - Nov08 - Conferido_Relatório Diário_Relatório Gerencial_15-FINANCEIRAS" xfId="13380"/>
    <cellStyle name="s_Valuation _DB Dados do Mercado_Açúcar Físico não embarcado - Nov08 - Conferido_Relatório Diário_Relatório Gerencial_15-FINANCEIRAS_1" xfId="13381"/>
    <cellStyle name="s_Valuation _DB Dados do Mercado_Açúcar Físico não embarcado - Nov08 - Conferido_Relatório Diário_Relatório Gerencial_3-Balanço" xfId="13382"/>
    <cellStyle name="s_Valuation _DB Dados do Mercado_Açúcar Físico não embarcado - Nov08 - Conferido_Relatório Diário_Relatório Gerencial_7-Estoque" xfId="13383"/>
    <cellStyle name="s_Valuation _DB Dados do Mercado_Açúcar Físico não embarcado - Nov08 - Conferido_Relatório Diário_Relatório Gerencial_DB Entrada" xfId="13384"/>
    <cellStyle name="s_Valuation _DB Dados do Mercado_Açúcar Físico não embarcado - Nov08 - Conferido_Relatório Diário_Relatório Gerencial_DB Entrada 2" xfId="13385"/>
    <cellStyle name="s_Valuation _DB Dados do Mercado_Açúcar Físico não embarcado - Nov08 - Conferido_Relatório Diário_Relatório Gerencial_DB Entrada 2_15-FINANCEIRAS" xfId="13386"/>
    <cellStyle name="s_Valuation _DB Dados do Mercado_Açúcar Físico não embarcado - Nov08 - Conferido_Relatório Diário_Relatório Gerencial_DB Entrada_15-FINANCEIRAS" xfId="13387"/>
    <cellStyle name="s_Valuation _DB Dados do Mercado_Açúcar Físico não embarcado - Nov08 - Conferido_Relatório Diário_Relatório Gerencial_DB Entrada_15-FINANCEIRAS_1" xfId="13388"/>
    <cellStyle name="s_Valuation _DB Dados do Mercado_Açúcar Físico não embarcado - Nov08 - Conferido_Relatório Diário_Relatório Gerencial_DB Entrada_3-Balanço" xfId="13389"/>
    <cellStyle name="s_Valuation _DB Dados do Mercado_Açúcar Físico não embarcado - Nov08 - Conferido_Relatório Diário_Relatório Gerencial_DB Entrada_7-Estoque" xfId="13390"/>
    <cellStyle name="s_Valuation _DB Dados do Mercado_Açúcar Físico não embarcado - Nov08 - Conferido_Relatório Fechamento" xfId="13391"/>
    <cellStyle name="s_Valuation _DB Dados do Mercado_Açúcar Físico não embarcado - Nov08 - Conferido_Relatório Fechamento 2" xfId="13392"/>
    <cellStyle name="s_Valuation _DB Dados do Mercado_Açúcar Físico não embarcado - Nov08 - Conferido_Relatório Fechamento 2_15-FINANCEIRAS" xfId="13393"/>
    <cellStyle name="s_Valuation _DB Dados do Mercado_Açúcar Físico não embarcado - Nov08 - Conferido_Relatório Fechamento_15-FINANCEIRAS" xfId="13394"/>
    <cellStyle name="s_Valuation _DB Dados do Mercado_Açúcar Físico não embarcado - Nov08 - Conferido_Relatório Fechamento_15-FINANCEIRAS_1" xfId="13395"/>
    <cellStyle name="s_Valuation _DB Dados do Mercado_Açúcar Físico não embarcado - Nov08 - Conferido_Relatório Fechamento_3-Balanço" xfId="13396"/>
    <cellStyle name="s_Valuation _DB Dados do Mercado_Açúcar Físico não embarcado - Nov08 - Conferido_Relatório Fechamento_7-Estoque" xfId="13397"/>
    <cellStyle name="s_Valuation _DB Dados do Mercado_Açúcar Físico não embarcado - Nov08 - Conferido_Relatório Fechamento_Relatório Gerencial" xfId="13398"/>
    <cellStyle name="s_Valuation _DB Dados do Mercado_Açúcar Físico não embarcado - Nov08 - Conferido_Relatório Fechamento_Relatório Gerencial 2" xfId="13399"/>
    <cellStyle name="s_Valuation _DB Dados do Mercado_Açúcar Físico não embarcado - Nov08 - Conferido_Relatório Fechamento_Relatório Gerencial 2_15-FINANCEIRAS" xfId="13400"/>
    <cellStyle name="s_Valuation _DB Dados do Mercado_Açúcar Físico não embarcado - Nov08 - Conferido_Relatório Fechamento_Relatório Gerencial_15-FINANCEIRAS" xfId="13401"/>
    <cellStyle name="s_Valuation _DB Dados do Mercado_Açúcar Físico não embarcado - Nov08 - Conferido_Relatório Fechamento_Relatório Gerencial_15-FINANCEIRAS_1" xfId="13402"/>
    <cellStyle name="s_Valuation _DB Dados do Mercado_Açúcar Físico não embarcado - Nov08 - Conferido_Relatório Fechamento_Relatório Gerencial_3-Balanço" xfId="13403"/>
    <cellStyle name="s_Valuation _DB Dados do Mercado_Açúcar Físico não embarcado - Nov08 - Conferido_Relatório Fechamento_Relatório Gerencial_7-Estoque" xfId="13404"/>
    <cellStyle name="s_Valuation _DB Dados do Mercado_Açúcar Físico não embarcado - Nov08 - Conferido_Relatório Fechamento_Relatório Gerencial_DB Entrada" xfId="13405"/>
    <cellStyle name="s_Valuation _DB Dados do Mercado_Açúcar Físico não embarcado - Nov08 - Conferido_Relatório Fechamento_Relatório Gerencial_DB Entrada 2" xfId="13406"/>
    <cellStyle name="s_Valuation _DB Dados do Mercado_Açúcar Físico não embarcado - Nov08 - Conferido_Relatório Fechamento_Relatório Gerencial_DB Entrada 2_15-FINANCEIRAS" xfId="13407"/>
    <cellStyle name="s_Valuation _DB Dados do Mercado_Açúcar Físico não embarcado - Nov08 - Conferido_Relatório Fechamento_Relatório Gerencial_DB Entrada_15-FINANCEIRAS" xfId="13408"/>
    <cellStyle name="s_Valuation _DB Dados do Mercado_Açúcar Físico não embarcado - Nov08 - Conferido_Relatório Fechamento_Relatório Gerencial_DB Entrada_15-FINANCEIRAS_1" xfId="13409"/>
    <cellStyle name="s_Valuation _DB Dados do Mercado_Açúcar Físico não embarcado - Nov08 - Conferido_Relatório Fechamento_Relatório Gerencial_DB Entrada_3-Balanço" xfId="13410"/>
    <cellStyle name="s_Valuation _DB Dados do Mercado_Açúcar Físico não embarcado - Nov08 - Conferido_Relatório Fechamento_Relatório Gerencial_DB Entrada_7-Estoque" xfId="13411"/>
    <cellStyle name="s_Valuation _DB Dados do Mercado_Açúcar Físico não embarcado - Nov08 - Conferido_Relatório Gerencial" xfId="13412"/>
    <cellStyle name="s_Valuation _DB Dados do Mercado_Açúcar Físico não embarcado - Nov08 - Conferido_Relatório Gerencial 2" xfId="13413"/>
    <cellStyle name="s_Valuation _DB Dados do Mercado_Açúcar Físico não embarcado - Nov08 - Conferido_Relatório Gerencial 2_15-FINANCEIRAS" xfId="13414"/>
    <cellStyle name="s_Valuation _DB Dados do Mercado_Açúcar Físico não embarcado - Nov08 - Conferido_Relatório Gerencial_1" xfId="13415"/>
    <cellStyle name="s_Valuation _DB Dados do Mercado_Açúcar Físico não embarcado - Nov08 - Conferido_Relatório Gerencial_1 2" xfId="13416"/>
    <cellStyle name="s_Valuation _DB Dados do Mercado_Açúcar Físico não embarcado - Nov08 - Conferido_Relatório Gerencial_1 2_15-FINANCEIRAS" xfId="13417"/>
    <cellStyle name="s_Valuation _DB Dados do Mercado_Açúcar Físico não embarcado - Nov08 - Conferido_Relatório Gerencial_1_15-FINANCEIRAS" xfId="13418"/>
    <cellStyle name="s_Valuation _DB Dados do Mercado_Açúcar Físico não embarcado - Nov08 - Conferido_Relatório Gerencial_1_15-FINANCEIRAS_1" xfId="13419"/>
    <cellStyle name="s_Valuation _DB Dados do Mercado_Açúcar Físico não embarcado - Nov08 - Conferido_Relatório Gerencial_1_3-Balanço" xfId="13420"/>
    <cellStyle name="s_Valuation _DB Dados do Mercado_Açúcar Físico não embarcado - Nov08 - Conferido_Relatório Gerencial_1_7-Estoque" xfId="13421"/>
    <cellStyle name="s_Valuation _DB Dados do Mercado_Açúcar Físico não embarcado - Nov08 - Conferido_Relatório Gerencial_1_DB Entrada" xfId="13422"/>
    <cellStyle name="s_Valuation _DB Dados do Mercado_Açúcar Físico não embarcado - Nov08 - Conferido_Relatório Gerencial_1_DB Entrada 2" xfId="13423"/>
    <cellStyle name="s_Valuation _DB Dados do Mercado_Açúcar Físico não embarcado - Nov08 - Conferido_Relatório Gerencial_1_DB Entrada 2_15-FINANCEIRAS" xfId="13424"/>
    <cellStyle name="s_Valuation _DB Dados do Mercado_Açúcar Físico não embarcado - Nov08 - Conferido_Relatório Gerencial_1_DB Entrada_15-FINANCEIRAS" xfId="13425"/>
    <cellStyle name="s_Valuation _DB Dados do Mercado_Açúcar Físico não embarcado - Nov08 - Conferido_Relatório Gerencial_1_DB Entrada_15-FINANCEIRAS_1" xfId="13426"/>
    <cellStyle name="s_Valuation _DB Dados do Mercado_Açúcar Físico não embarcado - Nov08 - Conferido_Relatório Gerencial_1_DB Entrada_3-Balanço" xfId="13427"/>
    <cellStyle name="s_Valuation _DB Dados do Mercado_Açúcar Físico não embarcado - Nov08 - Conferido_Relatório Gerencial_1_DB Entrada_7-Estoque" xfId="13428"/>
    <cellStyle name="s_Valuation _DB Dados do Mercado_Açúcar Físico não embarcado - Nov08 - Conferido_Relatório Gerencial_15-FINANCEIRAS" xfId="13429"/>
    <cellStyle name="s_Valuation _DB Dados do Mercado_Açúcar Físico não embarcado - Nov08 - Conferido_Relatório Gerencial_15-FINANCEIRAS_1" xfId="13430"/>
    <cellStyle name="s_Valuation _DB Dados do Mercado_Açúcar Físico não embarcado - Nov08 - Conferido_Relatório Gerencial_3-Balanço" xfId="13431"/>
    <cellStyle name="s_Valuation _DB Dados do Mercado_Açúcar Físico não embarcado - Nov08 - Conferido_Relatório Gerencial_7-Estoque" xfId="13432"/>
    <cellStyle name="s_Valuation _DB Dados do Mercado_Açúcar Físico não embarcado - Nov08 - Conferido_Relatório Gerencial_Relatório Gerencial" xfId="13433"/>
    <cellStyle name="s_Valuation _DB Dados do Mercado_Açúcar Físico não embarcado - Nov08 - Conferido_Relatório Gerencial_Relatório Gerencial 2" xfId="13434"/>
    <cellStyle name="s_Valuation _DB Dados do Mercado_Açúcar Físico não embarcado - Nov08 - Conferido_Relatório Gerencial_Relatório Gerencial 2_15-FINANCEIRAS" xfId="13435"/>
    <cellStyle name="s_Valuation _DB Dados do Mercado_Açúcar Físico não embarcado - Nov08 - Conferido_Relatório Gerencial_Relatório Gerencial_15-FINANCEIRAS" xfId="13436"/>
    <cellStyle name="s_Valuation _DB Dados do Mercado_Açúcar Físico não embarcado - Nov08 - Conferido_Relatório Gerencial_Relatório Gerencial_15-FINANCEIRAS_1" xfId="13437"/>
    <cellStyle name="s_Valuation _DB Dados do Mercado_Açúcar Físico não embarcado - Nov08 - Conferido_Relatório Gerencial_Relatório Gerencial_3-Balanço" xfId="13438"/>
    <cellStyle name="s_Valuation _DB Dados do Mercado_Açúcar Físico não embarcado - Nov08 - Conferido_Relatório Gerencial_Relatório Gerencial_7-Estoque" xfId="13439"/>
    <cellStyle name="s_Valuation _DB Dados do Mercado_Açúcar Físico não embarcado - Nov08 - Conferido_Relatório Gerencial_Relatório Gerencial_DB Entrada" xfId="13440"/>
    <cellStyle name="s_Valuation _DB Dados do Mercado_Açúcar Físico não embarcado - Nov08 - Conferido_Relatório Gerencial_Relatório Gerencial_DB Entrada 2" xfId="13441"/>
    <cellStyle name="s_Valuation _DB Dados do Mercado_Açúcar Físico não embarcado - Nov08 - Conferido_Relatório Gerencial_Relatório Gerencial_DB Entrada 2_15-FINANCEIRAS" xfId="13442"/>
    <cellStyle name="s_Valuation _DB Dados do Mercado_Açúcar Físico não embarcado - Nov08 - Conferido_Relatório Gerencial_Relatório Gerencial_DB Entrada_15-FINANCEIRAS" xfId="13443"/>
    <cellStyle name="s_Valuation _DB Dados do Mercado_Açúcar Físico não embarcado - Nov08 - Conferido_Relatório Gerencial_Relatório Gerencial_DB Entrada_15-FINANCEIRAS_1" xfId="13444"/>
    <cellStyle name="s_Valuation _DB Dados do Mercado_Açúcar Físico não embarcado - Nov08 - Conferido_Relatório Gerencial_Relatório Gerencial_DB Entrada_3-Balanço" xfId="13445"/>
    <cellStyle name="s_Valuation _DB Dados do Mercado_Açúcar Físico não embarcado - Nov08 - Conferido_Relatório Gerencial_Relatório Gerencial_DB Entrada_7-Estoque" xfId="13446"/>
    <cellStyle name="s_Valuation _DB Dados do Mercado_Açúcar Físico não embarcado - Nov08 - Conferido_relatorio_15-FINANCEIRAS" xfId="13447"/>
    <cellStyle name="s_Valuation _DB Dados do Mercado_Açúcar Físico não embarcado - Nov08 - Conferido_relatorio_15-FINANCEIRAS_1" xfId="13448"/>
    <cellStyle name="s_Valuation _DB Dados do Mercado_Açúcar Físico não embarcado - Nov08 - Conferido_relatorio_3-Balanço" xfId="13449"/>
    <cellStyle name="s_Valuation _DB Dados do Mercado_Açúcar Físico não embarcado - Nov08 - Conferido_relatorio_7-Estoque" xfId="13450"/>
    <cellStyle name="s_Valuation _DB Dados do Mercado_Açúcar Físico não embarcado - Nov08 - Conferido_relatorio_base gráficos" xfId="13451"/>
    <cellStyle name="s_Valuation _DB Dados do Mercado_Açúcar Físico não embarcado - Nov08 - Conferido_relatorio_base gráficos (2)" xfId="13452"/>
    <cellStyle name="s_Valuation _DB Dados do Mercado_Açúcar Físico não embarcado - Nov08 - Conferido_relatorio_base gráficos (2) 2" xfId="13453"/>
    <cellStyle name="s_Valuation _DB Dados do Mercado_Açúcar Físico não embarcado - Nov08 - Conferido_relatorio_base gráficos (2) 2_15-FINANCEIRAS" xfId="13454"/>
    <cellStyle name="s_Valuation _DB Dados do Mercado_Açúcar Físico não embarcado - Nov08 - Conferido_relatorio_base gráficos (2)_15-FINANCEIRAS" xfId="13455"/>
    <cellStyle name="s_Valuation _DB Dados do Mercado_Açúcar Físico não embarcado - Nov08 - Conferido_relatorio_base gráficos (2)_15-FINANCEIRAS_1" xfId="13456"/>
    <cellStyle name="s_Valuation _DB Dados do Mercado_Açúcar Físico não embarcado - Nov08 - Conferido_relatorio_base gráficos (2)_3-Balanço" xfId="13457"/>
    <cellStyle name="s_Valuation _DB Dados do Mercado_Açúcar Físico não embarcado - Nov08 - Conferido_relatorio_base gráficos (2)_7-Estoque" xfId="13458"/>
    <cellStyle name="s_Valuation _DB Dados do Mercado_Açúcar Físico não embarcado - Nov08 - Conferido_relatorio_base gráficos (2)_Relatório Gerencial" xfId="13459"/>
    <cellStyle name="s_Valuation _DB Dados do Mercado_Açúcar Físico não embarcado - Nov08 - Conferido_relatorio_base gráficos (2)_Relatório Gerencial 2" xfId="13460"/>
    <cellStyle name="s_Valuation _DB Dados do Mercado_Açúcar Físico não embarcado - Nov08 - Conferido_relatorio_base gráficos (2)_Relatório Gerencial 2_15-FINANCEIRAS" xfId="13461"/>
    <cellStyle name="s_Valuation _DB Dados do Mercado_Açúcar Físico não embarcado - Nov08 - Conferido_relatorio_base gráficos (2)_Relatório Gerencial_15-FINANCEIRAS" xfId="13462"/>
    <cellStyle name="s_Valuation _DB Dados do Mercado_Açúcar Físico não embarcado - Nov08 - Conferido_relatorio_base gráficos (2)_Relatório Gerencial_15-FINANCEIRAS_1" xfId="13463"/>
    <cellStyle name="s_Valuation _DB Dados do Mercado_Açúcar Físico não embarcado - Nov08 - Conferido_relatorio_base gráficos (2)_Relatório Gerencial_3-Balanço" xfId="13464"/>
    <cellStyle name="s_Valuation _DB Dados do Mercado_Açúcar Físico não embarcado - Nov08 - Conferido_relatorio_base gráficos (2)_Relatório Gerencial_7-Estoque" xfId="13465"/>
    <cellStyle name="s_Valuation _DB Dados do Mercado_Açúcar Físico não embarcado - Nov08 - Conferido_relatorio_base gráficos (2)_Relatório Gerencial_DB Entrada" xfId="13466"/>
    <cellStyle name="s_Valuation _DB Dados do Mercado_Açúcar Físico não embarcado - Nov08 - Conferido_relatorio_base gráficos (2)_Relatório Gerencial_DB Entrada 2" xfId="13467"/>
    <cellStyle name="s_Valuation _DB Dados do Mercado_Açúcar Físico não embarcado - Nov08 - Conferido_relatorio_base gráficos (2)_Relatório Gerencial_DB Entrada 2_15-FINANCEIRAS" xfId="13468"/>
    <cellStyle name="s_Valuation _DB Dados do Mercado_Açúcar Físico não embarcado - Nov08 - Conferido_relatorio_base gráficos (2)_Relatório Gerencial_DB Entrada_15-FINANCEIRAS" xfId="13469"/>
    <cellStyle name="s_Valuation _DB Dados do Mercado_Açúcar Físico não embarcado - Nov08 - Conferido_relatorio_base gráficos (2)_Relatório Gerencial_DB Entrada_15-FINANCEIRAS_1" xfId="13470"/>
    <cellStyle name="s_Valuation _DB Dados do Mercado_Açúcar Físico não embarcado - Nov08 - Conferido_relatorio_base gráficos (2)_Relatório Gerencial_DB Entrada_3-Balanço" xfId="13471"/>
    <cellStyle name="s_Valuation _DB Dados do Mercado_Açúcar Físico não embarcado - Nov08 - Conferido_relatorio_base gráficos (2)_Relatório Gerencial_DB Entrada_7-Estoque" xfId="13472"/>
    <cellStyle name="s_Valuation _DB Dados do Mercado_Açúcar Físico não embarcado - Nov08 - Conferido_relatorio_base gráficos 2" xfId="13473"/>
    <cellStyle name="s_Valuation _DB Dados do Mercado_Açúcar Físico não embarcado - Nov08 - Conferido_relatorio_base gráficos 2_15-FINANCEIRAS" xfId="13474"/>
    <cellStyle name="s_Valuation _DB Dados do Mercado_Açúcar Físico não embarcado - Nov08 - Conferido_relatorio_base gráficos 3" xfId="13475"/>
    <cellStyle name="s_Valuation _DB Dados do Mercado_Açúcar Físico não embarcado - Nov08 - Conferido_relatorio_base gráficos 3_15-FINANCEIRAS" xfId="13476"/>
    <cellStyle name="s_Valuation _DB Dados do Mercado_Açúcar Físico não embarcado - Nov08 - Conferido_relatorio_base gráficos 4" xfId="13477"/>
    <cellStyle name="s_Valuation _DB Dados do Mercado_Açúcar Físico não embarcado - Nov08 - Conferido_relatorio_base gráficos 4_15-FINANCEIRAS" xfId="13478"/>
    <cellStyle name="s_Valuation _DB Dados do Mercado_Açúcar Físico não embarcado - Nov08 - Conferido_relatorio_base gráficos_15-FINANCEIRAS" xfId="13479"/>
    <cellStyle name="s_Valuation _DB Dados do Mercado_Açúcar Físico não embarcado - Nov08 - Conferido_relatorio_base gráficos_15-FINANCEIRAS_1" xfId="13480"/>
    <cellStyle name="s_Valuation _DB Dados do Mercado_Açúcar Físico não embarcado - Nov08 - Conferido_relatorio_base gráficos_3-Balanço" xfId="13481"/>
    <cellStyle name="s_Valuation _DB Dados do Mercado_Açúcar Físico não embarcado - Nov08 - Conferido_relatorio_base gráficos_7-Estoque" xfId="13482"/>
    <cellStyle name="s_Valuation _DB Dados do Mercado_Açúcar Físico não embarcado - Nov08 - Conferido_relatorio_base gráficos_Relatório Gerencial" xfId="13483"/>
    <cellStyle name="s_Valuation _DB Dados do Mercado_Açúcar Físico não embarcado - Nov08 - Conferido_relatorio_base gráficos_Relatório Gerencial 2" xfId="13484"/>
    <cellStyle name="s_Valuation _DB Dados do Mercado_Açúcar Físico não embarcado - Nov08 - Conferido_relatorio_base gráficos_Relatório Gerencial 2_15-FINANCEIRAS" xfId="13485"/>
    <cellStyle name="s_Valuation _DB Dados do Mercado_Açúcar Físico não embarcado - Nov08 - Conferido_relatorio_base gráficos_Relatório Gerencial_15-FINANCEIRAS" xfId="13486"/>
    <cellStyle name="s_Valuation _DB Dados do Mercado_Açúcar Físico não embarcado - Nov08 - Conferido_relatorio_base gráficos_Relatório Gerencial_15-FINANCEIRAS_1" xfId="13487"/>
    <cellStyle name="s_Valuation _DB Dados do Mercado_Açúcar Físico não embarcado - Nov08 - Conferido_relatorio_base gráficos_Relatório Gerencial_3-Balanço" xfId="13488"/>
    <cellStyle name="s_Valuation _DB Dados do Mercado_Açúcar Físico não embarcado - Nov08 - Conferido_relatorio_base gráficos_Relatório Gerencial_7-Estoque" xfId="13489"/>
    <cellStyle name="s_Valuation _DB Dados do Mercado_Açúcar Físico não embarcado - Nov08 - Conferido_relatorio_base gráficos_Relatório Gerencial_DB Entrada" xfId="13490"/>
    <cellStyle name="s_Valuation _DB Dados do Mercado_Açúcar Físico não embarcado - Nov08 - Conferido_relatorio_base gráficos_Relatório Gerencial_DB Entrada 2" xfId="13491"/>
    <cellStyle name="s_Valuation _DB Dados do Mercado_Açúcar Físico não embarcado - Nov08 - Conferido_relatorio_base gráficos_Relatório Gerencial_DB Entrada 2_15-FINANCEIRAS" xfId="13492"/>
    <cellStyle name="s_Valuation _DB Dados do Mercado_Açúcar Físico não embarcado - Nov08 - Conferido_relatorio_base gráficos_Relatório Gerencial_DB Entrada_15-FINANCEIRAS" xfId="13493"/>
    <cellStyle name="s_Valuation _DB Dados do Mercado_Açúcar Físico não embarcado - Nov08 - Conferido_relatorio_base gráficos_Relatório Gerencial_DB Entrada_15-FINANCEIRAS_1" xfId="13494"/>
    <cellStyle name="s_Valuation _DB Dados do Mercado_Açúcar Físico não embarcado - Nov08 - Conferido_relatorio_base gráficos_Relatório Gerencial_DB Entrada_3-Balanço" xfId="13495"/>
    <cellStyle name="s_Valuation _DB Dados do Mercado_Açúcar Físico não embarcado - Nov08 - Conferido_relatorio_base gráficos_Relatório Gerencial_DB Entrada_7-Estoque" xfId="13496"/>
    <cellStyle name="s_Valuation _DB Dados do Mercado_Açúcar Físico não embarcado - Nov08 - Conferido_relatorio_base gráficos1" xfId="13497"/>
    <cellStyle name="s_Valuation _DB Dados do Mercado_Açúcar Físico não embarcado - Nov08 - Conferido_relatorio_base gráficos1 2" xfId="13498"/>
    <cellStyle name="s_Valuation _DB Dados do Mercado_Açúcar Físico não embarcado - Nov08 - Conferido_relatorio_base gráficos1 2_15-FINANCEIRAS" xfId="13499"/>
    <cellStyle name="s_Valuation _DB Dados do Mercado_Açúcar Físico não embarcado - Nov08 - Conferido_relatorio_base gráficos1_15-FINANCEIRAS" xfId="13500"/>
    <cellStyle name="s_Valuation _DB Dados do Mercado_Açúcar Físico não embarcado - Nov08 - Conferido_relatorio_base gráficos1_15-FINANCEIRAS_1" xfId="13501"/>
    <cellStyle name="s_Valuation _DB Dados do Mercado_Açúcar Físico não embarcado - Nov08 - Conferido_relatorio_base gráficos1_3-Balanço" xfId="13502"/>
    <cellStyle name="s_Valuation _DB Dados do Mercado_Açúcar Físico não embarcado - Nov08 - Conferido_relatorio_base gráficos1_7-Estoque" xfId="13503"/>
    <cellStyle name="s_Valuation _DB Dados do Mercado_Açúcar Físico não embarcado - Nov08 - Conferido_relatorio_base gráficos1_Relatório Gerencial" xfId="13504"/>
    <cellStyle name="s_Valuation _DB Dados do Mercado_Açúcar Físico não embarcado - Nov08 - Conferido_relatorio_base gráficos1_Relatório Gerencial 2" xfId="13505"/>
    <cellStyle name="s_Valuation _DB Dados do Mercado_Açúcar Físico não embarcado - Nov08 - Conferido_relatorio_base gráficos1_Relatório Gerencial 2_15-FINANCEIRAS" xfId="13506"/>
    <cellStyle name="s_Valuation _DB Dados do Mercado_Açúcar Físico não embarcado - Nov08 - Conferido_relatorio_base gráficos1_Relatório Gerencial_15-FINANCEIRAS" xfId="13507"/>
    <cellStyle name="s_Valuation _DB Dados do Mercado_Açúcar Físico não embarcado - Nov08 - Conferido_relatorio_base gráficos1_Relatório Gerencial_15-FINANCEIRAS_1" xfId="13508"/>
    <cellStyle name="s_Valuation _DB Dados do Mercado_Açúcar Físico não embarcado - Nov08 - Conferido_relatorio_base gráficos1_Relatório Gerencial_3-Balanço" xfId="13509"/>
    <cellStyle name="s_Valuation _DB Dados do Mercado_Açúcar Físico não embarcado - Nov08 - Conferido_relatorio_base gráficos1_Relatório Gerencial_7-Estoque" xfId="13510"/>
    <cellStyle name="s_Valuation _DB Dados do Mercado_Açúcar Físico não embarcado - Nov08 - Conferido_relatorio_base gráficos1_Relatório Gerencial_DB Entrada" xfId="13511"/>
    <cellStyle name="s_Valuation _DB Dados do Mercado_Açúcar Físico não embarcado - Nov08 - Conferido_relatorio_base gráficos1_Relatório Gerencial_DB Entrada 2" xfId="13512"/>
    <cellStyle name="s_Valuation _DB Dados do Mercado_Açúcar Físico não embarcado - Nov08 - Conferido_relatorio_base gráficos1_Relatório Gerencial_DB Entrada 2_15-FINANCEIRAS" xfId="13513"/>
    <cellStyle name="s_Valuation _DB Dados do Mercado_Açúcar Físico não embarcado - Nov08 - Conferido_relatorio_base gráficos1_Relatório Gerencial_DB Entrada_15-FINANCEIRAS" xfId="13514"/>
    <cellStyle name="s_Valuation _DB Dados do Mercado_Açúcar Físico não embarcado - Nov08 - Conferido_relatorio_base gráficos1_Relatório Gerencial_DB Entrada_15-FINANCEIRAS_1" xfId="13515"/>
    <cellStyle name="s_Valuation _DB Dados do Mercado_Açúcar Físico não embarcado - Nov08 - Conferido_relatorio_base gráficos1_Relatório Gerencial_DB Entrada_3-Balanço" xfId="13516"/>
    <cellStyle name="s_Valuation _DB Dados do Mercado_Açúcar Físico não embarcado - Nov08 - Conferido_relatorio_base gráficos1_Relatório Gerencial_DB Entrada_7-Estoque" xfId="13517"/>
    <cellStyle name="s_Valuation _DB Dados do Mercado_Açúcar Físico não embarcado - Nov08 - Conferido_relatorio_base gráficos2" xfId="13518"/>
    <cellStyle name="s_Valuation _DB Dados do Mercado_Açúcar Físico não embarcado - Nov08 - Conferido_relatorio_base gráficos2 2" xfId="13519"/>
    <cellStyle name="s_Valuation _DB Dados do Mercado_Açúcar Físico não embarcado - Nov08 - Conferido_relatorio_base gráficos2 2_15-FINANCEIRAS" xfId="13520"/>
    <cellStyle name="s_Valuation _DB Dados do Mercado_Açúcar Físico não embarcado - Nov08 - Conferido_relatorio_base gráficos2_15-FINANCEIRAS" xfId="13521"/>
    <cellStyle name="s_Valuation _DB Dados do Mercado_Açúcar Físico não embarcado - Nov08 - Conferido_relatorio_base gráficos2_15-FINANCEIRAS_1" xfId="13522"/>
    <cellStyle name="s_Valuation _DB Dados do Mercado_Açúcar Físico não embarcado - Nov08 - Conferido_relatorio_base gráficos2_3-Balanço" xfId="13523"/>
    <cellStyle name="s_Valuation _DB Dados do Mercado_Açúcar Físico não embarcado - Nov08 - Conferido_relatorio_base gráficos2_7-Estoque" xfId="13524"/>
    <cellStyle name="s_Valuation _DB Dados do Mercado_Açúcar Físico não embarcado - Nov08 - Conferido_relatorio_base gráficos2_Relatório Gerencial" xfId="13525"/>
    <cellStyle name="s_Valuation _DB Dados do Mercado_Açúcar Físico não embarcado - Nov08 - Conferido_relatorio_base gráficos2_Relatório Gerencial 2" xfId="13526"/>
    <cellStyle name="s_Valuation _DB Dados do Mercado_Açúcar Físico não embarcado - Nov08 - Conferido_relatorio_base gráficos2_Relatório Gerencial 2_15-FINANCEIRAS" xfId="13527"/>
    <cellStyle name="s_Valuation _DB Dados do Mercado_Açúcar Físico não embarcado - Nov08 - Conferido_relatorio_base gráficos2_Relatório Gerencial_15-FINANCEIRAS" xfId="13528"/>
    <cellStyle name="s_Valuation _DB Dados do Mercado_Açúcar Físico não embarcado - Nov08 - Conferido_relatorio_base gráficos2_Relatório Gerencial_15-FINANCEIRAS_1" xfId="13529"/>
    <cellStyle name="s_Valuation _DB Dados do Mercado_Açúcar Físico não embarcado - Nov08 - Conferido_relatorio_base gráficos2_Relatório Gerencial_3-Balanço" xfId="13530"/>
    <cellStyle name="s_Valuation _DB Dados do Mercado_Açúcar Físico não embarcado - Nov08 - Conferido_relatorio_base gráficos2_Relatório Gerencial_7-Estoque" xfId="13531"/>
    <cellStyle name="s_Valuation _DB Dados do Mercado_Açúcar Físico não embarcado - Nov08 - Conferido_relatorio_base gráficos2_Relatório Gerencial_DB Entrada" xfId="13532"/>
    <cellStyle name="s_Valuation _DB Dados do Mercado_Açúcar Físico não embarcado - Nov08 - Conferido_relatorio_base gráficos2_Relatório Gerencial_DB Entrada 2" xfId="13533"/>
    <cellStyle name="s_Valuation _DB Dados do Mercado_Açúcar Físico não embarcado - Nov08 - Conferido_relatorio_base gráficos2_Relatório Gerencial_DB Entrada 2_15-FINANCEIRAS" xfId="13534"/>
    <cellStyle name="s_Valuation _DB Dados do Mercado_Açúcar Físico não embarcado - Nov08 - Conferido_relatorio_base gráficos2_Relatório Gerencial_DB Entrada_15-FINANCEIRAS" xfId="13535"/>
    <cellStyle name="s_Valuation _DB Dados do Mercado_Açúcar Físico não embarcado - Nov08 - Conferido_relatorio_base gráficos2_Relatório Gerencial_DB Entrada_15-FINANCEIRAS_1" xfId="13536"/>
    <cellStyle name="s_Valuation _DB Dados do Mercado_Açúcar Físico não embarcado - Nov08 - Conferido_relatorio_base gráficos2_Relatório Gerencial_DB Entrada_3-Balanço" xfId="13537"/>
    <cellStyle name="s_Valuation _DB Dados do Mercado_Açúcar Físico não embarcado - Nov08 - Conferido_relatorio_base gráficos2_Relatório Gerencial_DB Entrada_7-Estoque" xfId="13538"/>
    <cellStyle name="s_Valuation _DB Dados do Mercado_Açúcar Físico não embarcado - Nov08 - Conferido_relatorio_Commodities" xfId="13539"/>
    <cellStyle name="s_Valuation _DB Dados do Mercado_Açúcar Físico não embarcado - Nov08 - Conferido_relatorio_Commodities 2" xfId="13540"/>
    <cellStyle name="s_Valuation _DB Dados do Mercado_Açúcar Físico não embarcado - Nov08 - Conferido_relatorio_Commodities 2_15-FINANCEIRAS" xfId="13541"/>
    <cellStyle name="s_Valuation _DB Dados do Mercado_Açúcar Físico não embarcado - Nov08 - Conferido_relatorio_Commodities_15-FINANCEIRAS" xfId="13542"/>
    <cellStyle name="s_Valuation _DB Dados do Mercado_Açúcar Físico não embarcado - Nov08 - Conferido_relatorio_Commodities_15-FINANCEIRAS_1" xfId="13543"/>
    <cellStyle name="s_Valuation _DB Dados do Mercado_Açúcar Físico não embarcado - Nov08 - Conferido_relatorio_Commodities_3-Balanço" xfId="13544"/>
    <cellStyle name="s_Valuation _DB Dados do Mercado_Açúcar Físico não embarcado - Nov08 - Conferido_relatorio_Commodities_7-Estoque" xfId="13545"/>
    <cellStyle name="s_Valuation _DB Dados do Mercado_Açúcar Físico não embarcado - Nov08 - Conferido_relatorio_Commodities_Relatório Gerencial" xfId="13546"/>
    <cellStyle name="s_Valuation _DB Dados do Mercado_Açúcar Físico não embarcado - Nov08 - Conferido_relatorio_Commodities_Relatório Gerencial 2" xfId="13547"/>
    <cellStyle name="s_Valuation _DB Dados do Mercado_Açúcar Físico não embarcado - Nov08 - Conferido_relatorio_Commodities_Relatório Gerencial 2_15-FINANCEIRAS" xfId="13548"/>
    <cellStyle name="s_Valuation _DB Dados do Mercado_Açúcar Físico não embarcado - Nov08 - Conferido_relatorio_Commodities_Relatório Gerencial_15-FINANCEIRAS" xfId="13549"/>
    <cellStyle name="s_Valuation _DB Dados do Mercado_Açúcar Físico não embarcado - Nov08 - Conferido_relatorio_Commodities_Relatório Gerencial_15-FINANCEIRAS_1" xfId="13550"/>
    <cellStyle name="s_Valuation _DB Dados do Mercado_Açúcar Físico não embarcado - Nov08 - Conferido_relatorio_Commodities_Relatório Gerencial_3-Balanço" xfId="13551"/>
    <cellStyle name="s_Valuation _DB Dados do Mercado_Açúcar Físico não embarcado - Nov08 - Conferido_relatorio_Commodities_Relatório Gerencial_7-Estoque" xfId="13552"/>
    <cellStyle name="s_Valuation _DB Dados do Mercado_Açúcar Físico não embarcado - Nov08 - Conferido_relatorio_Commodities_Relatório Gerencial_DB Entrada" xfId="13553"/>
    <cellStyle name="s_Valuation _DB Dados do Mercado_Açúcar Físico não embarcado - Nov08 - Conferido_relatorio_Commodities_Relatório Gerencial_DB Entrada 2" xfId="13554"/>
    <cellStyle name="s_Valuation _DB Dados do Mercado_Açúcar Físico não embarcado - Nov08 - Conferido_relatorio_Commodities_Relatório Gerencial_DB Entrada 2_15-FINANCEIRAS" xfId="13555"/>
    <cellStyle name="s_Valuation _DB Dados do Mercado_Açúcar Físico não embarcado - Nov08 - Conferido_relatorio_Commodities_Relatório Gerencial_DB Entrada_15-FINANCEIRAS" xfId="13556"/>
    <cellStyle name="s_Valuation _DB Dados do Mercado_Açúcar Físico não embarcado - Nov08 - Conferido_relatorio_Commodities_Relatório Gerencial_DB Entrada_15-FINANCEIRAS_1" xfId="13557"/>
    <cellStyle name="s_Valuation _DB Dados do Mercado_Açúcar Físico não embarcado - Nov08 - Conferido_relatorio_Commodities_Relatório Gerencial_DB Entrada_3-Balanço" xfId="13558"/>
    <cellStyle name="s_Valuation _DB Dados do Mercado_Açúcar Físico não embarcado - Nov08 - Conferido_relatorio_Commodities_Relatório Gerencial_DB Entrada_7-Estoque" xfId="13559"/>
    <cellStyle name="s_Valuation _DB Dados do Mercado_Açúcar Físico não embarcado - Nov08 - Conferido_relatorio_DB Boletas Abertas" xfId="13560"/>
    <cellStyle name="s_Valuation _DB Dados do Mercado_Açúcar Físico não embarcado - Nov08 - Conferido_relatorio_DB Boletas Abertas 2" xfId="13561"/>
    <cellStyle name="s_Valuation _DB Dados do Mercado_Açúcar Físico não embarcado - Nov08 - Conferido_relatorio_DB Boletas Abertas 2_15-FINANCEIRAS" xfId="13562"/>
    <cellStyle name="s_Valuation _DB Dados do Mercado_Açúcar Físico não embarcado - Nov08 - Conferido_relatorio_DB Boletas Abertas_15-FINANCEIRAS" xfId="13563"/>
    <cellStyle name="s_Valuation _DB Dados do Mercado_Açúcar Físico não embarcado - Nov08 - Conferido_relatorio_DB Boletas Abertas_15-FINANCEIRAS_1" xfId="13564"/>
    <cellStyle name="s_Valuation _DB Dados do Mercado_Açúcar Físico não embarcado - Nov08 - Conferido_relatorio_DB Boletas Abertas_3-Balanço" xfId="13565"/>
    <cellStyle name="s_Valuation _DB Dados do Mercado_Açúcar Físico não embarcado - Nov08 - Conferido_relatorio_DB Boletas Abertas_7-Estoque" xfId="13566"/>
    <cellStyle name="s_Valuation _DB Dados do Mercado_Açúcar Físico não embarcado - Nov08 - Conferido_relatorio_DB Boletas Vencendo" xfId="13567"/>
    <cellStyle name="s_Valuation _DB Dados do Mercado_Açúcar Físico não embarcado - Nov08 - Conferido_relatorio_DB Boletas Vencendo 2" xfId="13568"/>
    <cellStyle name="s_Valuation _DB Dados do Mercado_Açúcar Físico não embarcado - Nov08 - Conferido_relatorio_DB Boletas Vencendo 2_15-FINANCEIRAS" xfId="13569"/>
    <cellStyle name="s_Valuation _DB Dados do Mercado_Açúcar Físico não embarcado - Nov08 - Conferido_relatorio_DB Boletas Vencendo_15-FINANCEIRAS" xfId="13570"/>
    <cellStyle name="s_Valuation _DB Dados do Mercado_Açúcar Físico não embarcado - Nov08 - Conferido_relatorio_DB Boletas Vencendo_15-FINANCEIRAS_1" xfId="13571"/>
    <cellStyle name="s_Valuation _DB Dados do Mercado_Açúcar Físico não embarcado - Nov08 - Conferido_relatorio_DB Boletas Vencendo_3-Balanço" xfId="13572"/>
    <cellStyle name="s_Valuation _DB Dados do Mercado_Açúcar Físico não embarcado - Nov08 - Conferido_relatorio_DB Boletas Vencendo_7-Estoque" xfId="13573"/>
    <cellStyle name="s_Valuation _DB Dados do Mercado_Açúcar Físico não embarcado - Nov08 - Conferido_relatorio_DB Boletas Vencendo_Relatório Gerencial" xfId="13574"/>
    <cellStyle name="s_Valuation _DB Dados do Mercado_Açúcar Físico não embarcado - Nov08 - Conferido_relatorio_DB Boletas Vencendo_Relatório Gerencial 2" xfId="13575"/>
    <cellStyle name="s_Valuation _DB Dados do Mercado_Açúcar Físico não embarcado - Nov08 - Conferido_relatorio_DB Boletas Vencendo_Relatório Gerencial 2_15-FINANCEIRAS" xfId="13576"/>
    <cellStyle name="s_Valuation _DB Dados do Mercado_Açúcar Físico não embarcado - Nov08 - Conferido_relatorio_DB Boletas Vencendo_Relatório Gerencial_15-FINANCEIRAS" xfId="13577"/>
    <cellStyle name="s_Valuation _DB Dados do Mercado_Açúcar Físico não embarcado - Nov08 - Conferido_relatorio_DB Boletas Vencendo_Relatório Gerencial_15-FINANCEIRAS_1" xfId="13578"/>
    <cellStyle name="s_Valuation _DB Dados do Mercado_Açúcar Físico não embarcado - Nov08 - Conferido_relatorio_DB Boletas Vencendo_Relatório Gerencial_3-Balanço" xfId="13579"/>
    <cellStyle name="s_Valuation _DB Dados do Mercado_Açúcar Físico não embarcado - Nov08 - Conferido_relatorio_DB Boletas Vencendo_Relatório Gerencial_7-Estoque" xfId="13580"/>
    <cellStyle name="s_Valuation _DB Dados do Mercado_Açúcar Físico não embarcado - Nov08 - Conferido_relatorio_DB Boletas Vencendo_Relatório Gerencial_DB Entrada" xfId="13581"/>
    <cellStyle name="s_Valuation _DB Dados do Mercado_Açúcar Físico não embarcado - Nov08 - Conferido_relatorio_DB Boletas Vencendo_Relatório Gerencial_DB Entrada 2" xfId="13582"/>
    <cellStyle name="s_Valuation _DB Dados do Mercado_Açúcar Físico não embarcado - Nov08 - Conferido_relatorio_DB Boletas Vencendo_Relatório Gerencial_DB Entrada 2_15-FINANCEIRAS" xfId="13583"/>
    <cellStyle name="s_Valuation _DB Dados do Mercado_Açúcar Físico não embarcado - Nov08 - Conferido_relatorio_DB Boletas Vencendo_Relatório Gerencial_DB Entrada_15-FINANCEIRAS" xfId="13584"/>
    <cellStyle name="s_Valuation _DB Dados do Mercado_Açúcar Físico não embarcado - Nov08 - Conferido_relatorio_DB Boletas Vencendo_Relatório Gerencial_DB Entrada_15-FINANCEIRAS_1" xfId="13585"/>
    <cellStyle name="s_Valuation _DB Dados do Mercado_Açúcar Físico não embarcado - Nov08 - Conferido_relatorio_DB Boletas Vencendo_Relatório Gerencial_DB Entrada_3-Balanço" xfId="13586"/>
    <cellStyle name="s_Valuation _DB Dados do Mercado_Açúcar Físico não embarcado - Nov08 - Conferido_relatorio_DB Boletas Vencendo_Relatório Gerencial_DB Entrada_7-Estoque" xfId="13587"/>
    <cellStyle name="s_Valuation _DB Dados do Mercado_Açúcar Físico não embarcado - Nov08 - Conferido_relatorio_DB Controle" xfId="13588"/>
    <cellStyle name="s_Valuation _DB Dados do Mercado_Açúcar Físico não embarcado - Nov08 - Conferido_relatorio_DB Controle 2" xfId="13589"/>
    <cellStyle name="s_Valuation _DB Dados do Mercado_Açúcar Físico não embarcado - Nov08 - Conferido_relatorio_DB Controle 2_15-FINANCEIRAS" xfId="13590"/>
    <cellStyle name="s_Valuation _DB Dados do Mercado_Açúcar Físico não embarcado - Nov08 - Conferido_relatorio_DB Controle_15-FINANCEIRAS" xfId="13591"/>
    <cellStyle name="s_Valuation _DB Dados do Mercado_Açúcar Físico não embarcado - Nov08 - Conferido_relatorio_DB Controle_15-FINANCEIRAS_1" xfId="13592"/>
    <cellStyle name="s_Valuation _DB Dados do Mercado_Açúcar Físico não embarcado - Nov08 - Conferido_relatorio_DB Controle_3-Balanço" xfId="13593"/>
    <cellStyle name="s_Valuation _DB Dados do Mercado_Açúcar Físico não embarcado - Nov08 - Conferido_relatorio_DB Controle_7-Estoque" xfId="13594"/>
    <cellStyle name="s_Valuation _DB Dados do Mercado_Açúcar Físico não embarcado - Nov08 - Conferido_relatorio_DB Controle_Relatório Gerencial" xfId="13595"/>
    <cellStyle name="s_Valuation _DB Dados do Mercado_Açúcar Físico não embarcado - Nov08 - Conferido_relatorio_DB Controle_Relatório Gerencial 2" xfId="13596"/>
    <cellStyle name="s_Valuation _DB Dados do Mercado_Açúcar Físico não embarcado - Nov08 - Conferido_relatorio_DB Controle_Relatório Gerencial 2_15-FINANCEIRAS" xfId="13597"/>
    <cellStyle name="s_Valuation _DB Dados do Mercado_Açúcar Físico não embarcado - Nov08 - Conferido_relatorio_DB Controle_Relatório Gerencial_15-FINANCEIRAS" xfId="13598"/>
    <cellStyle name="s_Valuation _DB Dados do Mercado_Açúcar Físico não embarcado - Nov08 - Conferido_relatorio_DB Controle_Relatório Gerencial_15-FINANCEIRAS_1" xfId="13599"/>
    <cellStyle name="s_Valuation _DB Dados do Mercado_Açúcar Físico não embarcado - Nov08 - Conferido_relatorio_DB Controle_Relatório Gerencial_3-Balanço" xfId="13600"/>
    <cellStyle name="s_Valuation _DB Dados do Mercado_Açúcar Físico não embarcado - Nov08 - Conferido_relatorio_DB Controle_Relatório Gerencial_7-Estoque" xfId="13601"/>
    <cellStyle name="s_Valuation _DB Dados do Mercado_Açúcar Físico não embarcado - Nov08 - Conferido_relatorio_DB Controle_Relatório Gerencial_DB Entrada" xfId="13602"/>
    <cellStyle name="s_Valuation _DB Dados do Mercado_Açúcar Físico não embarcado - Nov08 - Conferido_relatorio_DB Controle_Relatório Gerencial_DB Entrada 2" xfId="13603"/>
    <cellStyle name="s_Valuation _DB Dados do Mercado_Açúcar Físico não embarcado - Nov08 - Conferido_relatorio_DB Controle_Relatório Gerencial_DB Entrada 2_15-FINANCEIRAS" xfId="13604"/>
    <cellStyle name="s_Valuation _DB Dados do Mercado_Açúcar Físico não embarcado - Nov08 - Conferido_relatorio_DB Controle_Relatório Gerencial_DB Entrada_15-FINANCEIRAS" xfId="13605"/>
    <cellStyle name="s_Valuation _DB Dados do Mercado_Açúcar Físico não embarcado - Nov08 - Conferido_relatorio_DB Controle_Relatório Gerencial_DB Entrada_15-FINANCEIRAS_1" xfId="13606"/>
    <cellStyle name="s_Valuation _DB Dados do Mercado_Açúcar Físico não embarcado - Nov08 - Conferido_relatorio_DB Controle_Relatório Gerencial_DB Entrada_3-Balanço" xfId="13607"/>
    <cellStyle name="s_Valuation _DB Dados do Mercado_Açúcar Físico não embarcado - Nov08 - Conferido_relatorio_DB Controle_Relatório Gerencial_DB Entrada_7-Estoque" xfId="13608"/>
    <cellStyle name="s_Valuation _DB Dados do Mercado_Açúcar Físico não embarcado - Nov08 - Conferido_relatorio_DB Entrada" xfId="13609"/>
    <cellStyle name="s_Valuation _DB Dados do Mercado_Açúcar Físico não embarcado - Nov08 - Conferido_relatorio_DB Entrada 2" xfId="13610"/>
    <cellStyle name="s_Valuation _DB Dados do Mercado_Açúcar Físico não embarcado - Nov08 - Conferido_relatorio_DB Entrada 2_15-FINANCEIRAS" xfId="13611"/>
    <cellStyle name="s_Valuation _DB Dados do Mercado_Açúcar Físico não embarcado - Nov08 - Conferido_relatorio_DB Entrada_15-FINANCEIRAS" xfId="13612"/>
    <cellStyle name="s_Valuation _DB Dados do Mercado_Açúcar Físico não embarcado - Nov08 - Conferido_relatorio_DB Entrada_15-FINANCEIRAS_1" xfId="13613"/>
    <cellStyle name="s_Valuation _DB Dados do Mercado_Açúcar Físico não embarcado - Nov08 - Conferido_relatorio_DB Entrada_3-Balanço" xfId="13614"/>
    <cellStyle name="s_Valuation _DB Dados do Mercado_Açúcar Físico não embarcado - Nov08 - Conferido_relatorio_DB Entrada_7-Estoque" xfId="13615"/>
    <cellStyle name="s_Valuation _DB Dados do Mercado_Açúcar Físico não embarcado - Nov08 - Conferido_relatorio_DB Entrada_Relatório Gerencial" xfId="13616"/>
    <cellStyle name="s_Valuation _DB Dados do Mercado_Açúcar Físico não embarcado - Nov08 - Conferido_relatorio_DB Entrada_Relatório Gerencial 2" xfId="13617"/>
    <cellStyle name="s_Valuation _DB Dados do Mercado_Açúcar Físico não embarcado - Nov08 - Conferido_relatorio_DB Entrada_Relatório Gerencial 2_15-FINANCEIRAS" xfId="13618"/>
    <cellStyle name="s_Valuation _DB Dados do Mercado_Açúcar Físico não embarcado - Nov08 - Conferido_relatorio_DB Entrada_Relatório Gerencial_15-FINANCEIRAS" xfId="13619"/>
    <cellStyle name="s_Valuation _DB Dados do Mercado_Açúcar Físico não embarcado - Nov08 - Conferido_relatorio_DB Entrada_Relatório Gerencial_15-FINANCEIRAS_1" xfId="13620"/>
    <cellStyle name="s_Valuation _DB Dados do Mercado_Açúcar Físico não embarcado - Nov08 - Conferido_relatorio_DB Entrada_Relatório Gerencial_3-Balanço" xfId="13621"/>
    <cellStyle name="s_Valuation _DB Dados do Mercado_Açúcar Físico não embarcado - Nov08 - Conferido_relatorio_DB Entrada_Relatório Gerencial_7-Estoque" xfId="13622"/>
    <cellStyle name="s_Valuation _DB Dados do Mercado_Açúcar Físico não embarcado - Nov08 - Conferido_relatorio_DB Entrada_Relatório Gerencial_DB Entrada" xfId="13623"/>
    <cellStyle name="s_Valuation _DB Dados do Mercado_Açúcar Físico não embarcado - Nov08 - Conferido_relatorio_DB Entrada_Relatório Gerencial_DB Entrada 2" xfId="13624"/>
    <cellStyle name="s_Valuation _DB Dados do Mercado_Açúcar Físico não embarcado - Nov08 - Conferido_relatorio_DB Entrada_Relatório Gerencial_DB Entrada 2_15-FINANCEIRAS" xfId="13625"/>
    <cellStyle name="s_Valuation _DB Dados do Mercado_Açúcar Físico não embarcado - Nov08 - Conferido_relatorio_DB Entrada_Relatório Gerencial_DB Entrada_15-FINANCEIRAS" xfId="13626"/>
    <cellStyle name="s_Valuation _DB Dados do Mercado_Açúcar Físico não embarcado - Nov08 - Conferido_relatorio_DB Entrada_Relatório Gerencial_DB Entrada_15-FINANCEIRAS_1" xfId="13627"/>
    <cellStyle name="s_Valuation _DB Dados do Mercado_Açúcar Físico não embarcado - Nov08 - Conferido_relatorio_DB Entrada_Relatório Gerencial_DB Entrada_3-Balanço" xfId="13628"/>
    <cellStyle name="s_Valuation _DB Dados do Mercado_Açúcar Físico não embarcado - Nov08 - Conferido_relatorio_DB Entrada_Relatório Gerencial_DB Entrada_7-Estoque" xfId="13629"/>
    <cellStyle name="s_Valuation _DB Dados do Mercado_Açúcar Físico não embarcado - Nov08 - Conferido_relatorio_DB Exposição" xfId="13630"/>
    <cellStyle name="s_Valuation _DB Dados do Mercado_Açúcar Físico não embarcado - Nov08 - Conferido_relatorio_DB Exposição 2" xfId="13631"/>
    <cellStyle name="s_Valuation _DB Dados do Mercado_Açúcar Físico não embarcado - Nov08 - Conferido_relatorio_DB Exposição 2_15-FINANCEIRAS" xfId="13632"/>
    <cellStyle name="s_Valuation _DB Dados do Mercado_Açúcar Físico não embarcado - Nov08 - Conferido_relatorio_DB Exposição_15-FINANCEIRAS" xfId="13633"/>
    <cellStyle name="s_Valuation _DB Dados do Mercado_Açúcar Físico não embarcado - Nov08 - Conferido_relatorio_DB Exposição_15-FINANCEIRAS_1" xfId="13634"/>
    <cellStyle name="s_Valuation _DB Dados do Mercado_Açúcar Físico não embarcado - Nov08 - Conferido_relatorio_DB Exposição_3-Balanço" xfId="13635"/>
    <cellStyle name="s_Valuation _DB Dados do Mercado_Açúcar Físico não embarcado - Nov08 - Conferido_relatorio_DB Exposição_7-Estoque" xfId="13636"/>
    <cellStyle name="s_Valuation _DB Dados do Mercado_Açúcar Físico não embarcado - Nov08 - Conferido_relatorio_DB Exposição_Relatório Gerencial" xfId="13637"/>
    <cellStyle name="s_Valuation _DB Dados do Mercado_Açúcar Físico não embarcado - Nov08 - Conferido_relatorio_DB Exposição_Relatório Gerencial 2" xfId="13638"/>
    <cellStyle name="s_Valuation _DB Dados do Mercado_Açúcar Físico não embarcado - Nov08 - Conferido_relatorio_DB Exposição_Relatório Gerencial 2_15-FINANCEIRAS" xfId="13639"/>
    <cellStyle name="s_Valuation _DB Dados do Mercado_Açúcar Físico não embarcado - Nov08 - Conferido_relatorio_DB Exposição_Relatório Gerencial_15-FINANCEIRAS" xfId="13640"/>
    <cellStyle name="s_Valuation _DB Dados do Mercado_Açúcar Físico não embarcado - Nov08 - Conferido_relatorio_DB Exposição_Relatório Gerencial_15-FINANCEIRAS_1" xfId="13641"/>
    <cellStyle name="s_Valuation _DB Dados do Mercado_Açúcar Físico não embarcado - Nov08 - Conferido_relatorio_DB Exposição_Relatório Gerencial_3-Balanço" xfId="13642"/>
    <cellStyle name="s_Valuation _DB Dados do Mercado_Açúcar Físico não embarcado - Nov08 - Conferido_relatorio_DB Exposição_Relatório Gerencial_7-Estoque" xfId="13643"/>
    <cellStyle name="s_Valuation _DB Dados do Mercado_Açúcar Físico não embarcado - Nov08 - Conferido_relatorio_DB Exposição_Relatório Gerencial_DB Entrada" xfId="13644"/>
    <cellStyle name="s_Valuation _DB Dados do Mercado_Açúcar Físico não embarcado - Nov08 - Conferido_relatorio_DB Exposição_Relatório Gerencial_DB Entrada 2" xfId="13645"/>
    <cellStyle name="s_Valuation _DB Dados do Mercado_Açúcar Físico não embarcado - Nov08 - Conferido_relatorio_DB Exposição_Relatório Gerencial_DB Entrada 2_15-FINANCEIRAS" xfId="13646"/>
    <cellStyle name="s_Valuation _DB Dados do Mercado_Açúcar Físico não embarcado - Nov08 - Conferido_relatorio_DB Exposição_Relatório Gerencial_DB Entrada_15-FINANCEIRAS" xfId="13647"/>
    <cellStyle name="s_Valuation _DB Dados do Mercado_Açúcar Físico não embarcado - Nov08 - Conferido_relatorio_DB Exposição_Relatório Gerencial_DB Entrada_15-FINANCEIRAS_1" xfId="13648"/>
    <cellStyle name="s_Valuation _DB Dados do Mercado_Açúcar Físico não embarcado - Nov08 - Conferido_relatorio_DB Exposição_Relatório Gerencial_DB Entrada_3-Balanço" xfId="13649"/>
    <cellStyle name="s_Valuation _DB Dados do Mercado_Açúcar Físico não embarcado - Nov08 - Conferido_relatorio_DB Exposição_Relatório Gerencial_DB Entrada_7-Estoque" xfId="13650"/>
    <cellStyle name="s_Valuation _DB Dados do Mercado_Açúcar Físico não embarcado - Nov08 - Conferido_relatorio_DB Posição" xfId="13651"/>
    <cellStyle name="s_Valuation _DB Dados do Mercado_Açúcar Físico não embarcado - Nov08 - Conferido_relatorio_DB Posição 2" xfId="13652"/>
    <cellStyle name="s_Valuation _DB Dados do Mercado_Açúcar Físico não embarcado - Nov08 - Conferido_relatorio_DB Posição 2_15-FINANCEIRAS" xfId="13653"/>
    <cellStyle name="s_Valuation _DB Dados do Mercado_Açúcar Físico não embarcado - Nov08 - Conferido_relatorio_DB Posição_15-FINANCEIRAS" xfId="13654"/>
    <cellStyle name="s_Valuation _DB Dados do Mercado_Açúcar Físico não embarcado - Nov08 - Conferido_relatorio_DB Posição_15-FINANCEIRAS_1" xfId="13655"/>
    <cellStyle name="s_Valuation _DB Dados do Mercado_Açúcar Físico não embarcado - Nov08 - Conferido_relatorio_DB Posição_3-Balanço" xfId="13656"/>
    <cellStyle name="s_Valuation _DB Dados do Mercado_Açúcar Físico não embarcado - Nov08 - Conferido_relatorio_DB Posição_7-Estoque" xfId="13657"/>
    <cellStyle name="s_Valuation _DB Dados do Mercado_Açúcar Físico não embarcado - Nov08 - Conferido_relatorio_Dólar" xfId="13658"/>
    <cellStyle name="s_Valuation _DB Dados do Mercado_Açúcar Físico não embarcado - Nov08 - Conferido_relatorio_Dólar + NDF" xfId="13659"/>
    <cellStyle name="s_Valuation _DB Dados do Mercado_Açúcar Físico não embarcado - Nov08 - Conferido_relatorio_Dólar + NDF 2" xfId="13660"/>
    <cellStyle name="s_Valuation _DB Dados do Mercado_Açúcar Físico não embarcado - Nov08 - Conferido_relatorio_Dólar + NDF 2_15-FINANCEIRAS" xfId="13661"/>
    <cellStyle name="s_Valuation _DB Dados do Mercado_Açúcar Físico não embarcado - Nov08 - Conferido_relatorio_Dólar + NDF_15-FINANCEIRAS" xfId="13662"/>
    <cellStyle name="s_Valuation _DB Dados do Mercado_Açúcar Físico não embarcado - Nov08 - Conferido_relatorio_Dólar + NDF_15-FINANCEIRAS_1" xfId="13663"/>
    <cellStyle name="s_Valuation _DB Dados do Mercado_Açúcar Físico não embarcado - Nov08 - Conferido_relatorio_Dólar + NDF_3-Balanço" xfId="13664"/>
    <cellStyle name="s_Valuation _DB Dados do Mercado_Açúcar Físico não embarcado - Nov08 - Conferido_relatorio_Dólar + NDF_7-Estoque" xfId="13665"/>
    <cellStyle name="s_Valuation _DB Dados do Mercado_Açúcar Físico não embarcado - Nov08 - Conferido_relatorio_Dólar + NDF_Relatório Gerencial" xfId="13666"/>
    <cellStyle name="s_Valuation _DB Dados do Mercado_Açúcar Físico não embarcado - Nov08 - Conferido_relatorio_Dólar + NDF_Relatório Gerencial 2" xfId="13667"/>
    <cellStyle name="s_Valuation _DB Dados do Mercado_Açúcar Físico não embarcado - Nov08 - Conferido_relatorio_Dólar + NDF_Relatório Gerencial 2_15-FINANCEIRAS" xfId="13668"/>
    <cellStyle name="s_Valuation _DB Dados do Mercado_Açúcar Físico não embarcado - Nov08 - Conferido_relatorio_Dólar + NDF_Relatório Gerencial_15-FINANCEIRAS" xfId="13669"/>
    <cellStyle name="s_Valuation _DB Dados do Mercado_Açúcar Físico não embarcado - Nov08 - Conferido_relatorio_Dólar + NDF_Relatório Gerencial_15-FINANCEIRAS_1" xfId="13670"/>
    <cellStyle name="s_Valuation _DB Dados do Mercado_Açúcar Físico não embarcado - Nov08 - Conferido_relatorio_Dólar + NDF_Relatório Gerencial_3-Balanço" xfId="13671"/>
    <cellStyle name="s_Valuation _DB Dados do Mercado_Açúcar Físico não embarcado - Nov08 - Conferido_relatorio_Dólar + NDF_Relatório Gerencial_7-Estoque" xfId="13672"/>
    <cellStyle name="s_Valuation _DB Dados do Mercado_Açúcar Físico não embarcado - Nov08 - Conferido_relatorio_Dólar + NDF_Relatório Gerencial_DB Entrada" xfId="13673"/>
    <cellStyle name="s_Valuation _DB Dados do Mercado_Açúcar Físico não embarcado - Nov08 - Conferido_relatorio_Dólar + NDF_Relatório Gerencial_DB Entrada 2" xfId="13674"/>
    <cellStyle name="s_Valuation _DB Dados do Mercado_Açúcar Físico não embarcado - Nov08 - Conferido_relatorio_Dólar + NDF_Relatório Gerencial_DB Entrada 2_15-FINANCEIRAS" xfId="13675"/>
    <cellStyle name="s_Valuation _DB Dados do Mercado_Açúcar Físico não embarcado - Nov08 - Conferido_relatorio_Dólar + NDF_Relatório Gerencial_DB Entrada_15-FINANCEIRAS" xfId="13676"/>
    <cellStyle name="s_Valuation _DB Dados do Mercado_Açúcar Físico não embarcado - Nov08 - Conferido_relatorio_Dólar + NDF_Relatório Gerencial_DB Entrada_15-FINANCEIRAS_1" xfId="13677"/>
    <cellStyle name="s_Valuation _DB Dados do Mercado_Açúcar Físico não embarcado - Nov08 - Conferido_relatorio_Dólar + NDF_Relatório Gerencial_DB Entrada_3-Balanço" xfId="13678"/>
    <cellStyle name="s_Valuation _DB Dados do Mercado_Açúcar Físico não embarcado - Nov08 - Conferido_relatorio_Dólar + NDF_Relatório Gerencial_DB Entrada_7-Estoque" xfId="13679"/>
    <cellStyle name="s_Valuation _DB Dados do Mercado_Açúcar Físico não embarcado - Nov08 - Conferido_relatorio_Dólar 2" xfId="13680"/>
    <cellStyle name="s_Valuation _DB Dados do Mercado_Açúcar Físico não embarcado - Nov08 - Conferido_relatorio_Dólar 2_15-FINANCEIRAS" xfId="13681"/>
    <cellStyle name="s_Valuation _DB Dados do Mercado_Açúcar Físico não embarcado - Nov08 - Conferido_relatorio_Dólar 3" xfId="13682"/>
    <cellStyle name="s_Valuation _DB Dados do Mercado_Açúcar Físico não embarcado - Nov08 - Conferido_relatorio_Dólar 3_15-FINANCEIRAS" xfId="13683"/>
    <cellStyle name="s_Valuation _DB Dados do Mercado_Açúcar Físico não embarcado - Nov08 - Conferido_relatorio_Dólar 4" xfId="13684"/>
    <cellStyle name="s_Valuation _DB Dados do Mercado_Açúcar Físico não embarcado - Nov08 - Conferido_relatorio_Dólar 4_15-FINANCEIRAS" xfId="13685"/>
    <cellStyle name="s_Valuation _DB Dados do Mercado_Açúcar Físico não embarcado - Nov08 - Conferido_relatorio_Dólar Offshore" xfId="13686"/>
    <cellStyle name="s_Valuation _DB Dados do Mercado_Açúcar Físico não embarcado - Nov08 - Conferido_relatorio_Dólar Offshore 2" xfId="13687"/>
    <cellStyle name="s_Valuation _DB Dados do Mercado_Açúcar Físico não embarcado - Nov08 - Conferido_relatorio_Dólar Offshore 2_15-FINANCEIRAS" xfId="13688"/>
    <cellStyle name="s_Valuation _DB Dados do Mercado_Açúcar Físico não embarcado - Nov08 - Conferido_relatorio_Dólar Offshore_15-FINANCEIRAS" xfId="13689"/>
    <cellStyle name="s_Valuation _DB Dados do Mercado_Açúcar Físico não embarcado - Nov08 - Conferido_relatorio_Dólar Offshore_15-FINANCEIRAS_1" xfId="13690"/>
    <cellStyle name="s_Valuation _DB Dados do Mercado_Açúcar Físico não embarcado - Nov08 - Conferido_relatorio_Dólar Offshore_3-Balanço" xfId="13691"/>
    <cellStyle name="s_Valuation _DB Dados do Mercado_Açúcar Físico não embarcado - Nov08 - Conferido_relatorio_Dólar Offshore_7-Estoque" xfId="13692"/>
    <cellStyle name="s_Valuation _DB Dados do Mercado_Açúcar Físico não embarcado - Nov08 - Conferido_relatorio_Dólar Offshore_Relatório Gerencial" xfId="13693"/>
    <cellStyle name="s_Valuation _DB Dados do Mercado_Açúcar Físico não embarcado - Nov08 - Conferido_relatorio_Dólar Offshore_Relatório Gerencial 2" xfId="13694"/>
    <cellStyle name="s_Valuation _DB Dados do Mercado_Açúcar Físico não embarcado - Nov08 - Conferido_relatorio_Dólar Offshore_Relatório Gerencial 2_15-FINANCEIRAS" xfId="13695"/>
    <cellStyle name="s_Valuation _DB Dados do Mercado_Açúcar Físico não embarcado - Nov08 - Conferido_relatorio_Dólar Offshore_Relatório Gerencial_15-FINANCEIRAS" xfId="13696"/>
    <cellStyle name="s_Valuation _DB Dados do Mercado_Açúcar Físico não embarcado - Nov08 - Conferido_relatorio_Dólar Offshore_Relatório Gerencial_15-FINANCEIRAS_1" xfId="13697"/>
    <cellStyle name="s_Valuation _DB Dados do Mercado_Açúcar Físico não embarcado - Nov08 - Conferido_relatorio_Dólar Offshore_Relatório Gerencial_3-Balanço" xfId="13698"/>
    <cellStyle name="s_Valuation _DB Dados do Mercado_Açúcar Físico não embarcado - Nov08 - Conferido_relatorio_Dólar Offshore_Relatório Gerencial_7-Estoque" xfId="13699"/>
    <cellStyle name="s_Valuation _DB Dados do Mercado_Açúcar Físico não embarcado - Nov08 - Conferido_relatorio_Dólar Offshore_Relatório Gerencial_DB Entrada" xfId="13700"/>
    <cellStyle name="s_Valuation _DB Dados do Mercado_Açúcar Físico não embarcado - Nov08 - Conferido_relatorio_Dólar Offshore_Relatório Gerencial_DB Entrada 2" xfId="13701"/>
    <cellStyle name="s_Valuation _DB Dados do Mercado_Açúcar Físico não embarcado - Nov08 - Conferido_relatorio_Dólar Offshore_Relatório Gerencial_DB Entrada 2_15-FINANCEIRAS" xfId="13702"/>
    <cellStyle name="s_Valuation _DB Dados do Mercado_Açúcar Físico não embarcado - Nov08 - Conferido_relatorio_Dólar Offshore_Relatório Gerencial_DB Entrada_15-FINANCEIRAS" xfId="13703"/>
    <cellStyle name="s_Valuation _DB Dados do Mercado_Açúcar Físico não embarcado - Nov08 - Conferido_relatorio_Dólar Offshore_Relatório Gerencial_DB Entrada_15-FINANCEIRAS_1" xfId="13704"/>
    <cellStyle name="s_Valuation _DB Dados do Mercado_Açúcar Físico não embarcado - Nov08 - Conferido_relatorio_Dólar Offshore_Relatório Gerencial_DB Entrada_3-Balanço" xfId="13705"/>
    <cellStyle name="s_Valuation _DB Dados do Mercado_Açúcar Físico não embarcado - Nov08 - Conferido_relatorio_Dólar Offshore_Relatório Gerencial_DB Entrada_7-Estoque" xfId="13706"/>
    <cellStyle name="s_Valuation _DB Dados do Mercado_Açúcar Físico não embarcado - Nov08 - Conferido_relatorio_Dólar_15-FINANCEIRAS" xfId="13707"/>
    <cellStyle name="s_Valuation _DB Dados do Mercado_Açúcar Físico não embarcado - Nov08 - Conferido_relatorio_Dólar_15-FINANCEIRAS_1" xfId="13708"/>
    <cellStyle name="s_Valuation _DB Dados do Mercado_Açúcar Físico não embarcado - Nov08 - Conferido_relatorio_Dólar_3-Balanço" xfId="13709"/>
    <cellStyle name="s_Valuation _DB Dados do Mercado_Açúcar Físico não embarcado - Nov08 - Conferido_relatorio_Dólar_7-Estoque" xfId="13710"/>
    <cellStyle name="s_Valuation _DB Dados do Mercado_Açúcar Físico não embarcado - Nov08 - Conferido_relatorio_Dólar_Relatório Gerencial" xfId="13711"/>
    <cellStyle name="s_Valuation _DB Dados do Mercado_Açúcar Físico não embarcado - Nov08 - Conferido_relatorio_Dólar_Relatório Gerencial 2" xfId="13712"/>
    <cellStyle name="s_Valuation _DB Dados do Mercado_Açúcar Físico não embarcado - Nov08 - Conferido_relatorio_Dólar_Relatório Gerencial 2_15-FINANCEIRAS" xfId="13713"/>
    <cellStyle name="s_Valuation _DB Dados do Mercado_Açúcar Físico não embarcado - Nov08 - Conferido_relatorio_Dólar_Relatório Gerencial_15-FINANCEIRAS" xfId="13714"/>
    <cellStyle name="s_Valuation _DB Dados do Mercado_Açúcar Físico não embarcado - Nov08 - Conferido_relatorio_Dólar_Relatório Gerencial_15-FINANCEIRAS_1" xfId="13715"/>
    <cellStyle name="s_Valuation _DB Dados do Mercado_Açúcar Físico não embarcado - Nov08 - Conferido_relatorio_Dólar_Relatório Gerencial_3-Balanço" xfId="13716"/>
    <cellStyle name="s_Valuation _DB Dados do Mercado_Açúcar Físico não embarcado - Nov08 - Conferido_relatorio_Dólar_Relatório Gerencial_7-Estoque" xfId="13717"/>
    <cellStyle name="s_Valuation _DB Dados do Mercado_Açúcar Físico não embarcado - Nov08 - Conferido_relatorio_Dólar_Relatório Gerencial_DB Entrada" xfId="13718"/>
    <cellStyle name="s_Valuation _DB Dados do Mercado_Açúcar Físico não embarcado - Nov08 - Conferido_relatorio_Dólar_Relatório Gerencial_DB Entrada 2" xfId="13719"/>
    <cellStyle name="s_Valuation _DB Dados do Mercado_Açúcar Físico não embarcado - Nov08 - Conferido_relatorio_Dólar_Relatório Gerencial_DB Entrada 2_15-FINANCEIRAS" xfId="13720"/>
    <cellStyle name="s_Valuation _DB Dados do Mercado_Açúcar Físico não embarcado - Nov08 - Conferido_relatorio_Dólar_Relatório Gerencial_DB Entrada_15-FINANCEIRAS" xfId="13721"/>
    <cellStyle name="s_Valuation _DB Dados do Mercado_Açúcar Físico não embarcado - Nov08 - Conferido_relatorio_Dólar_Relatório Gerencial_DB Entrada_15-FINANCEIRAS_1" xfId="13722"/>
    <cellStyle name="s_Valuation _DB Dados do Mercado_Açúcar Físico não embarcado - Nov08 - Conferido_relatorio_Dólar_Relatório Gerencial_DB Entrada_3-Balanço" xfId="13723"/>
    <cellStyle name="s_Valuation _DB Dados do Mercado_Açúcar Físico não embarcado - Nov08 - Conferido_relatorio_Dólar_Relatório Gerencial_DB Entrada_7-Estoque" xfId="13724"/>
    <cellStyle name="s_Valuation _DB Dados do Mercado_Açúcar Físico não embarcado - Nov08 - Conferido_relatorio_Heating Oil" xfId="13725"/>
    <cellStyle name="s_Valuation _DB Dados do Mercado_Açúcar Físico não embarcado - Nov08 - Conferido_relatorio_Heating Oil 2" xfId="13726"/>
    <cellStyle name="s_Valuation _DB Dados do Mercado_Açúcar Físico não embarcado - Nov08 - Conferido_relatorio_Heating Oil 2_15-FINANCEIRAS" xfId="13727"/>
    <cellStyle name="s_Valuation _DB Dados do Mercado_Açúcar Físico não embarcado - Nov08 - Conferido_relatorio_Heating Oil_15-FINANCEIRAS" xfId="13728"/>
    <cellStyle name="s_Valuation _DB Dados do Mercado_Açúcar Físico não embarcado - Nov08 - Conferido_relatorio_Heating Oil_15-FINANCEIRAS_1" xfId="13729"/>
    <cellStyle name="s_Valuation _DB Dados do Mercado_Açúcar Físico não embarcado - Nov08 - Conferido_relatorio_Heating Oil_3-Balanço" xfId="13730"/>
    <cellStyle name="s_Valuation _DB Dados do Mercado_Açúcar Físico não embarcado - Nov08 - Conferido_relatorio_Heating Oil_7-Estoque" xfId="13731"/>
    <cellStyle name="s_Valuation _DB Dados do Mercado_Açúcar Físico não embarcado - Nov08 - Conferido_relatorio_Heating Oil_Relatório Gerencial" xfId="13732"/>
    <cellStyle name="s_Valuation _DB Dados do Mercado_Açúcar Físico não embarcado - Nov08 - Conferido_relatorio_Heating Oil_Relatório Gerencial 2" xfId="13733"/>
    <cellStyle name="s_Valuation _DB Dados do Mercado_Açúcar Físico não embarcado - Nov08 - Conferido_relatorio_Heating Oil_Relatório Gerencial 2_15-FINANCEIRAS" xfId="13734"/>
    <cellStyle name="s_Valuation _DB Dados do Mercado_Açúcar Físico não embarcado - Nov08 - Conferido_relatorio_Heating Oil_Relatório Gerencial_15-FINANCEIRAS" xfId="13735"/>
    <cellStyle name="s_Valuation _DB Dados do Mercado_Açúcar Físico não embarcado - Nov08 - Conferido_relatorio_Heating Oil_Relatório Gerencial_15-FINANCEIRAS_1" xfId="13736"/>
    <cellStyle name="s_Valuation _DB Dados do Mercado_Açúcar Físico não embarcado - Nov08 - Conferido_relatorio_Heating Oil_Relatório Gerencial_3-Balanço" xfId="13737"/>
    <cellStyle name="s_Valuation _DB Dados do Mercado_Açúcar Físico não embarcado - Nov08 - Conferido_relatorio_Heating Oil_Relatório Gerencial_7-Estoque" xfId="13738"/>
    <cellStyle name="s_Valuation _DB Dados do Mercado_Açúcar Físico não embarcado - Nov08 - Conferido_relatorio_Heating Oil_Relatório Gerencial_DB Entrada" xfId="13739"/>
    <cellStyle name="s_Valuation _DB Dados do Mercado_Açúcar Físico não embarcado - Nov08 - Conferido_relatorio_Heating Oil_Relatório Gerencial_DB Entrada 2" xfId="13740"/>
    <cellStyle name="s_Valuation _DB Dados do Mercado_Açúcar Físico não embarcado - Nov08 - Conferido_relatorio_Heating Oil_Relatório Gerencial_DB Entrada 2_15-FINANCEIRAS" xfId="13741"/>
    <cellStyle name="s_Valuation _DB Dados do Mercado_Açúcar Físico não embarcado - Nov08 - Conferido_relatorio_Heating Oil_Relatório Gerencial_DB Entrada_15-FINANCEIRAS" xfId="13742"/>
    <cellStyle name="s_Valuation _DB Dados do Mercado_Açúcar Físico não embarcado - Nov08 - Conferido_relatorio_Heating Oil_Relatório Gerencial_DB Entrada_15-FINANCEIRAS_1" xfId="13743"/>
    <cellStyle name="s_Valuation _DB Dados do Mercado_Açúcar Físico não embarcado - Nov08 - Conferido_relatorio_Heating Oil_Relatório Gerencial_DB Entrada_3-Balanço" xfId="13744"/>
    <cellStyle name="s_Valuation _DB Dados do Mercado_Açúcar Físico não embarcado - Nov08 - Conferido_relatorio_Heating Oil_Relatório Gerencial_DB Entrada_7-Estoque" xfId="13745"/>
    <cellStyle name="s_Valuation _DB Dados do Mercado_Açúcar Físico não embarcado - Nov08 - Conferido_relatorio_Liquidação" xfId="13746"/>
    <cellStyle name="s_Valuation _DB Dados do Mercado_Açúcar Físico não embarcado - Nov08 - Conferido_relatorio_Liquidação 2" xfId="13747"/>
    <cellStyle name="s_Valuation _DB Dados do Mercado_Açúcar Físico não embarcado - Nov08 - Conferido_relatorio_Liquidação 2_15-FINANCEIRAS" xfId="13748"/>
    <cellStyle name="s_Valuation _DB Dados do Mercado_Açúcar Físico não embarcado - Nov08 - Conferido_relatorio_Liquidação_15-FINANCEIRAS" xfId="13749"/>
    <cellStyle name="s_Valuation _DB Dados do Mercado_Açúcar Físico não embarcado - Nov08 - Conferido_relatorio_Liquidação_15-FINANCEIRAS_1" xfId="13750"/>
    <cellStyle name="s_Valuation _DB Dados do Mercado_Açúcar Físico não embarcado - Nov08 - Conferido_relatorio_Liquidação_3-Balanço" xfId="13751"/>
    <cellStyle name="s_Valuation _DB Dados do Mercado_Açúcar Físico não embarcado - Nov08 - Conferido_relatorio_Liquidação_7-Estoque" xfId="13752"/>
    <cellStyle name="s_Valuation _DB Dados do Mercado_Açúcar Físico não embarcado - Nov08 - Conferido_relatorio_Liquidação_Relatório Gerencial" xfId="13753"/>
    <cellStyle name="s_Valuation _DB Dados do Mercado_Açúcar Físico não embarcado - Nov08 - Conferido_relatorio_Liquidação_Relatório Gerencial 2" xfId="13754"/>
    <cellStyle name="s_Valuation _DB Dados do Mercado_Açúcar Físico não embarcado - Nov08 - Conferido_relatorio_Liquidação_Relatório Gerencial 2_15-FINANCEIRAS" xfId="13755"/>
    <cellStyle name="s_Valuation _DB Dados do Mercado_Açúcar Físico não embarcado - Nov08 - Conferido_relatorio_Liquidação_Relatório Gerencial_15-FINANCEIRAS" xfId="13756"/>
    <cellStyle name="s_Valuation _DB Dados do Mercado_Açúcar Físico não embarcado - Nov08 - Conferido_relatorio_Liquidação_Relatório Gerencial_15-FINANCEIRAS_1" xfId="13757"/>
    <cellStyle name="s_Valuation _DB Dados do Mercado_Açúcar Físico não embarcado - Nov08 - Conferido_relatorio_Liquidação_Relatório Gerencial_3-Balanço" xfId="13758"/>
    <cellStyle name="s_Valuation _DB Dados do Mercado_Açúcar Físico não embarcado - Nov08 - Conferido_relatorio_Liquidação_Relatório Gerencial_7-Estoque" xfId="13759"/>
    <cellStyle name="s_Valuation _DB Dados do Mercado_Açúcar Físico não embarcado - Nov08 - Conferido_relatorio_Liquidação_Relatório Gerencial_DB Entrada" xfId="13760"/>
    <cellStyle name="s_Valuation _DB Dados do Mercado_Açúcar Físico não embarcado - Nov08 - Conferido_relatorio_Liquidação_Relatório Gerencial_DB Entrada 2" xfId="13761"/>
    <cellStyle name="s_Valuation _DB Dados do Mercado_Açúcar Físico não embarcado - Nov08 - Conferido_relatorio_Liquidação_Relatório Gerencial_DB Entrada 2_15-FINANCEIRAS" xfId="13762"/>
    <cellStyle name="s_Valuation _DB Dados do Mercado_Açúcar Físico não embarcado - Nov08 - Conferido_relatorio_Liquidação_Relatório Gerencial_DB Entrada_15-FINANCEIRAS" xfId="13763"/>
    <cellStyle name="s_Valuation _DB Dados do Mercado_Açúcar Físico não embarcado - Nov08 - Conferido_relatorio_Liquidação_Relatório Gerencial_DB Entrada_15-FINANCEIRAS_1" xfId="13764"/>
    <cellStyle name="s_Valuation _DB Dados do Mercado_Açúcar Físico não embarcado - Nov08 - Conferido_relatorio_Liquidação_Relatório Gerencial_DB Entrada_3-Balanço" xfId="13765"/>
    <cellStyle name="s_Valuation _DB Dados do Mercado_Açúcar Físico não embarcado - Nov08 - Conferido_relatorio_Liquidação_Relatório Gerencial_DB Entrada_7-Estoque" xfId="13766"/>
    <cellStyle name="s_Valuation _DB Dados do Mercado_Açúcar Físico não embarcado - Nov08 - Conferido_relatorio_NDF" xfId="13767"/>
    <cellStyle name="s_Valuation _DB Dados do Mercado_Açúcar Físico não embarcado - Nov08 - Conferido_relatorio_NDF 2" xfId="13768"/>
    <cellStyle name="s_Valuation _DB Dados do Mercado_Açúcar Físico não embarcado - Nov08 - Conferido_relatorio_NDF 2_15-FINANCEIRAS" xfId="13769"/>
    <cellStyle name="s_Valuation _DB Dados do Mercado_Açúcar Físico não embarcado - Nov08 - Conferido_relatorio_NDF_15-FINANCEIRAS" xfId="13770"/>
    <cellStyle name="s_Valuation _DB Dados do Mercado_Açúcar Físico não embarcado - Nov08 - Conferido_relatorio_NDF_15-FINANCEIRAS_1" xfId="13771"/>
    <cellStyle name="s_Valuation _DB Dados do Mercado_Açúcar Físico não embarcado - Nov08 - Conferido_relatorio_NDF_3-Balanço" xfId="13772"/>
    <cellStyle name="s_Valuation _DB Dados do Mercado_Açúcar Físico não embarcado - Nov08 - Conferido_relatorio_NDF_7-Estoque" xfId="13773"/>
    <cellStyle name="s_Valuation _DB Dados do Mercado_Açúcar Físico não embarcado - Nov08 - Conferido_relatorio_NDF_Relatório Gerencial" xfId="13774"/>
    <cellStyle name="s_Valuation _DB Dados do Mercado_Açúcar Físico não embarcado - Nov08 - Conferido_relatorio_NDF_Relatório Gerencial 2" xfId="13775"/>
    <cellStyle name="s_Valuation _DB Dados do Mercado_Açúcar Físico não embarcado - Nov08 - Conferido_relatorio_NDF_Relatório Gerencial 2_15-FINANCEIRAS" xfId="13776"/>
    <cellStyle name="s_Valuation _DB Dados do Mercado_Açúcar Físico não embarcado - Nov08 - Conferido_relatorio_NDF_Relatório Gerencial_15-FINANCEIRAS" xfId="13777"/>
    <cellStyle name="s_Valuation _DB Dados do Mercado_Açúcar Físico não embarcado - Nov08 - Conferido_relatorio_NDF_Relatório Gerencial_15-FINANCEIRAS_1" xfId="13778"/>
    <cellStyle name="s_Valuation _DB Dados do Mercado_Açúcar Físico não embarcado - Nov08 - Conferido_relatorio_NDF_Relatório Gerencial_3-Balanço" xfId="13779"/>
    <cellStyle name="s_Valuation _DB Dados do Mercado_Açúcar Físico não embarcado - Nov08 - Conferido_relatorio_NDF_Relatório Gerencial_7-Estoque" xfId="13780"/>
    <cellStyle name="s_Valuation _DB Dados do Mercado_Açúcar Físico não embarcado - Nov08 - Conferido_relatorio_NDF_Relatório Gerencial_DB Entrada" xfId="13781"/>
    <cellStyle name="s_Valuation _DB Dados do Mercado_Açúcar Físico não embarcado - Nov08 - Conferido_relatorio_NDF_Relatório Gerencial_DB Entrada 2" xfId="13782"/>
    <cellStyle name="s_Valuation _DB Dados do Mercado_Açúcar Físico não embarcado - Nov08 - Conferido_relatorio_NDF_Relatório Gerencial_DB Entrada 2_15-FINANCEIRAS" xfId="13783"/>
    <cellStyle name="s_Valuation _DB Dados do Mercado_Açúcar Físico não embarcado - Nov08 - Conferido_relatorio_NDF_Relatório Gerencial_DB Entrada_15-FINANCEIRAS" xfId="13784"/>
    <cellStyle name="s_Valuation _DB Dados do Mercado_Açúcar Físico não embarcado - Nov08 - Conferido_relatorio_NDF_Relatório Gerencial_DB Entrada_15-FINANCEIRAS_1" xfId="13785"/>
    <cellStyle name="s_Valuation _DB Dados do Mercado_Açúcar Físico não embarcado - Nov08 - Conferido_relatorio_NDF_Relatório Gerencial_DB Entrada_3-Balanço" xfId="13786"/>
    <cellStyle name="s_Valuation _DB Dados do Mercado_Açúcar Físico não embarcado - Nov08 - Conferido_relatorio_NDF_Relatório Gerencial_DB Entrada_7-Estoque" xfId="13787"/>
    <cellStyle name="s_Valuation _DB Dados do Mercado_Açúcar Físico não embarcado - Nov08 - Conferido_relatorio_Opção Compradas dólar" xfId="13788"/>
    <cellStyle name="s_Valuation _DB Dados do Mercado_Açúcar Físico não embarcado - Nov08 - Conferido_relatorio_Opção Compradas dólar 2" xfId="13789"/>
    <cellStyle name="s_Valuation _DB Dados do Mercado_Açúcar Físico não embarcado - Nov08 - Conferido_relatorio_Opção Compradas dólar 2_15-FINANCEIRAS" xfId="13790"/>
    <cellStyle name="s_Valuation _DB Dados do Mercado_Açúcar Físico não embarcado - Nov08 - Conferido_relatorio_Opção Compradas dólar_15-FINANCEIRAS" xfId="13791"/>
    <cellStyle name="s_Valuation _DB Dados do Mercado_Açúcar Físico não embarcado - Nov08 - Conferido_relatorio_Opção Compradas dólar_15-FINANCEIRAS_1" xfId="13792"/>
    <cellStyle name="s_Valuation _DB Dados do Mercado_Açúcar Físico não embarcado - Nov08 - Conferido_relatorio_Opção Compradas dólar_3-Balanço" xfId="13793"/>
    <cellStyle name="s_Valuation _DB Dados do Mercado_Açúcar Físico não embarcado - Nov08 - Conferido_relatorio_Opção Compradas dólar_7-Estoque" xfId="13794"/>
    <cellStyle name="s_Valuation _DB Dados do Mercado_Açúcar Físico não embarcado - Nov08 - Conferido_relatorio_Opção Compradas dólar_Relatório Gerencial" xfId="13795"/>
    <cellStyle name="s_Valuation _DB Dados do Mercado_Açúcar Físico não embarcado - Nov08 - Conferido_relatorio_Opção Compradas dólar_Relatório Gerencial 2" xfId="13796"/>
    <cellStyle name="s_Valuation _DB Dados do Mercado_Açúcar Físico não embarcado - Nov08 - Conferido_relatorio_Opção Compradas dólar_Relatório Gerencial 2_15-FINANCEIRAS" xfId="13797"/>
    <cellStyle name="s_Valuation _DB Dados do Mercado_Açúcar Físico não embarcado - Nov08 - Conferido_relatorio_Opção Compradas dólar_Relatório Gerencial_15-FINANCEIRAS" xfId="13798"/>
    <cellStyle name="s_Valuation _DB Dados do Mercado_Açúcar Físico não embarcado - Nov08 - Conferido_relatorio_Opção Compradas dólar_Relatório Gerencial_15-FINANCEIRAS_1" xfId="13799"/>
    <cellStyle name="s_Valuation _DB Dados do Mercado_Açúcar Físico não embarcado - Nov08 - Conferido_relatorio_Opção Compradas dólar_Relatório Gerencial_3-Balanço" xfId="13800"/>
    <cellStyle name="s_Valuation _DB Dados do Mercado_Açúcar Físico não embarcado - Nov08 - Conferido_relatorio_Opção Compradas dólar_Relatório Gerencial_7-Estoque" xfId="13801"/>
    <cellStyle name="s_Valuation _DB Dados do Mercado_Açúcar Físico não embarcado - Nov08 - Conferido_relatorio_Opção Compradas dólar_Relatório Gerencial_DB Entrada" xfId="13802"/>
    <cellStyle name="s_Valuation _DB Dados do Mercado_Açúcar Físico não embarcado - Nov08 - Conferido_relatorio_Opção Compradas dólar_Relatório Gerencial_DB Entrada 2" xfId="13803"/>
    <cellStyle name="s_Valuation _DB Dados do Mercado_Açúcar Físico não embarcado - Nov08 - Conferido_relatorio_Opção Compradas dólar_Relatório Gerencial_DB Entrada 2_15-FINANCEIRAS" xfId="13804"/>
    <cellStyle name="s_Valuation _DB Dados do Mercado_Açúcar Físico não embarcado - Nov08 - Conferido_relatorio_Opção Compradas dólar_Relatório Gerencial_DB Entrada_15-FINANCEIRAS" xfId="13805"/>
    <cellStyle name="s_Valuation _DB Dados do Mercado_Açúcar Físico não embarcado - Nov08 - Conferido_relatorio_Opção Compradas dólar_Relatório Gerencial_DB Entrada_15-FINANCEIRAS_1" xfId="13806"/>
    <cellStyle name="s_Valuation _DB Dados do Mercado_Açúcar Físico não embarcado - Nov08 - Conferido_relatorio_Opção Compradas dólar_Relatório Gerencial_DB Entrada_3-Balanço" xfId="13807"/>
    <cellStyle name="s_Valuation _DB Dados do Mercado_Açúcar Físico não embarcado - Nov08 - Conferido_relatorio_Opção Compradas dólar_Relatório Gerencial_DB Entrada_7-Estoque" xfId="13808"/>
    <cellStyle name="s_Valuation _DB Dados do Mercado_Açúcar Físico não embarcado - Nov08 - Conferido_relatorio_Opção Compradas sugar#11" xfId="13809"/>
    <cellStyle name="s_Valuation _DB Dados do Mercado_Açúcar Físico não embarcado - Nov08 - Conferido_relatorio_Opção Compradas sugar#11 2" xfId="13810"/>
    <cellStyle name="s_Valuation _DB Dados do Mercado_Açúcar Físico não embarcado - Nov08 - Conferido_relatorio_Opção Compradas sugar#11 2_15-FINANCEIRAS" xfId="13811"/>
    <cellStyle name="s_Valuation _DB Dados do Mercado_Açúcar Físico não embarcado - Nov08 - Conferido_relatorio_Opção Compradas sugar#11_15-FINANCEIRAS" xfId="13812"/>
    <cellStyle name="s_Valuation _DB Dados do Mercado_Açúcar Físico não embarcado - Nov08 - Conferido_relatorio_Opção Compradas sugar#11_15-FINANCEIRAS_1" xfId="13813"/>
    <cellStyle name="s_Valuation _DB Dados do Mercado_Açúcar Físico não embarcado - Nov08 - Conferido_relatorio_Opção Compradas sugar#11_3-Balanço" xfId="13814"/>
    <cellStyle name="s_Valuation _DB Dados do Mercado_Açúcar Físico não embarcado - Nov08 - Conferido_relatorio_Opção Compradas sugar#11_7-Estoque" xfId="13815"/>
    <cellStyle name="s_Valuation _DB Dados do Mercado_Açúcar Físico não embarcado - Nov08 - Conferido_relatorio_Opção Compradas sugar#11_Relatório Gerencial" xfId="13816"/>
    <cellStyle name="s_Valuation _DB Dados do Mercado_Açúcar Físico não embarcado - Nov08 - Conferido_relatorio_Opção Compradas sugar#11_Relatório Gerencial 2" xfId="13817"/>
    <cellStyle name="s_Valuation _DB Dados do Mercado_Açúcar Físico não embarcado - Nov08 - Conferido_relatorio_Opção Compradas sugar#11_Relatório Gerencial 2_15-FINANCEIRAS" xfId="13818"/>
    <cellStyle name="s_Valuation _DB Dados do Mercado_Açúcar Físico não embarcado - Nov08 - Conferido_relatorio_Opção Compradas sugar#11_Relatório Gerencial_15-FINANCEIRAS" xfId="13819"/>
    <cellStyle name="s_Valuation _DB Dados do Mercado_Açúcar Físico não embarcado - Nov08 - Conferido_relatorio_Opção Compradas sugar#11_Relatório Gerencial_15-FINANCEIRAS_1" xfId="13820"/>
    <cellStyle name="s_Valuation _DB Dados do Mercado_Açúcar Físico não embarcado - Nov08 - Conferido_relatorio_Opção Compradas sugar#11_Relatório Gerencial_3-Balanço" xfId="13821"/>
    <cellStyle name="s_Valuation _DB Dados do Mercado_Açúcar Físico não embarcado - Nov08 - Conferido_relatorio_Opção Compradas sugar#11_Relatório Gerencial_7-Estoque" xfId="13822"/>
    <cellStyle name="s_Valuation _DB Dados do Mercado_Açúcar Físico não embarcado - Nov08 - Conferido_relatorio_Opção Compradas sugar#11_Relatório Gerencial_DB Entrada" xfId="13823"/>
    <cellStyle name="s_Valuation _DB Dados do Mercado_Açúcar Físico não embarcado - Nov08 - Conferido_relatorio_Opção Compradas sugar#11_Relatório Gerencial_DB Entrada 2" xfId="13824"/>
    <cellStyle name="s_Valuation _DB Dados do Mercado_Açúcar Físico não embarcado - Nov08 - Conferido_relatorio_Opção Compradas sugar#11_Relatório Gerencial_DB Entrada 2_15-FINANCEIRAS" xfId="13825"/>
    <cellStyle name="s_Valuation _DB Dados do Mercado_Açúcar Físico não embarcado - Nov08 - Conferido_relatorio_Opção Compradas sugar#11_Relatório Gerencial_DB Entrada_15-FINANCEIRAS" xfId="13826"/>
    <cellStyle name="s_Valuation _DB Dados do Mercado_Açúcar Físico não embarcado - Nov08 - Conferido_relatorio_Opção Compradas sugar#11_Relatório Gerencial_DB Entrada_15-FINANCEIRAS_1" xfId="13827"/>
    <cellStyle name="s_Valuation _DB Dados do Mercado_Açúcar Físico não embarcado - Nov08 - Conferido_relatorio_Opção Compradas sugar#11_Relatório Gerencial_DB Entrada_3-Balanço" xfId="13828"/>
    <cellStyle name="s_Valuation _DB Dados do Mercado_Açúcar Físico não embarcado - Nov08 - Conferido_relatorio_Opção Compradas sugar#11_Relatório Gerencial_DB Entrada_7-Estoque" xfId="13829"/>
    <cellStyle name="s_Valuation _DB Dados do Mercado_Açúcar Físico não embarcado - Nov08 - Conferido_relatorio_Opção dólar" xfId="13830"/>
    <cellStyle name="s_Valuation _DB Dados do Mercado_Açúcar Físico não embarcado - Nov08 - Conferido_relatorio_Opção dólar 2" xfId="13831"/>
    <cellStyle name="s_Valuation _DB Dados do Mercado_Açúcar Físico não embarcado - Nov08 - Conferido_relatorio_Opção dólar 2_15-FINANCEIRAS" xfId="13832"/>
    <cellStyle name="s_Valuation _DB Dados do Mercado_Açúcar Físico não embarcado - Nov08 - Conferido_relatorio_Opção dólar_15-FINANCEIRAS" xfId="13833"/>
    <cellStyle name="s_Valuation _DB Dados do Mercado_Açúcar Físico não embarcado - Nov08 - Conferido_relatorio_Opção dólar_15-FINANCEIRAS_1" xfId="13834"/>
    <cellStyle name="s_Valuation _DB Dados do Mercado_Açúcar Físico não embarcado - Nov08 - Conferido_relatorio_Opção dólar_3-Balanço" xfId="13835"/>
    <cellStyle name="s_Valuation _DB Dados do Mercado_Açúcar Físico não embarcado - Nov08 - Conferido_relatorio_Opção dólar_7-Estoque" xfId="13836"/>
    <cellStyle name="s_Valuation _DB Dados do Mercado_Açúcar Físico não embarcado - Nov08 - Conferido_relatorio_Opção dólar_Relatório Gerencial" xfId="13837"/>
    <cellStyle name="s_Valuation _DB Dados do Mercado_Açúcar Físico não embarcado - Nov08 - Conferido_relatorio_Opção dólar_Relatório Gerencial 2" xfId="13838"/>
    <cellStyle name="s_Valuation _DB Dados do Mercado_Açúcar Físico não embarcado - Nov08 - Conferido_relatorio_Opção dólar_Relatório Gerencial 2_15-FINANCEIRAS" xfId="13839"/>
    <cellStyle name="s_Valuation _DB Dados do Mercado_Açúcar Físico não embarcado - Nov08 - Conferido_relatorio_Opção dólar_Relatório Gerencial_15-FINANCEIRAS" xfId="13840"/>
    <cellStyle name="s_Valuation _DB Dados do Mercado_Açúcar Físico não embarcado - Nov08 - Conferido_relatorio_Opção dólar_Relatório Gerencial_15-FINANCEIRAS_1" xfId="13841"/>
    <cellStyle name="s_Valuation _DB Dados do Mercado_Açúcar Físico não embarcado - Nov08 - Conferido_relatorio_Opção dólar_Relatório Gerencial_3-Balanço" xfId="13842"/>
    <cellStyle name="s_Valuation _DB Dados do Mercado_Açúcar Físico não embarcado - Nov08 - Conferido_relatorio_Opção dólar_Relatório Gerencial_7-Estoque" xfId="13843"/>
    <cellStyle name="s_Valuation _DB Dados do Mercado_Açúcar Físico não embarcado - Nov08 - Conferido_relatorio_Opção dólar_Relatório Gerencial_DB Entrada" xfId="13844"/>
    <cellStyle name="s_Valuation _DB Dados do Mercado_Açúcar Físico não embarcado - Nov08 - Conferido_relatorio_Opção dólar_Relatório Gerencial_DB Entrada 2" xfId="13845"/>
    <cellStyle name="s_Valuation _DB Dados do Mercado_Açúcar Físico não embarcado - Nov08 - Conferido_relatorio_Opção dólar_Relatório Gerencial_DB Entrada 2_15-FINANCEIRAS" xfId="13846"/>
    <cellStyle name="s_Valuation _DB Dados do Mercado_Açúcar Físico não embarcado - Nov08 - Conferido_relatorio_Opção dólar_Relatório Gerencial_DB Entrada_15-FINANCEIRAS" xfId="13847"/>
    <cellStyle name="s_Valuation _DB Dados do Mercado_Açúcar Físico não embarcado - Nov08 - Conferido_relatorio_Opção dólar_Relatório Gerencial_DB Entrada_15-FINANCEIRAS_1" xfId="13848"/>
    <cellStyle name="s_Valuation _DB Dados do Mercado_Açúcar Físico não embarcado - Nov08 - Conferido_relatorio_Opção dólar_Relatório Gerencial_DB Entrada_3-Balanço" xfId="13849"/>
    <cellStyle name="s_Valuation _DB Dados do Mercado_Açúcar Físico não embarcado - Nov08 - Conferido_relatorio_Opção dólar_Relatório Gerencial_DB Entrada_7-Estoque" xfId="13850"/>
    <cellStyle name="s_Valuation _DB Dados do Mercado_Açúcar Físico não embarcado - Nov08 - Conferido_relatorio_Opção sugar#11" xfId="13851"/>
    <cellStyle name="s_Valuation _DB Dados do Mercado_Açúcar Físico não embarcado - Nov08 - Conferido_relatorio_Opção sugar#11 2" xfId="13852"/>
    <cellStyle name="s_Valuation _DB Dados do Mercado_Açúcar Físico não embarcado - Nov08 - Conferido_relatorio_Opção sugar#11 2_15-FINANCEIRAS" xfId="13853"/>
    <cellStyle name="s_Valuation _DB Dados do Mercado_Açúcar Físico não embarcado - Nov08 - Conferido_relatorio_Opção sugar#11_15-FINANCEIRAS" xfId="13854"/>
    <cellStyle name="s_Valuation _DB Dados do Mercado_Açúcar Físico não embarcado - Nov08 - Conferido_relatorio_Opção sugar#11_15-FINANCEIRAS_1" xfId="13855"/>
    <cellStyle name="s_Valuation _DB Dados do Mercado_Açúcar Físico não embarcado - Nov08 - Conferido_relatorio_Opção sugar#11_3-Balanço" xfId="13856"/>
    <cellStyle name="s_Valuation _DB Dados do Mercado_Açúcar Físico não embarcado - Nov08 - Conferido_relatorio_Opção sugar#11_7-Estoque" xfId="13857"/>
    <cellStyle name="s_Valuation _DB Dados do Mercado_Açúcar Físico não embarcado - Nov08 - Conferido_relatorio_Opção sugar#11_Relatório Gerencial" xfId="13858"/>
    <cellStyle name="s_Valuation _DB Dados do Mercado_Açúcar Físico não embarcado - Nov08 - Conferido_relatorio_Opção sugar#11_Relatório Gerencial 2" xfId="13859"/>
    <cellStyle name="s_Valuation _DB Dados do Mercado_Açúcar Físico não embarcado - Nov08 - Conferido_relatorio_Opção sugar#11_Relatório Gerencial 2_15-FINANCEIRAS" xfId="13860"/>
    <cellStyle name="s_Valuation _DB Dados do Mercado_Açúcar Físico não embarcado - Nov08 - Conferido_relatorio_Opção sugar#11_Relatório Gerencial_15-FINANCEIRAS" xfId="13861"/>
    <cellStyle name="s_Valuation _DB Dados do Mercado_Açúcar Físico não embarcado - Nov08 - Conferido_relatorio_Opção sugar#11_Relatório Gerencial_15-FINANCEIRAS_1" xfId="13862"/>
    <cellStyle name="s_Valuation _DB Dados do Mercado_Açúcar Físico não embarcado - Nov08 - Conferido_relatorio_Opção sugar#11_Relatório Gerencial_3-Balanço" xfId="13863"/>
    <cellStyle name="s_Valuation _DB Dados do Mercado_Açúcar Físico não embarcado - Nov08 - Conferido_relatorio_Opção sugar#11_Relatório Gerencial_7-Estoque" xfId="13864"/>
    <cellStyle name="s_Valuation _DB Dados do Mercado_Açúcar Físico não embarcado - Nov08 - Conferido_relatorio_Opção sugar#11_Relatório Gerencial_DB Entrada" xfId="13865"/>
    <cellStyle name="s_Valuation _DB Dados do Mercado_Açúcar Físico não embarcado - Nov08 - Conferido_relatorio_Opção sugar#11_Relatório Gerencial_DB Entrada 2" xfId="13866"/>
    <cellStyle name="s_Valuation _DB Dados do Mercado_Açúcar Físico não embarcado - Nov08 - Conferido_relatorio_Opção sugar#11_Relatório Gerencial_DB Entrada 2_15-FINANCEIRAS" xfId="13867"/>
    <cellStyle name="s_Valuation _DB Dados do Mercado_Açúcar Físico não embarcado - Nov08 - Conferido_relatorio_Opção sugar#11_Relatório Gerencial_DB Entrada_15-FINANCEIRAS" xfId="13868"/>
    <cellStyle name="s_Valuation _DB Dados do Mercado_Açúcar Físico não embarcado - Nov08 - Conferido_relatorio_Opção sugar#11_Relatório Gerencial_DB Entrada_15-FINANCEIRAS_1" xfId="13869"/>
    <cellStyle name="s_Valuation _DB Dados do Mercado_Açúcar Físico não embarcado - Nov08 - Conferido_relatorio_Opção sugar#11_Relatório Gerencial_DB Entrada_3-Balanço" xfId="13870"/>
    <cellStyle name="s_Valuation _DB Dados do Mercado_Açúcar Físico não embarcado - Nov08 - Conferido_relatorio_Opção sugar#11_Relatório Gerencial_DB Entrada_7-Estoque" xfId="13871"/>
    <cellStyle name="s_Valuation _DB Dados do Mercado_Açúcar Físico não embarcado - Nov08 - Conferido_relatorio_Opção Vendidas dólar" xfId="13872"/>
    <cellStyle name="s_Valuation _DB Dados do Mercado_Açúcar Físico não embarcado - Nov08 - Conferido_relatorio_Opção Vendidas dólar 2" xfId="13873"/>
    <cellStyle name="s_Valuation _DB Dados do Mercado_Açúcar Físico não embarcado - Nov08 - Conferido_relatorio_Opção Vendidas dólar 2_15-FINANCEIRAS" xfId="13874"/>
    <cellStyle name="s_Valuation _DB Dados do Mercado_Açúcar Físico não embarcado - Nov08 - Conferido_relatorio_Opção Vendidas dólar_15-FINANCEIRAS" xfId="13875"/>
    <cellStyle name="s_Valuation _DB Dados do Mercado_Açúcar Físico não embarcado - Nov08 - Conferido_relatorio_Opção Vendidas dólar_15-FINANCEIRAS_1" xfId="13876"/>
    <cellStyle name="s_Valuation _DB Dados do Mercado_Açúcar Físico não embarcado - Nov08 - Conferido_relatorio_Opção Vendidas dólar_3-Balanço" xfId="13877"/>
    <cellStyle name="s_Valuation _DB Dados do Mercado_Açúcar Físico não embarcado - Nov08 - Conferido_relatorio_Opção Vendidas dólar_7-Estoque" xfId="13878"/>
    <cellStyle name="s_Valuation _DB Dados do Mercado_Açúcar Físico não embarcado - Nov08 - Conferido_relatorio_Opção Vendidas dólar_Relatório Gerencial" xfId="13879"/>
    <cellStyle name="s_Valuation _DB Dados do Mercado_Açúcar Físico não embarcado - Nov08 - Conferido_relatorio_Opção Vendidas dólar_Relatório Gerencial 2" xfId="13880"/>
    <cellStyle name="s_Valuation _DB Dados do Mercado_Açúcar Físico não embarcado - Nov08 - Conferido_relatorio_Opção Vendidas dólar_Relatório Gerencial 2_15-FINANCEIRAS" xfId="13881"/>
    <cellStyle name="s_Valuation _DB Dados do Mercado_Açúcar Físico não embarcado - Nov08 - Conferido_relatorio_Opção Vendidas dólar_Relatório Gerencial_15-FINANCEIRAS" xfId="13882"/>
    <cellStyle name="s_Valuation _DB Dados do Mercado_Açúcar Físico não embarcado - Nov08 - Conferido_relatorio_Opção Vendidas dólar_Relatório Gerencial_15-FINANCEIRAS_1" xfId="13883"/>
    <cellStyle name="s_Valuation _DB Dados do Mercado_Açúcar Físico não embarcado - Nov08 - Conferido_relatorio_Opção Vendidas dólar_Relatório Gerencial_3-Balanço" xfId="13884"/>
    <cellStyle name="s_Valuation _DB Dados do Mercado_Açúcar Físico não embarcado - Nov08 - Conferido_relatorio_Opção Vendidas dólar_Relatório Gerencial_7-Estoque" xfId="13885"/>
    <cellStyle name="s_Valuation _DB Dados do Mercado_Açúcar Físico não embarcado - Nov08 - Conferido_relatorio_Opção Vendidas dólar_Relatório Gerencial_DB Entrada" xfId="13886"/>
    <cellStyle name="s_Valuation _DB Dados do Mercado_Açúcar Físico não embarcado - Nov08 - Conferido_relatorio_Opção Vendidas dólar_Relatório Gerencial_DB Entrada 2" xfId="13887"/>
    <cellStyle name="s_Valuation _DB Dados do Mercado_Açúcar Físico não embarcado - Nov08 - Conferido_relatorio_Opção Vendidas dólar_Relatório Gerencial_DB Entrada 2_15-FINANCEIRAS" xfId="13888"/>
    <cellStyle name="s_Valuation _DB Dados do Mercado_Açúcar Físico não embarcado - Nov08 - Conferido_relatorio_Opção Vendidas dólar_Relatório Gerencial_DB Entrada_15-FINANCEIRAS" xfId="13889"/>
    <cellStyle name="s_Valuation _DB Dados do Mercado_Açúcar Físico não embarcado - Nov08 - Conferido_relatorio_Opção Vendidas dólar_Relatório Gerencial_DB Entrada_15-FINANCEIRAS_1" xfId="13890"/>
    <cellStyle name="s_Valuation _DB Dados do Mercado_Açúcar Físico não embarcado - Nov08 - Conferido_relatorio_Opção Vendidas dólar_Relatório Gerencial_DB Entrada_3-Balanço" xfId="13891"/>
    <cellStyle name="s_Valuation _DB Dados do Mercado_Açúcar Físico não embarcado - Nov08 - Conferido_relatorio_Opção Vendidas dólar_Relatório Gerencial_DB Entrada_7-Estoque" xfId="13892"/>
    <cellStyle name="s_Valuation _DB Dados do Mercado_Açúcar Físico não embarcado - Nov08 - Conferido_relatorio_Opção Vendidas sugar#11" xfId="13893"/>
    <cellStyle name="s_Valuation _DB Dados do Mercado_Açúcar Físico não embarcado - Nov08 - Conferido_relatorio_Opção Vendidas sugar#11 2" xfId="13894"/>
    <cellStyle name="s_Valuation _DB Dados do Mercado_Açúcar Físico não embarcado - Nov08 - Conferido_relatorio_Opção Vendidas sugar#11 2_15-FINANCEIRAS" xfId="13895"/>
    <cellStyle name="s_Valuation _DB Dados do Mercado_Açúcar Físico não embarcado - Nov08 - Conferido_relatorio_Opção Vendidas sugar#11_15-FINANCEIRAS" xfId="13896"/>
    <cellStyle name="s_Valuation _DB Dados do Mercado_Açúcar Físico não embarcado - Nov08 - Conferido_relatorio_Opção Vendidas sugar#11_15-FINANCEIRAS_1" xfId="13897"/>
    <cellStyle name="s_Valuation _DB Dados do Mercado_Açúcar Físico não embarcado - Nov08 - Conferido_relatorio_Opção Vendidas sugar#11_3-Balanço" xfId="13898"/>
    <cellStyle name="s_Valuation _DB Dados do Mercado_Açúcar Físico não embarcado - Nov08 - Conferido_relatorio_Opção Vendidas sugar#11_7-Estoque" xfId="13899"/>
    <cellStyle name="s_Valuation _DB Dados do Mercado_Açúcar Físico não embarcado - Nov08 - Conferido_relatorio_Opção Vendidas sugar#11_Relatório Gerencial" xfId="13900"/>
    <cellStyle name="s_Valuation _DB Dados do Mercado_Açúcar Físico não embarcado - Nov08 - Conferido_relatorio_Opção Vendidas sugar#11_Relatório Gerencial 2" xfId="13901"/>
    <cellStyle name="s_Valuation _DB Dados do Mercado_Açúcar Físico não embarcado - Nov08 - Conferido_relatorio_Opção Vendidas sugar#11_Relatório Gerencial 2_15-FINANCEIRAS" xfId="13902"/>
    <cellStyle name="s_Valuation _DB Dados do Mercado_Açúcar Físico não embarcado - Nov08 - Conferido_relatorio_Opção Vendidas sugar#11_Relatório Gerencial_15-FINANCEIRAS" xfId="13903"/>
    <cellStyle name="s_Valuation _DB Dados do Mercado_Açúcar Físico não embarcado - Nov08 - Conferido_relatorio_Opção Vendidas sugar#11_Relatório Gerencial_15-FINANCEIRAS_1" xfId="13904"/>
    <cellStyle name="s_Valuation _DB Dados do Mercado_Açúcar Físico não embarcado - Nov08 - Conferido_relatorio_Opção Vendidas sugar#11_Relatório Gerencial_3-Balanço" xfId="13905"/>
    <cellStyle name="s_Valuation _DB Dados do Mercado_Açúcar Físico não embarcado - Nov08 - Conferido_relatorio_Opção Vendidas sugar#11_Relatório Gerencial_7-Estoque" xfId="13906"/>
    <cellStyle name="s_Valuation _DB Dados do Mercado_Açúcar Físico não embarcado - Nov08 - Conferido_relatorio_Opção Vendidas sugar#11_Relatório Gerencial_DB Entrada" xfId="13907"/>
    <cellStyle name="s_Valuation _DB Dados do Mercado_Açúcar Físico não embarcado - Nov08 - Conferido_relatorio_Opção Vendidas sugar#11_Relatório Gerencial_DB Entrada 2" xfId="13908"/>
    <cellStyle name="s_Valuation _DB Dados do Mercado_Açúcar Físico não embarcado - Nov08 - Conferido_relatorio_Opção Vendidas sugar#11_Relatório Gerencial_DB Entrada 2_15-FINANCEIRAS" xfId="13909"/>
    <cellStyle name="s_Valuation _DB Dados do Mercado_Açúcar Físico não embarcado - Nov08 - Conferido_relatorio_Opção Vendidas sugar#11_Relatório Gerencial_DB Entrada_15-FINANCEIRAS" xfId="13910"/>
    <cellStyle name="s_Valuation _DB Dados do Mercado_Açúcar Físico não embarcado - Nov08 - Conferido_relatorio_Opção Vendidas sugar#11_Relatório Gerencial_DB Entrada_15-FINANCEIRAS_1" xfId="13911"/>
    <cellStyle name="s_Valuation _DB Dados do Mercado_Açúcar Físico não embarcado - Nov08 - Conferido_relatorio_Opção Vendidas sugar#11_Relatório Gerencial_DB Entrada_3-Balanço" xfId="13912"/>
    <cellStyle name="s_Valuation _DB Dados do Mercado_Açúcar Físico não embarcado - Nov08 - Conferido_relatorio_Opção Vendidas sugar#11_Relatório Gerencial_DB Entrada_7-Estoque" xfId="13913"/>
    <cellStyle name="s_Valuation _DB Dados do Mercado_Açúcar Físico não embarcado - Nov08 - Conferido_relatorio_PTX" xfId="13914"/>
    <cellStyle name="s_Valuation _DB Dados do Mercado_Açúcar Físico não embarcado - Nov08 - Conferido_relatorio_PTX 2" xfId="13915"/>
    <cellStyle name="s_Valuation _DB Dados do Mercado_Açúcar Físico não embarcado - Nov08 - Conferido_relatorio_PTX 2_15-FINANCEIRAS" xfId="13916"/>
    <cellStyle name="s_Valuation _DB Dados do Mercado_Açúcar Físico não embarcado - Nov08 - Conferido_relatorio_PTX_15-FINANCEIRAS" xfId="13917"/>
    <cellStyle name="s_Valuation _DB Dados do Mercado_Açúcar Físico não embarcado - Nov08 - Conferido_relatorio_PTX_15-FINANCEIRAS_1" xfId="13918"/>
    <cellStyle name="s_Valuation _DB Dados do Mercado_Açúcar Físico não embarcado - Nov08 - Conferido_relatorio_PTX_3-Balanço" xfId="13919"/>
    <cellStyle name="s_Valuation _DB Dados do Mercado_Açúcar Físico não embarcado - Nov08 - Conferido_relatorio_PTX_7-Estoque" xfId="13920"/>
    <cellStyle name="s_Valuation _DB Dados do Mercado_Açúcar Físico não embarcado - Nov08 - Conferido_relatorio_PTX_Relatório Gerencial" xfId="13921"/>
    <cellStyle name="s_Valuation _DB Dados do Mercado_Açúcar Físico não embarcado - Nov08 - Conferido_relatorio_PTX_Relatório Gerencial 2" xfId="13922"/>
    <cellStyle name="s_Valuation _DB Dados do Mercado_Açúcar Físico não embarcado - Nov08 - Conferido_relatorio_PTX_Relatório Gerencial 2_15-FINANCEIRAS" xfId="13923"/>
    <cellStyle name="s_Valuation _DB Dados do Mercado_Açúcar Físico não embarcado - Nov08 - Conferido_relatorio_PTX_Relatório Gerencial_15-FINANCEIRAS" xfId="13924"/>
    <cellStyle name="s_Valuation _DB Dados do Mercado_Açúcar Físico não embarcado - Nov08 - Conferido_relatorio_PTX_Relatório Gerencial_15-FINANCEIRAS_1" xfId="13925"/>
    <cellStyle name="s_Valuation _DB Dados do Mercado_Açúcar Físico não embarcado - Nov08 - Conferido_relatorio_PTX_Relatório Gerencial_3-Balanço" xfId="13926"/>
    <cellStyle name="s_Valuation _DB Dados do Mercado_Açúcar Físico não embarcado - Nov08 - Conferido_relatorio_PTX_Relatório Gerencial_7-Estoque" xfId="13927"/>
    <cellStyle name="s_Valuation _DB Dados do Mercado_Açúcar Físico não embarcado - Nov08 - Conferido_relatorio_PTX_Relatório Gerencial_DB Entrada" xfId="13928"/>
    <cellStyle name="s_Valuation _DB Dados do Mercado_Açúcar Físico não embarcado - Nov08 - Conferido_relatorio_PTX_Relatório Gerencial_DB Entrada 2" xfId="13929"/>
    <cellStyle name="s_Valuation _DB Dados do Mercado_Açúcar Físico não embarcado - Nov08 - Conferido_relatorio_PTX_Relatório Gerencial_DB Entrada 2_15-FINANCEIRAS" xfId="13930"/>
    <cellStyle name="s_Valuation _DB Dados do Mercado_Açúcar Físico não embarcado - Nov08 - Conferido_relatorio_PTX_Relatório Gerencial_DB Entrada_15-FINANCEIRAS" xfId="13931"/>
    <cellStyle name="s_Valuation _DB Dados do Mercado_Açúcar Físico não embarcado - Nov08 - Conferido_relatorio_PTX_Relatório Gerencial_DB Entrada_15-FINANCEIRAS_1" xfId="13932"/>
    <cellStyle name="s_Valuation _DB Dados do Mercado_Açúcar Físico não embarcado - Nov08 - Conferido_relatorio_PTX_Relatório Gerencial_DB Entrada_3-Balanço" xfId="13933"/>
    <cellStyle name="s_Valuation _DB Dados do Mercado_Açúcar Físico não embarcado - Nov08 - Conferido_relatorio_PTX_Relatório Gerencial_DB Entrada_7-Estoque" xfId="13934"/>
    <cellStyle name="s_Valuation _DB Dados do Mercado_Açúcar Físico não embarcado - Nov08 - Conferido_relatorio_relatorio" xfId="13935"/>
    <cellStyle name="s_Valuation _DB Dados do Mercado_Açúcar Físico não embarcado - Nov08 - Conferido_relatorio_relatorio 2" xfId="13936"/>
    <cellStyle name="s_Valuation _DB Dados do Mercado_Açúcar Físico não embarcado - Nov08 - Conferido_relatorio_relatorio 2_15-FINANCEIRAS" xfId="13937"/>
    <cellStyle name="s_Valuation _DB Dados do Mercado_Açúcar Físico não embarcado - Nov08 - Conferido_relatorio_Relatório de Commodities" xfId="13938"/>
    <cellStyle name="s_Valuation _DB Dados do Mercado_Açúcar Físico não embarcado - Nov08 - Conferido_relatorio_Relatório de Commodities 2" xfId="13939"/>
    <cellStyle name="s_Valuation _DB Dados do Mercado_Açúcar Físico não embarcado - Nov08 - Conferido_relatorio_Relatório de Commodities 2_15-FINANCEIRAS" xfId="13940"/>
    <cellStyle name="s_Valuation _DB Dados do Mercado_Açúcar Físico não embarcado - Nov08 - Conferido_relatorio_Relatório de Commodities_15-FINANCEIRAS" xfId="13941"/>
    <cellStyle name="s_Valuation _DB Dados do Mercado_Açúcar Físico não embarcado - Nov08 - Conferido_relatorio_Relatório de Commodities_15-FINANCEIRAS_1" xfId="13942"/>
    <cellStyle name="s_Valuation _DB Dados do Mercado_Açúcar Físico não embarcado - Nov08 - Conferido_relatorio_Relatório de Commodities_3-Balanço" xfId="13943"/>
    <cellStyle name="s_Valuation _DB Dados do Mercado_Açúcar Físico não embarcado - Nov08 - Conferido_relatorio_Relatório de Commodities_7-Estoque" xfId="13944"/>
    <cellStyle name="s_Valuation _DB Dados do Mercado_Açúcar Físico não embarcado - Nov08 - Conferido_relatorio_Relatório de Commodities_Relatório Gerencial" xfId="13945"/>
    <cellStyle name="s_Valuation _DB Dados do Mercado_Açúcar Físico não embarcado - Nov08 - Conferido_relatorio_Relatório de Commodities_Relatório Gerencial 2" xfId="13946"/>
    <cellStyle name="s_Valuation _DB Dados do Mercado_Açúcar Físico não embarcado - Nov08 - Conferido_relatorio_Relatório de Commodities_Relatório Gerencial 2_15-FINANCEIRAS" xfId="13947"/>
    <cellStyle name="s_Valuation _DB Dados do Mercado_Açúcar Físico não embarcado - Nov08 - Conferido_relatorio_Relatório de Commodities_Relatório Gerencial_15-FINANCEIRAS" xfId="13948"/>
    <cellStyle name="s_Valuation _DB Dados do Mercado_Açúcar Físico não embarcado - Nov08 - Conferido_relatorio_Relatório de Commodities_Relatório Gerencial_15-FINANCEIRAS_1" xfId="13949"/>
    <cellStyle name="s_Valuation _DB Dados do Mercado_Açúcar Físico não embarcado - Nov08 - Conferido_relatorio_Relatório de Commodities_Relatório Gerencial_3-Balanço" xfId="13950"/>
    <cellStyle name="s_Valuation _DB Dados do Mercado_Açúcar Físico não embarcado - Nov08 - Conferido_relatorio_Relatório de Commodities_Relatório Gerencial_7-Estoque" xfId="13951"/>
    <cellStyle name="s_Valuation _DB Dados do Mercado_Açúcar Físico não embarcado - Nov08 - Conferido_relatorio_Relatório de Commodities_Relatório Gerencial_DB Entrada" xfId="13952"/>
    <cellStyle name="s_Valuation _DB Dados do Mercado_Açúcar Físico não embarcado - Nov08 - Conferido_relatorio_Relatório de Commodities_Relatório Gerencial_DB Entrada 2" xfId="13953"/>
    <cellStyle name="s_Valuation _DB Dados do Mercado_Açúcar Físico não embarcado - Nov08 - Conferido_relatorio_Relatório de Commodities_Relatório Gerencial_DB Entrada 2_15-FINANCEIRAS" xfId="13954"/>
    <cellStyle name="s_Valuation _DB Dados do Mercado_Açúcar Físico não embarcado - Nov08 - Conferido_relatorio_Relatório de Commodities_Relatório Gerencial_DB Entrada_15-FINANCEIRAS" xfId="13955"/>
    <cellStyle name="s_Valuation _DB Dados do Mercado_Açúcar Físico não embarcado - Nov08 - Conferido_relatorio_Relatório de Commodities_Relatório Gerencial_DB Entrada_15-FINANCEIRAS_1" xfId="13956"/>
    <cellStyle name="s_Valuation _DB Dados do Mercado_Açúcar Físico não embarcado - Nov08 - Conferido_relatorio_Relatório de Commodities_Relatório Gerencial_DB Entrada_3-Balanço" xfId="13957"/>
    <cellStyle name="s_Valuation _DB Dados do Mercado_Açúcar Físico não embarcado - Nov08 - Conferido_relatorio_Relatório de Commodities_Relatório Gerencial_DB Entrada_7-Estoque" xfId="13958"/>
    <cellStyle name="s_Valuation _DB Dados do Mercado_Açúcar Físico não embarcado - Nov08 - Conferido_relatorio_Relatório Diário" xfId="13959"/>
    <cellStyle name="s_Valuation _DB Dados do Mercado_Açúcar Físico não embarcado - Nov08 - Conferido_relatorio_Relatório Diário - 02 Dezembro 09" xfId="13960"/>
    <cellStyle name="s_Valuation _DB Dados do Mercado_Açúcar Físico não embarcado - Nov08 - Conferido_relatorio_Relatório Diário - 02 Dezembro 09 2" xfId="13961"/>
    <cellStyle name="s_Valuation _DB Dados do Mercado_Açúcar Físico não embarcado - Nov08 - Conferido_relatorio_Relatório Diário - 02 Dezembro 09 2_15-FINANCEIRAS" xfId="13962"/>
    <cellStyle name="s_Valuation _DB Dados do Mercado_Açúcar Físico não embarcado - Nov08 - Conferido_relatorio_Relatório Diário - 02 Dezembro 09_15-FINANCEIRAS" xfId="13963"/>
    <cellStyle name="s_Valuation _DB Dados do Mercado_Açúcar Físico não embarcado - Nov08 - Conferido_relatorio_Relatório Diário - 02 Dezembro 09_15-FINANCEIRAS_1" xfId="13964"/>
    <cellStyle name="s_Valuation _DB Dados do Mercado_Açúcar Físico não embarcado - Nov08 - Conferido_relatorio_Relatório Diário - 02 Dezembro 09_3-Balanço" xfId="13965"/>
    <cellStyle name="s_Valuation _DB Dados do Mercado_Açúcar Físico não embarcado - Nov08 - Conferido_relatorio_Relatório Diário - 02 Dezembro 09_7-Estoque" xfId="13966"/>
    <cellStyle name="s_Valuation _DB Dados do Mercado_Açúcar Físico não embarcado - Nov08 - Conferido_relatorio_Relatório Diário - 02 Dezembro 09_Relatório Gerencial" xfId="13967"/>
    <cellStyle name="s_Valuation _DB Dados do Mercado_Açúcar Físico não embarcado - Nov08 - Conferido_relatorio_Relatório Diário - 02 Dezembro 09_Relatório Gerencial 2" xfId="13968"/>
    <cellStyle name="s_Valuation _DB Dados do Mercado_Açúcar Físico não embarcado - Nov08 - Conferido_relatorio_Relatório Diário - 02 Dezembro 09_Relatório Gerencial 2_15-FINANCEIRAS" xfId="13969"/>
    <cellStyle name="s_Valuation _DB Dados do Mercado_Açúcar Físico não embarcado - Nov08 - Conferido_relatorio_Relatório Diário - 02 Dezembro 09_Relatório Gerencial_15-FINANCEIRAS" xfId="13970"/>
    <cellStyle name="s_Valuation _DB Dados do Mercado_Açúcar Físico não embarcado - Nov08 - Conferido_relatorio_Relatório Diário - 02 Dezembro 09_Relatório Gerencial_15-FINANCEIRAS_1" xfId="13971"/>
    <cellStyle name="s_Valuation _DB Dados do Mercado_Açúcar Físico não embarcado - Nov08 - Conferido_relatorio_Relatório Diário - 02 Dezembro 09_Relatório Gerencial_3-Balanço" xfId="13972"/>
    <cellStyle name="s_Valuation _DB Dados do Mercado_Açúcar Físico não embarcado - Nov08 - Conferido_relatorio_Relatório Diário - 02 Dezembro 09_Relatório Gerencial_7-Estoque" xfId="13973"/>
    <cellStyle name="s_Valuation _DB Dados do Mercado_Açúcar Físico não embarcado - Nov08 - Conferido_relatorio_Relatório Diário - 02 Dezembro 09_Relatório Gerencial_DB Entrada" xfId="13974"/>
    <cellStyle name="s_Valuation _DB Dados do Mercado_Açúcar Físico não embarcado - Nov08 - Conferido_relatorio_Relatório Diário - 02 Dezembro 09_Relatório Gerencial_DB Entrada 2" xfId="13975"/>
    <cellStyle name="s_Valuation _DB Dados do Mercado_Açúcar Físico não embarcado - Nov08 - Conferido_relatorio_Relatório Diário - 02 Dezembro 09_Relatório Gerencial_DB Entrada 2_15-FINANCEIRAS" xfId="13976"/>
    <cellStyle name="s_Valuation _DB Dados do Mercado_Açúcar Físico não embarcado - Nov08 - Conferido_relatorio_Relatório Diário - 02 Dezembro 09_Relatório Gerencial_DB Entrada_15-FINANCEIRAS" xfId="13977"/>
    <cellStyle name="s_Valuation _DB Dados do Mercado_Açúcar Físico não embarcado - Nov08 - Conferido_relatorio_Relatório Diário - 02 Dezembro 09_Relatório Gerencial_DB Entrada_15-FINANCEIRAS_1" xfId="13978"/>
    <cellStyle name="s_Valuation _DB Dados do Mercado_Açúcar Físico não embarcado - Nov08 - Conferido_relatorio_Relatório Diário - 02 Dezembro 09_Relatório Gerencial_DB Entrada_3-Balanço" xfId="13979"/>
    <cellStyle name="s_Valuation _DB Dados do Mercado_Açúcar Físico não embarcado - Nov08 - Conferido_relatorio_Relatório Diário - 02 Dezembro 09_Relatório Gerencial_DB Entrada_7-Estoque" xfId="13980"/>
    <cellStyle name="s_Valuation _DB Dados do Mercado_Açúcar Físico não embarcado - Nov08 - Conferido_relatorio_Relatório Diário - Cezário 08Jan" xfId="13981"/>
    <cellStyle name="s_Valuation _DB Dados do Mercado_Açúcar Físico não embarcado - Nov08 - Conferido_relatorio_Relatório Diário - Cezário 08Jan 2" xfId="13982"/>
    <cellStyle name="s_Valuation _DB Dados do Mercado_Açúcar Físico não embarcado - Nov08 - Conferido_relatorio_Relatório Diário - Cezário 08Jan 2_15-FINANCEIRAS" xfId="13983"/>
    <cellStyle name="s_Valuation _DB Dados do Mercado_Açúcar Físico não embarcado - Nov08 - Conferido_relatorio_Relatório Diário - Cezário 08Jan_15-FINANCEIRAS" xfId="13984"/>
    <cellStyle name="s_Valuation _DB Dados do Mercado_Açúcar Físico não embarcado - Nov08 - Conferido_relatorio_Relatório Diário - Cezário 08Jan_15-FINANCEIRAS_1" xfId="13985"/>
    <cellStyle name="s_Valuation _DB Dados do Mercado_Açúcar Físico não embarcado - Nov08 - Conferido_relatorio_Relatório Diário - Cezário 08Jan_3-Balanço" xfId="13986"/>
    <cellStyle name="s_Valuation _DB Dados do Mercado_Açúcar Físico não embarcado - Nov08 - Conferido_relatorio_Relatório Diário - Cezário 08Jan_7-Estoque" xfId="13987"/>
    <cellStyle name="s_Valuation _DB Dados do Mercado_Açúcar Físico não embarcado - Nov08 - Conferido_relatorio_Relatório Diário - Cezário 08Jan_Relatório Gerencial" xfId="13988"/>
    <cellStyle name="s_Valuation _DB Dados do Mercado_Açúcar Físico não embarcado - Nov08 - Conferido_relatorio_Relatório Diário - Cezário 08Jan_Relatório Gerencial 2" xfId="13989"/>
    <cellStyle name="s_Valuation _DB Dados do Mercado_Açúcar Físico não embarcado - Nov08 - Conferido_relatorio_Relatório Diário - Cezário 08Jan_Relatório Gerencial 2_15-FINANCEIRAS" xfId="13990"/>
    <cellStyle name="s_Valuation _DB Dados do Mercado_Açúcar Físico não embarcado - Nov08 - Conferido_relatorio_Relatório Diário - Cezário 08Jan_Relatório Gerencial_15-FINANCEIRAS" xfId="13991"/>
    <cellStyle name="s_Valuation _DB Dados do Mercado_Açúcar Físico não embarcado - Nov08 - Conferido_relatorio_Relatório Diário - Cezário 08Jan_Relatório Gerencial_15-FINANCEIRAS_1" xfId="13992"/>
    <cellStyle name="s_Valuation _DB Dados do Mercado_Açúcar Físico não embarcado - Nov08 - Conferido_relatorio_Relatório Diário - Cezário 08Jan_Relatório Gerencial_3-Balanço" xfId="13993"/>
    <cellStyle name="s_Valuation _DB Dados do Mercado_Açúcar Físico não embarcado - Nov08 - Conferido_relatorio_Relatório Diário - Cezário 08Jan_Relatório Gerencial_7-Estoque" xfId="13994"/>
    <cellStyle name="s_Valuation _DB Dados do Mercado_Açúcar Físico não embarcado - Nov08 - Conferido_relatorio_Relatório Diário - Cezário 08Jan_Relatório Gerencial_DB Entrada" xfId="13995"/>
    <cellStyle name="s_Valuation _DB Dados do Mercado_Açúcar Físico não embarcado - Nov08 - Conferido_relatorio_Relatório Diário - Cezário 08Jan_Relatório Gerencial_DB Entrada 2" xfId="13996"/>
    <cellStyle name="s_Valuation _DB Dados do Mercado_Açúcar Físico não embarcado - Nov08 - Conferido_relatorio_Relatório Diário - Cezário 08Jan_Relatório Gerencial_DB Entrada 2_15-FINANCEIRAS" xfId="13997"/>
    <cellStyle name="s_Valuation _DB Dados do Mercado_Açúcar Físico não embarcado - Nov08 - Conferido_relatorio_Relatório Diário - Cezário 08Jan_Relatório Gerencial_DB Entrada_15-FINANCEIRAS" xfId="13998"/>
    <cellStyle name="s_Valuation _DB Dados do Mercado_Açúcar Físico não embarcado - Nov08 - Conferido_relatorio_Relatório Diário - Cezário 08Jan_Relatório Gerencial_DB Entrada_15-FINANCEIRAS_1" xfId="13999"/>
    <cellStyle name="s_Valuation _DB Dados do Mercado_Açúcar Físico não embarcado - Nov08 - Conferido_relatorio_Relatório Diário - Cezário 08Jan_Relatório Gerencial_DB Entrada_3-Balanço" xfId="14000"/>
    <cellStyle name="s_Valuation _DB Dados do Mercado_Açúcar Físico não embarcado - Nov08 - Conferido_relatorio_Relatório Diário - Cezário 08Jan_Relatório Gerencial_DB Entrada_7-Estoque" xfId="14001"/>
    <cellStyle name="s_Valuation _DB Dados do Mercado_Açúcar Físico não embarcado - Nov08 - Conferido_relatorio_Relatório Diário 2" xfId="14002"/>
    <cellStyle name="s_Valuation _DB Dados do Mercado_Açúcar Físico não embarcado - Nov08 - Conferido_relatorio_Relatório Diário 2_15-FINANCEIRAS" xfId="14003"/>
    <cellStyle name="s_Valuation _DB Dados do Mercado_Açúcar Físico não embarcado - Nov08 - Conferido_relatorio_Relatório Diário 3" xfId="14004"/>
    <cellStyle name="s_Valuation _DB Dados do Mercado_Açúcar Físico não embarcado - Nov08 - Conferido_relatorio_Relatório Diário 3_15-FINANCEIRAS" xfId="14005"/>
    <cellStyle name="s_Valuation _DB Dados do Mercado_Açúcar Físico não embarcado - Nov08 - Conferido_relatorio_Relatório Diário 4" xfId="14006"/>
    <cellStyle name="s_Valuation _DB Dados do Mercado_Açúcar Físico não embarcado - Nov08 - Conferido_relatorio_Relatório Diário 4_15-FINANCEIRAS" xfId="14007"/>
    <cellStyle name="s_Valuation _DB Dados do Mercado_Açúcar Físico não embarcado - Nov08 - Conferido_relatorio_Relatório Diário_15-FINANCEIRAS" xfId="14008"/>
    <cellStyle name="s_Valuation _DB Dados do Mercado_Açúcar Físico não embarcado - Nov08 - Conferido_relatorio_Relatório Diário_15-FINANCEIRAS_1" xfId="14009"/>
    <cellStyle name="s_Valuation _DB Dados do Mercado_Açúcar Físico não embarcado - Nov08 - Conferido_relatorio_Relatório Diário_3-Balanço" xfId="14010"/>
    <cellStyle name="s_Valuation _DB Dados do Mercado_Açúcar Físico não embarcado - Nov08 - Conferido_relatorio_Relatório Diário_7-Estoque" xfId="14011"/>
    <cellStyle name="s_Valuation _DB Dados do Mercado_Açúcar Físico não embarcado - Nov08 - Conferido_relatorio_Relatório Diário_Relatório Gerencial" xfId="14012"/>
    <cellStyle name="s_Valuation _DB Dados do Mercado_Açúcar Físico não embarcado - Nov08 - Conferido_relatorio_Relatório Diário_Relatório Gerencial 2" xfId="14013"/>
    <cellStyle name="s_Valuation _DB Dados do Mercado_Açúcar Físico não embarcado - Nov08 - Conferido_relatorio_Relatório Diário_Relatório Gerencial 2_15-FINANCEIRAS" xfId="14014"/>
    <cellStyle name="s_Valuation _DB Dados do Mercado_Açúcar Físico não embarcado - Nov08 - Conferido_relatorio_Relatório Diário_Relatório Gerencial_15-FINANCEIRAS" xfId="14015"/>
    <cellStyle name="s_Valuation _DB Dados do Mercado_Açúcar Físico não embarcado - Nov08 - Conferido_relatorio_Relatório Diário_Relatório Gerencial_15-FINANCEIRAS_1" xfId="14016"/>
    <cellStyle name="s_Valuation _DB Dados do Mercado_Açúcar Físico não embarcado - Nov08 - Conferido_relatorio_Relatório Diário_Relatório Gerencial_3-Balanço" xfId="14017"/>
    <cellStyle name="s_Valuation _DB Dados do Mercado_Açúcar Físico não embarcado - Nov08 - Conferido_relatorio_Relatório Diário_Relatório Gerencial_7-Estoque" xfId="14018"/>
    <cellStyle name="s_Valuation _DB Dados do Mercado_Açúcar Físico não embarcado - Nov08 - Conferido_relatorio_Relatório Diário_Relatório Gerencial_DB Entrada" xfId="14019"/>
    <cellStyle name="s_Valuation _DB Dados do Mercado_Açúcar Físico não embarcado - Nov08 - Conferido_relatorio_Relatório Diário_Relatório Gerencial_DB Entrada 2" xfId="14020"/>
    <cellStyle name="s_Valuation _DB Dados do Mercado_Açúcar Físico não embarcado - Nov08 - Conferido_relatorio_Relatório Diário_Relatório Gerencial_DB Entrada 2_15-FINANCEIRAS" xfId="14021"/>
    <cellStyle name="s_Valuation _DB Dados do Mercado_Açúcar Físico não embarcado - Nov08 - Conferido_relatorio_Relatório Diário_Relatório Gerencial_DB Entrada_15-FINANCEIRAS" xfId="14022"/>
    <cellStyle name="s_Valuation _DB Dados do Mercado_Açúcar Físico não embarcado - Nov08 - Conferido_relatorio_Relatório Diário_Relatório Gerencial_DB Entrada_15-FINANCEIRAS_1" xfId="14023"/>
    <cellStyle name="s_Valuation _DB Dados do Mercado_Açúcar Físico não embarcado - Nov08 - Conferido_relatorio_Relatório Diário_Relatório Gerencial_DB Entrada_3-Balanço" xfId="14024"/>
    <cellStyle name="s_Valuation _DB Dados do Mercado_Açúcar Físico não embarcado - Nov08 - Conferido_relatorio_Relatório Diário_Relatório Gerencial_DB Entrada_7-Estoque" xfId="14025"/>
    <cellStyle name="s_Valuation _DB Dados do Mercado_Açúcar Físico não embarcado - Nov08 - Conferido_relatorio_Relatório Fechamento" xfId="14026"/>
    <cellStyle name="s_Valuation _DB Dados do Mercado_Açúcar Físico não embarcado - Nov08 - Conferido_relatorio_Relatório Fechamento 2" xfId="14027"/>
    <cellStyle name="s_Valuation _DB Dados do Mercado_Açúcar Físico não embarcado - Nov08 - Conferido_relatorio_Relatório Fechamento 2_15-FINANCEIRAS" xfId="14028"/>
    <cellStyle name="s_Valuation _DB Dados do Mercado_Açúcar Físico não embarcado - Nov08 - Conferido_relatorio_Relatório Fechamento_15-FINANCEIRAS" xfId="14029"/>
    <cellStyle name="s_Valuation _DB Dados do Mercado_Açúcar Físico não embarcado - Nov08 - Conferido_relatorio_Relatório Fechamento_15-FINANCEIRAS_1" xfId="14030"/>
    <cellStyle name="s_Valuation _DB Dados do Mercado_Açúcar Físico não embarcado - Nov08 - Conferido_relatorio_Relatório Fechamento_3-Balanço" xfId="14031"/>
    <cellStyle name="s_Valuation _DB Dados do Mercado_Açúcar Físico não embarcado - Nov08 - Conferido_relatorio_Relatório Fechamento_7-Estoque" xfId="14032"/>
    <cellStyle name="s_Valuation _DB Dados do Mercado_Açúcar Físico não embarcado - Nov08 - Conferido_relatorio_Relatório Fechamento_Relatório Gerencial" xfId="14033"/>
    <cellStyle name="s_Valuation _DB Dados do Mercado_Açúcar Físico não embarcado - Nov08 - Conferido_relatorio_Relatório Fechamento_Relatório Gerencial 2" xfId="14034"/>
    <cellStyle name="s_Valuation _DB Dados do Mercado_Açúcar Físico não embarcado - Nov08 - Conferido_relatorio_Relatório Fechamento_Relatório Gerencial 2_15-FINANCEIRAS" xfId="14035"/>
    <cellStyle name="s_Valuation _DB Dados do Mercado_Açúcar Físico não embarcado - Nov08 - Conferido_relatorio_Relatório Fechamento_Relatório Gerencial_15-FINANCEIRAS" xfId="14036"/>
    <cellStyle name="s_Valuation _DB Dados do Mercado_Açúcar Físico não embarcado - Nov08 - Conferido_relatorio_Relatório Fechamento_Relatório Gerencial_15-FINANCEIRAS_1" xfId="14037"/>
    <cellStyle name="s_Valuation _DB Dados do Mercado_Açúcar Físico não embarcado - Nov08 - Conferido_relatorio_Relatório Fechamento_Relatório Gerencial_3-Balanço" xfId="14038"/>
    <cellStyle name="s_Valuation _DB Dados do Mercado_Açúcar Físico não embarcado - Nov08 - Conferido_relatorio_Relatório Fechamento_Relatório Gerencial_7-Estoque" xfId="14039"/>
    <cellStyle name="s_Valuation _DB Dados do Mercado_Açúcar Físico não embarcado - Nov08 - Conferido_relatorio_Relatório Fechamento_Relatório Gerencial_DB Entrada" xfId="14040"/>
    <cellStyle name="s_Valuation _DB Dados do Mercado_Açúcar Físico não embarcado - Nov08 - Conferido_relatorio_Relatório Fechamento_Relatório Gerencial_DB Entrada 2" xfId="14041"/>
    <cellStyle name="s_Valuation _DB Dados do Mercado_Açúcar Físico não embarcado - Nov08 - Conferido_relatorio_Relatório Fechamento_Relatório Gerencial_DB Entrada 2_15-FINANCEIRAS" xfId="14042"/>
    <cellStyle name="s_Valuation _DB Dados do Mercado_Açúcar Físico não embarcado - Nov08 - Conferido_relatorio_Relatório Fechamento_Relatório Gerencial_DB Entrada_15-FINANCEIRAS" xfId="14043"/>
    <cellStyle name="s_Valuation _DB Dados do Mercado_Açúcar Físico não embarcado - Nov08 - Conferido_relatorio_Relatório Fechamento_Relatório Gerencial_DB Entrada_15-FINANCEIRAS_1" xfId="14044"/>
    <cellStyle name="s_Valuation _DB Dados do Mercado_Açúcar Físico não embarcado - Nov08 - Conferido_relatorio_Relatório Fechamento_Relatório Gerencial_DB Entrada_3-Balanço" xfId="14045"/>
    <cellStyle name="s_Valuation _DB Dados do Mercado_Açúcar Físico não embarcado - Nov08 - Conferido_relatorio_Relatório Fechamento_Relatório Gerencial_DB Entrada_7-Estoque" xfId="14046"/>
    <cellStyle name="s_Valuation _DB Dados do Mercado_Açúcar Físico não embarcado - Nov08 - Conferido_relatorio_Relatório Gerencial" xfId="14047"/>
    <cellStyle name="s_Valuation _DB Dados do Mercado_Açúcar Físico não embarcado - Nov08 - Conferido_relatorio_Relatório Gerencial 2" xfId="14048"/>
    <cellStyle name="s_Valuation _DB Dados do Mercado_Açúcar Físico não embarcado - Nov08 - Conferido_relatorio_Relatório Gerencial 2_15-FINANCEIRAS" xfId="14049"/>
    <cellStyle name="s_Valuation _DB Dados do Mercado_Açúcar Físico não embarcado - Nov08 - Conferido_relatorio_Relatório Gerencial_1" xfId="14050"/>
    <cellStyle name="s_Valuation _DB Dados do Mercado_Açúcar Físico não embarcado - Nov08 - Conferido_relatorio_Relatório Gerencial_1 2" xfId="14051"/>
    <cellStyle name="s_Valuation _DB Dados do Mercado_Açúcar Físico não embarcado - Nov08 - Conferido_relatorio_Relatório Gerencial_1 2_15-FINANCEIRAS" xfId="14052"/>
    <cellStyle name="s_Valuation _DB Dados do Mercado_Açúcar Físico não embarcado - Nov08 - Conferido_relatorio_Relatório Gerencial_1_15-FINANCEIRAS" xfId="14053"/>
    <cellStyle name="s_Valuation _DB Dados do Mercado_Açúcar Físico não embarcado - Nov08 - Conferido_relatorio_Relatório Gerencial_1_15-FINANCEIRAS_1" xfId="14054"/>
    <cellStyle name="s_Valuation _DB Dados do Mercado_Açúcar Físico não embarcado - Nov08 - Conferido_relatorio_Relatório Gerencial_1_3-Balanço" xfId="14055"/>
    <cellStyle name="s_Valuation _DB Dados do Mercado_Açúcar Físico não embarcado - Nov08 - Conferido_relatorio_Relatório Gerencial_1_7-Estoque" xfId="14056"/>
    <cellStyle name="s_Valuation _DB Dados do Mercado_Açúcar Físico não embarcado - Nov08 - Conferido_relatorio_Relatório Gerencial_1_DB Entrada" xfId="14057"/>
    <cellStyle name="s_Valuation _DB Dados do Mercado_Açúcar Físico não embarcado - Nov08 - Conferido_relatorio_Relatório Gerencial_1_DB Entrada 2" xfId="14058"/>
    <cellStyle name="s_Valuation _DB Dados do Mercado_Açúcar Físico não embarcado - Nov08 - Conferido_relatorio_Relatório Gerencial_1_DB Entrada 2_15-FINANCEIRAS" xfId="14059"/>
    <cellStyle name="s_Valuation _DB Dados do Mercado_Açúcar Físico não embarcado - Nov08 - Conferido_relatorio_Relatório Gerencial_1_DB Entrada_15-FINANCEIRAS" xfId="14060"/>
    <cellStyle name="s_Valuation _DB Dados do Mercado_Açúcar Físico não embarcado - Nov08 - Conferido_relatorio_Relatório Gerencial_1_DB Entrada_15-FINANCEIRAS_1" xfId="14061"/>
    <cellStyle name="s_Valuation _DB Dados do Mercado_Açúcar Físico não embarcado - Nov08 - Conferido_relatorio_Relatório Gerencial_1_DB Entrada_3-Balanço" xfId="14062"/>
    <cellStyle name="s_Valuation _DB Dados do Mercado_Açúcar Físico não embarcado - Nov08 - Conferido_relatorio_Relatório Gerencial_1_DB Entrada_7-Estoque" xfId="14063"/>
    <cellStyle name="s_Valuation _DB Dados do Mercado_Açúcar Físico não embarcado - Nov08 - Conferido_relatorio_Relatório Gerencial_15-FINANCEIRAS" xfId="14064"/>
    <cellStyle name="s_Valuation _DB Dados do Mercado_Açúcar Físico não embarcado - Nov08 - Conferido_relatorio_Relatório Gerencial_15-FINANCEIRAS_1" xfId="14065"/>
    <cellStyle name="s_Valuation _DB Dados do Mercado_Açúcar Físico não embarcado - Nov08 - Conferido_relatorio_Relatório Gerencial_3-Balanço" xfId="14066"/>
    <cellStyle name="s_Valuation _DB Dados do Mercado_Açúcar Físico não embarcado - Nov08 - Conferido_relatorio_Relatório Gerencial_7-Estoque" xfId="14067"/>
    <cellStyle name="s_Valuation _DB Dados do Mercado_Açúcar Físico não embarcado - Nov08 - Conferido_relatorio_Relatório Gerencial_Relatório Gerencial" xfId="14068"/>
    <cellStyle name="s_Valuation _DB Dados do Mercado_Açúcar Físico não embarcado - Nov08 - Conferido_relatorio_Relatório Gerencial_Relatório Gerencial 2" xfId="14069"/>
    <cellStyle name="s_Valuation _DB Dados do Mercado_Açúcar Físico não embarcado - Nov08 - Conferido_relatorio_Relatório Gerencial_Relatório Gerencial 2_15-FINANCEIRAS" xfId="14070"/>
    <cellStyle name="s_Valuation _DB Dados do Mercado_Açúcar Físico não embarcado - Nov08 - Conferido_relatorio_Relatório Gerencial_Relatório Gerencial_15-FINANCEIRAS" xfId="14071"/>
    <cellStyle name="s_Valuation _DB Dados do Mercado_Açúcar Físico não embarcado - Nov08 - Conferido_relatorio_Relatório Gerencial_Relatório Gerencial_15-FINANCEIRAS_1" xfId="14072"/>
    <cellStyle name="s_Valuation _DB Dados do Mercado_Açúcar Físico não embarcado - Nov08 - Conferido_relatorio_Relatório Gerencial_Relatório Gerencial_3-Balanço" xfId="14073"/>
    <cellStyle name="s_Valuation _DB Dados do Mercado_Açúcar Físico não embarcado - Nov08 - Conferido_relatorio_Relatório Gerencial_Relatório Gerencial_7-Estoque" xfId="14074"/>
    <cellStyle name="s_Valuation _DB Dados do Mercado_Açúcar Físico não embarcado - Nov08 - Conferido_relatorio_Relatório Gerencial_Relatório Gerencial_DB Entrada" xfId="14075"/>
    <cellStyle name="s_Valuation _DB Dados do Mercado_Açúcar Físico não embarcado - Nov08 - Conferido_relatorio_Relatório Gerencial_Relatório Gerencial_DB Entrada 2" xfId="14076"/>
    <cellStyle name="s_Valuation _DB Dados do Mercado_Açúcar Físico não embarcado - Nov08 - Conferido_relatorio_Relatório Gerencial_Relatório Gerencial_DB Entrada 2_15-FINANCEIRAS" xfId="14077"/>
    <cellStyle name="s_Valuation _DB Dados do Mercado_Açúcar Físico não embarcado - Nov08 - Conferido_relatorio_Relatório Gerencial_Relatório Gerencial_DB Entrada_15-FINANCEIRAS" xfId="14078"/>
    <cellStyle name="s_Valuation _DB Dados do Mercado_Açúcar Físico não embarcado - Nov08 - Conferido_relatorio_Relatório Gerencial_Relatório Gerencial_DB Entrada_15-FINANCEIRAS_1" xfId="14079"/>
    <cellStyle name="s_Valuation _DB Dados do Mercado_Açúcar Físico não embarcado - Nov08 - Conferido_relatorio_Relatório Gerencial_Relatório Gerencial_DB Entrada_3-Balanço" xfId="14080"/>
    <cellStyle name="s_Valuation _DB Dados do Mercado_Açúcar Físico não embarcado - Nov08 - Conferido_relatorio_Relatório Gerencial_Relatório Gerencial_DB Entrada_7-Estoque" xfId="14081"/>
    <cellStyle name="s_Valuation _DB Dados do Mercado_Açúcar Físico não embarcado - Nov08 - Conferido_relatorio_relatorio_15-FINANCEIRAS" xfId="14082"/>
    <cellStyle name="s_Valuation _DB Dados do Mercado_Açúcar Físico não embarcado - Nov08 - Conferido_relatorio_relatorio_15-FINANCEIRAS_1" xfId="14083"/>
    <cellStyle name="s_Valuation _DB Dados do Mercado_Açúcar Físico não embarcado - Nov08 - Conferido_relatorio_relatorio_3-Balanço" xfId="14084"/>
    <cellStyle name="s_Valuation _DB Dados do Mercado_Açúcar Físico não embarcado - Nov08 - Conferido_relatorio_relatorio_7-Estoque" xfId="14085"/>
    <cellStyle name="s_Valuation _DB Dados do Mercado_Açúcar Físico não embarcado - Nov08 - Conferido_relatorio_relatorio_Relatório Gerencial" xfId="14086"/>
    <cellStyle name="s_Valuation _DB Dados do Mercado_Açúcar Físico não embarcado - Nov08 - Conferido_relatorio_relatorio_Relatório Gerencial 2" xfId="14087"/>
    <cellStyle name="s_Valuation _DB Dados do Mercado_Açúcar Físico não embarcado - Nov08 - Conferido_relatorio_relatorio_Relatório Gerencial 2_15-FINANCEIRAS" xfId="14088"/>
    <cellStyle name="s_Valuation _DB Dados do Mercado_Açúcar Físico não embarcado - Nov08 - Conferido_relatorio_relatorio_Relatório Gerencial_15-FINANCEIRAS" xfId="14089"/>
    <cellStyle name="s_Valuation _DB Dados do Mercado_Açúcar Físico não embarcado - Nov08 - Conferido_relatorio_relatorio_Relatório Gerencial_15-FINANCEIRAS_1" xfId="14090"/>
    <cellStyle name="s_Valuation _DB Dados do Mercado_Açúcar Físico não embarcado - Nov08 - Conferido_relatorio_relatorio_Relatório Gerencial_3-Balanço" xfId="14091"/>
    <cellStyle name="s_Valuation _DB Dados do Mercado_Açúcar Físico não embarcado - Nov08 - Conferido_relatorio_relatorio_Relatório Gerencial_7-Estoque" xfId="14092"/>
    <cellStyle name="s_Valuation _DB Dados do Mercado_Açúcar Físico não embarcado - Nov08 - Conferido_relatorio_relatorio_Relatório Gerencial_DB Entrada" xfId="14093"/>
    <cellStyle name="s_Valuation _DB Dados do Mercado_Açúcar Físico não embarcado - Nov08 - Conferido_relatorio_relatorio_Relatório Gerencial_DB Entrada 2" xfId="14094"/>
    <cellStyle name="s_Valuation _DB Dados do Mercado_Açúcar Físico não embarcado - Nov08 - Conferido_relatorio_relatorio_Relatório Gerencial_DB Entrada 2_15-FINANCEIRAS" xfId="14095"/>
    <cellStyle name="s_Valuation _DB Dados do Mercado_Açúcar Físico não embarcado - Nov08 - Conferido_relatorio_relatorio_Relatório Gerencial_DB Entrada_15-FINANCEIRAS" xfId="14096"/>
    <cellStyle name="s_Valuation _DB Dados do Mercado_Açúcar Físico não embarcado - Nov08 - Conferido_relatorio_relatorio_Relatório Gerencial_DB Entrada_15-FINANCEIRAS_1" xfId="14097"/>
    <cellStyle name="s_Valuation _DB Dados do Mercado_Açúcar Físico não embarcado - Nov08 - Conferido_relatorio_relatorio_Relatório Gerencial_DB Entrada_3-Balanço" xfId="14098"/>
    <cellStyle name="s_Valuation _DB Dados do Mercado_Açúcar Físico não embarcado - Nov08 - Conferido_relatorio_relatorio_Relatório Gerencial_DB Entrada_7-Estoque" xfId="14099"/>
    <cellStyle name="s_Valuation _DB Dados do Mercado_Açúcar Físico não embarcado - Nov08 - Conferido_relatorio_segregado" xfId="14100"/>
    <cellStyle name="s_Valuation _DB Dados do Mercado_Açúcar Físico não embarcado - Nov08 - Conferido_relatorio_segregado 2" xfId="14101"/>
    <cellStyle name="s_Valuation _DB Dados do Mercado_Açúcar Físico não embarcado - Nov08 - Conferido_relatorio_segregado 2_15-FINANCEIRAS" xfId="14102"/>
    <cellStyle name="s_Valuation _DB Dados do Mercado_Açúcar Físico não embarcado - Nov08 - Conferido_relatorio_segregado_15-FINANCEIRAS" xfId="14103"/>
    <cellStyle name="s_Valuation _DB Dados do Mercado_Açúcar Físico não embarcado - Nov08 - Conferido_relatorio_segregado_15-FINANCEIRAS_1" xfId="14104"/>
    <cellStyle name="s_Valuation _DB Dados do Mercado_Açúcar Físico não embarcado - Nov08 - Conferido_relatorio_segregado_3-Balanço" xfId="14105"/>
    <cellStyle name="s_Valuation _DB Dados do Mercado_Açúcar Físico não embarcado - Nov08 - Conferido_relatorio_segregado_7-Estoque" xfId="14106"/>
    <cellStyle name="s_Valuation _DB Dados do Mercado_Açúcar Físico não embarcado - Nov08 - Conferido_relatorio_segregado_Relatório Gerencial" xfId="14107"/>
    <cellStyle name="s_Valuation _DB Dados do Mercado_Açúcar Físico não embarcado - Nov08 - Conferido_relatorio_segregado_Relatório Gerencial 2" xfId="14108"/>
    <cellStyle name="s_Valuation _DB Dados do Mercado_Açúcar Físico não embarcado - Nov08 - Conferido_relatorio_segregado_Relatório Gerencial 2_15-FINANCEIRAS" xfId="14109"/>
    <cellStyle name="s_Valuation _DB Dados do Mercado_Açúcar Físico não embarcado - Nov08 - Conferido_relatorio_segregado_Relatório Gerencial_15-FINANCEIRAS" xfId="14110"/>
    <cellStyle name="s_Valuation _DB Dados do Mercado_Açúcar Físico não embarcado - Nov08 - Conferido_relatorio_segregado_Relatório Gerencial_15-FINANCEIRAS_1" xfId="14111"/>
    <cellStyle name="s_Valuation _DB Dados do Mercado_Açúcar Físico não embarcado - Nov08 - Conferido_relatorio_segregado_Relatório Gerencial_3-Balanço" xfId="14112"/>
    <cellStyle name="s_Valuation _DB Dados do Mercado_Açúcar Físico não embarcado - Nov08 - Conferido_relatorio_segregado_Relatório Gerencial_7-Estoque" xfId="14113"/>
    <cellStyle name="s_Valuation _DB Dados do Mercado_Açúcar Físico não embarcado - Nov08 - Conferido_relatorio_segregado_Relatório Gerencial_DB Entrada" xfId="14114"/>
    <cellStyle name="s_Valuation _DB Dados do Mercado_Açúcar Físico não embarcado - Nov08 - Conferido_relatorio_segregado_Relatório Gerencial_DB Entrada 2" xfId="14115"/>
    <cellStyle name="s_Valuation _DB Dados do Mercado_Açúcar Físico não embarcado - Nov08 - Conferido_relatorio_segregado_Relatório Gerencial_DB Entrada 2_15-FINANCEIRAS" xfId="14116"/>
    <cellStyle name="s_Valuation _DB Dados do Mercado_Açúcar Físico não embarcado - Nov08 - Conferido_relatorio_segregado_Relatório Gerencial_DB Entrada_15-FINANCEIRAS" xfId="14117"/>
    <cellStyle name="s_Valuation _DB Dados do Mercado_Açúcar Físico não embarcado - Nov08 - Conferido_relatorio_segregado_Relatório Gerencial_DB Entrada_15-FINANCEIRAS_1" xfId="14118"/>
    <cellStyle name="s_Valuation _DB Dados do Mercado_Açúcar Físico não embarcado - Nov08 - Conferido_relatorio_segregado_Relatório Gerencial_DB Entrada_3-Balanço" xfId="14119"/>
    <cellStyle name="s_Valuation _DB Dados do Mercado_Açúcar Físico não embarcado - Nov08 - Conferido_relatorio_segregado_Relatório Gerencial_DB Entrada_7-Estoque" xfId="14120"/>
    <cellStyle name="s_Valuation _DB Dados do Mercado_Açúcar Físico não embarcado - Nov08 - Conferido_relatorio_Sistema Cosan backup 103 Retirada de relatorios" xfId="14121"/>
    <cellStyle name="s_Valuation _DB Dados do Mercado_Açúcar Físico não embarcado - Nov08 - Conferido_relatorio_Sistema Cosan backup 103 Retirada de relatorios 2" xfId="14122"/>
    <cellStyle name="s_Valuation _DB Dados do Mercado_Açúcar Físico não embarcado - Nov08 - Conferido_relatorio_Sistema Cosan backup 103 Retirada de relatorios 2_15-FINANCEIRAS" xfId="14123"/>
    <cellStyle name="s_Valuation _DB Dados do Mercado_Açúcar Físico não embarcado - Nov08 - Conferido_relatorio_Sistema Cosan backup 103 Retirada de relatorios_15-FINANCEIRAS" xfId="14124"/>
    <cellStyle name="s_Valuation _DB Dados do Mercado_Açúcar Físico não embarcado - Nov08 - Conferido_relatorio_Sistema Cosan backup 103 Retirada de relatorios_15-FINANCEIRAS_1" xfId="14125"/>
    <cellStyle name="s_Valuation _DB Dados do Mercado_Açúcar Físico não embarcado - Nov08 - Conferido_relatorio_Sistema Cosan backup 103 Retirada de relatorios_3-Balanço" xfId="14126"/>
    <cellStyle name="s_Valuation _DB Dados do Mercado_Açúcar Físico não embarcado - Nov08 - Conferido_relatorio_Sistema Cosan backup 103 Retirada de relatorios_7-Estoque" xfId="14127"/>
    <cellStyle name="s_Valuation _DB Dados do Mercado_Açúcar Físico não embarcado - Nov08 - Conferido_relatorio_Sugar #11" xfId="14128"/>
    <cellStyle name="s_Valuation _DB Dados do Mercado_Açúcar Físico não embarcado - Nov08 - Conferido_relatorio_Sugar #11 (2)" xfId="14129"/>
    <cellStyle name="s_Valuation _DB Dados do Mercado_Açúcar Físico não embarcado - Nov08 - Conferido_relatorio_Sugar #11 (2) 2" xfId="14130"/>
    <cellStyle name="s_Valuation _DB Dados do Mercado_Açúcar Físico não embarcado - Nov08 - Conferido_relatorio_Sugar #11 (2) 2_15-FINANCEIRAS" xfId="14131"/>
    <cellStyle name="s_Valuation _DB Dados do Mercado_Açúcar Físico não embarcado - Nov08 - Conferido_relatorio_Sugar #11 (2)_15-FINANCEIRAS" xfId="14132"/>
    <cellStyle name="s_Valuation _DB Dados do Mercado_Açúcar Físico não embarcado - Nov08 - Conferido_relatorio_Sugar #11 (2)_15-FINANCEIRAS_1" xfId="14133"/>
    <cellStyle name="s_Valuation _DB Dados do Mercado_Açúcar Físico não embarcado - Nov08 - Conferido_relatorio_Sugar #11 (2)_3-Balanço" xfId="14134"/>
    <cellStyle name="s_Valuation _DB Dados do Mercado_Açúcar Físico não embarcado - Nov08 - Conferido_relatorio_Sugar #11 (2)_7-Estoque" xfId="14135"/>
    <cellStyle name="s_Valuation _DB Dados do Mercado_Açúcar Físico não embarcado - Nov08 - Conferido_relatorio_Sugar #11 (2)_Relatório Gerencial" xfId="14136"/>
    <cellStyle name="s_Valuation _DB Dados do Mercado_Açúcar Físico não embarcado - Nov08 - Conferido_relatorio_Sugar #11 (2)_Relatório Gerencial 2" xfId="14137"/>
    <cellStyle name="s_Valuation _DB Dados do Mercado_Açúcar Físico não embarcado - Nov08 - Conferido_relatorio_Sugar #11 (2)_Relatório Gerencial 2_15-FINANCEIRAS" xfId="14138"/>
    <cellStyle name="s_Valuation _DB Dados do Mercado_Açúcar Físico não embarcado - Nov08 - Conferido_relatorio_Sugar #11 (2)_Relatório Gerencial_15-FINANCEIRAS" xfId="14139"/>
    <cellStyle name="s_Valuation _DB Dados do Mercado_Açúcar Físico não embarcado - Nov08 - Conferido_relatorio_Sugar #11 (2)_Relatório Gerencial_15-FINANCEIRAS_1" xfId="14140"/>
    <cellStyle name="s_Valuation _DB Dados do Mercado_Açúcar Físico não embarcado - Nov08 - Conferido_relatorio_Sugar #11 (2)_Relatório Gerencial_3-Balanço" xfId="14141"/>
    <cellStyle name="s_Valuation _DB Dados do Mercado_Açúcar Físico não embarcado - Nov08 - Conferido_relatorio_Sugar #11 (2)_Relatório Gerencial_7-Estoque" xfId="14142"/>
    <cellStyle name="s_Valuation _DB Dados do Mercado_Açúcar Físico não embarcado - Nov08 - Conferido_relatorio_Sugar #11 (2)_Relatório Gerencial_DB Entrada" xfId="14143"/>
    <cellStyle name="s_Valuation _DB Dados do Mercado_Açúcar Físico não embarcado - Nov08 - Conferido_relatorio_Sugar #11 (2)_Relatório Gerencial_DB Entrada 2" xfId="14144"/>
    <cellStyle name="s_Valuation _DB Dados do Mercado_Açúcar Físico não embarcado - Nov08 - Conferido_relatorio_Sugar #11 (2)_Relatório Gerencial_DB Entrada 2_15-FINANCEIRAS" xfId="14145"/>
    <cellStyle name="s_Valuation _DB Dados do Mercado_Açúcar Físico não embarcado - Nov08 - Conferido_relatorio_Sugar #11 (2)_Relatório Gerencial_DB Entrada_15-FINANCEIRAS" xfId="14146"/>
    <cellStyle name="s_Valuation _DB Dados do Mercado_Açúcar Físico não embarcado - Nov08 - Conferido_relatorio_Sugar #11 (2)_Relatório Gerencial_DB Entrada_15-FINANCEIRAS_1" xfId="14147"/>
    <cellStyle name="s_Valuation _DB Dados do Mercado_Açúcar Físico não embarcado - Nov08 - Conferido_relatorio_Sugar #11 (2)_Relatório Gerencial_DB Entrada_3-Balanço" xfId="14148"/>
    <cellStyle name="s_Valuation _DB Dados do Mercado_Açúcar Físico não embarcado - Nov08 - Conferido_relatorio_Sugar #11 (2)_Relatório Gerencial_DB Entrada_7-Estoque" xfId="14149"/>
    <cellStyle name="s_Valuation _DB Dados do Mercado_Açúcar Físico não embarcado - Nov08 - Conferido_relatorio_Sugar #11 2" xfId="14150"/>
    <cellStyle name="s_Valuation _DB Dados do Mercado_Açúcar Físico não embarcado - Nov08 - Conferido_relatorio_Sugar #11 2_15-FINANCEIRAS" xfId="14151"/>
    <cellStyle name="s_Valuation _DB Dados do Mercado_Açúcar Físico não embarcado - Nov08 - Conferido_relatorio_Sugar #11 3" xfId="14152"/>
    <cellStyle name="s_Valuation _DB Dados do Mercado_Açúcar Físico não embarcado - Nov08 - Conferido_relatorio_Sugar #11 3_15-FINANCEIRAS" xfId="14153"/>
    <cellStyle name="s_Valuation _DB Dados do Mercado_Açúcar Físico não embarcado - Nov08 - Conferido_relatorio_Sugar #11 4" xfId="14154"/>
    <cellStyle name="s_Valuation _DB Dados do Mercado_Açúcar Físico não embarcado - Nov08 - Conferido_relatorio_Sugar #11 4_15-FINANCEIRAS" xfId="14155"/>
    <cellStyle name="s_Valuation _DB Dados do Mercado_Açúcar Físico não embarcado - Nov08 - Conferido_relatorio_Sugar #11_15-FINANCEIRAS" xfId="14156"/>
    <cellStyle name="s_Valuation _DB Dados do Mercado_Açúcar Físico não embarcado - Nov08 - Conferido_relatorio_Sugar #11_15-FINANCEIRAS_1" xfId="14157"/>
    <cellStyle name="s_Valuation _DB Dados do Mercado_Açúcar Físico não embarcado - Nov08 - Conferido_relatorio_Sugar #11_3-Balanço" xfId="14158"/>
    <cellStyle name="s_Valuation _DB Dados do Mercado_Açúcar Físico não embarcado - Nov08 - Conferido_relatorio_Sugar #11_7-Estoque" xfId="14159"/>
    <cellStyle name="s_Valuation _DB Dados do Mercado_Açúcar Físico não embarcado - Nov08 - Conferido_relatorio_Sugar #11_Relatório Gerencial" xfId="14160"/>
    <cellStyle name="s_Valuation _DB Dados do Mercado_Açúcar Físico não embarcado - Nov08 - Conferido_relatorio_Sugar #11_Relatório Gerencial 2" xfId="14161"/>
    <cellStyle name="s_Valuation _DB Dados do Mercado_Açúcar Físico não embarcado - Nov08 - Conferido_relatorio_Sugar #11_Relatório Gerencial 2_15-FINANCEIRAS" xfId="14162"/>
    <cellStyle name="s_Valuation _DB Dados do Mercado_Açúcar Físico não embarcado - Nov08 - Conferido_relatorio_Sugar #11_Relatório Gerencial_15-FINANCEIRAS" xfId="14163"/>
    <cellStyle name="s_Valuation _DB Dados do Mercado_Açúcar Físico não embarcado - Nov08 - Conferido_relatorio_Sugar #11_Relatório Gerencial_15-FINANCEIRAS_1" xfId="14164"/>
    <cellStyle name="s_Valuation _DB Dados do Mercado_Açúcar Físico não embarcado - Nov08 - Conferido_relatorio_Sugar #11_Relatório Gerencial_3-Balanço" xfId="14165"/>
    <cellStyle name="s_Valuation _DB Dados do Mercado_Açúcar Físico não embarcado - Nov08 - Conferido_relatorio_Sugar #11_Relatório Gerencial_7-Estoque" xfId="14166"/>
    <cellStyle name="s_Valuation _DB Dados do Mercado_Açúcar Físico não embarcado - Nov08 - Conferido_relatorio_Sugar #11_Relatório Gerencial_DB Entrada" xfId="14167"/>
    <cellStyle name="s_Valuation _DB Dados do Mercado_Açúcar Físico não embarcado - Nov08 - Conferido_relatorio_Sugar #11_Relatório Gerencial_DB Entrada 2" xfId="14168"/>
    <cellStyle name="s_Valuation _DB Dados do Mercado_Açúcar Físico não embarcado - Nov08 - Conferido_relatorio_Sugar #11_Relatório Gerencial_DB Entrada 2_15-FINANCEIRAS" xfId="14169"/>
    <cellStyle name="s_Valuation _DB Dados do Mercado_Açúcar Físico não embarcado - Nov08 - Conferido_relatorio_Sugar #11_Relatório Gerencial_DB Entrada_15-FINANCEIRAS" xfId="14170"/>
    <cellStyle name="s_Valuation _DB Dados do Mercado_Açúcar Físico não embarcado - Nov08 - Conferido_relatorio_Sugar #11_Relatório Gerencial_DB Entrada_15-FINANCEIRAS_1" xfId="14171"/>
    <cellStyle name="s_Valuation _DB Dados do Mercado_Açúcar Físico não embarcado - Nov08 - Conferido_relatorio_Sugar #11_Relatório Gerencial_DB Entrada_3-Balanço" xfId="14172"/>
    <cellStyle name="s_Valuation _DB Dados do Mercado_Açúcar Físico não embarcado - Nov08 - Conferido_relatorio_Sugar #11_Relatório Gerencial_DB Entrada_7-Estoque" xfId="14173"/>
    <cellStyle name="s_Valuation _DB Dados do Mercado_Açúcar Físico não embarcado - Nov08 - Conferido_relatorio_Sugar #5" xfId="14174"/>
    <cellStyle name="s_Valuation _DB Dados do Mercado_Açúcar Físico não embarcado - Nov08 - Conferido_relatorio_Sugar #5 (2)" xfId="14175"/>
    <cellStyle name="s_Valuation _DB Dados do Mercado_Açúcar Físico não embarcado - Nov08 - Conferido_relatorio_Sugar #5 (2) 2" xfId="14176"/>
    <cellStyle name="s_Valuation _DB Dados do Mercado_Açúcar Físico não embarcado - Nov08 - Conferido_relatorio_Sugar #5 (2) 2_15-FINANCEIRAS" xfId="14177"/>
    <cellStyle name="s_Valuation _DB Dados do Mercado_Açúcar Físico não embarcado - Nov08 - Conferido_relatorio_Sugar #5 (2)_15-FINANCEIRAS" xfId="14178"/>
    <cellStyle name="s_Valuation _DB Dados do Mercado_Açúcar Físico não embarcado - Nov08 - Conferido_relatorio_Sugar #5 (2)_15-FINANCEIRAS_1" xfId="14179"/>
    <cellStyle name="s_Valuation _DB Dados do Mercado_Açúcar Físico não embarcado - Nov08 - Conferido_relatorio_Sugar #5 (2)_3-Balanço" xfId="14180"/>
    <cellStyle name="s_Valuation _DB Dados do Mercado_Açúcar Físico não embarcado - Nov08 - Conferido_relatorio_Sugar #5 (2)_7-Estoque" xfId="14181"/>
    <cellStyle name="s_Valuation _DB Dados do Mercado_Açúcar Físico não embarcado - Nov08 - Conferido_relatorio_Sugar #5 (2)_Relatório Gerencial" xfId="14182"/>
    <cellStyle name="s_Valuation _DB Dados do Mercado_Açúcar Físico não embarcado - Nov08 - Conferido_relatorio_Sugar #5 (2)_Relatório Gerencial 2" xfId="14183"/>
    <cellStyle name="s_Valuation _DB Dados do Mercado_Açúcar Físico não embarcado - Nov08 - Conferido_relatorio_Sugar #5 (2)_Relatório Gerencial 2_15-FINANCEIRAS" xfId="14184"/>
    <cellStyle name="s_Valuation _DB Dados do Mercado_Açúcar Físico não embarcado - Nov08 - Conferido_relatorio_Sugar #5 (2)_Relatório Gerencial_15-FINANCEIRAS" xfId="14185"/>
    <cellStyle name="s_Valuation _DB Dados do Mercado_Açúcar Físico não embarcado - Nov08 - Conferido_relatorio_Sugar #5 (2)_Relatório Gerencial_15-FINANCEIRAS_1" xfId="14186"/>
    <cellStyle name="s_Valuation _DB Dados do Mercado_Açúcar Físico não embarcado - Nov08 - Conferido_relatorio_Sugar #5 (2)_Relatório Gerencial_3-Balanço" xfId="14187"/>
    <cellStyle name="s_Valuation _DB Dados do Mercado_Açúcar Físico não embarcado - Nov08 - Conferido_relatorio_Sugar #5 (2)_Relatório Gerencial_7-Estoque" xfId="14188"/>
    <cellStyle name="s_Valuation _DB Dados do Mercado_Açúcar Físico não embarcado - Nov08 - Conferido_relatorio_Sugar #5 (2)_Relatório Gerencial_DB Entrada" xfId="14189"/>
    <cellStyle name="s_Valuation _DB Dados do Mercado_Açúcar Físico não embarcado - Nov08 - Conferido_relatorio_Sugar #5 (2)_Relatório Gerencial_DB Entrada 2" xfId="14190"/>
    <cellStyle name="s_Valuation _DB Dados do Mercado_Açúcar Físico não embarcado - Nov08 - Conferido_relatorio_Sugar #5 (2)_Relatório Gerencial_DB Entrada 2_15-FINANCEIRAS" xfId="14191"/>
    <cellStyle name="s_Valuation _DB Dados do Mercado_Açúcar Físico não embarcado - Nov08 - Conferido_relatorio_Sugar #5 (2)_Relatório Gerencial_DB Entrada_15-FINANCEIRAS" xfId="14192"/>
    <cellStyle name="s_Valuation _DB Dados do Mercado_Açúcar Físico não embarcado - Nov08 - Conferido_relatorio_Sugar #5 (2)_Relatório Gerencial_DB Entrada_15-FINANCEIRAS_1" xfId="14193"/>
    <cellStyle name="s_Valuation _DB Dados do Mercado_Açúcar Físico não embarcado - Nov08 - Conferido_relatorio_Sugar #5 (2)_Relatório Gerencial_DB Entrada_3-Balanço" xfId="14194"/>
    <cellStyle name="s_Valuation _DB Dados do Mercado_Açúcar Físico não embarcado - Nov08 - Conferido_relatorio_Sugar #5 (2)_Relatório Gerencial_DB Entrada_7-Estoque" xfId="14195"/>
    <cellStyle name="s_Valuation _DB Dados do Mercado_Açúcar Físico não embarcado - Nov08 - Conferido_relatorio_Sugar #5 2" xfId="14196"/>
    <cellStyle name="s_Valuation _DB Dados do Mercado_Açúcar Físico não embarcado - Nov08 - Conferido_relatorio_Sugar #5 2_15-FINANCEIRAS" xfId="14197"/>
    <cellStyle name="s_Valuation _DB Dados do Mercado_Açúcar Físico não embarcado - Nov08 - Conferido_relatorio_Sugar #5 3" xfId="14198"/>
    <cellStyle name="s_Valuation _DB Dados do Mercado_Açúcar Físico não embarcado - Nov08 - Conferido_relatorio_Sugar #5 3_15-FINANCEIRAS" xfId="14199"/>
    <cellStyle name="s_Valuation _DB Dados do Mercado_Açúcar Físico não embarcado - Nov08 - Conferido_relatorio_Sugar #5 4" xfId="14200"/>
    <cellStyle name="s_Valuation _DB Dados do Mercado_Açúcar Físico não embarcado - Nov08 - Conferido_relatorio_Sugar #5 4_15-FINANCEIRAS" xfId="14201"/>
    <cellStyle name="s_Valuation _DB Dados do Mercado_Açúcar Físico não embarcado - Nov08 - Conferido_relatorio_Sugar #5_15-FINANCEIRAS" xfId="14202"/>
    <cellStyle name="s_Valuation _DB Dados do Mercado_Açúcar Físico não embarcado - Nov08 - Conferido_relatorio_Sugar #5_15-FINANCEIRAS_1" xfId="14203"/>
    <cellStyle name="s_Valuation _DB Dados do Mercado_Açúcar Físico não embarcado - Nov08 - Conferido_relatorio_Sugar #5_3-Balanço" xfId="14204"/>
    <cellStyle name="s_Valuation _DB Dados do Mercado_Açúcar Físico não embarcado - Nov08 - Conferido_relatorio_Sugar #5_7-Estoque" xfId="14205"/>
    <cellStyle name="s_Valuation _DB Dados do Mercado_Açúcar Físico não embarcado - Nov08 - Conferido_relatorio_Sugar #5_Relatório Gerencial" xfId="14206"/>
    <cellStyle name="s_Valuation _DB Dados do Mercado_Açúcar Físico não embarcado - Nov08 - Conferido_relatorio_Sugar #5_Relatório Gerencial 2" xfId="14207"/>
    <cellStyle name="s_Valuation _DB Dados do Mercado_Açúcar Físico não embarcado - Nov08 - Conferido_relatorio_Sugar #5_Relatório Gerencial 2_15-FINANCEIRAS" xfId="14208"/>
    <cellStyle name="s_Valuation _DB Dados do Mercado_Açúcar Físico não embarcado - Nov08 - Conferido_relatorio_Sugar #5_Relatório Gerencial_15-FINANCEIRAS" xfId="14209"/>
    <cellStyle name="s_Valuation _DB Dados do Mercado_Açúcar Físico não embarcado - Nov08 - Conferido_relatorio_Sugar #5_Relatório Gerencial_15-FINANCEIRAS_1" xfId="14210"/>
    <cellStyle name="s_Valuation _DB Dados do Mercado_Açúcar Físico não embarcado - Nov08 - Conferido_relatorio_Sugar #5_Relatório Gerencial_3-Balanço" xfId="14211"/>
    <cellStyle name="s_Valuation _DB Dados do Mercado_Açúcar Físico não embarcado - Nov08 - Conferido_relatorio_Sugar #5_Relatório Gerencial_7-Estoque" xfId="14212"/>
    <cellStyle name="s_Valuation _DB Dados do Mercado_Açúcar Físico não embarcado - Nov08 - Conferido_relatorio_Sugar #5_Relatório Gerencial_DB Entrada" xfId="14213"/>
    <cellStyle name="s_Valuation _DB Dados do Mercado_Açúcar Físico não embarcado - Nov08 - Conferido_relatorio_Sugar #5_Relatório Gerencial_DB Entrada 2" xfId="14214"/>
    <cellStyle name="s_Valuation _DB Dados do Mercado_Açúcar Físico não embarcado - Nov08 - Conferido_relatorio_Sugar #5_Relatório Gerencial_DB Entrada 2_15-FINANCEIRAS" xfId="14215"/>
    <cellStyle name="s_Valuation _DB Dados do Mercado_Açúcar Físico não embarcado - Nov08 - Conferido_relatorio_Sugar #5_Relatório Gerencial_DB Entrada_15-FINANCEIRAS" xfId="14216"/>
    <cellStyle name="s_Valuation _DB Dados do Mercado_Açúcar Físico não embarcado - Nov08 - Conferido_relatorio_Sugar #5_Relatório Gerencial_DB Entrada_15-FINANCEIRAS_1" xfId="14217"/>
    <cellStyle name="s_Valuation _DB Dados do Mercado_Açúcar Físico não embarcado - Nov08 - Conferido_relatorio_Sugar #5_Relatório Gerencial_DB Entrada_3-Balanço" xfId="14218"/>
    <cellStyle name="s_Valuation _DB Dados do Mercado_Açúcar Físico não embarcado - Nov08 - Conferido_relatorio_Sugar #5_Relatório Gerencial_DB Entrada_7-Estoque" xfId="14219"/>
    <cellStyle name="s_Valuation _DB Dados do Mercado_Açúcar Físico não embarcado - Nov08 - Conferido_RES500-NEWEDGE" xfId="14220"/>
    <cellStyle name="s_Valuation _DB Dados do Mercado_Açúcar Físico não embarcado - Nov08 - Conferido_RES500-NEWEDGE 2" xfId="14221"/>
    <cellStyle name="s_Valuation _DB Dados do Mercado_Açúcar Físico não embarcado - Nov08 - Conferido_RES500-NEWEDGE 2_15-FINANCEIRAS" xfId="14222"/>
    <cellStyle name="s_Valuation _DB Dados do Mercado_Açúcar Físico não embarcado - Nov08 - Conferido_RES500-NEWEDGE_15-FINANCEIRAS" xfId="14223"/>
    <cellStyle name="s_Valuation _DB Dados do Mercado_Açúcar Físico não embarcado - Nov08 - Conferido_RES500-NEWEDGE_15-FINANCEIRAS_1" xfId="14224"/>
    <cellStyle name="s_Valuation _DB Dados do Mercado_Açúcar Físico não embarcado - Nov08 - Conferido_RES500-NEWEDGE_3-Balanço" xfId="14225"/>
    <cellStyle name="s_Valuation _DB Dados do Mercado_Açúcar Físico não embarcado - Nov08 - Conferido_RES500-NEWEDGE_7-Estoque" xfId="14226"/>
    <cellStyle name="s_Valuation _DB Dados do Mercado_Açúcar Físico não embarcado - Nov08 - Conferido_RES500-NEWEDGE_Relatório Gerencial" xfId="14227"/>
    <cellStyle name="s_Valuation _DB Dados do Mercado_Açúcar Físico não embarcado - Nov08 - Conferido_RES500-NEWEDGE_Relatório Gerencial 2" xfId="14228"/>
    <cellStyle name="s_Valuation _DB Dados do Mercado_Açúcar Físico não embarcado - Nov08 - Conferido_RES500-NEWEDGE_Relatório Gerencial 2_15-FINANCEIRAS" xfId="14229"/>
    <cellStyle name="s_Valuation _DB Dados do Mercado_Açúcar Físico não embarcado - Nov08 - Conferido_RES500-NEWEDGE_Relatório Gerencial_15-FINANCEIRAS" xfId="14230"/>
    <cellStyle name="s_Valuation _DB Dados do Mercado_Açúcar Físico não embarcado - Nov08 - Conferido_RES500-NEWEDGE_Relatório Gerencial_15-FINANCEIRAS_1" xfId="14231"/>
    <cellStyle name="s_Valuation _DB Dados do Mercado_Açúcar Físico não embarcado - Nov08 - Conferido_RES500-NEWEDGE_Relatório Gerencial_3-Balanço" xfId="14232"/>
    <cellStyle name="s_Valuation _DB Dados do Mercado_Açúcar Físico não embarcado - Nov08 - Conferido_RES500-NEWEDGE_Relatório Gerencial_7-Estoque" xfId="14233"/>
    <cellStyle name="s_Valuation _DB Dados do Mercado_Açúcar Físico não embarcado - Nov08 - Conferido_RES500-NEWEDGE_Relatório Gerencial_DB Entrada" xfId="14234"/>
    <cellStyle name="s_Valuation _DB Dados do Mercado_Açúcar Físico não embarcado - Nov08 - Conferido_RES500-NEWEDGE_Relatório Gerencial_DB Entrada 2" xfId="14235"/>
    <cellStyle name="s_Valuation _DB Dados do Mercado_Açúcar Físico não embarcado - Nov08 - Conferido_RES500-NEWEDGE_Relatório Gerencial_DB Entrada 2_15-FINANCEIRAS" xfId="14236"/>
    <cellStyle name="s_Valuation _DB Dados do Mercado_Açúcar Físico não embarcado - Nov08 - Conferido_RES500-NEWEDGE_Relatório Gerencial_DB Entrada_15-FINANCEIRAS" xfId="14237"/>
    <cellStyle name="s_Valuation _DB Dados do Mercado_Açúcar Físico não embarcado - Nov08 - Conferido_RES500-NEWEDGE_Relatório Gerencial_DB Entrada_15-FINANCEIRAS_1" xfId="14238"/>
    <cellStyle name="s_Valuation _DB Dados do Mercado_Açúcar Físico não embarcado - Nov08 - Conferido_RES500-NEWEDGE_Relatório Gerencial_DB Entrada_3-Balanço" xfId="14239"/>
    <cellStyle name="s_Valuation _DB Dados do Mercado_Açúcar Físico não embarcado - Nov08 - Conferido_RES500-NEWEDGE_Relatório Gerencial_DB Entrada_7-Estoque" xfId="14240"/>
    <cellStyle name="s_Valuation _DB Dados do Mercado_Açúcar Físico não embarcado - Nov08 - Conferido_RES504-NATIXIS" xfId="14241"/>
    <cellStyle name="s_Valuation _DB Dados do Mercado_Açúcar Físico não embarcado - Nov08 - Conferido_RES504-NATIXIS 2" xfId="14242"/>
    <cellStyle name="s_Valuation _DB Dados do Mercado_Açúcar Físico não embarcado - Nov08 - Conferido_RES504-NATIXIS 2_15-FINANCEIRAS" xfId="14243"/>
    <cellStyle name="s_Valuation _DB Dados do Mercado_Açúcar Físico não embarcado - Nov08 - Conferido_RES504-NATIXIS_15-FINANCEIRAS" xfId="14244"/>
    <cellStyle name="s_Valuation _DB Dados do Mercado_Açúcar Físico não embarcado - Nov08 - Conferido_RES504-NATIXIS_15-FINANCEIRAS_1" xfId="14245"/>
    <cellStyle name="s_Valuation _DB Dados do Mercado_Açúcar Físico não embarcado - Nov08 - Conferido_RES504-NATIXIS_3-Balanço" xfId="14246"/>
    <cellStyle name="s_Valuation _DB Dados do Mercado_Açúcar Físico não embarcado - Nov08 - Conferido_RES504-NATIXIS_7-Estoque" xfId="14247"/>
    <cellStyle name="s_Valuation _DB Dados do Mercado_Açúcar Físico não embarcado - Nov08 - Conferido_RES504-NATIXIS_Relatório Gerencial" xfId="14248"/>
    <cellStyle name="s_Valuation _DB Dados do Mercado_Açúcar Físico não embarcado - Nov08 - Conferido_RES504-NATIXIS_Relatório Gerencial 2" xfId="14249"/>
    <cellStyle name="s_Valuation _DB Dados do Mercado_Açúcar Físico não embarcado - Nov08 - Conferido_RES504-NATIXIS_Relatório Gerencial 2_15-FINANCEIRAS" xfId="14250"/>
    <cellStyle name="s_Valuation _DB Dados do Mercado_Açúcar Físico não embarcado - Nov08 - Conferido_RES504-NATIXIS_Relatório Gerencial_15-FINANCEIRAS" xfId="14251"/>
    <cellStyle name="s_Valuation _DB Dados do Mercado_Açúcar Físico não embarcado - Nov08 - Conferido_RES504-NATIXIS_Relatório Gerencial_15-FINANCEIRAS_1" xfId="14252"/>
    <cellStyle name="s_Valuation _DB Dados do Mercado_Açúcar Físico não embarcado - Nov08 - Conferido_RES504-NATIXIS_Relatório Gerencial_3-Balanço" xfId="14253"/>
    <cellStyle name="s_Valuation _DB Dados do Mercado_Açúcar Físico não embarcado - Nov08 - Conferido_RES504-NATIXIS_Relatório Gerencial_7-Estoque" xfId="14254"/>
    <cellStyle name="s_Valuation _DB Dados do Mercado_Açúcar Físico não embarcado - Nov08 - Conferido_RES504-NATIXIS_Relatório Gerencial_DB Entrada" xfId="14255"/>
    <cellStyle name="s_Valuation _DB Dados do Mercado_Açúcar Físico não embarcado - Nov08 - Conferido_RES504-NATIXIS_Relatório Gerencial_DB Entrada 2" xfId="14256"/>
    <cellStyle name="s_Valuation _DB Dados do Mercado_Açúcar Físico não embarcado - Nov08 - Conferido_RES504-NATIXIS_Relatório Gerencial_DB Entrada 2_15-FINANCEIRAS" xfId="14257"/>
    <cellStyle name="s_Valuation _DB Dados do Mercado_Açúcar Físico não embarcado - Nov08 - Conferido_RES504-NATIXIS_Relatório Gerencial_DB Entrada_15-FINANCEIRAS" xfId="14258"/>
    <cellStyle name="s_Valuation _DB Dados do Mercado_Açúcar Físico não embarcado - Nov08 - Conferido_RES504-NATIXIS_Relatório Gerencial_DB Entrada_15-FINANCEIRAS_1" xfId="14259"/>
    <cellStyle name="s_Valuation _DB Dados do Mercado_Açúcar Físico não embarcado - Nov08 - Conferido_RES504-NATIXIS_Relatório Gerencial_DB Entrada_3-Balanço" xfId="14260"/>
    <cellStyle name="s_Valuation _DB Dados do Mercado_Açúcar Físico não embarcado - Nov08 - Conferido_RES504-NATIXIS_Relatório Gerencial_DB Entrada_7-Estoque" xfId="14261"/>
    <cellStyle name="s_Valuation _DB Dados do Mercado_Açúcar Físico não embarcado - Nov08 - Conferido_RES505-SUCDENUK" xfId="14262"/>
    <cellStyle name="s_Valuation _DB Dados do Mercado_Açúcar Físico não embarcado - Nov08 - Conferido_RES505-SUCDENUK 2" xfId="14263"/>
    <cellStyle name="s_Valuation _DB Dados do Mercado_Açúcar Físico não embarcado - Nov08 - Conferido_RES505-SUCDENUK 2_15-FINANCEIRAS" xfId="14264"/>
    <cellStyle name="s_Valuation _DB Dados do Mercado_Açúcar Físico não embarcado - Nov08 - Conferido_RES505-SUCDENUK_15-FINANCEIRAS" xfId="14265"/>
    <cellStyle name="s_Valuation _DB Dados do Mercado_Açúcar Físico não embarcado - Nov08 - Conferido_RES505-SUCDENUK_15-FINANCEIRAS_1" xfId="14266"/>
    <cellStyle name="s_Valuation _DB Dados do Mercado_Açúcar Físico não embarcado - Nov08 - Conferido_RES505-SUCDENUK_3-Balanço" xfId="14267"/>
    <cellStyle name="s_Valuation _DB Dados do Mercado_Açúcar Físico não embarcado - Nov08 - Conferido_RES505-SUCDENUK_7-Estoque" xfId="14268"/>
    <cellStyle name="s_Valuation _DB Dados do Mercado_Açúcar Físico não embarcado - Nov08 - Conferido_RES505-SUCDENUK_Relatório Gerencial" xfId="14269"/>
    <cellStyle name="s_Valuation _DB Dados do Mercado_Açúcar Físico não embarcado - Nov08 - Conferido_RES505-SUCDENUK_Relatório Gerencial 2" xfId="14270"/>
    <cellStyle name="s_Valuation _DB Dados do Mercado_Açúcar Físico não embarcado - Nov08 - Conferido_RES505-SUCDENUK_Relatório Gerencial 2_15-FINANCEIRAS" xfId="14271"/>
    <cellStyle name="s_Valuation _DB Dados do Mercado_Açúcar Físico não embarcado - Nov08 - Conferido_RES505-SUCDENUK_Relatório Gerencial_15-FINANCEIRAS" xfId="14272"/>
    <cellStyle name="s_Valuation _DB Dados do Mercado_Açúcar Físico não embarcado - Nov08 - Conferido_RES505-SUCDENUK_Relatório Gerencial_15-FINANCEIRAS_1" xfId="14273"/>
    <cellStyle name="s_Valuation _DB Dados do Mercado_Açúcar Físico não embarcado - Nov08 - Conferido_RES505-SUCDENUK_Relatório Gerencial_3-Balanço" xfId="14274"/>
    <cellStyle name="s_Valuation _DB Dados do Mercado_Açúcar Físico não embarcado - Nov08 - Conferido_RES505-SUCDENUK_Relatório Gerencial_7-Estoque" xfId="14275"/>
    <cellStyle name="s_Valuation _DB Dados do Mercado_Açúcar Físico não embarcado - Nov08 - Conferido_RES505-SUCDENUK_Relatório Gerencial_DB Entrada" xfId="14276"/>
    <cellStyle name="s_Valuation _DB Dados do Mercado_Açúcar Físico não embarcado - Nov08 - Conferido_RES505-SUCDENUK_Relatório Gerencial_DB Entrada 2" xfId="14277"/>
    <cellStyle name="s_Valuation _DB Dados do Mercado_Açúcar Físico não embarcado - Nov08 - Conferido_RES505-SUCDENUK_Relatório Gerencial_DB Entrada 2_15-FINANCEIRAS" xfId="14278"/>
    <cellStyle name="s_Valuation _DB Dados do Mercado_Açúcar Físico não embarcado - Nov08 - Conferido_RES505-SUCDENUK_Relatório Gerencial_DB Entrada_15-FINANCEIRAS" xfId="14279"/>
    <cellStyle name="s_Valuation _DB Dados do Mercado_Açúcar Físico não embarcado - Nov08 - Conferido_RES505-SUCDENUK_Relatório Gerencial_DB Entrada_15-FINANCEIRAS_1" xfId="14280"/>
    <cellStyle name="s_Valuation _DB Dados do Mercado_Açúcar Físico não embarcado - Nov08 - Conferido_RES505-SUCDENUK_Relatório Gerencial_DB Entrada_3-Balanço" xfId="14281"/>
    <cellStyle name="s_Valuation _DB Dados do Mercado_Açúcar Físico não embarcado - Nov08 - Conferido_RES505-SUCDENUK_Relatório Gerencial_DB Entrada_7-Estoque" xfId="14282"/>
    <cellStyle name="s_Valuation _DB Dados do Mercado_Açúcar Físico não embarcado - Nov08 - Conferido_RES507-HENCORP" xfId="14283"/>
    <cellStyle name="s_Valuation _DB Dados do Mercado_Açúcar Físico não embarcado - Nov08 - Conferido_RES507-HENCORP 2" xfId="14284"/>
    <cellStyle name="s_Valuation _DB Dados do Mercado_Açúcar Físico não embarcado - Nov08 - Conferido_RES507-HENCORP 2_15-FINANCEIRAS" xfId="14285"/>
    <cellStyle name="s_Valuation _DB Dados do Mercado_Açúcar Físico não embarcado - Nov08 - Conferido_RES507-HENCORP_15-FINANCEIRAS" xfId="14286"/>
    <cellStyle name="s_Valuation _DB Dados do Mercado_Açúcar Físico não embarcado - Nov08 - Conferido_RES507-HENCORP_15-FINANCEIRAS_1" xfId="14287"/>
    <cellStyle name="s_Valuation _DB Dados do Mercado_Açúcar Físico não embarcado - Nov08 - Conferido_RES507-HENCORP_3-Balanço" xfId="14288"/>
    <cellStyle name="s_Valuation _DB Dados do Mercado_Açúcar Físico não embarcado - Nov08 - Conferido_RES507-HENCORP_7-Estoque" xfId="14289"/>
    <cellStyle name="s_Valuation _DB Dados do Mercado_Açúcar Físico não embarcado - Nov08 - Conferido_RES507-HENCORP_Relatório Gerencial" xfId="14290"/>
    <cellStyle name="s_Valuation _DB Dados do Mercado_Açúcar Físico não embarcado - Nov08 - Conferido_RES507-HENCORP_Relatório Gerencial 2" xfId="14291"/>
    <cellStyle name="s_Valuation _DB Dados do Mercado_Açúcar Físico não embarcado - Nov08 - Conferido_RES507-HENCORP_Relatório Gerencial 2_15-FINANCEIRAS" xfId="14292"/>
    <cellStyle name="s_Valuation _DB Dados do Mercado_Açúcar Físico não embarcado - Nov08 - Conferido_RES507-HENCORP_Relatório Gerencial_15-FINANCEIRAS" xfId="14293"/>
    <cellStyle name="s_Valuation _DB Dados do Mercado_Açúcar Físico não embarcado - Nov08 - Conferido_RES507-HENCORP_Relatório Gerencial_15-FINANCEIRAS_1" xfId="14294"/>
    <cellStyle name="s_Valuation _DB Dados do Mercado_Açúcar Físico não embarcado - Nov08 - Conferido_RES507-HENCORP_Relatório Gerencial_3-Balanço" xfId="14295"/>
    <cellStyle name="s_Valuation _DB Dados do Mercado_Açúcar Físico não embarcado - Nov08 - Conferido_RES507-HENCORP_Relatório Gerencial_7-Estoque" xfId="14296"/>
    <cellStyle name="s_Valuation _DB Dados do Mercado_Açúcar Físico não embarcado - Nov08 - Conferido_RES507-HENCORP_Relatório Gerencial_DB Entrada" xfId="14297"/>
    <cellStyle name="s_Valuation _DB Dados do Mercado_Açúcar Físico não embarcado - Nov08 - Conferido_RES507-HENCORP_Relatório Gerencial_DB Entrada 2" xfId="14298"/>
    <cellStyle name="s_Valuation _DB Dados do Mercado_Açúcar Físico não embarcado - Nov08 - Conferido_RES507-HENCORP_Relatório Gerencial_DB Entrada 2_15-FINANCEIRAS" xfId="14299"/>
    <cellStyle name="s_Valuation _DB Dados do Mercado_Açúcar Físico não embarcado - Nov08 - Conferido_RES507-HENCORP_Relatório Gerencial_DB Entrada_15-FINANCEIRAS" xfId="14300"/>
    <cellStyle name="s_Valuation _DB Dados do Mercado_Açúcar Físico não embarcado - Nov08 - Conferido_RES507-HENCORP_Relatório Gerencial_DB Entrada_15-FINANCEIRAS_1" xfId="14301"/>
    <cellStyle name="s_Valuation _DB Dados do Mercado_Açúcar Físico não embarcado - Nov08 - Conferido_RES507-HENCORP_Relatório Gerencial_DB Entrada_3-Balanço" xfId="14302"/>
    <cellStyle name="s_Valuation _DB Dados do Mercado_Açúcar Físico não embarcado - Nov08 - Conferido_RES507-HENCORP_Relatório Gerencial_DB Entrada_7-Estoque" xfId="14303"/>
    <cellStyle name="s_Valuation _DB Dados do Mercado_Açúcar Físico não embarcado - Nov08 - Conferido_Sistema Cosan backup 103 Retirada de relatorios" xfId="14304"/>
    <cellStyle name="s_Valuation _DB Dados do Mercado_Açúcar Físico não embarcado - Nov08 - Conferido_Sistema Cosan backup 103 Retirada de relatorios 2" xfId="14305"/>
    <cellStyle name="s_Valuation _DB Dados do Mercado_Açúcar Físico não embarcado - Nov08 - Conferido_Sistema Cosan backup 103 Retirada de relatorios 2_15-FINANCEIRAS" xfId="14306"/>
    <cellStyle name="s_Valuation _DB Dados do Mercado_Açúcar Físico não embarcado - Nov08 - Conferido_Sistema Cosan backup 103 Retirada de relatorios_15-FINANCEIRAS" xfId="14307"/>
    <cellStyle name="s_Valuation _DB Dados do Mercado_Açúcar Físico não embarcado - Nov08 - Conferido_Sistema Cosan backup 103 Retirada de relatorios_15-FINANCEIRAS_1" xfId="14308"/>
    <cellStyle name="s_Valuation _DB Dados do Mercado_Açúcar Físico não embarcado - Nov08 - Conferido_Sistema Cosan backup 103 Retirada de relatorios_3-Balanço" xfId="14309"/>
    <cellStyle name="s_Valuation _DB Dados do Mercado_Açúcar Físico não embarcado - Nov08 - Conferido_Sistema Cosan backup 103 Retirada de relatorios_7-Estoque" xfId="14310"/>
    <cellStyle name="s_Valuation _DB Dados do Mercado_Açúcar Físico não embarcado - Nov08 - Conferido_Sugar #11" xfId="14311"/>
    <cellStyle name="s_Valuation _DB Dados do Mercado_Açúcar Físico não embarcado - Nov08 - Conferido_Sugar #11 2" xfId="14312"/>
    <cellStyle name="s_Valuation _DB Dados do Mercado_Açúcar Físico não embarcado - Nov08 - Conferido_Sugar #11 2_15-FINANCEIRAS" xfId="14313"/>
    <cellStyle name="s_Valuation _DB Dados do Mercado_Açúcar Físico não embarcado - Nov08 - Conferido_Sugar #11_15-FINANCEIRAS" xfId="14314"/>
    <cellStyle name="s_Valuation _DB Dados do Mercado_Açúcar Físico não embarcado - Nov08 - Conferido_Sugar #11_15-FINANCEIRAS_1" xfId="14315"/>
    <cellStyle name="s_Valuation _DB Dados do Mercado_Açúcar Físico não embarcado - Nov08 - Conferido_Sugar #11_3-Balanço" xfId="14316"/>
    <cellStyle name="s_Valuation _DB Dados do Mercado_Açúcar Físico não embarcado - Nov08 - Conferido_Sugar #11_7-Estoque" xfId="14317"/>
    <cellStyle name="s_Valuation _DB Dados do Mercado_Açúcar Físico não embarcado - Nov08 - Conferido_Sugar #11_Relatório Gerencial" xfId="14318"/>
    <cellStyle name="s_Valuation _DB Dados do Mercado_Açúcar Físico não embarcado - Nov08 - Conferido_Sugar #11_Relatório Gerencial 2" xfId="14319"/>
    <cellStyle name="s_Valuation _DB Dados do Mercado_Açúcar Físico não embarcado - Nov08 - Conferido_Sugar #11_Relatório Gerencial 2_15-FINANCEIRAS" xfId="14320"/>
    <cellStyle name="s_Valuation _DB Dados do Mercado_Açúcar Físico não embarcado - Nov08 - Conferido_Sugar #11_Relatório Gerencial_15-FINANCEIRAS" xfId="14321"/>
    <cellStyle name="s_Valuation _DB Dados do Mercado_Açúcar Físico não embarcado - Nov08 - Conferido_Sugar #11_Relatório Gerencial_15-FINANCEIRAS_1" xfId="14322"/>
    <cellStyle name="s_Valuation _DB Dados do Mercado_Açúcar Físico não embarcado - Nov08 - Conferido_Sugar #11_Relatório Gerencial_3-Balanço" xfId="14323"/>
    <cellStyle name="s_Valuation _DB Dados do Mercado_Açúcar Físico não embarcado - Nov08 - Conferido_Sugar #11_Relatório Gerencial_7-Estoque" xfId="14324"/>
    <cellStyle name="s_Valuation _DB Dados do Mercado_Açúcar Físico não embarcado - Nov08 - Conferido_Sugar #11_Relatório Gerencial_DB Entrada" xfId="14325"/>
    <cellStyle name="s_Valuation _DB Dados do Mercado_Açúcar Físico não embarcado - Nov08 - Conferido_Sugar #11_Relatório Gerencial_DB Entrada 2" xfId="14326"/>
    <cellStyle name="s_Valuation _DB Dados do Mercado_Açúcar Físico não embarcado - Nov08 - Conferido_Sugar #11_Relatório Gerencial_DB Entrada 2_15-FINANCEIRAS" xfId="14327"/>
    <cellStyle name="s_Valuation _DB Dados do Mercado_Açúcar Físico não embarcado - Nov08 - Conferido_Sugar #11_Relatório Gerencial_DB Entrada_15-FINANCEIRAS" xfId="14328"/>
    <cellStyle name="s_Valuation _DB Dados do Mercado_Açúcar Físico não embarcado - Nov08 - Conferido_Sugar #11_Relatório Gerencial_DB Entrada_15-FINANCEIRAS_1" xfId="14329"/>
    <cellStyle name="s_Valuation _DB Dados do Mercado_Açúcar Físico não embarcado - Nov08 - Conferido_Sugar #11_Relatório Gerencial_DB Entrada_3-Balanço" xfId="14330"/>
    <cellStyle name="s_Valuation _DB Dados do Mercado_Açúcar Físico não embarcado - Nov08 - Conferido_Sugar #11_Relatório Gerencial_DB Entrada_7-Estoque" xfId="14331"/>
    <cellStyle name="s_Valuation _DB Dados do Mercado_Açúcar Físico não embarcado - Nov08 - Conferido_Sugar #5" xfId="14332"/>
    <cellStyle name="s_Valuation _DB Dados do Mercado_Açúcar Físico não embarcado - Nov08 - Conferido_Sugar #5 2" xfId="14333"/>
    <cellStyle name="s_Valuation _DB Dados do Mercado_Açúcar Físico não embarcado - Nov08 - Conferido_Sugar #5 2_15-FINANCEIRAS" xfId="14334"/>
    <cellStyle name="s_Valuation _DB Dados do Mercado_Açúcar Físico não embarcado - Nov08 - Conferido_Sugar #5_15-FINANCEIRAS" xfId="14335"/>
    <cellStyle name="s_Valuation _DB Dados do Mercado_Açúcar Físico não embarcado - Nov08 - Conferido_Sugar #5_15-FINANCEIRAS_1" xfId="14336"/>
    <cellStyle name="s_Valuation _DB Dados do Mercado_Açúcar Físico não embarcado - Nov08 - Conferido_Sugar #5_3-Balanço" xfId="14337"/>
    <cellStyle name="s_Valuation _DB Dados do Mercado_Açúcar Físico não embarcado - Nov08 - Conferido_Sugar #5_7-Estoque" xfId="14338"/>
    <cellStyle name="s_Valuation _DB Dados do Mercado_Açúcar Físico não embarcado - Nov08 - Conferido_Sugar #5_Relatório Gerencial" xfId="14339"/>
    <cellStyle name="s_Valuation _DB Dados do Mercado_Açúcar Físico não embarcado - Nov08 - Conferido_Sugar #5_Relatório Gerencial 2" xfId="14340"/>
    <cellStyle name="s_Valuation _DB Dados do Mercado_Açúcar Físico não embarcado - Nov08 - Conferido_Sugar #5_Relatório Gerencial 2_15-FINANCEIRAS" xfId="14341"/>
    <cellStyle name="s_Valuation _DB Dados do Mercado_Açúcar Físico não embarcado - Nov08 - Conferido_Sugar #5_Relatório Gerencial_15-FINANCEIRAS" xfId="14342"/>
    <cellStyle name="s_Valuation _DB Dados do Mercado_Açúcar Físico não embarcado - Nov08 - Conferido_Sugar #5_Relatório Gerencial_15-FINANCEIRAS_1" xfId="14343"/>
    <cellStyle name="s_Valuation _DB Dados do Mercado_Açúcar Físico não embarcado - Nov08 - Conferido_Sugar #5_Relatório Gerencial_3-Balanço" xfId="14344"/>
    <cellStyle name="s_Valuation _DB Dados do Mercado_Açúcar Físico não embarcado - Nov08 - Conferido_Sugar #5_Relatório Gerencial_7-Estoque" xfId="14345"/>
    <cellStyle name="s_Valuation _DB Dados do Mercado_Açúcar Físico não embarcado - Nov08 - Conferido_Sugar #5_Relatório Gerencial_DB Entrada" xfId="14346"/>
    <cellStyle name="s_Valuation _DB Dados do Mercado_Açúcar Físico não embarcado - Nov08 - Conferido_Sugar #5_Relatório Gerencial_DB Entrada 2" xfId="14347"/>
    <cellStyle name="s_Valuation _DB Dados do Mercado_Açúcar Físico não embarcado - Nov08 - Conferido_Sugar #5_Relatório Gerencial_DB Entrada 2_15-FINANCEIRAS" xfId="14348"/>
    <cellStyle name="s_Valuation _DB Dados do Mercado_Açúcar Físico não embarcado - Nov08 - Conferido_Sugar #5_Relatório Gerencial_DB Entrada_15-FINANCEIRAS" xfId="14349"/>
    <cellStyle name="s_Valuation _DB Dados do Mercado_Açúcar Físico não embarcado - Nov08 - Conferido_Sugar #5_Relatório Gerencial_DB Entrada_15-FINANCEIRAS_1" xfId="14350"/>
    <cellStyle name="s_Valuation _DB Dados do Mercado_Açúcar Físico não embarcado - Nov08 - Conferido_Sugar #5_Relatório Gerencial_DB Entrada_3-Balanço" xfId="14351"/>
    <cellStyle name="s_Valuation _DB Dados do Mercado_Açúcar Físico não embarcado - Nov08 - Conferido_Sugar #5_Relatório Gerencial_DB Entrada_7-Estoque" xfId="14352"/>
    <cellStyle name="s_Valuation _DB Dados do Mercado_Açúcar Físico não embarcado Conferido - Mar09" xfId="14353"/>
    <cellStyle name="s_Valuation _DB Dados do Mercado_Açúcar Físico não embarcado Conferido - Mar09 2" xfId="14354"/>
    <cellStyle name="s_Valuation _DB Dados do Mercado_Açúcar Físico não embarcado Conferido - Mar09 2_15-FINANCEIRAS" xfId="14355"/>
    <cellStyle name="s_Valuation _DB Dados do Mercado_Açúcar Físico não embarcado Conferido - Mar09_15-FINANCEIRAS" xfId="14356"/>
    <cellStyle name="s_Valuation _DB Dados do Mercado_Açúcar Físico não embarcado Conferido - Mar09_15-FINANCEIRAS_1" xfId="14357"/>
    <cellStyle name="s_Valuation _DB Dados do Mercado_Açúcar Físico não embarcado Conferido - Mar09_3-Balanço" xfId="14358"/>
    <cellStyle name="s_Valuation _DB Dados do Mercado_Açúcar Físico não embarcado Conferido - Mar09_7-Estoque" xfId="14359"/>
    <cellStyle name="s_Valuation _DB Dados do Mercado_Açúcar Físico não embarcado Conferido - Mar09_Relatório Gerencial" xfId="14360"/>
    <cellStyle name="s_Valuation _DB Dados do Mercado_Açúcar Físico não embarcado Conferido - Mar09_Relatório Gerencial 2" xfId="14361"/>
    <cellStyle name="s_Valuation _DB Dados do Mercado_Açúcar Físico não embarcado Conferido - Mar09_Relatório Gerencial 2_15-FINANCEIRAS" xfId="14362"/>
    <cellStyle name="s_Valuation _DB Dados do Mercado_Açúcar Físico não embarcado Conferido - Mar09_Relatório Gerencial_15-FINANCEIRAS" xfId="14363"/>
    <cellStyle name="s_Valuation _DB Dados do Mercado_Açúcar Físico não embarcado Conferido - Mar09_Relatório Gerencial_15-FINANCEIRAS_1" xfId="14364"/>
    <cellStyle name="s_Valuation _DB Dados do Mercado_Açúcar Físico não embarcado Conferido - Mar09_Relatório Gerencial_3-Balanço" xfId="14365"/>
    <cellStyle name="s_Valuation _DB Dados do Mercado_Açúcar Físico não embarcado Conferido - Mar09_Relatório Gerencial_7-Estoque" xfId="14366"/>
    <cellStyle name="s_Valuation _DB Dados do Mercado_Açúcar Físico não embarcado Conferido - Mar09_Relatório Gerencial_DB Entrada" xfId="14367"/>
    <cellStyle name="s_Valuation _DB Dados do Mercado_Açúcar Físico não embarcado Conferido - Mar09_Relatório Gerencial_DB Entrada 2" xfId="14368"/>
    <cellStyle name="s_Valuation _DB Dados do Mercado_Açúcar Físico não embarcado Conferido - Mar09_Relatório Gerencial_DB Entrada 2_15-FINANCEIRAS" xfId="14369"/>
    <cellStyle name="s_Valuation _DB Dados do Mercado_Açúcar Físico não embarcado Conferido - Mar09_Relatório Gerencial_DB Entrada_15-FINANCEIRAS" xfId="14370"/>
    <cellStyle name="s_Valuation _DB Dados do Mercado_Açúcar Físico não embarcado Conferido - Mar09_Relatório Gerencial_DB Entrada_15-FINANCEIRAS_1" xfId="14371"/>
    <cellStyle name="s_Valuation _DB Dados do Mercado_Açúcar Físico não embarcado Conferido - Mar09_Relatório Gerencial_DB Entrada_3-Balanço" xfId="14372"/>
    <cellStyle name="s_Valuation _DB Dados do Mercado_Açúcar Físico não embarcado Conferido - Mar09_Relatório Gerencial_DB Entrada_7-Estoque" xfId="14373"/>
    <cellStyle name="s_Valuation _DB Dados do Mercado_Balanço" xfId="14374"/>
    <cellStyle name="s_Valuation _DB Dados do Mercado_Controle Extrato Diário2" xfId="14375"/>
    <cellStyle name="s_Valuation _DB Dados do Mercado_Controle Extrato Diário2 2" xfId="14376"/>
    <cellStyle name="s_Valuation _DB Dados do Mercado_Controle Extrato Diário2 2_15-FINANCEIRAS" xfId="14377"/>
    <cellStyle name="s_Valuation _DB Dados do Mercado_Controle Extrato Diário2_15-FINANCEIRAS" xfId="14378"/>
    <cellStyle name="s_Valuation _DB Dados do Mercado_Controle Extrato Diário2_15-FINANCEIRAS_1" xfId="14379"/>
    <cellStyle name="s_Valuation _DB Dados do Mercado_Controle Extrato Diário2_3-Balanço" xfId="14380"/>
    <cellStyle name="s_Valuation _DB Dados do Mercado_Controle Extrato Diário2_7-Estoque" xfId="14381"/>
    <cellStyle name="s_Valuation _DB Dados do Mercado_Controle Extrato Diário2_Relatório Gerencial" xfId="14382"/>
    <cellStyle name="s_Valuation _DB Dados do Mercado_Controle Extrato Diário2_Relatório Gerencial 2" xfId="14383"/>
    <cellStyle name="s_Valuation _DB Dados do Mercado_Controle Extrato Diário2_Relatório Gerencial 2_15-FINANCEIRAS" xfId="14384"/>
    <cellStyle name="s_Valuation _DB Dados do Mercado_Controle Extrato Diário2_Relatório Gerencial_15-FINANCEIRAS" xfId="14385"/>
    <cellStyle name="s_Valuation _DB Dados do Mercado_Controle Extrato Diário2_Relatório Gerencial_15-FINANCEIRAS_1" xfId="14386"/>
    <cellStyle name="s_Valuation _DB Dados do Mercado_Controle Extrato Diário2_Relatório Gerencial_3-Balanço" xfId="14387"/>
    <cellStyle name="s_Valuation _DB Dados do Mercado_Controle Extrato Diário2_Relatório Gerencial_7-Estoque" xfId="14388"/>
    <cellStyle name="s_Valuation _DB Dados do Mercado_Controle Extrato Diário2_Relatório Gerencial_DB Entrada" xfId="14389"/>
    <cellStyle name="s_Valuation _DB Dados do Mercado_Controle Extrato Diário2_Relatório Gerencial_DB Entrada 2" xfId="14390"/>
    <cellStyle name="s_Valuation _DB Dados do Mercado_Controle Extrato Diário2_Relatório Gerencial_DB Entrada 2_15-FINANCEIRAS" xfId="14391"/>
    <cellStyle name="s_Valuation _DB Dados do Mercado_Controle Extrato Diário2_Relatório Gerencial_DB Entrada_15-FINANCEIRAS" xfId="14392"/>
    <cellStyle name="s_Valuation _DB Dados do Mercado_Controle Extrato Diário2_Relatório Gerencial_DB Entrada_15-FINANCEIRAS_1" xfId="14393"/>
    <cellStyle name="s_Valuation _DB Dados do Mercado_Controle Extrato Diário2_Relatório Gerencial_DB Entrada_3-Balanço" xfId="14394"/>
    <cellStyle name="s_Valuation _DB Dados do Mercado_Controle Extrato Diário2_Relatório Gerencial_DB Entrada_7-Estoque" xfId="14395"/>
    <cellStyle name="s_Valuation _DB Dados do Mercado_DB Boletas Abertas" xfId="14396"/>
    <cellStyle name="s_Valuation _DB Dados do Mercado_DB Boletas Abertas 2" xfId="14397"/>
    <cellStyle name="s_Valuation _DB Dados do Mercado_DB Boletas Abertas 2_15-FINANCEIRAS" xfId="14398"/>
    <cellStyle name="s_Valuation _DB Dados do Mercado_DB Boletas Abertas_15-FINANCEIRAS" xfId="14399"/>
    <cellStyle name="s_Valuation _DB Dados do Mercado_DB Boletas Abertas_15-FINANCEIRAS_1" xfId="14400"/>
    <cellStyle name="s_Valuation _DB Dados do Mercado_DB Boletas Abertas_3-Balanço" xfId="14401"/>
    <cellStyle name="s_Valuation _DB Dados do Mercado_DB Boletas Abertas_7-Estoque" xfId="14402"/>
    <cellStyle name="s_Valuation _DB Dados do Mercado_DB Boletas Vencendo" xfId="14403"/>
    <cellStyle name="s_Valuation _DB Dados do Mercado_DB Boletas Vencendo 2" xfId="14404"/>
    <cellStyle name="s_Valuation _DB Dados do Mercado_DB Boletas Vencendo 2_15-FINANCEIRAS" xfId="14405"/>
    <cellStyle name="s_Valuation _DB Dados do Mercado_DB Boletas Vencendo_15-FINANCEIRAS" xfId="14406"/>
    <cellStyle name="s_Valuation _DB Dados do Mercado_DB Boletas Vencendo_15-FINANCEIRAS_1" xfId="14407"/>
    <cellStyle name="s_Valuation _DB Dados do Mercado_DB Boletas Vencendo_3-Balanço" xfId="14408"/>
    <cellStyle name="s_Valuation _DB Dados do Mercado_DB Boletas Vencendo_7-Estoque" xfId="14409"/>
    <cellStyle name="s_Valuation _DB Dados do Mercado_DB Boletas Vencendo_Relatório Gerencial" xfId="14410"/>
    <cellStyle name="s_Valuation _DB Dados do Mercado_DB Boletas Vencendo_Relatório Gerencial 2" xfId="14411"/>
    <cellStyle name="s_Valuation _DB Dados do Mercado_DB Boletas Vencendo_Relatório Gerencial 2_15-FINANCEIRAS" xfId="14412"/>
    <cellStyle name="s_Valuation _DB Dados do Mercado_DB Boletas Vencendo_Relatório Gerencial_15-FINANCEIRAS" xfId="14413"/>
    <cellStyle name="s_Valuation _DB Dados do Mercado_DB Boletas Vencendo_Relatório Gerencial_15-FINANCEIRAS_1" xfId="14414"/>
    <cellStyle name="s_Valuation _DB Dados do Mercado_DB Boletas Vencendo_Relatório Gerencial_3-Balanço" xfId="14415"/>
    <cellStyle name="s_Valuation _DB Dados do Mercado_DB Boletas Vencendo_Relatório Gerencial_7-Estoque" xfId="14416"/>
    <cellStyle name="s_Valuation _DB Dados do Mercado_DB Boletas Vencendo_Relatório Gerencial_DB Entrada" xfId="14417"/>
    <cellStyle name="s_Valuation _DB Dados do Mercado_DB Boletas Vencendo_Relatório Gerencial_DB Entrada 2" xfId="14418"/>
    <cellStyle name="s_Valuation _DB Dados do Mercado_DB Boletas Vencendo_Relatório Gerencial_DB Entrada 2_15-FINANCEIRAS" xfId="14419"/>
    <cellStyle name="s_Valuation _DB Dados do Mercado_DB Boletas Vencendo_Relatório Gerencial_DB Entrada_15-FINANCEIRAS" xfId="14420"/>
    <cellStyle name="s_Valuation _DB Dados do Mercado_DB Boletas Vencendo_Relatório Gerencial_DB Entrada_15-FINANCEIRAS_1" xfId="14421"/>
    <cellStyle name="s_Valuation _DB Dados do Mercado_DB Boletas Vencendo_Relatório Gerencial_DB Entrada_3-Balanço" xfId="14422"/>
    <cellStyle name="s_Valuation _DB Dados do Mercado_DB Boletas Vencendo_Relatório Gerencial_DB Entrada_7-Estoque" xfId="14423"/>
    <cellStyle name="s_Valuation _DB Dados do Mercado_DB Controle" xfId="14424"/>
    <cellStyle name="s_Valuation _DB Dados do Mercado_DB Controle 2" xfId="14425"/>
    <cellStyle name="s_Valuation _DB Dados do Mercado_DB Controle 2_15-FINANCEIRAS" xfId="14426"/>
    <cellStyle name="s_Valuation _DB Dados do Mercado_DB Controle_15-FINANCEIRAS" xfId="14427"/>
    <cellStyle name="s_Valuation _DB Dados do Mercado_DB Controle_15-FINANCEIRAS_1" xfId="14428"/>
    <cellStyle name="s_Valuation _DB Dados do Mercado_DB Controle_3-Balanço" xfId="14429"/>
    <cellStyle name="s_Valuation _DB Dados do Mercado_DB Controle_7-Estoque" xfId="14430"/>
    <cellStyle name="s_Valuation _DB Dados do Mercado_DB Controle_Relatório Gerencial" xfId="14431"/>
    <cellStyle name="s_Valuation _DB Dados do Mercado_DB Controle_Relatório Gerencial 2" xfId="14432"/>
    <cellStyle name="s_Valuation _DB Dados do Mercado_DB Controle_Relatório Gerencial 2_15-FINANCEIRAS" xfId="14433"/>
    <cellStyle name="s_Valuation _DB Dados do Mercado_DB Controle_Relatório Gerencial_15-FINANCEIRAS" xfId="14434"/>
    <cellStyle name="s_Valuation _DB Dados do Mercado_DB Controle_Relatório Gerencial_15-FINANCEIRAS_1" xfId="14435"/>
    <cellStyle name="s_Valuation _DB Dados do Mercado_DB Controle_Relatório Gerencial_3-Balanço" xfId="14436"/>
    <cellStyle name="s_Valuation _DB Dados do Mercado_DB Controle_Relatório Gerencial_7-Estoque" xfId="14437"/>
    <cellStyle name="s_Valuation _DB Dados do Mercado_DB Controle_Relatório Gerencial_DB Entrada" xfId="14438"/>
    <cellStyle name="s_Valuation _DB Dados do Mercado_DB Controle_Relatório Gerencial_DB Entrada 2" xfId="14439"/>
    <cellStyle name="s_Valuation _DB Dados do Mercado_DB Controle_Relatório Gerencial_DB Entrada 2_15-FINANCEIRAS" xfId="14440"/>
    <cellStyle name="s_Valuation _DB Dados do Mercado_DB Controle_Relatório Gerencial_DB Entrada_15-FINANCEIRAS" xfId="14441"/>
    <cellStyle name="s_Valuation _DB Dados do Mercado_DB Controle_Relatório Gerencial_DB Entrada_15-FINANCEIRAS_1" xfId="14442"/>
    <cellStyle name="s_Valuation _DB Dados do Mercado_DB Controle_Relatório Gerencial_DB Entrada_3-Balanço" xfId="14443"/>
    <cellStyle name="s_Valuation _DB Dados do Mercado_DB Controle_Relatório Gerencial_DB Entrada_7-Estoque" xfId="14444"/>
    <cellStyle name="s_Valuation _DB Dados do Mercado_DB Dados do Mercado" xfId="14445"/>
    <cellStyle name="s_Valuation _DB Dados do Mercado_DB Dados do Mercado 2" xfId="14446"/>
    <cellStyle name="s_Valuation _DB Dados do Mercado_DB Dados do Mercado 2_15-FINANCEIRAS" xfId="14447"/>
    <cellStyle name="s_Valuation _DB Dados do Mercado_DB Dados do Mercado_15-FINANCEIRAS" xfId="14448"/>
    <cellStyle name="s_Valuation _DB Dados do Mercado_DB Dados do Mercado_15-FINANCEIRAS_1" xfId="14449"/>
    <cellStyle name="s_Valuation _DB Dados do Mercado_DB Dados do Mercado_3-Balanço" xfId="14450"/>
    <cellStyle name="s_Valuation _DB Dados do Mercado_DB Dados do Mercado_7-Estoque" xfId="14451"/>
    <cellStyle name="s_Valuation _DB Dados do Mercado_DB Dados do Mercado_Relatório Gerencial" xfId="14452"/>
    <cellStyle name="s_Valuation _DB Dados do Mercado_DB Dados do Mercado_Relatório Gerencial 2" xfId="14453"/>
    <cellStyle name="s_Valuation _DB Dados do Mercado_DB Dados do Mercado_Relatório Gerencial 2_15-FINANCEIRAS" xfId="14454"/>
    <cellStyle name="s_Valuation _DB Dados do Mercado_DB Dados do Mercado_Relatório Gerencial_15-FINANCEIRAS" xfId="14455"/>
    <cellStyle name="s_Valuation _DB Dados do Mercado_DB Dados do Mercado_Relatório Gerencial_15-FINANCEIRAS_1" xfId="14456"/>
    <cellStyle name="s_Valuation _DB Dados do Mercado_DB Dados do Mercado_Relatório Gerencial_3-Balanço" xfId="14457"/>
    <cellStyle name="s_Valuation _DB Dados do Mercado_DB Dados do Mercado_Relatório Gerencial_7-Estoque" xfId="14458"/>
    <cellStyle name="s_Valuation _DB Dados do Mercado_DB Dados do Mercado_Relatório Gerencial_DB Entrada" xfId="14459"/>
    <cellStyle name="s_Valuation _DB Dados do Mercado_DB Dados do Mercado_Relatório Gerencial_DB Entrada 2" xfId="14460"/>
    <cellStyle name="s_Valuation _DB Dados do Mercado_DB Dados do Mercado_Relatório Gerencial_DB Entrada 2_15-FINANCEIRAS" xfId="14461"/>
    <cellStyle name="s_Valuation _DB Dados do Mercado_DB Dados do Mercado_Relatório Gerencial_DB Entrada_15-FINANCEIRAS" xfId="14462"/>
    <cellStyle name="s_Valuation _DB Dados do Mercado_DB Dados do Mercado_Relatório Gerencial_DB Entrada_15-FINANCEIRAS_1" xfId="14463"/>
    <cellStyle name="s_Valuation _DB Dados do Mercado_DB Dados do Mercado_Relatório Gerencial_DB Entrada_3-Balanço" xfId="14464"/>
    <cellStyle name="s_Valuation _DB Dados do Mercado_DB Dados do Mercado_Relatório Gerencial_DB Entrada_7-Estoque" xfId="14465"/>
    <cellStyle name="s_Valuation _DB Dados do Mercado_DB Entrada" xfId="14466"/>
    <cellStyle name="s_Valuation _DB Dados do Mercado_DB Entrada 2" xfId="14467"/>
    <cellStyle name="s_Valuation _DB Dados do Mercado_DB Entrada 2_15-FINANCEIRAS" xfId="14468"/>
    <cellStyle name="s_Valuation _DB Dados do Mercado_DB Entrada_15-FINANCEIRAS" xfId="14469"/>
    <cellStyle name="s_Valuation _DB Dados do Mercado_DB Entrada_15-FINANCEIRAS_1" xfId="14470"/>
    <cellStyle name="s_Valuation _DB Dados do Mercado_DB Entrada_3-Balanço" xfId="14471"/>
    <cellStyle name="s_Valuation _DB Dados do Mercado_DB Entrada_7-Estoque" xfId="14472"/>
    <cellStyle name="s_Valuation _DB Dados do Mercado_DB Entrada_Relatório Gerencial" xfId="14473"/>
    <cellStyle name="s_Valuation _DB Dados do Mercado_DB Entrada_Relatório Gerencial 2" xfId="14474"/>
    <cellStyle name="s_Valuation _DB Dados do Mercado_DB Entrada_Relatório Gerencial 2_15-FINANCEIRAS" xfId="14475"/>
    <cellStyle name="s_Valuation _DB Dados do Mercado_DB Entrada_Relatório Gerencial_15-FINANCEIRAS" xfId="14476"/>
    <cellStyle name="s_Valuation _DB Dados do Mercado_DB Entrada_Relatório Gerencial_15-FINANCEIRAS_1" xfId="14477"/>
    <cellStyle name="s_Valuation _DB Dados do Mercado_DB Entrada_Relatório Gerencial_3-Balanço" xfId="14478"/>
    <cellStyle name="s_Valuation _DB Dados do Mercado_DB Entrada_Relatório Gerencial_7-Estoque" xfId="14479"/>
    <cellStyle name="s_Valuation _DB Dados do Mercado_DB Entrada_Relatório Gerencial_DB Entrada" xfId="14480"/>
    <cellStyle name="s_Valuation _DB Dados do Mercado_DB Entrada_Relatório Gerencial_DB Entrada 2" xfId="14481"/>
    <cellStyle name="s_Valuation _DB Dados do Mercado_DB Entrada_Relatório Gerencial_DB Entrada 2_15-FINANCEIRAS" xfId="14482"/>
    <cellStyle name="s_Valuation _DB Dados do Mercado_DB Entrada_Relatório Gerencial_DB Entrada_15-FINANCEIRAS" xfId="14483"/>
    <cellStyle name="s_Valuation _DB Dados do Mercado_DB Entrada_Relatório Gerencial_DB Entrada_15-FINANCEIRAS_1" xfId="14484"/>
    <cellStyle name="s_Valuation _DB Dados do Mercado_DB Entrada_Relatório Gerencial_DB Entrada_3-Balanço" xfId="14485"/>
    <cellStyle name="s_Valuation _DB Dados do Mercado_DB Entrada_Relatório Gerencial_DB Entrada_7-Estoque" xfId="14486"/>
    <cellStyle name="s_Valuation _DB Dados do Mercado_DB Exposição" xfId="14487"/>
    <cellStyle name="s_Valuation _DB Dados do Mercado_DB Exposição 2" xfId="14488"/>
    <cellStyle name="s_Valuation _DB Dados do Mercado_DB Exposição 2_15-FINANCEIRAS" xfId="14489"/>
    <cellStyle name="s_Valuation _DB Dados do Mercado_DB Exposição_15-FINANCEIRAS" xfId="14490"/>
    <cellStyle name="s_Valuation _DB Dados do Mercado_DB Exposição_15-FINANCEIRAS_1" xfId="14491"/>
    <cellStyle name="s_Valuation _DB Dados do Mercado_DB Exposição_3-Balanço" xfId="14492"/>
    <cellStyle name="s_Valuation _DB Dados do Mercado_DB Exposição_7-Estoque" xfId="14493"/>
    <cellStyle name="s_Valuation _DB Dados do Mercado_DB Exposição_Relatório Gerencial" xfId="14494"/>
    <cellStyle name="s_Valuation _DB Dados do Mercado_DB Exposição_Relatório Gerencial 2" xfId="14495"/>
    <cellStyle name="s_Valuation _DB Dados do Mercado_DB Exposição_Relatório Gerencial 2_15-FINANCEIRAS" xfId="14496"/>
    <cellStyle name="s_Valuation _DB Dados do Mercado_DB Exposição_Relatório Gerencial_15-FINANCEIRAS" xfId="14497"/>
    <cellStyle name="s_Valuation _DB Dados do Mercado_DB Exposição_Relatório Gerencial_15-FINANCEIRAS_1" xfId="14498"/>
    <cellStyle name="s_Valuation _DB Dados do Mercado_DB Exposição_Relatório Gerencial_3-Balanço" xfId="14499"/>
    <cellStyle name="s_Valuation _DB Dados do Mercado_DB Exposição_Relatório Gerencial_7-Estoque" xfId="14500"/>
    <cellStyle name="s_Valuation _DB Dados do Mercado_DB Exposição_Relatório Gerencial_DB Entrada" xfId="14501"/>
    <cellStyle name="s_Valuation _DB Dados do Mercado_DB Exposição_Relatório Gerencial_DB Entrada 2" xfId="14502"/>
    <cellStyle name="s_Valuation _DB Dados do Mercado_DB Exposição_Relatório Gerencial_DB Entrada 2_15-FINANCEIRAS" xfId="14503"/>
    <cellStyle name="s_Valuation _DB Dados do Mercado_DB Exposição_Relatório Gerencial_DB Entrada_15-FINANCEIRAS" xfId="14504"/>
    <cellStyle name="s_Valuation _DB Dados do Mercado_DB Exposição_Relatório Gerencial_DB Entrada_15-FINANCEIRAS_1" xfId="14505"/>
    <cellStyle name="s_Valuation _DB Dados do Mercado_DB Exposição_Relatório Gerencial_DB Entrada_3-Balanço" xfId="14506"/>
    <cellStyle name="s_Valuation _DB Dados do Mercado_DB Exposição_Relatório Gerencial_DB Entrada_7-Estoque" xfId="14507"/>
    <cellStyle name="s_Valuation _DB Dados do Mercado_DB Posição" xfId="14508"/>
    <cellStyle name="s_Valuation _DB Dados do Mercado_DB Posição 2" xfId="14509"/>
    <cellStyle name="s_Valuation _DB Dados do Mercado_DB Posição 2_15-FINANCEIRAS" xfId="14510"/>
    <cellStyle name="s_Valuation _DB Dados do Mercado_DB Posição_15-FINANCEIRAS" xfId="14511"/>
    <cellStyle name="s_Valuation _DB Dados do Mercado_DB Posição_15-FINANCEIRAS_1" xfId="14512"/>
    <cellStyle name="s_Valuation _DB Dados do Mercado_DB Posição_3-Balanço" xfId="14513"/>
    <cellStyle name="s_Valuation _DB Dados do Mercado_DB Posição_7-Estoque" xfId="14514"/>
    <cellStyle name="s_Valuation _DB Dados do Mercado_Extratos diários" xfId="14515"/>
    <cellStyle name="s_Valuation _DB Dados do Mercado_Extratos diários 2" xfId="14516"/>
    <cellStyle name="s_Valuation _DB Dados do Mercado_Extratos diários 2_15-FINANCEIRAS" xfId="14517"/>
    <cellStyle name="s_Valuation _DB Dados do Mercado_Extratos diários_15-FINANCEIRAS" xfId="14518"/>
    <cellStyle name="s_Valuation _DB Dados do Mercado_Extratos diários_15-FINANCEIRAS_1" xfId="14519"/>
    <cellStyle name="s_Valuation _DB Dados do Mercado_Extratos diários_3-Balanço" xfId="14520"/>
    <cellStyle name="s_Valuation _DB Dados do Mercado_Extratos diários_7-Estoque" xfId="14521"/>
    <cellStyle name="s_Valuation _DB Dados do Mercado_Extratos diários_Relatório Gerencial" xfId="14522"/>
    <cellStyle name="s_Valuation _DB Dados do Mercado_Extratos diários_Relatório Gerencial 2" xfId="14523"/>
    <cellStyle name="s_Valuation _DB Dados do Mercado_Extratos diários_Relatório Gerencial 2_15-FINANCEIRAS" xfId="14524"/>
    <cellStyle name="s_Valuation _DB Dados do Mercado_Extratos diários_Relatório Gerencial_15-FINANCEIRAS" xfId="14525"/>
    <cellStyle name="s_Valuation _DB Dados do Mercado_Extratos diários_Relatório Gerencial_15-FINANCEIRAS_1" xfId="14526"/>
    <cellStyle name="s_Valuation _DB Dados do Mercado_Extratos diários_Relatório Gerencial_3-Balanço" xfId="14527"/>
    <cellStyle name="s_Valuation _DB Dados do Mercado_Extratos diários_Relatório Gerencial_7-Estoque" xfId="14528"/>
    <cellStyle name="s_Valuation _DB Dados do Mercado_Extratos diários_Relatório Gerencial_DB Entrada" xfId="14529"/>
    <cellStyle name="s_Valuation _DB Dados do Mercado_Extratos diários_Relatório Gerencial_DB Entrada 2" xfId="14530"/>
    <cellStyle name="s_Valuation _DB Dados do Mercado_Extratos diários_Relatório Gerencial_DB Entrada 2_15-FINANCEIRAS" xfId="14531"/>
    <cellStyle name="s_Valuation _DB Dados do Mercado_Extratos diários_Relatório Gerencial_DB Entrada_15-FINANCEIRAS" xfId="14532"/>
    <cellStyle name="s_Valuation _DB Dados do Mercado_Extratos diários_Relatório Gerencial_DB Entrada_15-FINANCEIRAS_1" xfId="14533"/>
    <cellStyle name="s_Valuation _DB Dados do Mercado_Extratos diários_Relatório Gerencial_DB Entrada_3-Balanço" xfId="14534"/>
    <cellStyle name="s_Valuation _DB Dados do Mercado_Extratos diários_Relatório Gerencial_DB Entrada_7-Estoque" xfId="14535"/>
    <cellStyle name="s_Valuation _DB Dados do Mercado_MARGIN CALL" xfId="14536"/>
    <cellStyle name="s_Valuation _DB Dados do Mercado_MARGIN CALL 2" xfId="14537"/>
    <cellStyle name="s_Valuation _DB Dados do Mercado_MARGIN CALL 2_15-FINANCEIRAS" xfId="14538"/>
    <cellStyle name="s_Valuation _DB Dados do Mercado_MARGIN CALL_15-FINANCEIRAS" xfId="14539"/>
    <cellStyle name="s_Valuation _DB Dados do Mercado_MARGIN CALL_15-FINANCEIRAS_1" xfId="14540"/>
    <cellStyle name="s_Valuation _DB Dados do Mercado_MARGIN CALL_3-Balanço" xfId="14541"/>
    <cellStyle name="s_Valuation _DB Dados do Mercado_MARGIN CALL_7-Estoque" xfId="14542"/>
    <cellStyle name="s_Valuation _DB Dados do Mercado_MARGIN CALL_Relatório Gerencial" xfId="14543"/>
    <cellStyle name="s_Valuation _DB Dados do Mercado_MARGIN CALL_Relatório Gerencial 2" xfId="14544"/>
    <cellStyle name="s_Valuation _DB Dados do Mercado_MARGIN CALL_Relatório Gerencial 2_15-FINANCEIRAS" xfId="14545"/>
    <cellStyle name="s_Valuation _DB Dados do Mercado_MARGIN CALL_Relatório Gerencial_15-FINANCEIRAS" xfId="14546"/>
    <cellStyle name="s_Valuation _DB Dados do Mercado_MARGIN CALL_Relatório Gerencial_15-FINANCEIRAS_1" xfId="14547"/>
    <cellStyle name="s_Valuation _DB Dados do Mercado_MARGIN CALL_Relatório Gerencial_3-Balanço" xfId="14548"/>
    <cellStyle name="s_Valuation _DB Dados do Mercado_MARGIN CALL_Relatório Gerencial_7-Estoque" xfId="14549"/>
    <cellStyle name="s_Valuation _DB Dados do Mercado_MARGIN CALL_Relatório Gerencial_DB Entrada" xfId="14550"/>
    <cellStyle name="s_Valuation _DB Dados do Mercado_MARGIN CALL_Relatório Gerencial_DB Entrada 2" xfId="14551"/>
    <cellStyle name="s_Valuation _DB Dados do Mercado_MARGIN CALL_Relatório Gerencial_DB Entrada 2_15-FINANCEIRAS" xfId="14552"/>
    <cellStyle name="s_Valuation _DB Dados do Mercado_MARGIN CALL_Relatório Gerencial_DB Entrada_15-FINANCEIRAS" xfId="14553"/>
    <cellStyle name="s_Valuation _DB Dados do Mercado_MARGIN CALL_Relatório Gerencial_DB Entrada_15-FINANCEIRAS_1" xfId="14554"/>
    <cellStyle name="s_Valuation _DB Dados do Mercado_MARGIN CALL_Relatório Gerencial_DB Entrada_3-Balanço" xfId="14555"/>
    <cellStyle name="s_Valuation _DB Dados do Mercado_MARGIN CALL_Relatório Gerencial_DB Entrada_7-Estoque" xfId="14556"/>
    <cellStyle name="s_Valuation _DB Dados do Mercado_Modelo kardex_Abril 10-11_Alcool_v 1.1" xfId="14557"/>
    <cellStyle name="s_Valuation _DB Dados do Mercado_Modelo kardex_Abril 10-11_Alcool_v 1.1 2" xfId="14558"/>
    <cellStyle name="s_Valuation _DB Dados do Mercado_Modelo kardex_Abril 10-11_Alcool_v 1.1 2_15-FINANCEIRAS" xfId="14559"/>
    <cellStyle name="s_Valuation _DB Dados do Mercado_Modelo kardex_Abril 10-11_Alcool_v 1.1_15-FINANCEIRAS" xfId="14560"/>
    <cellStyle name="s_Valuation _DB Dados do Mercado_Modelo kardex_Abril 10-11_Alcool_v 1.1_15-FINANCEIRAS_1" xfId="14561"/>
    <cellStyle name="s_Valuation _DB Dados do Mercado_Modelo kardex_Abril 10-11_Alcool_v 1.1_3-Balanço" xfId="14562"/>
    <cellStyle name="s_Valuation _DB Dados do Mercado_Modelo kardex_Abril 10-11_Alcool_v 1.1_3-Balanço 2" xfId="14563"/>
    <cellStyle name="s_Valuation _DB Dados do Mercado_Modelo kardex_Abril 10-11_Alcool_v 1.1_3-Balanço 2_15-FINANCEIRAS" xfId="14564"/>
    <cellStyle name="s_Valuation _DB Dados do Mercado_Modelo kardex_Abril 10-11_Alcool_v 1.1_3-Balanço_1" xfId="14565"/>
    <cellStyle name="s_Valuation _DB Dados do Mercado_Modelo kardex_Abril 10-11_Alcool_v 1.1_3-Balanço_15-FINANCEIRAS" xfId="14566"/>
    <cellStyle name="s_Valuation _DB Dados do Mercado_Modelo kardex_Abril 10-11_Alcool_v 1.1_3-Balanço_15-FINANCEIRAS_1" xfId="14567"/>
    <cellStyle name="s_Valuation _DB Dados do Mercado_Modelo kardex_Abril 10-11_Alcool_v 1.1_3-Balanço_3-Balanço" xfId="14568"/>
    <cellStyle name="s_Valuation _DB Dados do Mercado_Modelo kardex_Abril 10-11_Alcool_v 1.1_3-Balanço_7-Estoque" xfId="14569"/>
    <cellStyle name="s_Valuation _DB Dados do Mercado_Modelo kardex_Abril 10-11_Alcool_v 1.1_7-Estoque" xfId="14570"/>
    <cellStyle name="s_Valuation _DB Dados do Mercado_Modelo kardex_Abril 10-11_Alcool_v 1.1_Balanço" xfId="14571"/>
    <cellStyle name="s_Valuation _DB Dados do Mercado_MTM Swap Morgan Stanley" xfId="14572"/>
    <cellStyle name="s_Valuation _DB Dados do Mercado_MTM Swap Morgan Stanley 2" xfId="14573"/>
    <cellStyle name="s_Valuation _DB Dados do Mercado_MTM Swap Morgan Stanley 2_15-FINANCEIRAS" xfId="14574"/>
    <cellStyle name="s_Valuation _DB Dados do Mercado_MTM Swap Morgan Stanley_15-FINANCEIRAS" xfId="14575"/>
    <cellStyle name="s_Valuation _DB Dados do Mercado_MTM Swap Morgan Stanley_15-FINANCEIRAS_1" xfId="14576"/>
    <cellStyle name="s_Valuation _DB Dados do Mercado_MTM Swap Morgan Stanley_3-Balanço" xfId="14577"/>
    <cellStyle name="s_Valuation _DB Dados do Mercado_MTM Swap Morgan Stanley_7-Estoque" xfId="14578"/>
    <cellStyle name="s_Valuation _DB Dados do Mercado_MTM Swap Morgan Stanley_MtM Swap Morgan Stanley" xfId="14579"/>
    <cellStyle name="s_Valuation _DB Dados do Mercado_MTM Swap Morgan Stanley_MtM Swap Morgan Stanley 130109" xfId="14580"/>
    <cellStyle name="s_Valuation _DB Dados do Mercado_MTM Swap Morgan Stanley_MtM Swap Morgan Stanley 130109 2" xfId="14581"/>
    <cellStyle name="s_Valuation _DB Dados do Mercado_MTM Swap Morgan Stanley_MtM Swap Morgan Stanley 130109 2_15-FINANCEIRAS" xfId="14582"/>
    <cellStyle name="s_Valuation _DB Dados do Mercado_MTM Swap Morgan Stanley_MtM Swap Morgan Stanley 130109_15-FINANCEIRAS" xfId="14583"/>
    <cellStyle name="s_Valuation _DB Dados do Mercado_MTM Swap Morgan Stanley_MtM Swap Morgan Stanley 130109_15-FINANCEIRAS_1" xfId="14584"/>
    <cellStyle name="s_Valuation _DB Dados do Mercado_MTM Swap Morgan Stanley_MtM Swap Morgan Stanley 130109_3-Balanço" xfId="14585"/>
    <cellStyle name="s_Valuation _DB Dados do Mercado_MTM Swap Morgan Stanley_MtM Swap Morgan Stanley 130109_7-Estoque" xfId="14586"/>
    <cellStyle name="s_Valuation _DB Dados do Mercado_MTM Swap Morgan Stanley_MtM Swap Morgan Stanley 130109_Relatório Gerencial" xfId="14587"/>
    <cellStyle name="s_Valuation _DB Dados do Mercado_MTM Swap Morgan Stanley_MtM Swap Morgan Stanley 130109_Relatório Gerencial 2" xfId="14588"/>
    <cellStyle name="s_Valuation _DB Dados do Mercado_MTM Swap Morgan Stanley_MtM Swap Morgan Stanley 130109_Relatório Gerencial 2_15-FINANCEIRAS" xfId="14589"/>
    <cellStyle name="s_Valuation _DB Dados do Mercado_MTM Swap Morgan Stanley_MtM Swap Morgan Stanley 130109_Relatório Gerencial_15-FINANCEIRAS" xfId="14590"/>
    <cellStyle name="s_Valuation _DB Dados do Mercado_MTM Swap Morgan Stanley_MtM Swap Morgan Stanley 130109_Relatório Gerencial_15-FINANCEIRAS_1" xfId="14591"/>
    <cellStyle name="s_Valuation _DB Dados do Mercado_MTM Swap Morgan Stanley_MtM Swap Morgan Stanley 130109_Relatório Gerencial_3-Balanço" xfId="14592"/>
    <cellStyle name="s_Valuation _DB Dados do Mercado_MTM Swap Morgan Stanley_MtM Swap Morgan Stanley 130109_Relatório Gerencial_7-Estoque" xfId="14593"/>
    <cellStyle name="s_Valuation _DB Dados do Mercado_MTM Swap Morgan Stanley_MtM Swap Morgan Stanley 130109_Relatório Gerencial_DB Entrada" xfId="14594"/>
    <cellStyle name="s_Valuation _DB Dados do Mercado_MTM Swap Morgan Stanley_MtM Swap Morgan Stanley 130109_Relatório Gerencial_DB Entrada 2" xfId="14595"/>
    <cellStyle name="s_Valuation _DB Dados do Mercado_MTM Swap Morgan Stanley_MtM Swap Morgan Stanley 130109_Relatório Gerencial_DB Entrada 2_15-FINANCEIRAS" xfId="14596"/>
    <cellStyle name="s_Valuation _DB Dados do Mercado_MTM Swap Morgan Stanley_MtM Swap Morgan Stanley 130109_Relatório Gerencial_DB Entrada_15-FINANCEIRAS" xfId="14597"/>
    <cellStyle name="s_Valuation _DB Dados do Mercado_MTM Swap Morgan Stanley_MtM Swap Morgan Stanley 130109_Relatório Gerencial_DB Entrada_15-FINANCEIRAS_1" xfId="14598"/>
    <cellStyle name="s_Valuation _DB Dados do Mercado_MTM Swap Morgan Stanley_MtM Swap Morgan Stanley 130109_Relatório Gerencial_DB Entrada_3-Balanço" xfId="14599"/>
    <cellStyle name="s_Valuation _DB Dados do Mercado_MTM Swap Morgan Stanley_MtM Swap Morgan Stanley 130109_Relatório Gerencial_DB Entrada_7-Estoque" xfId="14600"/>
    <cellStyle name="s_Valuation _DB Dados do Mercado_MTM Swap Morgan Stanley_MtM Swap Morgan Stanley 2" xfId="14601"/>
    <cellStyle name="s_Valuation _DB Dados do Mercado_MTM Swap Morgan Stanley_MtM Swap Morgan Stanley 2_15-FINANCEIRAS" xfId="14602"/>
    <cellStyle name="s_Valuation _DB Dados do Mercado_MTM Swap Morgan Stanley_MtM Swap Morgan Stanley_15-FINANCEIRAS" xfId="14603"/>
    <cellStyle name="s_Valuation _DB Dados do Mercado_MTM Swap Morgan Stanley_MtM Swap Morgan Stanley_15-FINANCEIRAS_1" xfId="14604"/>
    <cellStyle name="s_Valuation _DB Dados do Mercado_MTM Swap Morgan Stanley_MtM Swap Morgan Stanley_3-Balanço" xfId="14605"/>
    <cellStyle name="s_Valuation _DB Dados do Mercado_MTM Swap Morgan Stanley_MtM Swap Morgan Stanley_7-Estoque" xfId="14606"/>
    <cellStyle name="s_Valuation _DB Dados do Mercado_MTM Swap Morgan Stanley_MtM Swap Morgan Stanley_Relatório Gerencial" xfId="14607"/>
    <cellStyle name="s_Valuation _DB Dados do Mercado_MTM Swap Morgan Stanley_MtM Swap Morgan Stanley_Relatório Gerencial 2" xfId="14608"/>
    <cellStyle name="s_Valuation _DB Dados do Mercado_MTM Swap Morgan Stanley_MtM Swap Morgan Stanley_Relatório Gerencial 2_15-FINANCEIRAS" xfId="14609"/>
    <cellStyle name="s_Valuation _DB Dados do Mercado_MTM Swap Morgan Stanley_MtM Swap Morgan Stanley_Relatório Gerencial_15-FINANCEIRAS" xfId="14610"/>
    <cellStyle name="s_Valuation _DB Dados do Mercado_MTM Swap Morgan Stanley_MtM Swap Morgan Stanley_Relatório Gerencial_15-FINANCEIRAS_1" xfId="14611"/>
    <cellStyle name="s_Valuation _DB Dados do Mercado_MTM Swap Morgan Stanley_MtM Swap Morgan Stanley_Relatório Gerencial_3-Balanço" xfId="14612"/>
    <cellStyle name="s_Valuation _DB Dados do Mercado_MTM Swap Morgan Stanley_MtM Swap Morgan Stanley_Relatório Gerencial_7-Estoque" xfId="14613"/>
    <cellStyle name="s_Valuation _DB Dados do Mercado_MTM Swap Morgan Stanley_MtM Swap Morgan Stanley_Relatório Gerencial_DB Entrada" xfId="14614"/>
    <cellStyle name="s_Valuation _DB Dados do Mercado_MTM Swap Morgan Stanley_MtM Swap Morgan Stanley_Relatório Gerencial_DB Entrada 2" xfId="14615"/>
    <cellStyle name="s_Valuation _DB Dados do Mercado_MTM Swap Morgan Stanley_MtM Swap Morgan Stanley_Relatório Gerencial_DB Entrada 2_15-FINANCEIRAS" xfId="14616"/>
    <cellStyle name="s_Valuation _DB Dados do Mercado_MTM Swap Morgan Stanley_MtM Swap Morgan Stanley_Relatório Gerencial_DB Entrada_15-FINANCEIRAS" xfId="14617"/>
    <cellStyle name="s_Valuation _DB Dados do Mercado_MTM Swap Morgan Stanley_MtM Swap Morgan Stanley_Relatório Gerencial_DB Entrada_15-FINANCEIRAS_1" xfId="14618"/>
    <cellStyle name="s_Valuation _DB Dados do Mercado_MTM Swap Morgan Stanley_MtM Swap Morgan Stanley_Relatório Gerencial_DB Entrada_3-Balanço" xfId="14619"/>
    <cellStyle name="s_Valuation _DB Dados do Mercado_MTM Swap Morgan Stanley_MtM Swap Morgan Stanley_Relatório Gerencial_DB Entrada_7-Estoque" xfId="14620"/>
    <cellStyle name="s_Valuation _DB Dados do Mercado_MTM Swap Morgan Stanley_Relatório Gerencial" xfId="14621"/>
    <cellStyle name="s_Valuation _DB Dados do Mercado_MTM Swap Morgan Stanley_Relatório Gerencial 2" xfId="14622"/>
    <cellStyle name="s_Valuation _DB Dados do Mercado_MTM Swap Morgan Stanley_Relatório Gerencial 2_15-FINANCEIRAS" xfId="14623"/>
    <cellStyle name="s_Valuation _DB Dados do Mercado_MTM Swap Morgan Stanley_Relatório Gerencial_15-FINANCEIRAS" xfId="14624"/>
    <cellStyle name="s_Valuation _DB Dados do Mercado_MTM Swap Morgan Stanley_Relatório Gerencial_15-FINANCEIRAS_1" xfId="14625"/>
    <cellStyle name="s_Valuation _DB Dados do Mercado_MTM Swap Morgan Stanley_Relatório Gerencial_3-Balanço" xfId="14626"/>
    <cellStyle name="s_Valuation _DB Dados do Mercado_MTM Swap Morgan Stanley_Relatório Gerencial_7-Estoque" xfId="14627"/>
    <cellStyle name="s_Valuation _DB Dados do Mercado_MTM Swap Morgan Stanley_Relatório Gerencial_DB Entrada" xfId="14628"/>
    <cellStyle name="s_Valuation _DB Dados do Mercado_MTM Swap Morgan Stanley_Relatório Gerencial_DB Entrada 2" xfId="14629"/>
    <cellStyle name="s_Valuation _DB Dados do Mercado_MTM Swap Morgan Stanley_Relatório Gerencial_DB Entrada 2_15-FINANCEIRAS" xfId="14630"/>
    <cellStyle name="s_Valuation _DB Dados do Mercado_MTM Swap Morgan Stanley_Relatório Gerencial_DB Entrada_15-FINANCEIRAS" xfId="14631"/>
    <cellStyle name="s_Valuation _DB Dados do Mercado_MTM Swap Morgan Stanley_Relatório Gerencial_DB Entrada_15-FINANCEIRAS_1" xfId="14632"/>
    <cellStyle name="s_Valuation _DB Dados do Mercado_MTM Swap Morgan Stanley_Relatório Gerencial_DB Entrada_3-Balanço" xfId="14633"/>
    <cellStyle name="s_Valuation _DB Dados do Mercado_MTM Swap Morgan Stanley_Relatório Gerencial_DB Entrada_7-Estoque" xfId="14634"/>
    <cellStyle name="s_Valuation _DB Dados do Mercado_MtM Swap Out08 CF" xfId="14635"/>
    <cellStyle name="s_Valuation _DB Dados do Mercado_MtM Swap Out08 CF 2" xfId="14636"/>
    <cellStyle name="s_Valuation _DB Dados do Mercado_MtM Swap Out08 CF 2_15-FINANCEIRAS" xfId="14637"/>
    <cellStyle name="s_Valuation _DB Dados do Mercado_MtM Swap Out08 CF_15-FINANCEIRAS" xfId="14638"/>
    <cellStyle name="s_Valuation _DB Dados do Mercado_MtM Swap Out08 CF_15-FINANCEIRAS_1" xfId="14639"/>
    <cellStyle name="s_Valuation _DB Dados do Mercado_MtM Swap Out08 CF_3-Balanço" xfId="14640"/>
    <cellStyle name="s_Valuation _DB Dados do Mercado_MtM Swap Out08 CF_7-Estoque" xfId="14641"/>
    <cellStyle name="s_Valuation _DB Dados do Mercado_MtM Swap Out08 CF_Relatório Gerencial" xfId="14642"/>
    <cellStyle name="s_Valuation _DB Dados do Mercado_MtM Swap Out08 CF_Relatório Gerencial 2" xfId="14643"/>
    <cellStyle name="s_Valuation _DB Dados do Mercado_MtM Swap Out08 CF_Relatório Gerencial 2_15-FINANCEIRAS" xfId="14644"/>
    <cellStyle name="s_Valuation _DB Dados do Mercado_MtM Swap Out08 CF_Relatório Gerencial_15-FINANCEIRAS" xfId="14645"/>
    <cellStyle name="s_Valuation _DB Dados do Mercado_MtM Swap Out08 CF_Relatório Gerencial_15-FINANCEIRAS_1" xfId="14646"/>
    <cellStyle name="s_Valuation _DB Dados do Mercado_MtM Swap Out08 CF_Relatório Gerencial_3-Balanço" xfId="14647"/>
    <cellStyle name="s_Valuation _DB Dados do Mercado_MtM Swap Out08 CF_Relatório Gerencial_7-Estoque" xfId="14648"/>
    <cellStyle name="s_Valuation _DB Dados do Mercado_MtM Swap Out08 CF_Relatório Gerencial_DB Entrada" xfId="14649"/>
    <cellStyle name="s_Valuation _DB Dados do Mercado_MtM Swap Out08 CF_Relatório Gerencial_DB Entrada 2" xfId="14650"/>
    <cellStyle name="s_Valuation _DB Dados do Mercado_MtM Swap Out08 CF_Relatório Gerencial_DB Entrada 2_15-FINANCEIRAS" xfId="14651"/>
    <cellStyle name="s_Valuation _DB Dados do Mercado_MtM Swap Out08 CF_Relatório Gerencial_DB Entrada_15-FINANCEIRAS" xfId="14652"/>
    <cellStyle name="s_Valuation _DB Dados do Mercado_MtM Swap Out08 CF_Relatório Gerencial_DB Entrada_15-FINANCEIRAS_1" xfId="14653"/>
    <cellStyle name="s_Valuation _DB Dados do Mercado_MtM Swap Out08 CF_Relatório Gerencial_DB Entrada_3-Balanço" xfId="14654"/>
    <cellStyle name="s_Valuation _DB Dados do Mercado_MtM Swap Out08 CF_Relatório Gerencial_DB Entrada_7-Estoque" xfId="14655"/>
    <cellStyle name="s_Valuation _DB Dados do Mercado_Natixis" xfId="14656"/>
    <cellStyle name="s_Valuation _DB Dados do Mercado_Natixis 2" xfId="14657"/>
    <cellStyle name="s_Valuation _DB Dados do Mercado_Natixis 2_15-FINANCEIRAS" xfId="14658"/>
    <cellStyle name="s_Valuation _DB Dados do Mercado_Natixis_15-FINANCEIRAS" xfId="14659"/>
    <cellStyle name="s_Valuation _DB Dados do Mercado_Natixis_15-FINANCEIRAS_1" xfId="14660"/>
    <cellStyle name="s_Valuation _DB Dados do Mercado_Natixis_3-Balanço" xfId="14661"/>
    <cellStyle name="s_Valuation _DB Dados do Mercado_Natixis_7-Estoque" xfId="14662"/>
    <cellStyle name="s_Valuation _DB Dados do Mercado_Natixis_Relatório Gerencial" xfId="14663"/>
    <cellStyle name="s_Valuation _DB Dados do Mercado_Natixis_Relatório Gerencial 2" xfId="14664"/>
    <cellStyle name="s_Valuation _DB Dados do Mercado_Natixis_Relatório Gerencial 2_15-FINANCEIRAS" xfId="14665"/>
    <cellStyle name="s_Valuation _DB Dados do Mercado_Natixis_Relatório Gerencial_15-FINANCEIRAS" xfId="14666"/>
    <cellStyle name="s_Valuation _DB Dados do Mercado_Natixis_Relatório Gerencial_15-FINANCEIRAS_1" xfId="14667"/>
    <cellStyle name="s_Valuation _DB Dados do Mercado_Natixis_Relatório Gerencial_3-Balanço" xfId="14668"/>
    <cellStyle name="s_Valuation _DB Dados do Mercado_Natixis_Relatório Gerencial_7-Estoque" xfId="14669"/>
    <cellStyle name="s_Valuation _DB Dados do Mercado_ptax" xfId="14670"/>
    <cellStyle name="s_Valuation _DB Dados do Mercado_ptax 2" xfId="14671"/>
    <cellStyle name="s_Valuation _DB Dados do Mercado_ptax 2_15-FINANCEIRAS" xfId="14672"/>
    <cellStyle name="s_Valuation _DB Dados do Mercado_ptax_15-FINANCEIRAS" xfId="14673"/>
    <cellStyle name="s_Valuation _DB Dados do Mercado_ptax_15-FINANCEIRAS_1" xfId="14674"/>
    <cellStyle name="s_Valuation _DB Dados do Mercado_ptax_3-Balanço" xfId="14675"/>
    <cellStyle name="s_Valuation _DB Dados do Mercado_ptax_7-Estoque" xfId="14676"/>
    <cellStyle name="s_Valuation _DB Dados do Mercado_ptax_Relatório Gerencial" xfId="14677"/>
    <cellStyle name="s_Valuation _DB Dados do Mercado_ptax_Relatório Gerencial 2" xfId="14678"/>
    <cellStyle name="s_Valuation _DB Dados do Mercado_ptax_Relatório Gerencial 2_15-FINANCEIRAS" xfId="14679"/>
    <cellStyle name="s_Valuation _DB Dados do Mercado_ptax_Relatório Gerencial_15-FINANCEIRAS" xfId="14680"/>
    <cellStyle name="s_Valuation _DB Dados do Mercado_ptax_Relatório Gerencial_15-FINANCEIRAS_1" xfId="14681"/>
    <cellStyle name="s_Valuation _DB Dados do Mercado_ptax_Relatório Gerencial_3-Balanço" xfId="14682"/>
    <cellStyle name="s_Valuation _DB Dados do Mercado_ptax_Relatório Gerencial_7-Estoque" xfId="14683"/>
    <cellStyle name="s_Valuation _DB Dados do Mercado_Relatório de Commodities" xfId="14684"/>
    <cellStyle name="s_Valuation _DB Dados do Mercado_Relatório de Commodities 2" xfId="14685"/>
    <cellStyle name="s_Valuation _DB Dados do Mercado_Relatório de Commodities 2_15-FINANCEIRAS" xfId="14686"/>
    <cellStyle name="s_Valuation _DB Dados do Mercado_Relatório de Commodities_15-FINANCEIRAS" xfId="14687"/>
    <cellStyle name="s_Valuation _DB Dados do Mercado_Relatório de Commodities_15-FINANCEIRAS_1" xfId="14688"/>
    <cellStyle name="s_Valuation _DB Dados do Mercado_Relatório de Commodities_3-Balanço" xfId="14689"/>
    <cellStyle name="s_Valuation _DB Dados do Mercado_Relatório de Commodities_7-Estoque" xfId="14690"/>
    <cellStyle name="s_Valuation _DB Dados do Mercado_Relatório de Commodities_Relatório Gerencial" xfId="14691"/>
    <cellStyle name="s_Valuation _DB Dados do Mercado_Relatório de Commodities_Relatório Gerencial 2" xfId="14692"/>
    <cellStyle name="s_Valuation _DB Dados do Mercado_Relatório de Commodities_Relatório Gerencial 2_15-FINANCEIRAS" xfId="14693"/>
    <cellStyle name="s_Valuation _DB Dados do Mercado_Relatório de Commodities_Relatório Gerencial_15-FINANCEIRAS" xfId="14694"/>
    <cellStyle name="s_Valuation _DB Dados do Mercado_Relatório de Commodities_Relatório Gerencial_15-FINANCEIRAS_1" xfId="14695"/>
    <cellStyle name="s_Valuation _DB Dados do Mercado_Relatório de Commodities_Relatório Gerencial_3-Balanço" xfId="14696"/>
    <cellStyle name="s_Valuation _DB Dados do Mercado_Relatório de Commodities_Relatório Gerencial_7-Estoque" xfId="14697"/>
    <cellStyle name="s_Valuation _DB Dados do Mercado_Relatório Diário" xfId="14698"/>
    <cellStyle name="s_Valuation _DB Dados do Mercado_Relatório Diário 2" xfId="14699"/>
    <cellStyle name="s_Valuation _DB Dados do Mercado_Relatório Diário 2_15-FINANCEIRAS" xfId="14700"/>
    <cellStyle name="s_Valuation _DB Dados do Mercado_Relatório Diário_15-FINANCEIRAS" xfId="14701"/>
    <cellStyle name="s_Valuation _DB Dados do Mercado_Relatório Diário_15-FINANCEIRAS_1" xfId="14702"/>
    <cellStyle name="s_Valuation _DB Dados do Mercado_Relatório Diário_3-Balanço" xfId="14703"/>
    <cellStyle name="s_Valuation _DB Dados do Mercado_Relatório Diário_7-Estoque" xfId="14704"/>
    <cellStyle name="s_Valuation _DB Dados do Mercado_Relatório Diário_Relatório Gerencial" xfId="14705"/>
    <cellStyle name="s_Valuation _DB Dados do Mercado_Relatório Diário_Relatório Gerencial 2" xfId="14706"/>
    <cellStyle name="s_Valuation _DB Dados do Mercado_Relatório Diário_Relatório Gerencial 2_15-FINANCEIRAS" xfId="14707"/>
    <cellStyle name="s_Valuation _DB Dados do Mercado_Relatório Diário_Relatório Gerencial_15-FINANCEIRAS" xfId="14708"/>
    <cellStyle name="s_Valuation _DB Dados do Mercado_Relatório Diário_Relatório Gerencial_15-FINANCEIRAS_1" xfId="14709"/>
    <cellStyle name="s_Valuation _DB Dados do Mercado_Relatório Diário_Relatório Gerencial_3-Balanço" xfId="14710"/>
    <cellStyle name="s_Valuation _DB Dados do Mercado_Relatório Diário_Relatório Gerencial_7-Estoque" xfId="14711"/>
    <cellStyle name="s_Valuation _DB Dados do Mercado_Relatório Fechamento" xfId="14712"/>
    <cellStyle name="s_Valuation _DB Dados do Mercado_Relatório Fechamento 2" xfId="14713"/>
    <cellStyle name="s_Valuation _DB Dados do Mercado_Relatório Fechamento 2_15-FINANCEIRAS" xfId="14714"/>
    <cellStyle name="s_Valuation _DB Dados do Mercado_Relatório Fechamento_15-FINANCEIRAS" xfId="14715"/>
    <cellStyle name="s_Valuation _DB Dados do Mercado_Relatório Fechamento_15-FINANCEIRAS_1" xfId="14716"/>
    <cellStyle name="s_Valuation _DB Dados do Mercado_Relatório Fechamento_3-Balanço" xfId="14717"/>
    <cellStyle name="s_Valuation _DB Dados do Mercado_Relatório Fechamento_7-Estoque" xfId="14718"/>
    <cellStyle name="s_Valuation _DB Dados do Mercado_Relatório Fechamento_Relatório Gerencial" xfId="14719"/>
    <cellStyle name="s_Valuation _DB Dados do Mercado_Relatório Fechamento_Relatório Gerencial 2" xfId="14720"/>
    <cellStyle name="s_Valuation _DB Dados do Mercado_Relatório Fechamento_Relatório Gerencial 2_15-FINANCEIRAS" xfId="14721"/>
    <cellStyle name="s_Valuation _DB Dados do Mercado_Relatório Fechamento_Relatório Gerencial_15-FINANCEIRAS" xfId="14722"/>
    <cellStyle name="s_Valuation _DB Dados do Mercado_Relatório Fechamento_Relatório Gerencial_15-FINANCEIRAS_1" xfId="14723"/>
    <cellStyle name="s_Valuation _DB Dados do Mercado_Relatório Fechamento_Relatório Gerencial_3-Balanço" xfId="14724"/>
    <cellStyle name="s_Valuation _DB Dados do Mercado_Relatório Fechamento_Relatório Gerencial_7-Estoque" xfId="14725"/>
    <cellStyle name="s_Valuation _DB Dados do Mercado_Relatório Gerencial" xfId="14726"/>
    <cellStyle name="s_Valuation _DB Dados do Mercado_Relatório Gerencial 2" xfId="14727"/>
    <cellStyle name="s_Valuation _DB Dados do Mercado_Relatório Gerencial 2_15-FINANCEIRAS" xfId="14728"/>
    <cellStyle name="s_Valuation _DB Dados do Mercado_Relatório Gerencial_1" xfId="14729"/>
    <cellStyle name="s_Valuation _DB Dados do Mercado_Relatório Gerencial_1 2" xfId="14730"/>
    <cellStyle name="s_Valuation _DB Dados do Mercado_Relatório Gerencial_1 2_15-FINANCEIRAS" xfId="14731"/>
    <cellStyle name="s_Valuation _DB Dados do Mercado_Relatório Gerencial_1_15-FINANCEIRAS" xfId="14732"/>
    <cellStyle name="s_Valuation _DB Dados do Mercado_Relatório Gerencial_1_15-FINANCEIRAS_1" xfId="14733"/>
    <cellStyle name="s_Valuation _DB Dados do Mercado_Relatório Gerencial_1_3-Balanço" xfId="14734"/>
    <cellStyle name="s_Valuation _DB Dados do Mercado_Relatório Gerencial_1_7-Estoque" xfId="14735"/>
    <cellStyle name="s_Valuation _DB Dados do Mercado_Relatório Gerencial_15-FINANCEIRAS" xfId="14736"/>
    <cellStyle name="s_Valuation _DB Dados do Mercado_Relatório Gerencial_15-FINANCEIRAS_1" xfId="14737"/>
    <cellStyle name="s_Valuation _DB Dados do Mercado_Relatório Gerencial_3-Balanço" xfId="14738"/>
    <cellStyle name="s_Valuation _DB Dados do Mercado_Relatório Gerencial_7-Estoque" xfId="14739"/>
    <cellStyle name="s_Valuation _DB Dados do Mercado_Relatório Gerencial_Relatório Gerencial" xfId="14740"/>
    <cellStyle name="s_Valuation _DB Dados do Mercado_Relatório Gerencial_Relatório Gerencial 2" xfId="14741"/>
    <cellStyle name="s_Valuation _DB Dados do Mercado_Relatório Gerencial_Relatório Gerencial 2_15-FINANCEIRAS" xfId="14742"/>
    <cellStyle name="s_Valuation _DB Dados do Mercado_Relatório Gerencial_Relatório Gerencial_15-FINANCEIRAS" xfId="14743"/>
    <cellStyle name="s_Valuation _DB Dados do Mercado_Relatório Gerencial_Relatório Gerencial_15-FINANCEIRAS_1" xfId="14744"/>
    <cellStyle name="s_Valuation _DB Dados do Mercado_Relatório Gerencial_Relatório Gerencial_3-Balanço" xfId="14745"/>
    <cellStyle name="s_Valuation _DB Dados do Mercado_Relatório Gerencial_Relatório Gerencial_7-Estoque" xfId="14746"/>
    <cellStyle name="s_Valuation _DB Dados do Mercado_RES500-NEWEDGE" xfId="14747"/>
    <cellStyle name="s_Valuation _DB Dados do Mercado_RES500-NEWEDGE 2" xfId="14748"/>
    <cellStyle name="s_Valuation _DB Dados do Mercado_RES500-NEWEDGE 2_15-FINANCEIRAS" xfId="14749"/>
    <cellStyle name="s_Valuation _DB Dados do Mercado_RES500-NEWEDGE_15-FINANCEIRAS" xfId="14750"/>
    <cellStyle name="s_Valuation _DB Dados do Mercado_RES500-NEWEDGE_15-FINANCEIRAS_1" xfId="14751"/>
    <cellStyle name="s_Valuation _DB Dados do Mercado_RES500-NEWEDGE_3-Balanço" xfId="14752"/>
    <cellStyle name="s_Valuation _DB Dados do Mercado_RES500-NEWEDGE_7-Estoque" xfId="14753"/>
    <cellStyle name="s_Valuation _DB Dados do Mercado_RES500-NEWEDGE_Relatório Gerencial" xfId="14754"/>
    <cellStyle name="s_Valuation _DB Dados do Mercado_RES500-NEWEDGE_Relatório Gerencial 2" xfId="14755"/>
    <cellStyle name="s_Valuation _DB Dados do Mercado_RES500-NEWEDGE_Relatório Gerencial 2_15-FINANCEIRAS" xfId="14756"/>
    <cellStyle name="s_Valuation _DB Dados do Mercado_RES500-NEWEDGE_Relatório Gerencial_15-FINANCEIRAS" xfId="14757"/>
    <cellStyle name="s_Valuation _DB Dados do Mercado_RES500-NEWEDGE_Relatório Gerencial_15-FINANCEIRAS_1" xfId="14758"/>
    <cellStyle name="s_Valuation _DB Dados do Mercado_RES500-NEWEDGE_Relatório Gerencial_3-Balanço" xfId="14759"/>
    <cellStyle name="s_Valuation _DB Dados do Mercado_RES500-NEWEDGE_Relatório Gerencial_7-Estoque" xfId="14760"/>
    <cellStyle name="s_Valuation _DB Dados do Mercado_RES501-BNP PARIBAS" xfId="14761"/>
    <cellStyle name="s_Valuation _DB Dados do Mercado_RES501-BNP PARIBAS 2" xfId="14762"/>
    <cellStyle name="s_Valuation _DB Dados do Mercado_RES501-BNP PARIBAS 2_15-FINANCEIRAS" xfId="14763"/>
    <cellStyle name="s_Valuation _DB Dados do Mercado_RES501-BNP PARIBAS_15-FINANCEIRAS" xfId="14764"/>
    <cellStyle name="s_Valuation _DB Dados do Mercado_RES501-BNP PARIBAS_15-FINANCEIRAS_1" xfId="14765"/>
    <cellStyle name="s_Valuation _DB Dados do Mercado_RES501-BNP PARIBAS_3-Balanço" xfId="14766"/>
    <cellStyle name="s_Valuation _DB Dados do Mercado_RES501-BNP PARIBAS_7-Estoque" xfId="14767"/>
    <cellStyle name="s_Valuation _DB Dados do Mercado_RES501-BNP PARIBAS_Relatório Gerencial" xfId="14768"/>
    <cellStyle name="s_Valuation _DB Dados do Mercado_RES501-BNP PARIBAS_Relatório Gerencial 2" xfId="14769"/>
    <cellStyle name="s_Valuation _DB Dados do Mercado_RES501-BNP PARIBAS_Relatório Gerencial 2_15-FINANCEIRAS" xfId="14770"/>
    <cellStyle name="s_Valuation _DB Dados do Mercado_RES501-BNP PARIBAS_Relatório Gerencial_15-FINANCEIRAS" xfId="14771"/>
    <cellStyle name="s_Valuation _DB Dados do Mercado_RES501-BNP PARIBAS_Relatório Gerencial_15-FINANCEIRAS_1" xfId="14772"/>
    <cellStyle name="s_Valuation _DB Dados do Mercado_RES501-BNP PARIBAS_Relatório Gerencial_3-Balanço" xfId="14773"/>
    <cellStyle name="s_Valuation _DB Dados do Mercado_RES501-BNP PARIBAS_Relatório Gerencial_7-Estoque" xfId="14774"/>
    <cellStyle name="s_Valuation _DB Dados do Mercado_RES503-PRUDENTIAL" xfId="14775"/>
    <cellStyle name="s_Valuation _DB Dados do Mercado_RES503-PRUDENTIAL 2" xfId="14776"/>
    <cellStyle name="s_Valuation _DB Dados do Mercado_RES503-PRUDENTIAL 2_15-FINANCEIRAS" xfId="14777"/>
    <cellStyle name="s_Valuation _DB Dados do Mercado_RES503-PRUDENTIAL_15-FINANCEIRAS" xfId="14778"/>
    <cellStyle name="s_Valuation _DB Dados do Mercado_RES503-PRUDENTIAL_15-FINANCEIRAS_1" xfId="14779"/>
    <cellStyle name="s_Valuation _DB Dados do Mercado_RES503-PRUDENTIAL_3-Balanço" xfId="14780"/>
    <cellStyle name="s_Valuation _DB Dados do Mercado_RES503-PRUDENTIAL_7-Estoque" xfId="14781"/>
    <cellStyle name="s_Valuation _DB Dados do Mercado_RES503-PRUDENTIAL_Relatório Gerencial" xfId="14782"/>
    <cellStyle name="s_Valuation _DB Dados do Mercado_RES503-PRUDENTIAL_Relatório Gerencial 2" xfId="14783"/>
    <cellStyle name="s_Valuation _DB Dados do Mercado_RES503-PRUDENTIAL_Relatório Gerencial 2_15-FINANCEIRAS" xfId="14784"/>
    <cellStyle name="s_Valuation _DB Dados do Mercado_RES503-PRUDENTIAL_Relatório Gerencial_15-FINANCEIRAS" xfId="14785"/>
    <cellStyle name="s_Valuation _DB Dados do Mercado_RES503-PRUDENTIAL_Relatório Gerencial_15-FINANCEIRAS_1" xfId="14786"/>
    <cellStyle name="s_Valuation _DB Dados do Mercado_RES503-PRUDENTIAL_Relatório Gerencial_3-Balanço" xfId="14787"/>
    <cellStyle name="s_Valuation _DB Dados do Mercado_RES503-PRUDENTIAL_Relatório Gerencial_7-Estoque" xfId="14788"/>
    <cellStyle name="s_Valuation _DB Dados do Mercado_RES504-NATIXIS" xfId="14789"/>
    <cellStyle name="s_Valuation _DB Dados do Mercado_RES504-NATIXIS 2" xfId="14790"/>
    <cellStyle name="s_Valuation _DB Dados do Mercado_RES504-NATIXIS 2_15-FINANCEIRAS" xfId="14791"/>
    <cellStyle name="s_Valuation _DB Dados do Mercado_RES504-NATIXIS_15-FINANCEIRAS" xfId="14792"/>
    <cellStyle name="s_Valuation _DB Dados do Mercado_RES504-NATIXIS_15-FINANCEIRAS_1" xfId="14793"/>
    <cellStyle name="s_Valuation _DB Dados do Mercado_RES504-NATIXIS_3-Balanço" xfId="14794"/>
    <cellStyle name="s_Valuation _DB Dados do Mercado_RES504-NATIXIS_7-Estoque" xfId="14795"/>
    <cellStyle name="s_Valuation _DB Dados do Mercado_RES504-NATIXIS_Relatório Gerencial" xfId="14796"/>
    <cellStyle name="s_Valuation _DB Dados do Mercado_RES504-NATIXIS_Relatório Gerencial 2" xfId="14797"/>
    <cellStyle name="s_Valuation _DB Dados do Mercado_RES504-NATIXIS_Relatório Gerencial 2_15-FINANCEIRAS" xfId="14798"/>
    <cellStyle name="s_Valuation _DB Dados do Mercado_RES504-NATIXIS_Relatório Gerencial_15-FINANCEIRAS" xfId="14799"/>
    <cellStyle name="s_Valuation _DB Dados do Mercado_RES504-NATIXIS_Relatório Gerencial_15-FINANCEIRAS_1" xfId="14800"/>
    <cellStyle name="s_Valuation _DB Dados do Mercado_RES504-NATIXIS_Relatório Gerencial_3-Balanço" xfId="14801"/>
    <cellStyle name="s_Valuation _DB Dados do Mercado_RES504-NATIXIS_Relatório Gerencial_7-Estoque" xfId="14802"/>
    <cellStyle name="s_Valuation _DB Dados do Mercado_RES505-SUCDENUK" xfId="14803"/>
    <cellStyle name="s_Valuation _DB Dados do Mercado_RES505-SUCDENUK 2" xfId="14804"/>
    <cellStyle name="s_Valuation _DB Dados do Mercado_RES505-SUCDENUK 2_15-FINANCEIRAS" xfId="14805"/>
    <cellStyle name="s_Valuation _DB Dados do Mercado_RES505-SUCDENUK_15-FINANCEIRAS" xfId="14806"/>
    <cellStyle name="s_Valuation _DB Dados do Mercado_RES505-SUCDENUK_15-FINANCEIRAS_1" xfId="14807"/>
    <cellStyle name="s_Valuation _DB Dados do Mercado_RES505-SUCDENUK_3-Balanço" xfId="14808"/>
    <cellStyle name="s_Valuation _DB Dados do Mercado_RES505-SUCDENUK_7-Estoque" xfId="14809"/>
    <cellStyle name="s_Valuation _DB Dados do Mercado_RES505-SUCDENUK_Relatório Gerencial" xfId="14810"/>
    <cellStyle name="s_Valuation _DB Dados do Mercado_RES505-SUCDENUK_Relatório Gerencial 2" xfId="14811"/>
    <cellStyle name="s_Valuation _DB Dados do Mercado_RES505-SUCDENUK_Relatório Gerencial 2_15-FINANCEIRAS" xfId="14812"/>
    <cellStyle name="s_Valuation _DB Dados do Mercado_RES505-SUCDENUK_Relatório Gerencial_15-FINANCEIRAS" xfId="14813"/>
    <cellStyle name="s_Valuation _DB Dados do Mercado_RES505-SUCDENUK_Relatório Gerencial_15-FINANCEIRAS_1" xfId="14814"/>
    <cellStyle name="s_Valuation _DB Dados do Mercado_RES505-SUCDENUK_Relatório Gerencial_3-Balanço" xfId="14815"/>
    <cellStyle name="s_Valuation _DB Dados do Mercado_RES505-SUCDENUK_Relatório Gerencial_7-Estoque" xfId="14816"/>
    <cellStyle name="s_Valuation _DB Dados do Mercado_RES506-MACQUARIE" xfId="14817"/>
    <cellStyle name="s_Valuation _DB Dados do Mercado_RES506-MACQUARIE 2" xfId="14818"/>
    <cellStyle name="s_Valuation _DB Dados do Mercado_RES506-MACQUARIE 2_15-FINANCEIRAS" xfId="14819"/>
    <cellStyle name="s_Valuation _DB Dados do Mercado_RES506-MACQUARIE_15-FINANCEIRAS" xfId="14820"/>
    <cellStyle name="s_Valuation _DB Dados do Mercado_RES506-MACQUARIE_15-FINANCEIRAS_1" xfId="14821"/>
    <cellStyle name="s_Valuation _DB Dados do Mercado_RES506-MACQUARIE_3-Balanço" xfId="14822"/>
    <cellStyle name="s_Valuation _DB Dados do Mercado_RES506-MACQUARIE_7-Estoque" xfId="14823"/>
    <cellStyle name="s_Valuation _DB Dados do Mercado_RES506-MACQUARIE_Relatório Gerencial" xfId="14824"/>
    <cellStyle name="s_Valuation _DB Dados do Mercado_RES506-MACQUARIE_Relatório Gerencial 2" xfId="14825"/>
    <cellStyle name="s_Valuation _DB Dados do Mercado_RES506-MACQUARIE_Relatório Gerencial 2_15-FINANCEIRAS" xfId="14826"/>
    <cellStyle name="s_Valuation _DB Dados do Mercado_RES506-MACQUARIE_Relatório Gerencial_15-FINANCEIRAS" xfId="14827"/>
    <cellStyle name="s_Valuation _DB Dados do Mercado_RES506-MACQUARIE_Relatório Gerencial_15-FINANCEIRAS_1" xfId="14828"/>
    <cellStyle name="s_Valuation _DB Dados do Mercado_RES506-MACQUARIE_Relatório Gerencial_3-Balanço" xfId="14829"/>
    <cellStyle name="s_Valuation _DB Dados do Mercado_RES506-MACQUARIE_Relatório Gerencial_7-Estoque" xfId="14830"/>
    <cellStyle name="s_Valuation _DB Dados do Mercado_RES507-HENCORP" xfId="14831"/>
    <cellStyle name="s_Valuation _DB Dados do Mercado_RES507-HENCORP 2" xfId="14832"/>
    <cellStyle name="s_Valuation _DB Dados do Mercado_RES507-HENCORP 2_15-FINANCEIRAS" xfId="14833"/>
    <cellStyle name="s_Valuation _DB Dados do Mercado_RES507-HENCORP_15-FINANCEIRAS" xfId="14834"/>
    <cellStyle name="s_Valuation _DB Dados do Mercado_RES507-HENCORP_15-FINANCEIRAS_1" xfId="14835"/>
    <cellStyle name="s_Valuation _DB Dados do Mercado_RES507-HENCORP_3-Balanço" xfId="14836"/>
    <cellStyle name="s_Valuation _DB Dados do Mercado_RES507-HENCORP_7-Estoque" xfId="14837"/>
    <cellStyle name="s_Valuation _DB Dados do Mercado_RES507-HENCORP_Relatório Gerencial" xfId="14838"/>
    <cellStyle name="s_Valuation _DB Dados do Mercado_RES507-HENCORP_Relatório Gerencial 2" xfId="14839"/>
    <cellStyle name="s_Valuation _DB Dados do Mercado_RES507-HENCORP_Relatório Gerencial 2_15-FINANCEIRAS" xfId="14840"/>
    <cellStyle name="s_Valuation _DB Dados do Mercado_RES507-HENCORP_Relatório Gerencial_15-FINANCEIRAS" xfId="14841"/>
    <cellStyle name="s_Valuation _DB Dados do Mercado_RES507-HENCORP_Relatório Gerencial_15-FINANCEIRAS_1" xfId="14842"/>
    <cellStyle name="s_Valuation _DB Dados do Mercado_RES507-HENCORP_Relatório Gerencial_3-Balanço" xfId="14843"/>
    <cellStyle name="s_Valuation _DB Dados do Mercado_RES507-HENCORP_Relatório Gerencial_7-Estoque" xfId="14844"/>
    <cellStyle name="s_Valuation _DB Dados do Mercado_RES509-MORGAN-STANLEY" xfId="14845"/>
    <cellStyle name="s_Valuation _DB Dados do Mercado_RES509-MORGAN-STANLEY 2" xfId="14846"/>
    <cellStyle name="s_Valuation _DB Dados do Mercado_RES509-MORGAN-STANLEY 2_15-FINANCEIRAS" xfId="14847"/>
    <cellStyle name="s_Valuation _DB Dados do Mercado_RES509-MORGAN-STANLEY_15-FINANCEIRAS" xfId="14848"/>
    <cellStyle name="s_Valuation _DB Dados do Mercado_RES509-MORGAN-STANLEY_15-FINANCEIRAS_1" xfId="14849"/>
    <cellStyle name="s_Valuation _DB Dados do Mercado_RES509-MORGAN-STANLEY_3-Balanço" xfId="14850"/>
    <cellStyle name="s_Valuation _DB Dados do Mercado_RES509-MORGAN-STANLEY_7-Estoque" xfId="14851"/>
    <cellStyle name="s_Valuation _DB Dados do Mercado_RES509-MORGAN-STANLEY_Relatório Gerencial" xfId="14852"/>
    <cellStyle name="s_Valuation _DB Dados do Mercado_RES509-MORGAN-STANLEY_Relatório Gerencial 2" xfId="14853"/>
    <cellStyle name="s_Valuation _DB Dados do Mercado_RES509-MORGAN-STANLEY_Relatório Gerencial 2_15-FINANCEIRAS" xfId="14854"/>
    <cellStyle name="s_Valuation _DB Dados do Mercado_RES509-MORGAN-STANLEY_Relatório Gerencial_15-FINANCEIRAS" xfId="14855"/>
    <cellStyle name="s_Valuation _DB Dados do Mercado_RES509-MORGAN-STANLEY_Relatório Gerencial_15-FINANCEIRAS_1" xfId="14856"/>
    <cellStyle name="s_Valuation _DB Dados do Mercado_RES509-MORGAN-STANLEY_Relatório Gerencial_3-Balanço" xfId="14857"/>
    <cellStyle name="s_Valuation _DB Dados do Mercado_RES509-MORGAN-STANLEY_Relatório Gerencial_7-Estoque" xfId="14858"/>
    <cellStyle name="s_Valuation _DB Dados do Mercado_RES510-GOLDMAN-SACHS" xfId="14859"/>
    <cellStyle name="s_Valuation _DB Dados do Mercado_RES510-GOLDMAN-SACHS 2" xfId="14860"/>
    <cellStyle name="s_Valuation _DB Dados do Mercado_RES510-GOLDMAN-SACHS 2_15-FINANCEIRAS" xfId="14861"/>
    <cellStyle name="s_Valuation _DB Dados do Mercado_RES510-GOLDMAN-SACHS_15-FINANCEIRAS" xfId="14862"/>
    <cellStyle name="s_Valuation _DB Dados do Mercado_RES510-GOLDMAN-SACHS_15-FINANCEIRAS_1" xfId="14863"/>
    <cellStyle name="s_Valuation _DB Dados do Mercado_RES510-GOLDMAN-SACHS_3-Balanço" xfId="14864"/>
    <cellStyle name="s_Valuation _DB Dados do Mercado_RES510-GOLDMAN-SACHS_7-Estoque" xfId="14865"/>
    <cellStyle name="s_Valuation _DB Dados do Mercado_RES510-GOLDMAN-SACHS_Relatório Gerencial" xfId="14866"/>
    <cellStyle name="s_Valuation _DB Dados do Mercado_RES510-GOLDMAN-SACHS_Relatório Gerencial 2" xfId="14867"/>
    <cellStyle name="s_Valuation _DB Dados do Mercado_RES510-GOLDMAN-SACHS_Relatório Gerencial 2_15-FINANCEIRAS" xfId="14868"/>
    <cellStyle name="s_Valuation _DB Dados do Mercado_RES510-GOLDMAN-SACHS_Relatório Gerencial_15-FINANCEIRAS" xfId="14869"/>
    <cellStyle name="s_Valuation _DB Dados do Mercado_RES510-GOLDMAN-SACHS_Relatório Gerencial_15-FINANCEIRAS_1" xfId="14870"/>
    <cellStyle name="s_Valuation _DB Dados do Mercado_RES510-GOLDMAN-SACHS_Relatório Gerencial_3-Balanço" xfId="14871"/>
    <cellStyle name="s_Valuation _DB Dados do Mercado_RES510-GOLDMAN-SACHS_Relatório Gerencial_7-Estoque" xfId="14872"/>
    <cellStyle name="s_Valuation _DB Dados do Mercado_RES511-BARCLAYS" xfId="14873"/>
    <cellStyle name="s_Valuation _DB Dados do Mercado_RES511-BARCLAYS 2" xfId="14874"/>
    <cellStyle name="s_Valuation _DB Dados do Mercado_RES511-BARCLAYS 2_15-FINANCEIRAS" xfId="14875"/>
    <cellStyle name="s_Valuation _DB Dados do Mercado_RES511-BARCLAYS_15-FINANCEIRAS" xfId="14876"/>
    <cellStyle name="s_Valuation _DB Dados do Mercado_RES511-BARCLAYS_15-FINANCEIRAS_1" xfId="14877"/>
    <cellStyle name="s_Valuation _DB Dados do Mercado_RES511-BARCLAYS_3-Balanço" xfId="14878"/>
    <cellStyle name="s_Valuation _DB Dados do Mercado_RES511-BARCLAYS_7-Estoque" xfId="14879"/>
    <cellStyle name="s_Valuation _DB Dados do Mercado_RES511-BARCLAYS_Relatório Gerencial" xfId="14880"/>
    <cellStyle name="s_Valuation _DB Dados do Mercado_RES511-BARCLAYS_Relatório Gerencial 2" xfId="14881"/>
    <cellStyle name="s_Valuation _DB Dados do Mercado_RES511-BARCLAYS_Relatório Gerencial 2_15-FINANCEIRAS" xfId="14882"/>
    <cellStyle name="s_Valuation _DB Dados do Mercado_RES511-BARCLAYS_Relatório Gerencial_15-FINANCEIRAS" xfId="14883"/>
    <cellStyle name="s_Valuation _DB Dados do Mercado_RES511-BARCLAYS_Relatório Gerencial_15-FINANCEIRAS_1" xfId="14884"/>
    <cellStyle name="s_Valuation _DB Dados do Mercado_RES511-BARCLAYS_Relatório Gerencial_3-Balanço" xfId="14885"/>
    <cellStyle name="s_Valuation _DB Dados do Mercado_RES511-BARCLAYS_Relatório Gerencial_7-Estoque" xfId="14886"/>
    <cellStyle name="s_Valuation _DB Dados do Mercado_Sistema Cosan" xfId="14887"/>
    <cellStyle name="s_Valuation _DB Dados do Mercado_Sistema Cosan 2" xfId="14888"/>
    <cellStyle name="s_Valuation _DB Dados do Mercado_Sistema Cosan 2_15-FINANCEIRAS" xfId="14889"/>
    <cellStyle name="s_Valuation _DB Dados do Mercado_Sistema Cosan backup 103 Retirada de relatorios" xfId="14890"/>
    <cellStyle name="s_Valuation _DB Dados do Mercado_Sistema Cosan backup 103 Retirada de relatorios 2" xfId="14891"/>
    <cellStyle name="s_Valuation _DB Dados do Mercado_Sistema Cosan backup 103 Retirada de relatorios 2_15-FINANCEIRAS" xfId="14892"/>
    <cellStyle name="s_Valuation _DB Dados do Mercado_Sistema Cosan backup 103 Retirada de relatorios_15-FINANCEIRAS" xfId="14893"/>
    <cellStyle name="s_Valuation _DB Dados do Mercado_Sistema Cosan backup 103 Retirada de relatorios_15-FINANCEIRAS_1" xfId="14894"/>
    <cellStyle name="s_Valuation _DB Dados do Mercado_Sistema Cosan backup 103 Retirada de relatorios_3-Balanço" xfId="14895"/>
    <cellStyle name="s_Valuation _DB Dados do Mercado_Sistema Cosan backup 103 Retirada de relatorios_7-Estoque" xfId="14896"/>
    <cellStyle name="s_Valuation _DB Dados do Mercado_Sistema Cosan V2" xfId="14897"/>
    <cellStyle name="s_Valuation _DB Dados do Mercado_Sistema Cosan V2 10" xfId="14898"/>
    <cellStyle name="s_Valuation _DB Dados do Mercado_Sistema Cosan V2 10 2" xfId="14899"/>
    <cellStyle name="s_Valuation _DB Dados do Mercado_Sistema Cosan V2 10 2_15-FINANCEIRAS" xfId="14900"/>
    <cellStyle name="s_Valuation _DB Dados do Mercado_Sistema Cosan V2 10_15-FINANCEIRAS" xfId="14901"/>
    <cellStyle name="s_Valuation _DB Dados do Mercado_Sistema Cosan V2 10_15-FINANCEIRAS_1" xfId="14902"/>
    <cellStyle name="s_Valuation _DB Dados do Mercado_Sistema Cosan V2 10_3-Balanço" xfId="14903"/>
    <cellStyle name="s_Valuation _DB Dados do Mercado_Sistema Cosan V2 10_7-Estoque" xfId="14904"/>
    <cellStyle name="s_Valuation _DB Dados do Mercado_Sistema Cosan V2 10_Relatório Gerencial" xfId="14905"/>
    <cellStyle name="s_Valuation _DB Dados do Mercado_Sistema Cosan V2 10_Relatório Gerencial 2" xfId="14906"/>
    <cellStyle name="s_Valuation _DB Dados do Mercado_Sistema Cosan V2 10_Relatório Gerencial 2_15-FINANCEIRAS" xfId="14907"/>
    <cellStyle name="s_Valuation _DB Dados do Mercado_Sistema Cosan V2 10_Relatório Gerencial_15-FINANCEIRAS" xfId="14908"/>
    <cellStyle name="s_Valuation _DB Dados do Mercado_Sistema Cosan V2 10_Relatório Gerencial_15-FINANCEIRAS_1" xfId="14909"/>
    <cellStyle name="s_Valuation _DB Dados do Mercado_Sistema Cosan V2 10_Relatório Gerencial_3-Balanço" xfId="14910"/>
    <cellStyle name="s_Valuation _DB Dados do Mercado_Sistema Cosan V2 10_Relatório Gerencial_7-Estoque" xfId="14911"/>
    <cellStyle name="s_Valuation _DB Dados do Mercado_Sistema Cosan V2 11" xfId="14912"/>
    <cellStyle name="s_Valuation _DB Dados do Mercado_Sistema Cosan V2 11 2" xfId="14913"/>
    <cellStyle name="s_Valuation _DB Dados do Mercado_Sistema Cosan V2 11 2_15-FINANCEIRAS" xfId="14914"/>
    <cellStyle name="s_Valuation _DB Dados do Mercado_Sistema Cosan V2 11_15-FINANCEIRAS" xfId="14915"/>
    <cellStyle name="s_Valuation _DB Dados do Mercado_Sistema Cosan V2 11_15-FINANCEIRAS_1" xfId="14916"/>
    <cellStyle name="s_Valuation _DB Dados do Mercado_Sistema Cosan V2 11_3-Balanço" xfId="14917"/>
    <cellStyle name="s_Valuation _DB Dados do Mercado_Sistema Cosan V2 11_7-Estoque" xfId="14918"/>
    <cellStyle name="s_Valuation _DB Dados do Mercado_Sistema Cosan V2 11_Relatório Gerencial" xfId="14919"/>
    <cellStyle name="s_Valuation _DB Dados do Mercado_Sistema Cosan V2 11_Relatório Gerencial 2" xfId="14920"/>
    <cellStyle name="s_Valuation _DB Dados do Mercado_Sistema Cosan V2 11_Relatório Gerencial 2_15-FINANCEIRAS" xfId="14921"/>
    <cellStyle name="s_Valuation _DB Dados do Mercado_Sistema Cosan V2 11_Relatório Gerencial_15-FINANCEIRAS" xfId="14922"/>
    <cellStyle name="s_Valuation _DB Dados do Mercado_Sistema Cosan V2 11_Relatório Gerencial_15-FINANCEIRAS_1" xfId="14923"/>
    <cellStyle name="s_Valuation _DB Dados do Mercado_Sistema Cosan V2 11_Relatório Gerencial_3-Balanço" xfId="14924"/>
    <cellStyle name="s_Valuation _DB Dados do Mercado_Sistema Cosan V2 11_Relatório Gerencial_7-Estoque" xfId="14925"/>
    <cellStyle name="s_Valuation _DB Dados do Mercado_Sistema Cosan V2 12" xfId="14926"/>
    <cellStyle name="s_Valuation _DB Dados do Mercado_Sistema Cosan V2 12 2" xfId="14927"/>
    <cellStyle name="s_Valuation _DB Dados do Mercado_Sistema Cosan V2 12 2_15-FINANCEIRAS" xfId="14928"/>
    <cellStyle name="s_Valuation _DB Dados do Mercado_Sistema Cosan V2 12_15-FINANCEIRAS" xfId="14929"/>
    <cellStyle name="s_Valuation _DB Dados do Mercado_Sistema Cosan V2 12_15-FINANCEIRAS_1" xfId="14930"/>
    <cellStyle name="s_Valuation _DB Dados do Mercado_Sistema Cosan V2 12_3-Balanço" xfId="14931"/>
    <cellStyle name="s_Valuation _DB Dados do Mercado_Sistema Cosan V2 12_7-Estoque" xfId="14932"/>
    <cellStyle name="s_Valuation _DB Dados do Mercado_Sistema Cosan V2 12_Relatório Gerencial" xfId="14933"/>
    <cellStyle name="s_Valuation _DB Dados do Mercado_Sistema Cosan V2 12_Relatório Gerencial 2" xfId="14934"/>
    <cellStyle name="s_Valuation _DB Dados do Mercado_Sistema Cosan V2 12_Relatório Gerencial 2_15-FINANCEIRAS" xfId="14935"/>
    <cellStyle name="s_Valuation _DB Dados do Mercado_Sistema Cosan V2 12_Relatório Gerencial_15-FINANCEIRAS" xfId="14936"/>
    <cellStyle name="s_Valuation _DB Dados do Mercado_Sistema Cosan V2 12_Relatório Gerencial_15-FINANCEIRAS_1" xfId="14937"/>
    <cellStyle name="s_Valuation _DB Dados do Mercado_Sistema Cosan V2 12_Relatório Gerencial_3-Balanço" xfId="14938"/>
    <cellStyle name="s_Valuation _DB Dados do Mercado_Sistema Cosan V2 12_Relatório Gerencial_7-Estoque" xfId="14939"/>
    <cellStyle name="s_Valuation _DB Dados do Mercado_Sistema Cosan V2 13" xfId="14940"/>
    <cellStyle name="s_Valuation _DB Dados do Mercado_Sistema Cosan V2 13 2" xfId="14941"/>
    <cellStyle name="s_Valuation _DB Dados do Mercado_Sistema Cosan V2 13 2_15-FINANCEIRAS" xfId="14942"/>
    <cellStyle name="s_Valuation _DB Dados do Mercado_Sistema Cosan V2 13_15-FINANCEIRAS" xfId="14943"/>
    <cellStyle name="s_Valuation _DB Dados do Mercado_Sistema Cosan V2 13_15-FINANCEIRAS_1" xfId="14944"/>
    <cellStyle name="s_Valuation _DB Dados do Mercado_Sistema Cosan V2 13_3-Balanço" xfId="14945"/>
    <cellStyle name="s_Valuation _DB Dados do Mercado_Sistema Cosan V2 13_7-Estoque" xfId="14946"/>
    <cellStyle name="s_Valuation _DB Dados do Mercado_Sistema Cosan V2 13_Relatório Gerencial" xfId="14947"/>
    <cellStyle name="s_Valuation _DB Dados do Mercado_Sistema Cosan V2 13_Relatório Gerencial 2" xfId="14948"/>
    <cellStyle name="s_Valuation _DB Dados do Mercado_Sistema Cosan V2 13_Relatório Gerencial 2_15-FINANCEIRAS" xfId="14949"/>
    <cellStyle name="s_Valuation _DB Dados do Mercado_Sistema Cosan V2 13_Relatório Gerencial_15-FINANCEIRAS" xfId="14950"/>
    <cellStyle name="s_Valuation _DB Dados do Mercado_Sistema Cosan V2 13_Relatório Gerencial_15-FINANCEIRAS_1" xfId="14951"/>
    <cellStyle name="s_Valuation _DB Dados do Mercado_Sistema Cosan V2 13_Relatório Gerencial_3-Balanço" xfId="14952"/>
    <cellStyle name="s_Valuation _DB Dados do Mercado_Sistema Cosan V2 13_Relatório Gerencial_7-Estoque" xfId="14953"/>
    <cellStyle name="s_Valuation _DB Dados do Mercado_Sistema Cosan V2 14" xfId="14954"/>
    <cellStyle name="s_Valuation _DB Dados do Mercado_Sistema Cosan V2 14 2" xfId="14955"/>
    <cellStyle name="s_Valuation _DB Dados do Mercado_Sistema Cosan V2 14 2_15-FINANCEIRAS" xfId="14956"/>
    <cellStyle name="s_Valuation _DB Dados do Mercado_Sistema Cosan V2 14_15-FINANCEIRAS" xfId="14957"/>
    <cellStyle name="s_Valuation _DB Dados do Mercado_Sistema Cosan V2 14_15-FINANCEIRAS_1" xfId="14958"/>
    <cellStyle name="s_Valuation _DB Dados do Mercado_Sistema Cosan V2 14_3-Balanço" xfId="14959"/>
    <cellStyle name="s_Valuation _DB Dados do Mercado_Sistema Cosan V2 14_7-Estoque" xfId="14960"/>
    <cellStyle name="s_Valuation _DB Dados do Mercado_Sistema Cosan V2 14_Relatório Gerencial" xfId="14961"/>
    <cellStyle name="s_Valuation _DB Dados do Mercado_Sistema Cosan V2 14_Relatório Gerencial 2" xfId="14962"/>
    <cellStyle name="s_Valuation _DB Dados do Mercado_Sistema Cosan V2 14_Relatório Gerencial 2_15-FINANCEIRAS" xfId="14963"/>
    <cellStyle name="s_Valuation _DB Dados do Mercado_Sistema Cosan V2 14_Relatório Gerencial_15-FINANCEIRAS" xfId="14964"/>
    <cellStyle name="s_Valuation _DB Dados do Mercado_Sistema Cosan V2 14_Relatório Gerencial_15-FINANCEIRAS_1" xfId="14965"/>
    <cellStyle name="s_Valuation _DB Dados do Mercado_Sistema Cosan V2 14_Relatório Gerencial_3-Balanço" xfId="14966"/>
    <cellStyle name="s_Valuation _DB Dados do Mercado_Sistema Cosan V2 14_Relatório Gerencial_7-Estoque" xfId="14967"/>
    <cellStyle name="s_Valuation _DB Dados do Mercado_Sistema Cosan V2 15" xfId="14968"/>
    <cellStyle name="s_Valuation _DB Dados do Mercado_Sistema Cosan V2 15 2" xfId="14969"/>
    <cellStyle name="s_Valuation _DB Dados do Mercado_Sistema Cosan V2 15 2_15-FINANCEIRAS" xfId="14970"/>
    <cellStyle name="s_Valuation _DB Dados do Mercado_Sistema Cosan V2 15_15-FINANCEIRAS" xfId="14971"/>
    <cellStyle name="s_Valuation _DB Dados do Mercado_Sistema Cosan V2 15_15-FINANCEIRAS_1" xfId="14972"/>
    <cellStyle name="s_Valuation _DB Dados do Mercado_Sistema Cosan V2 15_3-Balanço" xfId="14973"/>
    <cellStyle name="s_Valuation _DB Dados do Mercado_Sistema Cosan V2 15_7-Estoque" xfId="14974"/>
    <cellStyle name="s_Valuation _DB Dados do Mercado_Sistema Cosan V2 15_Relatório Gerencial" xfId="14975"/>
    <cellStyle name="s_Valuation _DB Dados do Mercado_Sistema Cosan V2 15_Relatório Gerencial 2" xfId="14976"/>
    <cellStyle name="s_Valuation _DB Dados do Mercado_Sistema Cosan V2 15_Relatório Gerencial 2_15-FINANCEIRAS" xfId="14977"/>
    <cellStyle name="s_Valuation _DB Dados do Mercado_Sistema Cosan V2 15_Relatório Gerencial_15-FINANCEIRAS" xfId="14978"/>
    <cellStyle name="s_Valuation _DB Dados do Mercado_Sistema Cosan V2 15_Relatório Gerencial_15-FINANCEIRAS_1" xfId="14979"/>
    <cellStyle name="s_Valuation _DB Dados do Mercado_Sistema Cosan V2 15_Relatório Gerencial_3-Balanço" xfId="14980"/>
    <cellStyle name="s_Valuation _DB Dados do Mercado_Sistema Cosan V2 15_Relatório Gerencial_7-Estoque" xfId="14981"/>
    <cellStyle name="s_Valuation _DB Dados do Mercado_Sistema Cosan V2 16" xfId="14982"/>
    <cellStyle name="s_Valuation _DB Dados do Mercado_Sistema Cosan V2 16 2" xfId="14983"/>
    <cellStyle name="s_Valuation _DB Dados do Mercado_Sistema Cosan V2 16 2_15-FINANCEIRAS" xfId="14984"/>
    <cellStyle name="s_Valuation _DB Dados do Mercado_Sistema Cosan V2 16_15-FINANCEIRAS" xfId="14985"/>
    <cellStyle name="s_Valuation _DB Dados do Mercado_Sistema Cosan V2 16_15-FINANCEIRAS_1" xfId="14986"/>
    <cellStyle name="s_Valuation _DB Dados do Mercado_Sistema Cosan V2 16_3-Balanço" xfId="14987"/>
    <cellStyle name="s_Valuation _DB Dados do Mercado_Sistema Cosan V2 16_7-Estoque" xfId="14988"/>
    <cellStyle name="s_Valuation _DB Dados do Mercado_Sistema Cosan V2 16_Relatório Gerencial" xfId="14989"/>
    <cellStyle name="s_Valuation _DB Dados do Mercado_Sistema Cosan V2 16_Relatório Gerencial 2" xfId="14990"/>
    <cellStyle name="s_Valuation _DB Dados do Mercado_Sistema Cosan V2 16_Relatório Gerencial 2_15-FINANCEIRAS" xfId="14991"/>
    <cellStyle name="s_Valuation _DB Dados do Mercado_Sistema Cosan V2 16_Relatório Gerencial_15-FINANCEIRAS" xfId="14992"/>
    <cellStyle name="s_Valuation _DB Dados do Mercado_Sistema Cosan V2 16_Relatório Gerencial_15-FINANCEIRAS_1" xfId="14993"/>
    <cellStyle name="s_Valuation _DB Dados do Mercado_Sistema Cosan V2 16_Relatório Gerencial_3-Balanço" xfId="14994"/>
    <cellStyle name="s_Valuation _DB Dados do Mercado_Sistema Cosan V2 16_Relatório Gerencial_7-Estoque" xfId="14995"/>
    <cellStyle name="s_Valuation _DB Dados do Mercado_Sistema Cosan V2 17" xfId="14996"/>
    <cellStyle name="s_Valuation _DB Dados do Mercado_Sistema Cosan V2 17 2" xfId="14997"/>
    <cellStyle name="s_Valuation _DB Dados do Mercado_Sistema Cosan V2 17 2_15-FINANCEIRAS" xfId="14998"/>
    <cellStyle name="s_Valuation _DB Dados do Mercado_Sistema Cosan V2 17_15-FINANCEIRAS" xfId="14999"/>
    <cellStyle name="s_Valuation _DB Dados do Mercado_Sistema Cosan V2 17_15-FINANCEIRAS_1" xfId="15000"/>
    <cellStyle name="s_Valuation _DB Dados do Mercado_Sistema Cosan V2 17_3-Balanço" xfId="15001"/>
    <cellStyle name="s_Valuation _DB Dados do Mercado_Sistema Cosan V2 17_7-Estoque" xfId="15002"/>
    <cellStyle name="s_Valuation _DB Dados do Mercado_Sistema Cosan V2 17_Relatório Gerencial" xfId="15003"/>
    <cellStyle name="s_Valuation _DB Dados do Mercado_Sistema Cosan V2 17_Relatório Gerencial 2" xfId="15004"/>
    <cellStyle name="s_Valuation _DB Dados do Mercado_Sistema Cosan V2 17_Relatório Gerencial 2_15-FINANCEIRAS" xfId="15005"/>
    <cellStyle name="s_Valuation _DB Dados do Mercado_Sistema Cosan V2 17_Relatório Gerencial_15-FINANCEIRAS" xfId="15006"/>
    <cellStyle name="s_Valuation _DB Dados do Mercado_Sistema Cosan V2 17_Relatório Gerencial_15-FINANCEIRAS_1" xfId="15007"/>
    <cellStyle name="s_Valuation _DB Dados do Mercado_Sistema Cosan V2 17_Relatório Gerencial_3-Balanço" xfId="15008"/>
    <cellStyle name="s_Valuation _DB Dados do Mercado_Sistema Cosan V2 17_Relatório Gerencial_7-Estoque" xfId="15009"/>
    <cellStyle name="s_Valuation _DB Dados do Mercado_Sistema Cosan V2 18" xfId="15010"/>
    <cellStyle name="s_Valuation _DB Dados do Mercado_Sistema Cosan V2 18 2" xfId="15011"/>
    <cellStyle name="s_Valuation _DB Dados do Mercado_Sistema Cosan V2 18 2_15-FINANCEIRAS" xfId="15012"/>
    <cellStyle name="s_Valuation _DB Dados do Mercado_Sistema Cosan V2 18_15-FINANCEIRAS" xfId="15013"/>
    <cellStyle name="s_Valuation _DB Dados do Mercado_Sistema Cosan V2 18_15-FINANCEIRAS_1" xfId="15014"/>
    <cellStyle name="s_Valuation _DB Dados do Mercado_Sistema Cosan V2 18_3-Balanço" xfId="15015"/>
    <cellStyle name="s_Valuation _DB Dados do Mercado_Sistema Cosan V2 18_7-Estoque" xfId="15016"/>
    <cellStyle name="s_Valuation _DB Dados do Mercado_Sistema Cosan V2 18_Relatório Gerencial" xfId="15017"/>
    <cellStyle name="s_Valuation _DB Dados do Mercado_Sistema Cosan V2 18_Relatório Gerencial 2" xfId="15018"/>
    <cellStyle name="s_Valuation _DB Dados do Mercado_Sistema Cosan V2 18_Relatório Gerencial 2_15-FINANCEIRAS" xfId="15019"/>
    <cellStyle name="s_Valuation _DB Dados do Mercado_Sistema Cosan V2 18_Relatório Gerencial_15-FINANCEIRAS" xfId="15020"/>
    <cellStyle name="s_Valuation _DB Dados do Mercado_Sistema Cosan V2 18_Relatório Gerencial_15-FINANCEIRAS_1" xfId="15021"/>
    <cellStyle name="s_Valuation _DB Dados do Mercado_Sistema Cosan V2 18_Relatório Gerencial_3-Balanço" xfId="15022"/>
    <cellStyle name="s_Valuation _DB Dados do Mercado_Sistema Cosan V2 18_Relatório Gerencial_7-Estoque" xfId="15023"/>
    <cellStyle name="s_Valuation _DB Dados do Mercado_Sistema Cosan V2 19" xfId="15024"/>
    <cellStyle name="s_Valuation _DB Dados do Mercado_Sistema Cosan V2 19 2" xfId="15025"/>
    <cellStyle name="s_Valuation _DB Dados do Mercado_Sistema Cosan V2 19 2_15-FINANCEIRAS" xfId="15026"/>
    <cellStyle name="s_Valuation _DB Dados do Mercado_Sistema Cosan V2 19_15-FINANCEIRAS" xfId="15027"/>
    <cellStyle name="s_Valuation _DB Dados do Mercado_Sistema Cosan V2 19_15-FINANCEIRAS_1" xfId="15028"/>
    <cellStyle name="s_Valuation _DB Dados do Mercado_Sistema Cosan V2 19_3-Balanço" xfId="15029"/>
    <cellStyle name="s_Valuation _DB Dados do Mercado_Sistema Cosan V2 19_7-Estoque" xfId="15030"/>
    <cellStyle name="s_Valuation _DB Dados do Mercado_Sistema Cosan V2 19_Relatório Gerencial" xfId="15031"/>
    <cellStyle name="s_Valuation _DB Dados do Mercado_Sistema Cosan V2 19_Relatório Gerencial 2" xfId="15032"/>
    <cellStyle name="s_Valuation _DB Dados do Mercado_Sistema Cosan V2 19_Relatório Gerencial 2_15-FINANCEIRAS" xfId="15033"/>
    <cellStyle name="s_Valuation _DB Dados do Mercado_Sistema Cosan V2 19_Relatório Gerencial_15-FINANCEIRAS" xfId="15034"/>
    <cellStyle name="s_Valuation _DB Dados do Mercado_Sistema Cosan V2 19_Relatório Gerencial_15-FINANCEIRAS_1" xfId="15035"/>
    <cellStyle name="s_Valuation _DB Dados do Mercado_Sistema Cosan V2 19_Relatório Gerencial_3-Balanço" xfId="15036"/>
    <cellStyle name="s_Valuation _DB Dados do Mercado_Sistema Cosan V2 19_Relatório Gerencial_7-Estoque" xfId="15037"/>
    <cellStyle name="s_Valuation _DB Dados do Mercado_Sistema Cosan V2 2" xfId="15038"/>
    <cellStyle name="s_Valuation _DB Dados do Mercado_Sistema Cosan V2 2 2" xfId="15039"/>
    <cellStyle name="s_Valuation _DB Dados do Mercado_Sistema Cosan V2 2 2_15-FINANCEIRAS" xfId="15040"/>
    <cellStyle name="s_Valuation _DB Dados do Mercado_Sistema Cosan V2 2_15-FINANCEIRAS" xfId="15041"/>
    <cellStyle name="s_Valuation _DB Dados do Mercado_Sistema Cosan V2 2_15-FINANCEIRAS_1" xfId="15042"/>
    <cellStyle name="s_Valuation _DB Dados do Mercado_Sistema Cosan V2 2_3-Balanço" xfId="15043"/>
    <cellStyle name="s_Valuation _DB Dados do Mercado_Sistema Cosan V2 2_7-Estoque" xfId="15044"/>
    <cellStyle name="s_Valuation _DB Dados do Mercado_Sistema Cosan V2 2_Relatório Gerencial" xfId="15045"/>
    <cellStyle name="s_Valuation _DB Dados do Mercado_Sistema Cosan V2 2_Relatório Gerencial 2" xfId="15046"/>
    <cellStyle name="s_Valuation _DB Dados do Mercado_Sistema Cosan V2 2_Relatório Gerencial 2_15-FINANCEIRAS" xfId="15047"/>
    <cellStyle name="s_Valuation _DB Dados do Mercado_Sistema Cosan V2 2_Relatório Gerencial_15-FINANCEIRAS" xfId="15048"/>
    <cellStyle name="s_Valuation _DB Dados do Mercado_Sistema Cosan V2 2_Relatório Gerencial_15-FINANCEIRAS_1" xfId="15049"/>
    <cellStyle name="s_Valuation _DB Dados do Mercado_Sistema Cosan V2 2_Relatório Gerencial_3-Balanço" xfId="15050"/>
    <cellStyle name="s_Valuation _DB Dados do Mercado_Sistema Cosan V2 2_Relatório Gerencial_7-Estoque" xfId="15051"/>
    <cellStyle name="s_Valuation _DB Dados do Mercado_Sistema Cosan V2 20" xfId="15052"/>
    <cellStyle name="s_Valuation _DB Dados do Mercado_Sistema Cosan V2 20 2" xfId="15053"/>
    <cellStyle name="s_Valuation _DB Dados do Mercado_Sistema Cosan V2 20 2_15-FINANCEIRAS" xfId="15054"/>
    <cellStyle name="s_Valuation _DB Dados do Mercado_Sistema Cosan V2 20_15-FINANCEIRAS" xfId="15055"/>
    <cellStyle name="s_Valuation _DB Dados do Mercado_Sistema Cosan V2 20_15-FINANCEIRAS_1" xfId="15056"/>
    <cellStyle name="s_Valuation _DB Dados do Mercado_Sistema Cosan V2 20_3-Balanço" xfId="15057"/>
    <cellStyle name="s_Valuation _DB Dados do Mercado_Sistema Cosan V2 20_7-Estoque" xfId="15058"/>
    <cellStyle name="s_Valuation _DB Dados do Mercado_Sistema Cosan V2 20_Relatório Gerencial" xfId="15059"/>
    <cellStyle name="s_Valuation _DB Dados do Mercado_Sistema Cosan V2 20_Relatório Gerencial 2" xfId="15060"/>
    <cellStyle name="s_Valuation _DB Dados do Mercado_Sistema Cosan V2 20_Relatório Gerencial 2_15-FINANCEIRAS" xfId="15061"/>
    <cellStyle name="s_Valuation _DB Dados do Mercado_Sistema Cosan V2 20_Relatório Gerencial_15-FINANCEIRAS" xfId="15062"/>
    <cellStyle name="s_Valuation _DB Dados do Mercado_Sistema Cosan V2 20_Relatório Gerencial_15-FINANCEIRAS_1" xfId="15063"/>
    <cellStyle name="s_Valuation _DB Dados do Mercado_Sistema Cosan V2 20_Relatório Gerencial_3-Balanço" xfId="15064"/>
    <cellStyle name="s_Valuation _DB Dados do Mercado_Sistema Cosan V2 20_Relatório Gerencial_7-Estoque" xfId="15065"/>
    <cellStyle name="s_Valuation _DB Dados do Mercado_Sistema Cosan V2 21" xfId="15066"/>
    <cellStyle name="s_Valuation _DB Dados do Mercado_Sistema Cosan V2 21 2" xfId="15067"/>
    <cellStyle name="s_Valuation _DB Dados do Mercado_Sistema Cosan V2 21 2_15-FINANCEIRAS" xfId="15068"/>
    <cellStyle name="s_Valuation _DB Dados do Mercado_Sistema Cosan V2 21_15-FINANCEIRAS" xfId="15069"/>
    <cellStyle name="s_Valuation _DB Dados do Mercado_Sistema Cosan V2 21_15-FINANCEIRAS_1" xfId="15070"/>
    <cellStyle name="s_Valuation _DB Dados do Mercado_Sistema Cosan V2 21_3-Balanço" xfId="15071"/>
    <cellStyle name="s_Valuation _DB Dados do Mercado_Sistema Cosan V2 21_7-Estoque" xfId="15072"/>
    <cellStyle name="s_Valuation _DB Dados do Mercado_Sistema Cosan V2 21_Relatório Gerencial" xfId="15073"/>
    <cellStyle name="s_Valuation _DB Dados do Mercado_Sistema Cosan V2 21_Relatório Gerencial 2" xfId="15074"/>
    <cellStyle name="s_Valuation _DB Dados do Mercado_Sistema Cosan V2 21_Relatório Gerencial 2_15-FINANCEIRAS" xfId="15075"/>
    <cellStyle name="s_Valuation _DB Dados do Mercado_Sistema Cosan V2 21_Relatório Gerencial_15-FINANCEIRAS" xfId="15076"/>
    <cellStyle name="s_Valuation _DB Dados do Mercado_Sistema Cosan V2 21_Relatório Gerencial_15-FINANCEIRAS_1" xfId="15077"/>
    <cellStyle name="s_Valuation _DB Dados do Mercado_Sistema Cosan V2 21_Relatório Gerencial_3-Balanço" xfId="15078"/>
    <cellStyle name="s_Valuation _DB Dados do Mercado_Sistema Cosan V2 21_Relatório Gerencial_7-Estoque" xfId="15079"/>
    <cellStyle name="s_Valuation _DB Dados do Mercado_Sistema Cosan V2 22" xfId="15080"/>
    <cellStyle name="s_Valuation _DB Dados do Mercado_Sistema Cosan V2 22 2" xfId="15081"/>
    <cellStyle name="s_Valuation _DB Dados do Mercado_Sistema Cosan V2 22 2_15-FINANCEIRAS" xfId="15082"/>
    <cellStyle name="s_Valuation _DB Dados do Mercado_Sistema Cosan V2 22_15-FINANCEIRAS" xfId="15083"/>
    <cellStyle name="s_Valuation _DB Dados do Mercado_Sistema Cosan V2 22_15-FINANCEIRAS_1" xfId="15084"/>
    <cellStyle name="s_Valuation _DB Dados do Mercado_Sistema Cosan V2 22_3-Balanço" xfId="15085"/>
    <cellStyle name="s_Valuation _DB Dados do Mercado_Sistema Cosan V2 22_7-Estoque" xfId="15086"/>
    <cellStyle name="s_Valuation _DB Dados do Mercado_Sistema Cosan V2 22_Relatório Gerencial" xfId="15087"/>
    <cellStyle name="s_Valuation _DB Dados do Mercado_Sistema Cosan V2 22_Relatório Gerencial 2" xfId="15088"/>
    <cellStyle name="s_Valuation _DB Dados do Mercado_Sistema Cosan V2 22_Relatório Gerencial 2_15-FINANCEIRAS" xfId="15089"/>
    <cellStyle name="s_Valuation _DB Dados do Mercado_Sistema Cosan V2 22_Relatório Gerencial_15-FINANCEIRAS" xfId="15090"/>
    <cellStyle name="s_Valuation _DB Dados do Mercado_Sistema Cosan V2 22_Relatório Gerencial_15-FINANCEIRAS_1" xfId="15091"/>
    <cellStyle name="s_Valuation _DB Dados do Mercado_Sistema Cosan V2 22_Relatório Gerencial_3-Balanço" xfId="15092"/>
    <cellStyle name="s_Valuation _DB Dados do Mercado_Sistema Cosan V2 22_Relatório Gerencial_7-Estoque" xfId="15093"/>
    <cellStyle name="s_Valuation _DB Dados do Mercado_Sistema Cosan V2 23" xfId="15094"/>
    <cellStyle name="s_Valuation _DB Dados do Mercado_Sistema Cosan V2 23 2" xfId="15095"/>
    <cellStyle name="s_Valuation _DB Dados do Mercado_Sistema Cosan V2 23 2_15-FINANCEIRAS" xfId="15096"/>
    <cellStyle name="s_Valuation _DB Dados do Mercado_Sistema Cosan V2 23_15-FINANCEIRAS" xfId="15097"/>
    <cellStyle name="s_Valuation _DB Dados do Mercado_Sistema Cosan V2 23_15-FINANCEIRAS_1" xfId="15098"/>
    <cellStyle name="s_Valuation _DB Dados do Mercado_Sistema Cosan V2 23_3-Balanço" xfId="15099"/>
    <cellStyle name="s_Valuation _DB Dados do Mercado_Sistema Cosan V2 23_7-Estoque" xfId="15100"/>
    <cellStyle name="s_Valuation _DB Dados do Mercado_Sistema Cosan V2 23_Relatório Gerencial" xfId="15101"/>
    <cellStyle name="s_Valuation _DB Dados do Mercado_Sistema Cosan V2 23_Relatório Gerencial 2" xfId="15102"/>
    <cellStyle name="s_Valuation _DB Dados do Mercado_Sistema Cosan V2 23_Relatório Gerencial 2_15-FINANCEIRAS" xfId="15103"/>
    <cellStyle name="s_Valuation _DB Dados do Mercado_Sistema Cosan V2 23_Relatório Gerencial_15-FINANCEIRAS" xfId="15104"/>
    <cellStyle name="s_Valuation _DB Dados do Mercado_Sistema Cosan V2 23_Relatório Gerencial_15-FINANCEIRAS_1" xfId="15105"/>
    <cellStyle name="s_Valuation _DB Dados do Mercado_Sistema Cosan V2 23_Relatório Gerencial_3-Balanço" xfId="15106"/>
    <cellStyle name="s_Valuation _DB Dados do Mercado_Sistema Cosan V2 23_Relatório Gerencial_7-Estoque" xfId="15107"/>
    <cellStyle name="s_Valuation _DB Dados do Mercado_Sistema Cosan V2 24" xfId="15108"/>
    <cellStyle name="s_Valuation _DB Dados do Mercado_Sistema Cosan V2 24 2" xfId="15109"/>
    <cellStyle name="s_Valuation _DB Dados do Mercado_Sistema Cosan V2 24 2_15-FINANCEIRAS" xfId="15110"/>
    <cellStyle name="s_Valuation _DB Dados do Mercado_Sistema Cosan V2 24_15-FINANCEIRAS" xfId="15111"/>
    <cellStyle name="s_Valuation _DB Dados do Mercado_Sistema Cosan V2 24_15-FINANCEIRAS_1" xfId="15112"/>
    <cellStyle name="s_Valuation _DB Dados do Mercado_Sistema Cosan V2 24_3-Balanço" xfId="15113"/>
    <cellStyle name="s_Valuation _DB Dados do Mercado_Sistema Cosan V2 24_7-Estoque" xfId="15114"/>
    <cellStyle name="s_Valuation _DB Dados do Mercado_Sistema Cosan V2 24_Relatório Gerencial" xfId="15115"/>
    <cellStyle name="s_Valuation _DB Dados do Mercado_Sistema Cosan V2 24_Relatório Gerencial 2" xfId="15116"/>
    <cellStyle name="s_Valuation _DB Dados do Mercado_Sistema Cosan V2 24_Relatório Gerencial 2_15-FINANCEIRAS" xfId="15117"/>
    <cellStyle name="s_Valuation _DB Dados do Mercado_Sistema Cosan V2 24_Relatório Gerencial_15-FINANCEIRAS" xfId="15118"/>
    <cellStyle name="s_Valuation _DB Dados do Mercado_Sistema Cosan V2 24_Relatório Gerencial_15-FINANCEIRAS_1" xfId="15119"/>
    <cellStyle name="s_Valuation _DB Dados do Mercado_Sistema Cosan V2 24_Relatório Gerencial_3-Balanço" xfId="15120"/>
    <cellStyle name="s_Valuation _DB Dados do Mercado_Sistema Cosan V2 24_Relatório Gerencial_7-Estoque" xfId="15121"/>
    <cellStyle name="s_Valuation _DB Dados do Mercado_Sistema Cosan V2 25" xfId="15122"/>
    <cellStyle name="s_Valuation _DB Dados do Mercado_Sistema Cosan V2 25 2" xfId="15123"/>
    <cellStyle name="s_Valuation _DB Dados do Mercado_Sistema Cosan V2 25 2_15-FINANCEIRAS" xfId="15124"/>
    <cellStyle name="s_Valuation _DB Dados do Mercado_Sistema Cosan V2 25_15-FINANCEIRAS" xfId="15125"/>
    <cellStyle name="s_Valuation _DB Dados do Mercado_Sistema Cosan V2 25_15-FINANCEIRAS_1" xfId="15126"/>
    <cellStyle name="s_Valuation _DB Dados do Mercado_Sistema Cosan V2 25_3-Balanço" xfId="15127"/>
    <cellStyle name="s_Valuation _DB Dados do Mercado_Sistema Cosan V2 25_7-Estoque" xfId="15128"/>
    <cellStyle name="s_Valuation _DB Dados do Mercado_Sistema Cosan V2 25_Relatório Gerencial" xfId="15129"/>
    <cellStyle name="s_Valuation _DB Dados do Mercado_Sistema Cosan V2 25_Relatório Gerencial 2" xfId="15130"/>
    <cellStyle name="s_Valuation _DB Dados do Mercado_Sistema Cosan V2 25_Relatório Gerencial 2_15-FINANCEIRAS" xfId="15131"/>
    <cellStyle name="s_Valuation _DB Dados do Mercado_Sistema Cosan V2 25_Relatório Gerencial_15-FINANCEIRAS" xfId="15132"/>
    <cellStyle name="s_Valuation _DB Dados do Mercado_Sistema Cosan V2 25_Relatório Gerencial_15-FINANCEIRAS_1" xfId="15133"/>
    <cellStyle name="s_Valuation _DB Dados do Mercado_Sistema Cosan V2 25_Relatório Gerencial_3-Balanço" xfId="15134"/>
    <cellStyle name="s_Valuation _DB Dados do Mercado_Sistema Cosan V2 25_Relatório Gerencial_7-Estoque" xfId="15135"/>
    <cellStyle name="s_Valuation _DB Dados do Mercado_Sistema Cosan V2 26" xfId="15136"/>
    <cellStyle name="s_Valuation _DB Dados do Mercado_Sistema Cosan V2 26 2" xfId="15137"/>
    <cellStyle name="s_Valuation _DB Dados do Mercado_Sistema Cosan V2 26 2_15-FINANCEIRAS" xfId="15138"/>
    <cellStyle name="s_Valuation _DB Dados do Mercado_Sistema Cosan V2 26_15-FINANCEIRAS" xfId="15139"/>
    <cellStyle name="s_Valuation _DB Dados do Mercado_Sistema Cosan V2 26_15-FINANCEIRAS_1" xfId="15140"/>
    <cellStyle name="s_Valuation _DB Dados do Mercado_Sistema Cosan V2 26_3-Balanço" xfId="15141"/>
    <cellStyle name="s_Valuation _DB Dados do Mercado_Sistema Cosan V2 26_7-Estoque" xfId="15142"/>
    <cellStyle name="s_Valuation _DB Dados do Mercado_Sistema Cosan V2 26_Relatório Gerencial" xfId="15143"/>
    <cellStyle name="s_Valuation _DB Dados do Mercado_Sistema Cosan V2 26_Relatório Gerencial 2" xfId="15144"/>
    <cellStyle name="s_Valuation _DB Dados do Mercado_Sistema Cosan V2 26_Relatório Gerencial 2_15-FINANCEIRAS" xfId="15145"/>
    <cellStyle name="s_Valuation _DB Dados do Mercado_Sistema Cosan V2 26_Relatório Gerencial_15-FINANCEIRAS" xfId="15146"/>
    <cellStyle name="s_Valuation _DB Dados do Mercado_Sistema Cosan V2 26_Relatório Gerencial_15-FINANCEIRAS_1" xfId="15147"/>
    <cellStyle name="s_Valuation _DB Dados do Mercado_Sistema Cosan V2 26_Relatório Gerencial_3-Balanço" xfId="15148"/>
    <cellStyle name="s_Valuation _DB Dados do Mercado_Sistema Cosan V2 26_Relatório Gerencial_7-Estoque" xfId="15149"/>
    <cellStyle name="s_Valuation _DB Dados do Mercado_Sistema Cosan V2 27" xfId="15150"/>
    <cellStyle name="s_Valuation _DB Dados do Mercado_Sistema Cosan V2 27 2" xfId="15151"/>
    <cellStyle name="s_Valuation _DB Dados do Mercado_Sistema Cosan V2 27 2_15-FINANCEIRAS" xfId="15152"/>
    <cellStyle name="s_Valuation _DB Dados do Mercado_Sistema Cosan V2 27_15-FINANCEIRAS" xfId="15153"/>
    <cellStyle name="s_Valuation _DB Dados do Mercado_Sistema Cosan V2 27_15-FINANCEIRAS_1" xfId="15154"/>
    <cellStyle name="s_Valuation _DB Dados do Mercado_Sistema Cosan V2 27_3-Balanço" xfId="15155"/>
    <cellStyle name="s_Valuation _DB Dados do Mercado_Sistema Cosan V2 27_7-Estoque" xfId="15156"/>
    <cellStyle name="s_Valuation _DB Dados do Mercado_Sistema Cosan V2 27_Relatório Gerencial" xfId="15157"/>
    <cellStyle name="s_Valuation _DB Dados do Mercado_Sistema Cosan V2 27_Relatório Gerencial 2" xfId="15158"/>
    <cellStyle name="s_Valuation _DB Dados do Mercado_Sistema Cosan V2 27_Relatório Gerencial 2_15-FINANCEIRAS" xfId="15159"/>
    <cellStyle name="s_Valuation _DB Dados do Mercado_Sistema Cosan V2 27_Relatório Gerencial_15-FINANCEIRAS" xfId="15160"/>
    <cellStyle name="s_Valuation _DB Dados do Mercado_Sistema Cosan V2 27_Relatório Gerencial_15-FINANCEIRAS_1" xfId="15161"/>
    <cellStyle name="s_Valuation _DB Dados do Mercado_Sistema Cosan V2 27_Relatório Gerencial_3-Balanço" xfId="15162"/>
    <cellStyle name="s_Valuation _DB Dados do Mercado_Sistema Cosan V2 27_Relatório Gerencial_7-Estoque" xfId="15163"/>
    <cellStyle name="s_Valuation _DB Dados do Mercado_Sistema Cosan V2 28" xfId="15164"/>
    <cellStyle name="s_Valuation _DB Dados do Mercado_Sistema Cosan V2 28 2" xfId="15165"/>
    <cellStyle name="s_Valuation _DB Dados do Mercado_Sistema Cosan V2 28 2_15-FINANCEIRAS" xfId="15166"/>
    <cellStyle name="s_Valuation _DB Dados do Mercado_Sistema Cosan V2 28_15-FINANCEIRAS" xfId="15167"/>
    <cellStyle name="s_Valuation _DB Dados do Mercado_Sistema Cosan V2 28_15-FINANCEIRAS_1" xfId="15168"/>
    <cellStyle name="s_Valuation _DB Dados do Mercado_Sistema Cosan V2 28_3-Balanço" xfId="15169"/>
    <cellStyle name="s_Valuation _DB Dados do Mercado_Sistema Cosan V2 28_7-Estoque" xfId="15170"/>
    <cellStyle name="s_Valuation _DB Dados do Mercado_Sistema Cosan V2 28_Relatório Gerencial" xfId="15171"/>
    <cellStyle name="s_Valuation _DB Dados do Mercado_Sistema Cosan V2 28_Relatório Gerencial 2" xfId="15172"/>
    <cellStyle name="s_Valuation _DB Dados do Mercado_Sistema Cosan V2 28_Relatório Gerencial 2_15-FINANCEIRAS" xfId="15173"/>
    <cellStyle name="s_Valuation _DB Dados do Mercado_Sistema Cosan V2 28_Relatório Gerencial_15-FINANCEIRAS" xfId="15174"/>
    <cellStyle name="s_Valuation _DB Dados do Mercado_Sistema Cosan V2 28_Relatório Gerencial_15-FINANCEIRAS_1" xfId="15175"/>
    <cellStyle name="s_Valuation _DB Dados do Mercado_Sistema Cosan V2 28_Relatório Gerencial_3-Balanço" xfId="15176"/>
    <cellStyle name="s_Valuation _DB Dados do Mercado_Sistema Cosan V2 28_Relatório Gerencial_7-Estoque" xfId="15177"/>
    <cellStyle name="s_Valuation _DB Dados do Mercado_Sistema Cosan V2 29" xfId="15178"/>
    <cellStyle name="s_Valuation _DB Dados do Mercado_Sistema Cosan V2 29 2" xfId="15179"/>
    <cellStyle name="s_Valuation _DB Dados do Mercado_Sistema Cosan V2 29 2_15-FINANCEIRAS" xfId="15180"/>
    <cellStyle name="s_Valuation _DB Dados do Mercado_Sistema Cosan V2 29_15-FINANCEIRAS" xfId="15181"/>
    <cellStyle name="s_Valuation _DB Dados do Mercado_Sistema Cosan V2 29_15-FINANCEIRAS_1" xfId="15182"/>
    <cellStyle name="s_Valuation _DB Dados do Mercado_Sistema Cosan V2 29_3-Balanço" xfId="15183"/>
    <cellStyle name="s_Valuation _DB Dados do Mercado_Sistema Cosan V2 29_7-Estoque" xfId="15184"/>
    <cellStyle name="s_Valuation _DB Dados do Mercado_Sistema Cosan V2 29_Relatório Gerencial" xfId="15185"/>
    <cellStyle name="s_Valuation _DB Dados do Mercado_Sistema Cosan V2 29_Relatório Gerencial 2" xfId="15186"/>
    <cellStyle name="s_Valuation _DB Dados do Mercado_Sistema Cosan V2 29_Relatório Gerencial 2_15-FINANCEIRAS" xfId="15187"/>
    <cellStyle name="s_Valuation _DB Dados do Mercado_Sistema Cosan V2 29_Relatório Gerencial_15-FINANCEIRAS" xfId="15188"/>
    <cellStyle name="s_Valuation _DB Dados do Mercado_Sistema Cosan V2 29_Relatório Gerencial_15-FINANCEIRAS_1" xfId="15189"/>
    <cellStyle name="s_Valuation _DB Dados do Mercado_Sistema Cosan V2 29_Relatório Gerencial_3-Balanço" xfId="15190"/>
    <cellStyle name="s_Valuation _DB Dados do Mercado_Sistema Cosan V2 29_Relatório Gerencial_7-Estoque" xfId="15191"/>
    <cellStyle name="s_Valuation _DB Dados do Mercado_Sistema Cosan V2 3" xfId="15192"/>
    <cellStyle name="s_Valuation _DB Dados do Mercado_Sistema Cosan V2 3 2" xfId="15193"/>
    <cellStyle name="s_Valuation _DB Dados do Mercado_Sistema Cosan V2 3 2_15-FINANCEIRAS" xfId="15194"/>
    <cellStyle name="s_Valuation _DB Dados do Mercado_Sistema Cosan V2 3_15-FINANCEIRAS" xfId="15195"/>
    <cellStyle name="s_Valuation _DB Dados do Mercado_Sistema Cosan V2 3_15-FINANCEIRAS_1" xfId="15196"/>
    <cellStyle name="s_Valuation _DB Dados do Mercado_Sistema Cosan V2 3_3-Balanço" xfId="15197"/>
    <cellStyle name="s_Valuation _DB Dados do Mercado_Sistema Cosan V2 3_7-Estoque" xfId="15198"/>
    <cellStyle name="s_Valuation _DB Dados do Mercado_Sistema Cosan V2 3_Relatório Gerencial" xfId="15199"/>
    <cellStyle name="s_Valuation _DB Dados do Mercado_Sistema Cosan V2 3_Relatório Gerencial 2" xfId="15200"/>
    <cellStyle name="s_Valuation _DB Dados do Mercado_Sistema Cosan V2 3_Relatório Gerencial 2_15-FINANCEIRAS" xfId="15201"/>
    <cellStyle name="s_Valuation _DB Dados do Mercado_Sistema Cosan V2 3_Relatório Gerencial_15-FINANCEIRAS" xfId="15202"/>
    <cellStyle name="s_Valuation _DB Dados do Mercado_Sistema Cosan V2 3_Relatório Gerencial_15-FINANCEIRAS_1" xfId="15203"/>
    <cellStyle name="s_Valuation _DB Dados do Mercado_Sistema Cosan V2 3_Relatório Gerencial_3-Balanço" xfId="15204"/>
    <cellStyle name="s_Valuation _DB Dados do Mercado_Sistema Cosan V2 3_Relatório Gerencial_7-Estoque" xfId="15205"/>
    <cellStyle name="s_Valuation _DB Dados do Mercado_Sistema Cosan V2 30" xfId="15206"/>
    <cellStyle name="s_Valuation _DB Dados do Mercado_Sistema Cosan V2 30 2" xfId="15207"/>
    <cellStyle name="s_Valuation _DB Dados do Mercado_Sistema Cosan V2 30 2_15-FINANCEIRAS" xfId="15208"/>
    <cellStyle name="s_Valuation _DB Dados do Mercado_Sistema Cosan V2 30_15-FINANCEIRAS" xfId="15209"/>
    <cellStyle name="s_Valuation _DB Dados do Mercado_Sistema Cosan V2 30_15-FINANCEIRAS_1" xfId="15210"/>
    <cellStyle name="s_Valuation _DB Dados do Mercado_Sistema Cosan V2 30_3-Balanço" xfId="15211"/>
    <cellStyle name="s_Valuation _DB Dados do Mercado_Sistema Cosan V2 30_7-Estoque" xfId="15212"/>
    <cellStyle name="s_Valuation _DB Dados do Mercado_Sistema Cosan V2 30_Relatório Gerencial" xfId="15213"/>
    <cellStyle name="s_Valuation _DB Dados do Mercado_Sistema Cosan V2 30_Relatório Gerencial 2" xfId="15214"/>
    <cellStyle name="s_Valuation _DB Dados do Mercado_Sistema Cosan V2 30_Relatório Gerencial 2_15-FINANCEIRAS" xfId="15215"/>
    <cellStyle name="s_Valuation _DB Dados do Mercado_Sistema Cosan V2 30_Relatório Gerencial_15-FINANCEIRAS" xfId="15216"/>
    <cellStyle name="s_Valuation _DB Dados do Mercado_Sistema Cosan V2 30_Relatório Gerencial_15-FINANCEIRAS_1" xfId="15217"/>
    <cellStyle name="s_Valuation _DB Dados do Mercado_Sistema Cosan V2 30_Relatório Gerencial_3-Balanço" xfId="15218"/>
    <cellStyle name="s_Valuation _DB Dados do Mercado_Sistema Cosan V2 30_Relatório Gerencial_7-Estoque" xfId="15219"/>
    <cellStyle name="s_Valuation _DB Dados do Mercado_Sistema Cosan V2 31" xfId="15220"/>
    <cellStyle name="s_Valuation _DB Dados do Mercado_Sistema Cosan V2 31 2" xfId="15221"/>
    <cellStyle name="s_Valuation _DB Dados do Mercado_Sistema Cosan V2 31 2_15-FINANCEIRAS" xfId="15222"/>
    <cellStyle name="s_Valuation _DB Dados do Mercado_Sistema Cosan V2 31_15-FINANCEIRAS" xfId="15223"/>
    <cellStyle name="s_Valuation _DB Dados do Mercado_Sistema Cosan V2 31_15-FINANCEIRAS_1" xfId="15224"/>
    <cellStyle name="s_Valuation _DB Dados do Mercado_Sistema Cosan V2 31_3-Balanço" xfId="15225"/>
    <cellStyle name="s_Valuation _DB Dados do Mercado_Sistema Cosan V2 31_7-Estoque" xfId="15226"/>
    <cellStyle name="s_Valuation _DB Dados do Mercado_Sistema Cosan V2 31_Relatório Gerencial" xfId="15227"/>
    <cellStyle name="s_Valuation _DB Dados do Mercado_Sistema Cosan V2 31_Relatório Gerencial 2" xfId="15228"/>
    <cellStyle name="s_Valuation _DB Dados do Mercado_Sistema Cosan V2 31_Relatório Gerencial 2_15-FINANCEIRAS" xfId="15229"/>
    <cellStyle name="s_Valuation _DB Dados do Mercado_Sistema Cosan V2 31_Relatório Gerencial_15-FINANCEIRAS" xfId="15230"/>
    <cellStyle name="s_Valuation _DB Dados do Mercado_Sistema Cosan V2 31_Relatório Gerencial_15-FINANCEIRAS_1" xfId="15231"/>
    <cellStyle name="s_Valuation _DB Dados do Mercado_Sistema Cosan V2 31_Relatório Gerencial_3-Balanço" xfId="15232"/>
    <cellStyle name="s_Valuation _DB Dados do Mercado_Sistema Cosan V2 31_Relatório Gerencial_7-Estoque" xfId="15233"/>
    <cellStyle name="s_Valuation _DB Dados do Mercado_Sistema Cosan V2 32" xfId="15234"/>
    <cellStyle name="s_Valuation _DB Dados do Mercado_Sistema Cosan V2 32 2" xfId="15235"/>
    <cellStyle name="s_Valuation _DB Dados do Mercado_Sistema Cosan V2 32 2_15-FINANCEIRAS" xfId="15236"/>
    <cellStyle name="s_Valuation _DB Dados do Mercado_Sistema Cosan V2 32_15-FINANCEIRAS" xfId="15237"/>
    <cellStyle name="s_Valuation _DB Dados do Mercado_Sistema Cosan V2 32_15-FINANCEIRAS_1" xfId="15238"/>
    <cellStyle name="s_Valuation _DB Dados do Mercado_Sistema Cosan V2 32_3-Balanço" xfId="15239"/>
    <cellStyle name="s_Valuation _DB Dados do Mercado_Sistema Cosan V2 32_7-Estoque" xfId="15240"/>
    <cellStyle name="s_Valuation _DB Dados do Mercado_Sistema Cosan V2 32_Relatório Gerencial" xfId="15241"/>
    <cellStyle name="s_Valuation _DB Dados do Mercado_Sistema Cosan V2 32_Relatório Gerencial 2" xfId="15242"/>
    <cellStyle name="s_Valuation _DB Dados do Mercado_Sistema Cosan V2 32_Relatório Gerencial 2_15-FINANCEIRAS" xfId="15243"/>
    <cellStyle name="s_Valuation _DB Dados do Mercado_Sistema Cosan V2 32_Relatório Gerencial_15-FINANCEIRAS" xfId="15244"/>
    <cellStyle name="s_Valuation _DB Dados do Mercado_Sistema Cosan V2 32_Relatório Gerencial_15-FINANCEIRAS_1" xfId="15245"/>
    <cellStyle name="s_Valuation _DB Dados do Mercado_Sistema Cosan V2 32_Relatório Gerencial_3-Balanço" xfId="15246"/>
    <cellStyle name="s_Valuation _DB Dados do Mercado_Sistema Cosan V2 32_Relatório Gerencial_7-Estoque" xfId="15247"/>
    <cellStyle name="s_Valuation _DB Dados do Mercado_Sistema Cosan V2 33" xfId="15248"/>
    <cellStyle name="s_Valuation _DB Dados do Mercado_Sistema Cosan V2 33 2" xfId="15249"/>
    <cellStyle name="s_Valuation _DB Dados do Mercado_Sistema Cosan V2 33 2_15-FINANCEIRAS" xfId="15250"/>
    <cellStyle name="s_Valuation _DB Dados do Mercado_Sistema Cosan V2 33_15-FINANCEIRAS" xfId="15251"/>
    <cellStyle name="s_Valuation _DB Dados do Mercado_Sistema Cosan V2 33_15-FINANCEIRAS_1" xfId="15252"/>
    <cellStyle name="s_Valuation _DB Dados do Mercado_Sistema Cosan V2 33_3-Balanço" xfId="15253"/>
    <cellStyle name="s_Valuation _DB Dados do Mercado_Sistema Cosan V2 33_7-Estoque" xfId="15254"/>
    <cellStyle name="s_Valuation _DB Dados do Mercado_Sistema Cosan V2 33_Relatório Gerencial" xfId="15255"/>
    <cellStyle name="s_Valuation _DB Dados do Mercado_Sistema Cosan V2 33_Relatório Gerencial 2" xfId="15256"/>
    <cellStyle name="s_Valuation _DB Dados do Mercado_Sistema Cosan V2 33_Relatório Gerencial 2_15-FINANCEIRAS" xfId="15257"/>
    <cellStyle name="s_Valuation _DB Dados do Mercado_Sistema Cosan V2 33_Relatório Gerencial_15-FINANCEIRAS" xfId="15258"/>
    <cellStyle name="s_Valuation _DB Dados do Mercado_Sistema Cosan V2 33_Relatório Gerencial_15-FINANCEIRAS_1" xfId="15259"/>
    <cellStyle name="s_Valuation _DB Dados do Mercado_Sistema Cosan V2 33_Relatório Gerencial_3-Balanço" xfId="15260"/>
    <cellStyle name="s_Valuation _DB Dados do Mercado_Sistema Cosan V2 33_Relatório Gerencial_7-Estoque" xfId="15261"/>
    <cellStyle name="s_Valuation _DB Dados do Mercado_Sistema Cosan V2 34" xfId="15262"/>
    <cellStyle name="s_Valuation _DB Dados do Mercado_Sistema Cosan V2 34 2" xfId="15263"/>
    <cellStyle name="s_Valuation _DB Dados do Mercado_Sistema Cosan V2 34 2_15-FINANCEIRAS" xfId="15264"/>
    <cellStyle name="s_Valuation _DB Dados do Mercado_Sistema Cosan V2 34_15-FINANCEIRAS" xfId="15265"/>
    <cellStyle name="s_Valuation _DB Dados do Mercado_Sistema Cosan V2 34_15-FINANCEIRAS_1" xfId="15266"/>
    <cellStyle name="s_Valuation _DB Dados do Mercado_Sistema Cosan V2 34_3-Balanço" xfId="15267"/>
    <cellStyle name="s_Valuation _DB Dados do Mercado_Sistema Cosan V2 34_7-Estoque" xfId="15268"/>
    <cellStyle name="s_Valuation _DB Dados do Mercado_Sistema Cosan V2 34_Relatório Gerencial" xfId="15269"/>
    <cellStyle name="s_Valuation _DB Dados do Mercado_Sistema Cosan V2 34_Relatório Gerencial 2" xfId="15270"/>
    <cellStyle name="s_Valuation _DB Dados do Mercado_Sistema Cosan V2 34_Relatório Gerencial 2_15-FINANCEIRAS" xfId="15271"/>
    <cellStyle name="s_Valuation _DB Dados do Mercado_Sistema Cosan V2 34_Relatório Gerencial_15-FINANCEIRAS" xfId="15272"/>
    <cellStyle name="s_Valuation _DB Dados do Mercado_Sistema Cosan V2 34_Relatório Gerencial_15-FINANCEIRAS_1" xfId="15273"/>
    <cellStyle name="s_Valuation _DB Dados do Mercado_Sistema Cosan V2 34_Relatório Gerencial_3-Balanço" xfId="15274"/>
    <cellStyle name="s_Valuation _DB Dados do Mercado_Sistema Cosan V2 34_Relatório Gerencial_7-Estoque" xfId="15275"/>
    <cellStyle name="s_Valuation _DB Dados do Mercado_Sistema Cosan V2 35" xfId="15276"/>
    <cellStyle name="s_Valuation _DB Dados do Mercado_Sistema Cosan V2 35 2" xfId="15277"/>
    <cellStyle name="s_Valuation _DB Dados do Mercado_Sistema Cosan V2 35 2_15-FINANCEIRAS" xfId="15278"/>
    <cellStyle name="s_Valuation _DB Dados do Mercado_Sistema Cosan V2 35_15-FINANCEIRAS" xfId="15279"/>
    <cellStyle name="s_Valuation _DB Dados do Mercado_Sistema Cosan V2 35_15-FINANCEIRAS_1" xfId="15280"/>
    <cellStyle name="s_Valuation _DB Dados do Mercado_Sistema Cosan V2 35_3-Balanço" xfId="15281"/>
    <cellStyle name="s_Valuation _DB Dados do Mercado_Sistema Cosan V2 35_7-Estoque" xfId="15282"/>
    <cellStyle name="s_Valuation _DB Dados do Mercado_Sistema Cosan V2 35_Relatório Gerencial" xfId="15283"/>
    <cellStyle name="s_Valuation _DB Dados do Mercado_Sistema Cosan V2 35_Relatório Gerencial 2" xfId="15284"/>
    <cellStyle name="s_Valuation _DB Dados do Mercado_Sistema Cosan V2 35_Relatório Gerencial 2_15-FINANCEIRAS" xfId="15285"/>
    <cellStyle name="s_Valuation _DB Dados do Mercado_Sistema Cosan V2 35_Relatório Gerencial_15-FINANCEIRAS" xfId="15286"/>
    <cellStyle name="s_Valuation _DB Dados do Mercado_Sistema Cosan V2 35_Relatório Gerencial_15-FINANCEIRAS_1" xfId="15287"/>
    <cellStyle name="s_Valuation _DB Dados do Mercado_Sistema Cosan V2 35_Relatório Gerencial_3-Balanço" xfId="15288"/>
    <cellStyle name="s_Valuation _DB Dados do Mercado_Sistema Cosan V2 35_Relatório Gerencial_7-Estoque" xfId="15289"/>
    <cellStyle name="s_Valuation _DB Dados do Mercado_Sistema Cosan V2 36" xfId="15290"/>
    <cellStyle name="s_Valuation _DB Dados do Mercado_Sistema Cosan V2 36 2" xfId="15291"/>
    <cellStyle name="s_Valuation _DB Dados do Mercado_Sistema Cosan V2 36 2_15-FINANCEIRAS" xfId="15292"/>
    <cellStyle name="s_Valuation _DB Dados do Mercado_Sistema Cosan V2 36_15-FINANCEIRAS" xfId="15293"/>
    <cellStyle name="s_Valuation _DB Dados do Mercado_Sistema Cosan V2 36_15-FINANCEIRAS_1" xfId="15294"/>
    <cellStyle name="s_Valuation _DB Dados do Mercado_Sistema Cosan V2 36_3-Balanço" xfId="15295"/>
    <cellStyle name="s_Valuation _DB Dados do Mercado_Sistema Cosan V2 36_7-Estoque" xfId="15296"/>
    <cellStyle name="s_Valuation _DB Dados do Mercado_Sistema Cosan V2 36_Relatório Gerencial" xfId="15297"/>
    <cellStyle name="s_Valuation _DB Dados do Mercado_Sistema Cosan V2 36_Relatório Gerencial 2" xfId="15298"/>
    <cellStyle name="s_Valuation _DB Dados do Mercado_Sistema Cosan V2 36_Relatório Gerencial 2_15-FINANCEIRAS" xfId="15299"/>
    <cellStyle name="s_Valuation _DB Dados do Mercado_Sistema Cosan V2 36_Relatório Gerencial_15-FINANCEIRAS" xfId="15300"/>
    <cellStyle name="s_Valuation _DB Dados do Mercado_Sistema Cosan V2 36_Relatório Gerencial_15-FINANCEIRAS_1" xfId="15301"/>
    <cellStyle name="s_Valuation _DB Dados do Mercado_Sistema Cosan V2 36_Relatório Gerencial_3-Balanço" xfId="15302"/>
    <cellStyle name="s_Valuation _DB Dados do Mercado_Sistema Cosan V2 36_Relatório Gerencial_7-Estoque" xfId="15303"/>
    <cellStyle name="s_Valuation _DB Dados do Mercado_Sistema Cosan V2 37" xfId="15304"/>
    <cellStyle name="s_Valuation _DB Dados do Mercado_Sistema Cosan V2 37_15-FINANCEIRAS" xfId="15305"/>
    <cellStyle name="s_Valuation _DB Dados do Mercado_Sistema Cosan V2 4" xfId="15306"/>
    <cellStyle name="s_Valuation _DB Dados do Mercado_Sistema Cosan V2 4 2" xfId="15307"/>
    <cellStyle name="s_Valuation _DB Dados do Mercado_Sistema Cosan V2 4 2_15-FINANCEIRAS" xfId="15308"/>
    <cellStyle name="s_Valuation _DB Dados do Mercado_Sistema Cosan V2 4_15-FINANCEIRAS" xfId="15309"/>
    <cellStyle name="s_Valuation _DB Dados do Mercado_Sistema Cosan V2 4_15-FINANCEIRAS_1" xfId="15310"/>
    <cellStyle name="s_Valuation _DB Dados do Mercado_Sistema Cosan V2 4_3-Balanço" xfId="15311"/>
    <cellStyle name="s_Valuation _DB Dados do Mercado_Sistema Cosan V2 4_7-Estoque" xfId="15312"/>
    <cellStyle name="s_Valuation _DB Dados do Mercado_Sistema Cosan V2 4_Relatório Gerencial" xfId="15313"/>
    <cellStyle name="s_Valuation _DB Dados do Mercado_Sistema Cosan V2 4_Relatório Gerencial 2" xfId="15314"/>
    <cellStyle name="s_Valuation _DB Dados do Mercado_Sistema Cosan V2 4_Relatório Gerencial 2_15-FINANCEIRAS" xfId="15315"/>
    <cellStyle name="s_Valuation _DB Dados do Mercado_Sistema Cosan V2 4_Relatório Gerencial_15-FINANCEIRAS" xfId="15316"/>
    <cellStyle name="s_Valuation _DB Dados do Mercado_Sistema Cosan V2 4_Relatório Gerencial_15-FINANCEIRAS_1" xfId="15317"/>
    <cellStyle name="s_Valuation _DB Dados do Mercado_Sistema Cosan V2 4_Relatório Gerencial_3-Balanço" xfId="15318"/>
    <cellStyle name="s_Valuation _DB Dados do Mercado_Sistema Cosan V2 4_Relatório Gerencial_7-Estoque" xfId="15319"/>
    <cellStyle name="s_Valuation _DB Dados do Mercado_Sistema Cosan V2 5" xfId="15320"/>
    <cellStyle name="s_Valuation _DB Dados do Mercado_Sistema Cosan V2 5 2" xfId="15321"/>
    <cellStyle name="s_Valuation _DB Dados do Mercado_Sistema Cosan V2 5 2_15-FINANCEIRAS" xfId="15322"/>
    <cellStyle name="s_Valuation _DB Dados do Mercado_Sistema Cosan V2 5_15-FINANCEIRAS" xfId="15323"/>
    <cellStyle name="s_Valuation _DB Dados do Mercado_Sistema Cosan V2 5_15-FINANCEIRAS_1" xfId="15324"/>
    <cellStyle name="s_Valuation _DB Dados do Mercado_Sistema Cosan V2 5_3-Balanço" xfId="15325"/>
    <cellStyle name="s_Valuation _DB Dados do Mercado_Sistema Cosan V2 5_7-Estoque" xfId="15326"/>
    <cellStyle name="s_Valuation _DB Dados do Mercado_Sistema Cosan V2 5_Relatório Gerencial" xfId="15327"/>
    <cellStyle name="s_Valuation _DB Dados do Mercado_Sistema Cosan V2 5_Relatório Gerencial 2" xfId="15328"/>
    <cellStyle name="s_Valuation _DB Dados do Mercado_Sistema Cosan V2 5_Relatório Gerencial 2_15-FINANCEIRAS" xfId="15329"/>
    <cellStyle name="s_Valuation _DB Dados do Mercado_Sistema Cosan V2 5_Relatório Gerencial_15-FINANCEIRAS" xfId="15330"/>
    <cellStyle name="s_Valuation _DB Dados do Mercado_Sistema Cosan V2 5_Relatório Gerencial_15-FINANCEIRAS_1" xfId="15331"/>
    <cellStyle name="s_Valuation _DB Dados do Mercado_Sistema Cosan V2 5_Relatório Gerencial_3-Balanço" xfId="15332"/>
    <cellStyle name="s_Valuation _DB Dados do Mercado_Sistema Cosan V2 5_Relatório Gerencial_7-Estoque" xfId="15333"/>
    <cellStyle name="s_Valuation _DB Dados do Mercado_Sistema Cosan V2 6" xfId="15334"/>
    <cellStyle name="s_Valuation _DB Dados do Mercado_Sistema Cosan V2 6 2" xfId="15335"/>
    <cellStyle name="s_Valuation _DB Dados do Mercado_Sistema Cosan V2 6 2_15-FINANCEIRAS" xfId="15336"/>
    <cellStyle name="s_Valuation _DB Dados do Mercado_Sistema Cosan V2 6_15-FINANCEIRAS" xfId="15337"/>
    <cellStyle name="s_Valuation _DB Dados do Mercado_Sistema Cosan V2 6_15-FINANCEIRAS_1" xfId="15338"/>
    <cellStyle name="s_Valuation _DB Dados do Mercado_Sistema Cosan V2 6_3-Balanço" xfId="15339"/>
    <cellStyle name="s_Valuation _DB Dados do Mercado_Sistema Cosan V2 6_7-Estoque" xfId="15340"/>
    <cellStyle name="s_Valuation _DB Dados do Mercado_Sistema Cosan V2 6_Relatório Gerencial" xfId="15341"/>
    <cellStyle name="s_Valuation _DB Dados do Mercado_Sistema Cosan V2 6_Relatório Gerencial 2" xfId="15342"/>
    <cellStyle name="s_Valuation _DB Dados do Mercado_Sistema Cosan V2 6_Relatório Gerencial 2_15-FINANCEIRAS" xfId="15343"/>
    <cellStyle name="s_Valuation _DB Dados do Mercado_Sistema Cosan V2 6_Relatório Gerencial_15-FINANCEIRAS" xfId="15344"/>
    <cellStyle name="s_Valuation _DB Dados do Mercado_Sistema Cosan V2 6_Relatório Gerencial_15-FINANCEIRAS_1" xfId="15345"/>
    <cellStyle name="s_Valuation _DB Dados do Mercado_Sistema Cosan V2 6_Relatório Gerencial_3-Balanço" xfId="15346"/>
    <cellStyle name="s_Valuation _DB Dados do Mercado_Sistema Cosan V2 6_Relatório Gerencial_7-Estoque" xfId="15347"/>
    <cellStyle name="s_Valuation _DB Dados do Mercado_Sistema Cosan V2 7" xfId="15348"/>
    <cellStyle name="s_Valuation _DB Dados do Mercado_Sistema Cosan V2 7 2" xfId="15349"/>
    <cellStyle name="s_Valuation _DB Dados do Mercado_Sistema Cosan V2 7 2_15-FINANCEIRAS" xfId="15350"/>
    <cellStyle name="s_Valuation _DB Dados do Mercado_Sistema Cosan V2 7_15-FINANCEIRAS" xfId="15351"/>
    <cellStyle name="s_Valuation _DB Dados do Mercado_Sistema Cosan V2 7_15-FINANCEIRAS_1" xfId="15352"/>
    <cellStyle name="s_Valuation _DB Dados do Mercado_Sistema Cosan V2 7_3-Balanço" xfId="15353"/>
    <cellStyle name="s_Valuation _DB Dados do Mercado_Sistema Cosan V2 7_7-Estoque" xfId="15354"/>
    <cellStyle name="s_Valuation _DB Dados do Mercado_Sistema Cosan V2 7_Relatório Gerencial" xfId="15355"/>
    <cellStyle name="s_Valuation _DB Dados do Mercado_Sistema Cosan V2 7_Relatório Gerencial 2" xfId="15356"/>
    <cellStyle name="s_Valuation _DB Dados do Mercado_Sistema Cosan V2 7_Relatório Gerencial 2_15-FINANCEIRAS" xfId="15357"/>
    <cellStyle name="s_Valuation _DB Dados do Mercado_Sistema Cosan V2 7_Relatório Gerencial_15-FINANCEIRAS" xfId="15358"/>
    <cellStyle name="s_Valuation _DB Dados do Mercado_Sistema Cosan V2 7_Relatório Gerencial_15-FINANCEIRAS_1" xfId="15359"/>
    <cellStyle name="s_Valuation _DB Dados do Mercado_Sistema Cosan V2 7_Relatório Gerencial_3-Balanço" xfId="15360"/>
    <cellStyle name="s_Valuation _DB Dados do Mercado_Sistema Cosan V2 7_Relatório Gerencial_7-Estoque" xfId="15361"/>
    <cellStyle name="s_Valuation _DB Dados do Mercado_Sistema Cosan V2 8" xfId="15362"/>
    <cellStyle name="s_Valuation _DB Dados do Mercado_Sistema Cosan V2 8 2" xfId="15363"/>
    <cellStyle name="s_Valuation _DB Dados do Mercado_Sistema Cosan V2 8 2_15-FINANCEIRAS" xfId="15364"/>
    <cellStyle name="s_Valuation _DB Dados do Mercado_Sistema Cosan V2 8_15-FINANCEIRAS" xfId="15365"/>
    <cellStyle name="s_Valuation _DB Dados do Mercado_Sistema Cosan V2 8_15-FINANCEIRAS_1" xfId="15366"/>
    <cellStyle name="s_Valuation _DB Dados do Mercado_Sistema Cosan V2 8_3-Balanço" xfId="15367"/>
    <cellStyle name="s_Valuation _DB Dados do Mercado_Sistema Cosan V2 8_7-Estoque" xfId="15368"/>
    <cellStyle name="s_Valuation _DB Dados do Mercado_Sistema Cosan V2 8_Relatório Gerencial" xfId="15369"/>
    <cellStyle name="s_Valuation _DB Dados do Mercado_Sistema Cosan V2 8_Relatório Gerencial 2" xfId="15370"/>
    <cellStyle name="s_Valuation _DB Dados do Mercado_Sistema Cosan V2 8_Relatório Gerencial 2_15-FINANCEIRAS" xfId="15371"/>
    <cellStyle name="s_Valuation _DB Dados do Mercado_Sistema Cosan V2 8_Relatório Gerencial_15-FINANCEIRAS" xfId="15372"/>
    <cellStyle name="s_Valuation _DB Dados do Mercado_Sistema Cosan V2 8_Relatório Gerencial_15-FINANCEIRAS_1" xfId="15373"/>
    <cellStyle name="s_Valuation _DB Dados do Mercado_Sistema Cosan V2 8_Relatório Gerencial_3-Balanço" xfId="15374"/>
    <cellStyle name="s_Valuation _DB Dados do Mercado_Sistema Cosan V2 8_Relatório Gerencial_7-Estoque" xfId="15375"/>
    <cellStyle name="s_Valuation _DB Dados do Mercado_Sistema Cosan V2 9" xfId="15376"/>
    <cellStyle name="s_Valuation _DB Dados do Mercado_Sistema Cosan V2 9 2" xfId="15377"/>
    <cellStyle name="s_Valuation _DB Dados do Mercado_Sistema Cosan V2 9 2_15-FINANCEIRAS" xfId="15378"/>
    <cellStyle name="s_Valuation _DB Dados do Mercado_Sistema Cosan V2 9_15-FINANCEIRAS" xfId="15379"/>
    <cellStyle name="s_Valuation _DB Dados do Mercado_Sistema Cosan V2 9_15-FINANCEIRAS_1" xfId="15380"/>
    <cellStyle name="s_Valuation _DB Dados do Mercado_Sistema Cosan V2 9_3-Balanço" xfId="15381"/>
    <cellStyle name="s_Valuation _DB Dados do Mercado_Sistema Cosan V2 9_7-Estoque" xfId="15382"/>
    <cellStyle name="s_Valuation _DB Dados do Mercado_Sistema Cosan V2 9_Relatório Gerencial" xfId="15383"/>
    <cellStyle name="s_Valuation _DB Dados do Mercado_Sistema Cosan V2 9_Relatório Gerencial 2" xfId="15384"/>
    <cellStyle name="s_Valuation _DB Dados do Mercado_Sistema Cosan V2 9_Relatório Gerencial 2_15-FINANCEIRAS" xfId="15385"/>
    <cellStyle name="s_Valuation _DB Dados do Mercado_Sistema Cosan V2 9_Relatório Gerencial_15-FINANCEIRAS" xfId="15386"/>
    <cellStyle name="s_Valuation _DB Dados do Mercado_Sistema Cosan V2 9_Relatório Gerencial_15-FINANCEIRAS_1" xfId="15387"/>
    <cellStyle name="s_Valuation _DB Dados do Mercado_Sistema Cosan V2 9_Relatório Gerencial_3-Balanço" xfId="15388"/>
    <cellStyle name="s_Valuation _DB Dados do Mercado_Sistema Cosan V2 9_Relatório Gerencial_7-Estoque" xfId="15389"/>
    <cellStyle name="s_Valuation _DB Dados do Mercado_Sistema Cosan V2_15-FINANCEIRAS" xfId="15390"/>
    <cellStyle name="s_Valuation _DB Dados do Mercado_Sistema Cosan V2_15-FINANCEIRAS_1" xfId="15391"/>
    <cellStyle name="s_Valuation _DB Dados do Mercado_Sistema Cosan V2_20090210 Fechamento Diário" xfId="15392"/>
    <cellStyle name="s_Valuation _DB Dados do Mercado_Sistema Cosan V2_20090210 Fechamento Diário 2" xfId="15393"/>
    <cellStyle name="s_Valuation _DB Dados do Mercado_Sistema Cosan V2_20090210 Fechamento Diário 2_15-FINANCEIRAS" xfId="15394"/>
    <cellStyle name="s_Valuation _DB Dados do Mercado_Sistema Cosan V2_20090210 Fechamento Diário_15-FINANCEIRAS" xfId="15395"/>
    <cellStyle name="s_Valuation _DB Dados do Mercado_Sistema Cosan V2_20090210 Fechamento Diário_15-FINANCEIRAS_1" xfId="15396"/>
    <cellStyle name="s_Valuation _DB Dados do Mercado_Sistema Cosan V2_20090210 Fechamento Diário_3-Balanço" xfId="15397"/>
    <cellStyle name="s_Valuation _DB Dados do Mercado_Sistema Cosan V2_20090210 Fechamento Diário_7-Estoque" xfId="15398"/>
    <cellStyle name="s_Valuation _DB Dados do Mercado_Sistema Cosan V2_20090210 Fechamento Diário_Relatório Gerencial" xfId="15399"/>
    <cellStyle name="s_Valuation _DB Dados do Mercado_Sistema Cosan V2_20090210 Fechamento Diário_Relatório Gerencial 2" xfId="15400"/>
    <cellStyle name="s_Valuation _DB Dados do Mercado_Sistema Cosan V2_20090210 Fechamento Diário_Relatório Gerencial 2_15-FINANCEIRAS" xfId="15401"/>
    <cellStyle name="s_Valuation _DB Dados do Mercado_Sistema Cosan V2_20090210 Fechamento Diário_Relatório Gerencial_15-FINANCEIRAS" xfId="15402"/>
    <cellStyle name="s_Valuation _DB Dados do Mercado_Sistema Cosan V2_20090210 Fechamento Diário_Relatório Gerencial_15-FINANCEIRAS_1" xfId="15403"/>
    <cellStyle name="s_Valuation _DB Dados do Mercado_Sistema Cosan V2_20090210 Fechamento Diário_Relatório Gerencial_3-Balanço" xfId="15404"/>
    <cellStyle name="s_Valuation _DB Dados do Mercado_Sistema Cosan V2_20090210 Fechamento Diário_Relatório Gerencial_7-Estoque" xfId="15405"/>
    <cellStyle name="s_Valuation _DB Dados do Mercado_Sistema Cosan V2_20090218 Fechamento Diário" xfId="15406"/>
    <cellStyle name="s_Valuation _DB Dados do Mercado_Sistema Cosan V2_20090218 Fechamento Diário 2" xfId="15407"/>
    <cellStyle name="s_Valuation _DB Dados do Mercado_Sistema Cosan V2_20090218 Fechamento Diário 2_15-FINANCEIRAS" xfId="15408"/>
    <cellStyle name="s_Valuation _DB Dados do Mercado_Sistema Cosan V2_20090218 Fechamento Diário_15-FINANCEIRAS" xfId="15409"/>
    <cellStyle name="s_Valuation _DB Dados do Mercado_Sistema Cosan V2_20090218 Fechamento Diário_15-FINANCEIRAS_1" xfId="15410"/>
    <cellStyle name="s_Valuation _DB Dados do Mercado_Sistema Cosan V2_20090218 Fechamento Diário_3-Balanço" xfId="15411"/>
    <cellStyle name="s_Valuation _DB Dados do Mercado_Sistema Cosan V2_20090218 Fechamento Diário_7-Estoque" xfId="15412"/>
    <cellStyle name="s_Valuation _DB Dados do Mercado_Sistema Cosan V2_20090218 Fechamento Diário_Relatório Gerencial" xfId="15413"/>
    <cellStyle name="s_Valuation _DB Dados do Mercado_Sistema Cosan V2_20090218 Fechamento Diário_Relatório Gerencial 2" xfId="15414"/>
    <cellStyle name="s_Valuation _DB Dados do Mercado_Sistema Cosan V2_20090218 Fechamento Diário_Relatório Gerencial 2_15-FINANCEIRAS" xfId="15415"/>
    <cellStyle name="s_Valuation _DB Dados do Mercado_Sistema Cosan V2_20090218 Fechamento Diário_Relatório Gerencial_15-FINANCEIRAS" xfId="15416"/>
    <cellStyle name="s_Valuation _DB Dados do Mercado_Sistema Cosan V2_20090218 Fechamento Diário_Relatório Gerencial_15-FINANCEIRAS_1" xfId="15417"/>
    <cellStyle name="s_Valuation _DB Dados do Mercado_Sistema Cosan V2_20090218 Fechamento Diário_Relatório Gerencial_3-Balanço" xfId="15418"/>
    <cellStyle name="s_Valuation _DB Dados do Mercado_Sistema Cosan V2_20090218 Fechamento Diário_Relatório Gerencial_7-Estoque" xfId="15419"/>
    <cellStyle name="s_Valuation _DB Dados do Mercado_Sistema Cosan V2_3-Balanço" xfId="15420"/>
    <cellStyle name="s_Valuation _DB Dados do Mercado_Sistema Cosan V2_7-Estoque" xfId="15421"/>
    <cellStyle name="s_Valuation _DB Dados do Mercado_Sistema Cosan V2_base gráficos" xfId="15422"/>
    <cellStyle name="s_Valuation _DB Dados do Mercado_Sistema Cosan V2_base gráficos (2)" xfId="15423"/>
    <cellStyle name="s_Valuation _DB Dados do Mercado_Sistema Cosan V2_base gráficos (2) 2" xfId="15424"/>
    <cellStyle name="s_Valuation _DB Dados do Mercado_Sistema Cosan V2_base gráficos (2) 2_15-FINANCEIRAS" xfId="15425"/>
    <cellStyle name="s_Valuation _DB Dados do Mercado_Sistema Cosan V2_base gráficos (2)_15-FINANCEIRAS" xfId="15426"/>
    <cellStyle name="s_Valuation _DB Dados do Mercado_Sistema Cosan V2_base gráficos (2)_15-FINANCEIRAS_1" xfId="15427"/>
    <cellStyle name="s_Valuation _DB Dados do Mercado_Sistema Cosan V2_base gráficos (2)_3-Balanço" xfId="15428"/>
    <cellStyle name="s_Valuation _DB Dados do Mercado_Sistema Cosan V2_base gráficos (2)_7-Estoque" xfId="15429"/>
    <cellStyle name="s_Valuation _DB Dados do Mercado_Sistema Cosan V2_base gráficos (2)_Relatório Gerencial" xfId="15430"/>
    <cellStyle name="s_Valuation _DB Dados do Mercado_Sistema Cosan V2_base gráficos (2)_Relatório Gerencial 2" xfId="15431"/>
    <cellStyle name="s_Valuation _DB Dados do Mercado_Sistema Cosan V2_base gráficos (2)_Relatório Gerencial 2_15-FINANCEIRAS" xfId="15432"/>
    <cellStyle name="s_Valuation _DB Dados do Mercado_Sistema Cosan V2_base gráficos (2)_Relatório Gerencial_15-FINANCEIRAS" xfId="15433"/>
    <cellStyle name="s_Valuation _DB Dados do Mercado_Sistema Cosan V2_base gráficos (2)_Relatório Gerencial_15-FINANCEIRAS_1" xfId="15434"/>
    <cellStyle name="s_Valuation _DB Dados do Mercado_Sistema Cosan V2_base gráficos (2)_Relatório Gerencial_3-Balanço" xfId="15435"/>
    <cellStyle name="s_Valuation _DB Dados do Mercado_Sistema Cosan V2_base gráficos (2)_Relatório Gerencial_7-Estoque" xfId="15436"/>
    <cellStyle name="s_Valuation _DB Dados do Mercado_Sistema Cosan V2_base gráficos 2" xfId="15437"/>
    <cellStyle name="s_Valuation _DB Dados do Mercado_Sistema Cosan V2_base gráficos 2_15-FINANCEIRAS" xfId="15438"/>
    <cellStyle name="s_Valuation _DB Dados do Mercado_Sistema Cosan V2_base gráficos 3" xfId="15439"/>
    <cellStyle name="s_Valuation _DB Dados do Mercado_Sistema Cosan V2_base gráficos 3_15-FINANCEIRAS" xfId="15440"/>
    <cellStyle name="s_Valuation _DB Dados do Mercado_Sistema Cosan V2_base gráficos 4" xfId="15441"/>
    <cellStyle name="s_Valuation _DB Dados do Mercado_Sistema Cosan V2_base gráficos 4_15-FINANCEIRAS" xfId="15442"/>
    <cellStyle name="s_Valuation _DB Dados do Mercado_Sistema Cosan V2_base gráficos_15-FINANCEIRAS" xfId="15443"/>
    <cellStyle name="s_Valuation _DB Dados do Mercado_Sistema Cosan V2_base gráficos_15-FINANCEIRAS_1" xfId="15444"/>
    <cellStyle name="s_Valuation _DB Dados do Mercado_Sistema Cosan V2_base gráficos_3-Balanço" xfId="15445"/>
    <cellStyle name="s_Valuation _DB Dados do Mercado_Sistema Cosan V2_base gráficos_7-Estoque" xfId="15446"/>
    <cellStyle name="s_Valuation _DB Dados do Mercado_Sistema Cosan V2_base gráficos_Relatório Gerencial" xfId="15447"/>
    <cellStyle name="s_Valuation _DB Dados do Mercado_Sistema Cosan V2_base gráficos_Relatório Gerencial 2" xfId="15448"/>
    <cellStyle name="s_Valuation _DB Dados do Mercado_Sistema Cosan V2_base gráficos_Relatório Gerencial 2_15-FINANCEIRAS" xfId="15449"/>
    <cellStyle name="s_Valuation _DB Dados do Mercado_Sistema Cosan V2_base gráficos_Relatório Gerencial_15-FINANCEIRAS" xfId="15450"/>
    <cellStyle name="s_Valuation _DB Dados do Mercado_Sistema Cosan V2_base gráficos_Relatório Gerencial_15-FINANCEIRAS_1" xfId="15451"/>
    <cellStyle name="s_Valuation _DB Dados do Mercado_Sistema Cosan V2_base gráficos_Relatório Gerencial_3-Balanço" xfId="15452"/>
    <cellStyle name="s_Valuation _DB Dados do Mercado_Sistema Cosan V2_base gráficos_Relatório Gerencial_7-Estoque" xfId="15453"/>
    <cellStyle name="s_Valuation _DB Dados do Mercado_Sistema Cosan V2_base gráficos1" xfId="15454"/>
    <cellStyle name="s_Valuation _DB Dados do Mercado_Sistema Cosan V2_base gráficos1 2" xfId="15455"/>
    <cellStyle name="s_Valuation _DB Dados do Mercado_Sistema Cosan V2_base gráficos1 2_15-FINANCEIRAS" xfId="15456"/>
    <cellStyle name="s_Valuation _DB Dados do Mercado_Sistema Cosan V2_base gráficos1_15-FINANCEIRAS" xfId="15457"/>
    <cellStyle name="s_Valuation _DB Dados do Mercado_Sistema Cosan V2_base gráficos1_15-FINANCEIRAS_1" xfId="15458"/>
    <cellStyle name="s_Valuation _DB Dados do Mercado_Sistema Cosan V2_base gráficos1_3-Balanço" xfId="15459"/>
    <cellStyle name="s_Valuation _DB Dados do Mercado_Sistema Cosan V2_base gráficos1_7-Estoque" xfId="15460"/>
    <cellStyle name="s_Valuation _DB Dados do Mercado_Sistema Cosan V2_base gráficos1_Relatório Gerencial" xfId="15461"/>
    <cellStyle name="s_Valuation _DB Dados do Mercado_Sistema Cosan V2_base gráficos1_Relatório Gerencial 2" xfId="15462"/>
    <cellStyle name="s_Valuation _DB Dados do Mercado_Sistema Cosan V2_base gráficos1_Relatório Gerencial 2_15-FINANCEIRAS" xfId="15463"/>
    <cellStyle name="s_Valuation _DB Dados do Mercado_Sistema Cosan V2_base gráficos1_Relatório Gerencial_15-FINANCEIRAS" xfId="15464"/>
    <cellStyle name="s_Valuation _DB Dados do Mercado_Sistema Cosan V2_base gráficos1_Relatório Gerencial_15-FINANCEIRAS_1" xfId="15465"/>
    <cellStyle name="s_Valuation _DB Dados do Mercado_Sistema Cosan V2_base gráficos1_Relatório Gerencial_3-Balanço" xfId="15466"/>
    <cellStyle name="s_Valuation _DB Dados do Mercado_Sistema Cosan V2_base gráficos1_Relatório Gerencial_7-Estoque" xfId="15467"/>
    <cellStyle name="s_Valuation _DB Dados do Mercado_Sistema Cosan V2_base gráficos2" xfId="15468"/>
    <cellStyle name="s_Valuation _DB Dados do Mercado_Sistema Cosan V2_base gráficos2 2" xfId="15469"/>
    <cellStyle name="s_Valuation _DB Dados do Mercado_Sistema Cosan V2_base gráficos2 2_15-FINANCEIRAS" xfId="15470"/>
    <cellStyle name="s_Valuation _DB Dados do Mercado_Sistema Cosan V2_base gráficos2_15-FINANCEIRAS" xfId="15471"/>
    <cellStyle name="s_Valuation _DB Dados do Mercado_Sistema Cosan V2_base gráficos2_15-FINANCEIRAS_1" xfId="15472"/>
    <cellStyle name="s_Valuation _DB Dados do Mercado_Sistema Cosan V2_base gráficos2_3-Balanço" xfId="15473"/>
    <cellStyle name="s_Valuation _DB Dados do Mercado_Sistema Cosan V2_base gráficos2_7-Estoque" xfId="15474"/>
    <cellStyle name="s_Valuation _DB Dados do Mercado_Sistema Cosan V2_base gráficos2_Relatório Gerencial" xfId="15475"/>
    <cellStyle name="s_Valuation _DB Dados do Mercado_Sistema Cosan V2_base gráficos2_Relatório Gerencial 2" xfId="15476"/>
    <cellStyle name="s_Valuation _DB Dados do Mercado_Sistema Cosan V2_base gráficos2_Relatório Gerencial 2_15-FINANCEIRAS" xfId="15477"/>
    <cellStyle name="s_Valuation _DB Dados do Mercado_Sistema Cosan V2_base gráficos2_Relatório Gerencial_15-FINANCEIRAS" xfId="15478"/>
    <cellStyle name="s_Valuation _DB Dados do Mercado_Sistema Cosan V2_base gráficos2_Relatório Gerencial_15-FINANCEIRAS_1" xfId="15479"/>
    <cellStyle name="s_Valuation _DB Dados do Mercado_Sistema Cosan V2_base gráficos2_Relatório Gerencial_3-Balanço" xfId="15480"/>
    <cellStyle name="s_Valuation _DB Dados do Mercado_Sistema Cosan V2_base gráficos2_Relatório Gerencial_7-Estoque" xfId="15481"/>
    <cellStyle name="s_Valuation _DB Dados do Mercado_Sistema Cosan V2_BNP  Sugar #11 +10%" xfId="15482"/>
    <cellStyle name="s_Valuation _DB Dados do Mercado_Sistema Cosan V2_BNP  Sugar #11 +10% 2" xfId="15483"/>
    <cellStyle name="s_Valuation _DB Dados do Mercado_Sistema Cosan V2_BNP  Sugar #11 +10% 2_15-FINANCEIRAS" xfId="15484"/>
    <cellStyle name="s_Valuation _DB Dados do Mercado_Sistema Cosan V2_BNP  Sugar #11 +10%_15-FINANCEIRAS" xfId="15485"/>
    <cellStyle name="s_Valuation _DB Dados do Mercado_Sistema Cosan V2_BNP  Sugar #11 +10%_15-FINANCEIRAS_1" xfId="15486"/>
    <cellStyle name="s_Valuation _DB Dados do Mercado_Sistema Cosan V2_BNP  Sugar #11 +10%_3-Balanço" xfId="15487"/>
    <cellStyle name="s_Valuation _DB Dados do Mercado_Sistema Cosan V2_BNP  Sugar #11 +10%_7-Estoque" xfId="15488"/>
    <cellStyle name="s_Valuation _DB Dados do Mercado_Sistema Cosan V2_BNP  Sugar #11 +10%_Relatório Gerencial" xfId="15489"/>
    <cellStyle name="s_Valuation _DB Dados do Mercado_Sistema Cosan V2_BNP  Sugar #11 +10%_Relatório Gerencial 2" xfId="15490"/>
    <cellStyle name="s_Valuation _DB Dados do Mercado_Sistema Cosan V2_BNP  Sugar #11 +10%_Relatório Gerencial 2_15-FINANCEIRAS" xfId="15491"/>
    <cellStyle name="s_Valuation _DB Dados do Mercado_Sistema Cosan V2_BNP  Sugar #11 +10%_Relatório Gerencial_15-FINANCEIRAS" xfId="15492"/>
    <cellStyle name="s_Valuation _DB Dados do Mercado_Sistema Cosan V2_BNP  Sugar #11 +10%_Relatório Gerencial_15-FINANCEIRAS_1" xfId="15493"/>
    <cellStyle name="s_Valuation _DB Dados do Mercado_Sistema Cosan V2_BNP  Sugar #11 +10%_Relatório Gerencial_3-Balanço" xfId="15494"/>
    <cellStyle name="s_Valuation _DB Dados do Mercado_Sistema Cosan V2_BNP  Sugar #11 +10%_Relatório Gerencial_7-Estoque" xfId="15495"/>
    <cellStyle name="s_Valuation _DB Dados do Mercado_Sistema Cosan V2_CALLVENDASugar#11" xfId="15496"/>
    <cellStyle name="s_Valuation _DB Dados do Mercado_Sistema Cosan V2_CALLVENDASugar#11 2" xfId="15497"/>
    <cellStyle name="s_Valuation _DB Dados do Mercado_Sistema Cosan V2_CALLVENDASugar#11 2_15-FINANCEIRAS" xfId="15498"/>
    <cellStyle name="s_Valuation _DB Dados do Mercado_Sistema Cosan V2_CALLVENDASugar#11_15-FINANCEIRAS" xfId="15499"/>
    <cellStyle name="s_Valuation _DB Dados do Mercado_Sistema Cosan V2_CALLVENDASugar#11_15-FINANCEIRAS_1" xfId="15500"/>
    <cellStyle name="s_Valuation _DB Dados do Mercado_Sistema Cosan V2_CALLVENDASugar#11_3-Balanço" xfId="15501"/>
    <cellStyle name="s_Valuation _DB Dados do Mercado_Sistema Cosan V2_CALLVENDASugar#11_7-Estoque" xfId="15502"/>
    <cellStyle name="s_Valuation _DB Dados do Mercado_Sistema Cosan V2_CALLVENDASugar#11_Relatório Gerencial" xfId="15503"/>
    <cellStyle name="s_Valuation _DB Dados do Mercado_Sistema Cosan V2_CALLVENDASugar#11_Relatório Gerencial 2" xfId="15504"/>
    <cellStyle name="s_Valuation _DB Dados do Mercado_Sistema Cosan V2_CALLVENDASugar#11_Relatório Gerencial 2_15-FINANCEIRAS" xfId="15505"/>
    <cellStyle name="s_Valuation _DB Dados do Mercado_Sistema Cosan V2_CALLVENDASugar#11_Relatório Gerencial_15-FINANCEIRAS" xfId="15506"/>
    <cellStyle name="s_Valuation _DB Dados do Mercado_Sistema Cosan V2_CALLVENDASugar#11_Relatório Gerencial_15-FINANCEIRAS_1" xfId="15507"/>
    <cellStyle name="s_Valuation _DB Dados do Mercado_Sistema Cosan V2_CALLVENDASugar#11_Relatório Gerencial_3-Balanço" xfId="15508"/>
    <cellStyle name="s_Valuation _DB Dados do Mercado_Sistema Cosan V2_CALLVENDASugar#11_Relatório Gerencial_7-Estoque" xfId="15509"/>
    <cellStyle name="s_Valuation _DB Dados do Mercado_Sistema Cosan V2_Commodities" xfId="15510"/>
    <cellStyle name="s_Valuation _DB Dados do Mercado_Sistema Cosan V2_Commodities 2" xfId="15511"/>
    <cellStyle name="s_Valuation _DB Dados do Mercado_Sistema Cosan V2_Commodities 2_15-FINANCEIRAS" xfId="15512"/>
    <cellStyle name="s_Valuation _DB Dados do Mercado_Sistema Cosan V2_Commodities_15-FINANCEIRAS" xfId="15513"/>
    <cellStyle name="s_Valuation _DB Dados do Mercado_Sistema Cosan V2_Commodities_15-FINANCEIRAS_1" xfId="15514"/>
    <cellStyle name="s_Valuation _DB Dados do Mercado_Sistema Cosan V2_Commodities_3-Balanço" xfId="15515"/>
    <cellStyle name="s_Valuation _DB Dados do Mercado_Sistema Cosan V2_Commodities_7-Estoque" xfId="15516"/>
    <cellStyle name="s_Valuation _DB Dados do Mercado_Sistema Cosan V2_Commodities_Relatório Gerencial" xfId="15517"/>
    <cellStyle name="s_Valuation _DB Dados do Mercado_Sistema Cosan V2_Commodities_Relatório Gerencial 2" xfId="15518"/>
    <cellStyle name="s_Valuation _DB Dados do Mercado_Sistema Cosan V2_Commodities_Relatório Gerencial 2_15-FINANCEIRAS" xfId="15519"/>
    <cellStyle name="s_Valuation _DB Dados do Mercado_Sistema Cosan V2_Commodities_Relatório Gerencial_15-FINANCEIRAS" xfId="15520"/>
    <cellStyle name="s_Valuation _DB Dados do Mercado_Sistema Cosan V2_Commodities_Relatório Gerencial_15-FINANCEIRAS_1" xfId="15521"/>
    <cellStyle name="s_Valuation _DB Dados do Mercado_Sistema Cosan V2_Commodities_Relatório Gerencial_3-Balanço" xfId="15522"/>
    <cellStyle name="s_Valuation _DB Dados do Mercado_Sistema Cosan V2_Commodities_Relatório Gerencial_7-Estoque" xfId="15523"/>
    <cellStyle name="s_Valuation _DB Dados do Mercado_Sistema Cosan V2_DB Boletas Abertas" xfId="15524"/>
    <cellStyle name="s_Valuation _DB Dados do Mercado_Sistema Cosan V2_DB Boletas Abertas 2" xfId="15525"/>
    <cellStyle name="s_Valuation _DB Dados do Mercado_Sistema Cosan V2_DB Boletas Abertas 2_15-FINANCEIRAS" xfId="15526"/>
    <cellStyle name="s_Valuation _DB Dados do Mercado_Sistema Cosan V2_DB Boletas Abertas_15-FINANCEIRAS" xfId="15527"/>
    <cellStyle name="s_Valuation _DB Dados do Mercado_Sistema Cosan V2_DB Boletas Abertas_15-FINANCEIRAS_1" xfId="15528"/>
    <cellStyle name="s_Valuation _DB Dados do Mercado_Sistema Cosan V2_DB Boletas Abertas_3-Balanço" xfId="15529"/>
    <cellStyle name="s_Valuation _DB Dados do Mercado_Sistema Cosan V2_DB Boletas Abertas_7-Estoque" xfId="15530"/>
    <cellStyle name="s_Valuation _DB Dados do Mercado_Sistema Cosan V2_DB Boletas Vencendo" xfId="15531"/>
    <cellStyle name="s_Valuation _DB Dados do Mercado_Sistema Cosan V2_DB Boletas Vencendo 2" xfId="15532"/>
    <cellStyle name="s_Valuation _DB Dados do Mercado_Sistema Cosan V2_DB Boletas Vencendo 2_15-FINANCEIRAS" xfId="15533"/>
    <cellStyle name="s_Valuation _DB Dados do Mercado_Sistema Cosan V2_DB Boletas Vencendo_15-FINANCEIRAS" xfId="15534"/>
    <cellStyle name="s_Valuation _DB Dados do Mercado_Sistema Cosan V2_DB Boletas Vencendo_15-FINANCEIRAS_1" xfId="15535"/>
    <cellStyle name="s_Valuation _DB Dados do Mercado_Sistema Cosan V2_DB Boletas Vencendo_3-Balanço" xfId="15536"/>
    <cellStyle name="s_Valuation _DB Dados do Mercado_Sistema Cosan V2_DB Boletas Vencendo_7-Estoque" xfId="15537"/>
    <cellStyle name="s_Valuation _DB Dados do Mercado_Sistema Cosan V2_DB Boletas Vencendo_Relatório Gerencial" xfId="15538"/>
    <cellStyle name="s_Valuation _DB Dados do Mercado_Sistema Cosan V2_DB Boletas Vencendo_Relatório Gerencial 2" xfId="15539"/>
    <cellStyle name="s_Valuation _DB Dados do Mercado_Sistema Cosan V2_DB Boletas Vencendo_Relatório Gerencial 2_15-FINANCEIRAS" xfId="15540"/>
    <cellStyle name="s_Valuation _DB Dados do Mercado_Sistema Cosan V2_DB Boletas Vencendo_Relatório Gerencial_15-FINANCEIRAS" xfId="15541"/>
    <cellStyle name="s_Valuation _DB Dados do Mercado_Sistema Cosan V2_DB Boletas Vencendo_Relatório Gerencial_15-FINANCEIRAS_1" xfId="15542"/>
    <cellStyle name="s_Valuation _DB Dados do Mercado_Sistema Cosan V2_DB Boletas Vencendo_Relatório Gerencial_3-Balanço" xfId="15543"/>
    <cellStyle name="s_Valuation _DB Dados do Mercado_Sistema Cosan V2_DB Boletas Vencendo_Relatório Gerencial_7-Estoque" xfId="15544"/>
    <cellStyle name="s_Valuation _DB Dados do Mercado_Sistema Cosan V2_DB Controle" xfId="15545"/>
    <cellStyle name="s_Valuation _DB Dados do Mercado_Sistema Cosan V2_DB Controle 2" xfId="15546"/>
    <cellStyle name="s_Valuation _DB Dados do Mercado_Sistema Cosan V2_DB Controle 2_15-FINANCEIRAS" xfId="15547"/>
    <cellStyle name="s_Valuation _DB Dados do Mercado_Sistema Cosan V2_DB Controle_15-FINANCEIRAS" xfId="15548"/>
    <cellStyle name="s_Valuation _DB Dados do Mercado_Sistema Cosan V2_DB Controle_15-FINANCEIRAS_1" xfId="15549"/>
    <cellStyle name="s_Valuation _DB Dados do Mercado_Sistema Cosan V2_DB Controle_3-Balanço" xfId="15550"/>
    <cellStyle name="s_Valuation _DB Dados do Mercado_Sistema Cosan V2_DB Controle_7-Estoque" xfId="15551"/>
    <cellStyle name="s_Valuation _DB Dados do Mercado_Sistema Cosan V2_DB Controle_Relatório Gerencial" xfId="15552"/>
    <cellStyle name="s_Valuation _DB Dados do Mercado_Sistema Cosan V2_DB Controle_Relatório Gerencial 2" xfId="15553"/>
    <cellStyle name="s_Valuation _DB Dados do Mercado_Sistema Cosan V2_DB Controle_Relatório Gerencial 2_15-FINANCEIRAS" xfId="15554"/>
    <cellStyle name="s_Valuation _DB Dados do Mercado_Sistema Cosan V2_DB Controle_Relatório Gerencial_15-FINANCEIRAS" xfId="15555"/>
    <cellStyle name="s_Valuation _DB Dados do Mercado_Sistema Cosan V2_DB Controle_Relatório Gerencial_15-FINANCEIRAS_1" xfId="15556"/>
    <cellStyle name="s_Valuation _DB Dados do Mercado_Sistema Cosan V2_DB Controle_Relatório Gerencial_3-Balanço" xfId="15557"/>
    <cellStyle name="s_Valuation _DB Dados do Mercado_Sistema Cosan V2_DB Controle_Relatório Gerencial_7-Estoque" xfId="15558"/>
    <cellStyle name="s_Valuation _DB Dados do Mercado_Sistema Cosan V2_DB Dados do Mercado" xfId="15559"/>
    <cellStyle name="s_Valuation _DB Dados do Mercado_Sistema Cosan V2_DB Dados do Mercado 2" xfId="15560"/>
    <cellStyle name="s_Valuation _DB Dados do Mercado_Sistema Cosan V2_DB Dados do Mercado 2_15-FINANCEIRAS" xfId="15561"/>
    <cellStyle name="s_Valuation _DB Dados do Mercado_Sistema Cosan V2_DB Dados do Mercado_15-FINANCEIRAS" xfId="15562"/>
    <cellStyle name="s_Valuation _DB Dados do Mercado_Sistema Cosan V2_DB Dados do Mercado_15-FINANCEIRAS_1" xfId="15563"/>
    <cellStyle name="s_Valuation _DB Dados do Mercado_Sistema Cosan V2_DB Dados do Mercado_3-Balanço" xfId="15564"/>
    <cellStyle name="s_Valuation _DB Dados do Mercado_Sistema Cosan V2_DB Dados do Mercado_7-Estoque" xfId="15565"/>
    <cellStyle name="s_Valuation _DB Dados do Mercado_Sistema Cosan V2_DB Dados do Mercado_Relatório Gerencial" xfId="15566"/>
    <cellStyle name="s_Valuation _DB Dados do Mercado_Sistema Cosan V2_DB Dados do Mercado_Relatório Gerencial 2" xfId="15567"/>
    <cellStyle name="s_Valuation _DB Dados do Mercado_Sistema Cosan V2_DB Dados do Mercado_Relatório Gerencial 2_15-FINANCEIRAS" xfId="15568"/>
    <cellStyle name="s_Valuation _DB Dados do Mercado_Sistema Cosan V2_DB Dados do Mercado_Relatório Gerencial_15-FINANCEIRAS" xfId="15569"/>
    <cellStyle name="s_Valuation _DB Dados do Mercado_Sistema Cosan V2_DB Dados do Mercado_Relatório Gerencial_15-FINANCEIRAS_1" xfId="15570"/>
    <cellStyle name="s_Valuation _DB Dados do Mercado_Sistema Cosan V2_DB Dados do Mercado_Relatório Gerencial_3-Balanço" xfId="15571"/>
    <cellStyle name="s_Valuation _DB Dados do Mercado_Sistema Cosan V2_DB Dados do Mercado_Relatório Gerencial_7-Estoque" xfId="15572"/>
    <cellStyle name="s_Valuation _DB Dados do Mercado_Sistema Cosan V2_DB Entrada" xfId="15573"/>
    <cellStyle name="s_Valuation _DB Dados do Mercado_Sistema Cosan V2_DB Entrada 2" xfId="15574"/>
    <cellStyle name="s_Valuation _DB Dados do Mercado_Sistema Cosan V2_DB Entrada 2_15-FINANCEIRAS" xfId="15575"/>
    <cellStyle name="s_Valuation _DB Dados do Mercado_Sistema Cosan V2_DB Entrada_15-FINANCEIRAS" xfId="15576"/>
    <cellStyle name="s_Valuation _DB Dados do Mercado_Sistema Cosan V2_DB Entrada_15-FINANCEIRAS_1" xfId="15577"/>
    <cellStyle name="s_Valuation _DB Dados do Mercado_Sistema Cosan V2_DB Entrada_3-Balanço" xfId="15578"/>
    <cellStyle name="s_Valuation _DB Dados do Mercado_Sistema Cosan V2_DB Entrada_7-Estoque" xfId="15579"/>
    <cellStyle name="s_Valuation _DB Dados do Mercado_Sistema Cosan V2_DB Entrada_Relatório Gerencial" xfId="15580"/>
    <cellStyle name="s_Valuation _DB Dados do Mercado_Sistema Cosan V2_DB Entrada_Relatório Gerencial 2" xfId="15581"/>
    <cellStyle name="s_Valuation _DB Dados do Mercado_Sistema Cosan V2_DB Entrada_Relatório Gerencial 2_15-FINANCEIRAS" xfId="15582"/>
    <cellStyle name="s_Valuation _DB Dados do Mercado_Sistema Cosan V2_DB Entrada_Relatório Gerencial_15-FINANCEIRAS" xfId="15583"/>
    <cellStyle name="s_Valuation _DB Dados do Mercado_Sistema Cosan V2_DB Entrada_Relatório Gerencial_15-FINANCEIRAS_1" xfId="15584"/>
    <cellStyle name="s_Valuation _DB Dados do Mercado_Sistema Cosan V2_DB Entrada_Relatório Gerencial_3-Balanço" xfId="15585"/>
    <cellStyle name="s_Valuation _DB Dados do Mercado_Sistema Cosan V2_DB Entrada_Relatório Gerencial_7-Estoque" xfId="15586"/>
    <cellStyle name="s_Valuation _DB Dados do Mercado_Sistema Cosan V2_DB Exposição" xfId="15587"/>
    <cellStyle name="s_Valuation _DB Dados do Mercado_Sistema Cosan V2_DB Exposição 2" xfId="15588"/>
    <cellStyle name="s_Valuation _DB Dados do Mercado_Sistema Cosan V2_DB Exposição 2_15-FINANCEIRAS" xfId="15589"/>
    <cellStyle name="s_Valuation _DB Dados do Mercado_Sistema Cosan V2_DB Exposição_15-FINANCEIRAS" xfId="15590"/>
    <cellStyle name="s_Valuation _DB Dados do Mercado_Sistema Cosan V2_DB Exposição_15-FINANCEIRAS_1" xfId="15591"/>
    <cellStyle name="s_Valuation _DB Dados do Mercado_Sistema Cosan V2_DB Exposição_3-Balanço" xfId="15592"/>
    <cellStyle name="s_Valuation _DB Dados do Mercado_Sistema Cosan V2_DB Exposição_7-Estoque" xfId="15593"/>
    <cellStyle name="s_Valuation _DB Dados do Mercado_Sistema Cosan V2_DB Exposição_Relatório Gerencial" xfId="15594"/>
    <cellStyle name="s_Valuation _DB Dados do Mercado_Sistema Cosan V2_DB Exposição_Relatório Gerencial 2" xfId="15595"/>
    <cellStyle name="s_Valuation _DB Dados do Mercado_Sistema Cosan V2_DB Exposição_Relatório Gerencial 2_15-FINANCEIRAS" xfId="15596"/>
    <cellStyle name="s_Valuation _DB Dados do Mercado_Sistema Cosan V2_DB Exposição_Relatório Gerencial_15-FINANCEIRAS" xfId="15597"/>
    <cellStyle name="s_Valuation _DB Dados do Mercado_Sistema Cosan V2_DB Exposição_Relatório Gerencial_15-FINANCEIRAS_1" xfId="15598"/>
    <cellStyle name="s_Valuation _DB Dados do Mercado_Sistema Cosan V2_DB Exposição_Relatório Gerencial_3-Balanço" xfId="15599"/>
    <cellStyle name="s_Valuation _DB Dados do Mercado_Sistema Cosan V2_DB Exposição_Relatório Gerencial_7-Estoque" xfId="15600"/>
    <cellStyle name="s_Valuation _DB Dados do Mercado_Sistema Cosan V2_DB Posição" xfId="15601"/>
    <cellStyle name="s_Valuation _DB Dados do Mercado_Sistema Cosan V2_DB Posição 2" xfId="15602"/>
    <cellStyle name="s_Valuation _DB Dados do Mercado_Sistema Cosan V2_DB Posição 2_15-FINANCEIRAS" xfId="15603"/>
    <cellStyle name="s_Valuation _DB Dados do Mercado_Sistema Cosan V2_DB Posição_15-FINANCEIRAS" xfId="15604"/>
    <cellStyle name="s_Valuation _DB Dados do Mercado_Sistema Cosan V2_DB Posição_15-FINANCEIRAS_1" xfId="15605"/>
    <cellStyle name="s_Valuation _DB Dados do Mercado_Sistema Cosan V2_DB Posição_3-Balanço" xfId="15606"/>
    <cellStyle name="s_Valuation _DB Dados do Mercado_Sistema Cosan V2_DB Posição_7-Estoque" xfId="15607"/>
    <cellStyle name="s_Valuation _DB Dados do Mercado_Sistema Cosan V2_Dólar" xfId="15608"/>
    <cellStyle name="s_Valuation _DB Dados do Mercado_Sistema Cosan V2_Dólar + NDF" xfId="15609"/>
    <cellStyle name="s_Valuation _DB Dados do Mercado_Sistema Cosan V2_Dólar + NDF 2" xfId="15610"/>
    <cellStyle name="s_Valuation _DB Dados do Mercado_Sistema Cosan V2_Dólar + NDF 2_15-FINANCEIRAS" xfId="15611"/>
    <cellStyle name="s_Valuation _DB Dados do Mercado_Sistema Cosan V2_Dólar + NDF_15-FINANCEIRAS" xfId="15612"/>
    <cellStyle name="s_Valuation _DB Dados do Mercado_Sistema Cosan V2_Dólar + NDF_15-FINANCEIRAS_1" xfId="15613"/>
    <cellStyle name="s_Valuation _DB Dados do Mercado_Sistema Cosan V2_Dólar + NDF_3-Balanço" xfId="15614"/>
    <cellStyle name="s_Valuation _DB Dados do Mercado_Sistema Cosan V2_Dólar + NDF_7-Estoque" xfId="15615"/>
    <cellStyle name="s_Valuation _DB Dados do Mercado_Sistema Cosan V2_Dólar + NDF_Relatório Gerencial" xfId="15616"/>
    <cellStyle name="s_Valuation _DB Dados do Mercado_Sistema Cosan V2_Dólar + NDF_Relatório Gerencial 2" xfId="15617"/>
    <cellStyle name="s_Valuation _DB Dados do Mercado_Sistema Cosan V2_Dólar + NDF_Relatório Gerencial 2_15-FINANCEIRAS" xfId="15618"/>
    <cellStyle name="s_Valuation _DB Dados do Mercado_Sistema Cosan V2_Dólar + NDF_Relatório Gerencial_15-FINANCEIRAS" xfId="15619"/>
    <cellStyle name="s_Valuation _DB Dados do Mercado_Sistema Cosan V2_Dólar + NDF_Relatório Gerencial_15-FINANCEIRAS_1" xfId="15620"/>
    <cellStyle name="s_Valuation _DB Dados do Mercado_Sistema Cosan V2_Dólar + NDF_Relatório Gerencial_3-Balanço" xfId="15621"/>
    <cellStyle name="s_Valuation _DB Dados do Mercado_Sistema Cosan V2_Dólar + NDF_Relatório Gerencial_7-Estoque" xfId="15622"/>
    <cellStyle name="s_Valuation _DB Dados do Mercado_Sistema Cosan V2_Dólar 2" xfId="15623"/>
    <cellStyle name="s_Valuation _DB Dados do Mercado_Sistema Cosan V2_Dólar 2_15-FINANCEIRAS" xfId="15624"/>
    <cellStyle name="s_Valuation _DB Dados do Mercado_Sistema Cosan V2_Dólar 3" xfId="15625"/>
    <cellStyle name="s_Valuation _DB Dados do Mercado_Sistema Cosan V2_Dólar 3_15-FINANCEIRAS" xfId="15626"/>
    <cellStyle name="s_Valuation _DB Dados do Mercado_Sistema Cosan V2_Dólar 4" xfId="15627"/>
    <cellStyle name="s_Valuation _DB Dados do Mercado_Sistema Cosan V2_Dólar 4_15-FINANCEIRAS" xfId="15628"/>
    <cellStyle name="s_Valuation _DB Dados do Mercado_Sistema Cosan V2_Dólar Offshore" xfId="15629"/>
    <cellStyle name="s_Valuation _DB Dados do Mercado_Sistema Cosan V2_Dólar Offshore 2" xfId="15630"/>
    <cellStyle name="s_Valuation _DB Dados do Mercado_Sistema Cosan V2_Dólar Offshore 2_15-FINANCEIRAS" xfId="15631"/>
    <cellStyle name="s_Valuation _DB Dados do Mercado_Sistema Cosan V2_Dólar Offshore_15-FINANCEIRAS" xfId="15632"/>
    <cellStyle name="s_Valuation _DB Dados do Mercado_Sistema Cosan V2_Dólar Offshore_15-FINANCEIRAS_1" xfId="15633"/>
    <cellStyle name="s_Valuation _DB Dados do Mercado_Sistema Cosan V2_Dólar Offshore_3-Balanço" xfId="15634"/>
    <cellStyle name="s_Valuation _DB Dados do Mercado_Sistema Cosan V2_Dólar Offshore_7-Estoque" xfId="15635"/>
    <cellStyle name="s_Valuation _DB Dados do Mercado_Sistema Cosan V2_Dólar Offshore_Relatório Gerencial" xfId="15636"/>
    <cellStyle name="s_Valuation _DB Dados do Mercado_Sistema Cosan V2_Dólar Offshore_Relatório Gerencial 2" xfId="15637"/>
    <cellStyle name="s_Valuation _DB Dados do Mercado_Sistema Cosan V2_Dólar Offshore_Relatório Gerencial 2_15-FINANCEIRAS" xfId="15638"/>
    <cellStyle name="s_Valuation _DB Dados do Mercado_Sistema Cosan V2_Dólar Offshore_Relatório Gerencial_15-FINANCEIRAS" xfId="15639"/>
    <cellStyle name="s_Valuation _DB Dados do Mercado_Sistema Cosan V2_Dólar Offshore_Relatório Gerencial_15-FINANCEIRAS_1" xfId="15640"/>
    <cellStyle name="s_Valuation _DB Dados do Mercado_Sistema Cosan V2_Dólar Offshore_Relatório Gerencial_3-Balanço" xfId="15641"/>
    <cellStyle name="s_Valuation _DB Dados do Mercado_Sistema Cosan V2_Dólar Offshore_Relatório Gerencial_7-Estoque" xfId="15642"/>
    <cellStyle name="s_Valuation _DB Dados do Mercado_Sistema Cosan V2_Dólar_15-FINANCEIRAS" xfId="15643"/>
    <cellStyle name="s_Valuation _DB Dados do Mercado_Sistema Cosan V2_Dólar_15-FINANCEIRAS_1" xfId="15644"/>
    <cellStyle name="s_Valuation _DB Dados do Mercado_Sistema Cosan V2_Dólar_3-Balanço" xfId="15645"/>
    <cellStyle name="s_Valuation _DB Dados do Mercado_Sistema Cosan V2_Dólar_7-Estoque" xfId="15646"/>
    <cellStyle name="s_Valuation _DB Dados do Mercado_Sistema Cosan V2_Dólar_Relatório Gerencial" xfId="15647"/>
    <cellStyle name="s_Valuation _DB Dados do Mercado_Sistema Cosan V2_Dólar_Relatório Gerencial 2" xfId="15648"/>
    <cellStyle name="s_Valuation _DB Dados do Mercado_Sistema Cosan V2_Dólar_Relatório Gerencial 2_15-FINANCEIRAS" xfId="15649"/>
    <cellStyle name="s_Valuation _DB Dados do Mercado_Sistema Cosan V2_Dólar_Relatório Gerencial_15-FINANCEIRAS" xfId="15650"/>
    <cellStyle name="s_Valuation _DB Dados do Mercado_Sistema Cosan V2_Dólar_Relatório Gerencial_15-FINANCEIRAS_1" xfId="15651"/>
    <cellStyle name="s_Valuation _DB Dados do Mercado_Sistema Cosan V2_Dólar_Relatório Gerencial_3-Balanço" xfId="15652"/>
    <cellStyle name="s_Valuation _DB Dados do Mercado_Sistema Cosan V2_Dólar_Relatório Gerencial_7-Estoque" xfId="15653"/>
    <cellStyle name="s_Valuation _DB Dados do Mercado_Sistema Cosan V2_EXTRAÇÃO EXPOSIÇÃO" xfId="15654"/>
    <cellStyle name="s_Valuation _DB Dados do Mercado_Sistema Cosan V2_EXTRAÇÃO EXPOSIÇÃO 2" xfId="15655"/>
    <cellStyle name="s_Valuation _DB Dados do Mercado_Sistema Cosan V2_EXTRAÇÃO EXPOSIÇÃO 2_15-FINANCEIRAS" xfId="15656"/>
    <cellStyle name="s_Valuation _DB Dados do Mercado_Sistema Cosan V2_EXTRAÇÃO EXPOSIÇÃO_15-FINANCEIRAS" xfId="15657"/>
    <cellStyle name="s_Valuation _DB Dados do Mercado_Sistema Cosan V2_EXTRAÇÃO EXPOSIÇÃO_15-FINANCEIRAS_1" xfId="15658"/>
    <cellStyle name="s_Valuation _DB Dados do Mercado_Sistema Cosan V2_EXTRAÇÃO EXPOSIÇÃO_3-Balanço" xfId="15659"/>
    <cellStyle name="s_Valuation _DB Dados do Mercado_Sistema Cosan V2_EXTRAÇÃO EXPOSIÇÃO_7-Estoque" xfId="15660"/>
    <cellStyle name="s_Valuation _DB Dados do Mercado_Sistema Cosan V2_EXTRAÇÃO EXPOSIÇÃO_Relatório Gerencial" xfId="15661"/>
    <cellStyle name="s_Valuation _DB Dados do Mercado_Sistema Cosan V2_EXTRAÇÃO EXPOSIÇÃO_Relatório Gerencial 2" xfId="15662"/>
    <cellStyle name="s_Valuation _DB Dados do Mercado_Sistema Cosan V2_EXTRAÇÃO EXPOSIÇÃO_Relatório Gerencial 2_15-FINANCEIRAS" xfId="15663"/>
    <cellStyle name="s_Valuation _DB Dados do Mercado_Sistema Cosan V2_EXTRAÇÃO EXPOSIÇÃO_Relatório Gerencial_15-FINANCEIRAS" xfId="15664"/>
    <cellStyle name="s_Valuation _DB Dados do Mercado_Sistema Cosan V2_EXTRAÇÃO EXPOSIÇÃO_Relatório Gerencial_15-FINANCEIRAS_1" xfId="15665"/>
    <cellStyle name="s_Valuation _DB Dados do Mercado_Sistema Cosan V2_EXTRAÇÃO EXPOSIÇÃO_Relatório Gerencial_3-Balanço" xfId="15666"/>
    <cellStyle name="s_Valuation _DB Dados do Mercado_Sistema Cosan V2_EXTRAÇÃO EXPOSIÇÃO_Relatório Gerencial_7-Estoque" xfId="15667"/>
    <cellStyle name="s_Valuation _DB Dados do Mercado_Sistema Cosan V2_Fimat Sugar #11 +10%" xfId="15668"/>
    <cellStyle name="s_Valuation _DB Dados do Mercado_Sistema Cosan V2_Fimat Sugar #11 +10% 2" xfId="15669"/>
    <cellStyle name="s_Valuation _DB Dados do Mercado_Sistema Cosan V2_Fimat Sugar #11 +10% 2_15-FINANCEIRAS" xfId="15670"/>
    <cellStyle name="s_Valuation _DB Dados do Mercado_Sistema Cosan V2_Fimat Sugar #11 +10%_15-FINANCEIRAS" xfId="15671"/>
    <cellStyle name="s_Valuation _DB Dados do Mercado_Sistema Cosan V2_Fimat Sugar #11 +10%_15-FINANCEIRAS_1" xfId="15672"/>
    <cellStyle name="s_Valuation _DB Dados do Mercado_Sistema Cosan V2_Fimat Sugar #11 +10%_3-Balanço" xfId="15673"/>
    <cellStyle name="s_Valuation _DB Dados do Mercado_Sistema Cosan V2_Fimat Sugar #11 +10%_7-Estoque" xfId="15674"/>
    <cellStyle name="s_Valuation _DB Dados do Mercado_Sistema Cosan V2_Fimat Sugar #11 +10%_Relatório Gerencial" xfId="15675"/>
    <cellStyle name="s_Valuation _DB Dados do Mercado_Sistema Cosan V2_Fimat Sugar #11 +10%_Relatório Gerencial 2" xfId="15676"/>
    <cellStyle name="s_Valuation _DB Dados do Mercado_Sistema Cosan V2_Fimat Sugar #11 +10%_Relatório Gerencial 2_15-FINANCEIRAS" xfId="15677"/>
    <cellStyle name="s_Valuation _DB Dados do Mercado_Sistema Cosan V2_Fimat Sugar #11 +10%_Relatório Gerencial_15-FINANCEIRAS" xfId="15678"/>
    <cellStyle name="s_Valuation _DB Dados do Mercado_Sistema Cosan V2_Fimat Sugar #11 +10%_Relatório Gerencial_15-FINANCEIRAS_1" xfId="15679"/>
    <cellStyle name="s_Valuation _DB Dados do Mercado_Sistema Cosan V2_Fimat Sugar #11 +10%_Relatório Gerencial_3-Balanço" xfId="15680"/>
    <cellStyle name="s_Valuation _DB Dados do Mercado_Sistema Cosan V2_Fimat Sugar #11 +10%_Relatório Gerencial_7-Estoque" xfId="15681"/>
    <cellStyle name="s_Valuation _DB Dados do Mercado_Sistema Cosan V2_Fortis  Sugar #11 +10% " xfId="15682"/>
    <cellStyle name="s_Valuation _DB Dados do Mercado_Sistema Cosan V2_Fortis  Sugar #11 +10%  2" xfId="15683"/>
    <cellStyle name="s_Valuation _DB Dados do Mercado_Sistema Cosan V2_Fortis  Sugar #11 +10%  2_15-FINANCEIRAS" xfId="15684"/>
    <cellStyle name="s_Valuation _DB Dados do Mercado_Sistema Cosan V2_Fortis  Sugar #11 +10%  3" xfId="15685"/>
    <cellStyle name="s_Valuation _DB Dados do Mercado_Sistema Cosan V2_Fortis  Sugar #11 +10% _15-FINANCEIRAS" xfId="15686"/>
    <cellStyle name="s_Valuation _DB Dados do Mercado_Sistema Cosan V2_Fortis  Sugar #11 +10% _15-FINANCEIRAS_1" xfId="15687"/>
    <cellStyle name="s_Valuation _DB Dados do Mercado_Sistema Cosan V2_Fortis  Sugar #11 +10% _3-Balanço" xfId="15688"/>
    <cellStyle name="s_Valuation _DB Dados do Mercado_Sistema Cosan V2_Fortis  Sugar #11 +10% _7-Estoque" xfId="15689"/>
    <cellStyle name="s_Valuation _DB Dados do Mercado_Sistema Cosan V2_Fortis  Sugar #11 +10% _CRE - Aging" xfId="15690"/>
    <cellStyle name="s_Valuation _DB Dados do Mercado_Sistema Cosan V2_Fortis  Sugar #11 +10% _DFC Indireto_Novo" xfId="15691"/>
    <cellStyle name="s_Valuation _DB Dados do Mercado_Sistema Cosan V2_Fortis  Sugar #11 +10% _Ind_Consol" xfId="15692"/>
    <cellStyle name="s_Valuation _DB Dados do Mercado_Sistema Cosan V2_Fortis  Sugar #11 +10% _Outras oper's" xfId="15693"/>
    <cellStyle name="s_Valuation _DB Dados do Mercado_Sistema Cosan V2_Fortis  Sugar #11 +10% _Receitas" xfId="15694"/>
    <cellStyle name="s_Valuation _DB Dados do Mercado_Sistema Cosan V2_Fortis  Sugar #11 +10% _Relatório Gerencial" xfId="15695"/>
    <cellStyle name="s_Valuation _DB Dados do Mercado_Sistema Cosan V2_Fortis  Sugar #11 +10% _Relatório Gerencial 2" xfId="15696"/>
    <cellStyle name="s_Valuation _DB Dados do Mercado_Sistema Cosan V2_Fortis  Sugar #11 +10% _Relatório Gerencial 2_15-FINANCEIRAS" xfId="15697"/>
    <cellStyle name="s_Valuation _DB Dados do Mercado_Sistema Cosan V2_Fortis  Sugar #11 +10% _Relatório Gerencial_15-FINANCEIRAS" xfId="15698"/>
    <cellStyle name="s_Valuation _DB Dados do Mercado_Sistema Cosan V2_Fortis  Sugar #11 +10% _Relatório Gerencial_15-FINANCEIRAS_1" xfId="15699"/>
    <cellStyle name="s_Valuation _DB Dados do Mercado_Sistema Cosan V2_Fortis  Sugar #11 +10% _Relatório Gerencial_3-Balanço" xfId="15700"/>
    <cellStyle name="s_Valuation _DB Dados do Mercado_Sistema Cosan V2_Fortis  Sugar #11 +10% _Relatório Gerencial_7-Estoque" xfId="15701"/>
    <cellStyle name="s_Valuation _DB Dados do Mercado_Sistema Cosan V2_Heating Oil" xfId="15702"/>
    <cellStyle name="s_Valuation _DB Dados do Mercado_Sistema Cosan V2_Heating Oil 2" xfId="15703"/>
    <cellStyle name="s_Valuation _DB Dados do Mercado_Sistema Cosan V2_Heating Oil 2_15-FINANCEIRAS" xfId="15704"/>
    <cellStyle name="s_Valuation _DB Dados do Mercado_Sistema Cosan V2_Heating Oil_15-FINANCEIRAS" xfId="15705"/>
    <cellStyle name="s_Valuation _DB Dados do Mercado_Sistema Cosan V2_Heating Oil_15-FINANCEIRAS_1" xfId="15706"/>
    <cellStyle name="s_Valuation _DB Dados do Mercado_Sistema Cosan V2_Heating Oil_3-Balanço" xfId="15707"/>
    <cellStyle name="s_Valuation _DB Dados do Mercado_Sistema Cosan V2_Heating Oil_7-Estoque" xfId="15708"/>
    <cellStyle name="s_Valuation _DB Dados do Mercado_Sistema Cosan V2_Heating Oil_Relatório Gerencial" xfId="15709"/>
    <cellStyle name="s_Valuation _DB Dados do Mercado_Sistema Cosan V2_Heating Oil_Relatório Gerencial 2" xfId="15710"/>
    <cellStyle name="s_Valuation _DB Dados do Mercado_Sistema Cosan V2_Heating Oil_Relatório Gerencial 2_15-FINANCEIRAS" xfId="15711"/>
    <cellStyle name="s_Valuation _DB Dados do Mercado_Sistema Cosan V2_Heating Oil_Relatório Gerencial_15-FINANCEIRAS" xfId="15712"/>
    <cellStyle name="s_Valuation _DB Dados do Mercado_Sistema Cosan V2_Heating Oil_Relatório Gerencial_15-FINANCEIRAS_1" xfId="15713"/>
    <cellStyle name="s_Valuation _DB Dados do Mercado_Sistema Cosan V2_Heating Oil_Relatório Gerencial_3-Balanço" xfId="15714"/>
    <cellStyle name="s_Valuation _DB Dados do Mercado_Sistema Cosan V2_Heating Oil_Relatório Gerencial_7-Estoque" xfId="15715"/>
    <cellStyle name="s_Valuation _DB Dados do Mercado_Sistema Cosan V2_Hencorp Sugar #11 +10%" xfId="15716"/>
    <cellStyle name="s_Valuation _DB Dados do Mercado_Sistema Cosan V2_Hencorp Sugar #11 +10% 2" xfId="15717"/>
    <cellStyle name="s_Valuation _DB Dados do Mercado_Sistema Cosan V2_Hencorp Sugar #11 +10% 2_15-FINANCEIRAS" xfId="15718"/>
    <cellStyle name="s_Valuation _DB Dados do Mercado_Sistema Cosan V2_Hencorp Sugar #11 +10%_15-FINANCEIRAS" xfId="15719"/>
    <cellStyle name="s_Valuation _DB Dados do Mercado_Sistema Cosan V2_Hencorp Sugar #11 +10%_15-FINANCEIRAS_1" xfId="15720"/>
    <cellStyle name="s_Valuation _DB Dados do Mercado_Sistema Cosan V2_Hencorp Sugar #11 +10%_3-Balanço" xfId="15721"/>
    <cellStyle name="s_Valuation _DB Dados do Mercado_Sistema Cosan V2_Hencorp Sugar #11 +10%_7-Estoque" xfId="15722"/>
    <cellStyle name="s_Valuation _DB Dados do Mercado_Sistema Cosan V2_Hencorp Sugar #11 +10%_Relatório Gerencial" xfId="15723"/>
    <cellStyle name="s_Valuation _DB Dados do Mercado_Sistema Cosan V2_Hencorp Sugar #11 +10%_Relatório Gerencial 2" xfId="15724"/>
    <cellStyle name="s_Valuation _DB Dados do Mercado_Sistema Cosan V2_Hencorp Sugar #11 +10%_Relatório Gerencial 2_15-FINANCEIRAS" xfId="15725"/>
    <cellStyle name="s_Valuation _DB Dados do Mercado_Sistema Cosan V2_Hencorp Sugar #11 +10%_Relatório Gerencial_15-FINANCEIRAS" xfId="15726"/>
    <cellStyle name="s_Valuation _DB Dados do Mercado_Sistema Cosan V2_Hencorp Sugar #11 +10%_Relatório Gerencial_15-FINANCEIRAS_1" xfId="15727"/>
    <cellStyle name="s_Valuation _DB Dados do Mercado_Sistema Cosan V2_Hencorp Sugar #11 +10%_Relatório Gerencial_3-Balanço" xfId="15728"/>
    <cellStyle name="s_Valuation _DB Dados do Mercado_Sistema Cosan V2_Hencorp Sugar #11 +10%_Relatório Gerencial_7-Estoque" xfId="15729"/>
    <cellStyle name="s_Valuation _DB Dados do Mercado_Sistema Cosan V2_Liquidação" xfId="15730"/>
    <cellStyle name="s_Valuation _DB Dados do Mercado_Sistema Cosan V2_Liquidação 2" xfId="15731"/>
    <cellStyle name="s_Valuation _DB Dados do Mercado_Sistema Cosan V2_Liquidação 2_15-FINANCEIRAS" xfId="15732"/>
    <cellStyle name="s_Valuation _DB Dados do Mercado_Sistema Cosan V2_Liquidação_15-FINANCEIRAS" xfId="15733"/>
    <cellStyle name="s_Valuation _DB Dados do Mercado_Sistema Cosan V2_Liquidação_15-FINANCEIRAS_1" xfId="15734"/>
    <cellStyle name="s_Valuation _DB Dados do Mercado_Sistema Cosan V2_Liquidação_3-Balanço" xfId="15735"/>
    <cellStyle name="s_Valuation _DB Dados do Mercado_Sistema Cosan V2_Liquidação_7-Estoque" xfId="15736"/>
    <cellStyle name="s_Valuation _DB Dados do Mercado_Sistema Cosan V2_Liquidação_Relatório Gerencial" xfId="15737"/>
    <cellStyle name="s_Valuation _DB Dados do Mercado_Sistema Cosan V2_Liquidação_Relatório Gerencial 2" xfId="15738"/>
    <cellStyle name="s_Valuation _DB Dados do Mercado_Sistema Cosan V2_Liquidação_Relatório Gerencial 2_15-FINANCEIRAS" xfId="15739"/>
    <cellStyle name="s_Valuation _DB Dados do Mercado_Sistema Cosan V2_Liquidação_Relatório Gerencial_15-FINANCEIRAS" xfId="15740"/>
    <cellStyle name="s_Valuation _DB Dados do Mercado_Sistema Cosan V2_Liquidação_Relatório Gerencial_15-FINANCEIRAS_1" xfId="15741"/>
    <cellStyle name="s_Valuation _DB Dados do Mercado_Sistema Cosan V2_Liquidação_Relatório Gerencial_3-Balanço" xfId="15742"/>
    <cellStyle name="s_Valuation _DB Dados do Mercado_Sistema Cosan V2_Liquidação_Relatório Gerencial_7-Estoque" xfId="15743"/>
    <cellStyle name="s_Valuation _DB Dados do Mercado_Sistema Cosan V2_MTD" xfId="15744"/>
    <cellStyle name="s_Valuation _DB Dados do Mercado_Sistema Cosan V2_MTD 2" xfId="15745"/>
    <cellStyle name="s_Valuation _DB Dados do Mercado_Sistema Cosan V2_MTD 2_15-FINANCEIRAS" xfId="15746"/>
    <cellStyle name="s_Valuation _DB Dados do Mercado_Sistema Cosan V2_MTD_15-FINANCEIRAS" xfId="15747"/>
    <cellStyle name="s_Valuation _DB Dados do Mercado_Sistema Cosan V2_MTD_15-FINANCEIRAS_1" xfId="15748"/>
    <cellStyle name="s_Valuation _DB Dados do Mercado_Sistema Cosan V2_MTD_3-Balanço" xfId="15749"/>
    <cellStyle name="s_Valuation _DB Dados do Mercado_Sistema Cosan V2_MTD_7-Estoque" xfId="15750"/>
    <cellStyle name="s_Valuation _DB Dados do Mercado_Sistema Cosan V2_MTD_Relatório Gerencial" xfId="15751"/>
    <cellStyle name="s_Valuation _DB Dados do Mercado_Sistema Cosan V2_MTD_Relatório Gerencial 2" xfId="15752"/>
    <cellStyle name="s_Valuation _DB Dados do Mercado_Sistema Cosan V2_MTD_Relatório Gerencial 2_15-FINANCEIRAS" xfId="15753"/>
    <cellStyle name="s_Valuation _DB Dados do Mercado_Sistema Cosan V2_MTD_Relatório Gerencial_15-FINANCEIRAS" xfId="15754"/>
    <cellStyle name="s_Valuation _DB Dados do Mercado_Sistema Cosan V2_MTD_Relatório Gerencial_15-FINANCEIRAS_1" xfId="15755"/>
    <cellStyle name="s_Valuation _DB Dados do Mercado_Sistema Cosan V2_MTD_Relatório Gerencial_3-Balanço" xfId="15756"/>
    <cellStyle name="s_Valuation _DB Dados do Mercado_Sistema Cosan V2_MTD_Relatório Gerencial_7-Estoque" xfId="15757"/>
    <cellStyle name="s_Valuation _DB Dados do Mercado_Sistema Cosan V2_Natixis Sugar #11 +10% " xfId="15758"/>
    <cellStyle name="s_Valuation _DB Dados do Mercado_Sistema Cosan V2_Natixis Sugar #11 +10%  2" xfId="15759"/>
    <cellStyle name="s_Valuation _DB Dados do Mercado_Sistema Cosan V2_Natixis Sugar #11 +10%  2_15-FINANCEIRAS" xfId="15760"/>
    <cellStyle name="s_Valuation _DB Dados do Mercado_Sistema Cosan V2_Natixis Sugar #11 +10%  3" xfId="15761"/>
    <cellStyle name="s_Valuation _DB Dados do Mercado_Sistema Cosan V2_Natixis Sugar #11 +10% _15-FINANCEIRAS" xfId="15762"/>
    <cellStyle name="s_Valuation _DB Dados do Mercado_Sistema Cosan V2_Natixis Sugar #11 +10% _15-FINANCEIRAS_1" xfId="15763"/>
    <cellStyle name="s_Valuation _DB Dados do Mercado_Sistema Cosan V2_Natixis Sugar #11 +10% _3-Balanço" xfId="15764"/>
    <cellStyle name="s_Valuation _DB Dados do Mercado_Sistema Cosan V2_Natixis Sugar #11 +10% _7-Estoque" xfId="15765"/>
    <cellStyle name="s_Valuation _DB Dados do Mercado_Sistema Cosan V2_Natixis Sugar #11 +10% _CRE - Aging" xfId="15766"/>
    <cellStyle name="s_Valuation _DB Dados do Mercado_Sistema Cosan V2_Natixis Sugar #11 +10% _DFC Indireto_Novo" xfId="15767"/>
    <cellStyle name="s_Valuation _DB Dados do Mercado_Sistema Cosan V2_Natixis Sugar #11 +10% _Ind_Consol" xfId="15768"/>
    <cellStyle name="s_Valuation _DB Dados do Mercado_Sistema Cosan V2_Natixis Sugar #11 +10% _Outras oper's" xfId="15769"/>
    <cellStyle name="s_Valuation _DB Dados do Mercado_Sistema Cosan V2_Natixis Sugar #11 +10% _Receitas" xfId="15770"/>
    <cellStyle name="s_Valuation _DB Dados do Mercado_Sistema Cosan V2_Natixis Sugar #11 +10% _Relatório Gerencial" xfId="15771"/>
    <cellStyle name="s_Valuation _DB Dados do Mercado_Sistema Cosan V2_Natixis Sugar #11 +10% _Relatório Gerencial 2" xfId="15772"/>
    <cellStyle name="s_Valuation _DB Dados do Mercado_Sistema Cosan V2_Natixis Sugar #11 +10% _Relatório Gerencial 2_15-FINANCEIRAS" xfId="15773"/>
    <cellStyle name="s_Valuation _DB Dados do Mercado_Sistema Cosan V2_Natixis Sugar #11 +10% _Relatório Gerencial_15-FINANCEIRAS" xfId="15774"/>
    <cellStyle name="s_Valuation _DB Dados do Mercado_Sistema Cosan V2_Natixis Sugar #11 +10% _Relatório Gerencial_15-FINANCEIRAS_1" xfId="15775"/>
    <cellStyle name="s_Valuation _DB Dados do Mercado_Sistema Cosan V2_Natixis Sugar #11 +10% _Relatório Gerencial_3-Balanço" xfId="15776"/>
    <cellStyle name="s_Valuation _DB Dados do Mercado_Sistema Cosan V2_Natixis Sugar #11 +10% _Relatório Gerencial_7-Estoque" xfId="15777"/>
    <cellStyle name="s_Valuation _DB Dados do Mercado_Sistema Cosan V2_NDF" xfId="15778"/>
    <cellStyle name="s_Valuation _DB Dados do Mercado_Sistema Cosan V2_NDF 2" xfId="15779"/>
    <cellStyle name="s_Valuation _DB Dados do Mercado_Sistema Cosan V2_NDF 2_15-FINANCEIRAS" xfId="15780"/>
    <cellStyle name="s_Valuation _DB Dados do Mercado_Sistema Cosan V2_NDF OffShore" xfId="15781"/>
    <cellStyle name="s_Valuation _DB Dados do Mercado_Sistema Cosan V2_NDF OffShore 2" xfId="15782"/>
    <cellStyle name="s_Valuation _DB Dados do Mercado_Sistema Cosan V2_NDF OffShore 2_15-FINANCEIRAS" xfId="15783"/>
    <cellStyle name="s_Valuation _DB Dados do Mercado_Sistema Cosan V2_NDF OffShore_15-FINANCEIRAS" xfId="15784"/>
    <cellStyle name="s_Valuation _DB Dados do Mercado_Sistema Cosan V2_NDF OffShore_15-FINANCEIRAS_1" xfId="15785"/>
    <cellStyle name="s_Valuation _DB Dados do Mercado_Sistema Cosan V2_NDF OffShore_3-Balanço" xfId="15786"/>
    <cellStyle name="s_Valuation _DB Dados do Mercado_Sistema Cosan V2_NDF OffShore_7-Estoque" xfId="15787"/>
    <cellStyle name="s_Valuation _DB Dados do Mercado_Sistema Cosan V2_NDF OffShore_Relatório Gerencial" xfId="15788"/>
    <cellStyle name="s_Valuation _DB Dados do Mercado_Sistema Cosan V2_NDF OffShore_Relatório Gerencial 2" xfId="15789"/>
    <cellStyle name="s_Valuation _DB Dados do Mercado_Sistema Cosan V2_NDF OffShore_Relatório Gerencial 2_15-FINANCEIRAS" xfId="15790"/>
    <cellStyle name="s_Valuation _DB Dados do Mercado_Sistema Cosan V2_NDF OffShore_Relatório Gerencial_15-FINANCEIRAS" xfId="15791"/>
    <cellStyle name="s_Valuation _DB Dados do Mercado_Sistema Cosan V2_NDF OffShore_Relatório Gerencial_15-FINANCEIRAS_1" xfId="15792"/>
    <cellStyle name="s_Valuation _DB Dados do Mercado_Sistema Cosan V2_NDF OffShore_Relatório Gerencial_3-Balanço" xfId="15793"/>
    <cellStyle name="s_Valuation _DB Dados do Mercado_Sistema Cosan V2_NDF OffShore_Relatório Gerencial_7-Estoque" xfId="15794"/>
    <cellStyle name="s_Valuation _DB Dados do Mercado_Sistema Cosan V2_NDF_15-FINANCEIRAS" xfId="15795"/>
    <cellStyle name="s_Valuation _DB Dados do Mercado_Sistema Cosan V2_NDF_15-FINANCEIRAS_1" xfId="15796"/>
    <cellStyle name="s_Valuation _DB Dados do Mercado_Sistema Cosan V2_NDF_3-Balanço" xfId="15797"/>
    <cellStyle name="s_Valuation _DB Dados do Mercado_Sistema Cosan V2_NDF_7-Estoque" xfId="15798"/>
    <cellStyle name="s_Valuation _DB Dados do Mercado_Sistema Cosan V2_NDF_Relatório Gerencial" xfId="15799"/>
    <cellStyle name="s_Valuation _DB Dados do Mercado_Sistema Cosan V2_NDF_Relatório Gerencial 2" xfId="15800"/>
    <cellStyle name="s_Valuation _DB Dados do Mercado_Sistema Cosan V2_NDF_Relatório Gerencial 2_15-FINANCEIRAS" xfId="15801"/>
    <cellStyle name="s_Valuation _DB Dados do Mercado_Sistema Cosan V2_NDF_Relatório Gerencial_15-FINANCEIRAS" xfId="15802"/>
    <cellStyle name="s_Valuation _DB Dados do Mercado_Sistema Cosan V2_NDF_Relatório Gerencial_15-FINANCEIRAS_1" xfId="15803"/>
    <cellStyle name="s_Valuation _DB Dados do Mercado_Sistema Cosan V2_NDF_Relatório Gerencial_3-Balanço" xfId="15804"/>
    <cellStyle name="s_Valuation _DB Dados do Mercado_Sistema Cosan V2_NDF_Relatório Gerencial_7-Estoque" xfId="15805"/>
    <cellStyle name="s_Valuation _DB Dados do Mercado_Sistema Cosan V2_Opção Compra sugar#11" xfId="15806"/>
    <cellStyle name="s_Valuation _DB Dados do Mercado_Sistema Cosan V2_Opção Compra sugar#11 2" xfId="15807"/>
    <cellStyle name="s_Valuation _DB Dados do Mercado_Sistema Cosan V2_Opção Compra sugar#11 2_15-FINANCEIRAS" xfId="15808"/>
    <cellStyle name="s_Valuation _DB Dados do Mercado_Sistema Cosan V2_Opção Compra sugar#11_15-FINANCEIRAS" xfId="15809"/>
    <cellStyle name="s_Valuation _DB Dados do Mercado_Sistema Cosan V2_Opção Compra sugar#11_15-FINANCEIRAS_1" xfId="15810"/>
    <cellStyle name="s_Valuation _DB Dados do Mercado_Sistema Cosan V2_Opção Compra sugar#11_3-Balanço" xfId="15811"/>
    <cellStyle name="s_Valuation _DB Dados do Mercado_Sistema Cosan V2_Opção Compra sugar#11_7-Estoque" xfId="15812"/>
    <cellStyle name="s_Valuation _DB Dados do Mercado_Sistema Cosan V2_Opção Compra sugar#11_Relatório Gerencial" xfId="15813"/>
    <cellStyle name="s_Valuation _DB Dados do Mercado_Sistema Cosan V2_Opção Compra sugar#11_Relatório Gerencial 2" xfId="15814"/>
    <cellStyle name="s_Valuation _DB Dados do Mercado_Sistema Cosan V2_Opção Compra sugar#11_Relatório Gerencial 2_15-FINANCEIRAS" xfId="15815"/>
    <cellStyle name="s_Valuation _DB Dados do Mercado_Sistema Cosan V2_Opção Compra sugar#11_Relatório Gerencial_15-FINANCEIRAS" xfId="15816"/>
    <cellStyle name="s_Valuation _DB Dados do Mercado_Sistema Cosan V2_Opção Compra sugar#11_Relatório Gerencial_15-FINANCEIRAS_1" xfId="15817"/>
    <cellStyle name="s_Valuation _DB Dados do Mercado_Sistema Cosan V2_Opção Compra sugar#11_Relatório Gerencial_3-Balanço" xfId="15818"/>
    <cellStyle name="s_Valuation _DB Dados do Mercado_Sistema Cosan V2_Opção Compra sugar#11_Relatório Gerencial_7-Estoque" xfId="15819"/>
    <cellStyle name="s_Valuation _DB Dados do Mercado_Sistema Cosan V2_Opção Compradas dólar" xfId="15820"/>
    <cellStyle name="s_Valuation _DB Dados do Mercado_Sistema Cosan V2_Opção Compradas dólar 2" xfId="15821"/>
    <cellStyle name="s_Valuation _DB Dados do Mercado_Sistema Cosan V2_Opção Compradas dólar 2_15-FINANCEIRAS" xfId="15822"/>
    <cellStyle name="s_Valuation _DB Dados do Mercado_Sistema Cosan V2_Opção Compradas dólar_15-FINANCEIRAS" xfId="15823"/>
    <cellStyle name="s_Valuation _DB Dados do Mercado_Sistema Cosan V2_Opção Compradas dólar_15-FINANCEIRAS_1" xfId="15824"/>
    <cellStyle name="s_Valuation _DB Dados do Mercado_Sistema Cosan V2_Opção Compradas dólar_3-Balanço" xfId="15825"/>
    <cellStyle name="s_Valuation _DB Dados do Mercado_Sistema Cosan V2_Opção Compradas dólar_7-Estoque" xfId="15826"/>
    <cellStyle name="s_Valuation _DB Dados do Mercado_Sistema Cosan V2_Opção Compradas dólar_Relatório Gerencial" xfId="15827"/>
    <cellStyle name="s_Valuation _DB Dados do Mercado_Sistema Cosan V2_Opção Compradas dólar_Relatório Gerencial 2" xfId="15828"/>
    <cellStyle name="s_Valuation _DB Dados do Mercado_Sistema Cosan V2_Opção Compradas dólar_Relatório Gerencial 2_15-FINANCEIRAS" xfId="15829"/>
    <cellStyle name="s_Valuation _DB Dados do Mercado_Sistema Cosan V2_Opção Compradas dólar_Relatório Gerencial_15-FINANCEIRAS" xfId="15830"/>
    <cellStyle name="s_Valuation _DB Dados do Mercado_Sistema Cosan V2_Opção Compradas dólar_Relatório Gerencial_15-FINANCEIRAS_1" xfId="15831"/>
    <cellStyle name="s_Valuation _DB Dados do Mercado_Sistema Cosan V2_Opção Compradas dólar_Relatório Gerencial_3-Balanço" xfId="15832"/>
    <cellStyle name="s_Valuation _DB Dados do Mercado_Sistema Cosan V2_Opção Compradas dólar_Relatório Gerencial_7-Estoque" xfId="15833"/>
    <cellStyle name="s_Valuation _DB Dados do Mercado_Sistema Cosan V2_Opção Compradas sugar#11" xfId="15834"/>
    <cellStyle name="s_Valuation _DB Dados do Mercado_Sistema Cosan V2_Opção Compradas sugar#11 2" xfId="15835"/>
    <cellStyle name="s_Valuation _DB Dados do Mercado_Sistema Cosan V2_Opção Compradas sugar#11 2_15-FINANCEIRAS" xfId="15836"/>
    <cellStyle name="s_Valuation _DB Dados do Mercado_Sistema Cosan V2_Opção Compradas sugar#11_15-FINANCEIRAS" xfId="15837"/>
    <cellStyle name="s_Valuation _DB Dados do Mercado_Sistema Cosan V2_Opção Compradas sugar#11_15-FINANCEIRAS_1" xfId="15838"/>
    <cellStyle name="s_Valuation _DB Dados do Mercado_Sistema Cosan V2_Opção Compradas sugar#11_3-Balanço" xfId="15839"/>
    <cellStyle name="s_Valuation _DB Dados do Mercado_Sistema Cosan V2_Opção Compradas sugar#11_7-Estoque" xfId="15840"/>
    <cellStyle name="s_Valuation _DB Dados do Mercado_Sistema Cosan V2_Opção Compradas sugar#11_Relatório Gerencial" xfId="15841"/>
    <cellStyle name="s_Valuation _DB Dados do Mercado_Sistema Cosan V2_Opção Compradas sugar#11_Relatório Gerencial 2" xfId="15842"/>
    <cellStyle name="s_Valuation _DB Dados do Mercado_Sistema Cosan V2_Opção Compradas sugar#11_Relatório Gerencial 2_15-FINANCEIRAS" xfId="15843"/>
    <cellStyle name="s_Valuation _DB Dados do Mercado_Sistema Cosan V2_Opção Compradas sugar#11_Relatório Gerencial_15-FINANCEIRAS" xfId="15844"/>
    <cellStyle name="s_Valuation _DB Dados do Mercado_Sistema Cosan V2_Opção Compradas sugar#11_Relatório Gerencial_15-FINANCEIRAS_1" xfId="15845"/>
    <cellStyle name="s_Valuation _DB Dados do Mercado_Sistema Cosan V2_Opção Compradas sugar#11_Relatório Gerencial_3-Balanço" xfId="15846"/>
    <cellStyle name="s_Valuation _DB Dados do Mercado_Sistema Cosan V2_Opção Compradas sugar#11_Relatório Gerencial_7-Estoque" xfId="15847"/>
    <cellStyle name="s_Valuation _DB Dados do Mercado_Sistema Cosan V2_Opção dólar" xfId="15848"/>
    <cellStyle name="s_Valuation _DB Dados do Mercado_Sistema Cosan V2_Opção dólar 2" xfId="15849"/>
    <cellStyle name="s_Valuation _DB Dados do Mercado_Sistema Cosan V2_Opção dólar 2_15-FINANCEIRAS" xfId="15850"/>
    <cellStyle name="s_Valuation _DB Dados do Mercado_Sistema Cosan V2_Opção dólar_15-FINANCEIRAS" xfId="15851"/>
    <cellStyle name="s_Valuation _DB Dados do Mercado_Sistema Cosan V2_Opção dólar_15-FINANCEIRAS_1" xfId="15852"/>
    <cellStyle name="s_Valuation _DB Dados do Mercado_Sistema Cosan V2_Opção dólar_3-Balanço" xfId="15853"/>
    <cellStyle name="s_Valuation _DB Dados do Mercado_Sistema Cosan V2_Opção dólar_7-Estoque" xfId="15854"/>
    <cellStyle name="s_Valuation _DB Dados do Mercado_Sistema Cosan V2_Opção dólar_Relatório Gerencial" xfId="15855"/>
    <cellStyle name="s_Valuation _DB Dados do Mercado_Sistema Cosan V2_Opção dólar_Relatório Gerencial 2" xfId="15856"/>
    <cellStyle name="s_Valuation _DB Dados do Mercado_Sistema Cosan V2_Opção dólar_Relatório Gerencial 2_15-FINANCEIRAS" xfId="15857"/>
    <cellStyle name="s_Valuation _DB Dados do Mercado_Sistema Cosan V2_Opção dólar_Relatório Gerencial_15-FINANCEIRAS" xfId="15858"/>
    <cellStyle name="s_Valuation _DB Dados do Mercado_Sistema Cosan V2_Opção dólar_Relatório Gerencial_15-FINANCEIRAS_1" xfId="15859"/>
    <cellStyle name="s_Valuation _DB Dados do Mercado_Sistema Cosan V2_Opção dólar_Relatório Gerencial_3-Balanço" xfId="15860"/>
    <cellStyle name="s_Valuation _DB Dados do Mercado_Sistema Cosan V2_Opção dólar_Relatório Gerencial_7-Estoque" xfId="15861"/>
    <cellStyle name="s_Valuation _DB Dados do Mercado_Sistema Cosan V2_Opção sugar#11" xfId="15862"/>
    <cellStyle name="s_Valuation _DB Dados do Mercado_Sistema Cosan V2_Opção sugar#11 2" xfId="15863"/>
    <cellStyle name="s_Valuation _DB Dados do Mercado_Sistema Cosan V2_Opção sugar#11 2_15-FINANCEIRAS" xfId="15864"/>
    <cellStyle name="s_Valuation _DB Dados do Mercado_Sistema Cosan V2_Opção sugar#11_15-FINANCEIRAS" xfId="15865"/>
    <cellStyle name="s_Valuation _DB Dados do Mercado_Sistema Cosan V2_Opção sugar#11_15-FINANCEIRAS_1" xfId="15866"/>
    <cellStyle name="s_Valuation _DB Dados do Mercado_Sistema Cosan V2_Opção sugar#11_3-Balanço" xfId="15867"/>
    <cellStyle name="s_Valuation _DB Dados do Mercado_Sistema Cosan V2_Opção sugar#11_7-Estoque" xfId="15868"/>
    <cellStyle name="s_Valuation _DB Dados do Mercado_Sistema Cosan V2_Opção sugar#11_Relatório Gerencial" xfId="15869"/>
    <cellStyle name="s_Valuation _DB Dados do Mercado_Sistema Cosan V2_Opção sugar#11_Relatório Gerencial 2" xfId="15870"/>
    <cellStyle name="s_Valuation _DB Dados do Mercado_Sistema Cosan V2_Opção sugar#11_Relatório Gerencial 2_15-FINANCEIRAS" xfId="15871"/>
    <cellStyle name="s_Valuation _DB Dados do Mercado_Sistema Cosan V2_Opção sugar#11_Relatório Gerencial_15-FINANCEIRAS" xfId="15872"/>
    <cellStyle name="s_Valuation _DB Dados do Mercado_Sistema Cosan V2_Opção sugar#11_Relatório Gerencial_15-FINANCEIRAS_1" xfId="15873"/>
    <cellStyle name="s_Valuation _DB Dados do Mercado_Sistema Cosan V2_Opção sugar#11_Relatório Gerencial_3-Balanço" xfId="15874"/>
    <cellStyle name="s_Valuation _DB Dados do Mercado_Sistema Cosan V2_Opção sugar#11_Relatório Gerencial_7-Estoque" xfId="15875"/>
    <cellStyle name="s_Valuation _DB Dados do Mercado_Sistema Cosan V2_Opção venda sugar#11" xfId="15876"/>
    <cellStyle name="s_Valuation _DB Dados do Mercado_Sistema Cosan V2_Opção venda sugar#11 2" xfId="15877"/>
    <cellStyle name="s_Valuation _DB Dados do Mercado_Sistema Cosan V2_Opção venda sugar#11 2_15-FINANCEIRAS" xfId="15878"/>
    <cellStyle name="s_Valuation _DB Dados do Mercado_Sistema Cosan V2_Opção venda sugar#11_15-FINANCEIRAS" xfId="15879"/>
    <cellStyle name="s_Valuation _DB Dados do Mercado_Sistema Cosan V2_Opção venda sugar#11_15-FINANCEIRAS_1" xfId="15880"/>
    <cellStyle name="s_Valuation _DB Dados do Mercado_Sistema Cosan V2_Opção venda sugar#11_3-Balanço" xfId="15881"/>
    <cellStyle name="s_Valuation _DB Dados do Mercado_Sistema Cosan V2_Opção venda sugar#11_7-Estoque" xfId="15882"/>
    <cellStyle name="s_Valuation _DB Dados do Mercado_Sistema Cosan V2_Opção venda sugar#11_Relatório Gerencial" xfId="15883"/>
    <cellStyle name="s_Valuation _DB Dados do Mercado_Sistema Cosan V2_Opção venda sugar#11_Relatório Gerencial 2" xfId="15884"/>
    <cellStyle name="s_Valuation _DB Dados do Mercado_Sistema Cosan V2_Opção venda sugar#11_Relatório Gerencial 2_15-FINANCEIRAS" xfId="15885"/>
    <cellStyle name="s_Valuation _DB Dados do Mercado_Sistema Cosan V2_Opção venda sugar#11_Relatório Gerencial_15-FINANCEIRAS" xfId="15886"/>
    <cellStyle name="s_Valuation _DB Dados do Mercado_Sistema Cosan V2_Opção venda sugar#11_Relatório Gerencial_15-FINANCEIRAS_1" xfId="15887"/>
    <cellStyle name="s_Valuation _DB Dados do Mercado_Sistema Cosan V2_Opção venda sugar#11_Relatório Gerencial_3-Balanço" xfId="15888"/>
    <cellStyle name="s_Valuation _DB Dados do Mercado_Sistema Cosan V2_Opção venda sugar#11_Relatório Gerencial_7-Estoque" xfId="15889"/>
    <cellStyle name="s_Valuation _DB Dados do Mercado_Sistema Cosan V2_Opção Vendidas dólar" xfId="15890"/>
    <cellStyle name="s_Valuation _DB Dados do Mercado_Sistema Cosan V2_Opção Vendidas dólar 2" xfId="15891"/>
    <cellStyle name="s_Valuation _DB Dados do Mercado_Sistema Cosan V2_Opção Vendidas dólar 2_15-FINANCEIRAS" xfId="15892"/>
    <cellStyle name="s_Valuation _DB Dados do Mercado_Sistema Cosan V2_Opção Vendidas dólar_15-FINANCEIRAS" xfId="15893"/>
    <cellStyle name="s_Valuation _DB Dados do Mercado_Sistema Cosan V2_Opção Vendidas dólar_15-FINANCEIRAS_1" xfId="15894"/>
    <cellStyle name="s_Valuation _DB Dados do Mercado_Sistema Cosan V2_Opção Vendidas dólar_3-Balanço" xfId="15895"/>
    <cellStyle name="s_Valuation _DB Dados do Mercado_Sistema Cosan V2_Opção Vendidas dólar_7-Estoque" xfId="15896"/>
    <cellStyle name="s_Valuation _DB Dados do Mercado_Sistema Cosan V2_Opção Vendidas dólar_Relatório Gerencial" xfId="15897"/>
    <cellStyle name="s_Valuation _DB Dados do Mercado_Sistema Cosan V2_Opção Vendidas dólar_Relatório Gerencial 2" xfId="15898"/>
    <cellStyle name="s_Valuation _DB Dados do Mercado_Sistema Cosan V2_Opção Vendidas dólar_Relatório Gerencial 2_15-FINANCEIRAS" xfId="15899"/>
    <cellStyle name="s_Valuation _DB Dados do Mercado_Sistema Cosan V2_Opção Vendidas dólar_Relatório Gerencial_15-FINANCEIRAS" xfId="15900"/>
    <cellStyle name="s_Valuation _DB Dados do Mercado_Sistema Cosan V2_Opção Vendidas dólar_Relatório Gerencial_15-FINANCEIRAS_1" xfId="15901"/>
    <cellStyle name="s_Valuation _DB Dados do Mercado_Sistema Cosan V2_Opção Vendidas dólar_Relatório Gerencial_3-Balanço" xfId="15902"/>
    <cellStyle name="s_Valuation _DB Dados do Mercado_Sistema Cosan V2_Opção Vendidas dólar_Relatório Gerencial_7-Estoque" xfId="15903"/>
    <cellStyle name="s_Valuation _DB Dados do Mercado_Sistema Cosan V2_Opção Vendidas sugar#11" xfId="15904"/>
    <cellStyle name="s_Valuation _DB Dados do Mercado_Sistema Cosan V2_Opção Vendidas sugar#11 2" xfId="15905"/>
    <cellStyle name="s_Valuation _DB Dados do Mercado_Sistema Cosan V2_Opção Vendidas sugar#11 2_15-FINANCEIRAS" xfId="15906"/>
    <cellStyle name="s_Valuation _DB Dados do Mercado_Sistema Cosan V2_Opção Vendidas sugar#11_15-FINANCEIRAS" xfId="15907"/>
    <cellStyle name="s_Valuation _DB Dados do Mercado_Sistema Cosan V2_Opção Vendidas sugar#11_15-FINANCEIRAS_1" xfId="15908"/>
    <cellStyle name="s_Valuation _DB Dados do Mercado_Sistema Cosan V2_Opção Vendidas sugar#11_3-Balanço" xfId="15909"/>
    <cellStyle name="s_Valuation _DB Dados do Mercado_Sistema Cosan V2_Opção Vendidas sugar#11_7-Estoque" xfId="15910"/>
    <cellStyle name="s_Valuation _DB Dados do Mercado_Sistema Cosan V2_Opção Vendidas sugar#11_Relatório Gerencial" xfId="15911"/>
    <cellStyle name="s_Valuation _DB Dados do Mercado_Sistema Cosan V2_Opção Vendidas sugar#11_Relatório Gerencial 2" xfId="15912"/>
    <cellStyle name="s_Valuation _DB Dados do Mercado_Sistema Cosan V2_Opção Vendidas sugar#11_Relatório Gerencial 2_15-FINANCEIRAS" xfId="15913"/>
    <cellStyle name="s_Valuation _DB Dados do Mercado_Sistema Cosan V2_Opção Vendidas sugar#11_Relatório Gerencial_15-FINANCEIRAS" xfId="15914"/>
    <cellStyle name="s_Valuation _DB Dados do Mercado_Sistema Cosan V2_Opção Vendidas sugar#11_Relatório Gerencial_15-FINANCEIRAS_1" xfId="15915"/>
    <cellStyle name="s_Valuation _DB Dados do Mercado_Sistema Cosan V2_Opção Vendidas sugar#11_Relatório Gerencial_3-Balanço" xfId="15916"/>
    <cellStyle name="s_Valuation _DB Dados do Mercado_Sistema Cosan V2_Opção Vendidas sugar#11_Relatório Gerencial_7-Estoque" xfId="15917"/>
    <cellStyle name="s_Valuation _DB Dados do Mercado_Sistema Cosan V2_Opções Sugar#11" xfId="15918"/>
    <cellStyle name="s_Valuation _DB Dados do Mercado_Sistema Cosan V2_Opções Sugar#11 2" xfId="15919"/>
    <cellStyle name="s_Valuation _DB Dados do Mercado_Sistema Cosan V2_Opções Sugar#11 2_15-FINANCEIRAS" xfId="15920"/>
    <cellStyle name="s_Valuation _DB Dados do Mercado_Sistema Cosan V2_Opções Sugar#11_15-FINANCEIRAS" xfId="15921"/>
    <cellStyle name="s_Valuation _DB Dados do Mercado_Sistema Cosan V2_Opções Sugar#11_15-FINANCEIRAS_1" xfId="15922"/>
    <cellStyle name="s_Valuation _DB Dados do Mercado_Sistema Cosan V2_Opções Sugar#11_3-Balanço" xfId="15923"/>
    <cellStyle name="s_Valuation _DB Dados do Mercado_Sistema Cosan V2_Opções Sugar#11_7-Estoque" xfId="15924"/>
    <cellStyle name="s_Valuation _DB Dados do Mercado_Sistema Cosan V2_Opções Sugar#11_Relatório Gerencial" xfId="15925"/>
    <cellStyle name="s_Valuation _DB Dados do Mercado_Sistema Cosan V2_Opções Sugar#11_Relatório Gerencial 2" xfId="15926"/>
    <cellStyle name="s_Valuation _DB Dados do Mercado_Sistema Cosan V2_Opções Sugar#11_Relatório Gerencial 2_15-FINANCEIRAS" xfId="15927"/>
    <cellStyle name="s_Valuation _DB Dados do Mercado_Sistema Cosan V2_Opções Sugar#11_Relatório Gerencial_15-FINANCEIRAS" xfId="15928"/>
    <cellStyle name="s_Valuation _DB Dados do Mercado_Sistema Cosan V2_Opções Sugar#11_Relatório Gerencial_15-FINANCEIRAS_1" xfId="15929"/>
    <cellStyle name="s_Valuation _DB Dados do Mercado_Sistema Cosan V2_Opções Sugar#11_Relatório Gerencial_3-Balanço" xfId="15930"/>
    <cellStyle name="s_Valuation _DB Dados do Mercado_Sistema Cosan V2_Opções Sugar#11_Relatório Gerencial_7-Estoque" xfId="15931"/>
    <cellStyle name="s_Valuation _DB Dados do Mercado_Sistema Cosan V2_Prudential Sugar #11 +10%" xfId="15932"/>
    <cellStyle name="s_Valuation _DB Dados do Mercado_Sistema Cosan V2_Prudential Sugar #11 +10% 2" xfId="15933"/>
    <cellStyle name="s_Valuation _DB Dados do Mercado_Sistema Cosan V2_Prudential Sugar #11 +10% 2_15-FINANCEIRAS" xfId="15934"/>
    <cellStyle name="s_Valuation _DB Dados do Mercado_Sistema Cosan V2_Prudential Sugar #11 +10%_15-FINANCEIRAS" xfId="15935"/>
    <cellStyle name="s_Valuation _DB Dados do Mercado_Sistema Cosan V2_Prudential Sugar #11 +10%_15-FINANCEIRAS_1" xfId="15936"/>
    <cellStyle name="s_Valuation _DB Dados do Mercado_Sistema Cosan V2_Prudential Sugar #11 +10%_3-Balanço" xfId="15937"/>
    <cellStyle name="s_Valuation _DB Dados do Mercado_Sistema Cosan V2_Prudential Sugar #11 +10%_7-Estoque" xfId="15938"/>
    <cellStyle name="s_Valuation _DB Dados do Mercado_Sistema Cosan V2_Prudential Sugar #11 +10%_Relatório Gerencial" xfId="15939"/>
    <cellStyle name="s_Valuation _DB Dados do Mercado_Sistema Cosan V2_Prudential Sugar #11 +10%_Relatório Gerencial 2" xfId="15940"/>
    <cellStyle name="s_Valuation _DB Dados do Mercado_Sistema Cosan V2_Prudential Sugar #11 +10%_Relatório Gerencial 2_15-FINANCEIRAS" xfId="15941"/>
    <cellStyle name="s_Valuation _DB Dados do Mercado_Sistema Cosan V2_Prudential Sugar #11 +10%_Relatório Gerencial_15-FINANCEIRAS" xfId="15942"/>
    <cellStyle name="s_Valuation _DB Dados do Mercado_Sistema Cosan V2_Prudential Sugar #11 +10%_Relatório Gerencial_15-FINANCEIRAS_1" xfId="15943"/>
    <cellStyle name="s_Valuation _DB Dados do Mercado_Sistema Cosan V2_Prudential Sugar #11 +10%_Relatório Gerencial_3-Balanço" xfId="15944"/>
    <cellStyle name="s_Valuation _DB Dados do Mercado_Sistema Cosan V2_Prudential Sugar #11 +10%_Relatório Gerencial_7-Estoque" xfId="15945"/>
    <cellStyle name="s_Valuation _DB Dados do Mercado_Sistema Cosan V2_PTX" xfId="15946"/>
    <cellStyle name="s_Valuation _DB Dados do Mercado_Sistema Cosan V2_PTX 2" xfId="15947"/>
    <cellStyle name="s_Valuation _DB Dados do Mercado_Sistema Cosan V2_PTX 2_15-FINANCEIRAS" xfId="15948"/>
    <cellStyle name="s_Valuation _DB Dados do Mercado_Sistema Cosan V2_PTX_15-FINANCEIRAS" xfId="15949"/>
    <cellStyle name="s_Valuation _DB Dados do Mercado_Sistema Cosan V2_PTX_15-FINANCEIRAS_1" xfId="15950"/>
    <cellStyle name="s_Valuation _DB Dados do Mercado_Sistema Cosan V2_PTX_3-Balanço" xfId="15951"/>
    <cellStyle name="s_Valuation _DB Dados do Mercado_Sistema Cosan V2_PTX_7-Estoque" xfId="15952"/>
    <cellStyle name="s_Valuation _DB Dados do Mercado_Sistema Cosan V2_PTX_Relatório Gerencial" xfId="15953"/>
    <cellStyle name="s_Valuation _DB Dados do Mercado_Sistema Cosan V2_PTX_Relatório Gerencial 2" xfId="15954"/>
    <cellStyle name="s_Valuation _DB Dados do Mercado_Sistema Cosan V2_PTX_Relatório Gerencial 2_15-FINANCEIRAS" xfId="15955"/>
    <cellStyle name="s_Valuation _DB Dados do Mercado_Sistema Cosan V2_PTX_Relatório Gerencial_15-FINANCEIRAS" xfId="15956"/>
    <cellStyle name="s_Valuation _DB Dados do Mercado_Sistema Cosan V2_PTX_Relatório Gerencial_15-FINANCEIRAS_1" xfId="15957"/>
    <cellStyle name="s_Valuation _DB Dados do Mercado_Sistema Cosan V2_PTX_Relatório Gerencial_3-Balanço" xfId="15958"/>
    <cellStyle name="s_Valuation _DB Dados do Mercado_Sistema Cosan V2_PTX_Relatório Gerencial_7-Estoque" xfId="15959"/>
    <cellStyle name="s_Valuation _DB Dados do Mercado_Sistema Cosan V2_QTD" xfId="15960"/>
    <cellStyle name="s_Valuation _DB Dados do Mercado_Sistema Cosan V2_QTD 2" xfId="15961"/>
    <cellStyle name="s_Valuation _DB Dados do Mercado_Sistema Cosan V2_QTD 2_15-FINANCEIRAS" xfId="15962"/>
    <cellStyle name="s_Valuation _DB Dados do Mercado_Sistema Cosan V2_QTD_15-FINANCEIRAS" xfId="15963"/>
    <cellStyle name="s_Valuation _DB Dados do Mercado_Sistema Cosan V2_QTD_15-FINANCEIRAS_1" xfId="15964"/>
    <cellStyle name="s_Valuation _DB Dados do Mercado_Sistema Cosan V2_QTD_3-Balanço" xfId="15965"/>
    <cellStyle name="s_Valuation _DB Dados do Mercado_Sistema Cosan V2_QTD_7-Estoque" xfId="15966"/>
    <cellStyle name="s_Valuation _DB Dados do Mercado_Sistema Cosan V2_QTD_Relatório Gerencial" xfId="15967"/>
    <cellStyle name="s_Valuation _DB Dados do Mercado_Sistema Cosan V2_QTD_Relatório Gerencial 2" xfId="15968"/>
    <cellStyle name="s_Valuation _DB Dados do Mercado_Sistema Cosan V2_QTD_Relatório Gerencial 2_15-FINANCEIRAS" xfId="15969"/>
    <cellStyle name="s_Valuation _DB Dados do Mercado_Sistema Cosan V2_QTD_Relatório Gerencial_15-FINANCEIRAS" xfId="15970"/>
    <cellStyle name="s_Valuation _DB Dados do Mercado_Sistema Cosan V2_QTD_Relatório Gerencial_15-FINANCEIRAS_1" xfId="15971"/>
    <cellStyle name="s_Valuation _DB Dados do Mercado_Sistema Cosan V2_QTD_Relatório Gerencial_3-Balanço" xfId="15972"/>
    <cellStyle name="s_Valuation _DB Dados do Mercado_Sistema Cosan V2_QTD_Relatório Gerencial_7-Estoque" xfId="15973"/>
    <cellStyle name="s_Valuation _DB Dados do Mercado_Sistema Cosan V2_relatorio" xfId="15974"/>
    <cellStyle name="s_Valuation _DB Dados do Mercado_Sistema Cosan V2_relatorio 2" xfId="15975"/>
    <cellStyle name="s_Valuation _DB Dados do Mercado_Sistema Cosan V2_relatorio 2_15-FINANCEIRAS" xfId="15976"/>
    <cellStyle name="s_Valuation _DB Dados do Mercado_Sistema Cosan V2_Relatório de Commodities" xfId="15977"/>
    <cellStyle name="s_Valuation _DB Dados do Mercado_Sistema Cosan V2_Relatório de Commodities 2" xfId="15978"/>
    <cellStyle name="s_Valuation _DB Dados do Mercado_Sistema Cosan V2_Relatório de Commodities 2_15-FINANCEIRAS" xfId="15979"/>
    <cellStyle name="s_Valuation _DB Dados do Mercado_Sistema Cosan V2_Relatório de Commodities_15-FINANCEIRAS" xfId="15980"/>
    <cellStyle name="s_Valuation _DB Dados do Mercado_Sistema Cosan V2_Relatório de Commodities_15-FINANCEIRAS_1" xfId="15981"/>
    <cellStyle name="s_Valuation _DB Dados do Mercado_Sistema Cosan V2_Relatório de Commodities_3-Balanço" xfId="15982"/>
    <cellStyle name="s_Valuation _DB Dados do Mercado_Sistema Cosan V2_Relatório de Commodities_7-Estoque" xfId="15983"/>
    <cellStyle name="s_Valuation _DB Dados do Mercado_Sistema Cosan V2_Relatório de Commodities_Relatório Gerencial" xfId="15984"/>
    <cellStyle name="s_Valuation _DB Dados do Mercado_Sistema Cosan V2_Relatório de Commodities_Relatório Gerencial 2" xfId="15985"/>
    <cellStyle name="s_Valuation _DB Dados do Mercado_Sistema Cosan V2_Relatório de Commodities_Relatório Gerencial 2_15-FINANCEIRAS" xfId="15986"/>
    <cellStyle name="s_Valuation _DB Dados do Mercado_Sistema Cosan V2_Relatório de Commodities_Relatório Gerencial_15-FINANCEIRAS" xfId="15987"/>
    <cellStyle name="s_Valuation _DB Dados do Mercado_Sistema Cosan V2_Relatório de Commodities_Relatório Gerencial_15-FINANCEIRAS_1" xfId="15988"/>
    <cellStyle name="s_Valuation _DB Dados do Mercado_Sistema Cosan V2_Relatório de Commodities_Relatório Gerencial_3-Balanço" xfId="15989"/>
    <cellStyle name="s_Valuation _DB Dados do Mercado_Sistema Cosan V2_Relatório de Commodities_Relatório Gerencial_7-Estoque" xfId="15990"/>
    <cellStyle name="s_Valuation _DB Dados do Mercado_Sistema Cosan V2_Relatório Diário" xfId="15991"/>
    <cellStyle name="s_Valuation _DB Dados do Mercado_Sistema Cosan V2_Relatório Diário - 02 Dezembro 09" xfId="15992"/>
    <cellStyle name="s_Valuation _DB Dados do Mercado_Sistema Cosan V2_Relatório Diário - 02 Dezembro 09 2" xfId="15993"/>
    <cellStyle name="s_Valuation _DB Dados do Mercado_Sistema Cosan V2_Relatório Diário - 02 Dezembro 09 2_15-FINANCEIRAS" xfId="15994"/>
    <cellStyle name="s_Valuation _DB Dados do Mercado_Sistema Cosan V2_Relatório Diário - 02 Dezembro 09_15-FINANCEIRAS" xfId="15995"/>
    <cellStyle name="s_Valuation _DB Dados do Mercado_Sistema Cosan V2_Relatório Diário - 02 Dezembro 09_15-FINANCEIRAS_1" xfId="15996"/>
    <cellStyle name="s_Valuation _DB Dados do Mercado_Sistema Cosan V2_Relatório Diário - 02 Dezembro 09_3-Balanço" xfId="15997"/>
    <cellStyle name="s_Valuation _DB Dados do Mercado_Sistema Cosan V2_Relatório Diário - 02 Dezembro 09_7-Estoque" xfId="15998"/>
    <cellStyle name="s_Valuation _DB Dados do Mercado_Sistema Cosan V2_Relatório Diário - 02 Dezembro 09_Relatório Gerencial" xfId="15999"/>
    <cellStyle name="s_Valuation _DB Dados do Mercado_Sistema Cosan V2_Relatório Diário - 02 Dezembro 09_Relatório Gerencial 2" xfId="16000"/>
    <cellStyle name="s_Valuation _DB Dados do Mercado_Sistema Cosan V2_Relatório Diário - 02 Dezembro 09_Relatório Gerencial 2_15-FINANCEIRAS" xfId="16001"/>
    <cellStyle name="s_Valuation _DB Dados do Mercado_Sistema Cosan V2_Relatório Diário - 02 Dezembro 09_Relatório Gerencial_15-FINANCEIRAS" xfId="16002"/>
    <cellStyle name="s_Valuation _DB Dados do Mercado_Sistema Cosan V2_Relatório Diário - 02 Dezembro 09_Relatório Gerencial_15-FINANCEIRAS_1" xfId="16003"/>
    <cellStyle name="s_Valuation _DB Dados do Mercado_Sistema Cosan V2_Relatório Diário - 02 Dezembro 09_Relatório Gerencial_3-Balanço" xfId="16004"/>
    <cellStyle name="s_Valuation _DB Dados do Mercado_Sistema Cosan V2_Relatório Diário - 02 Dezembro 09_Relatório Gerencial_7-Estoque" xfId="16005"/>
    <cellStyle name="s_Valuation _DB Dados do Mercado_Sistema Cosan V2_Relatório Diário - Cezário 08Jan" xfId="16006"/>
    <cellStyle name="s_Valuation _DB Dados do Mercado_Sistema Cosan V2_Relatório Diário - Cezário 08Jan 2" xfId="16007"/>
    <cellStyle name="s_Valuation _DB Dados do Mercado_Sistema Cosan V2_Relatório Diário - Cezário 08Jan 2_15-FINANCEIRAS" xfId="16008"/>
    <cellStyle name="s_Valuation _DB Dados do Mercado_Sistema Cosan V2_Relatório Diário - Cezário 08Jan_15-FINANCEIRAS" xfId="16009"/>
    <cellStyle name="s_Valuation _DB Dados do Mercado_Sistema Cosan V2_Relatório Diário - Cezário 08Jan_15-FINANCEIRAS_1" xfId="16010"/>
    <cellStyle name="s_Valuation _DB Dados do Mercado_Sistema Cosan V2_Relatório Diário - Cezário 08Jan_3-Balanço" xfId="16011"/>
    <cellStyle name="s_Valuation _DB Dados do Mercado_Sistema Cosan V2_Relatório Diário - Cezário 08Jan_7-Estoque" xfId="16012"/>
    <cellStyle name="s_Valuation _DB Dados do Mercado_Sistema Cosan V2_Relatório Diário - Cezário 08Jan_Relatório Gerencial" xfId="16013"/>
    <cellStyle name="s_Valuation _DB Dados do Mercado_Sistema Cosan V2_Relatório Diário - Cezário 08Jan_Relatório Gerencial 2" xfId="16014"/>
    <cellStyle name="s_Valuation _DB Dados do Mercado_Sistema Cosan V2_Relatório Diário - Cezário 08Jan_Relatório Gerencial 2_15-FINANCEIRAS" xfId="16015"/>
    <cellStyle name="s_Valuation _DB Dados do Mercado_Sistema Cosan V2_Relatório Diário - Cezário 08Jan_Relatório Gerencial_15-FINANCEIRAS" xfId="16016"/>
    <cellStyle name="s_Valuation _DB Dados do Mercado_Sistema Cosan V2_Relatório Diário - Cezário 08Jan_Relatório Gerencial_15-FINANCEIRAS_1" xfId="16017"/>
    <cellStyle name="s_Valuation _DB Dados do Mercado_Sistema Cosan V2_Relatório Diário - Cezário 08Jan_Relatório Gerencial_3-Balanço" xfId="16018"/>
    <cellStyle name="s_Valuation _DB Dados do Mercado_Sistema Cosan V2_Relatório Diário - Cezário 08Jan_Relatório Gerencial_7-Estoque" xfId="16019"/>
    <cellStyle name="s_Valuation _DB Dados do Mercado_Sistema Cosan V2_Relatório Diário - CezárioV2" xfId="16020"/>
    <cellStyle name="s_Valuation _DB Dados do Mercado_Sistema Cosan V2_Relatório Diário - CezárioV2 2" xfId="16021"/>
    <cellStyle name="s_Valuation _DB Dados do Mercado_Sistema Cosan V2_Relatório Diário - CezárioV2 2_15-FINANCEIRAS" xfId="16022"/>
    <cellStyle name="s_Valuation _DB Dados do Mercado_Sistema Cosan V2_Relatório Diário - CezárioV2_15-FINANCEIRAS" xfId="16023"/>
    <cellStyle name="s_Valuation _DB Dados do Mercado_Sistema Cosan V2_Relatório Diário - CezárioV2_15-FINANCEIRAS_1" xfId="16024"/>
    <cellStyle name="s_Valuation _DB Dados do Mercado_Sistema Cosan V2_Relatório Diário - CezárioV2_3-Balanço" xfId="16025"/>
    <cellStyle name="s_Valuation _DB Dados do Mercado_Sistema Cosan V2_Relatório Diário - CezárioV2_7-Estoque" xfId="16026"/>
    <cellStyle name="s_Valuation _DB Dados do Mercado_Sistema Cosan V2_Relatório Diário - CezárioV2_Relatório Gerencial" xfId="16027"/>
    <cellStyle name="s_Valuation _DB Dados do Mercado_Sistema Cosan V2_Relatório Diário - CezárioV2_Relatório Gerencial 2" xfId="16028"/>
    <cellStyle name="s_Valuation _DB Dados do Mercado_Sistema Cosan V2_Relatório Diário - CezárioV2_Relatório Gerencial 2_15-FINANCEIRAS" xfId="16029"/>
    <cellStyle name="s_Valuation _DB Dados do Mercado_Sistema Cosan V2_Relatório Diário - CezárioV2_Relatório Gerencial_15-FINANCEIRAS" xfId="16030"/>
    <cellStyle name="s_Valuation _DB Dados do Mercado_Sistema Cosan V2_Relatório Diário - CezárioV2_Relatório Gerencial_15-FINANCEIRAS_1" xfId="16031"/>
    <cellStyle name="s_Valuation _DB Dados do Mercado_Sistema Cosan V2_Relatório Diário - CezárioV2_Relatório Gerencial_3-Balanço" xfId="16032"/>
    <cellStyle name="s_Valuation _DB Dados do Mercado_Sistema Cosan V2_Relatório Diário - CezárioV2_Relatório Gerencial_7-Estoque" xfId="16033"/>
    <cellStyle name="s_Valuation _DB Dados do Mercado_Sistema Cosan V2_Relatório Diário 2" xfId="16034"/>
    <cellStyle name="s_Valuation _DB Dados do Mercado_Sistema Cosan V2_Relatório Diário 2_15-FINANCEIRAS" xfId="16035"/>
    <cellStyle name="s_Valuation _DB Dados do Mercado_Sistema Cosan V2_Relatório Diário 3" xfId="16036"/>
    <cellStyle name="s_Valuation _DB Dados do Mercado_Sistema Cosan V2_Relatório Diário 3_15-FINANCEIRAS" xfId="16037"/>
    <cellStyle name="s_Valuation _DB Dados do Mercado_Sistema Cosan V2_Relatório Diário 4" xfId="16038"/>
    <cellStyle name="s_Valuation _DB Dados do Mercado_Sistema Cosan V2_Relatório Diário 4_15-FINANCEIRAS" xfId="16039"/>
    <cellStyle name="s_Valuation _DB Dados do Mercado_Sistema Cosan V2_Relatório Diário_15-FINANCEIRAS" xfId="16040"/>
    <cellStyle name="s_Valuation _DB Dados do Mercado_Sistema Cosan V2_Relatório Diário_15-FINANCEIRAS_1" xfId="16041"/>
    <cellStyle name="s_Valuation _DB Dados do Mercado_Sistema Cosan V2_Relatório Diário_3-Balanço" xfId="16042"/>
    <cellStyle name="s_Valuation _DB Dados do Mercado_Sistema Cosan V2_Relatório Diário_7-Estoque" xfId="16043"/>
    <cellStyle name="s_Valuation _DB Dados do Mercado_Sistema Cosan V2_Relatório Diário_Relatório Gerencial" xfId="16044"/>
    <cellStyle name="s_Valuation _DB Dados do Mercado_Sistema Cosan V2_Relatório Diário_Relatório Gerencial 2" xfId="16045"/>
    <cellStyle name="s_Valuation _DB Dados do Mercado_Sistema Cosan V2_Relatório Diário_Relatório Gerencial 2_15-FINANCEIRAS" xfId="16046"/>
    <cellStyle name="s_Valuation _DB Dados do Mercado_Sistema Cosan V2_Relatório Diário_Relatório Gerencial_15-FINANCEIRAS" xfId="16047"/>
    <cellStyle name="s_Valuation _DB Dados do Mercado_Sistema Cosan V2_Relatório Diário_Relatório Gerencial_15-FINANCEIRAS_1" xfId="16048"/>
    <cellStyle name="s_Valuation _DB Dados do Mercado_Sistema Cosan V2_Relatório Diário_Relatório Gerencial_3-Balanço" xfId="16049"/>
    <cellStyle name="s_Valuation _DB Dados do Mercado_Sistema Cosan V2_Relatório Diário_Relatório Gerencial_7-Estoque" xfId="16050"/>
    <cellStyle name="s_Valuation _DB Dados do Mercado_Sistema Cosan V2_Relatório Fechamento" xfId="16051"/>
    <cellStyle name="s_Valuation _DB Dados do Mercado_Sistema Cosan V2_Relatório Fechamento 2" xfId="16052"/>
    <cellStyle name="s_Valuation _DB Dados do Mercado_Sistema Cosan V2_Relatório Fechamento 2_15-FINANCEIRAS" xfId="16053"/>
    <cellStyle name="s_Valuation _DB Dados do Mercado_Sistema Cosan V2_Relatório Fechamento_15-FINANCEIRAS" xfId="16054"/>
    <cellStyle name="s_Valuation _DB Dados do Mercado_Sistema Cosan V2_Relatório Fechamento_15-FINANCEIRAS_1" xfId="16055"/>
    <cellStyle name="s_Valuation _DB Dados do Mercado_Sistema Cosan V2_Relatório Fechamento_3-Balanço" xfId="16056"/>
    <cellStyle name="s_Valuation _DB Dados do Mercado_Sistema Cosan V2_Relatório Fechamento_7-Estoque" xfId="16057"/>
    <cellStyle name="s_Valuation _DB Dados do Mercado_Sistema Cosan V2_Relatório Fechamento_Relatório Gerencial" xfId="16058"/>
    <cellStyle name="s_Valuation _DB Dados do Mercado_Sistema Cosan V2_Relatório Fechamento_Relatório Gerencial 2" xfId="16059"/>
    <cellStyle name="s_Valuation _DB Dados do Mercado_Sistema Cosan V2_Relatório Fechamento_Relatório Gerencial 2_15-FINANCEIRAS" xfId="16060"/>
    <cellStyle name="s_Valuation _DB Dados do Mercado_Sistema Cosan V2_Relatório Fechamento_Relatório Gerencial_15-FINANCEIRAS" xfId="16061"/>
    <cellStyle name="s_Valuation _DB Dados do Mercado_Sistema Cosan V2_Relatório Fechamento_Relatório Gerencial_15-FINANCEIRAS_1" xfId="16062"/>
    <cellStyle name="s_Valuation _DB Dados do Mercado_Sistema Cosan V2_Relatório Fechamento_Relatório Gerencial_3-Balanço" xfId="16063"/>
    <cellStyle name="s_Valuation _DB Dados do Mercado_Sistema Cosan V2_Relatório Fechamento_Relatório Gerencial_7-Estoque" xfId="16064"/>
    <cellStyle name="s_Valuation _DB Dados do Mercado_Sistema Cosan V2_Relatório Gerencial" xfId="16065"/>
    <cellStyle name="s_Valuation _DB Dados do Mercado_Sistema Cosan V2_Relatório Gerencial 2" xfId="16066"/>
    <cellStyle name="s_Valuation _DB Dados do Mercado_Sistema Cosan V2_Relatório Gerencial 2_15-FINANCEIRAS" xfId="16067"/>
    <cellStyle name="s_Valuation _DB Dados do Mercado_Sistema Cosan V2_Relatório Gerencial_1" xfId="16068"/>
    <cellStyle name="s_Valuation _DB Dados do Mercado_Sistema Cosan V2_Relatório Gerencial_1 2" xfId="16069"/>
    <cellStyle name="s_Valuation _DB Dados do Mercado_Sistema Cosan V2_Relatório Gerencial_1 2_15-FINANCEIRAS" xfId="16070"/>
    <cellStyle name="s_Valuation _DB Dados do Mercado_Sistema Cosan V2_Relatório Gerencial_1_15-FINANCEIRAS" xfId="16071"/>
    <cellStyle name="s_Valuation _DB Dados do Mercado_Sistema Cosan V2_Relatório Gerencial_1_15-FINANCEIRAS_1" xfId="16072"/>
    <cellStyle name="s_Valuation _DB Dados do Mercado_Sistema Cosan V2_Relatório Gerencial_1_3-Balanço" xfId="16073"/>
    <cellStyle name="s_Valuation _DB Dados do Mercado_Sistema Cosan V2_Relatório Gerencial_1_7-Estoque" xfId="16074"/>
    <cellStyle name="s_Valuation _DB Dados do Mercado_Sistema Cosan V2_Relatório Gerencial_15-FINANCEIRAS" xfId="16075"/>
    <cellStyle name="s_Valuation _DB Dados do Mercado_Sistema Cosan V2_Relatório Gerencial_15-FINANCEIRAS_1" xfId="16076"/>
    <cellStyle name="s_Valuation _DB Dados do Mercado_Sistema Cosan V2_Relatório Gerencial_3-Balanço" xfId="16077"/>
    <cellStyle name="s_Valuation _DB Dados do Mercado_Sistema Cosan V2_Relatório Gerencial_7-Estoque" xfId="16078"/>
    <cellStyle name="s_Valuation _DB Dados do Mercado_Sistema Cosan V2_Relatório Gerencial_Relatório Gerencial" xfId="16079"/>
    <cellStyle name="s_Valuation _DB Dados do Mercado_Sistema Cosan V2_Relatório Gerencial_Relatório Gerencial 2" xfId="16080"/>
    <cellStyle name="s_Valuation _DB Dados do Mercado_Sistema Cosan V2_Relatório Gerencial_Relatório Gerencial 2_15-FINANCEIRAS" xfId="16081"/>
    <cellStyle name="s_Valuation _DB Dados do Mercado_Sistema Cosan V2_Relatório Gerencial_Relatório Gerencial_15-FINANCEIRAS" xfId="16082"/>
    <cellStyle name="s_Valuation _DB Dados do Mercado_Sistema Cosan V2_Relatório Gerencial_Relatório Gerencial_15-FINANCEIRAS_1" xfId="16083"/>
    <cellStyle name="s_Valuation _DB Dados do Mercado_Sistema Cosan V2_Relatório Gerencial_Relatório Gerencial_3-Balanço" xfId="16084"/>
    <cellStyle name="s_Valuation _DB Dados do Mercado_Sistema Cosan V2_Relatório Gerencial_Relatório Gerencial_7-Estoque" xfId="16085"/>
    <cellStyle name="s_Valuation _DB Dados do Mercado_Sistema Cosan V2_relatorio_15-FINANCEIRAS" xfId="16086"/>
    <cellStyle name="s_Valuation _DB Dados do Mercado_Sistema Cosan V2_relatorio_15-FINANCEIRAS_1" xfId="16087"/>
    <cellStyle name="s_Valuation _DB Dados do Mercado_Sistema Cosan V2_relatorio_3-Balanço" xfId="16088"/>
    <cellStyle name="s_Valuation _DB Dados do Mercado_Sistema Cosan V2_relatorio_7-Estoque" xfId="16089"/>
    <cellStyle name="s_Valuation _DB Dados do Mercado_Sistema Cosan V2_relatorio_Relatório Gerencial" xfId="16090"/>
    <cellStyle name="s_Valuation _DB Dados do Mercado_Sistema Cosan V2_relatorio_Relatório Gerencial 2" xfId="16091"/>
    <cellStyle name="s_Valuation _DB Dados do Mercado_Sistema Cosan V2_relatorio_Relatório Gerencial 2_15-FINANCEIRAS" xfId="16092"/>
    <cellStyle name="s_Valuation _DB Dados do Mercado_Sistema Cosan V2_relatorio_Relatório Gerencial_15-FINANCEIRAS" xfId="16093"/>
    <cellStyle name="s_Valuation _DB Dados do Mercado_Sistema Cosan V2_relatorio_Relatório Gerencial_15-FINANCEIRAS_1" xfId="16094"/>
    <cellStyle name="s_Valuation _DB Dados do Mercado_Sistema Cosan V2_relatorio_Relatório Gerencial_3-Balanço" xfId="16095"/>
    <cellStyle name="s_Valuation _DB Dados do Mercado_Sistema Cosan V2_relatorio_Relatório Gerencial_7-Estoque" xfId="16096"/>
    <cellStyle name="s_Valuation _DB Dados do Mercado_Sistema Cosan V2_segregado" xfId="16097"/>
    <cellStyle name="s_Valuation _DB Dados do Mercado_Sistema Cosan V2_segregado 2" xfId="16098"/>
    <cellStyle name="s_Valuation _DB Dados do Mercado_Sistema Cosan V2_segregado 2_15-FINANCEIRAS" xfId="16099"/>
    <cellStyle name="s_Valuation _DB Dados do Mercado_Sistema Cosan V2_segregado_15-FINANCEIRAS" xfId="16100"/>
    <cellStyle name="s_Valuation _DB Dados do Mercado_Sistema Cosan V2_segregado_15-FINANCEIRAS_1" xfId="16101"/>
    <cellStyle name="s_Valuation _DB Dados do Mercado_Sistema Cosan V2_segregado_3-Balanço" xfId="16102"/>
    <cellStyle name="s_Valuation _DB Dados do Mercado_Sistema Cosan V2_segregado_7-Estoque" xfId="16103"/>
    <cellStyle name="s_Valuation _DB Dados do Mercado_Sistema Cosan V2_segregado_Relatório Gerencial" xfId="16104"/>
    <cellStyle name="s_Valuation _DB Dados do Mercado_Sistema Cosan V2_segregado_Relatório Gerencial 2" xfId="16105"/>
    <cellStyle name="s_Valuation _DB Dados do Mercado_Sistema Cosan V2_segregado_Relatório Gerencial 2_15-FINANCEIRAS" xfId="16106"/>
    <cellStyle name="s_Valuation _DB Dados do Mercado_Sistema Cosan V2_segregado_Relatório Gerencial_15-FINANCEIRAS" xfId="16107"/>
    <cellStyle name="s_Valuation _DB Dados do Mercado_Sistema Cosan V2_segregado_Relatório Gerencial_15-FINANCEIRAS_1" xfId="16108"/>
    <cellStyle name="s_Valuation _DB Dados do Mercado_Sistema Cosan V2_segregado_Relatório Gerencial_3-Balanço" xfId="16109"/>
    <cellStyle name="s_Valuation _DB Dados do Mercado_Sistema Cosan V2_segregado_Relatório Gerencial_7-Estoque" xfId="16110"/>
    <cellStyle name="s_Valuation _DB Dados do Mercado_Sistema Cosan V2_Sistema Cosan" xfId="16111"/>
    <cellStyle name="s_Valuation _DB Dados do Mercado_Sistema Cosan V2_Sistema Cosan 2" xfId="16112"/>
    <cellStyle name="s_Valuation _DB Dados do Mercado_Sistema Cosan V2_Sistema Cosan 2_15-FINANCEIRAS" xfId="16113"/>
    <cellStyle name="s_Valuation _DB Dados do Mercado_Sistema Cosan V2_Sistema Cosan backup 103 Retirada de relatorios" xfId="16114"/>
    <cellStyle name="s_Valuation _DB Dados do Mercado_Sistema Cosan V2_Sistema Cosan backup 103 Retirada de relatorios 2" xfId="16115"/>
    <cellStyle name="s_Valuation _DB Dados do Mercado_Sistema Cosan V2_Sistema Cosan backup 103 Retirada de relatorios 2_15-FINANCEIRAS" xfId="16116"/>
    <cellStyle name="s_Valuation _DB Dados do Mercado_Sistema Cosan V2_Sistema Cosan backup 103 Retirada de relatorios_15-FINANCEIRAS" xfId="16117"/>
    <cellStyle name="s_Valuation _DB Dados do Mercado_Sistema Cosan V2_Sistema Cosan backup 103 Retirada de relatorios_15-FINANCEIRAS_1" xfId="16118"/>
    <cellStyle name="s_Valuation _DB Dados do Mercado_Sistema Cosan V2_Sistema Cosan backup 103 Retirada de relatorios_3-Balanço" xfId="16119"/>
    <cellStyle name="s_Valuation _DB Dados do Mercado_Sistema Cosan V2_Sistema Cosan backup 103 Retirada de relatorios_7-Estoque" xfId="16120"/>
    <cellStyle name="s_Valuation _DB Dados do Mercado_Sistema Cosan V2_Sistema Cosan_15-FINANCEIRAS" xfId="16121"/>
    <cellStyle name="s_Valuation _DB Dados do Mercado_Sistema Cosan V2_Sistema Cosan_15-FINANCEIRAS_1" xfId="16122"/>
    <cellStyle name="s_Valuation _DB Dados do Mercado_Sistema Cosan V2_Sistema Cosan_3-Balanço" xfId="16123"/>
    <cellStyle name="s_Valuation _DB Dados do Mercado_Sistema Cosan V2_Sistema Cosan_7-Estoque" xfId="16124"/>
    <cellStyle name="s_Valuation _DB Dados do Mercado_Sistema Cosan V2_Sistema Cosan_Relatório Gerencial" xfId="16125"/>
    <cellStyle name="s_Valuation _DB Dados do Mercado_Sistema Cosan V2_Sistema Cosan_Relatório Gerencial 2" xfId="16126"/>
    <cellStyle name="s_Valuation _DB Dados do Mercado_Sistema Cosan V2_Sistema Cosan_Relatório Gerencial 2_15-FINANCEIRAS" xfId="16127"/>
    <cellStyle name="s_Valuation _DB Dados do Mercado_Sistema Cosan V2_Sistema Cosan_Relatório Gerencial_15-FINANCEIRAS" xfId="16128"/>
    <cellStyle name="s_Valuation _DB Dados do Mercado_Sistema Cosan V2_Sistema Cosan_Relatório Gerencial_15-FINANCEIRAS_1" xfId="16129"/>
    <cellStyle name="s_Valuation _DB Dados do Mercado_Sistema Cosan V2_Sistema Cosan_Relatório Gerencial_3-Balanço" xfId="16130"/>
    <cellStyle name="s_Valuation _DB Dados do Mercado_Sistema Cosan V2_Sistema Cosan_Relatório Gerencial_7-Estoque" xfId="16131"/>
    <cellStyle name="s_Valuation _DB Dados do Mercado_Sistema Cosan V2_Sucden Uk Sugar #11 +10%" xfId="16132"/>
    <cellStyle name="s_Valuation _DB Dados do Mercado_Sistema Cosan V2_Sucden Uk Sugar #11 +10% 2" xfId="16133"/>
    <cellStyle name="s_Valuation _DB Dados do Mercado_Sistema Cosan V2_Sucden Uk Sugar #11 +10% 2_15-FINANCEIRAS" xfId="16134"/>
    <cellStyle name="s_Valuation _DB Dados do Mercado_Sistema Cosan V2_Sucden Uk Sugar #11 +10%_15-FINANCEIRAS" xfId="16135"/>
    <cellStyle name="s_Valuation _DB Dados do Mercado_Sistema Cosan V2_Sucden Uk Sugar #11 +10%_15-FINANCEIRAS_1" xfId="16136"/>
    <cellStyle name="s_Valuation _DB Dados do Mercado_Sistema Cosan V2_Sucden Uk Sugar #11 +10%_3-Balanço" xfId="16137"/>
    <cellStyle name="s_Valuation _DB Dados do Mercado_Sistema Cosan V2_Sucden Uk Sugar #11 +10%_7-Estoque" xfId="16138"/>
    <cellStyle name="s_Valuation _DB Dados do Mercado_Sistema Cosan V2_Sucden Uk Sugar #11 +10%_Relatório Gerencial" xfId="16139"/>
    <cellStyle name="s_Valuation _DB Dados do Mercado_Sistema Cosan V2_Sucden Uk Sugar #11 +10%_Relatório Gerencial 2" xfId="16140"/>
    <cellStyle name="s_Valuation _DB Dados do Mercado_Sistema Cosan V2_Sucden Uk Sugar #11 +10%_Relatório Gerencial 2_15-FINANCEIRAS" xfId="16141"/>
    <cellStyle name="s_Valuation _DB Dados do Mercado_Sistema Cosan V2_Sucden Uk Sugar #11 +10%_Relatório Gerencial_15-FINANCEIRAS" xfId="16142"/>
    <cellStyle name="s_Valuation _DB Dados do Mercado_Sistema Cosan V2_Sucden Uk Sugar #11 +10%_Relatório Gerencial_15-FINANCEIRAS_1" xfId="16143"/>
    <cellStyle name="s_Valuation _DB Dados do Mercado_Sistema Cosan V2_Sucden Uk Sugar #11 +10%_Relatório Gerencial_3-Balanço" xfId="16144"/>
    <cellStyle name="s_Valuation _DB Dados do Mercado_Sistema Cosan V2_Sucden Uk Sugar #11 +10%_Relatório Gerencial_7-Estoque" xfId="16145"/>
    <cellStyle name="s_Valuation _DB Dados do Mercado_Sistema Cosan V2_Sugar #11" xfId="16146"/>
    <cellStyle name="s_Valuation _DB Dados do Mercado_Sistema Cosan V2_Sugar #11 (2)" xfId="16147"/>
    <cellStyle name="s_Valuation _DB Dados do Mercado_Sistema Cosan V2_Sugar #11 (2) 2" xfId="16148"/>
    <cellStyle name="s_Valuation _DB Dados do Mercado_Sistema Cosan V2_Sugar #11 (2) 2_15-FINANCEIRAS" xfId="16149"/>
    <cellStyle name="s_Valuation _DB Dados do Mercado_Sistema Cosan V2_Sugar #11 (2)_15-FINANCEIRAS" xfId="16150"/>
    <cellStyle name="s_Valuation _DB Dados do Mercado_Sistema Cosan V2_Sugar #11 (2)_15-FINANCEIRAS_1" xfId="16151"/>
    <cellStyle name="s_Valuation _DB Dados do Mercado_Sistema Cosan V2_Sugar #11 (2)_3-Balanço" xfId="16152"/>
    <cellStyle name="s_Valuation _DB Dados do Mercado_Sistema Cosan V2_Sugar #11 (2)_7-Estoque" xfId="16153"/>
    <cellStyle name="s_Valuation _DB Dados do Mercado_Sistema Cosan V2_Sugar #11 (2)_Relatório Gerencial" xfId="16154"/>
    <cellStyle name="s_Valuation _DB Dados do Mercado_Sistema Cosan V2_Sugar #11 (2)_Relatório Gerencial 2" xfId="16155"/>
    <cellStyle name="s_Valuation _DB Dados do Mercado_Sistema Cosan V2_Sugar #11 (2)_Relatório Gerencial 2_15-FINANCEIRAS" xfId="16156"/>
    <cellStyle name="s_Valuation _DB Dados do Mercado_Sistema Cosan V2_Sugar #11 (2)_Relatório Gerencial_15-FINANCEIRAS" xfId="16157"/>
    <cellStyle name="s_Valuation _DB Dados do Mercado_Sistema Cosan V2_Sugar #11 (2)_Relatório Gerencial_15-FINANCEIRAS_1" xfId="16158"/>
    <cellStyle name="s_Valuation _DB Dados do Mercado_Sistema Cosan V2_Sugar #11 (2)_Relatório Gerencial_3-Balanço" xfId="16159"/>
    <cellStyle name="s_Valuation _DB Dados do Mercado_Sistema Cosan V2_Sugar #11 (2)_Relatório Gerencial_7-Estoque" xfId="16160"/>
    <cellStyle name="s_Valuation _DB Dados do Mercado_Sistema Cosan V2_Sugar #11 (3)" xfId="16161"/>
    <cellStyle name="s_Valuation _DB Dados do Mercado_Sistema Cosan V2_Sugar #11 (3) 2" xfId="16162"/>
    <cellStyle name="s_Valuation _DB Dados do Mercado_Sistema Cosan V2_Sugar #11 (3) 2_15-FINANCEIRAS" xfId="16163"/>
    <cellStyle name="s_Valuation _DB Dados do Mercado_Sistema Cosan V2_Sugar #11 (3)_15-FINANCEIRAS" xfId="16164"/>
    <cellStyle name="s_Valuation _DB Dados do Mercado_Sistema Cosan V2_Sugar #11 (3)_15-FINANCEIRAS_1" xfId="16165"/>
    <cellStyle name="s_Valuation _DB Dados do Mercado_Sistema Cosan V2_Sugar #11 (3)_3-Balanço" xfId="16166"/>
    <cellStyle name="s_Valuation _DB Dados do Mercado_Sistema Cosan V2_Sugar #11 (3)_7-Estoque" xfId="16167"/>
    <cellStyle name="s_Valuation _DB Dados do Mercado_Sistema Cosan V2_Sugar #11 (3)_Relatório Gerencial" xfId="16168"/>
    <cellStyle name="s_Valuation _DB Dados do Mercado_Sistema Cosan V2_Sugar #11 (3)_Relatório Gerencial 2" xfId="16169"/>
    <cellStyle name="s_Valuation _DB Dados do Mercado_Sistema Cosan V2_Sugar #11 (3)_Relatório Gerencial 2_15-FINANCEIRAS" xfId="16170"/>
    <cellStyle name="s_Valuation _DB Dados do Mercado_Sistema Cosan V2_Sugar #11 (3)_Relatório Gerencial_15-FINANCEIRAS" xfId="16171"/>
    <cellStyle name="s_Valuation _DB Dados do Mercado_Sistema Cosan V2_Sugar #11 (3)_Relatório Gerencial_15-FINANCEIRAS_1" xfId="16172"/>
    <cellStyle name="s_Valuation _DB Dados do Mercado_Sistema Cosan V2_Sugar #11 (3)_Relatório Gerencial_3-Balanço" xfId="16173"/>
    <cellStyle name="s_Valuation _DB Dados do Mercado_Sistema Cosan V2_Sugar #11 (3)_Relatório Gerencial_7-Estoque" xfId="16174"/>
    <cellStyle name="s_Valuation _DB Dados do Mercado_Sistema Cosan V2_Sugar #11 2" xfId="16175"/>
    <cellStyle name="s_Valuation _DB Dados do Mercado_Sistema Cosan V2_Sugar #11 2_15-FINANCEIRAS" xfId="16176"/>
    <cellStyle name="s_Valuation _DB Dados do Mercado_Sistema Cosan V2_Sugar #11 3" xfId="16177"/>
    <cellStyle name="s_Valuation _DB Dados do Mercado_Sistema Cosan V2_Sugar #11 3_15-FINANCEIRAS" xfId="16178"/>
    <cellStyle name="s_Valuation _DB Dados do Mercado_Sistema Cosan V2_Sugar #11 4" xfId="16179"/>
    <cellStyle name="s_Valuation _DB Dados do Mercado_Sistema Cosan V2_Sugar #11 4_15-FINANCEIRAS" xfId="16180"/>
    <cellStyle name="s_Valuation _DB Dados do Mercado_Sistema Cosan V2_Sugar #11_15-FINANCEIRAS" xfId="16181"/>
    <cellStyle name="s_Valuation _DB Dados do Mercado_Sistema Cosan V2_Sugar #11_15-FINANCEIRAS_1" xfId="16182"/>
    <cellStyle name="s_Valuation _DB Dados do Mercado_Sistema Cosan V2_Sugar #11_3-Balanço" xfId="16183"/>
    <cellStyle name="s_Valuation _DB Dados do Mercado_Sistema Cosan V2_Sugar #11_7-Estoque" xfId="16184"/>
    <cellStyle name="s_Valuation _DB Dados do Mercado_Sistema Cosan V2_Sugar #11_Relatório Gerencial" xfId="16185"/>
    <cellStyle name="s_Valuation _DB Dados do Mercado_Sistema Cosan V2_Sugar #11_Relatório Gerencial 2" xfId="16186"/>
    <cellStyle name="s_Valuation _DB Dados do Mercado_Sistema Cosan V2_Sugar #11_Relatório Gerencial 2_15-FINANCEIRAS" xfId="16187"/>
    <cellStyle name="s_Valuation _DB Dados do Mercado_Sistema Cosan V2_Sugar #11_Relatório Gerencial_15-FINANCEIRAS" xfId="16188"/>
    <cellStyle name="s_Valuation _DB Dados do Mercado_Sistema Cosan V2_Sugar #11_Relatório Gerencial_15-FINANCEIRAS_1" xfId="16189"/>
    <cellStyle name="s_Valuation _DB Dados do Mercado_Sistema Cosan V2_Sugar #11_Relatório Gerencial_3-Balanço" xfId="16190"/>
    <cellStyle name="s_Valuation _DB Dados do Mercado_Sistema Cosan V2_Sugar #11_Relatório Gerencial_7-Estoque" xfId="16191"/>
    <cellStyle name="s_Valuation _DB Dados do Mercado_Sistema Cosan V2_Sugar #5" xfId="16192"/>
    <cellStyle name="s_Valuation _DB Dados do Mercado_Sistema Cosan V2_Sugar #5 (2)" xfId="16193"/>
    <cellStyle name="s_Valuation _DB Dados do Mercado_Sistema Cosan V2_Sugar #5 (2) 2" xfId="16194"/>
    <cellStyle name="s_Valuation _DB Dados do Mercado_Sistema Cosan V2_Sugar #5 (2) 2_15-FINANCEIRAS" xfId="16195"/>
    <cellStyle name="s_Valuation _DB Dados do Mercado_Sistema Cosan V2_Sugar #5 (2)_15-FINANCEIRAS" xfId="16196"/>
    <cellStyle name="s_Valuation _DB Dados do Mercado_Sistema Cosan V2_Sugar #5 (2)_15-FINANCEIRAS_1" xfId="16197"/>
    <cellStyle name="s_Valuation _DB Dados do Mercado_Sistema Cosan V2_Sugar #5 (2)_3-Balanço" xfId="16198"/>
    <cellStyle name="s_Valuation _DB Dados do Mercado_Sistema Cosan V2_Sugar #5 (2)_7-Estoque" xfId="16199"/>
    <cellStyle name="s_Valuation _DB Dados do Mercado_Sistema Cosan V2_Sugar #5 (2)_Relatório Gerencial" xfId="16200"/>
    <cellStyle name="s_Valuation _DB Dados do Mercado_Sistema Cosan V2_Sugar #5 (2)_Relatório Gerencial 2" xfId="16201"/>
    <cellStyle name="s_Valuation _DB Dados do Mercado_Sistema Cosan V2_Sugar #5 (2)_Relatório Gerencial 2_15-FINANCEIRAS" xfId="16202"/>
    <cellStyle name="s_Valuation _DB Dados do Mercado_Sistema Cosan V2_Sugar #5 (2)_Relatório Gerencial_15-FINANCEIRAS" xfId="16203"/>
    <cellStyle name="s_Valuation _DB Dados do Mercado_Sistema Cosan V2_Sugar #5 (2)_Relatório Gerencial_15-FINANCEIRAS_1" xfId="16204"/>
    <cellStyle name="s_Valuation _DB Dados do Mercado_Sistema Cosan V2_Sugar #5 (2)_Relatório Gerencial_3-Balanço" xfId="16205"/>
    <cellStyle name="s_Valuation _DB Dados do Mercado_Sistema Cosan V2_Sugar #5 (2)_Relatório Gerencial_7-Estoque" xfId="16206"/>
    <cellStyle name="s_Valuation _DB Dados do Mercado_Sistema Cosan V2_Sugar #5 2" xfId="16207"/>
    <cellStyle name="s_Valuation _DB Dados do Mercado_Sistema Cosan V2_Sugar #5 2_15-FINANCEIRAS" xfId="16208"/>
    <cellStyle name="s_Valuation _DB Dados do Mercado_Sistema Cosan V2_Sugar #5 3" xfId="16209"/>
    <cellStyle name="s_Valuation _DB Dados do Mercado_Sistema Cosan V2_Sugar #5 3_15-FINANCEIRAS" xfId="16210"/>
    <cellStyle name="s_Valuation _DB Dados do Mercado_Sistema Cosan V2_Sugar #5 4" xfId="16211"/>
    <cellStyle name="s_Valuation _DB Dados do Mercado_Sistema Cosan V2_Sugar #5 4_15-FINANCEIRAS" xfId="16212"/>
    <cellStyle name="s_Valuation _DB Dados do Mercado_Sistema Cosan V2_Sugar #5_15-FINANCEIRAS" xfId="16213"/>
    <cellStyle name="s_Valuation _DB Dados do Mercado_Sistema Cosan V2_Sugar #5_15-FINANCEIRAS_1" xfId="16214"/>
    <cellStyle name="s_Valuation _DB Dados do Mercado_Sistema Cosan V2_Sugar #5_3-Balanço" xfId="16215"/>
    <cellStyle name="s_Valuation _DB Dados do Mercado_Sistema Cosan V2_Sugar #5_7-Estoque" xfId="16216"/>
    <cellStyle name="s_Valuation _DB Dados do Mercado_Sistema Cosan V2_Sugar #5_Relatório Gerencial" xfId="16217"/>
    <cellStyle name="s_Valuation _DB Dados do Mercado_Sistema Cosan V2_Sugar #5_Relatório Gerencial 2" xfId="16218"/>
    <cellStyle name="s_Valuation _DB Dados do Mercado_Sistema Cosan V2_Sugar #5_Relatório Gerencial 2_15-FINANCEIRAS" xfId="16219"/>
    <cellStyle name="s_Valuation _DB Dados do Mercado_Sistema Cosan V2_Sugar #5_Relatório Gerencial_15-FINANCEIRAS" xfId="16220"/>
    <cellStyle name="s_Valuation _DB Dados do Mercado_Sistema Cosan V2_Sugar #5_Relatório Gerencial_15-FINANCEIRAS_1" xfId="16221"/>
    <cellStyle name="s_Valuation _DB Dados do Mercado_Sistema Cosan V2_Sugar #5_Relatório Gerencial_3-Balanço" xfId="16222"/>
    <cellStyle name="s_Valuation _DB Dados do Mercado_Sistema Cosan V2_Sugar #5_Relatório Gerencial_7-Estoque" xfId="16223"/>
    <cellStyle name="s_Valuation _DB Dados do Mercado_Sistema Cosan V2_YTD" xfId="16224"/>
    <cellStyle name="s_Valuation _DB Dados do Mercado_Sistema Cosan V2_YTD 2" xfId="16225"/>
    <cellStyle name="s_Valuation _DB Dados do Mercado_Sistema Cosan V2_YTD 2_15-FINANCEIRAS" xfId="16226"/>
    <cellStyle name="s_Valuation _DB Dados do Mercado_Sistema Cosan V2_YTD_15-FINANCEIRAS" xfId="16227"/>
    <cellStyle name="s_Valuation _DB Dados do Mercado_Sistema Cosan V2_YTD_15-FINANCEIRAS_1" xfId="16228"/>
    <cellStyle name="s_Valuation _DB Dados do Mercado_Sistema Cosan V2_YTD_3-Balanço" xfId="16229"/>
    <cellStyle name="s_Valuation _DB Dados do Mercado_Sistema Cosan V2_YTD_7-Estoque" xfId="16230"/>
    <cellStyle name="s_Valuation _DB Dados do Mercado_Sistema Cosan V2_YTD_Relatório Gerencial" xfId="16231"/>
    <cellStyle name="s_Valuation _DB Dados do Mercado_Sistema Cosan V2_YTD_Relatório Gerencial 2" xfId="16232"/>
    <cellStyle name="s_Valuation _DB Dados do Mercado_Sistema Cosan V2_YTD_Relatório Gerencial 2_15-FINANCEIRAS" xfId="16233"/>
    <cellStyle name="s_Valuation _DB Dados do Mercado_Sistema Cosan V2_YTD_Relatório Gerencial_15-FINANCEIRAS" xfId="16234"/>
    <cellStyle name="s_Valuation _DB Dados do Mercado_Sistema Cosan V2_YTD_Relatório Gerencial_15-FINANCEIRAS_1" xfId="16235"/>
    <cellStyle name="s_Valuation _DB Dados do Mercado_Sistema Cosan V2_YTD_Relatório Gerencial_3-Balanço" xfId="16236"/>
    <cellStyle name="s_Valuation _DB Dados do Mercado_Sistema Cosan V2_YTD_Relatório Gerencial_7-Estoque" xfId="16237"/>
    <cellStyle name="s_Valuation _DB Dados do Mercado_Sistema Cosan_15-FINANCEIRAS" xfId="16238"/>
    <cellStyle name="s_Valuation _DB Dados do Mercado_Sistema Cosan_15-FINANCEIRAS_1" xfId="16239"/>
    <cellStyle name="s_Valuation _DB Dados do Mercado_Sistema Cosan_3-Balanço" xfId="16240"/>
    <cellStyle name="s_Valuation _DB Dados do Mercado_Sistema Cosan_7-Estoque" xfId="16241"/>
    <cellStyle name="s_Valuation _DB Dados do Mercado_Sistema Cosan_Relatório Gerencial" xfId="16242"/>
    <cellStyle name="s_Valuation _DB Dados do Mercado_Sistema Cosan_Relatório Gerencial 2" xfId="16243"/>
    <cellStyle name="s_Valuation _DB Dados do Mercado_Sistema Cosan_Relatório Gerencial 2_15-FINANCEIRAS" xfId="16244"/>
    <cellStyle name="s_Valuation _DB Dados do Mercado_Sistema Cosan_Relatório Gerencial_15-FINANCEIRAS" xfId="16245"/>
    <cellStyle name="s_Valuation _DB Dados do Mercado_Sistema Cosan_Relatório Gerencial_15-FINANCEIRAS_1" xfId="16246"/>
    <cellStyle name="s_Valuation _DB Dados do Mercado_Sistema Cosan_Relatório Gerencial_3-Balanço" xfId="16247"/>
    <cellStyle name="s_Valuation _DB Dados do Mercado_Sistema Cosan_Relatório Gerencial_7-Estoque" xfId="16248"/>
    <cellStyle name="s_Valuation _DB Dados do Mercado_Sistema Cosan2" xfId="16249"/>
    <cellStyle name="s_Valuation _DB Dados do Mercado_Sistema Cosan2 2" xfId="16250"/>
    <cellStyle name="s_Valuation _DB Dados do Mercado_Sistema Cosan2 2_15-FINANCEIRAS" xfId="16251"/>
    <cellStyle name="s_Valuation _DB Dados do Mercado_Sistema Cosan2_15-FINANCEIRAS" xfId="16252"/>
    <cellStyle name="s_Valuation _DB Dados do Mercado_Sistema Cosan2_15-FINANCEIRAS_1" xfId="16253"/>
    <cellStyle name="s_Valuation _DB Dados do Mercado_Sistema Cosan2_3-Balanço" xfId="16254"/>
    <cellStyle name="s_Valuation _DB Dados do Mercado_Sistema Cosan2_7-Estoque" xfId="16255"/>
    <cellStyle name="s_Valuation _DB Dados do Mercado_Sistema Cosan2_Relatório Gerencial" xfId="16256"/>
    <cellStyle name="s_Valuation _DB Dados do Mercado_Sistema Cosan2_Relatório Gerencial 2" xfId="16257"/>
    <cellStyle name="s_Valuation _DB Dados do Mercado_Sistema Cosan2_Relatório Gerencial 2_15-FINANCEIRAS" xfId="16258"/>
    <cellStyle name="s_Valuation _DB Dados do Mercado_Sistema Cosan2_Relatório Gerencial_15-FINANCEIRAS" xfId="16259"/>
    <cellStyle name="s_Valuation _DB Dados do Mercado_Sistema Cosan2_Relatório Gerencial_15-FINANCEIRAS_1" xfId="16260"/>
    <cellStyle name="s_Valuation _DB Dados do Mercado_Sistema Cosan2_Relatório Gerencial_3-Balanço" xfId="16261"/>
    <cellStyle name="s_Valuation _DB Dados do Mercado_Sistema Cosan2_Relatório Gerencial_7-Estoque" xfId="16262"/>
    <cellStyle name="s_Valuation _desp" xfId="16263"/>
    <cellStyle name="s_Valuation _desp 2" xfId="16264"/>
    <cellStyle name="s_Valuation _desp 2_15-FINANCEIRAS" xfId="16265"/>
    <cellStyle name="s_Valuation _desp_15-FINANCEIRAS" xfId="16266"/>
    <cellStyle name="s_Valuation _desp_15-FINANCEIRAS_1" xfId="16267"/>
    <cellStyle name="s_Valuation _desp_3-Balanço" xfId="16268"/>
    <cellStyle name="s_Valuation _desp_3-Balanço 2" xfId="16269"/>
    <cellStyle name="s_Valuation _desp_3-Balanço 2_15-FINANCEIRAS" xfId="16270"/>
    <cellStyle name="s_Valuation _desp_3-Balanço_1" xfId="16271"/>
    <cellStyle name="s_Valuation _desp_3-Balanço_15-FINANCEIRAS" xfId="16272"/>
    <cellStyle name="s_Valuation _desp_3-Balanço_15-FINANCEIRAS_1" xfId="16273"/>
    <cellStyle name="s_Valuation _desp_3-Balanço_3-Balanço" xfId="16274"/>
    <cellStyle name="s_Valuation _desp_3-Balanço_7-Estoque" xfId="16275"/>
    <cellStyle name="s_Valuation _desp_7-Estoque" xfId="16276"/>
    <cellStyle name="s_Valuation _desp_Balanço" xfId="16277"/>
    <cellStyle name="s_Valuation _despesa fixa" xfId="16278"/>
    <cellStyle name="s_Valuation _despesa fixa 2" xfId="16279"/>
    <cellStyle name="s_Valuation _despesa fixa 2_15-FINANCEIRAS" xfId="16280"/>
    <cellStyle name="s_Valuation _despesa fixa_15-FINANCEIRAS" xfId="16281"/>
    <cellStyle name="s_Valuation _despesa fixa_15-FINANCEIRAS_1" xfId="16282"/>
    <cellStyle name="s_Valuation _despesa fixa_3-Balanço" xfId="16283"/>
    <cellStyle name="s_Valuation _despesa fixa_3-Balanço 2" xfId="16284"/>
    <cellStyle name="s_Valuation _despesa fixa_3-Balanço 2_15-FINANCEIRAS" xfId="16285"/>
    <cellStyle name="s_Valuation _despesa fixa_3-Balanço_1" xfId="16286"/>
    <cellStyle name="s_Valuation _despesa fixa_3-Balanço_15-FINANCEIRAS" xfId="16287"/>
    <cellStyle name="s_Valuation _despesa fixa_3-Balanço_15-FINANCEIRAS_1" xfId="16288"/>
    <cellStyle name="s_Valuation _despesa fixa_3-Balanço_3-Balanço" xfId="16289"/>
    <cellStyle name="s_Valuation _despesa fixa_3-Balanço_7-Estoque" xfId="16290"/>
    <cellStyle name="s_Valuation _despesa fixa_7-Estoque" xfId="16291"/>
    <cellStyle name="s_Valuation _despesa fixa_Balanço" xfId="16292"/>
    <cellStyle name="s_Valuation _Despesas ADM e COML (3)" xfId="16293"/>
    <cellStyle name="s_Valuation _Despesas ADM e COML (3) 2" xfId="16294"/>
    <cellStyle name="s_Valuation _Despesas ADM e COML (3) 2_15-FINANCEIRAS" xfId="16295"/>
    <cellStyle name="s_Valuation _Despesas ADM e COML (3)_1" xfId="16296"/>
    <cellStyle name="s_Valuation _Despesas ADM e COML (3)_1 2" xfId="16297"/>
    <cellStyle name="s_Valuation _Despesas ADM e COML (3)_1 2_15-FINANCEIRAS" xfId="16298"/>
    <cellStyle name="s_Valuation _Despesas ADM e COML (3)_1_15-FINANCEIRAS" xfId="16299"/>
    <cellStyle name="s_Valuation _Despesas ADM e COML (3)_1_15-FINANCEIRAS_1" xfId="16300"/>
    <cellStyle name="s_Valuation _Despesas ADM e COML (3)_1_3-Balanço" xfId="16301"/>
    <cellStyle name="s_Valuation _Despesas ADM e COML (3)_1_3-Balanço 2" xfId="16302"/>
    <cellStyle name="s_Valuation _Despesas ADM e COML (3)_1_3-Balanço 2_15-FINANCEIRAS" xfId="16303"/>
    <cellStyle name="s_Valuation _Despesas ADM e COML (3)_1_3-Balanço_1" xfId="16304"/>
    <cellStyle name="s_Valuation _Despesas ADM e COML (3)_1_3-Balanço_15-FINANCEIRAS" xfId="16305"/>
    <cellStyle name="s_Valuation _Despesas ADM e COML (3)_1_3-Balanço_15-FINANCEIRAS_1" xfId="16306"/>
    <cellStyle name="s_Valuation _Despesas ADM e COML (3)_1_3-Balanço_3-Balanço" xfId="16307"/>
    <cellStyle name="s_Valuation _Despesas ADM e COML (3)_1_3-Balanço_7-Estoque" xfId="16308"/>
    <cellStyle name="s_Valuation _Despesas ADM e COML (3)_1_7-Estoque" xfId="16309"/>
    <cellStyle name="s_Valuation _Despesas ADM e COML (3)_1_Balanço" xfId="16310"/>
    <cellStyle name="s_Valuation _Despesas ADM e COML (3)_1_Crédito PisCofins" xfId="16311"/>
    <cellStyle name="s_Valuation _Despesas ADM e COML (3)_1_Crédito PisCofins 2" xfId="16312"/>
    <cellStyle name="s_Valuation _Despesas ADM e COML (3)_1_Crédito PisCofins 2_15-FINANCEIRAS" xfId="16313"/>
    <cellStyle name="s_Valuation _Despesas ADM e COML (3)_1_Crédito PisCofins_15-FINANCEIRAS" xfId="16314"/>
    <cellStyle name="s_Valuation _Despesas ADM e COML (3)_1_Crédito PisCofins_15-FINANCEIRAS_1" xfId="16315"/>
    <cellStyle name="s_Valuation _Despesas ADM e COML (3)_1_Crédito PisCofins_3-Balanço" xfId="16316"/>
    <cellStyle name="s_Valuation _Despesas ADM e COML (3)_1_Crédito PisCofins_3-Balanço 2" xfId="16317"/>
    <cellStyle name="s_Valuation _Despesas ADM e COML (3)_1_Crédito PisCofins_3-Balanço 2_15-FINANCEIRAS" xfId="16318"/>
    <cellStyle name="s_Valuation _Despesas ADM e COML (3)_1_Crédito PisCofins_3-Balanço_1" xfId="16319"/>
    <cellStyle name="s_Valuation _Despesas ADM e COML (3)_1_Crédito PisCofins_3-Balanço_15-FINANCEIRAS" xfId="16320"/>
    <cellStyle name="s_Valuation _Despesas ADM e COML (3)_1_Crédito PisCofins_3-Balanço_15-FINANCEIRAS_1" xfId="16321"/>
    <cellStyle name="s_Valuation _Despesas ADM e COML (3)_1_Crédito PisCofins_3-Balanço_3-Balanço" xfId="16322"/>
    <cellStyle name="s_Valuation _Despesas ADM e COML (3)_1_Crédito PisCofins_3-Balanço_7-Estoque" xfId="16323"/>
    <cellStyle name="s_Valuation _Despesas ADM e COML (3)_1_Crédito PisCofins_7-Estoque" xfId="16324"/>
    <cellStyle name="s_Valuation _Despesas ADM e COML (3)_1_Crédito PisCofins_Balanço" xfId="16325"/>
    <cellStyle name="s_Valuation _Despesas ADM e COML (3)_1_Crédito PisCofins_CCL" xfId="16326"/>
    <cellStyle name="s_Valuation _Despesas ADM e COML (3)_1_Crédito PisCofins_CCL 2" xfId="16327"/>
    <cellStyle name="s_Valuation _Despesas ADM e COML (3)_1_Crédito PisCofins_CCL 2_15-FINANCEIRAS" xfId="16328"/>
    <cellStyle name="s_Valuation _Despesas ADM e COML (3)_1_Crédito PisCofins_CCL_15-FINANCEIRAS" xfId="16329"/>
    <cellStyle name="s_Valuation _Despesas ADM e COML (3)_1_Crédito PisCofins_CCL_15-FINANCEIRAS_1" xfId="16330"/>
    <cellStyle name="s_Valuation _Despesas ADM e COML (3)_1_Crédito PisCofins_CCL_3-Balanço" xfId="16331"/>
    <cellStyle name="s_Valuation _Despesas ADM e COML (3)_1_Crédito PisCofins_CCL_3-Balanço 2" xfId="16332"/>
    <cellStyle name="s_Valuation _Despesas ADM e COML (3)_1_Crédito PisCofins_CCL_3-Balanço 2_15-FINANCEIRAS" xfId="16333"/>
    <cellStyle name="s_Valuation _Despesas ADM e COML (3)_1_Crédito PisCofins_CCL_3-Balanço_1" xfId="16334"/>
    <cellStyle name="s_Valuation _Despesas ADM e COML (3)_1_Crédito PisCofins_CCL_3-Balanço_15-FINANCEIRAS" xfId="16335"/>
    <cellStyle name="s_Valuation _Despesas ADM e COML (3)_1_Crédito PisCofins_CCL_3-Balanço_15-FINANCEIRAS_1" xfId="16336"/>
    <cellStyle name="s_Valuation _Despesas ADM e COML (3)_1_Crédito PisCofins_CCL_3-Balanço_3-Balanço" xfId="16337"/>
    <cellStyle name="s_Valuation _Despesas ADM e COML (3)_1_Crédito PisCofins_CCL_3-Balanço_7-Estoque" xfId="16338"/>
    <cellStyle name="s_Valuation _Despesas ADM e COML (3)_1_Crédito PisCofins_CCL_7-Estoque" xfId="16339"/>
    <cellStyle name="s_Valuation _Despesas ADM e COML (3)_1_Crédito PisCofins_CCL_Balanço" xfId="16340"/>
    <cellStyle name="s_Valuation _Despesas ADM e COML (3)_1_Crédito PisCofins_Diferenças outubro CAN- (2)" xfId="16341"/>
    <cellStyle name="s_Valuation _Despesas ADM e COML (3)_1_Crédito PisCofins_Diferenças outubro CAN- (2) 2" xfId="16342"/>
    <cellStyle name="s_Valuation _Despesas ADM e COML (3)_1_Crédito PisCofins_Diferenças outubro CAN- (2) 2_15-FINANCEIRAS" xfId="16343"/>
    <cellStyle name="s_Valuation _Despesas ADM e COML (3)_1_Crédito PisCofins_Diferenças outubro CAN- (2)_15-FINANCEIRAS" xfId="16344"/>
    <cellStyle name="s_Valuation _Despesas ADM e COML (3)_1_Crédito PisCofins_Diferenças outubro CAN- (2)_15-FINANCEIRAS_1" xfId="16345"/>
    <cellStyle name="s_Valuation _Despesas ADM e COML (3)_1_Crédito PisCofins_Diferenças outubro CAN- (2)_3-Balanço" xfId="16346"/>
    <cellStyle name="s_Valuation _Despesas ADM e COML (3)_1_Crédito PisCofins_Diferenças outubro CAN- (2)_3-Balanço 2" xfId="16347"/>
    <cellStyle name="s_Valuation _Despesas ADM e COML (3)_1_Crédito PisCofins_Diferenças outubro CAN- (2)_3-Balanço 2_15-FINANCEIRAS" xfId="16348"/>
    <cellStyle name="s_Valuation _Despesas ADM e COML (3)_1_Crédito PisCofins_Diferenças outubro CAN- (2)_3-Balanço_1" xfId="16349"/>
    <cellStyle name="s_Valuation _Despesas ADM e COML (3)_1_Crédito PisCofins_Diferenças outubro CAN- (2)_3-Balanço_15-FINANCEIRAS" xfId="16350"/>
    <cellStyle name="s_Valuation _Despesas ADM e COML (3)_1_Crédito PisCofins_Diferenças outubro CAN- (2)_3-Balanço_15-FINANCEIRAS_1" xfId="16351"/>
    <cellStyle name="s_Valuation _Despesas ADM e COML (3)_1_Crédito PisCofins_Diferenças outubro CAN- (2)_3-Balanço_3-Balanço" xfId="16352"/>
    <cellStyle name="s_Valuation _Despesas ADM e COML (3)_1_Crédito PisCofins_Diferenças outubro CAN- (2)_3-Balanço_7-Estoque" xfId="16353"/>
    <cellStyle name="s_Valuation _Despesas ADM e COML (3)_1_Crédito PisCofins_Diferenças outubro CAN- (2)_7-Estoque" xfId="16354"/>
    <cellStyle name="s_Valuation _Despesas ADM e COML (3)_1_Crédito PisCofins_Diferenças outubro CAN- (2)_Balanço" xfId="16355"/>
    <cellStyle name="s_Valuation _Despesas ADM e COML (3)_1_Crédito PisCofins_Query C.Custos SF 10-11" xfId="16356"/>
    <cellStyle name="s_Valuation _Despesas ADM e COML (3)_1_Crédito PisCofins_Query C.Custos SF 10-11 2" xfId="16357"/>
    <cellStyle name="s_Valuation _Despesas ADM e COML (3)_1_Crédito PisCofins_Query C.Custos SF 10-11 2_15-FINANCEIRAS" xfId="16358"/>
    <cellStyle name="s_Valuation _Despesas ADM e COML (3)_1_Crédito PisCofins_Query C.Custos SF 10-11_15-FINANCEIRAS" xfId="16359"/>
    <cellStyle name="s_Valuation _Despesas ADM e COML (3)_1_Crédito PisCofins_Query C.Custos SF 10-11_15-FINANCEIRAS_1" xfId="16360"/>
    <cellStyle name="s_Valuation _Despesas ADM e COML (3)_1_Crédito PisCofins_Query C.Custos SF 10-11_3-Balanço" xfId="16361"/>
    <cellStyle name="s_Valuation _Despesas ADM e COML (3)_1_Crédito PisCofins_Query C.Custos SF 10-11_3-Balanço 2" xfId="16362"/>
    <cellStyle name="s_Valuation _Despesas ADM e COML (3)_1_Crédito PisCofins_Query C.Custos SF 10-11_3-Balanço 2_15-FINANCEIRAS" xfId="16363"/>
    <cellStyle name="s_Valuation _Despesas ADM e COML (3)_1_Crédito PisCofins_Query C.Custos SF 10-11_3-Balanço_1" xfId="16364"/>
    <cellStyle name="s_Valuation _Despesas ADM e COML (3)_1_Crédito PisCofins_Query C.Custos SF 10-11_3-Balanço_15-FINANCEIRAS" xfId="16365"/>
    <cellStyle name="s_Valuation _Despesas ADM e COML (3)_1_Crédito PisCofins_Query C.Custos SF 10-11_3-Balanço_15-FINANCEIRAS_1" xfId="16366"/>
    <cellStyle name="s_Valuation _Despesas ADM e COML (3)_1_Crédito PisCofins_Query C.Custos SF 10-11_3-Balanço_3-Balanço" xfId="16367"/>
    <cellStyle name="s_Valuation _Despesas ADM e COML (3)_1_Crédito PisCofins_Query C.Custos SF 10-11_3-Balanço_7-Estoque" xfId="16368"/>
    <cellStyle name="s_Valuation _Despesas ADM e COML (3)_1_Crédito PisCofins_Query C.Custos SF 10-11_7-Estoque" xfId="16369"/>
    <cellStyle name="s_Valuation _Despesas ADM e COML (3)_1_Crédito PisCofins_Query C.Custos SF 10-11_Balanço" xfId="16370"/>
    <cellStyle name="s_Valuation _Despesas ADM e COML (3)_1_Plan1" xfId="16371"/>
    <cellStyle name="s_Valuation _Despesas ADM e COML (3)_1_Plan1 2" xfId="16372"/>
    <cellStyle name="s_Valuation _Despesas ADM e COML (3)_1_Plan1 2_15-FINANCEIRAS" xfId="16373"/>
    <cellStyle name="s_Valuation _Despesas ADM e COML (3)_1_Plan1_15-FINANCEIRAS" xfId="16374"/>
    <cellStyle name="s_Valuation _Despesas ADM e COML (3)_1_Plan1_15-FINANCEIRAS_1" xfId="16375"/>
    <cellStyle name="s_Valuation _Despesas ADM e COML (3)_1_Plan1_3-Balanço" xfId="16376"/>
    <cellStyle name="s_Valuation _Despesas ADM e COML (3)_1_Plan1_3-Balanço 2" xfId="16377"/>
    <cellStyle name="s_Valuation _Despesas ADM e COML (3)_1_Plan1_3-Balanço 2_15-FINANCEIRAS" xfId="16378"/>
    <cellStyle name="s_Valuation _Despesas ADM e COML (3)_1_Plan1_3-Balanço_1" xfId="16379"/>
    <cellStyle name="s_Valuation _Despesas ADM e COML (3)_1_Plan1_3-Balanço_15-FINANCEIRAS" xfId="16380"/>
    <cellStyle name="s_Valuation _Despesas ADM e COML (3)_1_Plan1_3-Balanço_15-FINANCEIRAS_1" xfId="16381"/>
    <cellStyle name="s_Valuation _Despesas ADM e COML (3)_1_Plan1_3-Balanço_3-Balanço" xfId="16382"/>
    <cellStyle name="s_Valuation _Despesas ADM e COML (3)_1_Plan1_3-Balanço_7-Estoque" xfId="16383"/>
    <cellStyle name="s_Valuation _Despesas ADM e COML (3)_1_Plan1_7-Estoque" xfId="16384"/>
    <cellStyle name="s_Valuation _Despesas ADM e COML (3)_1_Plan1_Balanço" xfId="16385"/>
    <cellStyle name="s_Valuation _Despesas ADM e COML (3)_1_Plan1_CCL" xfId="16386"/>
    <cellStyle name="s_Valuation _Despesas ADM e COML (3)_1_Plan1_CCL 2" xfId="16387"/>
    <cellStyle name="s_Valuation _Despesas ADM e COML (3)_1_Plan1_CCL 2_15-FINANCEIRAS" xfId="16388"/>
    <cellStyle name="s_Valuation _Despesas ADM e COML (3)_1_Plan1_CCL_15-FINANCEIRAS" xfId="16389"/>
    <cellStyle name="s_Valuation _Despesas ADM e COML (3)_1_Plan1_CCL_15-FINANCEIRAS_1" xfId="16390"/>
    <cellStyle name="s_Valuation _Despesas ADM e COML (3)_1_Plan1_CCL_3-Balanço" xfId="16391"/>
    <cellStyle name="s_Valuation _Despesas ADM e COML (3)_1_Plan1_CCL_3-Balanço 2" xfId="16392"/>
    <cellStyle name="s_Valuation _Despesas ADM e COML (3)_1_Plan1_CCL_3-Balanço 2_15-FINANCEIRAS" xfId="16393"/>
    <cellStyle name="s_Valuation _Despesas ADM e COML (3)_1_Plan1_CCL_3-Balanço_1" xfId="16394"/>
    <cellStyle name="s_Valuation _Despesas ADM e COML (3)_1_Plan1_CCL_3-Balanço_15-FINANCEIRAS" xfId="16395"/>
    <cellStyle name="s_Valuation _Despesas ADM e COML (3)_1_Plan1_CCL_3-Balanço_15-FINANCEIRAS_1" xfId="16396"/>
    <cellStyle name="s_Valuation _Despesas ADM e COML (3)_1_Plan1_CCL_3-Balanço_3-Balanço" xfId="16397"/>
    <cellStyle name="s_Valuation _Despesas ADM e COML (3)_1_Plan1_CCL_3-Balanço_7-Estoque" xfId="16398"/>
    <cellStyle name="s_Valuation _Despesas ADM e COML (3)_1_Plan1_CCL_7-Estoque" xfId="16399"/>
    <cellStyle name="s_Valuation _Despesas ADM e COML (3)_1_Plan1_CCL_Balanço" xfId="16400"/>
    <cellStyle name="s_Valuation _Despesas ADM e COML (3)_1_Plan1_Diferenças outubro CAN- (2)" xfId="16401"/>
    <cellStyle name="s_Valuation _Despesas ADM e COML (3)_1_Plan1_Diferenças outubro CAN- (2) 2" xfId="16402"/>
    <cellStyle name="s_Valuation _Despesas ADM e COML (3)_1_Plan1_Diferenças outubro CAN- (2) 2_15-FINANCEIRAS" xfId="16403"/>
    <cellStyle name="s_Valuation _Despesas ADM e COML (3)_1_Plan1_Diferenças outubro CAN- (2)_15-FINANCEIRAS" xfId="16404"/>
    <cellStyle name="s_Valuation _Despesas ADM e COML (3)_1_Plan1_Diferenças outubro CAN- (2)_15-FINANCEIRAS_1" xfId="16405"/>
    <cellStyle name="s_Valuation _Despesas ADM e COML (3)_1_Plan1_Diferenças outubro CAN- (2)_3-Balanço" xfId="16406"/>
    <cellStyle name="s_Valuation _Despesas ADM e COML (3)_1_Plan1_Diferenças outubro CAN- (2)_3-Balanço 2" xfId="16407"/>
    <cellStyle name="s_Valuation _Despesas ADM e COML (3)_1_Plan1_Diferenças outubro CAN- (2)_3-Balanço 2_15-FINANCEIRAS" xfId="16408"/>
    <cellStyle name="s_Valuation _Despesas ADM e COML (3)_1_Plan1_Diferenças outubro CAN- (2)_3-Balanço_1" xfId="16409"/>
    <cellStyle name="s_Valuation _Despesas ADM e COML (3)_1_Plan1_Diferenças outubro CAN- (2)_3-Balanço_15-FINANCEIRAS" xfId="16410"/>
    <cellStyle name="s_Valuation _Despesas ADM e COML (3)_1_Plan1_Diferenças outubro CAN- (2)_3-Balanço_15-FINANCEIRAS_1" xfId="16411"/>
    <cellStyle name="s_Valuation _Despesas ADM e COML (3)_1_Plan1_Diferenças outubro CAN- (2)_3-Balanço_3-Balanço" xfId="16412"/>
    <cellStyle name="s_Valuation _Despesas ADM e COML (3)_1_Plan1_Diferenças outubro CAN- (2)_3-Balanço_7-Estoque" xfId="16413"/>
    <cellStyle name="s_Valuation _Despesas ADM e COML (3)_1_Plan1_Diferenças outubro CAN- (2)_7-Estoque" xfId="16414"/>
    <cellStyle name="s_Valuation _Despesas ADM e COML (3)_1_Plan1_Diferenças outubro CAN- (2)_Balanço" xfId="16415"/>
    <cellStyle name="s_Valuation _Despesas ADM e COML (3)_1_Plan1_Query C.Custos SF 10-11" xfId="16416"/>
    <cellStyle name="s_Valuation _Despesas ADM e COML (3)_1_Plan1_Query C.Custos SF 10-11 2" xfId="16417"/>
    <cellStyle name="s_Valuation _Despesas ADM e COML (3)_1_Plan1_Query C.Custos SF 10-11 2_15-FINANCEIRAS" xfId="16418"/>
    <cellStyle name="s_Valuation _Despesas ADM e COML (3)_1_Plan1_Query C.Custos SF 10-11_15-FINANCEIRAS" xfId="16419"/>
    <cellStyle name="s_Valuation _Despesas ADM e COML (3)_1_Plan1_Query C.Custos SF 10-11_15-FINANCEIRAS_1" xfId="16420"/>
    <cellStyle name="s_Valuation _Despesas ADM e COML (3)_1_Plan1_Query C.Custos SF 10-11_3-Balanço" xfId="16421"/>
    <cellStyle name="s_Valuation _Despesas ADM e COML (3)_1_Plan1_Query C.Custos SF 10-11_3-Balanço 2" xfId="16422"/>
    <cellStyle name="s_Valuation _Despesas ADM e COML (3)_1_Plan1_Query C.Custos SF 10-11_3-Balanço 2_15-FINANCEIRAS" xfId="16423"/>
    <cellStyle name="s_Valuation _Despesas ADM e COML (3)_1_Plan1_Query C.Custos SF 10-11_3-Balanço_1" xfId="16424"/>
    <cellStyle name="s_Valuation _Despesas ADM e COML (3)_1_Plan1_Query C.Custos SF 10-11_3-Balanço_15-FINANCEIRAS" xfId="16425"/>
    <cellStyle name="s_Valuation _Despesas ADM e COML (3)_1_Plan1_Query C.Custos SF 10-11_3-Balanço_15-FINANCEIRAS_1" xfId="16426"/>
    <cellStyle name="s_Valuation _Despesas ADM e COML (3)_1_Plan1_Query C.Custos SF 10-11_3-Balanço_3-Balanço" xfId="16427"/>
    <cellStyle name="s_Valuation _Despesas ADM e COML (3)_1_Plan1_Query C.Custos SF 10-11_3-Balanço_7-Estoque" xfId="16428"/>
    <cellStyle name="s_Valuation _Despesas ADM e COML (3)_1_Plan1_Query C.Custos SF 10-11_7-Estoque" xfId="16429"/>
    <cellStyle name="s_Valuation _Despesas ADM e COML (3)_1_Plan1_Query C.Custos SF 10-11_Balanço" xfId="16430"/>
    <cellStyle name="s_Valuation _Despesas ADM e COML (3)_1_Query C.Custos SF 10-11" xfId="16431"/>
    <cellStyle name="s_Valuation _Despesas ADM e COML (3)_1_Query C.Custos SF 10-11 2" xfId="16432"/>
    <cellStyle name="s_Valuation _Despesas ADM e COML (3)_1_Query C.Custos SF 10-11 2_15-FINANCEIRAS" xfId="16433"/>
    <cellStyle name="s_Valuation _Despesas ADM e COML (3)_1_Query C.Custos SF 10-11_15-FINANCEIRAS" xfId="16434"/>
    <cellStyle name="s_Valuation _Despesas ADM e COML (3)_1_Query C.Custos SF 10-11_15-FINANCEIRAS_1" xfId="16435"/>
    <cellStyle name="s_Valuation _Despesas ADM e COML (3)_1_Query C.Custos SF 10-11_3-Balanço" xfId="16436"/>
    <cellStyle name="s_Valuation _Despesas ADM e COML (3)_1_Query C.Custos SF 10-11_3-Balanço 2" xfId="16437"/>
    <cellStyle name="s_Valuation _Despesas ADM e COML (3)_1_Query C.Custos SF 10-11_3-Balanço 2_15-FINANCEIRAS" xfId="16438"/>
    <cellStyle name="s_Valuation _Despesas ADM e COML (3)_1_Query C.Custos SF 10-11_3-Balanço_1" xfId="16439"/>
    <cellStyle name="s_Valuation _Despesas ADM e COML (3)_1_Query C.Custos SF 10-11_3-Balanço_15-FINANCEIRAS" xfId="16440"/>
    <cellStyle name="s_Valuation _Despesas ADM e COML (3)_1_Query C.Custos SF 10-11_3-Balanço_15-FINANCEIRAS_1" xfId="16441"/>
    <cellStyle name="s_Valuation _Despesas ADM e COML (3)_1_Query C.Custos SF 10-11_3-Balanço_3-Balanço" xfId="16442"/>
    <cellStyle name="s_Valuation _Despesas ADM e COML (3)_1_Query C.Custos SF 10-11_3-Balanço_7-Estoque" xfId="16443"/>
    <cellStyle name="s_Valuation _Despesas ADM e COML (3)_1_Query C.Custos SF 10-11_7-Estoque" xfId="16444"/>
    <cellStyle name="s_Valuation _Despesas ADM e COML (3)_1_Query C.Custos SF 10-11_Balanço" xfId="16445"/>
    <cellStyle name="s_Valuation _Despesas ADM e COML (3)_1_Query C.Custos SF 10-11_CCL" xfId="16446"/>
    <cellStyle name="s_Valuation _Despesas ADM e COML (3)_1_Query C.Custos SF 10-11_CCL 2" xfId="16447"/>
    <cellStyle name="s_Valuation _Despesas ADM e COML (3)_1_Query C.Custos SF 10-11_CCL 2_15-FINANCEIRAS" xfId="16448"/>
    <cellStyle name="s_Valuation _Despesas ADM e COML (3)_1_Query C.Custos SF 10-11_CCL_15-FINANCEIRAS" xfId="16449"/>
    <cellStyle name="s_Valuation _Despesas ADM e COML (3)_1_Query C.Custos SF 10-11_CCL_15-FINANCEIRAS_1" xfId="16450"/>
    <cellStyle name="s_Valuation _Despesas ADM e COML (3)_1_Query C.Custos SF 10-11_CCL_3-Balanço" xfId="16451"/>
    <cellStyle name="s_Valuation _Despesas ADM e COML (3)_1_Query C.Custos SF 10-11_CCL_3-Balanço 2" xfId="16452"/>
    <cellStyle name="s_Valuation _Despesas ADM e COML (3)_1_Query C.Custos SF 10-11_CCL_3-Balanço 2_15-FINANCEIRAS" xfId="16453"/>
    <cellStyle name="s_Valuation _Despesas ADM e COML (3)_1_Query C.Custos SF 10-11_CCL_3-Balanço_1" xfId="16454"/>
    <cellStyle name="s_Valuation _Despesas ADM e COML (3)_1_Query C.Custos SF 10-11_CCL_3-Balanço_15-FINANCEIRAS" xfId="16455"/>
    <cellStyle name="s_Valuation _Despesas ADM e COML (3)_1_Query C.Custos SF 10-11_CCL_3-Balanço_15-FINANCEIRAS_1" xfId="16456"/>
    <cellStyle name="s_Valuation _Despesas ADM e COML (3)_1_Query C.Custos SF 10-11_CCL_3-Balanço_3-Balanço" xfId="16457"/>
    <cellStyle name="s_Valuation _Despesas ADM e COML (3)_1_Query C.Custos SF 10-11_CCL_3-Balanço_7-Estoque" xfId="16458"/>
    <cellStyle name="s_Valuation _Despesas ADM e COML (3)_1_Query C.Custos SF 10-11_CCL_7-Estoque" xfId="16459"/>
    <cellStyle name="s_Valuation _Despesas ADM e COML (3)_1_Query C.Custos SF 10-11_CCL_Balanço" xfId="16460"/>
    <cellStyle name="s_Valuation _Despesas ADM e COML (3)_1_Query C.Custos SF 10-11_Diferenças outubro CAN- (2)" xfId="16461"/>
    <cellStyle name="s_Valuation _Despesas ADM e COML (3)_1_Query C.Custos SF 10-11_Diferenças outubro CAN- (2) 2" xfId="16462"/>
    <cellStyle name="s_Valuation _Despesas ADM e COML (3)_1_Query C.Custos SF 10-11_Diferenças outubro CAN- (2) 2_15-FINANCEIRAS" xfId="16463"/>
    <cellStyle name="s_Valuation _Despesas ADM e COML (3)_1_Query C.Custos SF 10-11_Diferenças outubro CAN- (2)_15-FINANCEIRAS" xfId="16464"/>
    <cellStyle name="s_Valuation _Despesas ADM e COML (3)_1_Query C.Custos SF 10-11_Diferenças outubro CAN- (2)_15-FINANCEIRAS_1" xfId="16465"/>
    <cellStyle name="s_Valuation _Despesas ADM e COML (3)_1_Query C.Custos SF 10-11_Diferenças outubro CAN- (2)_3-Balanço" xfId="16466"/>
    <cellStyle name="s_Valuation _Despesas ADM e COML (3)_1_Query C.Custos SF 10-11_Diferenças outubro CAN- (2)_3-Balanço 2" xfId="16467"/>
    <cellStyle name="s_Valuation _Despesas ADM e COML (3)_1_Query C.Custos SF 10-11_Diferenças outubro CAN- (2)_3-Balanço 2_15-FINANCEIRAS" xfId="16468"/>
    <cellStyle name="s_Valuation _Despesas ADM e COML (3)_1_Query C.Custos SF 10-11_Diferenças outubro CAN- (2)_3-Balanço_1" xfId="16469"/>
    <cellStyle name="s_Valuation _Despesas ADM e COML (3)_1_Query C.Custos SF 10-11_Diferenças outubro CAN- (2)_3-Balanço_15-FINANCEIRAS" xfId="16470"/>
    <cellStyle name="s_Valuation _Despesas ADM e COML (3)_1_Query C.Custos SF 10-11_Diferenças outubro CAN- (2)_3-Balanço_15-FINANCEIRAS_1" xfId="16471"/>
    <cellStyle name="s_Valuation _Despesas ADM e COML (3)_1_Query C.Custos SF 10-11_Diferenças outubro CAN- (2)_3-Balanço_3-Balanço" xfId="16472"/>
    <cellStyle name="s_Valuation _Despesas ADM e COML (3)_1_Query C.Custos SF 10-11_Diferenças outubro CAN- (2)_3-Balanço_7-Estoque" xfId="16473"/>
    <cellStyle name="s_Valuation _Despesas ADM e COML (3)_1_Query C.Custos SF 10-11_Diferenças outubro CAN- (2)_7-Estoque" xfId="16474"/>
    <cellStyle name="s_Valuation _Despesas ADM e COML (3)_1_Query C.Custos SF 10-11_Diferenças outubro CAN- (2)_Balanço" xfId="16475"/>
    <cellStyle name="s_Valuation _Despesas ADM e COML (3)_1_Query C.Custos SF 10-11_Query C.Custos SF 10-11" xfId="16476"/>
    <cellStyle name="s_Valuation _Despesas ADM e COML (3)_1_Query C.Custos SF 10-11_Query C.Custos SF 10-11 2" xfId="16477"/>
    <cellStyle name="s_Valuation _Despesas ADM e COML (3)_1_Query C.Custos SF 10-11_Query C.Custos SF 10-11 2_15-FINANCEIRAS" xfId="16478"/>
    <cellStyle name="s_Valuation _Despesas ADM e COML (3)_1_Query C.Custos SF 10-11_Query C.Custos SF 10-11_15-FINANCEIRAS" xfId="16479"/>
    <cellStyle name="s_Valuation _Despesas ADM e COML (3)_1_Query C.Custos SF 10-11_Query C.Custos SF 10-11_15-FINANCEIRAS_1" xfId="16480"/>
    <cellStyle name="s_Valuation _Despesas ADM e COML (3)_1_Query C.Custos SF 10-11_Query C.Custos SF 10-11_3-Balanço" xfId="16481"/>
    <cellStyle name="s_Valuation _Despesas ADM e COML (3)_1_Query C.Custos SF 10-11_Query C.Custos SF 10-11_3-Balanço 2" xfId="16482"/>
    <cellStyle name="s_Valuation _Despesas ADM e COML (3)_1_Query C.Custos SF 10-11_Query C.Custos SF 10-11_3-Balanço 2_15-FINANCEIRAS" xfId="16483"/>
    <cellStyle name="s_Valuation _Despesas ADM e COML (3)_1_Query C.Custos SF 10-11_Query C.Custos SF 10-11_3-Balanço_1" xfId="16484"/>
    <cellStyle name="s_Valuation _Despesas ADM e COML (3)_1_Query C.Custos SF 10-11_Query C.Custos SF 10-11_3-Balanço_15-FINANCEIRAS" xfId="16485"/>
    <cellStyle name="s_Valuation _Despesas ADM e COML (3)_1_Query C.Custos SF 10-11_Query C.Custos SF 10-11_3-Balanço_15-FINANCEIRAS_1" xfId="16486"/>
    <cellStyle name="s_Valuation _Despesas ADM e COML (3)_1_Query C.Custos SF 10-11_Query C.Custos SF 10-11_3-Balanço_3-Balanço" xfId="16487"/>
    <cellStyle name="s_Valuation _Despesas ADM e COML (3)_1_Query C.Custos SF 10-11_Query C.Custos SF 10-11_3-Balanço_7-Estoque" xfId="16488"/>
    <cellStyle name="s_Valuation _Despesas ADM e COML (3)_1_Query C.Custos SF 10-11_Query C.Custos SF 10-11_7-Estoque" xfId="16489"/>
    <cellStyle name="s_Valuation _Despesas ADM e COML (3)_1_Query C.Custos SF 10-11_Query C.Custos SF 10-11_Balanço" xfId="16490"/>
    <cellStyle name="s_Valuation _Despesas ADM e COML (3)_15-FINANCEIRAS" xfId="16491"/>
    <cellStyle name="s_Valuation _Despesas ADM e COML (3)_15-FINANCEIRAS_1" xfId="16492"/>
    <cellStyle name="s_Valuation _Despesas ADM e COML (3)_3-Balanço" xfId="16493"/>
    <cellStyle name="s_Valuation _Despesas ADM e COML (3)_3-Balanço 2" xfId="16494"/>
    <cellStyle name="s_Valuation _Despesas ADM e COML (3)_3-Balanço 2_15-FINANCEIRAS" xfId="16495"/>
    <cellStyle name="s_Valuation _Despesas ADM e COML (3)_3-Balanço_1" xfId="16496"/>
    <cellStyle name="s_Valuation _Despesas ADM e COML (3)_3-Balanço_15-FINANCEIRAS" xfId="16497"/>
    <cellStyle name="s_Valuation _Despesas ADM e COML (3)_3-Balanço_15-FINANCEIRAS_1" xfId="16498"/>
    <cellStyle name="s_Valuation _Despesas ADM e COML (3)_3-Balanço_3-Balanço" xfId="16499"/>
    <cellStyle name="s_Valuation _Despesas ADM e COML (3)_3-Balanço_7-Estoque" xfId="16500"/>
    <cellStyle name="s_Valuation _Despesas ADM e COML (3)_7-Estoque" xfId="16501"/>
    <cellStyle name="s_Valuation _Despesas ADM e COML (3)_Balanço" xfId="16502"/>
    <cellStyle name="s_Valuation _Despesas ADM e COML (3)_Crédito PisCofins" xfId="16503"/>
    <cellStyle name="s_Valuation _Despesas ADM e COML (3)_Crédito PisCofins 2" xfId="16504"/>
    <cellStyle name="s_Valuation _Despesas ADM e COML (3)_Crédito PisCofins 2_15-FINANCEIRAS" xfId="16505"/>
    <cellStyle name="s_Valuation _Despesas ADM e COML (3)_Crédito PisCofins_15-FINANCEIRAS" xfId="16506"/>
    <cellStyle name="s_Valuation _Despesas ADM e COML (3)_Crédito PisCofins_15-FINANCEIRAS_1" xfId="16507"/>
    <cellStyle name="s_Valuation _Despesas ADM e COML (3)_Crédito PisCofins_3-Balanço" xfId="16508"/>
    <cellStyle name="s_Valuation _Despesas ADM e COML (3)_Crédito PisCofins_3-Balanço 2" xfId="16509"/>
    <cellStyle name="s_Valuation _Despesas ADM e COML (3)_Crédito PisCofins_3-Balanço 2_15-FINANCEIRAS" xfId="16510"/>
    <cellStyle name="s_Valuation _Despesas ADM e COML (3)_Crédito PisCofins_3-Balanço_1" xfId="16511"/>
    <cellStyle name="s_Valuation _Despesas ADM e COML (3)_Crédito PisCofins_3-Balanço_15-FINANCEIRAS" xfId="16512"/>
    <cellStyle name="s_Valuation _Despesas ADM e COML (3)_Crédito PisCofins_3-Balanço_15-FINANCEIRAS_1" xfId="16513"/>
    <cellStyle name="s_Valuation _Despesas ADM e COML (3)_Crédito PisCofins_3-Balanço_3-Balanço" xfId="16514"/>
    <cellStyle name="s_Valuation _Despesas ADM e COML (3)_Crédito PisCofins_3-Balanço_7-Estoque" xfId="16515"/>
    <cellStyle name="s_Valuation _Despesas ADM e COML (3)_Crédito PisCofins_7-Estoque" xfId="16516"/>
    <cellStyle name="s_Valuation _Despesas ADM e COML (3)_Crédito PisCofins_Balanço" xfId="16517"/>
    <cellStyle name="s_Valuation _Despesas ADM e COML (3)_Crédito PisCofins_CCL" xfId="16518"/>
    <cellStyle name="s_Valuation _Despesas ADM e COML (3)_Crédito PisCofins_CCL 2" xfId="16519"/>
    <cellStyle name="s_Valuation _Despesas ADM e COML (3)_Crédito PisCofins_CCL 2_15-FINANCEIRAS" xfId="16520"/>
    <cellStyle name="s_Valuation _Despesas ADM e COML (3)_Crédito PisCofins_CCL_15-FINANCEIRAS" xfId="16521"/>
    <cellStyle name="s_Valuation _Despesas ADM e COML (3)_Crédito PisCofins_CCL_15-FINANCEIRAS_1" xfId="16522"/>
    <cellStyle name="s_Valuation _Despesas ADM e COML (3)_Crédito PisCofins_CCL_3-Balanço" xfId="16523"/>
    <cellStyle name="s_Valuation _Despesas ADM e COML (3)_Crédito PisCofins_CCL_3-Balanço 2" xfId="16524"/>
    <cellStyle name="s_Valuation _Despesas ADM e COML (3)_Crédito PisCofins_CCL_3-Balanço 2_15-FINANCEIRAS" xfId="16525"/>
    <cellStyle name="s_Valuation _Despesas ADM e COML (3)_Crédito PisCofins_CCL_3-Balanço_1" xfId="16526"/>
    <cellStyle name="s_Valuation _Despesas ADM e COML (3)_Crédito PisCofins_CCL_3-Balanço_15-FINANCEIRAS" xfId="16527"/>
    <cellStyle name="s_Valuation _Despesas ADM e COML (3)_Crédito PisCofins_CCL_3-Balanço_15-FINANCEIRAS_1" xfId="16528"/>
    <cellStyle name="s_Valuation _Despesas ADM e COML (3)_Crédito PisCofins_CCL_3-Balanço_3-Balanço" xfId="16529"/>
    <cellStyle name="s_Valuation _Despesas ADM e COML (3)_Crédito PisCofins_CCL_3-Balanço_7-Estoque" xfId="16530"/>
    <cellStyle name="s_Valuation _Despesas ADM e COML (3)_Crédito PisCofins_CCL_7-Estoque" xfId="16531"/>
    <cellStyle name="s_Valuation _Despesas ADM e COML (3)_Crédito PisCofins_CCL_Balanço" xfId="16532"/>
    <cellStyle name="s_Valuation _Despesas ADM e COML (3)_Crédito PisCofins_Diferenças outubro CAN- (2)" xfId="16533"/>
    <cellStyle name="s_Valuation _Despesas ADM e COML (3)_Crédito PisCofins_Diferenças outubro CAN- (2) 2" xfId="16534"/>
    <cellStyle name="s_Valuation _Despesas ADM e COML (3)_Crédito PisCofins_Diferenças outubro CAN- (2) 2_15-FINANCEIRAS" xfId="16535"/>
    <cellStyle name="s_Valuation _Despesas ADM e COML (3)_Crédito PisCofins_Diferenças outubro CAN- (2)_15-FINANCEIRAS" xfId="16536"/>
    <cellStyle name="s_Valuation _Despesas ADM e COML (3)_Crédito PisCofins_Diferenças outubro CAN- (2)_15-FINANCEIRAS_1" xfId="16537"/>
    <cellStyle name="s_Valuation _Despesas ADM e COML (3)_Crédito PisCofins_Diferenças outubro CAN- (2)_3-Balanço" xfId="16538"/>
    <cellStyle name="s_Valuation _Despesas ADM e COML (3)_Crédito PisCofins_Diferenças outubro CAN- (2)_3-Balanço 2" xfId="16539"/>
    <cellStyle name="s_Valuation _Despesas ADM e COML (3)_Crédito PisCofins_Diferenças outubro CAN- (2)_3-Balanço 2_15-FINANCEIRAS" xfId="16540"/>
    <cellStyle name="s_Valuation _Despesas ADM e COML (3)_Crédito PisCofins_Diferenças outubro CAN- (2)_3-Balanço_1" xfId="16541"/>
    <cellStyle name="s_Valuation _Despesas ADM e COML (3)_Crédito PisCofins_Diferenças outubro CAN- (2)_3-Balanço_15-FINANCEIRAS" xfId="16542"/>
    <cellStyle name="s_Valuation _Despesas ADM e COML (3)_Crédito PisCofins_Diferenças outubro CAN- (2)_3-Balanço_15-FINANCEIRAS_1" xfId="16543"/>
    <cellStyle name="s_Valuation _Despesas ADM e COML (3)_Crédito PisCofins_Diferenças outubro CAN- (2)_3-Balanço_3-Balanço" xfId="16544"/>
    <cellStyle name="s_Valuation _Despesas ADM e COML (3)_Crédito PisCofins_Diferenças outubro CAN- (2)_3-Balanço_7-Estoque" xfId="16545"/>
    <cellStyle name="s_Valuation _Despesas ADM e COML (3)_Crédito PisCofins_Diferenças outubro CAN- (2)_7-Estoque" xfId="16546"/>
    <cellStyle name="s_Valuation _Despesas ADM e COML (3)_Crédito PisCofins_Diferenças outubro CAN- (2)_Balanço" xfId="16547"/>
    <cellStyle name="s_Valuation _Despesas ADM e COML (3)_Crédito PisCofins_Query C.Custos SF 10-11" xfId="16548"/>
    <cellStyle name="s_Valuation _Despesas ADM e COML (3)_Crédito PisCofins_Query C.Custos SF 10-11 2" xfId="16549"/>
    <cellStyle name="s_Valuation _Despesas ADM e COML (3)_Crédito PisCofins_Query C.Custos SF 10-11 2_15-FINANCEIRAS" xfId="16550"/>
    <cellStyle name="s_Valuation _Despesas ADM e COML (3)_Crédito PisCofins_Query C.Custos SF 10-11_15-FINANCEIRAS" xfId="16551"/>
    <cellStyle name="s_Valuation _Despesas ADM e COML (3)_Crédito PisCofins_Query C.Custos SF 10-11_15-FINANCEIRAS_1" xfId="16552"/>
    <cellStyle name="s_Valuation _Despesas ADM e COML (3)_Crédito PisCofins_Query C.Custos SF 10-11_3-Balanço" xfId="16553"/>
    <cellStyle name="s_Valuation _Despesas ADM e COML (3)_Crédito PisCofins_Query C.Custos SF 10-11_3-Balanço 2" xfId="16554"/>
    <cellStyle name="s_Valuation _Despesas ADM e COML (3)_Crédito PisCofins_Query C.Custos SF 10-11_3-Balanço 2_15-FINANCEIRAS" xfId="16555"/>
    <cellStyle name="s_Valuation _Despesas ADM e COML (3)_Crédito PisCofins_Query C.Custos SF 10-11_3-Balanço_1" xfId="16556"/>
    <cellStyle name="s_Valuation _Despesas ADM e COML (3)_Crédito PisCofins_Query C.Custos SF 10-11_3-Balanço_15-FINANCEIRAS" xfId="16557"/>
    <cellStyle name="s_Valuation _Despesas ADM e COML (3)_Crédito PisCofins_Query C.Custos SF 10-11_3-Balanço_15-FINANCEIRAS_1" xfId="16558"/>
    <cellStyle name="s_Valuation _Despesas ADM e COML (3)_Crédito PisCofins_Query C.Custos SF 10-11_3-Balanço_3-Balanço" xfId="16559"/>
    <cellStyle name="s_Valuation _Despesas ADM e COML (3)_Crédito PisCofins_Query C.Custos SF 10-11_3-Balanço_7-Estoque" xfId="16560"/>
    <cellStyle name="s_Valuation _Despesas ADM e COML (3)_Crédito PisCofins_Query C.Custos SF 10-11_7-Estoque" xfId="16561"/>
    <cellStyle name="s_Valuation _Despesas ADM e COML (3)_Crédito PisCofins_Query C.Custos SF 10-11_Balanço" xfId="16562"/>
    <cellStyle name="s_Valuation _Despesas ADM e COML (3)_Plan1" xfId="16563"/>
    <cellStyle name="s_Valuation _Despesas ADM e COML (3)_Plan1 2" xfId="16564"/>
    <cellStyle name="s_Valuation _Despesas ADM e COML (3)_Plan1 2_15-FINANCEIRAS" xfId="16565"/>
    <cellStyle name="s_Valuation _Despesas ADM e COML (3)_Plan1_15-FINANCEIRAS" xfId="16566"/>
    <cellStyle name="s_Valuation _Despesas ADM e COML (3)_Plan1_15-FINANCEIRAS_1" xfId="16567"/>
    <cellStyle name="s_Valuation _Despesas ADM e COML (3)_Plan1_3-Balanço" xfId="16568"/>
    <cellStyle name="s_Valuation _Despesas ADM e COML (3)_Plan1_3-Balanço 2" xfId="16569"/>
    <cellStyle name="s_Valuation _Despesas ADM e COML (3)_Plan1_3-Balanço 2_15-FINANCEIRAS" xfId="16570"/>
    <cellStyle name="s_Valuation _Despesas ADM e COML (3)_Plan1_3-Balanço_1" xfId="16571"/>
    <cellStyle name="s_Valuation _Despesas ADM e COML (3)_Plan1_3-Balanço_15-FINANCEIRAS" xfId="16572"/>
    <cellStyle name="s_Valuation _Despesas ADM e COML (3)_Plan1_3-Balanço_15-FINANCEIRAS_1" xfId="16573"/>
    <cellStyle name="s_Valuation _Despesas ADM e COML (3)_Plan1_3-Balanço_3-Balanço" xfId="16574"/>
    <cellStyle name="s_Valuation _Despesas ADM e COML (3)_Plan1_3-Balanço_7-Estoque" xfId="16575"/>
    <cellStyle name="s_Valuation _Despesas ADM e COML (3)_Plan1_7-Estoque" xfId="16576"/>
    <cellStyle name="s_Valuation _Despesas ADM e COML (3)_Plan1_Balanço" xfId="16577"/>
    <cellStyle name="s_Valuation _Despesas ADM e COML (3)_Plan1_CCL" xfId="16578"/>
    <cellStyle name="s_Valuation _Despesas ADM e COML (3)_Plan1_CCL 2" xfId="16579"/>
    <cellStyle name="s_Valuation _Despesas ADM e COML (3)_Plan1_CCL 2_15-FINANCEIRAS" xfId="16580"/>
    <cellStyle name="s_Valuation _Despesas ADM e COML (3)_Plan1_CCL_15-FINANCEIRAS" xfId="16581"/>
    <cellStyle name="s_Valuation _Despesas ADM e COML (3)_Plan1_CCL_15-FINANCEIRAS_1" xfId="16582"/>
    <cellStyle name="s_Valuation _Despesas ADM e COML (3)_Plan1_CCL_3-Balanço" xfId="16583"/>
    <cellStyle name="s_Valuation _Despesas ADM e COML (3)_Plan1_CCL_3-Balanço 2" xfId="16584"/>
    <cellStyle name="s_Valuation _Despesas ADM e COML (3)_Plan1_CCL_3-Balanço 2_15-FINANCEIRAS" xfId="16585"/>
    <cellStyle name="s_Valuation _Despesas ADM e COML (3)_Plan1_CCL_3-Balanço_1" xfId="16586"/>
    <cellStyle name="s_Valuation _Despesas ADM e COML (3)_Plan1_CCL_3-Balanço_15-FINANCEIRAS" xfId="16587"/>
    <cellStyle name="s_Valuation _Despesas ADM e COML (3)_Plan1_CCL_3-Balanço_15-FINANCEIRAS_1" xfId="16588"/>
    <cellStyle name="s_Valuation _Despesas ADM e COML (3)_Plan1_CCL_3-Balanço_3-Balanço" xfId="16589"/>
    <cellStyle name="s_Valuation _Despesas ADM e COML (3)_Plan1_CCL_3-Balanço_7-Estoque" xfId="16590"/>
    <cellStyle name="s_Valuation _Despesas ADM e COML (3)_Plan1_CCL_7-Estoque" xfId="16591"/>
    <cellStyle name="s_Valuation _Despesas ADM e COML (3)_Plan1_CCL_Balanço" xfId="16592"/>
    <cellStyle name="s_Valuation _Despesas ADM e COML (3)_Plan1_Diferenças outubro CAN- (2)" xfId="16593"/>
    <cellStyle name="s_Valuation _Despesas ADM e COML (3)_Plan1_Diferenças outubro CAN- (2) 2" xfId="16594"/>
    <cellStyle name="s_Valuation _Despesas ADM e COML (3)_Plan1_Diferenças outubro CAN- (2) 2_15-FINANCEIRAS" xfId="16595"/>
    <cellStyle name="s_Valuation _Despesas ADM e COML (3)_Plan1_Diferenças outubro CAN- (2)_15-FINANCEIRAS" xfId="16596"/>
    <cellStyle name="s_Valuation _Despesas ADM e COML (3)_Plan1_Diferenças outubro CAN- (2)_15-FINANCEIRAS_1" xfId="16597"/>
    <cellStyle name="s_Valuation _Despesas ADM e COML (3)_Plan1_Diferenças outubro CAN- (2)_3-Balanço" xfId="16598"/>
    <cellStyle name="s_Valuation _Despesas ADM e COML (3)_Plan1_Diferenças outubro CAN- (2)_3-Balanço 2" xfId="16599"/>
    <cellStyle name="s_Valuation _Despesas ADM e COML (3)_Plan1_Diferenças outubro CAN- (2)_3-Balanço 2_15-FINANCEIRAS" xfId="16600"/>
    <cellStyle name="s_Valuation _Despesas ADM e COML (3)_Plan1_Diferenças outubro CAN- (2)_3-Balanço_1" xfId="16601"/>
    <cellStyle name="s_Valuation _Despesas ADM e COML (3)_Plan1_Diferenças outubro CAN- (2)_3-Balanço_15-FINANCEIRAS" xfId="16602"/>
    <cellStyle name="s_Valuation _Despesas ADM e COML (3)_Plan1_Diferenças outubro CAN- (2)_3-Balanço_15-FINANCEIRAS_1" xfId="16603"/>
    <cellStyle name="s_Valuation _Despesas ADM e COML (3)_Plan1_Diferenças outubro CAN- (2)_3-Balanço_3-Balanço" xfId="16604"/>
    <cellStyle name="s_Valuation _Despesas ADM e COML (3)_Plan1_Diferenças outubro CAN- (2)_3-Balanço_7-Estoque" xfId="16605"/>
    <cellStyle name="s_Valuation _Despesas ADM e COML (3)_Plan1_Diferenças outubro CAN- (2)_7-Estoque" xfId="16606"/>
    <cellStyle name="s_Valuation _Despesas ADM e COML (3)_Plan1_Diferenças outubro CAN- (2)_Balanço" xfId="16607"/>
    <cellStyle name="s_Valuation _Despesas ADM e COML (3)_Plan1_Query C.Custos SF 10-11" xfId="16608"/>
    <cellStyle name="s_Valuation _Despesas ADM e COML (3)_Plan1_Query C.Custos SF 10-11 2" xfId="16609"/>
    <cellStyle name="s_Valuation _Despesas ADM e COML (3)_Plan1_Query C.Custos SF 10-11 2_15-FINANCEIRAS" xfId="16610"/>
    <cellStyle name="s_Valuation _Despesas ADM e COML (3)_Plan1_Query C.Custos SF 10-11_15-FINANCEIRAS" xfId="16611"/>
    <cellStyle name="s_Valuation _Despesas ADM e COML (3)_Plan1_Query C.Custos SF 10-11_15-FINANCEIRAS_1" xfId="16612"/>
    <cellStyle name="s_Valuation _Despesas ADM e COML (3)_Plan1_Query C.Custos SF 10-11_3-Balanço" xfId="16613"/>
    <cellStyle name="s_Valuation _Despesas ADM e COML (3)_Plan1_Query C.Custos SF 10-11_3-Balanço 2" xfId="16614"/>
    <cellStyle name="s_Valuation _Despesas ADM e COML (3)_Plan1_Query C.Custos SF 10-11_3-Balanço 2_15-FINANCEIRAS" xfId="16615"/>
    <cellStyle name="s_Valuation _Despesas ADM e COML (3)_Plan1_Query C.Custos SF 10-11_3-Balanço_1" xfId="16616"/>
    <cellStyle name="s_Valuation _Despesas ADM e COML (3)_Plan1_Query C.Custos SF 10-11_3-Balanço_15-FINANCEIRAS" xfId="16617"/>
    <cellStyle name="s_Valuation _Despesas ADM e COML (3)_Plan1_Query C.Custos SF 10-11_3-Balanço_15-FINANCEIRAS_1" xfId="16618"/>
    <cellStyle name="s_Valuation _Despesas ADM e COML (3)_Plan1_Query C.Custos SF 10-11_3-Balanço_3-Balanço" xfId="16619"/>
    <cellStyle name="s_Valuation _Despesas ADM e COML (3)_Plan1_Query C.Custos SF 10-11_3-Balanço_7-Estoque" xfId="16620"/>
    <cellStyle name="s_Valuation _Despesas ADM e COML (3)_Plan1_Query C.Custos SF 10-11_7-Estoque" xfId="16621"/>
    <cellStyle name="s_Valuation _Despesas ADM e COML (3)_Plan1_Query C.Custos SF 10-11_Balanço" xfId="16622"/>
    <cellStyle name="s_Valuation _Despesas ADM e COML (3)_Query C.Custos SF 10-11" xfId="16623"/>
    <cellStyle name="s_Valuation _Despesas ADM e COML (3)_Query C.Custos SF 10-11 2" xfId="16624"/>
    <cellStyle name="s_Valuation _Despesas ADM e COML (3)_Query C.Custos SF 10-11 2_15-FINANCEIRAS" xfId="16625"/>
    <cellStyle name="s_Valuation _Despesas ADM e COML (3)_Query C.Custos SF 10-11_15-FINANCEIRAS" xfId="16626"/>
    <cellStyle name="s_Valuation _Despesas ADM e COML (3)_Query C.Custos SF 10-11_15-FINANCEIRAS_1" xfId="16627"/>
    <cellStyle name="s_Valuation _Despesas ADM e COML (3)_Query C.Custos SF 10-11_3-Balanço" xfId="16628"/>
    <cellStyle name="s_Valuation _Despesas ADM e COML (3)_Query C.Custos SF 10-11_3-Balanço 2" xfId="16629"/>
    <cellStyle name="s_Valuation _Despesas ADM e COML (3)_Query C.Custos SF 10-11_3-Balanço 2_15-FINANCEIRAS" xfId="16630"/>
    <cellStyle name="s_Valuation _Despesas ADM e COML (3)_Query C.Custos SF 10-11_3-Balanço_1" xfId="16631"/>
    <cellStyle name="s_Valuation _Despesas ADM e COML (3)_Query C.Custos SF 10-11_3-Balanço_15-FINANCEIRAS" xfId="16632"/>
    <cellStyle name="s_Valuation _Despesas ADM e COML (3)_Query C.Custos SF 10-11_3-Balanço_15-FINANCEIRAS_1" xfId="16633"/>
    <cellStyle name="s_Valuation _Despesas ADM e COML (3)_Query C.Custos SF 10-11_3-Balanço_3-Balanço" xfId="16634"/>
    <cellStyle name="s_Valuation _Despesas ADM e COML (3)_Query C.Custos SF 10-11_3-Balanço_7-Estoque" xfId="16635"/>
    <cellStyle name="s_Valuation _Despesas ADM e COML (3)_Query C.Custos SF 10-11_7-Estoque" xfId="16636"/>
    <cellStyle name="s_Valuation _Despesas ADM e COML (3)_Query C.Custos SF 10-11_Balanço" xfId="16637"/>
    <cellStyle name="s_Valuation _Despesas ADM e COML (3)_Query C.Custos SF 10-11_CCL" xfId="16638"/>
    <cellStyle name="s_Valuation _Despesas ADM e COML (3)_Query C.Custos SF 10-11_CCL 2" xfId="16639"/>
    <cellStyle name="s_Valuation _Despesas ADM e COML (3)_Query C.Custos SF 10-11_CCL 2_15-FINANCEIRAS" xfId="16640"/>
    <cellStyle name="s_Valuation _Despesas ADM e COML (3)_Query C.Custos SF 10-11_CCL_15-FINANCEIRAS" xfId="16641"/>
    <cellStyle name="s_Valuation _Despesas ADM e COML (3)_Query C.Custos SF 10-11_CCL_15-FINANCEIRAS_1" xfId="16642"/>
    <cellStyle name="s_Valuation _Despesas ADM e COML (3)_Query C.Custos SF 10-11_CCL_3-Balanço" xfId="16643"/>
    <cellStyle name="s_Valuation _Despesas ADM e COML (3)_Query C.Custos SF 10-11_CCL_3-Balanço 2" xfId="16644"/>
    <cellStyle name="s_Valuation _Despesas ADM e COML (3)_Query C.Custos SF 10-11_CCL_3-Balanço 2_15-FINANCEIRAS" xfId="16645"/>
    <cellStyle name="s_Valuation _Despesas ADM e COML (3)_Query C.Custos SF 10-11_CCL_3-Balanço_1" xfId="16646"/>
    <cellStyle name="s_Valuation _Despesas ADM e COML (3)_Query C.Custos SF 10-11_CCL_3-Balanço_15-FINANCEIRAS" xfId="16647"/>
    <cellStyle name="s_Valuation _Despesas ADM e COML (3)_Query C.Custos SF 10-11_CCL_3-Balanço_15-FINANCEIRAS_1" xfId="16648"/>
    <cellStyle name="s_Valuation _Despesas ADM e COML (3)_Query C.Custos SF 10-11_CCL_3-Balanço_3-Balanço" xfId="16649"/>
    <cellStyle name="s_Valuation _Despesas ADM e COML (3)_Query C.Custos SF 10-11_CCL_3-Balanço_7-Estoque" xfId="16650"/>
    <cellStyle name="s_Valuation _Despesas ADM e COML (3)_Query C.Custos SF 10-11_CCL_7-Estoque" xfId="16651"/>
    <cellStyle name="s_Valuation _Despesas ADM e COML (3)_Query C.Custos SF 10-11_CCL_Balanço" xfId="16652"/>
    <cellStyle name="s_Valuation _Despesas ADM e COML (3)_Query C.Custos SF 10-11_Diferenças outubro CAN- (2)" xfId="16653"/>
    <cellStyle name="s_Valuation _Despesas ADM e COML (3)_Query C.Custos SF 10-11_Diferenças outubro CAN- (2) 2" xfId="16654"/>
    <cellStyle name="s_Valuation _Despesas ADM e COML (3)_Query C.Custos SF 10-11_Diferenças outubro CAN- (2) 2_15-FINANCEIRAS" xfId="16655"/>
    <cellStyle name="s_Valuation _Despesas ADM e COML (3)_Query C.Custos SF 10-11_Diferenças outubro CAN- (2)_15-FINANCEIRAS" xfId="16656"/>
    <cellStyle name="s_Valuation _Despesas ADM e COML (3)_Query C.Custos SF 10-11_Diferenças outubro CAN- (2)_15-FINANCEIRAS_1" xfId="16657"/>
    <cellStyle name="s_Valuation _Despesas ADM e COML (3)_Query C.Custos SF 10-11_Diferenças outubro CAN- (2)_3-Balanço" xfId="16658"/>
    <cellStyle name="s_Valuation _Despesas ADM e COML (3)_Query C.Custos SF 10-11_Diferenças outubro CAN- (2)_3-Balanço 2" xfId="16659"/>
    <cellStyle name="s_Valuation _Despesas ADM e COML (3)_Query C.Custos SF 10-11_Diferenças outubro CAN- (2)_3-Balanço 2_15-FINANCEIRAS" xfId="16660"/>
    <cellStyle name="s_Valuation _Despesas ADM e COML (3)_Query C.Custos SF 10-11_Diferenças outubro CAN- (2)_3-Balanço_1" xfId="16661"/>
    <cellStyle name="s_Valuation _Despesas ADM e COML (3)_Query C.Custos SF 10-11_Diferenças outubro CAN- (2)_3-Balanço_15-FINANCEIRAS" xfId="16662"/>
    <cellStyle name="s_Valuation _Despesas ADM e COML (3)_Query C.Custos SF 10-11_Diferenças outubro CAN- (2)_3-Balanço_15-FINANCEIRAS_1" xfId="16663"/>
    <cellStyle name="s_Valuation _Despesas ADM e COML (3)_Query C.Custos SF 10-11_Diferenças outubro CAN- (2)_3-Balanço_3-Balanço" xfId="16664"/>
    <cellStyle name="s_Valuation _Despesas ADM e COML (3)_Query C.Custos SF 10-11_Diferenças outubro CAN- (2)_3-Balanço_7-Estoque" xfId="16665"/>
    <cellStyle name="s_Valuation _Despesas ADM e COML (3)_Query C.Custos SF 10-11_Diferenças outubro CAN- (2)_7-Estoque" xfId="16666"/>
    <cellStyle name="s_Valuation _Despesas ADM e COML (3)_Query C.Custos SF 10-11_Diferenças outubro CAN- (2)_Balanço" xfId="16667"/>
    <cellStyle name="s_Valuation _Despesas ADM e COML (3)_Query C.Custos SF 10-11_Query C.Custos SF 10-11" xfId="16668"/>
    <cellStyle name="s_Valuation _Despesas ADM e COML (3)_Query C.Custos SF 10-11_Query C.Custos SF 10-11 2" xfId="16669"/>
    <cellStyle name="s_Valuation _Despesas ADM e COML (3)_Query C.Custos SF 10-11_Query C.Custos SF 10-11 2_15-FINANCEIRAS" xfId="16670"/>
    <cellStyle name="s_Valuation _Despesas ADM e COML (3)_Query C.Custos SF 10-11_Query C.Custos SF 10-11_15-FINANCEIRAS" xfId="16671"/>
    <cellStyle name="s_Valuation _Despesas ADM e COML (3)_Query C.Custos SF 10-11_Query C.Custos SF 10-11_15-FINANCEIRAS_1" xfId="16672"/>
    <cellStyle name="s_Valuation _Despesas ADM e COML (3)_Query C.Custos SF 10-11_Query C.Custos SF 10-11_3-Balanço" xfId="16673"/>
    <cellStyle name="s_Valuation _Despesas ADM e COML (3)_Query C.Custos SF 10-11_Query C.Custos SF 10-11_3-Balanço 2" xfId="16674"/>
    <cellStyle name="s_Valuation _Despesas ADM e COML (3)_Query C.Custos SF 10-11_Query C.Custos SF 10-11_3-Balanço 2_15-FINANCEIRAS" xfId="16675"/>
    <cellStyle name="s_Valuation _Despesas ADM e COML (3)_Query C.Custos SF 10-11_Query C.Custos SF 10-11_3-Balanço_1" xfId="16676"/>
    <cellStyle name="s_Valuation _Despesas ADM e COML (3)_Query C.Custos SF 10-11_Query C.Custos SF 10-11_3-Balanço_15-FINANCEIRAS" xfId="16677"/>
    <cellStyle name="s_Valuation _Despesas ADM e COML (3)_Query C.Custos SF 10-11_Query C.Custos SF 10-11_3-Balanço_15-FINANCEIRAS_1" xfId="16678"/>
    <cellStyle name="s_Valuation _Despesas ADM e COML (3)_Query C.Custos SF 10-11_Query C.Custos SF 10-11_3-Balanço_3-Balanço" xfId="16679"/>
    <cellStyle name="s_Valuation _Despesas ADM e COML (3)_Query C.Custos SF 10-11_Query C.Custos SF 10-11_3-Balanço_7-Estoque" xfId="16680"/>
    <cellStyle name="s_Valuation _Despesas ADM e COML (3)_Query C.Custos SF 10-11_Query C.Custos SF 10-11_7-Estoque" xfId="16681"/>
    <cellStyle name="s_Valuation _Despesas ADM e COML (3)_Query C.Custos SF 10-11_Query C.Custos SF 10-11_Balanço" xfId="16682"/>
    <cellStyle name="s_Valuation _DFC Indireto_Novo" xfId="16683"/>
    <cellStyle name="s_Valuation _Display" xfId="16684"/>
    <cellStyle name="s_Valuation _Display 2" xfId="16685"/>
    <cellStyle name="s_Valuation _Display 2_15-FINANCEIRAS" xfId="16686"/>
    <cellStyle name="s_Valuation _Display_15-FINANCEIRAS" xfId="16687"/>
    <cellStyle name="s_Valuation _Display_15-FINANCEIRAS_1" xfId="16688"/>
    <cellStyle name="s_Valuation _Display_3-Balanço" xfId="16689"/>
    <cellStyle name="s_Valuation _Display_7-Estoque" xfId="16690"/>
    <cellStyle name="s_Valuation _Ind_Consol" xfId="16691"/>
    <cellStyle name="s_Valuation _Informações Financeiras - Cosan Combustíveis e Lubrificantes S.A" xfId="16692"/>
    <cellStyle name="s_Valuation _Informações Financeiras - Cosan Combustíveis e Lubrificantes S.A 2" xfId="16693"/>
    <cellStyle name="s_Valuation _Informações Financeiras - Cosan Combustíveis e Lubrificantes S.A 2 2" xfId="16694"/>
    <cellStyle name="s_Valuation _Informações Financeiras - Cosan Combustíveis e Lubrificantes S.A 2 2_15-FINANCEIRAS" xfId="16695"/>
    <cellStyle name="s_Valuation _Informações Financeiras - Cosan Combustíveis e Lubrificantes S.A 2_15-FINANCEIRAS" xfId="16696"/>
    <cellStyle name="s_Valuation _Informações Financeiras - Cosan Combustíveis e Lubrificantes S.A 2_15-FINANCEIRAS_1" xfId="16697"/>
    <cellStyle name="s_Valuation _Informações Financeiras - Cosan Combustíveis e Lubrificantes S.A 2_3-Balanço" xfId="16698"/>
    <cellStyle name="s_Valuation _Informações Financeiras - Cosan Combustíveis e Lubrificantes S.A 2_7-Estoque" xfId="16699"/>
    <cellStyle name="s_Valuation _Informações Financeiras - Cosan Combustíveis e Lubrificantes S.A 3" xfId="16700"/>
    <cellStyle name="s_Valuation _Informações Financeiras - Cosan Combustíveis e Lubrificantes S.A 3 2" xfId="16701"/>
    <cellStyle name="s_Valuation _Informações Financeiras - Cosan Combustíveis e Lubrificantes S.A 3 2_15-FINANCEIRAS" xfId="16702"/>
    <cellStyle name="s_Valuation _Informações Financeiras - Cosan Combustíveis e Lubrificantes S.A 3_15-FINANCEIRAS" xfId="16703"/>
    <cellStyle name="s_Valuation _Informações Financeiras - Cosan Combustíveis e Lubrificantes S.A 3_15-FINANCEIRAS_1" xfId="16704"/>
    <cellStyle name="s_Valuation _Informações Financeiras - Cosan Combustíveis e Lubrificantes S.A 3_3-Balanço" xfId="16705"/>
    <cellStyle name="s_Valuation _Informações Financeiras - Cosan Combustíveis e Lubrificantes S.A 3_7-Estoque" xfId="16706"/>
    <cellStyle name="s_Valuation _Informações Financeiras - Cosan Combustíveis e Lubrificantes S.A 4" xfId="16707"/>
    <cellStyle name="s_Valuation _Informações Financeiras - Cosan Combustíveis e Lubrificantes S.A 4 2" xfId="16708"/>
    <cellStyle name="s_Valuation _Informações Financeiras - Cosan Combustíveis e Lubrificantes S.A 4 2_15-FINANCEIRAS" xfId="16709"/>
    <cellStyle name="s_Valuation _Informações Financeiras - Cosan Combustíveis e Lubrificantes S.A 4_15-FINANCEIRAS" xfId="16710"/>
    <cellStyle name="s_Valuation _Informações Financeiras - Cosan Combustíveis e Lubrificantes S.A 4_15-FINANCEIRAS_1" xfId="16711"/>
    <cellStyle name="s_Valuation _Informações Financeiras - Cosan Combustíveis e Lubrificantes S.A 4_3-Balanço" xfId="16712"/>
    <cellStyle name="s_Valuation _Informações Financeiras - Cosan Combustíveis e Lubrificantes S.A 5" xfId="16713"/>
    <cellStyle name="s_Valuation _Informações Financeiras - Cosan Combustíveis e Lubrificantes S.A 5_15-FINANCEIRAS" xfId="16714"/>
    <cellStyle name="s_Valuation _Informações Financeiras - Cosan Combustíveis e Lubrificantes S.A_15-FINANCEIRAS" xfId="16715"/>
    <cellStyle name="s_Valuation _Informações Financeiras - Cosan Combustíveis e Lubrificantes S.A_15-FINANCEIRAS_1" xfId="16716"/>
    <cellStyle name="s_Valuation _Informações Financeiras - Cosan Combustíveis e Lubrificantes S.A_26_Instrumentos Financeiros" xfId="16717"/>
    <cellStyle name="s_Valuation _Informações Financeiras - Cosan Combustíveis e Lubrificantes S.A_26_Instrumentos Financeiros 2" xfId="16718"/>
    <cellStyle name="s_Valuation _Informações Financeiras - Cosan Combustíveis e Lubrificantes S.A_26_Instrumentos Financeiros 2_15-FINANCEIRAS" xfId="16719"/>
    <cellStyle name="s_Valuation _Informações Financeiras - Cosan Combustíveis e Lubrificantes S.A_26_Instrumentos Financeiros_1" xfId="16720"/>
    <cellStyle name="s_Valuation _Informações Financeiras - Cosan Combustíveis e Lubrificantes S.A_26_Instrumentos Financeiros_1 2" xfId="16721"/>
    <cellStyle name="s_Valuation _Informações Financeiras - Cosan Combustíveis e Lubrificantes S.A_26_Instrumentos Financeiros_1 2_15-FINANCEIRAS" xfId="16722"/>
    <cellStyle name="s_Valuation _Informações Financeiras - Cosan Combustíveis e Lubrificantes S.A_26_Instrumentos Financeiros_1_15-FINANCEIRAS" xfId="16723"/>
    <cellStyle name="s_Valuation _Informações Financeiras - Cosan Combustíveis e Lubrificantes S.A_26_Instrumentos Financeiros_1_15-FINANCEIRAS_1" xfId="16724"/>
    <cellStyle name="s_Valuation _Informações Financeiras - Cosan Combustíveis e Lubrificantes S.A_26_Instrumentos Financeiros_1_3-Balanço" xfId="16725"/>
    <cellStyle name="s_Valuation _Informações Financeiras - Cosan Combustíveis e Lubrificantes S.A_26_Instrumentos Financeiros_1_7-Estoque" xfId="16726"/>
    <cellStyle name="s_Valuation _Informações Financeiras - Cosan Combustíveis e Lubrificantes S.A_26_Instrumentos Financeiros_15-FINANCEIRAS" xfId="16727"/>
    <cellStyle name="s_Valuation _Informações Financeiras - Cosan Combustíveis e Lubrificantes S.A_26_Instrumentos Financeiros_15-FINANCEIRAS_1" xfId="16728"/>
    <cellStyle name="s_Valuation _Informações Financeiras - Cosan Combustíveis e Lubrificantes S.A_26_Instrumentos Financeiros_3-Balanço" xfId="16729"/>
    <cellStyle name="s_Valuation _Informações Financeiras - Cosan Combustíveis e Lubrificantes S.A_26_Instrumentos Financeiros_7-Estoque" xfId="16730"/>
    <cellStyle name="s_Valuation _Informações Financeiras - Cosan Combustíveis e Lubrificantes S.A_2-DRE" xfId="16731"/>
    <cellStyle name="s_Valuation _Informações Financeiras - Cosan Combustíveis e Lubrificantes S.A_2-DRE 2" xfId="16732"/>
    <cellStyle name="s_Valuation _Informações Financeiras - Cosan Combustíveis e Lubrificantes S.A_2-DRE 2_15-FINANCEIRAS" xfId="16733"/>
    <cellStyle name="s_Valuation _Informações Financeiras - Cosan Combustíveis e Lubrificantes S.A_2-DRE_15-FINANCEIRAS" xfId="16734"/>
    <cellStyle name="s_Valuation _Informações Financeiras - Cosan Combustíveis e Lubrificantes S.A_2-DRE_15-FINANCEIRAS_1" xfId="16735"/>
    <cellStyle name="s_Valuation _Informações Financeiras - Cosan Combustíveis e Lubrificantes S.A_2-DRE_3-Balanço" xfId="16736"/>
    <cellStyle name="s_Valuation _Informações Financeiras - Cosan Combustíveis e Lubrificantes S.A_2-DRE_7-Estoque" xfId="16737"/>
    <cellStyle name="s_Valuation _Informações Financeiras - Cosan Combustíveis e Lubrificantes S.A_3-Balanço" xfId="16738"/>
    <cellStyle name="s_Valuation _Informações Financeiras - Cosan Combustíveis e Lubrificantes S.A_3-Balanço 2" xfId="16739"/>
    <cellStyle name="s_Valuation _Informações Financeiras - Cosan Combustíveis e Lubrificantes S.A_3-Balanço 2_15-FINANCEIRAS" xfId="16740"/>
    <cellStyle name="s_Valuation _Informações Financeiras - Cosan Combustíveis e Lubrificantes S.A_3-Balanço_1" xfId="16741"/>
    <cellStyle name="s_Valuation _Informações Financeiras - Cosan Combustíveis e Lubrificantes S.A_3-Balanço_1 2" xfId="16742"/>
    <cellStyle name="s_Valuation _Informações Financeiras - Cosan Combustíveis e Lubrificantes S.A_3-Balanço_1 2_15-FINANCEIRAS" xfId="16743"/>
    <cellStyle name="s_Valuation _Informações Financeiras - Cosan Combustíveis e Lubrificantes S.A_3-Balanço_1_15-FINANCEIRAS" xfId="16744"/>
    <cellStyle name="s_Valuation _Informações Financeiras - Cosan Combustíveis e Lubrificantes S.A_3-Balanço_1_15-FINANCEIRAS_1" xfId="16745"/>
    <cellStyle name="s_Valuation _Informações Financeiras - Cosan Combustíveis e Lubrificantes S.A_3-Balanço_1_3-Balanço" xfId="16746"/>
    <cellStyle name="s_Valuation _Informações Financeiras - Cosan Combustíveis e Lubrificantes S.A_3-Balanço_1_7-Estoque" xfId="16747"/>
    <cellStyle name="s_Valuation _Informações Financeiras - Cosan Combustíveis e Lubrificantes S.A_3-Balanço_15-FINANCEIRAS" xfId="16748"/>
    <cellStyle name="s_Valuation _Informações Financeiras - Cosan Combustíveis e Lubrificantes S.A_3-Balanço_15-FINANCEIRAS_1" xfId="16749"/>
    <cellStyle name="s_Valuation _Informações Financeiras - Cosan Combustíveis e Lubrificantes S.A_3-Balanço_2" xfId="16750"/>
    <cellStyle name="s_Valuation _Informações Financeiras - Cosan Combustíveis e Lubrificantes S.A_3-Balanço_3-Balanço" xfId="16751"/>
    <cellStyle name="s_Valuation _Informações Financeiras - Cosan Combustíveis e Lubrificantes S.A_3-Balanço_7-Estoque" xfId="16752"/>
    <cellStyle name="s_Valuation _Informações Financeiras - Cosan Combustíveis e Lubrificantes S.A_4-DMPL" xfId="16753"/>
    <cellStyle name="s_Valuation _Informações Financeiras - Cosan Combustíveis e Lubrificantes S.A_4-DMPL 2" xfId="16754"/>
    <cellStyle name="s_Valuation _Informações Financeiras - Cosan Combustíveis e Lubrificantes S.A_4-DMPL 2_15-FINANCEIRAS" xfId="16755"/>
    <cellStyle name="s_Valuation _Informações Financeiras - Cosan Combustíveis e Lubrificantes S.A_4-DMPL_15-FINANCEIRAS" xfId="16756"/>
    <cellStyle name="s_Valuation _Informações Financeiras - Cosan Combustíveis e Lubrificantes S.A_4-DMPL_15-FINANCEIRAS_1" xfId="16757"/>
    <cellStyle name="s_Valuation _Informações Financeiras - Cosan Combustíveis e Lubrificantes S.A_4-DMPL_3-Balanço" xfId="16758"/>
    <cellStyle name="s_Valuation _Informações Financeiras - Cosan Combustíveis e Lubrificantes S.A_7-Estoque" xfId="16759"/>
    <cellStyle name="s_Valuation _Informações Financeiras - Cosan Combustíveis e Lubrificantes S.A_8-Impostos" xfId="16760"/>
    <cellStyle name="s_Valuation _Informações Financeiras - Cosan Combustíveis e Lubrificantes S.A_8-Impostos 2" xfId="16761"/>
    <cellStyle name="s_Valuation _Informações Financeiras - Cosan Combustíveis e Lubrificantes S.A_8-Impostos 2_15-FINANCEIRAS" xfId="16762"/>
    <cellStyle name="s_Valuation _Informações Financeiras - Cosan Combustíveis e Lubrificantes S.A_8-Impostos_15-FINANCEIRAS" xfId="16763"/>
    <cellStyle name="s_Valuation _Informações Financeiras - Cosan Combustíveis e Lubrificantes S.A_8-Impostos_15-FINANCEIRAS_1" xfId="16764"/>
    <cellStyle name="s_Valuation _Informações Financeiras - Cosan Combustíveis e Lubrificantes S.A_8-Impostos_3-Balanço" xfId="16765"/>
    <cellStyle name="s_Valuation _Informações Financeiras - Cosan Combustíveis e Lubrificantes S.A_Acerto FV e Ajustes Manuais" xfId="16766"/>
    <cellStyle name="s_Valuation _Informações Financeiras - Cosan Combustíveis e Lubrificantes S.A_Balanço" xfId="16767"/>
    <cellStyle name="s_Valuation _Informações Financeiras - Cosan Combustíveis e Lubrificantes S.A_Caixa restrito" xfId="16768"/>
    <cellStyle name="s_Valuation _Informações Financeiras - Cosan Combustíveis e Lubrificantes S.A_Caixa restrito_7-Estoque" xfId="16769"/>
    <cellStyle name="s_Valuation _Informações Financeiras - Cosan Combustíveis e Lubrificantes S.A_COSAN SA CONSOLID_MÊS" xfId="16770"/>
    <cellStyle name="s_Valuation _Informações Financeiras - Cosan Combustíveis e Lubrificantes S.A_Display" xfId="16771"/>
    <cellStyle name="s_Valuation _Informações Financeiras - Cosan Combustíveis e Lubrificantes S.A_Display 2" xfId="16772"/>
    <cellStyle name="s_Valuation _Informações Financeiras - Cosan Combustíveis e Lubrificantes S.A_Display 2_15-FINANCEIRAS" xfId="16773"/>
    <cellStyle name="s_Valuation _Informações Financeiras - Cosan Combustíveis e Lubrificantes S.A_Display_15-FINANCEIRAS" xfId="16774"/>
    <cellStyle name="s_Valuation _Informações Financeiras - Cosan Combustíveis e Lubrificantes S.A_Display_15-FINANCEIRAS_1" xfId="16775"/>
    <cellStyle name="s_Valuation _Informações Financeiras - Cosan Combustíveis e Lubrificantes S.A_Display_3-Balanço" xfId="16776"/>
    <cellStyle name="s_Valuation _Informações Financeiras - Cosan Combustíveis e Lubrificantes S.A_Display_7-Estoque" xfId="16777"/>
    <cellStyle name="s_Valuation _Informações Financeiras - Cosan Combustíveis e Lubrificantes S.A_Instrumentos Financeiros" xfId="16778"/>
    <cellStyle name="s_Valuation _Informações Financeiras - Cosan Combustíveis e Lubrificantes S.A_Instrumentos Financeiros 2" xfId="16779"/>
    <cellStyle name="s_Valuation _Informações Financeiras - Cosan Combustíveis e Lubrificantes S.A_Instrumentos Financeiros 2_15-FINANCEIRAS" xfId="16780"/>
    <cellStyle name="s_Valuation _Informações Financeiras - Cosan Combustíveis e Lubrificantes S.A_Instrumentos Financeiros_15-FINANCEIRAS" xfId="16781"/>
    <cellStyle name="s_Valuation _Informações Financeiras - Cosan Combustíveis e Lubrificantes S.A_Instrumentos Financeiros_15-FINANCEIRAS_1" xfId="16782"/>
    <cellStyle name="s_Valuation _Informações Financeiras - Cosan Combustíveis e Lubrificantes S.A_Instrumentos Financeiros_3-Balanço" xfId="16783"/>
    <cellStyle name="s_Valuation _Informações Financeiras - Cosan Combustíveis e Lubrificantes S.A_Instrumentos Financeiros_7-Estoque" xfId="16784"/>
    <cellStyle name="s_Valuation _Informações Financeiras - Cosan Combustíveis e Lubrificantes S.A_Mapa 3T12" xfId="16785"/>
    <cellStyle name="s_Valuation _Informações Financeiras - Cosan Combustíveis e Lubrificantes S.A_Mapa 3T12 2" xfId="16786"/>
    <cellStyle name="s_Valuation _Informações Financeiras - Cosan Combustíveis e Lubrificantes S.A_Mapa 3T12 2_15-FINANCEIRAS" xfId="16787"/>
    <cellStyle name="s_Valuation _Informações Financeiras - Cosan Combustíveis e Lubrificantes S.A_Mapa 3T12_15-FINANCEIRAS" xfId="16788"/>
    <cellStyle name="s_Valuation _Informações Financeiras - Cosan Combustíveis e Lubrificantes S.A_Mapa 3T12_15-FINANCEIRAS_1" xfId="16789"/>
    <cellStyle name="s_Valuation _Informações Financeiras - Cosan Combustíveis e Lubrificantes S.A_Mapa 3T12_3-Balanço" xfId="16790"/>
    <cellStyle name="s_Valuation _Informações Financeiras - Cosan Combustíveis e Lubrificantes S.A_P&amp;L_MENSAL" xfId="16791"/>
    <cellStyle name="s_Valuation _Informações Financeiras - Cosan Combustíveis e Lubrificantes S.A_Plan2" xfId="16792"/>
    <cellStyle name="s_Valuation _Informações Financeiras - Cosan Combustíveis e Lubrificantes S.A_Plan2 2" xfId="16793"/>
    <cellStyle name="s_Valuation _Informações Financeiras - Cosan Combustíveis e Lubrificantes S.A_Plan2 2_15-FINANCEIRAS" xfId="16794"/>
    <cellStyle name="s_Valuation _Informações Financeiras - Cosan Combustíveis e Lubrificantes S.A_Plan2_15-FINANCEIRAS" xfId="16795"/>
    <cellStyle name="s_Valuation _Informações Financeiras - Cosan Combustíveis e Lubrificantes S.A_Plan2_15-FINANCEIRAS_1" xfId="16796"/>
    <cellStyle name="s_Valuation _Informações Financeiras - Cosan Combustíveis e Lubrificantes S.A_Plan2_3-Balanço" xfId="16797"/>
    <cellStyle name="s_Valuation _Informações Financeiras - Cosan Combustíveis e Lubrificantes S.A_Plan2_7-Estoque" xfId="16798"/>
    <cellStyle name="s_Valuation _Instrumentos Financeiros" xfId="16799"/>
    <cellStyle name="s_Valuation _Instrumentos Financeiros 2" xfId="16800"/>
    <cellStyle name="s_Valuation _Instrumentos Financeiros 2_15-FINANCEIRAS" xfId="16801"/>
    <cellStyle name="s_Valuation _Instrumentos Financeiros_1" xfId="16802"/>
    <cellStyle name="s_Valuation _Instrumentos Financeiros_1 2" xfId="16803"/>
    <cellStyle name="s_Valuation _Instrumentos Financeiros_1 2_15-FINANCEIRAS" xfId="16804"/>
    <cellStyle name="s_Valuation _Instrumentos Financeiros_1_15-FINANCEIRAS" xfId="16805"/>
    <cellStyle name="s_Valuation _Instrumentos Financeiros_1_15-FINANCEIRAS_1" xfId="16806"/>
    <cellStyle name="s_Valuation _Instrumentos Financeiros_1_3-Balanço" xfId="16807"/>
    <cellStyle name="s_Valuation _Instrumentos Financeiros_1_7-Estoque" xfId="16808"/>
    <cellStyle name="s_Valuation _Instrumentos Financeiros_15-FINANCEIRAS" xfId="16809"/>
    <cellStyle name="s_Valuation _Instrumentos Financeiros_15-FINANCEIRAS_1" xfId="16810"/>
    <cellStyle name="s_Valuation _Instrumentos Financeiros_3-Balanço" xfId="16811"/>
    <cellStyle name="s_Valuation _Instrumentos Financeiros_7-Estoque" xfId="16812"/>
    <cellStyle name="s_Valuation _Mapa 3T12" xfId="16813"/>
    <cellStyle name="s_Valuation _Mapa 3T12 2" xfId="16814"/>
    <cellStyle name="s_Valuation _Mapa 3T12 2_15-FINANCEIRAS" xfId="16815"/>
    <cellStyle name="s_Valuation _Mapa 3T12_15-FINANCEIRAS" xfId="16816"/>
    <cellStyle name="s_Valuation _Mapa 3T12_15-FINANCEIRAS_1" xfId="16817"/>
    <cellStyle name="s_Valuation _Mapa 3T12_3-Balanço" xfId="16818"/>
    <cellStyle name="s_Valuation _Modelo kardex_Abril 10-11_Alcool_v 1.1" xfId="16819"/>
    <cellStyle name="s_Valuation _Modelo kardex_Abril 10-11_Alcool_v 1.1 2" xfId="16820"/>
    <cellStyle name="s_Valuation _Modelo kardex_Abril 10-11_Alcool_v 1.1 2_15-FINANCEIRAS" xfId="16821"/>
    <cellStyle name="s_Valuation _Modelo kardex_Abril 10-11_Alcool_v 1.1_15-FINANCEIRAS" xfId="16822"/>
    <cellStyle name="s_Valuation _Modelo kardex_Abril 10-11_Alcool_v 1.1_15-FINANCEIRAS_1" xfId="16823"/>
    <cellStyle name="s_Valuation _Modelo kardex_Abril 10-11_Alcool_v 1.1_3-Balanço" xfId="16824"/>
    <cellStyle name="s_Valuation _Modelo kardex_Abril 10-11_Alcool_v 1.1_3-Balanço 2" xfId="16825"/>
    <cellStyle name="s_Valuation _Modelo kardex_Abril 10-11_Alcool_v 1.1_3-Balanço 2_15-FINANCEIRAS" xfId="16826"/>
    <cellStyle name="s_Valuation _Modelo kardex_Abril 10-11_Alcool_v 1.1_3-Balanço_1" xfId="16827"/>
    <cellStyle name="s_Valuation _Modelo kardex_Abril 10-11_Alcool_v 1.1_3-Balanço_15-FINANCEIRAS" xfId="16828"/>
    <cellStyle name="s_Valuation _Modelo kardex_Abril 10-11_Alcool_v 1.1_3-Balanço_15-FINANCEIRAS_1" xfId="16829"/>
    <cellStyle name="s_Valuation _Modelo kardex_Abril 10-11_Alcool_v 1.1_3-Balanço_3-Balanço" xfId="16830"/>
    <cellStyle name="s_Valuation _Modelo kardex_Abril 10-11_Alcool_v 1.1_3-Balanço_7-Estoque" xfId="16831"/>
    <cellStyle name="s_Valuation _Modelo kardex_Abril 10-11_Alcool_v 1.1_7-Estoque" xfId="16832"/>
    <cellStyle name="s_Valuation _Modelo kardex_Abril 10-11_Alcool_v 1.1_Balanço" xfId="16833"/>
    <cellStyle name="s_Valuation _MTM Swap Morgan Stanley" xfId="16834"/>
    <cellStyle name="s_Valuation _MTM Swap Morgan Stanley 2" xfId="16835"/>
    <cellStyle name="s_Valuation _MTM Swap Morgan Stanley 2_15-FINANCEIRAS" xfId="16836"/>
    <cellStyle name="s_Valuation _MTM Swap Morgan Stanley_15-FINANCEIRAS" xfId="16837"/>
    <cellStyle name="s_Valuation _MTM Swap Morgan Stanley_15-FINANCEIRAS_1" xfId="16838"/>
    <cellStyle name="s_Valuation _MTM Swap Morgan Stanley_3-Balanço" xfId="16839"/>
    <cellStyle name="s_Valuation _MTM Swap Morgan Stanley_7-Estoque" xfId="16840"/>
    <cellStyle name="s_Valuation _MTM Swap Morgan Stanley_MtM Swap Morgan Stanley" xfId="16841"/>
    <cellStyle name="s_Valuation _MTM Swap Morgan Stanley_MtM Swap Morgan Stanley 130109" xfId="16842"/>
    <cellStyle name="s_Valuation _MTM Swap Morgan Stanley_MtM Swap Morgan Stanley 130109 2" xfId="16843"/>
    <cellStyle name="s_Valuation _MTM Swap Morgan Stanley_MtM Swap Morgan Stanley 130109 2_15-FINANCEIRAS" xfId="16844"/>
    <cellStyle name="s_Valuation _MTM Swap Morgan Stanley_MtM Swap Morgan Stanley 130109_15-FINANCEIRAS" xfId="16845"/>
    <cellStyle name="s_Valuation _MTM Swap Morgan Stanley_MtM Swap Morgan Stanley 130109_15-FINANCEIRAS_1" xfId="16846"/>
    <cellStyle name="s_Valuation _MTM Swap Morgan Stanley_MtM Swap Morgan Stanley 130109_3-Balanço" xfId="16847"/>
    <cellStyle name="s_Valuation _MTM Swap Morgan Stanley_MtM Swap Morgan Stanley 130109_7-Estoque" xfId="16848"/>
    <cellStyle name="s_Valuation _MTM Swap Morgan Stanley_MtM Swap Morgan Stanley 130109_Relatório Gerencial" xfId="16849"/>
    <cellStyle name="s_Valuation _MTM Swap Morgan Stanley_MtM Swap Morgan Stanley 130109_Relatório Gerencial 2" xfId="16850"/>
    <cellStyle name="s_Valuation _MTM Swap Morgan Stanley_MtM Swap Morgan Stanley 130109_Relatório Gerencial 2_15-FINANCEIRAS" xfId="16851"/>
    <cellStyle name="s_Valuation _MTM Swap Morgan Stanley_MtM Swap Morgan Stanley 130109_Relatório Gerencial_15-FINANCEIRAS" xfId="16852"/>
    <cellStyle name="s_Valuation _MTM Swap Morgan Stanley_MtM Swap Morgan Stanley 130109_Relatório Gerencial_15-FINANCEIRAS_1" xfId="16853"/>
    <cellStyle name="s_Valuation _MTM Swap Morgan Stanley_MtM Swap Morgan Stanley 130109_Relatório Gerencial_3-Balanço" xfId="16854"/>
    <cellStyle name="s_Valuation _MTM Swap Morgan Stanley_MtM Swap Morgan Stanley 130109_Relatório Gerencial_7-Estoque" xfId="16855"/>
    <cellStyle name="s_Valuation _MTM Swap Morgan Stanley_MtM Swap Morgan Stanley 2" xfId="16856"/>
    <cellStyle name="s_Valuation _MTM Swap Morgan Stanley_MtM Swap Morgan Stanley 2_15-FINANCEIRAS" xfId="16857"/>
    <cellStyle name="s_Valuation _MTM Swap Morgan Stanley_MtM Swap Morgan Stanley_15-FINANCEIRAS" xfId="16858"/>
    <cellStyle name="s_Valuation _MTM Swap Morgan Stanley_MtM Swap Morgan Stanley_15-FINANCEIRAS_1" xfId="16859"/>
    <cellStyle name="s_Valuation _MTM Swap Morgan Stanley_MtM Swap Morgan Stanley_3-Balanço" xfId="16860"/>
    <cellStyle name="s_Valuation _MTM Swap Morgan Stanley_MtM Swap Morgan Stanley_7-Estoque" xfId="16861"/>
    <cellStyle name="s_Valuation _MTM Swap Morgan Stanley_MtM Swap Morgan Stanley_Relatório Gerencial" xfId="16862"/>
    <cellStyle name="s_Valuation _MTM Swap Morgan Stanley_MtM Swap Morgan Stanley_Relatório Gerencial 2" xfId="16863"/>
    <cellStyle name="s_Valuation _MTM Swap Morgan Stanley_MtM Swap Morgan Stanley_Relatório Gerencial 2_15-FINANCEIRAS" xfId="16864"/>
    <cellStyle name="s_Valuation _MTM Swap Morgan Stanley_MtM Swap Morgan Stanley_Relatório Gerencial_15-FINANCEIRAS" xfId="16865"/>
    <cellStyle name="s_Valuation _MTM Swap Morgan Stanley_MtM Swap Morgan Stanley_Relatório Gerencial_15-FINANCEIRAS_1" xfId="16866"/>
    <cellStyle name="s_Valuation _MTM Swap Morgan Stanley_MtM Swap Morgan Stanley_Relatório Gerencial_3-Balanço" xfId="16867"/>
    <cellStyle name="s_Valuation _MTM Swap Morgan Stanley_MtM Swap Morgan Stanley_Relatório Gerencial_7-Estoque" xfId="16868"/>
    <cellStyle name="s_Valuation _MTM Swap Morgan Stanley_Relatório Gerencial" xfId="16869"/>
    <cellStyle name="s_Valuation _MTM Swap Morgan Stanley_Relatório Gerencial 2" xfId="16870"/>
    <cellStyle name="s_Valuation _MTM Swap Morgan Stanley_Relatório Gerencial 2_15-FINANCEIRAS" xfId="16871"/>
    <cellStyle name="s_Valuation _MTM Swap Morgan Stanley_Relatório Gerencial_15-FINANCEIRAS" xfId="16872"/>
    <cellStyle name="s_Valuation _MTM Swap Morgan Stanley_Relatório Gerencial_15-FINANCEIRAS_1" xfId="16873"/>
    <cellStyle name="s_Valuation _MTM Swap Morgan Stanley_Relatório Gerencial_3-Balanço" xfId="16874"/>
    <cellStyle name="s_Valuation _MTM Swap Morgan Stanley_Relatório Gerencial_7-Estoque" xfId="16875"/>
    <cellStyle name="s_Valuation _MtM Swap Out08 CF" xfId="16876"/>
    <cellStyle name="s_Valuation _MtM Swap Out08 CF 2" xfId="16877"/>
    <cellStyle name="s_Valuation _MtM Swap Out08 CF 2_15-FINANCEIRAS" xfId="16878"/>
    <cellStyle name="s_Valuation _MtM Swap Out08 CF_15-FINANCEIRAS" xfId="16879"/>
    <cellStyle name="s_Valuation _MtM Swap Out08 CF_15-FINANCEIRAS_1" xfId="16880"/>
    <cellStyle name="s_Valuation _MtM Swap Out08 CF_3-Balanço" xfId="16881"/>
    <cellStyle name="s_Valuation _MtM Swap Out08 CF_7-Estoque" xfId="16882"/>
    <cellStyle name="s_Valuation _MtM Swap Out08 CF_Relatório Gerencial" xfId="16883"/>
    <cellStyle name="s_Valuation _MtM Swap Out08 CF_Relatório Gerencial 2" xfId="16884"/>
    <cellStyle name="s_Valuation _MtM Swap Out08 CF_Relatório Gerencial 2_15-FINANCEIRAS" xfId="16885"/>
    <cellStyle name="s_Valuation _MtM Swap Out08 CF_Relatório Gerencial_15-FINANCEIRAS" xfId="16886"/>
    <cellStyle name="s_Valuation _MtM Swap Out08 CF_Relatório Gerencial_15-FINANCEIRAS_1" xfId="16887"/>
    <cellStyle name="s_Valuation _MtM Swap Out08 CF_Relatório Gerencial_3-Balanço" xfId="16888"/>
    <cellStyle name="s_Valuation _MtM Swap Out08 CF_Relatório Gerencial_7-Estoque" xfId="16889"/>
    <cellStyle name="s_Valuation _NDF" xfId="16890"/>
    <cellStyle name="s_Valuation _NDF 10" xfId="16891"/>
    <cellStyle name="s_Valuation _NDF 10 2" xfId="16892"/>
    <cellStyle name="s_Valuation _NDF 10 2_15-FINANCEIRAS" xfId="16893"/>
    <cellStyle name="s_Valuation _NDF 10_15-FINANCEIRAS" xfId="16894"/>
    <cellStyle name="s_Valuation _NDF 10_15-FINANCEIRAS_1" xfId="16895"/>
    <cellStyle name="s_Valuation _NDF 10_3-Balanço" xfId="16896"/>
    <cellStyle name="s_Valuation _NDF 10_7-Estoque" xfId="16897"/>
    <cellStyle name="s_Valuation _NDF 10_Relatório Gerencial" xfId="16898"/>
    <cellStyle name="s_Valuation _NDF 10_Relatório Gerencial 2" xfId="16899"/>
    <cellStyle name="s_Valuation _NDF 10_Relatório Gerencial 2_15-FINANCEIRAS" xfId="16900"/>
    <cellStyle name="s_Valuation _NDF 10_Relatório Gerencial_15-FINANCEIRAS" xfId="16901"/>
    <cellStyle name="s_Valuation _NDF 10_Relatório Gerencial_15-FINANCEIRAS_1" xfId="16902"/>
    <cellStyle name="s_Valuation _NDF 10_Relatório Gerencial_3-Balanço" xfId="16903"/>
    <cellStyle name="s_Valuation _NDF 10_Relatório Gerencial_7-Estoque" xfId="16904"/>
    <cellStyle name="s_Valuation _NDF 11" xfId="16905"/>
    <cellStyle name="s_Valuation _NDF 11 2" xfId="16906"/>
    <cellStyle name="s_Valuation _NDF 11 2_15-FINANCEIRAS" xfId="16907"/>
    <cellStyle name="s_Valuation _NDF 11_15-FINANCEIRAS" xfId="16908"/>
    <cellStyle name="s_Valuation _NDF 11_15-FINANCEIRAS_1" xfId="16909"/>
    <cellStyle name="s_Valuation _NDF 11_3-Balanço" xfId="16910"/>
    <cellStyle name="s_Valuation _NDF 11_7-Estoque" xfId="16911"/>
    <cellStyle name="s_Valuation _NDF 11_Relatório Gerencial" xfId="16912"/>
    <cellStyle name="s_Valuation _NDF 11_Relatório Gerencial 2" xfId="16913"/>
    <cellStyle name="s_Valuation _NDF 11_Relatório Gerencial 2_15-FINANCEIRAS" xfId="16914"/>
    <cellStyle name="s_Valuation _NDF 11_Relatório Gerencial_15-FINANCEIRAS" xfId="16915"/>
    <cellStyle name="s_Valuation _NDF 11_Relatório Gerencial_15-FINANCEIRAS_1" xfId="16916"/>
    <cellStyle name="s_Valuation _NDF 11_Relatório Gerencial_3-Balanço" xfId="16917"/>
    <cellStyle name="s_Valuation _NDF 11_Relatório Gerencial_7-Estoque" xfId="16918"/>
    <cellStyle name="s_Valuation _NDF 12" xfId="16919"/>
    <cellStyle name="s_Valuation _NDF 12_15-FINANCEIRAS" xfId="16920"/>
    <cellStyle name="s_Valuation _NDF 2" xfId="16921"/>
    <cellStyle name="s_Valuation _NDF 2 2" xfId="16922"/>
    <cellStyle name="s_Valuation _NDF 2 2_15-FINANCEIRAS" xfId="16923"/>
    <cellStyle name="s_Valuation _NDF 2_15-FINANCEIRAS" xfId="16924"/>
    <cellStyle name="s_Valuation _NDF 2_15-FINANCEIRAS_1" xfId="16925"/>
    <cellStyle name="s_Valuation _NDF 2_3-Balanço" xfId="16926"/>
    <cellStyle name="s_Valuation _NDF 2_7-Estoque" xfId="16927"/>
    <cellStyle name="s_Valuation _NDF 2_Relatório Gerencial" xfId="16928"/>
    <cellStyle name="s_Valuation _NDF 2_Relatório Gerencial 2" xfId="16929"/>
    <cellStyle name="s_Valuation _NDF 2_Relatório Gerencial 2_15-FINANCEIRAS" xfId="16930"/>
    <cellStyle name="s_Valuation _NDF 2_Relatório Gerencial_15-FINANCEIRAS" xfId="16931"/>
    <cellStyle name="s_Valuation _NDF 2_Relatório Gerencial_15-FINANCEIRAS_1" xfId="16932"/>
    <cellStyle name="s_Valuation _NDF 2_Relatório Gerencial_3-Balanço" xfId="16933"/>
    <cellStyle name="s_Valuation _NDF 2_Relatório Gerencial_7-Estoque" xfId="16934"/>
    <cellStyle name="s_Valuation _NDF 3" xfId="16935"/>
    <cellStyle name="s_Valuation _NDF 3 2" xfId="16936"/>
    <cellStyle name="s_Valuation _NDF 3 2_15-FINANCEIRAS" xfId="16937"/>
    <cellStyle name="s_Valuation _NDF 3_15-FINANCEIRAS" xfId="16938"/>
    <cellStyle name="s_Valuation _NDF 3_15-FINANCEIRAS_1" xfId="16939"/>
    <cellStyle name="s_Valuation _NDF 3_3-Balanço" xfId="16940"/>
    <cellStyle name="s_Valuation _NDF 3_7-Estoque" xfId="16941"/>
    <cellStyle name="s_Valuation _NDF 3_Relatório Gerencial" xfId="16942"/>
    <cellStyle name="s_Valuation _NDF 3_Relatório Gerencial 2" xfId="16943"/>
    <cellStyle name="s_Valuation _NDF 3_Relatório Gerencial 2_15-FINANCEIRAS" xfId="16944"/>
    <cellStyle name="s_Valuation _NDF 3_Relatório Gerencial_15-FINANCEIRAS" xfId="16945"/>
    <cellStyle name="s_Valuation _NDF 3_Relatório Gerencial_15-FINANCEIRAS_1" xfId="16946"/>
    <cellStyle name="s_Valuation _NDF 3_Relatório Gerencial_3-Balanço" xfId="16947"/>
    <cellStyle name="s_Valuation _NDF 3_Relatório Gerencial_7-Estoque" xfId="16948"/>
    <cellStyle name="s_Valuation _NDF 4" xfId="16949"/>
    <cellStyle name="s_Valuation _NDF 4 2" xfId="16950"/>
    <cellStyle name="s_Valuation _NDF 4 2_15-FINANCEIRAS" xfId="16951"/>
    <cellStyle name="s_Valuation _NDF 4_15-FINANCEIRAS" xfId="16952"/>
    <cellStyle name="s_Valuation _NDF 4_15-FINANCEIRAS_1" xfId="16953"/>
    <cellStyle name="s_Valuation _NDF 4_3-Balanço" xfId="16954"/>
    <cellStyle name="s_Valuation _NDF 4_7-Estoque" xfId="16955"/>
    <cellStyle name="s_Valuation _NDF 4_Relatório Gerencial" xfId="16956"/>
    <cellStyle name="s_Valuation _NDF 4_Relatório Gerencial 2" xfId="16957"/>
    <cellStyle name="s_Valuation _NDF 4_Relatório Gerencial 2_15-FINANCEIRAS" xfId="16958"/>
    <cellStyle name="s_Valuation _NDF 4_Relatório Gerencial_15-FINANCEIRAS" xfId="16959"/>
    <cellStyle name="s_Valuation _NDF 4_Relatório Gerencial_15-FINANCEIRAS_1" xfId="16960"/>
    <cellStyle name="s_Valuation _NDF 4_Relatório Gerencial_3-Balanço" xfId="16961"/>
    <cellStyle name="s_Valuation _NDF 4_Relatório Gerencial_7-Estoque" xfId="16962"/>
    <cellStyle name="s_Valuation _NDF 5" xfId="16963"/>
    <cellStyle name="s_Valuation _NDF 5 2" xfId="16964"/>
    <cellStyle name="s_Valuation _NDF 5 2_15-FINANCEIRAS" xfId="16965"/>
    <cellStyle name="s_Valuation _NDF 5_15-FINANCEIRAS" xfId="16966"/>
    <cellStyle name="s_Valuation _NDF 5_15-FINANCEIRAS_1" xfId="16967"/>
    <cellStyle name="s_Valuation _NDF 5_3-Balanço" xfId="16968"/>
    <cellStyle name="s_Valuation _NDF 5_7-Estoque" xfId="16969"/>
    <cellStyle name="s_Valuation _NDF 5_Relatório Gerencial" xfId="16970"/>
    <cellStyle name="s_Valuation _NDF 5_Relatório Gerencial 2" xfId="16971"/>
    <cellStyle name="s_Valuation _NDF 5_Relatório Gerencial 2_15-FINANCEIRAS" xfId="16972"/>
    <cellStyle name="s_Valuation _NDF 5_Relatório Gerencial_15-FINANCEIRAS" xfId="16973"/>
    <cellStyle name="s_Valuation _NDF 5_Relatório Gerencial_15-FINANCEIRAS_1" xfId="16974"/>
    <cellStyle name="s_Valuation _NDF 5_Relatório Gerencial_3-Balanço" xfId="16975"/>
    <cellStyle name="s_Valuation _NDF 5_Relatório Gerencial_7-Estoque" xfId="16976"/>
    <cellStyle name="s_Valuation _NDF 6" xfId="16977"/>
    <cellStyle name="s_Valuation _NDF 6 2" xfId="16978"/>
    <cellStyle name="s_Valuation _NDF 6 2_15-FINANCEIRAS" xfId="16979"/>
    <cellStyle name="s_Valuation _NDF 6_15-FINANCEIRAS" xfId="16980"/>
    <cellStyle name="s_Valuation _NDF 6_15-FINANCEIRAS_1" xfId="16981"/>
    <cellStyle name="s_Valuation _NDF 6_3-Balanço" xfId="16982"/>
    <cellStyle name="s_Valuation _NDF 6_7-Estoque" xfId="16983"/>
    <cellStyle name="s_Valuation _NDF 6_Relatório Gerencial" xfId="16984"/>
    <cellStyle name="s_Valuation _NDF 6_Relatório Gerencial 2" xfId="16985"/>
    <cellStyle name="s_Valuation _NDF 6_Relatório Gerencial 2_15-FINANCEIRAS" xfId="16986"/>
    <cellStyle name="s_Valuation _NDF 6_Relatório Gerencial_15-FINANCEIRAS" xfId="16987"/>
    <cellStyle name="s_Valuation _NDF 6_Relatório Gerencial_15-FINANCEIRAS_1" xfId="16988"/>
    <cellStyle name="s_Valuation _NDF 6_Relatório Gerencial_3-Balanço" xfId="16989"/>
    <cellStyle name="s_Valuation _NDF 6_Relatório Gerencial_7-Estoque" xfId="16990"/>
    <cellStyle name="s_Valuation _NDF 7" xfId="16991"/>
    <cellStyle name="s_Valuation _NDF 7 2" xfId="16992"/>
    <cellStyle name="s_Valuation _NDF 7 2_15-FINANCEIRAS" xfId="16993"/>
    <cellStyle name="s_Valuation _NDF 7_15-FINANCEIRAS" xfId="16994"/>
    <cellStyle name="s_Valuation _NDF 7_15-FINANCEIRAS_1" xfId="16995"/>
    <cellStyle name="s_Valuation _NDF 7_3-Balanço" xfId="16996"/>
    <cellStyle name="s_Valuation _NDF 7_7-Estoque" xfId="16997"/>
    <cellStyle name="s_Valuation _NDF 7_Relatório Gerencial" xfId="16998"/>
    <cellStyle name="s_Valuation _NDF 7_Relatório Gerencial 2" xfId="16999"/>
    <cellStyle name="s_Valuation _NDF 7_Relatório Gerencial 2_15-FINANCEIRAS" xfId="17000"/>
    <cellStyle name="s_Valuation _NDF 7_Relatório Gerencial_15-FINANCEIRAS" xfId="17001"/>
    <cellStyle name="s_Valuation _NDF 7_Relatório Gerencial_15-FINANCEIRAS_1" xfId="17002"/>
    <cellStyle name="s_Valuation _NDF 7_Relatório Gerencial_3-Balanço" xfId="17003"/>
    <cellStyle name="s_Valuation _NDF 7_Relatório Gerencial_7-Estoque" xfId="17004"/>
    <cellStyle name="s_Valuation _NDF 8" xfId="17005"/>
    <cellStyle name="s_Valuation _NDF 8 2" xfId="17006"/>
    <cellStyle name="s_Valuation _NDF 8 2_15-FINANCEIRAS" xfId="17007"/>
    <cellStyle name="s_Valuation _NDF 8_15-FINANCEIRAS" xfId="17008"/>
    <cellStyle name="s_Valuation _NDF 8_15-FINANCEIRAS_1" xfId="17009"/>
    <cellStyle name="s_Valuation _NDF 8_3-Balanço" xfId="17010"/>
    <cellStyle name="s_Valuation _NDF 8_7-Estoque" xfId="17011"/>
    <cellStyle name="s_Valuation _NDF 8_Relatório Gerencial" xfId="17012"/>
    <cellStyle name="s_Valuation _NDF 8_Relatório Gerencial 2" xfId="17013"/>
    <cellStyle name="s_Valuation _NDF 8_Relatório Gerencial 2_15-FINANCEIRAS" xfId="17014"/>
    <cellStyle name="s_Valuation _NDF 8_Relatório Gerencial_15-FINANCEIRAS" xfId="17015"/>
    <cellStyle name="s_Valuation _NDF 8_Relatório Gerencial_15-FINANCEIRAS_1" xfId="17016"/>
    <cellStyle name="s_Valuation _NDF 8_Relatório Gerencial_3-Balanço" xfId="17017"/>
    <cellStyle name="s_Valuation _NDF 8_Relatório Gerencial_7-Estoque" xfId="17018"/>
    <cellStyle name="s_Valuation _NDF 9" xfId="17019"/>
    <cellStyle name="s_Valuation _NDF 9 2" xfId="17020"/>
    <cellStyle name="s_Valuation _NDF 9 2_15-FINANCEIRAS" xfId="17021"/>
    <cellStyle name="s_Valuation _NDF 9_15-FINANCEIRAS" xfId="17022"/>
    <cellStyle name="s_Valuation _NDF 9_15-FINANCEIRAS_1" xfId="17023"/>
    <cellStyle name="s_Valuation _NDF 9_3-Balanço" xfId="17024"/>
    <cellStyle name="s_Valuation _NDF 9_7-Estoque" xfId="17025"/>
    <cellStyle name="s_Valuation _NDF 9_Relatório Gerencial" xfId="17026"/>
    <cellStyle name="s_Valuation _NDF 9_Relatório Gerencial 2" xfId="17027"/>
    <cellStyle name="s_Valuation _NDF 9_Relatório Gerencial 2_15-FINANCEIRAS" xfId="17028"/>
    <cellStyle name="s_Valuation _NDF 9_Relatório Gerencial_15-FINANCEIRAS" xfId="17029"/>
    <cellStyle name="s_Valuation _NDF 9_Relatório Gerencial_15-FINANCEIRAS_1" xfId="17030"/>
    <cellStyle name="s_Valuation _NDF 9_Relatório Gerencial_3-Balanço" xfId="17031"/>
    <cellStyle name="s_Valuation _NDF 9_Relatório Gerencial_7-Estoque" xfId="17032"/>
    <cellStyle name="s_Valuation _NDF_15-FINANCEIRAS" xfId="17033"/>
    <cellStyle name="s_Valuation _NDF_15-FINANCEIRAS_1" xfId="17034"/>
    <cellStyle name="s_Valuation _NDF_3-Balanço" xfId="17035"/>
    <cellStyle name="s_Valuation _NDF_7-Estoque" xfId="17036"/>
    <cellStyle name="s_Valuation _NDF_Ajustes " xfId="17037"/>
    <cellStyle name="s_Valuation _NDF_Ajustes  2" xfId="17038"/>
    <cellStyle name="s_Valuation _NDF_Ajustes  2_15-FINANCEIRAS" xfId="17039"/>
    <cellStyle name="s_Valuation _NDF_Ajustes  3" xfId="17040"/>
    <cellStyle name="s_Valuation _NDF_Ajustes _15-FINANCEIRAS" xfId="17041"/>
    <cellStyle name="s_Valuation _NDF_Ajustes _15-FINANCEIRAS_1" xfId="17042"/>
    <cellStyle name="s_Valuation _NDF_Ajustes _3-Balanço" xfId="17043"/>
    <cellStyle name="s_Valuation _NDF_Ajustes _7-Estoque" xfId="17044"/>
    <cellStyle name="s_Valuation _NDF_Ajustes _CRE - Aging" xfId="17045"/>
    <cellStyle name="s_Valuation _NDF_Ajustes _DFC Indireto_Novo" xfId="17046"/>
    <cellStyle name="s_Valuation _NDF_Ajustes _Ind_Consol" xfId="17047"/>
    <cellStyle name="s_Valuation _NDF_Ajustes _Outras oper's" xfId="17048"/>
    <cellStyle name="s_Valuation _NDF_Ajustes _Receitas" xfId="17049"/>
    <cellStyle name="s_Valuation _NDF_Ajustes _Relatório Gerencial" xfId="17050"/>
    <cellStyle name="s_Valuation _NDF_Ajustes _Relatório Gerencial 2" xfId="17051"/>
    <cellStyle name="s_Valuation _NDF_Ajustes _Relatório Gerencial 2_15-FINANCEIRAS" xfId="17052"/>
    <cellStyle name="s_Valuation _NDF_Ajustes _Relatório Gerencial_15-FINANCEIRAS" xfId="17053"/>
    <cellStyle name="s_Valuation _NDF_Ajustes _Relatório Gerencial_15-FINANCEIRAS_1" xfId="17054"/>
    <cellStyle name="s_Valuation _NDF_Ajustes _Relatório Gerencial_3-Balanço" xfId="17055"/>
    <cellStyle name="s_Valuation _NDF_Ajustes _Relatório Gerencial_7-Estoque" xfId="17056"/>
    <cellStyle name="s_Valuation _NDF_Ajustes BMF" xfId="17057"/>
    <cellStyle name="s_Valuation _NDF_Ajustes BMF 2" xfId="17058"/>
    <cellStyle name="s_Valuation _NDF_Ajustes BMF 2_15-FINANCEIRAS" xfId="17059"/>
    <cellStyle name="s_Valuation _NDF_Ajustes BMF_15-FINANCEIRAS" xfId="17060"/>
    <cellStyle name="s_Valuation _NDF_Ajustes BMF_15-FINANCEIRAS_1" xfId="17061"/>
    <cellStyle name="s_Valuation _NDF_Ajustes BMF_3-Balanço" xfId="17062"/>
    <cellStyle name="s_Valuation _NDF_Ajustes BMF_7-Estoque" xfId="17063"/>
    <cellStyle name="s_Valuation _NDF_Copy of COSAN Fechamento Mensal Setembro 09 v.5 NE" xfId="17064"/>
    <cellStyle name="s_Valuation _NDF_Copy of COSAN Fechamento Mensal Setembro 09 v.5 NE 2" xfId="17065"/>
    <cellStyle name="s_Valuation _NDF_Copy of COSAN Fechamento Mensal Setembro 09 v.5 NE 2_15-FINANCEIRAS" xfId="17066"/>
    <cellStyle name="s_Valuation _NDF_Copy of COSAN Fechamento Mensal Setembro 09 v.5 NE_15-FINANCEIRAS" xfId="17067"/>
    <cellStyle name="s_Valuation _NDF_Copy of COSAN Fechamento Mensal Setembro 09 v.5 NE_15-FINANCEIRAS_1" xfId="17068"/>
    <cellStyle name="s_Valuation _NDF_Copy of COSAN Fechamento Mensal Setembro 09 v.5 NE_3-Balanço" xfId="17069"/>
    <cellStyle name="s_Valuation _NDF_Copy of COSAN Fechamento Mensal Setembro 09 v.5 NE_7-Estoque" xfId="17070"/>
    <cellStyle name="s_Valuation _NDF_Copy of COSAN Fechamento Mensal Setembro 09 v.5 NE_Relatório Gerencial" xfId="17071"/>
    <cellStyle name="s_Valuation _NDF_Copy of COSAN Fechamento Mensal Setembro 09 v.5 NE_Relatório Gerencial 2" xfId="17072"/>
    <cellStyle name="s_Valuation _NDF_Copy of COSAN Fechamento Mensal Setembro 09 v.5 NE_Relatório Gerencial 2_15-FINANCEIRAS" xfId="17073"/>
    <cellStyle name="s_Valuation _NDF_Copy of COSAN Fechamento Mensal Setembro 09 v.5 NE_Relatório Gerencial_15-FINANCEIRAS" xfId="17074"/>
    <cellStyle name="s_Valuation _NDF_Copy of COSAN Fechamento Mensal Setembro 09 v.5 NE_Relatório Gerencial_15-FINANCEIRAS_1" xfId="17075"/>
    <cellStyle name="s_Valuation _NDF_Copy of COSAN Fechamento Mensal Setembro 09 v.5 NE_Relatório Gerencial_3-Balanço" xfId="17076"/>
    <cellStyle name="s_Valuation _NDF_Copy of COSAN Fechamento Mensal Setembro 09 v.5 NE_Relatório Gerencial_7-Estoque" xfId="17077"/>
    <cellStyle name="s_Valuation _NDF_COSAN Fechamento Mensal Setembro 09 v.5 NE" xfId="17078"/>
    <cellStyle name="s_Valuation _NDF_COSAN Fechamento Mensal Setembro 09 v.5 NE 2" xfId="17079"/>
    <cellStyle name="s_Valuation _NDF_COSAN Fechamento Mensal Setembro 09 v.5 NE 2_15-FINANCEIRAS" xfId="17080"/>
    <cellStyle name="s_Valuation _NDF_COSAN Fechamento Mensal Setembro 09 v.5 NE_15-FINANCEIRAS" xfId="17081"/>
    <cellStyle name="s_Valuation _NDF_COSAN Fechamento Mensal Setembro 09 v.5 NE_15-FINANCEIRAS_1" xfId="17082"/>
    <cellStyle name="s_Valuation _NDF_COSAN Fechamento Mensal Setembro 09 v.5 NE_3-Balanço" xfId="17083"/>
    <cellStyle name="s_Valuation _NDF_COSAN Fechamento Mensal Setembro 09 v.5 NE_7-Estoque" xfId="17084"/>
    <cellStyle name="s_Valuation _NDF_COSAN Fechamento Mensal Setembro 09 v.5 NE_Relatório Gerencial" xfId="17085"/>
    <cellStyle name="s_Valuation _NDF_COSAN Fechamento Mensal Setembro 09 v.5 NE_Relatório Gerencial 2" xfId="17086"/>
    <cellStyle name="s_Valuation _NDF_COSAN Fechamento Mensal Setembro 09 v.5 NE_Relatório Gerencial 2_15-FINANCEIRAS" xfId="17087"/>
    <cellStyle name="s_Valuation _NDF_COSAN Fechamento Mensal Setembro 09 v.5 NE_Relatório Gerencial_15-FINANCEIRAS" xfId="17088"/>
    <cellStyle name="s_Valuation _NDF_COSAN Fechamento Mensal Setembro 09 v.5 NE_Relatório Gerencial_15-FINANCEIRAS_1" xfId="17089"/>
    <cellStyle name="s_Valuation _NDF_COSAN Fechamento Mensal Setembro 09 v.5 NE_Relatório Gerencial_3-Balanço" xfId="17090"/>
    <cellStyle name="s_Valuation _NDF_COSAN Fechamento Mensal Setembro 09 v.5 NE_Relatório Gerencial_7-Estoque" xfId="17091"/>
    <cellStyle name="s_Valuation _NDF_Derivativos 2009-03-31 Mar'09" xfId="17092"/>
    <cellStyle name="s_Valuation _NDF_Derivativos 2009-03-31 Mar'09 2" xfId="17093"/>
    <cellStyle name="s_Valuation _NDF_Derivativos 2009-03-31 Mar'09 2_15-FINANCEIRAS" xfId="17094"/>
    <cellStyle name="s_Valuation _NDF_Derivativos 2009-03-31 Mar'09_15-FINANCEIRAS" xfId="17095"/>
    <cellStyle name="s_Valuation _NDF_Derivativos 2009-03-31 Mar'09_15-FINANCEIRAS_1" xfId="17096"/>
    <cellStyle name="s_Valuation _NDF_Derivativos 2009-03-31 Mar'09_3-Balanço" xfId="17097"/>
    <cellStyle name="s_Valuation _NDF_Derivativos 2009-03-31 Mar'09_7-Estoque" xfId="17098"/>
    <cellStyle name="s_Valuation _NDF_Derivativos 2009-03-31 Mar'09_Relatório Gerencial" xfId="17099"/>
    <cellStyle name="s_Valuation _NDF_Derivativos 2009-03-31 Mar'09_Relatório Gerencial 2" xfId="17100"/>
    <cellStyle name="s_Valuation _NDF_Derivativos 2009-03-31 Mar'09_Relatório Gerencial 2_15-FINANCEIRAS" xfId="17101"/>
    <cellStyle name="s_Valuation _NDF_Derivativos 2009-03-31 Mar'09_Relatório Gerencial_15-FINANCEIRAS" xfId="17102"/>
    <cellStyle name="s_Valuation _NDF_Derivativos 2009-03-31 Mar'09_Relatório Gerencial_15-FINANCEIRAS_1" xfId="17103"/>
    <cellStyle name="s_Valuation _NDF_Derivativos 2009-03-31 Mar'09_Relatório Gerencial_3-Balanço" xfId="17104"/>
    <cellStyle name="s_Valuation _NDF_Derivativos 2009-03-31 Mar'09_Relatório Gerencial_7-Estoque" xfId="17105"/>
    <cellStyle name="s_Valuation _NDF_Derivativos COSAN Mar 2009" xfId="17106"/>
    <cellStyle name="s_Valuation _NDF_Derivativos COSAN Mar 2009 2" xfId="17107"/>
    <cellStyle name="s_Valuation _NDF_Derivativos COSAN Mar 2009 2_15-FINANCEIRAS" xfId="17108"/>
    <cellStyle name="s_Valuation _NDF_Derivativos COSAN Mar 2009_15-FINANCEIRAS" xfId="17109"/>
    <cellStyle name="s_Valuation _NDF_Derivativos COSAN Mar 2009_15-FINANCEIRAS_1" xfId="17110"/>
    <cellStyle name="s_Valuation _NDF_Derivativos COSAN Mar 2009_3-Balanço" xfId="17111"/>
    <cellStyle name="s_Valuation _NDF_Derivativos COSAN Mar 2009_7-Estoque" xfId="17112"/>
    <cellStyle name="s_Valuation _NDF_Derivativos COSAN Mar 2009_Relatório Gerencial" xfId="17113"/>
    <cellStyle name="s_Valuation _NDF_Derivativos COSAN Mar 2009_Relatório Gerencial 2" xfId="17114"/>
    <cellStyle name="s_Valuation _NDF_Derivativos COSAN Mar 2009_Relatório Gerencial 2_15-FINANCEIRAS" xfId="17115"/>
    <cellStyle name="s_Valuation _NDF_Derivativos COSAN Mar 2009_Relatório Gerencial_15-FINANCEIRAS" xfId="17116"/>
    <cellStyle name="s_Valuation _NDF_Derivativos COSAN Mar 2009_Relatório Gerencial_15-FINANCEIRAS_1" xfId="17117"/>
    <cellStyle name="s_Valuation _NDF_Derivativos COSAN Mar 2009_Relatório Gerencial_3-Balanço" xfId="17118"/>
    <cellStyle name="s_Valuation _NDF_Derivativos COSAN Mar 2009_Relatório Gerencial_7-Estoque" xfId="17119"/>
    <cellStyle name="s_Valuation _NDF_ExtratosAbr'09" xfId="17120"/>
    <cellStyle name="s_Valuation _NDF_ExtratosAbr'09 2" xfId="17121"/>
    <cellStyle name="s_Valuation _NDF_ExtratosAbr'09 2_15-FINANCEIRAS" xfId="17122"/>
    <cellStyle name="s_Valuation _NDF_ExtratosAbr'09_15-FINANCEIRAS" xfId="17123"/>
    <cellStyle name="s_Valuation _NDF_ExtratosAbr'09_15-FINANCEIRAS_1" xfId="17124"/>
    <cellStyle name="s_Valuation _NDF_ExtratosAbr'09_3-Balanço" xfId="17125"/>
    <cellStyle name="s_Valuation _NDF_ExtratosAbr'09_7-Estoque" xfId="17126"/>
    <cellStyle name="s_Valuation _NDF_ExtratosAbr'09_Relatório Gerencial" xfId="17127"/>
    <cellStyle name="s_Valuation _NDF_ExtratosAbr'09_Relatório Gerencial 2" xfId="17128"/>
    <cellStyle name="s_Valuation _NDF_ExtratosAbr'09_Relatório Gerencial 2_15-FINANCEIRAS" xfId="17129"/>
    <cellStyle name="s_Valuation _NDF_ExtratosAbr'09_Relatório Gerencial_15-FINANCEIRAS" xfId="17130"/>
    <cellStyle name="s_Valuation _NDF_ExtratosAbr'09_Relatório Gerencial_15-FINANCEIRAS_1" xfId="17131"/>
    <cellStyle name="s_Valuation _NDF_ExtratosAbr'09_Relatório Gerencial_3-Balanço" xfId="17132"/>
    <cellStyle name="s_Valuation _NDF_ExtratosAbr'09_Relatório Gerencial_7-Estoque" xfId="17133"/>
    <cellStyle name="s_Valuation _NDF_ExtratosMai'09" xfId="17134"/>
    <cellStyle name="s_Valuation _NDF_ExtratosMai'09 2" xfId="17135"/>
    <cellStyle name="s_Valuation _NDF_ExtratosMai'09 2_15-FINANCEIRAS" xfId="17136"/>
    <cellStyle name="s_Valuation _NDF_ExtratosMai'09_15-FINANCEIRAS" xfId="17137"/>
    <cellStyle name="s_Valuation _NDF_ExtratosMai'09_15-FINANCEIRAS_1" xfId="17138"/>
    <cellStyle name="s_Valuation _NDF_ExtratosMai'09_3-Balanço" xfId="17139"/>
    <cellStyle name="s_Valuation _NDF_ExtratosMai'09_7-Estoque" xfId="17140"/>
    <cellStyle name="s_Valuation _NDF_ExtratosMai'09_Relatório Gerencial" xfId="17141"/>
    <cellStyle name="s_Valuation _NDF_ExtratosMai'09_Relatório Gerencial 2" xfId="17142"/>
    <cellStyle name="s_Valuation _NDF_ExtratosMai'09_Relatório Gerencial 2_15-FINANCEIRAS" xfId="17143"/>
    <cellStyle name="s_Valuation _NDF_ExtratosMai'09_Relatório Gerencial_15-FINANCEIRAS" xfId="17144"/>
    <cellStyle name="s_Valuation _NDF_ExtratosMai'09_Relatório Gerencial_15-FINANCEIRAS_1" xfId="17145"/>
    <cellStyle name="s_Valuation _NDF_ExtratosMai'09_Relatório Gerencial_3-Balanço" xfId="17146"/>
    <cellStyle name="s_Valuation _NDF_ExtratosMai'09_Relatório Gerencial_7-Estoque" xfId="17147"/>
    <cellStyle name="s_Valuation _NDF_MtM NDF - Swap Maio 10" xfId="17148"/>
    <cellStyle name="s_Valuation _NDF_MtM NDF - Swap Maio 10 2" xfId="17149"/>
    <cellStyle name="s_Valuation _NDF_MtM NDF - Swap Maio 10 2_15-FINANCEIRAS" xfId="17150"/>
    <cellStyle name="s_Valuation _NDF_MtM NDF - Swap Maio 10_15-FINANCEIRAS" xfId="17151"/>
    <cellStyle name="s_Valuation _NDF_MtM NDF - Swap Maio 10_15-FINANCEIRAS_1" xfId="17152"/>
    <cellStyle name="s_Valuation _NDF_MtM NDF - Swap Maio 10_3-Balanço" xfId="17153"/>
    <cellStyle name="s_Valuation _NDF_MtM NDF - Swap Maio 10_7-Estoque" xfId="17154"/>
    <cellStyle name="s_Valuation _NDF_MtM NDF - Swap Morgan Setembro - CCL 09" xfId="17155"/>
    <cellStyle name="s_Valuation _NDF_MtM NDF - Swap Morgan Setembro - CCL 09 2" xfId="17156"/>
    <cellStyle name="s_Valuation _NDF_MtM NDF - Swap Morgan Setembro - CCL 09 2_15-FINANCEIRAS" xfId="17157"/>
    <cellStyle name="s_Valuation _NDF_MtM NDF - Swap Morgan Setembro - CCL 09_15-FINANCEIRAS" xfId="17158"/>
    <cellStyle name="s_Valuation _NDF_MtM NDF - Swap Morgan Setembro - CCL 09_15-FINANCEIRAS_1" xfId="17159"/>
    <cellStyle name="s_Valuation _NDF_MtM NDF - Swap Morgan Setembro - CCL 09_3-Balanço" xfId="17160"/>
    <cellStyle name="s_Valuation _NDF_MtM NDF - Swap Morgan Setembro - CCL 09_7-Estoque" xfId="17161"/>
    <cellStyle name="s_Valuation _NDF_MtM NDF - Swap Morgan Setembro - CCL 09_Relatório Gerencial" xfId="17162"/>
    <cellStyle name="s_Valuation _NDF_MtM NDF - Swap Morgan Setembro - CCL 09_Relatório Gerencial 2" xfId="17163"/>
    <cellStyle name="s_Valuation _NDF_MtM NDF - Swap Morgan Setembro - CCL 09_Relatório Gerencial 2_15-FINANCEIRAS" xfId="17164"/>
    <cellStyle name="s_Valuation _NDF_MtM NDF - Swap Morgan Setembro - CCL 09_Relatório Gerencial_15-FINANCEIRAS" xfId="17165"/>
    <cellStyle name="s_Valuation _NDF_MtM NDF - Swap Morgan Setembro - CCL 09_Relatório Gerencial_15-FINANCEIRAS_1" xfId="17166"/>
    <cellStyle name="s_Valuation _NDF_MtM NDF - Swap Morgan Setembro - CCL 09_Relatório Gerencial_3-Balanço" xfId="17167"/>
    <cellStyle name="s_Valuation _NDF_MtM NDF - Swap Morgan Setembro - CCL 09_Relatório Gerencial_7-Estoque" xfId="17168"/>
    <cellStyle name="s_Valuation _NDF_MtM NDF e Swap Morgan Ago 09" xfId="17169"/>
    <cellStyle name="s_Valuation _NDF_MtM NDF e Swap Morgan Ago 09 2" xfId="17170"/>
    <cellStyle name="s_Valuation _NDF_MtM NDF e Swap Morgan Ago 09 2_15-FINANCEIRAS" xfId="17171"/>
    <cellStyle name="s_Valuation _NDF_MtM NDF e Swap Morgan Ago 09_15-FINANCEIRAS" xfId="17172"/>
    <cellStyle name="s_Valuation _NDF_MtM NDF e Swap Morgan Ago 09_15-FINANCEIRAS_1" xfId="17173"/>
    <cellStyle name="s_Valuation _NDF_MtM NDF e Swap Morgan Ago 09_3-Balanço" xfId="17174"/>
    <cellStyle name="s_Valuation _NDF_MtM NDF e Swap Morgan Ago 09_7-Estoque" xfId="17175"/>
    <cellStyle name="s_Valuation _NDF_MtM NDF e Swap Morgan Ago 09_Relatório Gerencial" xfId="17176"/>
    <cellStyle name="s_Valuation _NDF_MtM NDF e Swap Morgan Ago 09_Relatório Gerencial 2" xfId="17177"/>
    <cellStyle name="s_Valuation _NDF_MtM NDF e Swap Morgan Ago 09_Relatório Gerencial 2_15-FINANCEIRAS" xfId="17178"/>
    <cellStyle name="s_Valuation _NDF_MtM NDF e Swap Morgan Ago 09_Relatório Gerencial_15-FINANCEIRAS" xfId="17179"/>
    <cellStyle name="s_Valuation _NDF_MtM NDF e Swap Morgan Ago 09_Relatório Gerencial_15-FINANCEIRAS_1" xfId="17180"/>
    <cellStyle name="s_Valuation _NDF_MtM NDF e Swap Morgan Ago 09_Relatório Gerencial_3-Balanço" xfId="17181"/>
    <cellStyle name="s_Valuation _NDF_MtM NDF e Swap Morgan Ago 09_Relatório Gerencial_7-Estoque" xfId="17182"/>
    <cellStyle name="s_Valuation _NDF_MTM Swap Morgan Stanley" xfId="17183"/>
    <cellStyle name="s_Valuation _NDF_MtM Swap Morgan Stanley 130109" xfId="17184"/>
    <cellStyle name="s_Valuation _NDF_MtM Swap Morgan Stanley 130109 2" xfId="17185"/>
    <cellStyle name="s_Valuation _NDF_MtM Swap Morgan Stanley 130109 2_15-FINANCEIRAS" xfId="17186"/>
    <cellStyle name="s_Valuation _NDF_MtM Swap Morgan Stanley 130109_15-FINANCEIRAS" xfId="17187"/>
    <cellStyle name="s_Valuation _NDF_MtM Swap Morgan Stanley 130109_15-FINANCEIRAS_1" xfId="17188"/>
    <cellStyle name="s_Valuation _NDF_MtM Swap Morgan Stanley 130109_3-Balanço" xfId="17189"/>
    <cellStyle name="s_Valuation _NDF_MtM Swap Morgan Stanley 130109_7-Estoque" xfId="17190"/>
    <cellStyle name="s_Valuation _NDF_MtM Swap Morgan Stanley 130109_Relatório Gerencial" xfId="17191"/>
    <cellStyle name="s_Valuation _NDF_MtM Swap Morgan Stanley 130109_Relatório Gerencial 2" xfId="17192"/>
    <cellStyle name="s_Valuation _NDF_MtM Swap Morgan Stanley 130109_Relatório Gerencial 2_15-FINANCEIRAS" xfId="17193"/>
    <cellStyle name="s_Valuation _NDF_MtM Swap Morgan Stanley 130109_Relatório Gerencial_15-FINANCEIRAS" xfId="17194"/>
    <cellStyle name="s_Valuation _NDF_MtM Swap Morgan Stanley 130109_Relatório Gerencial_15-FINANCEIRAS_1" xfId="17195"/>
    <cellStyle name="s_Valuation _NDF_MtM Swap Morgan Stanley 130109_Relatório Gerencial_3-Balanço" xfId="17196"/>
    <cellStyle name="s_Valuation _NDF_MtM Swap Morgan Stanley 130109_Relatório Gerencial_7-Estoque" xfId="17197"/>
    <cellStyle name="s_Valuation _NDF_MTM Swap Morgan Stanley 2" xfId="17198"/>
    <cellStyle name="s_Valuation _NDF_MTM Swap Morgan Stanley 2_15-FINANCEIRAS" xfId="17199"/>
    <cellStyle name="s_Valuation _NDF_MTM Swap Morgan Stanley 3" xfId="17200"/>
    <cellStyle name="s_Valuation _NDF_MTM Swap Morgan Stanley 3_15-FINANCEIRAS" xfId="17201"/>
    <cellStyle name="s_Valuation _NDF_MTM Swap Morgan Stanley 4" xfId="17202"/>
    <cellStyle name="s_Valuation _NDF_MTM Swap Morgan Stanley 4_15-FINANCEIRAS" xfId="17203"/>
    <cellStyle name="s_Valuation _NDF_MTM Swap Morgan Stanley_15-FINANCEIRAS" xfId="17204"/>
    <cellStyle name="s_Valuation _NDF_MTM Swap Morgan Stanley_15-FINANCEIRAS_1" xfId="17205"/>
    <cellStyle name="s_Valuation _NDF_MTM Swap Morgan Stanley_3-Balanço" xfId="17206"/>
    <cellStyle name="s_Valuation _NDF_MTM Swap Morgan Stanley_7-Estoque" xfId="17207"/>
    <cellStyle name="s_Valuation _NDF_MTM Swap Morgan Stanley_Relatório Gerencial" xfId="17208"/>
    <cellStyle name="s_Valuation _NDF_MTM Swap Morgan Stanley_Relatório Gerencial 2" xfId="17209"/>
    <cellStyle name="s_Valuation _NDF_MTM Swap Morgan Stanley_Relatório Gerencial 2_15-FINANCEIRAS" xfId="17210"/>
    <cellStyle name="s_Valuation _NDF_MTM Swap Morgan Stanley_Relatório Gerencial_15-FINANCEIRAS" xfId="17211"/>
    <cellStyle name="s_Valuation _NDF_MTM Swap Morgan Stanley_Relatório Gerencial_15-FINANCEIRAS_1" xfId="17212"/>
    <cellStyle name="s_Valuation _NDF_MTM Swap Morgan Stanley_Relatório Gerencial_3-Balanço" xfId="17213"/>
    <cellStyle name="s_Valuation _NDF_MTM Swap Morgan Stanley_Relatório Gerencial_7-Estoque" xfId="17214"/>
    <cellStyle name="s_Valuation _NDF_MtM Swap NOV08 CF" xfId="17215"/>
    <cellStyle name="s_Valuation _NDF_MtM Swap NOV08 CF 2" xfId="17216"/>
    <cellStyle name="s_Valuation _NDF_MtM Swap NOV08 CF 2_15-FINANCEIRAS" xfId="17217"/>
    <cellStyle name="s_Valuation _NDF_MtM Swap NOV08 CF_15-FINANCEIRAS" xfId="17218"/>
    <cellStyle name="s_Valuation _NDF_MtM Swap NOV08 CF_15-FINANCEIRAS_1" xfId="17219"/>
    <cellStyle name="s_Valuation _NDF_MtM Swap NOV08 CF_3-Balanço" xfId="17220"/>
    <cellStyle name="s_Valuation _NDF_MtM Swap NOV08 CF_7-Estoque" xfId="17221"/>
    <cellStyle name="s_Valuation _NDF_MtM Swap NOV08 CF_Relatório Gerencial" xfId="17222"/>
    <cellStyle name="s_Valuation _NDF_MtM Swap NOV08 CF_Relatório Gerencial 2" xfId="17223"/>
    <cellStyle name="s_Valuation _NDF_MtM Swap NOV08 CF_Relatório Gerencial 2_15-FINANCEIRAS" xfId="17224"/>
    <cellStyle name="s_Valuation _NDF_MtM Swap NOV08 CF_Relatório Gerencial_15-FINANCEIRAS" xfId="17225"/>
    <cellStyle name="s_Valuation _NDF_MtM Swap NOV08 CF_Relatório Gerencial_15-FINANCEIRAS_1" xfId="17226"/>
    <cellStyle name="s_Valuation _NDF_MtM Swap NOV08 CF_Relatório Gerencial_3-Balanço" xfId="17227"/>
    <cellStyle name="s_Valuation _NDF_MtM Swap NOV08 CF_Relatório Gerencial_7-Estoque" xfId="17228"/>
    <cellStyle name="s_Valuation _NDF_NDF Forward" xfId="17229"/>
    <cellStyle name="s_Valuation _NDF_NDF Forward 2" xfId="17230"/>
    <cellStyle name="s_Valuation _NDF_NDF Forward 2_15-FINANCEIRAS" xfId="17231"/>
    <cellStyle name="s_Valuation _NDF_NDF Forward_15-FINANCEIRAS" xfId="17232"/>
    <cellStyle name="s_Valuation _NDF_NDF Forward_15-FINANCEIRAS_1" xfId="17233"/>
    <cellStyle name="s_Valuation _NDF_NDF Forward_3-Balanço" xfId="17234"/>
    <cellStyle name="s_Valuation _NDF_NDF Forward_7-Estoque" xfId="17235"/>
    <cellStyle name="s_Valuation _NDF_NDF Forward_Relatório Gerencial" xfId="17236"/>
    <cellStyle name="s_Valuation _NDF_NDF Forward_Relatório Gerencial 2" xfId="17237"/>
    <cellStyle name="s_Valuation _NDF_NDF Forward_Relatório Gerencial 2_15-FINANCEIRAS" xfId="17238"/>
    <cellStyle name="s_Valuation _NDF_NDF Forward_Relatório Gerencial_15-FINANCEIRAS" xfId="17239"/>
    <cellStyle name="s_Valuation _NDF_NDF Forward_Relatório Gerencial_15-FINANCEIRAS_1" xfId="17240"/>
    <cellStyle name="s_Valuation _NDF_NDF Forward_Relatório Gerencial_3-Balanço" xfId="17241"/>
    <cellStyle name="s_Valuation _NDF_NDF Forward_Relatório Gerencial_7-Estoque" xfId="17242"/>
    <cellStyle name="s_Valuation _NDF_Relatório Gerencial" xfId="17243"/>
    <cellStyle name="s_Valuation _NDF_Relatório Gerencial 2" xfId="17244"/>
    <cellStyle name="s_Valuation _NDF_Relatório Gerencial 2_15-FINANCEIRAS" xfId="17245"/>
    <cellStyle name="s_Valuation _NDF_Relatório Gerencial_15-FINANCEIRAS" xfId="17246"/>
    <cellStyle name="s_Valuation _NDF_Relatório Gerencial_15-FINANCEIRAS_1" xfId="17247"/>
    <cellStyle name="s_Valuation _NDF_Relatório Gerencial_3-Balanço" xfId="17248"/>
    <cellStyle name="s_Valuation _NDF_Relatório Gerencial_7-Estoque" xfId="17249"/>
    <cellStyle name="s_Valuation _NDF_Swap - CCL" xfId="17250"/>
    <cellStyle name="s_Valuation _NDF_Swap - CCL 2" xfId="17251"/>
    <cellStyle name="s_Valuation _NDF_Swap - CCL 2_15-FINANCEIRAS" xfId="17252"/>
    <cellStyle name="s_Valuation _NDF_Swap - CCL_15-FINANCEIRAS" xfId="17253"/>
    <cellStyle name="s_Valuation _NDF_Swap - CCL_15-FINANCEIRAS_1" xfId="17254"/>
    <cellStyle name="s_Valuation _NDF_Swap - CCL_3-Balanço" xfId="17255"/>
    <cellStyle name="s_Valuation _NDF_Swap - CCL_7-Estoque" xfId="17256"/>
    <cellStyle name="s_Valuation _NDF_Swap Standard" xfId="17257"/>
    <cellStyle name="s_Valuation _NDF_Swap Standard 2" xfId="17258"/>
    <cellStyle name="s_Valuation _NDF_Swap Standard 2_15-FINANCEIRAS" xfId="17259"/>
    <cellStyle name="s_Valuation _NDF_Swap Standard_15-FINANCEIRAS" xfId="17260"/>
    <cellStyle name="s_Valuation _NDF_Swap Standard_15-FINANCEIRAS_1" xfId="17261"/>
    <cellStyle name="s_Valuation _NDF_Swap Standard_3-Balanço" xfId="17262"/>
    <cellStyle name="s_Valuation _NDF_Swap Standard_7-Estoque" xfId="17263"/>
    <cellStyle name="s_Valuation _Opex ccl real" xfId="17264"/>
    <cellStyle name="s_Valuation _Opex ccl real 2" xfId="17265"/>
    <cellStyle name="s_Valuation _Opex ccl real 2_15-FINANCEIRAS" xfId="17266"/>
    <cellStyle name="s_Valuation _Opex ccl real_15-FINANCEIRAS" xfId="17267"/>
    <cellStyle name="s_Valuation _Opex ccl real_15-FINANCEIRAS_1" xfId="17268"/>
    <cellStyle name="s_Valuation _Opex ccl real_3-Balanço" xfId="17269"/>
    <cellStyle name="s_Valuation _Opex ccl real_3-Balanço 2" xfId="17270"/>
    <cellStyle name="s_Valuation _Opex ccl real_3-Balanço 2_15-FINANCEIRAS" xfId="17271"/>
    <cellStyle name="s_Valuation _Opex ccl real_3-Balanço_1" xfId="17272"/>
    <cellStyle name="s_Valuation _Opex ccl real_3-Balanço_15-FINANCEIRAS" xfId="17273"/>
    <cellStyle name="s_Valuation _Opex ccl real_3-Balanço_15-FINANCEIRAS_1" xfId="17274"/>
    <cellStyle name="s_Valuation _Opex ccl real_3-Balanço_3-Balanço" xfId="17275"/>
    <cellStyle name="s_Valuation _Opex ccl real_3-Balanço_7-Estoque" xfId="17276"/>
    <cellStyle name="s_Valuation _Opex ccl real_7-Estoque" xfId="17277"/>
    <cellStyle name="s_Valuation _Opex ccl real_Balanço" xfId="17278"/>
    <cellStyle name="s_Valuation _Opex ccl real_CCL" xfId="17279"/>
    <cellStyle name="s_Valuation _Opex ccl real_CCL 2" xfId="17280"/>
    <cellStyle name="s_Valuation _Opex ccl real_CCL 2_15-FINANCEIRAS" xfId="17281"/>
    <cellStyle name="s_Valuation _Opex ccl real_CCL_15-FINANCEIRAS" xfId="17282"/>
    <cellStyle name="s_Valuation _Opex ccl real_CCL_15-FINANCEIRAS_1" xfId="17283"/>
    <cellStyle name="s_Valuation _Opex ccl real_CCL_3-Balanço" xfId="17284"/>
    <cellStyle name="s_Valuation _Opex ccl real_CCL_3-Balanço 2" xfId="17285"/>
    <cellStyle name="s_Valuation _Opex ccl real_CCL_3-Balanço 2_15-FINANCEIRAS" xfId="17286"/>
    <cellStyle name="s_Valuation _Opex ccl real_CCL_3-Balanço_1" xfId="17287"/>
    <cellStyle name="s_Valuation _Opex ccl real_CCL_3-Balanço_15-FINANCEIRAS" xfId="17288"/>
    <cellStyle name="s_Valuation _Opex ccl real_CCL_3-Balanço_15-FINANCEIRAS_1" xfId="17289"/>
    <cellStyle name="s_Valuation _Opex ccl real_CCL_3-Balanço_3-Balanço" xfId="17290"/>
    <cellStyle name="s_Valuation _Opex ccl real_CCL_3-Balanço_7-Estoque" xfId="17291"/>
    <cellStyle name="s_Valuation _Opex ccl real_CCL_7-Estoque" xfId="17292"/>
    <cellStyle name="s_Valuation _Opex ccl real_CCL_Balanço" xfId="17293"/>
    <cellStyle name="s_Valuation _Opex ccl real_Diferenças outubro CAN- (2)" xfId="17294"/>
    <cellStyle name="s_Valuation _Opex ccl real_Diferenças outubro CAN- (2) 2" xfId="17295"/>
    <cellStyle name="s_Valuation _Opex ccl real_Diferenças outubro CAN- (2) 2_15-FINANCEIRAS" xfId="17296"/>
    <cellStyle name="s_Valuation _Opex ccl real_Diferenças outubro CAN- (2)_15-FINANCEIRAS" xfId="17297"/>
    <cellStyle name="s_Valuation _Opex ccl real_Diferenças outubro CAN- (2)_15-FINANCEIRAS_1" xfId="17298"/>
    <cellStyle name="s_Valuation _Opex ccl real_Diferenças outubro CAN- (2)_3-Balanço" xfId="17299"/>
    <cellStyle name="s_Valuation _Opex ccl real_Diferenças outubro CAN- (2)_3-Balanço 2" xfId="17300"/>
    <cellStyle name="s_Valuation _Opex ccl real_Diferenças outubro CAN- (2)_3-Balanço 2_15-FINANCEIRAS" xfId="17301"/>
    <cellStyle name="s_Valuation _Opex ccl real_Diferenças outubro CAN- (2)_3-Balanço_1" xfId="17302"/>
    <cellStyle name="s_Valuation _Opex ccl real_Diferenças outubro CAN- (2)_3-Balanço_15-FINANCEIRAS" xfId="17303"/>
    <cellStyle name="s_Valuation _Opex ccl real_Diferenças outubro CAN- (2)_3-Balanço_15-FINANCEIRAS_1" xfId="17304"/>
    <cellStyle name="s_Valuation _Opex ccl real_Diferenças outubro CAN- (2)_3-Balanço_3-Balanço" xfId="17305"/>
    <cellStyle name="s_Valuation _Opex ccl real_Diferenças outubro CAN- (2)_3-Balanço_7-Estoque" xfId="17306"/>
    <cellStyle name="s_Valuation _Opex ccl real_Diferenças outubro CAN- (2)_7-Estoque" xfId="17307"/>
    <cellStyle name="s_Valuation _Opex ccl real_Diferenças outubro CAN- (2)_Balanço" xfId="17308"/>
    <cellStyle name="s_Valuation _Opex ccl real_Query C.Custos SF 10-11" xfId="17309"/>
    <cellStyle name="s_Valuation _Opex ccl real_Query C.Custos SF 10-11 2" xfId="17310"/>
    <cellStyle name="s_Valuation _Opex ccl real_Query C.Custos SF 10-11 2_15-FINANCEIRAS" xfId="17311"/>
    <cellStyle name="s_Valuation _Opex ccl real_Query C.Custos SF 10-11_15-FINANCEIRAS" xfId="17312"/>
    <cellStyle name="s_Valuation _Opex ccl real_Query C.Custos SF 10-11_15-FINANCEIRAS_1" xfId="17313"/>
    <cellStyle name="s_Valuation _Opex ccl real_Query C.Custos SF 10-11_3-Balanço" xfId="17314"/>
    <cellStyle name="s_Valuation _Opex ccl real_Query C.Custos SF 10-11_3-Balanço 2" xfId="17315"/>
    <cellStyle name="s_Valuation _Opex ccl real_Query C.Custos SF 10-11_3-Balanço 2_15-FINANCEIRAS" xfId="17316"/>
    <cellStyle name="s_Valuation _Opex ccl real_Query C.Custos SF 10-11_3-Balanço_1" xfId="17317"/>
    <cellStyle name="s_Valuation _Opex ccl real_Query C.Custos SF 10-11_3-Balanço_15-FINANCEIRAS" xfId="17318"/>
    <cellStyle name="s_Valuation _Opex ccl real_Query C.Custos SF 10-11_3-Balanço_15-FINANCEIRAS_1" xfId="17319"/>
    <cellStyle name="s_Valuation _Opex ccl real_Query C.Custos SF 10-11_3-Balanço_3-Balanço" xfId="17320"/>
    <cellStyle name="s_Valuation _Opex ccl real_Query C.Custos SF 10-11_3-Balanço_7-Estoque" xfId="17321"/>
    <cellStyle name="s_Valuation _Opex ccl real_Query C.Custos SF 10-11_7-Estoque" xfId="17322"/>
    <cellStyle name="s_Valuation _Opex ccl real_Query C.Custos SF 10-11_Balanço" xfId="17323"/>
    <cellStyle name="s_Valuation _Outras oper's" xfId="17324"/>
    <cellStyle name="s_Valuation _P&amp;L" xfId="17325"/>
    <cellStyle name="s_Valuation _P&amp;L_MENSAL" xfId="17326"/>
    <cellStyle name="s_Valuation _Partes relacionadas" xfId="17327"/>
    <cellStyle name="s_Valuation _Pasta1" xfId="17328"/>
    <cellStyle name="s_Valuation _Pasta1 2" xfId="17329"/>
    <cellStyle name="s_Valuation _Pasta1 2_15-FINANCEIRAS" xfId="17330"/>
    <cellStyle name="s_Valuation _Pasta1_15-FINANCEIRAS" xfId="17331"/>
    <cellStyle name="s_Valuation _Pasta1_15-FINANCEIRAS_1" xfId="17332"/>
    <cellStyle name="s_Valuation _Pasta1_3-Balanço" xfId="17333"/>
    <cellStyle name="s_Valuation _Pasta1_3-Balanço 2" xfId="17334"/>
    <cellStyle name="s_Valuation _Pasta1_3-Balanço 2_15-FINANCEIRAS" xfId="17335"/>
    <cellStyle name="s_Valuation _Pasta1_3-Balanço_1" xfId="17336"/>
    <cellStyle name="s_Valuation _Pasta1_3-Balanço_15-FINANCEIRAS" xfId="17337"/>
    <cellStyle name="s_Valuation _Pasta1_3-Balanço_15-FINANCEIRAS_1" xfId="17338"/>
    <cellStyle name="s_Valuation _Pasta1_3-Balanço_3-Balanço" xfId="17339"/>
    <cellStyle name="s_Valuation _Pasta1_3-Balanço_7-Estoque" xfId="17340"/>
    <cellStyle name="s_Valuation _Pasta1_7-Estoque" xfId="17341"/>
    <cellStyle name="s_Valuation _Pasta1_Balanço" xfId="17342"/>
    <cellStyle name="s_Valuation _Pasta3" xfId="17343"/>
    <cellStyle name="s_Valuation _Pasta3 2" xfId="17344"/>
    <cellStyle name="s_Valuation _Pasta3 2_15-FINANCEIRAS" xfId="17345"/>
    <cellStyle name="s_Valuation _Pasta3_15-FINANCEIRAS" xfId="17346"/>
    <cellStyle name="s_Valuation _Pasta3_15-FINANCEIRAS_1" xfId="17347"/>
    <cellStyle name="s_Valuation _Pasta3_3-Balanço" xfId="17348"/>
    <cellStyle name="s_Valuation _Pasta3_3-Balanço 2" xfId="17349"/>
    <cellStyle name="s_Valuation _Pasta3_3-Balanço 2_15-FINANCEIRAS" xfId="17350"/>
    <cellStyle name="s_Valuation _Pasta3_3-Balanço_1" xfId="17351"/>
    <cellStyle name="s_Valuation _Pasta3_3-Balanço_15-FINANCEIRAS" xfId="17352"/>
    <cellStyle name="s_Valuation _Pasta3_3-Balanço_15-FINANCEIRAS_1" xfId="17353"/>
    <cellStyle name="s_Valuation _Pasta3_3-Balanço_3-Balanço" xfId="17354"/>
    <cellStyle name="s_Valuation _Pasta3_3-Balanço_7-Estoque" xfId="17355"/>
    <cellStyle name="s_Valuation _Pasta3_7-Estoque" xfId="17356"/>
    <cellStyle name="s_Valuation _Pasta3_Balanço" xfId="17357"/>
    <cellStyle name="s_Valuation _Pasta4" xfId="17358"/>
    <cellStyle name="s_Valuation _Pasta4 2" xfId="17359"/>
    <cellStyle name="s_Valuation _Pasta4 2_15-FINANCEIRAS" xfId="17360"/>
    <cellStyle name="s_Valuation _Pasta4_15-FINANCEIRAS" xfId="17361"/>
    <cellStyle name="s_Valuation _Pasta4_15-FINANCEIRAS_1" xfId="17362"/>
    <cellStyle name="s_Valuation _Pasta4_3-Balanço" xfId="17363"/>
    <cellStyle name="s_Valuation _Pasta4_3-Balanço 2" xfId="17364"/>
    <cellStyle name="s_Valuation _Pasta4_3-Balanço 2_15-FINANCEIRAS" xfId="17365"/>
    <cellStyle name="s_Valuation _Pasta4_3-Balanço_1" xfId="17366"/>
    <cellStyle name="s_Valuation _Pasta4_3-Balanço_15-FINANCEIRAS" xfId="17367"/>
    <cellStyle name="s_Valuation _Pasta4_3-Balanço_15-FINANCEIRAS_1" xfId="17368"/>
    <cellStyle name="s_Valuation _Pasta4_3-Balanço_3-Balanço" xfId="17369"/>
    <cellStyle name="s_Valuation _Pasta4_3-Balanço_7-Estoque" xfId="17370"/>
    <cellStyle name="s_Valuation _Pasta4_7-Estoque" xfId="17371"/>
    <cellStyle name="s_Valuation _Pasta4_Balanço" xfId="17372"/>
    <cellStyle name="s_Valuation _Pasta5" xfId="17373"/>
    <cellStyle name="s_Valuation _Pasta5 2" xfId="17374"/>
    <cellStyle name="s_Valuation _Pasta5 2_15-FINANCEIRAS" xfId="17375"/>
    <cellStyle name="s_Valuation _Pasta5_15-FINANCEIRAS" xfId="17376"/>
    <cellStyle name="s_Valuation _Pasta5_15-FINANCEIRAS_1" xfId="17377"/>
    <cellStyle name="s_Valuation _Pasta5_3-Balanço" xfId="17378"/>
    <cellStyle name="s_Valuation _Pasta5_3-Balanço 2" xfId="17379"/>
    <cellStyle name="s_Valuation _Pasta5_3-Balanço 2_15-FINANCEIRAS" xfId="17380"/>
    <cellStyle name="s_Valuation _Pasta5_3-Balanço_1" xfId="17381"/>
    <cellStyle name="s_Valuation _Pasta5_3-Balanço_15-FINANCEIRAS" xfId="17382"/>
    <cellStyle name="s_Valuation _Pasta5_3-Balanço_15-FINANCEIRAS_1" xfId="17383"/>
    <cellStyle name="s_Valuation _Pasta5_3-Balanço_3-Balanço" xfId="17384"/>
    <cellStyle name="s_Valuation _Pasta5_3-Balanço_7-Estoque" xfId="17385"/>
    <cellStyle name="s_Valuation _Pasta5_7-Estoque" xfId="17386"/>
    <cellStyle name="s_Valuation _Pasta5_Balanço" xfId="17387"/>
    <cellStyle name="s_Valuation _Plan1" xfId="17388"/>
    <cellStyle name="s_Valuation _Plan1 2" xfId="17389"/>
    <cellStyle name="s_Valuation _Plan1 2_15-FINANCEIRAS" xfId="17390"/>
    <cellStyle name="s_Valuation _Plan1_15-FINANCEIRAS" xfId="17391"/>
    <cellStyle name="s_Valuation _Plan1_15-FINANCEIRAS_1" xfId="17392"/>
    <cellStyle name="s_Valuation _Plan1_3-Balanço" xfId="17393"/>
    <cellStyle name="s_Valuation _Plan1_3-Balanço 2" xfId="17394"/>
    <cellStyle name="s_Valuation _Plan1_3-Balanço 2_15-FINANCEIRAS" xfId="17395"/>
    <cellStyle name="s_Valuation _Plan1_3-Balanço_1" xfId="17396"/>
    <cellStyle name="s_Valuation _Plan1_3-Balanço_15-FINANCEIRAS" xfId="17397"/>
    <cellStyle name="s_Valuation _Plan1_3-Balanço_15-FINANCEIRAS_1" xfId="17398"/>
    <cellStyle name="s_Valuation _Plan1_3-Balanço_3-Balanço" xfId="17399"/>
    <cellStyle name="s_Valuation _Plan1_3-Balanço_7-Estoque" xfId="17400"/>
    <cellStyle name="s_Valuation _Plan1_7-Estoque" xfId="17401"/>
    <cellStyle name="s_Valuation _Plan1_Balanço" xfId="17402"/>
    <cellStyle name="s_Valuation _Plan1_CCL" xfId="17403"/>
    <cellStyle name="s_Valuation _Plan1_CCL 2" xfId="17404"/>
    <cellStyle name="s_Valuation _Plan1_CCL 2_15-FINANCEIRAS" xfId="17405"/>
    <cellStyle name="s_Valuation _Plan1_CCL_15-FINANCEIRAS" xfId="17406"/>
    <cellStyle name="s_Valuation _Plan1_CCL_15-FINANCEIRAS_1" xfId="17407"/>
    <cellStyle name="s_Valuation _Plan1_CCL_3-Balanço" xfId="17408"/>
    <cellStyle name="s_Valuation _Plan1_CCL_3-Balanço 2" xfId="17409"/>
    <cellStyle name="s_Valuation _Plan1_CCL_3-Balanço 2_15-FINANCEIRAS" xfId="17410"/>
    <cellStyle name="s_Valuation _Plan1_CCL_3-Balanço_1" xfId="17411"/>
    <cellStyle name="s_Valuation _Plan1_CCL_3-Balanço_15-FINANCEIRAS" xfId="17412"/>
    <cellStyle name="s_Valuation _Plan1_CCL_3-Balanço_15-FINANCEIRAS_1" xfId="17413"/>
    <cellStyle name="s_Valuation _Plan1_CCL_3-Balanço_3-Balanço" xfId="17414"/>
    <cellStyle name="s_Valuation _Plan1_CCL_3-Balanço_7-Estoque" xfId="17415"/>
    <cellStyle name="s_Valuation _Plan1_CCL_7-Estoque" xfId="17416"/>
    <cellStyle name="s_Valuation _Plan1_CCL_Balanço" xfId="17417"/>
    <cellStyle name="s_Valuation _Plan1_Diferenças outubro CAN- (2)" xfId="17418"/>
    <cellStyle name="s_Valuation _Plan1_Diferenças outubro CAN- (2) 2" xfId="17419"/>
    <cellStyle name="s_Valuation _Plan1_Diferenças outubro CAN- (2) 2_15-FINANCEIRAS" xfId="17420"/>
    <cellStyle name="s_Valuation _Plan1_Diferenças outubro CAN- (2)_15-FINANCEIRAS" xfId="17421"/>
    <cellStyle name="s_Valuation _Plan1_Diferenças outubro CAN- (2)_15-FINANCEIRAS_1" xfId="17422"/>
    <cellStyle name="s_Valuation _Plan1_Diferenças outubro CAN- (2)_3-Balanço" xfId="17423"/>
    <cellStyle name="s_Valuation _Plan1_Diferenças outubro CAN- (2)_3-Balanço 2" xfId="17424"/>
    <cellStyle name="s_Valuation _Plan1_Diferenças outubro CAN- (2)_3-Balanço 2_15-FINANCEIRAS" xfId="17425"/>
    <cellStyle name="s_Valuation _Plan1_Diferenças outubro CAN- (2)_3-Balanço_1" xfId="17426"/>
    <cellStyle name="s_Valuation _Plan1_Diferenças outubro CAN- (2)_3-Balanço_15-FINANCEIRAS" xfId="17427"/>
    <cellStyle name="s_Valuation _Plan1_Diferenças outubro CAN- (2)_3-Balanço_15-FINANCEIRAS_1" xfId="17428"/>
    <cellStyle name="s_Valuation _Plan1_Diferenças outubro CAN- (2)_3-Balanço_3-Balanço" xfId="17429"/>
    <cellStyle name="s_Valuation _Plan1_Diferenças outubro CAN- (2)_3-Balanço_7-Estoque" xfId="17430"/>
    <cellStyle name="s_Valuation _Plan1_Diferenças outubro CAN- (2)_7-Estoque" xfId="17431"/>
    <cellStyle name="s_Valuation _Plan1_Diferenças outubro CAN- (2)_Balanço" xfId="17432"/>
    <cellStyle name="s_Valuation _Plan1_Query C.Custos SF 10-11" xfId="17433"/>
    <cellStyle name="s_Valuation _Plan1_Query C.Custos SF 10-11 2" xfId="17434"/>
    <cellStyle name="s_Valuation _Plan1_Query C.Custos SF 10-11 2_15-FINANCEIRAS" xfId="17435"/>
    <cellStyle name="s_Valuation _Plan1_Query C.Custos SF 10-11_15-FINANCEIRAS" xfId="17436"/>
    <cellStyle name="s_Valuation _Plan1_Query C.Custos SF 10-11_15-FINANCEIRAS_1" xfId="17437"/>
    <cellStyle name="s_Valuation _Plan1_Query C.Custos SF 10-11_3-Balanço" xfId="17438"/>
    <cellStyle name="s_Valuation _Plan1_Query C.Custos SF 10-11_3-Balanço 2" xfId="17439"/>
    <cellStyle name="s_Valuation _Plan1_Query C.Custos SF 10-11_3-Balanço 2_15-FINANCEIRAS" xfId="17440"/>
    <cellStyle name="s_Valuation _Plan1_Query C.Custos SF 10-11_3-Balanço_1" xfId="17441"/>
    <cellStyle name="s_Valuation _Plan1_Query C.Custos SF 10-11_3-Balanço_15-FINANCEIRAS" xfId="17442"/>
    <cellStyle name="s_Valuation _Plan1_Query C.Custos SF 10-11_3-Balanço_15-FINANCEIRAS_1" xfId="17443"/>
    <cellStyle name="s_Valuation _Plan1_Query C.Custos SF 10-11_3-Balanço_3-Balanço" xfId="17444"/>
    <cellStyle name="s_Valuation _Plan1_Query C.Custos SF 10-11_3-Balanço_7-Estoque" xfId="17445"/>
    <cellStyle name="s_Valuation _Plan1_Query C.Custos SF 10-11_7-Estoque" xfId="17446"/>
    <cellStyle name="s_Valuation _Plan1_Query C.Custos SF 10-11_Balanço" xfId="17447"/>
    <cellStyle name="s_Valuation _Plan2" xfId="17448"/>
    <cellStyle name="s_Valuation _Plan2 2" xfId="17449"/>
    <cellStyle name="s_Valuation _Plan2 2_15-FINANCEIRAS" xfId="17450"/>
    <cellStyle name="s_Valuation _Plan2_15-FINANCEIRAS" xfId="17451"/>
    <cellStyle name="s_Valuation _Plan2_15-FINANCEIRAS_1" xfId="17452"/>
    <cellStyle name="s_Valuation _Plan2_3-Balanço" xfId="17453"/>
    <cellStyle name="s_Valuation _Plan2_7-Estoque" xfId="17454"/>
    <cellStyle name="s_Valuation _Previa Jun" xfId="17455"/>
    <cellStyle name="s_Valuation _Previa Jun 2" xfId="17456"/>
    <cellStyle name="s_Valuation _Previa Jun 2 2" xfId="17457"/>
    <cellStyle name="s_Valuation _Previa Jun 2 2_15-FINANCEIRAS" xfId="17458"/>
    <cellStyle name="s_Valuation _Previa Jun 2_15-FINANCEIRAS" xfId="17459"/>
    <cellStyle name="s_Valuation _Previa Jun 2_15-FINANCEIRAS_1" xfId="17460"/>
    <cellStyle name="s_Valuation _Previa Jun 2_3-Balanço" xfId="17461"/>
    <cellStyle name="s_Valuation _Previa Jun 2_7-Estoque" xfId="17462"/>
    <cellStyle name="s_Valuation _Previa Jun 3" xfId="17463"/>
    <cellStyle name="s_Valuation _Previa Jun 3 2" xfId="17464"/>
    <cellStyle name="s_Valuation _Previa Jun 3 2_15-FINANCEIRAS" xfId="17465"/>
    <cellStyle name="s_Valuation _Previa Jun 3_15-FINANCEIRAS" xfId="17466"/>
    <cellStyle name="s_Valuation _Previa Jun 3_15-FINANCEIRAS_1" xfId="17467"/>
    <cellStyle name="s_Valuation _Previa Jun 3_3-Balanço" xfId="17468"/>
    <cellStyle name="s_Valuation _Previa Jun 3_7-Estoque" xfId="17469"/>
    <cellStyle name="s_Valuation _Previa Jun 4" xfId="17470"/>
    <cellStyle name="s_Valuation _Previa Jun 4 2" xfId="17471"/>
    <cellStyle name="s_Valuation _Previa Jun 4 2_15-FINANCEIRAS" xfId="17472"/>
    <cellStyle name="s_Valuation _Previa Jun 4_15-FINANCEIRAS" xfId="17473"/>
    <cellStyle name="s_Valuation _Previa Jun 4_15-FINANCEIRAS_1" xfId="17474"/>
    <cellStyle name="s_Valuation _Previa Jun 4_3-Balanço" xfId="17475"/>
    <cellStyle name="s_Valuation _Previa Jun 5" xfId="17476"/>
    <cellStyle name="s_Valuation _Previa Jun 5_15-FINANCEIRAS" xfId="17477"/>
    <cellStyle name="s_Valuation _Previa Jun_15-FINANCEIRAS" xfId="17478"/>
    <cellStyle name="s_Valuation _Previa Jun_15-FINANCEIRAS_1" xfId="17479"/>
    <cellStyle name="s_Valuation _Previa Jun_26_Instrumentos Financeiros" xfId="17480"/>
    <cellStyle name="s_Valuation _Previa Jun_26_Instrumentos Financeiros 2" xfId="17481"/>
    <cellStyle name="s_Valuation _Previa Jun_26_Instrumentos Financeiros 2_15-FINANCEIRAS" xfId="17482"/>
    <cellStyle name="s_Valuation _Previa Jun_26_Instrumentos Financeiros_1" xfId="17483"/>
    <cellStyle name="s_Valuation _Previa Jun_26_Instrumentos Financeiros_1 2" xfId="17484"/>
    <cellStyle name="s_Valuation _Previa Jun_26_Instrumentos Financeiros_1 2_15-FINANCEIRAS" xfId="17485"/>
    <cellStyle name="s_Valuation _Previa Jun_26_Instrumentos Financeiros_1_15-FINANCEIRAS" xfId="17486"/>
    <cellStyle name="s_Valuation _Previa Jun_26_Instrumentos Financeiros_1_15-FINANCEIRAS_1" xfId="17487"/>
    <cellStyle name="s_Valuation _Previa Jun_26_Instrumentos Financeiros_1_3-Balanço" xfId="17488"/>
    <cellStyle name="s_Valuation _Previa Jun_26_Instrumentos Financeiros_1_7-Estoque" xfId="17489"/>
    <cellStyle name="s_Valuation _Previa Jun_26_Instrumentos Financeiros_15-FINANCEIRAS" xfId="17490"/>
    <cellStyle name="s_Valuation _Previa Jun_26_Instrumentos Financeiros_15-FINANCEIRAS_1" xfId="17491"/>
    <cellStyle name="s_Valuation _Previa Jun_26_Instrumentos Financeiros_3-Balanço" xfId="17492"/>
    <cellStyle name="s_Valuation _Previa Jun_26_Instrumentos Financeiros_7-Estoque" xfId="17493"/>
    <cellStyle name="s_Valuation _Previa Jun_2-DRE" xfId="17494"/>
    <cellStyle name="s_Valuation _Previa Jun_2-DRE 2" xfId="17495"/>
    <cellStyle name="s_Valuation _Previa Jun_2-DRE 2_15-FINANCEIRAS" xfId="17496"/>
    <cellStyle name="s_Valuation _Previa Jun_2-DRE_15-FINANCEIRAS" xfId="17497"/>
    <cellStyle name="s_Valuation _Previa Jun_2-DRE_15-FINANCEIRAS_1" xfId="17498"/>
    <cellStyle name="s_Valuation _Previa Jun_2-DRE_3-Balanço" xfId="17499"/>
    <cellStyle name="s_Valuation _Previa Jun_2-DRE_7-Estoque" xfId="17500"/>
    <cellStyle name="s_Valuation _Previa Jun_3-Balanço" xfId="17501"/>
    <cellStyle name="s_Valuation _Previa Jun_3-Balanço 2" xfId="17502"/>
    <cellStyle name="s_Valuation _Previa Jun_3-Balanço 2_15-FINANCEIRAS" xfId="17503"/>
    <cellStyle name="s_Valuation _Previa Jun_3-Balanço_1" xfId="17504"/>
    <cellStyle name="s_Valuation _Previa Jun_3-Balanço_1 2" xfId="17505"/>
    <cellStyle name="s_Valuation _Previa Jun_3-Balanço_1 2_15-FINANCEIRAS" xfId="17506"/>
    <cellStyle name="s_Valuation _Previa Jun_3-Balanço_1_15-FINANCEIRAS" xfId="17507"/>
    <cellStyle name="s_Valuation _Previa Jun_3-Balanço_1_15-FINANCEIRAS_1" xfId="17508"/>
    <cellStyle name="s_Valuation _Previa Jun_3-Balanço_1_3-Balanço" xfId="17509"/>
    <cellStyle name="s_Valuation _Previa Jun_3-Balanço_1_7-Estoque" xfId="17510"/>
    <cellStyle name="s_Valuation _Previa Jun_3-Balanço_15-FINANCEIRAS" xfId="17511"/>
    <cellStyle name="s_Valuation _Previa Jun_3-Balanço_15-FINANCEIRAS_1" xfId="17512"/>
    <cellStyle name="s_Valuation _Previa Jun_3-Balanço_2" xfId="17513"/>
    <cellStyle name="s_Valuation _Previa Jun_3-Balanço_3-Balanço" xfId="17514"/>
    <cellStyle name="s_Valuation _Previa Jun_3-Balanço_7-Estoque" xfId="17515"/>
    <cellStyle name="s_Valuation _Previa Jun_4-DMPL" xfId="17516"/>
    <cellStyle name="s_Valuation _Previa Jun_4-DMPL 2" xfId="17517"/>
    <cellStyle name="s_Valuation _Previa Jun_4-DMPL 2_15-FINANCEIRAS" xfId="17518"/>
    <cellStyle name="s_Valuation _Previa Jun_4-DMPL_15-FINANCEIRAS" xfId="17519"/>
    <cellStyle name="s_Valuation _Previa Jun_4-DMPL_15-FINANCEIRAS_1" xfId="17520"/>
    <cellStyle name="s_Valuation _Previa Jun_4-DMPL_3-Balanço" xfId="17521"/>
    <cellStyle name="s_Valuation _Previa Jun_7-Estoque" xfId="17522"/>
    <cellStyle name="s_Valuation _Previa Jun_8-Impostos" xfId="17523"/>
    <cellStyle name="s_Valuation _Previa Jun_8-Impostos 2" xfId="17524"/>
    <cellStyle name="s_Valuation _Previa Jun_8-Impostos 2_15-FINANCEIRAS" xfId="17525"/>
    <cellStyle name="s_Valuation _Previa Jun_8-Impostos_15-FINANCEIRAS" xfId="17526"/>
    <cellStyle name="s_Valuation _Previa Jun_8-Impostos_15-FINANCEIRAS_1" xfId="17527"/>
    <cellStyle name="s_Valuation _Previa Jun_8-Impostos_3-Balanço" xfId="17528"/>
    <cellStyle name="s_Valuation _Previa Jun_Acerto FV e Ajustes Manuais" xfId="17529"/>
    <cellStyle name="s_Valuation _Previa Jun_Balanço" xfId="17530"/>
    <cellStyle name="s_Valuation _Previa Jun_Caixa restrito" xfId="17531"/>
    <cellStyle name="s_Valuation _Previa Jun_Caixa restrito_7-Estoque" xfId="17532"/>
    <cellStyle name="s_Valuation _Previa Jun_COSAN SA CONSOLID_MÊS" xfId="17533"/>
    <cellStyle name="s_Valuation _Previa Jun_Display" xfId="17534"/>
    <cellStyle name="s_Valuation _Previa Jun_Display 2" xfId="17535"/>
    <cellStyle name="s_Valuation _Previa Jun_Display 2_15-FINANCEIRAS" xfId="17536"/>
    <cellStyle name="s_Valuation _Previa Jun_Display_15-FINANCEIRAS" xfId="17537"/>
    <cellStyle name="s_Valuation _Previa Jun_Display_15-FINANCEIRAS_1" xfId="17538"/>
    <cellStyle name="s_Valuation _Previa Jun_Display_3-Balanço" xfId="17539"/>
    <cellStyle name="s_Valuation _Previa Jun_Display_7-Estoque" xfId="17540"/>
    <cellStyle name="s_Valuation _Previa Jun_Instrumentos Financeiros" xfId="17541"/>
    <cellStyle name="s_Valuation _Previa Jun_Instrumentos Financeiros 2" xfId="17542"/>
    <cellStyle name="s_Valuation _Previa Jun_Instrumentos Financeiros 2_15-FINANCEIRAS" xfId="17543"/>
    <cellStyle name="s_Valuation _Previa Jun_Instrumentos Financeiros_15-FINANCEIRAS" xfId="17544"/>
    <cellStyle name="s_Valuation _Previa Jun_Instrumentos Financeiros_15-FINANCEIRAS_1" xfId="17545"/>
    <cellStyle name="s_Valuation _Previa Jun_Instrumentos Financeiros_3-Balanço" xfId="17546"/>
    <cellStyle name="s_Valuation _Previa Jun_Instrumentos Financeiros_7-Estoque" xfId="17547"/>
    <cellStyle name="s_Valuation _Previa Jun_Mapa 3T12" xfId="17548"/>
    <cellStyle name="s_Valuation _Previa Jun_Mapa 3T12 2" xfId="17549"/>
    <cellStyle name="s_Valuation _Previa Jun_Mapa 3T12 2_15-FINANCEIRAS" xfId="17550"/>
    <cellStyle name="s_Valuation _Previa Jun_Mapa 3T12_15-FINANCEIRAS" xfId="17551"/>
    <cellStyle name="s_Valuation _Previa Jun_Mapa 3T12_15-FINANCEIRAS_1" xfId="17552"/>
    <cellStyle name="s_Valuation _Previa Jun_Mapa 3T12_3-Balanço" xfId="17553"/>
    <cellStyle name="s_Valuation _Previa Jun_Plan2" xfId="17554"/>
    <cellStyle name="s_Valuation _Previa Jun_Plan2 2" xfId="17555"/>
    <cellStyle name="s_Valuation _Previa Jun_Plan2 2_15-FINANCEIRAS" xfId="17556"/>
    <cellStyle name="s_Valuation _Previa Jun_Plan2_15-FINANCEIRAS" xfId="17557"/>
    <cellStyle name="s_Valuation _Previa Jun_Plan2_15-FINANCEIRAS_1" xfId="17558"/>
    <cellStyle name="s_Valuation _Previa Jun_Plan2_3-Balanço" xfId="17559"/>
    <cellStyle name="s_Valuation _Previa Jun_Plan2_7-Estoque" xfId="17560"/>
    <cellStyle name="s_Valuation _Previa Mai" xfId="17561"/>
    <cellStyle name="s_Valuation _Previa Mai 2" xfId="17562"/>
    <cellStyle name="s_Valuation _Previa Mai 2_15-FINANCEIRAS" xfId="17563"/>
    <cellStyle name="s_Valuation _Previa Mai_15-FINANCEIRAS" xfId="17564"/>
    <cellStyle name="s_Valuation _Previa Mai_15-FINANCEIRAS_1" xfId="17565"/>
    <cellStyle name="s_Valuation _Previa Mai_3-Balanço" xfId="17566"/>
    <cellStyle name="s_Valuation _Previa Mai_3-Balanço 2" xfId="17567"/>
    <cellStyle name="s_Valuation _Previa Mai_3-Balanço 2_15-FINANCEIRAS" xfId="17568"/>
    <cellStyle name="s_Valuation _Previa Mai_3-Balanço_1" xfId="17569"/>
    <cellStyle name="s_Valuation _Previa Mai_3-Balanço_15-FINANCEIRAS" xfId="17570"/>
    <cellStyle name="s_Valuation _Previa Mai_3-Balanço_15-FINANCEIRAS_1" xfId="17571"/>
    <cellStyle name="s_Valuation _Previa Mai_3-Balanço_3-Balanço" xfId="17572"/>
    <cellStyle name="s_Valuation _Previa Mai_3-Balanço_7-Estoque" xfId="17573"/>
    <cellStyle name="s_Valuation _Previa Mai_7-Estoque" xfId="17574"/>
    <cellStyle name="s_Valuation _Previa Mai_Balanço" xfId="17575"/>
    <cellStyle name="s_Valuation _Previa Mai_COSAN SA CONSOLID_MÊS" xfId="17576"/>
    <cellStyle name="s_Valuation _PxL Cnsl Evol." xfId="17577"/>
    <cellStyle name="s_Valuation _PxL Cnsl Evol. 2" xfId="17578"/>
    <cellStyle name="s_Valuation _PxL Cnsl Evol. 2 2" xfId="17579"/>
    <cellStyle name="s_Valuation _PxL Cnsl Evol. 2 2_15-FINANCEIRAS" xfId="17580"/>
    <cellStyle name="s_Valuation _PxL Cnsl Evol. 2_15-FINANCEIRAS" xfId="17581"/>
    <cellStyle name="s_Valuation _PxL Cnsl Evol. 2_15-FINANCEIRAS_1" xfId="17582"/>
    <cellStyle name="s_Valuation _PxL Cnsl Evol. 2_3-Balanço" xfId="17583"/>
    <cellStyle name="s_Valuation _PxL Cnsl Evol. 2_7-Estoque" xfId="17584"/>
    <cellStyle name="s_Valuation _PxL Cnsl Evol. 3" xfId="17585"/>
    <cellStyle name="s_Valuation _PxL Cnsl Evol. 3 2" xfId="17586"/>
    <cellStyle name="s_Valuation _PxL Cnsl Evol. 3 2_15-FINANCEIRAS" xfId="17587"/>
    <cellStyle name="s_Valuation _PxL Cnsl Evol. 3_15-FINANCEIRAS" xfId="17588"/>
    <cellStyle name="s_Valuation _PxL Cnsl Evol. 3_15-FINANCEIRAS_1" xfId="17589"/>
    <cellStyle name="s_Valuation _PxL Cnsl Evol. 3_3-Balanço" xfId="17590"/>
    <cellStyle name="s_Valuation _PxL Cnsl Evol. 3_7-Estoque" xfId="17591"/>
    <cellStyle name="s_Valuation _PxL Cnsl Evol. 4" xfId="17592"/>
    <cellStyle name="s_Valuation _PxL Cnsl Evol. 4 2" xfId="17593"/>
    <cellStyle name="s_Valuation _PxL Cnsl Evol. 4 2_15-FINANCEIRAS" xfId="17594"/>
    <cellStyle name="s_Valuation _PxL Cnsl Evol. 4_15-FINANCEIRAS" xfId="17595"/>
    <cellStyle name="s_Valuation _PxL Cnsl Evol. 4_15-FINANCEIRAS_1" xfId="17596"/>
    <cellStyle name="s_Valuation _PxL Cnsl Evol. 4_3-Balanço" xfId="17597"/>
    <cellStyle name="s_Valuation _PxL Cnsl Evol. 5" xfId="17598"/>
    <cellStyle name="s_Valuation _PxL Cnsl Evol. 5_15-FINANCEIRAS" xfId="17599"/>
    <cellStyle name="s_Valuation _PxL Cnsl Evol._15-FINANCEIRAS" xfId="17600"/>
    <cellStyle name="s_Valuation _PxL Cnsl Evol._15-FINANCEIRAS_1" xfId="17601"/>
    <cellStyle name="s_Valuation _PxL Cnsl Evol._26_Instrumentos Financeiros" xfId="17602"/>
    <cellStyle name="s_Valuation _PxL Cnsl Evol._26_Instrumentos Financeiros 2" xfId="17603"/>
    <cellStyle name="s_Valuation _PxL Cnsl Evol._26_Instrumentos Financeiros 2_15-FINANCEIRAS" xfId="17604"/>
    <cellStyle name="s_Valuation _PxL Cnsl Evol._26_Instrumentos Financeiros_1" xfId="17605"/>
    <cellStyle name="s_Valuation _PxL Cnsl Evol._26_Instrumentos Financeiros_1 2" xfId="17606"/>
    <cellStyle name="s_Valuation _PxL Cnsl Evol._26_Instrumentos Financeiros_1 2_15-FINANCEIRAS" xfId="17607"/>
    <cellStyle name="s_Valuation _PxL Cnsl Evol._26_Instrumentos Financeiros_1_15-FINANCEIRAS" xfId="17608"/>
    <cellStyle name="s_Valuation _PxL Cnsl Evol._26_Instrumentos Financeiros_1_15-FINANCEIRAS_1" xfId="17609"/>
    <cellStyle name="s_Valuation _PxL Cnsl Evol._26_Instrumentos Financeiros_1_3-Balanço" xfId="17610"/>
    <cellStyle name="s_Valuation _PxL Cnsl Evol._26_Instrumentos Financeiros_1_7-Estoque" xfId="17611"/>
    <cellStyle name="s_Valuation _PxL Cnsl Evol._26_Instrumentos Financeiros_15-FINANCEIRAS" xfId="17612"/>
    <cellStyle name="s_Valuation _PxL Cnsl Evol._26_Instrumentos Financeiros_15-FINANCEIRAS_1" xfId="17613"/>
    <cellStyle name="s_Valuation _PxL Cnsl Evol._26_Instrumentos Financeiros_3-Balanço" xfId="17614"/>
    <cellStyle name="s_Valuation _PxL Cnsl Evol._26_Instrumentos Financeiros_7-Estoque" xfId="17615"/>
    <cellStyle name="s_Valuation _PxL Cnsl Evol._2-DRE" xfId="17616"/>
    <cellStyle name="s_Valuation _PxL Cnsl Evol._2-DRE 2" xfId="17617"/>
    <cellStyle name="s_Valuation _PxL Cnsl Evol._2-DRE 2_15-FINANCEIRAS" xfId="17618"/>
    <cellStyle name="s_Valuation _PxL Cnsl Evol._2-DRE_15-FINANCEIRAS" xfId="17619"/>
    <cellStyle name="s_Valuation _PxL Cnsl Evol._2-DRE_15-FINANCEIRAS_1" xfId="17620"/>
    <cellStyle name="s_Valuation _PxL Cnsl Evol._2-DRE_3-Balanço" xfId="17621"/>
    <cellStyle name="s_Valuation _PxL Cnsl Evol._2-DRE_7-Estoque" xfId="17622"/>
    <cellStyle name="s_Valuation _PxL Cnsl Evol._3-Balanço" xfId="17623"/>
    <cellStyle name="s_Valuation _PxL Cnsl Evol._3-Balanço 2" xfId="17624"/>
    <cellStyle name="s_Valuation _PxL Cnsl Evol._3-Balanço 2_15-FINANCEIRAS" xfId="17625"/>
    <cellStyle name="s_Valuation _PxL Cnsl Evol._3-Balanço_1" xfId="17626"/>
    <cellStyle name="s_Valuation _PxL Cnsl Evol._3-Balanço_1 2" xfId="17627"/>
    <cellStyle name="s_Valuation _PxL Cnsl Evol._3-Balanço_1 2_15-FINANCEIRAS" xfId="17628"/>
    <cellStyle name="s_Valuation _PxL Cnsl Evol._3-Balanço_1_15-FINANCEIRAS" xfId="17629"/>
    <cellStyle name="s_Valuation _PxL Cnsl Evol._3-Balanço_1_15-FINANCEIRAS_1" xfId="17630"/>
    <cellStyle name="s_Valuation _PxL Cnsl Evol._3-Balanço_1_3-Balanço" xfId="17631"/>
    <cellStyle name="s_Valuation _PxL Cnsl Evol._3-Balanço_1_7-Estoque" xfId="17632"/>
    <cellStyle name="s_Valuation _PxL Cnsl Evol._3-Balanço_15-FINANCEIRAS" xfId="17633"/>
    <cellStyle name="s_Valuation _PxL Cnsl Evol._3-Balanço_15-FINANCEIRAS_1" xfId="17634"/>
    <cellStyle name="s_Valuation _PxL Cnsl Evol._3-Balanço_2" xfId="17635"/>
    <cellStyle name="s_Valuation _PxL Cnsl Evol._3-Balanço_3-Balanço" xfId="17636"/>
    <cellStyle name="s_Valuation _PxL Cnsl Evol._3-Balanço_7-Estoque" xfId="17637"/>
    <cellStyle name="s_Valuation _PxL Cnsl Evol._4-DMPL" xfId="17638"/>
    <cellStyle name="s_Valuation _PxL Cnsl Evol._4-DMPL 2" xfId="17639"/>
    <cellStyle name="s_Valuation _PxL Cnsl Evol._4-DMPL 2_15-FINANCEIRAS" xfId="17640"/>
    <cellStyle name="s_Valuation _PxL Cnsl Evol._4-DMPL_15-FINANCEIRAS" xfId="17641"/>
    <cellStyle name="s_Valuation _PxL Cnsl Evol._4-DMPL_15-FINANCEIRAS_1" xfId="17642"/>
    <cellStyle name="s_Valuation _PxL Cnsl Evol._4-DMPL_3-Balanço" xfId="17643"/>
    <cellStyle name="s_Valuation _PxL Cnsl Evol._7-Estoque" xfId="17644"/>
    <cellStyle name="s_Valuation _PxL Cnsl Evol._8-Impostos" xfId="17645"/>
    <cellStyle name="s_Valuation _PxL Cnsl Evol._8-Impostos 2" xfId="17646"/>
    <cellStyle name="s_Valuation _PxL Cnsl Evol._8-Impostos 2_15-FINANCEIRAS" xfId="17647"/>
    <cellStyle name="s_Valuation _PxL Cnsl Evol._8-Impostos_15-FINANCEIRAS" xfId="17648"/>
    <cellStyle name="s_Valuation _PxL Cnsl Evol._8-Impostos_15-FINANCEIRAS_1" xfId="17649"/>
    <cellStyle name="s_Valuation _PxL Cnsl Evol._8-Impostos_3-Balanço" xfId="17650"/>
    <cellStyle name="s_Valuation _PxL Cnsl Evol._Acerto FV e Ajustes Manuais" xfId="17651"/>
    <cellStyle name="s_Valuation _PxL Cnsl Evol._Balanço" xfId="17652"/>
    <cellStyle name="s_Valuation _PxL Cnsl Evol._Caixa restrito" xfId="17653"/>
    <cellStyle name="s_Valuation _PxL Cnsl Evol._Caixa restrito_7-Estoque" xfId="17654"/>
    <cellStyle name="s_Valuation _PxL Cnsl Evol._COSAN SA CONSOLID_MÊS" xfId="17655"/>
    <cellStyle name="s_Valuation _PxL Cnsl Evol._Display" xfId="17656"/>
    <cellStyle name="s_Valuation _PxL Cnsl Evol._Display 2" xfId="17657"/>
    <cellStyle name="s_Valuation _PxL Cnsl Evol._Display 2_15-FINANCEIRAS" xfId="17658"/>
    <cellStyle name="s_Valuation _PxL Cnsl Evol._Display_15-FINANCEIRAS" xfId="17659"/>
    <cellStyle name="s_Valuation _PxL Cnsl Evol._Display_15-FINANCEIRAS_1" xfId="17660"/>
    <cellStyle name="s_Valuation _PxL Cnsl Evol._Display_3-Balanço" xfId="17661"/>
    <cellStyle name="s_Valuation _PxL Cnsl Evol._Display_7-Estoque" xfId="17662"/>
    <cellStyle name="s_Valuation _PxL Cnsl Evol._Instrumentos Financeiros" xfId="17663"/>
    <cellStyle name="s_Valuation _PxL Cnsl Evol._Instrumentos Financeiros 2" xfId="17664"/>
    <cellStyle name="s_Valuation _PxL Cnsl Evol._Instrumentos Financeiros 2_15-FINANCEIRAS" xfId="17665"/>
    <cellStyle name="s_Valuation _PxL Cnsl Evol._Instrumentos Financeiros_15-FINANCEIRAS" xfId="17666"/>
    <cellStyle name="s_Valuation _PxL Cnsl Evol._Instrumentos Financeiros_15-FINANCEIRAS_1" xfId="17667"/>
    <cellStyle name="s_Valuation _PxL Cnsl Evol._Instrumentos Financeiros_3-Balanço" xfId="17668"/>
    <cellStyle name="s_Valuation _PxL Cnsl Evol._Instrumentos Financeiros_7-Estoque" xfId="17669"/>
    <cellStyle name="s_Valuation _PxL Cnsl Evol._Mapa 3T12" xfId="17670"/>
    <cellStyle name="s_Valuation _PxL Cnsl Evol._Mapa 3T12 2" xfId="17671"/>
    <cellStyle name="s_Valuation _PxL Cnsl Evol._Mapa 3T12 2_15-FINANCEIRAS" xfId="17672"/>
    <cellStyle name="s_Valuation _PxL Cnsl Evol._Mapa 3T12_15-FINANCEIRAS" xfId="17673"/>
    <cellStyle name="s_Valuation _PxL Cnsl Evol._Mapa 3T12_15-FINANCEIRAS_1" xfId="17674"/>
    <cellStyle name="s_Valuation _PxL Cnsl Evol._Mapa 3T12_3-Balanço" xfId="17675"/>
    <cellStyle name="s_Valuation _PxL Cnsl Evol._Plan2" xfId="17676"/>
    <cellStyle name="s_Valuation _PxL Cnsl Evol._Plan2 2" xfId="17677"/>
    <cellStyle name="s_Valuation _PxL Cnsl Evol._Plan2 2_15-FINANCEIRAS" xfId="17678"/>
    <cellStyle name="s_Valuation _PxL Cnsl Evol._Plan2_15-FINANCEIRAS" xfId="17679"/>
    <cellStyle name="s_Valuation _PxL Cnsl Evol._Plan2_15-FINANCEIRAS_1" xfId="17680"/>
    <cellStyle name="s_Valuation _PxL Cnsl Evol._Plan2_3-Balanço" xfId="17681"/>
    <cellStyle name="s_Valuation _PxL Cnsl Evol._Plan2_7-Estoque" xfId="17682"/>
    <cellStyle name="s_Valuation _Query C.Custos SF 10-11" xfId="17683"/>
    <cellStyle name="s_Valuation _Query C.Custos SF 10-11 2" xfId="17684"/>
    <cellStyle name="s_Valuation _Query C.Custos SF 10-11 2_15-FINANCEIRAS" xfId="17685"/>
    <cellStyle name="s_Valuation _Query C.Custos SF 10-11_15-FINANCEIRAS" xfId="17686"/>
    <cellStyle name="s_Valuation _Query C.Custos SF 10-11_15-FINANCEIRAS_1" xfId="17687"/>
    <cellStyle name="s_Valuation _Query C.Custos SF 10-11_3-Balanço" xfId="17688"/>
    <cellStyle name="s_Valuation _Query C.Custos SF 10-11_3-Balanço 2" xfId="17689"/>
    <cellStyle name="s_Valuation _Query C.Custos SF 10-11_3-Balanço 2_15-FINANCEIRAS" xfId="17690"/>
    <cellStyle name="s_Valuation _Query C.Custos SF 10-11_3-Balanço_1" xfId="17691"/>
    <cellStyle name="s_Valuation _Query C.Custos SF 10-11_3-Balanço_15-FINANCEIRAS" xfId="17692"/>
    <cellStyle name="s_Valuation _Query C.Custos SF 10-11_3-Balanço_15-FINANCEIRAS_1" xfId="17693"/>
    <cellStyle name="s_Valuation _Query C.Custos SF 10-11_3-Balanço_3-Balanço" xfId="17694"/>
    <cellStyle name="s_Valuation _Query C.Custos SF 10-11_3-Balanço_7-Estoque" xfId="17695"/>
    <cellStyle name="s_Valuation _Query C.Custos SF 10-11_7-Estoque" xfId="17696"/>
    <cellStyle name="s_Valuation _Query C.Custos SF 10-11_Balanço" xfId="17697"/>
    <cellStyle name="s_Valuation _Query C.Custos SF 10-11_CCL" xfId="17698"/>
    <cellStyle name="s_Valuation _Query C.Custos SF 10-11_CCL 2" xfId="17699"/>
    <cellStyle name="s_Valuation _Query C.Custos SF 10-11_CCL 2_15-FINANCEIRAS" xfId="17700"/>
    <cellStyle name="s_Valuation _Query C.Custos SF 10-11_CCL_15-FINANCEIRAS" xfId="17701"/>
    <cellStyle name="s_Valuation _Query C.Custos SF 10-11_CCL_15-FINANCEIRAS_1" xfId="17702"/>
    <cellStyle name="s_Valuation _Query C.Custos SF 10-11_CCL_3-Balanço" xfId="17703"/>
    <cellStyle name="s_Valuation _Query C.Custos SF 10-11_CCL_3-Balanço 2" xfId="17704"/>
    <cellStyle name="s_Valuation _Query C.Custos SF 10-11_CCL_3-Balanço 2_15-FINANCEIRAS" xfId="17705"/>
    <cellStyle name="s_Valuation _Query C.Custos SF 10-11_CCL_3-Balanço_1" xfId="17706"/>
    <cellStyle name="s_Valuation _Query C.Custos SF 10-11_CCL_3-Balanço_15-FINANCEIRAS" xfId="17707"/>
    <cellStyle name="s_Valuation _Query C.Custos SF 10-11_CCL_3-Balanço_15-FINANCEIRAS_1" xfId="17708"/>
    <cellStyle name="s_Valuation _Query C.Custos SF 10-11_CCL_3-Balanço_3-Balanço" xfId="17709"/>
    <cellStyle name="s_Valuation _Query C.Custos SF 10-11_CCL_3-Balanço_7-Estoque" xfId="17710"/>
    <cellStyle name="s_Valuation _Query C.Custos SF 10-11_CCL_7-Estoque" xfId="17711"/>
    <cellStyle name="s_Valuation _Query C.Custos SF 10-11_CCL_Balanço" xfId="17712"/>
    <cellStyle name="s_Valuation _Query C.Custos SF 10-11_Diferenças outubro CAN- (2)" xfId="17713"/>
    <cellStyle name="s_Valuation _Query C.Custos SF 10-11_Diferenças outubro CAN- (2) 2" xfId="17714"/>
    <cellStyle name="s_Valuation _Query C.Custos SF 10-11_Diferenças outubro CAN- (2) 2_15-FINANCEIRAS" xfId="17715"/>
    <cellStyle name="s_Valuation _Query C.Custos SF 10-11_Diferenças outubro CAN- (2)_15-FINANCEIRAS" xfId="17716"/>
    <cellStyle name="s_Valuation _Query C.Custos SF 10-11_Diferenças outubro CAN- (2)_15-FINANCEIRAS_1" xfId="17717"/>
    <cellStyle name="s_Valuation _Query C.Custos SF 10-11_Diferenças outubro CAN- (2)_3-Balanço" xfId="17718"/>
    <cellStyle name="s_Valuation _Query C.Custos SF 10-11_Diferenças outubro CAN- (2)_3-Balanço 2" xfId="17719"/>
    <cellStyle name="s_Valuation _Query C.Custos SF 10-11_Diferenças outubro CAN- (2)_3-Balanço 2_15-FINANCEIRAS" xfId="17720"/>
    <cellStyle name="s_Valuation _Query C.Custos SF 10-11_Diferenças outubro CAN- (2)_3-Balanço_1" xfId="17721"/>
    <cellStyle name="s_Valuation _Query C.Custos SF 10-11_Diferenças outubro CAN- (2)_3-Balanço_15-FINANCEIRAS" xfId="17722"/>
    <cellStyle name="s_Valuation _Query C.Custos SF 10-11_Diferenças outubro CAN- (2)_3-Balanço_15-FINANCEIRAS_1" xfId="17723"/>
    <cellStyle name="s_Valuation _Query C.Custos SF 10-11_Diferenças outubro CAN- (2)_3-Balanço_3-Balanço" xfId="17724"/>
    <cellStyle name="s_Valuation _Query C.Custos SF 10-11_Diferenças outubro CAN- (2)_3-Balanço_7-Estoque" xfId="17725"/>
    <cellStyle name="s_Valuation _Query C.Custos SF 10-11_Diferenças outubro CAN- (2)_7-Estoque" xfId="17726"/>
    <cellStyle name="s_Valuation _Query C.Custos SF 10-11_Diferenças outubro CAN- (2)_Balanço" xfId="17727"/>
    <cellStyle name="s_Valuation _Query C.Custos SF 10-11_Query C.Custos SF 10-11" xfId="17728"/>
    <cellStyle name="s_Valuation _Query C.Custos SF 10-11_Query C.Custos SF 10-11 2" xfId="17729"/>
    <cellStyle name="s_Valuation _Query C.Custos SF 10-11_Query C.Custos SF 10-11 2_15-FINANCEIRAS" xfId="17730"/>
    <cellStyle name="s_Valuation _Query C.Custos SF 10-11_Query C.Custos SF 10-11_15-FINANCEIRAS" xfId="17731"/>
    <cellStyle name="s_Valuation _Query C.Custos SF 10-11_Query C.Custos SF 10-11_15-FINANCEIRAS_1" xfId="17732"/>
    <cellStyle name="s_Valuation _Query C.Custos SF 10-11_Query C.Custos SF 10-11_3-Balanço" xfId="17733"/>
    <cellStyle name="s_Valuation _Query C.Custos SF 10-11_Query C.Custos SF 10-11_3-Balanço 2" xfId="17734"/>
    <cellStyle name="s_Valuation _Query C.Custos SF 10-11_Query C.Custos SF 10-11_3-Balanço 2_15-FINANCEIRAS" xfId="17735"/>
    <cellStyle name="s_Valuation _Query C.Custos SF 10-11_Query C.Custos SF 10-11_3-Balanço_1" xfId="17736"/>
    <cellStyle name="s_Valuation _Query C.Custos SF 10-11_Query C.Custos SF 10-11_3-Balanço_15-FINANCEIRAS" xfId="17737"/>
    <cellStyle name="s_Valuation _Query C.Custos SF 10-11_Query C.Custos SF 10-11_3-Balanço_15-FINANCEIRAS_1" xfId="17738"/>
    <cellStyle name="s_Valuation _Query C.Custos SF 10-11_Query C.Custos SF 10-11_3-Balanço_3-Balanço" xfId="17739"/>
    <cellStyle name="s_Valuation _Query C.Custos SF 10-11_Query C.Custos SF 10-11_3-Balanço_7-Estoque" xfId="17740"/>
    <cellStyle name="s_Valuation _Query C.Custos SF 10-11_Query C.Custos SF 10-11_7-Estoque" xfId="17741"/>
    <cellStyle name="s_Valuation _Query C.Custos SF 10-11_Query C.Custos SF 10-11_Balanço" xfId="17742"/>
    <cellStyle name="s_Valuation _Receitas" xfId="17743"/>
    <cellStyle name="s_Valuation _Relatório Gerencial" xfId="17744"/>
    <cellStyle name="s_Valuation _Relatório Gerencial 2" xfId="17745"/>
    <cellStyle name="s_Valuation _Relatório Gerencial 2_15-FINANCEIRAS" xfId="17746"/>
    <cellStyle name="s_Valuation _Relatório Gerencial_15-FINANCEIRAS" xfId="17747"/>
    <cellStyle name="s_Valuation _Relatório Gerencial_15-FINANCEIRAS_1" xfId="17748"/>
    <cellStyle name="s_Valuation _Relatório Gerencial_3-Balanço" xfId="17749"/>
    <cellStyle name="s_Valuation _Relatório Gerencial_7-Estoque" xfId="17750"/>
    <cellStyle name="s_Valuation _Res.Cont. AdmComLog" xfId="17751"/>
    <cellStyle name="s_Valuation _Res.Cont. AdmComLog 2" xfId="17752"/>
    <cellStyle name="s_Valuation _Res.Cont. AdmComLog 2_15-FINANCEIRAS" xfId="17753"/>
    <cellStyle name="s_Valuation _Res.Cont. AdmComLog_15-FINANCEIRAS" xfId="17754"/>
    <cellStyle name="s_Valuation _Res.Cont. AdmComLog_15-FINANCEIRAS_1" xfId="17755"/>
    <cellStyle name="s_Valuation _Res.Cont. AdmComLog_3-Balanço" xfId="17756"/>
    <cellStyle name="s_Valuation _Res.Cont. AdmComLog_3-Balanço 2" xfId="17757"/>
    <cellStyle name="s_Valuation _Res.Cont. AdmComLog_3-Balanço 2_15-FINANCEIRAS" xfId="17758"/>
    <cellStyle name="s_Valuation _Res.Cont. AdmComLog_3-Balanço_1" xfId="17759"/>
    <cellStyle name="s_Valuation _Res.Cont. AdmComLog_3-Balanço_15-FINANCEIRAS" xfId="17760"/>
    <cellStyle name="s_Valuation _Res.Cont. AdmComLog_3-Balanço_15-FINANCEIRAS_1" xfId="17761"/>
    <cellStyle name="s_Valuation _Res.Cont. AdmComLog_3-Balanço_3-Balanço" xfId="17762"/>
    <cellStyle name="s_Valuation _Res.Cont. AdmComLog_3-Balanço_7-Estoque" xfId="17763"/>
    <cellStyle name="s_Valuation _Res.Cont. AdmComLog_7-Estoque" xfId="17764"/>
    <cellStyle name="s_Valuation _Res.Cont. AdmComLog_Balanço" xfId="17765"/>
    <cellStyle name="s_Valuation _Res.Cont. AdmComLog_CCL" xfId="17766"/>
    <cellStyle name="s_Valuation _Res.Cont. AdmComLog_CCL 2" xfId="17767"/>
    <cellStyle name="s_Valuation _Res.Cont. AdmComLog_CCL 2_15-FINANCEIRAS" xfId="17768"/>
    <cellStyle name="s_Valuation _Res.Cont. AdmComLog_CCL_15-FINANCEIRAS" xfId="17769"/>
    <cellStyle name="s_Valuation _Res.Cont. AdmComLog_CCL_15-FINANCEIRAS_1" xfId="17770"/>
    <cellStyle name="s_Valuation _Res.Cont. AdmComLog_CCL_3-Balanço" xfId="17771"/>
    <cellStyle name="s_Valuation _Res.Cont. AdmComLog_CCL_3-Balanço 2" xfId="17772"/>
    <cellStyle name="s_Valuation _Res.Cont. AdmComLog_CCL_3-Balanço 2_15-FINANCEIRAS" xfId="17773"/>
    <cellStyle name="s_Valuation _Res.Cont. AdmComLog_CCL_3-Balanço_1" xfId="17774"/>
    <cellStyle name="s_Valuation _Res.Cont. AdmComLog_CCL_3-Balanço_15-FINANCEIRAS" xfId="17775"/>
    <cellStyle name="s_Valuation _Res.Cont. AdmComLog_CCL_3-Balanço_15-FINANCEIRAS_1" xfId="17776"/>
    <cellStyle name="s_Valuation _Res.Cont. AdmComLog_CCL_3-Balanço_3-Balanço" xfId="17777"/>
    <cellStyle name="s_Valuation _Res.Cont. AdmComLog_CCL_3-Balanço_7-Estoque" xfId="17778"/>
    <cellStyle name="s_Valuation _Res.Cont. AdmComLog_CCL_7-Estoque" xfId="17779"/>
    <cellStyle name="s_Valuation _Res.Cont. AdmComLog_CCL_Balanço" xfId="17780"/>
    <cellStyle name="s_Valuation _Res.Cont. AdmComLog_Diferenças outubro CAN- (2)" xfId="17781"/>
    <cellStyle name="s_Valuation _Res.Cont. AdmComLog_Diferenças outubro CAN- (2) 2" xfId="17782"/>
    <cellStyle name="s_Valuation _Res.Cont. AdmComLog_Diferenças outubro CAN- (2) 2_15-FINANCEIRAS" xfId="17783"/>
    <cellStyle name="s_Valuation _Res.Cont. AdmComLog_Diferenças outubro CAN- (2)_15-FINANCEIRAS" xfId="17784"/>
    <cellStyle name="s_Valuation _Res.Cont. AdmComLog_Diferenças outubro CAN- (2)_15-FINANCEIRAS_1" xfId="17785"/>
    <cellStyle name="s_Valuation _Res.Cont. AdmComLog_Diferenças outubro CAN- (2)_3-Balanço" xfId="17786"/>
    <cellStyle name="s_Valuation _Res.Cont. AdmComLog_Diferenças outubro CAN- (2)_3-Balanço 2" xfId="17787"/>
    <cellStyle name="s_Valuation _Res.Cont. AdmComLog_Diferenças outubro CAN- (2)_3-Balanço 2_15-FINANCEIRAS" xfId="17788"/>
    <cellStyle name="s_Valuation _Res.Cont. AdmComLog_Diferenças outubro CAN- (2)_3-Balanço_1" xfId="17789"/>
    <cellStyle name="s_Valuation _Res.Cont. AdmComLog_Diferenças outubro CAN- (2)_3-Balanço_15-FINANCEIRAS" xfId="17790"/>
    <cellStyle name="s_Valuation _Res.Cont. AdmComLog_Diferenças outubro CAN- (2)_3-Balanço_15-FINANCEIRAS_1" xfId="17791"/>
    <cellStyle name="s_Valuation _Res.Cont. AdmComLog_Diferenças outubro CAN- (2)_3-Balanço_3-Balanço" xfId="17792"/>
    <cellStyle name="s_Valuation _Res.Cont. AdmComLog_Diferenças outubro CAN- (2)_3-Balanço_7-Estoque" xfId="17793"/>
    <cellStyle name="s_Valuation _Res.Cont. AdmComLog_Diferenças outubro CAN- (2)_7-Estoque" xfId="17794"/>
    <cellStyle name="s_Valuation _Res.Cont. AdmComLog_Diferenças outubro CAN- (2)_Balanço" xfId="17795"/>
    <cellStyle name="s_Valuation _Res.Cont. AdmComLog_Query C.Custos SF 10-11" xfId="17796"/>
    <cellStyle name="s_Valuation _Res.Cont. AdmComLog_Query C.Custos SF 10-11 2" xfId="17797"/>
    <cellStyle name="s_Valuation _Res.Cont. AdmComLog_Query C.Custos SF 10-11 2_15-FINANCEIRAS" xfId="17798"/>
    <cellStyle name="s_Valuation _Res.Cont. AdmComLog_Query C.Custos SF 10-11_15-FINANCEIRAS" xfId="17799"/>
    <cellStyle name="s_Valuation _Res.Cont. AdmComLog_Query C.Custos SF 10-11_15-FINANCEIRAS_1" xfId="17800"/>
    <cellStyle name="s_Valuation _Res.Cont. AdmComLog_Query C.Custos SF 10-11_3-Balanço" xfId="17801"/>
    <cellStyle name="s_Valuation _Res.Cont. AdmComLog_Query C.Custos SF 10-11_3-Balanço 2" xfId="17802"/>
    <cellStyle name="s_Valuation _Res.Cont. AdmComLog_Query C.Custos SF 10-11_3-Balanço 2_15-FINANCEIRAS" xfId="17803"/>
    <cellStyle name="s_Valuation _Res.Cont. AdmComLog_Query C.Custos SF 10-11_3-Balanço_1" xfId="17804"/>
    <cellStyle name="s_Valuation _Res.Cont. AdmComLog_Query C.Custos SF 10-11_3-Balanço_15-FINANCEIRAS" xfId="17805"/>
    <cellStyle name="s_Valuation _Res.Cont. AdmComLog_Query C.Custos SF 10-11_3-Balanço_15-FINANCEIRAS_1" xfId="17806"/>
    <cellStyle name="s_Valuation _Res.Cont. AdmComLog_Query C.Custos SF 10-11_3-Balanço_3-Balanço" xfId="17807"/>
    <cellStyle name="s_Valuation _Res.Cont. AdmComLog_Query C.Custos SF 10-11_3-Balanço_7-Estoque" xfId="17808"/>
    <cellStyle name="s_Valuation _Res.Cont. AdmComLog_Query C.Custos SF 10-11_7-Estoque" xfId="17809"/>
    <cellStyle name="s_Valuation _Res.Cont. AdmComLog_Query C.Custos SF 10-11_Balanço" xfId="17810"/>
    <cellStyle name="s_Valuation _RRST1" xfId="171"/>
    <cellStyle name="s_Valuation _RRST7" xfId="172"/>
    <cellStyle name="s_Valuation _Sheet1" xfId="17811"/>
    <cellStyle name="s_Valuation _Sheet1 10" xfId="17812"/>
    <cellStyle name="s_Valuation _Sheet1 10 2" xfId="17813"/>
    <cellStyle name="s_Valuation _Sheet1 10 2_15-FINANCEIRAS" xfId="17814"/>
    <cellStyle name="s_Valuation _Sheet1 10_15-FINANCEIRAS" xfId="17815"/>
    <cellStyle name="s_Valuation _Sheet1 10_15-FINANCEIRAS_1" xfId="17816"/>
    <cellStyle name="s_Valuation _Sheet1 10_3-Balanço" xfId="17817"/>
    <cellStyle name="s_Valuation _Sheet1 10_7-Estoque" xfId="17818"/>
    <cellStyle name="s_Valuation _Sheet1 10_Relatório Gerencial" xfId="17819"/>
    <cellStyle name="s_Valuation _Sheet1 10_Relatório Gerencial 2" xfId="17820"/>
    <cellStyle name="s_Valuation _Sheet1 10_Relatório Gerencial 2_15-FINANCEIRAS" xfId="17821"/>
    <cellStyle name="s_Valuation _Sheet1 10_Relatório Gerencial_15-FINANCEIRAS" xfId="17822"/>
    <cellStyle name="s_Valuation _Sheet1 10_Relatório Gerencial_15-FINANCEIRAS_1" xfId="17823"/>
    <cellStyle name="s_Valuation _Sheet1 10_Relatório Gerencial_3-Balanço" xfId="17824"/>
    <cellStyle name="s_Valuation _Sheet1 10_Relatório Gerencial_7-Estoque" xfId="17825"/>
    <cellStyle name="s_Valuation _Sheet1 11" xfId="17826"/>
    <cellStyle name="s_Valuation _Sheet1 11 2" xfId="17827"/>
    <cellStyle name="s_Valuation _Sheet1 11 2_15-FINANCEIRAS" xfId="17828"/>
    <cellStyle name="s_Valuation _Sheet1 11_15-FINANCEIRAS" xfId="17829"/>
    <cellStyle name="s_Valuation _Sheet1 11_15-FINANCEIRAS_1" xfId="17830"/>
    <cellStyle name="s_Valuation _Sheet1 11_3-Balanço" xfId="17831"/>
    <cellStyle name="s_Valuation _Sheet1 11_7-Estoque" xfId="17832"/>
    <cellStyle name="s_Valuation _Sheet1 11_Relatório Gerencial" xfId="17833"/>
    <cellStyle name="s_Valuation _Sheet1 11_Relatório Gerencial 2" xfId="17834"/>
    <cellStyle name="s_Valuation _Sheet1 11_Relatório Gerencial 2_15-FINANCEIRAS" xfId="17835"/>
    <cellStyle name="s_Valuation _Sheet1 11_Relatório Gerencial_15-FINANCEIRAS" xfId="17836"/>
    <cellStyle name="s_Valuation _Sheet1 11_Relatório Gerencial_15-FINANCEIRAS_1" xfId="17837"/>
    <cellStyle name="s_Valuation _Sheet1 11_Relatório Gerencial_3-Balanço" xfId="17838"/>
    <cellStyle name="s_Valuation _Sheet1 11_Relatório Gerencial_7-Estoque" xfId="17839"/>
    <cellStyle name="s_Valuation _Sheet1 12" xfId="17840"/>
    <cellStyle name="s_Valuation _Sheet1 12_15-FINANCEIRAS" xfId="17841"/>
    <cellStyle name="s_Valuation _Sheet1 2" xfId="17842"/>
    <cellStyle name="s_Valuation _Sheet1 2 2" xfId="17843"/>
    <cellStyle name="s_Valuation _Sheet1 2 2_15-FINANCEIRAS" xfId="17844"/>
    <cellStyle name="s_Valuation _Sheet1 2_15-FINANCEIRAS" xfId="17845"/>
    <cellStyle name="s_Valuation _Sheet1 2_15-FINANCEIRAS_1" xfId="17846"/>
    <cellStyle name="s_Valuation _Sheet1 2_3-Balanço" xfId="17847"/>
    <cellStyle name="s_Valuation _Sheet1 2_7-Estoque" xfId="17848"/>
    <cellStyle name="s_Valuation _Sheet1 2_Relatório Gerencial" xfId="17849"/>
    <cellStyle name="s_Valuation _Sheet1 2_Relatório Gerencial 2" xfId="17850"/>
    <cellStyle name="s_Valuation _Sheet1 2_Relatório Gerencial 2_15-FINANCEIRAS" xfId="17851"/>
    <cellStyle name="s_Valuation _Sheet1 2_Relatório Gerencial_15-FINANCEIRAS" xfId="17852"/>
    <cellStyle name="s_Valuation _Sheet1 2_Relatório Gerencial_15-FINANCEIRAS_1" xfId="17853"/>
    <cellStyle name="s_Valuation _Sheet1 2_Relatório Gerencial_3-Balanço" xfId="17854"/>
    <cellStyle name="s_Valuation _Sheet1 2_Relatório Gerencial_7-Estoque" xfId="17855"/>
    <cellStyle name="s_Valuation _Sheet1 3" xfId="17856"/>
    <cellStyle name="s_Valuation _Sheet1 3 2" xfId="17857"/>
    <cellStyle name="s_Valuation _Sheet1 3 2_15-FINANCEIRAS" xfId="17858"/>
    <cellStyle name="s_Valuation _Sheet1 3_15-FINANCEIRAS" xfId="17859"/>
    <cellStyle name="s_Valuation _Sheet1 3_15-FINANCEIRAS_1" xfId="17860"/>
    <cellStyle name="s_Valuation _Sheet1 3_3-Balanço" xfId="17861"/>
    <cellStyle name="s_Valuation _Sheet1 3_7-Estoque" xfId="17862"/>
    <cellStyle name="s_Valuation _Sheet1 3_Relatório Gerencial" xfId="17863"/>
    <cellStyle name="s_Valuation _Sheet1 3_Relatório Gerencial 2" xfId="17864"/>
    <cellStyle name="s_Valuation _Sheet1 3_Relatório Gerencial 2_15-FINANCEIRAS" xfId="17865"/>
    <cellStyle name="s_Valuation _Sheet1 3_Relatório Gerencial_15-FINANCEIRAS" xfId="17866"/>
    <cellStyle name="s_Valuation _Sheet1 3_Relatório Gerencial_15-FINANCEIRAS_1" xfId="17867"/>
    <cellStyle name="s_Valuation _Sheet1 3_Relatório Gerencial_3-Balanço" xfId="17868"/>
    <cellStyle name="s_Valuation _Sheet1 3_Relatório Gerencial_7-Estoque" xfId="17869"/>
    <cellStyle name="s_Valuation _Sheet1 4" xfId="17870"/>
    <cellStyle name="s_Valuation _Sheet1 4 2" xfId="17871"/>
    <cellStyle name="s_Valuation _Sheet1 4 2_15-FINANCEIRAS" xfId="17872"/>
    <cellStyle name="s_Valuation _Sheet1 4_15-FINANCEIRAS" xfId="17873"/>
    <cellStyle name="s_Valuation _Sheet1 4_15-FINANCEIRAS_1" xfId="17874"/>
    <cellStyle name="s_Valuation _Sheet1 4_3-Balanço" xfId="17875"/>
    <cellStyle name="s_Valuation _Sheet1 4_7-Estoque" xfId="17876"/>
    <cellStyle name="s_Valuation _Sheet1 4_Relatório Gerencial" xfId="17877"/>
    <cellStyle name="s_Valuation _Sheet1 4_Relatório Gerencial 2" xfId="17878"/>
    <cellStyle name="s_Valuation _Sheet1 4_Relatório Gerencial 2_15-FINANCEIRAS" xfId="17879"/>
    <cellStyle name="s_Valuation _Sheet1 4_Relatório Gerencial_15-FINANCEIRAS" xfId="17880"/>
    <cellStyle name="s_Valuation _Sheet1 4_Relatório Gerencial_15-FINANCEIRAS_1" xfId="17881"/>
    <cellStyle name="s_Valuation _Sheet1 4_Relatório Gerencial_3-Balanço" xfId="17882"/>
    <cellStyle name="s_Valuation _Sheet1 4_Relatório Gerencial_7-Estoque" xfId="17883"/>
    <cellStyle name="s_Valuation _Sheet1 5" xfId="17884"/>
    <cellStyle name="s_Valuation _Sheet1 5 2" xfId="17885"/>
    <cellStyle name="s_Valuation _Sheet1 5 2_15-FINANCEIRAS" xfId="17886"/>
    <cellStyle name="s_Valuation _Sheet1 5_15-FINANCEIRAS" xfId="17887"/>
    <cellStyle name="s_Valuation _Sheet1 5_15-FINANCEIRAS_1" xfId="17888"/>
    <cellStyle name="s_Valuation _Sheet1 5_3-Balanço" xfId="17889"/>
    <cellStyle name="s_Valuation _Sheet1 5_7-Estoque" xfId="17890"/>
    <cellStyle name="s_Valuation _Sheet1 5_Relatório Gerencial" xfId="17891"/>
    <cellStyle name="s_Valuation _Sheet1 5_Relatório Gerencial 2" xfId="17892"/>
    <cellStyle name="s_Valuation _Sheet1 5_Relatório Gerencial 2_15-FINANCEIRAS" xfId="17893"/>
    <cellStyle name="s_Valuation _Sheet1 5_Relatório Gerencial_15-FINANCEIRAS" xfId="17894"/>
    <cellStyle name="s_Valuation _Sheet1 5_Relatório Gerencial_15-FINANCEIRAS_1" xfId="17895"/>
    <cellStyle name="s_Valuation _Sheet1 5_Relatório Gerencial_3-Balanço" xfId="17896"/>
    <cellStyle name="s_Valuation _Sheet1 5_Relatório Gerencial_7-Estoque" xfId="17897"/>
    <cellStyle name="s_Valuation _Sheet1 6" xfId="17898"/>
    <cellStyle name="s_Valuation _Sheet1 6 2" xfId="17899"/>
    <cellStyle name="s_Valuation _Sheet1 6 2_15-FINANCEIRAS" xfId="17900"/>
    <cellStyle name="s_Valuation _Sheet1 6_15-FINANCEIRAS" xfId="17901"/>
    <cellStyle name="s_Valuation _Sheet1 6_15-FINANCEIRAS_1" xfId="17902"/>
    <cellStyle name="s_Valuation _Sheet1 6_3-Balanço" xfId="17903"/>
    <cellStyle name="s_Valuation _Sheet1 6_7-Estoque" xfId="17904"/>
    <cellStyle name="s_Valuation _Sheet1 6_Relatório Gerencial" xfId="17905"/>
    <cellStyle name="s_Valuation _Sheet1 6_Relatório Gerencial 2" xfId="17906"/>
    <cellStyle name="s_Valuation _Sheet1 6_Relatório Gerencial 2_15-FINANCEIRAS" xfId="17907"/>
    <cellStyle name="s_Valuation _Sheet1 6_Relatório Gerencial_15-FINANCEIRAS" xfId="17908"/>
    <cellStyle name="s_Valuation _Sheet1 6_Relatório Gerencial_15-FINANCEIRAS_1" xfId="17909"/>
    <cellStyle name="s_Valuation _Sheet1 6_Relatório Gerencial_3-Balanço" xfId="17910"/>
    <cellStyle name="s_Valuation _Sheet1 6_Relatório Gerencial_7-Estoque" xfId="17911"/>
    <cellStyle name="s_Valuation _Sheet1 7" xfId="17912"/>
    <cellStyle name="s_Valuation _Sheet1 7 2" xfId="17913"/>
    <cellStyle name="s_Valuation _Sheet1 7 2_15-FINANCEIRAS" xfId="17914"/>
    <cellStyle name="s_Valuation _Sheet1 7_15-FINANCEIRAS" xfId="17915"/>
    <cellStyle name="s_Valuation _Sheet1 7_15-FINANCEIRAS_1" xfId="17916"/>
    <cellStyle name="s_Valuation _Sheet1 7_3-Balanço" xfId="17917"/>
    <cellStyle name="s_Valuation _Sheet1 7_7-Estoque" xfId="17918"/>
    <cellStyle name="s_Valuation _Sheet1 7_Relatório Gerencial" xfId="17919"/>
    <cellStyle name="s_Valuation _Sheet1 7_Relatório Gerencial 2" xfId="17920"/>
    <cellStyle name="s_Valuation _Sheet1 7_Relatório Gerencial 2_15-FINANCEIRAS" xfId="17921"/>
    <cellStyle name="s_Valuation _Sheet1 7_Relatório Gerencial_15-FINANCEIRAS" xfId="17922"/>
    <cellStyle name="s_Valuation _Sheet1 7_Relatório Gerencial_15-FINANCEIRAS_1" xfId="17923"/>
    <cellStyle name="s_Valuation _Sheet1 7_Relatório Gerencial_3-Balanço" xfId="17924"/>
    <cellStyle name="s_Valuation _Sheet1 7_Relatório Gerencial_7-Estoque" xfId="17925"/>
    <cellStyle name="s_Valuation _Sheet1 8" xfId="17926"/>
    <cellStyle name="s_Valuation _Sheet1 8 2" xfId="17927"/>
    <cellStyle name="s_Valuation _Sheet1 8 2_15-FINANCEIRAS" xfId="17928"/>
    <cellStyle name="s_Valuation _Sheet1 8_15-FINANCEIRAS" xfId="17929"/>
    <cellStyle name="s_Valuation _Sheet1 8_15-FINANCEIRAS_1" xfId="17930"/>
    <cellStyle name="s_Valuation _Sheet1 8_3-Balanço" xfId="17931"/>
    <cellStyle name="s_Valuation _Sheet1 8_7-Estoque" xfId="17932"/>
    <cellStyle name="s_Valuation _Sheet1 8_Relatório Gerencial" xfId="17933"/>
    <cellStyle name="s_Valuation _Sheet1 8_Relatório Gerencial 2" xfId="17934"/>
    <cellStyle name="s_Valuation _Sheet1 8_Relatório Gerencial 2_15-FINANCEIRAS" xfId="17935"/>
    <cellStyle name="s_Valuation _Sheet1 8_Relatório Gerencial_15-FINANCEIRAS" xfId="17936"/>
    <cellStyle name="s_Valuation _Sheet1 8_Relatório Gerencial_15-FINANCEIRAS_1" xfId="17937"/>
    <cellStyle name="s_Valuation _Sheet1 8_Relatório Gerencial_3-Balanço" xfId="17938"/>
    <cellStyle name="s_Valuation _Sheet1 8_Relatório Gerencial_7-Estoque" xfId="17939"/>
    <cellStyle name="s_Valuation _Sheet1 9" xfId="17940"/>
    <cellStyle name="s_Valuation _Sheet1 9 2" xfId="17941"/>
    <cellStyle name="s_Valuation _Sheet1 9 2_15-FINANCEIRAS" xfId="17942"/>
    <cellStyle name="s_Valuation _Sheet1 9_15-FINANCEIRAS" xfId="17943"/>
    <cellStyle name="s_Valuation _Sheet1 9_15-FINANCEIRAS_1" xfId="17944"/>
    <cellStyle name="s_Valuation _Sheet1 9_3-Balanço" xfId="17945"/>
    <cellStyle name="s_Valuation _Sheet1 9_7-Estoque" xfId="17946"/>
    <cellStyle name="s_Valuation _Sheet1 9_Relatório Gerencial" xfId="17947"/>
    <cellStyle name="s_Valuation _Sheet1 9_Relatório Gerencial 2" xfId="17948"/>
    <cellStyle name="s_Valuation _Sheet1 9_Relatório Gerencial 2_15-FINANCEIRAS" xfId="17949"/>
    <cellStyle name="s_Valuation _Sheet1 9_Relatório Gerencial_15-FINANCEIRAS" xfId="17950"/>
    <cellStyle name="s_Valuation _Sheet1 9_Relatório Gerencial_15-FINANCEIRAS_1" xfId="17951"/>
    <cellStyle name="s_Valuation _Sheet1 9_Relatório Gerencial_3-Balanço" xfId="17952"/>
    <cellStyle name="s_Valuation _Sheet1 9_Relatório Gerencial_7-Estoque" xfId="17953"/>
    <cellStyle name="s_Valuation _Sheet1_15-FINANCEIRAS" xfId="17954"/>
    <cellStyle name="s_Valuation _Sheet1_15-FINANCEIRAS_1" xfId="17955"/>
    <cellStyle name="s_Valuation _Sheet1_3-Balanço" xfId="17956"/>
    <cellStyle name="s_Valuation _Sheet1_7-Estoque" xfId="17957"/>
    <cellStyle name="s_Valuation _Sheet1_Ajustes " xfId="17958"/>
    <cellStyle name="s_Valuation _Sheet1_Ajustes  2" xfId="17959"/>
    <cellStyle name="s_Valuation _Sheet1_Ajustes  2_15-FINANCEIRAS" xfId="17960"/>
    <cellStyle name="s_Valuation _Sheet1_Ajustes  3" xfId="17961"/>
    <cellStyle name="s_Valuation _Sheet1_Ajustes _15-FINANCEIRAS" xfId="17962"/>
    <cellStyle name="s_Valuation _Sheet1_Ajustes _15-FINANCEIRAS_1" xfId="17963"/>
    <cellStyle name="s_Valuation _Sheet1_Ajustes _3-Balanço" xfId="17964"/>
    <cellStyle name="s_Valuation _Sheet1_Ajustes _7-Estoque" xfId="17965"/>
    <cellStyle name="s_Valuation _Sheet1_Ajustes _CRE - Aging" xfId="17966"/>
    <cellStyle name="s_Valuation _Sheet1_Ajustes _DFC Indireto_Novo" xfId="17967"/>
    <cellStyle name="s_Valuation _Sheet1_Ajustes _Ind_Consol" xfId="17968"/>
    <cellStyle name="s_Valuation _Sheet1_Ajustes _Outras oper's" xfId="17969"/>
    <cellStyle name="s_Valuation _Sheet1_Ajustes _Receitas" xfId="17970"/>
    <cellStyle name="s_Valuation _Sheet1_Ajustes _Relatório Gerencial" xfId="17971"/>
    <cellStyle name="s_Valuation _Sheet1_Ajustes _Relatório Gerencial 2" xfId="17972"/>
    <cellStyle name="s_Valuation _Sheet1_Ajustes _Relatório Gerencial 2_15-FINANCEIRAS" xfId="17973"/>
    <cellStyle name="s_Valuation _Sheet1_Ajustes _Relatório Gerencial_15-FINANCEIRAS" xfId="17974"/>
    <cellStyle name="s_Valuation _Sheet1_Ajustes _Relatório Gerencial_15-FINANCEIRAS_1" xfId="17975"/>
    <cellStyle name="s_Valuation _Sheet1_Ajustes _Relatório Gerencial_3-Balanço" xfId="17976"/>
    <cellStyle name="s_Valuation _Sheet1_Ajustes _Relatório Gerencial_7-Estoque" xfId="17977"/>
    <cellStyle name="s_Valuation _Sheet1_Ajustes BMF" xfId="17978"/>
    <cellStyle name="s_Valuation _Sheet1_Ajustes BMF 2" xfId="17979"/>
    <cellStyle name="s_Valuation _Sheet1_Ajustes BMF 2_15-FINANCEIRAS" xfId="17980"/>
    <cellStyle name="s_Valuation _Sheet1_Ajustes BMF_15-FINANCEIRAS" xfId="17981"/>
    <cellStyle name="s_Valuation _Sheet1_Ajustes BMF_15-FINANCEIRAS_1" xfId="17982"/>
    <cellStyle name="s_Valuation _Sheet1_Ajustes BMF_3-Balanço" xfId="17983"/>
    <cellStyle name="s_Valuation _Sheet1_Ajustes BMF_7-Estoque" xfId="17984"/>
    <cellStyle name="s_Valuation _Sheet1_MtM NDF - Swap Maio 10" xfId="17985"/>
    <cellStyle name="s_Valuation _Sheet1_MtM NDF - Swap Maio 10 2" xfId="17986"/>
    <cellStyle name="s_Valuation _Sheet1_MtM NDF - Swap Maio 10 2_15-FINANCEIRAS" xfId="17987"/>
    <cellStyle name="s_Valuation _Sheet1_MtM NDF - Swap Maio 10_15-FINANCEIRAS" xfId="17988"/>
    <cellStyle name="s_Valuation _Sheet1_MtM NDF - Swap Maio 10_15-FINANCEIRAS_1" xfId="17989"/>
    <cellStyle name="s_Valuation _Sheet1_MtM NDF - Swap Maio 10_3-Balanço" xfId="17990"/>
    <cellStyle name="s_Valuation _Sheet1_MtM NDF - Swap Maio 10_7-Estoque" xfId="17991"/>
    <cellStyle name="s_Valuation _Sheet1_MtM NDF - Swap Morgan Setembro - CCL 09" xfId="17992"/>
    <cellStyle name="s_Valuation _Sheet1_MtM NDF - Swap Morgan Setembro - CCL 09 2" xfId="17993"/>
    <cellStyle name="s_Valuation _Sheet1_MtM NDF - Swap Morgan Setembro - CCL 09 2_15-FINANCEIRAS" xfId="17994"/>
    <cellStyle name="s_Valuation _Sheet1_MtM NDF - Swap Morgan Setembro - CCL 09_15-FINANCEIRAS" xfId="17995"/>
    <cellStyle name="s_Valuation _Sheet1_MtM NDF - Swap Morgan Setembro - CCL 09_15-FINANCEIRAS_1" xfId="17996"/>
    <cellStyle name="s_Valuation _Sheet1_MtM NDF - Swap Morgan Setembro - CCL 09_3-Balanço" xfId="17997"/>
    <cellStyle name="s_Valuation _Sheet1_MtM NDF - Swap Morgan Setembro - CCL 09_7-Estoque" xfId="17998"/>
    <cellStyle name="s_Valuation _Sheet1_MtM NDF - Swap Morgan Setembro - CCL 09_Relatório Gerencial" xfId="17999"/>
    <cellStyle name="s_Valuation _Sheet1_MtM NDF - Swap Morgan Setembro - CCL 09_Relatório Gerencial 2" xfId="18000"/>
    <cellStyle name="s_Valuation _Sheet1_MtM NDF - Swap Morgan Setembro - CCL 09_Relatório Gerencial 2_15-FINANCEIRAS" xfId="18001"/>
    <cellStyle name="s_Valuation _Sheet1_MtM NDF - Swap Morgan Setembro - CCL 09_Relatório Gerencial_15-FINANCEIRAS" xfId="18002"/>
    <cellStyle name="s_Valuation _Sheet1_MtM NDF - Swap Morgan Setembro - CCL 09_Relatório Gerencial_15-FINANCEIRAS_1" xfId="18003"/>
    <cellStyle name="s_Valuation _Sheet1_MtM NDF - Swap Morgan Setembro - CCL 09_Relatório Gerencial_3-Balanço" xfId="18004"/>
    <cellStyle name="s_Valuation _Sheet1_MtM NDF - Swap Morgan Setembro - CCL 09_Relatório Gerencial_7-Estoque" xfId="18005"/>
    <cellStyle name="s_Valuation _Sheet1_MtM NDF e Swap Morgan Ago 09" xfId="18006"/>
    <cellStyle name="s_Valuation _Sheet1_MtM NDF e Swap Morgan Ago 09 2" xfId="18007"/>
    <cellStyle name="s_Valuation _Sheet1_MtM NDF e Swap Morgan Ago 09 2_15-FINANCEIRAS" xfId="18008"/>
    <cellStyle name="s_Valuation _Sheet1_MtM NDF e Swap Morgan Ago 09_15-FINANCEIRAS" xfId="18009"/>
    <cellStyle name="s_Valuation _Sheet1_MtM NDF e Swap Morgan Ago 09_15-FINANCEIRAS_1" xfId="18010"/>
    <cellStyle name="s_Valuation _Sheet1_MtM NDF e Swap Morgan Ago 09_3-Balanço" xfId="18011"/>
    <cellStyle name="s_Valuation _Sheet1_MtM NDF e Swap Morgan Ago 09_7-Estoque" xfId="18012"/>
    <cellStyle name="s_Valuation _Sheet1_MtM NDF e Swap Morgan Ago 09_Relatório Gerencial" xfId="18013"/>
    <cellStyle name="s_Valuation _Sheet1_MtM NDF e Swap Morgan Ago 09_Relatório Gerencial 2" xfId="18014"/>
    <cellStyle name="s_Valuation _Sheet1_MtM NDF e Swap Morgan Ago 09_Relatório Gerencial 2_15-FINANCEIRAS" xfId="18015"/>
    <cellStyle name="s_Valuation _Sheet1_MtM NDF e Swap Morgan Ago 09_Relatório Gerencial_15-FINANCEIRAS" xfId="18016"/>
    <cellStyle name="s_Valuation _Sheet1_MtM NDF e Swap Morgan Ago 09_Relatório Gerencial_15-FINANCEIRAS_1" xfId="18017"/>
    <cellStyle name="s_Valuation _Sheet1_MtM NDF e Swap Morgan Ago 09_Relatório Gerencial_3-Balanço" xfId="18018"/>
    <cellStyle name="s_Valuation _Sheet1_MtM NDF e Swap Morgan Ago 09_Relatório Gerencial_7-Estoque" xfId="18019"/>
    <cellStyle name="s_Valuation _Sheet1_MTM Swap Morgan Stanley" xfId="18020"/>
    <cellStyle name="s_Valuation _Sheet1_MtM Swap Morgan Stanley 130109" xfId="18021"/>
    <cellStyle name="s_Valuation _Sheet1_MtM Swap Morgan Stanley 130109 2" xfId="18022"/>
    <cellStyle name="s_Valuation _Sheet1_MtM Swap Morgan Stanley 130109 2_15-FINANCEIRAS" xfId="18023"/>
    <cellStyle name="s_Valuation _Sheet1_MtM Swap Morgan Stanley 130109_15-FINANCEIRAS" xfId="18024"/>
    <cellStyle name="s_Valuation _Sheet1_MtM Swap Morgan Stanley 130109_15-FINANCEIRAS_1" xfId="18025"/>
    <cellStyle name="s_Valuation _Sheet1_MtM Swap Morgan Stanley 130109_3-Balanço" xfId="18026"/>
    <cellStyle name="s_Valuation _Sheet1_MtM Swap Morgan Stanley 130109_7-Estoque" xfId="18027"/>
    <cellStyle name="s_Valuation _Sheet1_MtM Swap Morgan Stanley 130109_Relatório Gerencial" xfId="18028"/>
    <cellStyle name="s_Valuation _Sheet1_MtM Swap Morgan Stanley 130109_Relatório Gerencial 2" xfId="18029"/>
    <cellStyle name="s_Valuation _Sheet1_MtM Swap Morgan Stanley 130109_Relatório Gerencial 2_15-FINANCEIRAS" xfId="18030"/>
    <cellStyle name="s_Valuation _Sheet1_MtM Swap Morgan Stanley 130109_Relatório Gerencial_15-FINANCEIRAS" xfId="18031"/>
    <cellStyle name="s_Valuation _Sheet1_MtM Swap Morgan Stanley 130109_Relatório Gerencial_15-FINANCEIRAS_1" xfId="18032"/>
    <cellStyle name="s_Valuation _Sheet1_MtM Swap Morgan Stanley 130109_Relatório Gerencial_3-Balanço" xfId="18033"/>
    <cellStyle name="s_Valuation _Sheet1_MtM Swap Morgan Stanley 130109_Relatório Gerencial_7-Estoque" xfId="18034"/>
    <cellStyle name="s_Valuation _Sheet1_MTM Swap Morgan Stanley 2" xfId="18035"/>
    <cellStyle name="s_Valuation _Sheet1_MTM Swap Morgan Stanley 2_15-FINANCEIRAS" xfId="18036"/>
    <cellStyle name="s_Valuation _Sheet1_MTM Swap Morgan Stanley 3" xfId="18037"/>
    <cellStyle name="s_Valuation _Sheet1_MTM Swap Morgan Stanley 3_15-FINANCEIRAS" xfId="18038"/>
    <cellStyle name="s_Valuation _Sheet1_MTM Swap Morgan Stanley 4" xfId="18039"/>
    <cellStyle name="s_Valuation _Sheet1_MTM Swap Morgan Stanley 4_15-FINANCEIRAS" xfId="18040"/>
    <cellStyle name="s_Valuation _Sheet1_MTM Swap Morgan Stanley_15-FINANCEIRAS" xfId="18041"/>
    <cellStyle name="s_Valuation _Sheet1_MTM Swap Morgan Stanley_15-FINANCEIRAS_1" xfId="18042"/>
    <cellStyle name="s_Valuation _Sheet1_MTM Swap Morgan Stanley_3-Balanço" xfId="18043"/>
    <cellStyle name="s_Valuation _Sheet1_MTM Swap Morgan Stanley_7-Estoque" xfId="18044"/>
    <cellStyle name="s_Valuation _Sheet1_MTM Swap Morgan Stanley_Relatório Gerencial" xfId="18045"/>
    <cellStyle name="s_Valuation _Sheet1_MTM Swap Morgan Stanley_Relatório Gerencial 2" xfId="18046"/>
    <cellStyle name="s_Valuation _Sheet1_MTM Swap Morgan Stanley_Relatório Gerencial 2_15-FINANCEIRAS" xfId="18047"/>
    <cellStyle name="s_Valuation _Sheet1_MTM Swap Morgan Stanley_Relatório Gerencial_15-FINANCEIRAS" xfId="18048"/>
    <cellStyle name="s_Valuation _Sheet1_MTM Swap Morgan Stanley_Relatório Gerencial_15-FINANCEIRAS_1" xfId="18049"/>
    <cellStyle name="s_Valuation _Sheet1_MTM Swap Morgan Stanley_Relatório Gerencial_3-Balanço" xfId="18050"/>
    <cellStyle name="s_Valuation _Sheet1_MTM Swap Morgan Stanley_Relatório Gerencial_7-Estoque" xfId="18051"/>
    <cellStyle name="s_Valuation _Sheet1_MtM Swap NOV08 CF" xfId="18052"/>
    <cellStyle name="s_Valuation _Sheet1_MtM Swap NOV08 CF 2" xfId="18053"/>
    <cellStyle name="s_Valuation _Sheet1_MtM Swap NOV08 CF 2_15-FINANCEIRAS" xfId="18054"/>
    <cellStyle name="s_Valuation _Sheet1_MtM Swap NOV08 CF_15-FINANCEIRAS" xfId="18055"/>
    <cellStyle name="s_Valuation _Sheet1_MtM Swap NOV08 CF_15-FINANCEIRAS_1" xfId="18056"/>
    <cellStyle name="s_Valuation _Sheet1_MtM Swap NOV08 CF_3-Balanço" xfId="18057"/>
    <cellStyle name="s_Valuation _Sheet1_MtM Swap NOV08 CF_7-Estoque" xfId="18058"/>
    <cellStyle name="s_Valuation _Sheet1_MtM Swap NOV08 CF_Relatório Gerencial" xfId="18059"/>
    <cellStyle name="s_Valuation _Sheet1_MtM Swap NOV08 CF_Relatório Gerencial 2" xfId="18060"/>
    <cellStyle name="s_Valuation _Sheet1_MtM Swap NOV08 CF_Relatório Gerencial 2_15-FINANCEIRAS" xfId="18061"/>
    <cellStyle name="s_Valuation _Sheet1_MtM Swap NOV08 CF_Relatório Gerencial_15-FINANCEIRAS" xfId="18062"/>
    <cellStyle name="s_Valuation _Sheet1_MtM Swap NOV08 CF_Relatório Gerencial_15-FINANCEIRAS_1" xfId="18063"/>
    <cellStyle name="s_Valuation _Sheet1_MtM Swap NOV08 CF_Relatório Gerencial_3-Balanço" xfId="18064"/>
    <cellStyle name="s_Valuation _Sheet1_MtM Swap NOV08 CF_Relatório Gerencial_7-Estoque" xfId="18065"/>
    <cellStyle name="s_Valuation _Sheet1_NDF Forward" xfId="18066"/>
    <cellStyle name="s_Valuation _Sheet1_NDF Forward 2" xfId="18067"/>
    <cellStyle name="s_Valuation _Sheet1_NDF Forward 2_15-FINANCEIRAS" xfId="18068"/>
    <cellStyle name="s_Valuation _Sheet1_NDF Forward_15-FINANCEIRAS" xfId="18069"/>
    <cellStyle name="s_Valuation _Sheet1_NDF Forward_15-FINANCEIRAS_1" xfId="18070"/>
    <cellStyle name="s_Valuation _Sheet1_NDF Forward_3-Balanço" xfId="18071"/>
    <cellStyle name="s_Valuation _Sheet1_NDF Forward_7-Estoque" xfId="18072"/>
    <cellStyle name="s_Valuation _Sheet1_NDF Forward_Relatório Gerencial" xfId="18073"/>
    <cellStyle name="s_Valuation _Sheet1_NDF Forward_Relatório Gerencial 2" xfId="18074"/>
    <cellStyle name="s_Valuation _Sheet1_NDF Forward_Relatório Gerencial 2_15-FINANCEIRAS" xfId="18075"/>
    <cellStyle name="s_Valuation _Sheet1_NDF Forward_Relatório Gerencial_15-FINANCEIRAS" xfId="18076"/>
    <cellStyle name="s_Valuation _Sheet1_NDF Forward_Relatório Gerencial_15-FINANCEIRAS_1" xfId="18077"/>
    <cellStyle name="s_Valuation _Sheet1_NDF Forward_Relatório Gerencial_3-Balanço" xfId="18078"/>
    <cellStyle name="s_Valuation _Sheet1_NDF Forward_Relatório Gerencial_7-Estoque" xfId="18079"/>
    <cellStyle name="s_Valuation _Sheet1_Relatório Gerencial" xfId="18080"/>
    <cellStyle name="s_Valuation _Sheet1_Relatório Gerencial 2" xfId="18081"/>
    <cellStyle name="s_Valuation _Sheet1_Relatório Gerencial 2_15-FINANCEIRAS" xfId="18082"/>
    <cellStyle name="s_Valuation _Sheet1_Relatório Gerencial_15-FINANCEIRAS" xfId="18083"/>
    <cellStyle name="s_Valuation _Sheet1_Relatório Gerencial_15-FINANCEIRAS_1" xfId="18084"/>
    <cellStyle name="s_Valuation _Sheet1_Relatório Gerencial_3-Balanço" xfId="18085"/>
    <cellStyle name="s_Valuation _Sheet1_Relatório Gerencial_7-Estoque" xfId="18086"/>
    <cellStyle name="s_Valuation _Sheet1_Swap - CCL" xfId="18087"/>
    <cellStyle name="s_Valuation _Sheet1_Swap - CCL 2" xfId="18088"/>
    <cellStyle name="s_Valuation _Sheet1_Swap - CCL 2_15-FINANCEIRAS" xfId="18089"/>
    <cellStyle name="s_Valuation _Sheet1_Swap - CCL_15-FINANCEIRAS" xfId="18090"/>
    <cellStyle name="s_Valuation _Sheet1_Swap - CCL_15-FINANCEIRAS_1" xfId="18091"/>
    <cellStyle name="s_Valuation _Sheet1_Swap - CCL_3-Balanço" xfId="18092"/>
    <cellStyle name="s_Valuation _Sheet1_Swap - CCL_7-Estoque" xfId="18093"/>
    <cellStyle name="s_Valuation _Sheet1_Swap Standard" xfId="18094"/>
    <cellStyle name="s_Valuation _Sheet1_Swap Standard 2" xfId="18095"/>
    <cellStyle name="s_Valuation _Sheet1_Swap Standard 2_15-FINANCEIRAS" xfId="18096"/>
    <cellStyle name="s_Valuation _Sheet1_Swap Standard_15-FINANCEIRAS" xfId="18097"/>
    <cellStyle name="s_Valuation _Sheet1_Swap Standard_15-FINANCEIRAS_1" xfId="18098"/>
    <cellStyle name="s_Valuation _Sheet1_Swap Standard_3-Balanço" xfId="18099"/>
    <cellStyle name="s_Valuation _Sheet1_Swap Standard_7-Estoque" xfId="18100"/>
    <cellStyle name="s_Valuation _Sheet3" xfId="18101"/>
    <cellStyle name="s_Valuation _Sheet3 10" xfId="18102"/>
    <cellStyle name="s_Valuation _Sheet3 10 2" xfId="18103"/>
    <cellStyle name="s_Valuation _Sheet3 10 2_15-FINANCEIRAS" xfId="18104"/>
    <cellStyle name="s_Valuation _Sheet3 10_15-FINANCEIRAS" xfId="18105"/>
    <cellStyle name="s_Valuation _Sheet3 10_15-FINANCEIRAS_1" xfId="18106"/>
    <cellStyle name="s_Valuation _Sheet3 10_3-Balanço" xfId="18107"/>
    <cellStyle name="s_Valuation _Sheet3 10_7-Estoque" xfId="18108"/>
    <cellStyle name="s_Valuation _Sheet3 10_Relatório Gerencial" xfId="18109"/>
    <cellStyle name="s_Valuation _Sheet3 10_Relatório Gerencial 2" xfId="18110"/>
    <cellStyle name="s_Valuation _Sheet3 10_Relatório Gerencial 2_15-FINANCEIRAS" xfId="18111"/>
    <cellStyle name="s_Valuation _Sheet3 10_Relatório Gerencial_15-FINANCEIRAS" xfId="18112"/>
    <cellStyle name="s_Valuation _Sheet3 10_Relatório Gerencial_15-FINANCEIRAS_1" xfId="18113"/>
    <cellStyle name="s_Valuation _Sheet3 10_Relatório Gerencial_3-Balanço" xfId="18114"/>
    <cellStyle name="s_Valuation _Sheet3 10_Relatório Gerencial_7-Estoque" xfId="18115"/>
    <cellStyle name="s_Valuation _Sheet3 11" xfId="18116"/>
    <cellStyle name="s_Valuation _Sheet3 11 2" xfId="18117"/>
    <cellStyle name="s_Valuation _Sheet3 11 2_15-FINANCEIRAS" xfId="18118"/>
    <cellStyle name="s_Valuation _Sheet3 11_15-FINANCEIRAS" xfId="18119"/>
    <cellStyle name="s_Valuation _Sheet3 11_15-FINANCEIRAS_1" xfId="18120"/>
    <cellStyle name="s_Valuation _Sheet3 11_3-Balanço" xfId="18121"/>
    <cellStyle name="s_Valuation _Sheet3 11_7-Estoque" xfId="18122"/>
    <cellStyle name="s_Valuation _Sheet3 11_Relatório Gerencial" xfId="18123"/>
    <cellStyle name="s_Valuation _Sheet3 11_Relatório Gerencial 2" xfId="18124"/>
    <cellStyle name="s_Valuation _Sheet3 11_Relatório Gerencial 2_15-FINANCEIRAS" xfId="18125"/>
    <cellStyle name="s_Valuation _Sheet3 11_Relatório Gerencial_15-FINANCEIRAS" xfId="18126"/>
    <cellStyle name="s_Valuation _Sheet3 11_Relatório Gerencial_15-FINANCEIRAS_1" xfId="18127"/>
    <cellStyle name="s_Valuation _Sheet3 11_Relatório Gerencial_3-Balanço" xfId="18128"/>
    <cellStyle name="s_Valuation _Sheet3 11_Relatório Gerencial_7-Estoque" xfId="18129"/>
    <cellStyle name="s_Valuation _Sheet3 12" xfId="18130"/>
    <cellStyle name="s_Valuation _Sheet3 12_15-FINANCEIRAS" xfId="18131"/>
    <cellStyle name="s_Valuation _Sheet3 2" xfId="18132"/>
    <cellStyle name="s_Valuation _Sheet3 2 2" xfId="18133"/>
    <cellStyle name="s_Valuation _Sheet3 2 2_15-FINANCEIRAS" xfId="18134"/>
    <cellStyle name="s_Valuation _Sheet3 2_15-FINANCEIRAS" xfId="18135"/>
    <cellStyle name="s_Valuation _Sheet3 2_15-FINANCEIRAS_1" xfId="18136"/>
    <cellStyle name="s_Valuation _Sheet3 2_3-Balanço" xfId="18137"/>
    <cellStyle name="s_Valuation _Sheet3 2_7-Estoque" xfId="18138"/>
    <cellStyle name="s_Valuation _Sheet3 2_Relatório Gerencial" xfId="18139"/>
    <cellStyle name="s_Valuation _Sheet3 2_Relatório Gerencial 2" xfId="18140"/>
    <cellStyle name="s_Valuation _Sheet3 2_Relatório Gerencial 2_15-FINANCEIRAS" xfId="18141"/>
    <cellStyle name="s_Valuation _Sheet3 2_Relatório Gerencial_15-FINANCEIRAS" xfId="18142"/>
    <cellStyle name="s_Valuation _Sheet3 2_Relatório Gerencial_15-FINANCEIRAS_1" xfId="18143"/>
    <cellStyle name="s_Valuation _Sheet3 2_Relatório Gerencial_3-Balanço" xfId="18144"/>
    <cellStyle name="s_Valuation _Sheet3 2_Relatório Gerencial_7-Estoque" xfId="18145"/>
    <cellStyle name="s_Valuation _Sheet3 3" xfId="18146"/>
    <cellStyle name="s_Valuation _Sheet3 3 2" xfId="18147"/>
    <cellStyle name="s_Valuation _Sheet3 3 2_15-FINANCEIRAS" xfId="18148"/>
    <cellStyle name="s_Valuation _Sheet3 3_15-FINANCEIRAS" xfId="18149"/>
    <cellStyle name="s_Valuation _Sheet3 3_15-FINANCEIRAS_1" xfId="18150"/>
    <cellStyle name="s_Valuation _Sheet3 3_3-Balanço" xfId="18151"/>
    <cellStyle name="s_Valuation _Sheet3 3_7-Estoque" xfId="18152"/>
    <cellStyle name="s_Valuation _Sheet3 3_Relatório Gerencial" xfId="18153"/>
    <cellStyle name="s_Valuation _Sheet3 3_Relatório Gerencial 2" xfId="18154"/>
    <cellStyle name="s_Valuation _Sheet3 3_Relatório Gerencial 2_15-FINANCEIRAS" xfId="18155"/>
    <cellStyle name="s_Valuation _Sheet3 3_Relatório Gerencial_15-FINANCEIRAS" xfId="18156"/>
    <cellStyle name="s_Valuation _Sheet3 3_Relatório Gerencial_15-FINANCEIRAS_1" xfId="18157"/>
    <cellStyle name="s_Valuation _Sheet3 3_Relatório Gerencial_3-Balanço" xfId="18158"/>
    <cellStyle name="s_Valuation _Sheet3 3_Relatório Gerencial_7-Estoque" xfId="18159"/>
    <cellStyle name="s_Valuation _Sheet3 4" xfId="18160"/>
    <cellStyle name="s_Valuation _Sheet3 4 2" xfId="18161"/>
    <cellStyle name="s_Valuation _Sheet3 4 2_15-FINANCEIRAS" xfId="18162"/>
    <cellStyle name="s_Valuation _Sheet3 4_15-FINANCEIRAS" xfId="18163"/>
    <cellStyle name="s_Valuation _Sheet3 4_15-FINANCEIRAS_1" xfId="18164"/>
    <cellStyle name="s_Valuation _Sheet3 4_3-Balanço" xfId="18165"/>
    <cellStyle name="s_Valuation _Sheet3 4_7-Estoque" xfId="18166"/>
    <cellStyle name="s_Valuation _Sheet3 4_Relatório Gerencial" xfId="18167"/>
    <cellStyle name="s_Valuation _Sheet3 4_Relatório Gerencial 2" xfId="18168"/>
    <cellStyle name="s_Valuation _Sheet3 4_Relatório Gerencial 2_15-FINANCEIRAS" xfId="18169"/>
    <cellStyle name="s_Valuation _Sheet3 4_Relatório Gerencial_15-FINANCEIRAS" xfId="18170"/>
    <cellStyle name="s_Valuation _Sheet3 4_Relatório Gerencial_15-FINANCEIRAS_1" xfId="18171"/>
    <cellStyle name="s_Valuation _Sheet3 4_Relatório Gerencial_3-Balanço" xfId="18172"/>
    <cellStyle name="s_Valuation _Sheet3 4_Relatório Gerencial_7-Estoque" xfId="18173"/>
    <cellStyle name="s_Valuation _Sheet3 5" xfId="18174"/>
    <cellStyle name="s_Valuation _Sheet3 5 2" xfId="18175"/>
    <cellStyle name="s_Valuation _Sheet3 5 2_15-FINANCEIRAS" xfId="18176"/>
    <cellStyle name="s_Valuation _Sheet3 5_15-FINANCEIRAS" xfId="18177"/>
    <cellStyle name="s_Valuation _Sheet3 5_15-FINANCEIRAS_1" xfId="18178"/>
    <cellStyle name="s_Valuation _Sheet3 5_3-Balanço" xfId="18179"/>
    <cellStyle name="s_Valuation _Sheet3 5_7-Estoque" xfId="18180"/>
    <cellStyle name="s_Valuation _Sheet3 5_Relatório Gerencial" xfId="18181"/>
    <cellStyle name="s_Valuation _Sheet3 5_Relatório Gerencial 2" xfId="18182"/>
    <cellStyle name="s_Valuation _Sheet3 5_Relatório Gerencial 2_15-FINANCEIRAS" xfId="18183"/>
    <cellStyle name="s_Valuation _Sheet3 5_Relatório Gerencial_15-FINANCEIRAS" xfId="18184"/>
    <cellStyle name="s_Valuation _Sheet3 5_Relatório Gerencial_15-FINANCEIRAS_1" xfId="18185"/>
    <cellStyle name="s_Valuation _Sheet3 5_Relatório Gerencial_3-Balanço" xfId="18186"/>
    <cellStyle name="s_Valuation _Sheet3 5_Relatório Gerencial_7-Estoque" xfId="18187"/>
    <cellStyle name="s_Valuation _Sheet3 6" xfId="18188"/>
    <cellStyle name="s_Valuation _Sheet3 6 2" xfId="18189"/>
    <cellStyle name="s_Valuation _Sheet3 6 2_15-FINANCEIRAS" xfId="18190"/>
    <cellStyle name="s_Valuation _Sheet3 6_15-FINANCEIRAS" xfId="18191"/>
    <cellStyle name="s_Valuation _Sheet3 6_15-FINANCEIRAS_1" xfId="18192"/>
    <cellStyle name="s_Valuation _Sheet3 6_3-Balanço" xfId="18193"/>
    <cellStyle name="s_Valuation _Sheet3 6_7-Estoque" xfId="18194"/>
    <cellStyle name="s_Valuation _Sheet3 6_Relatório Gerencial" xfId="18195"/>
    <cellStyle name="s_Valuation _Sheet3 6_Relatório Gerencial 2" xfId="18196"/>
    <cellStyle name="s_Valuation _Sheet3 6_Relatório Gerencial 2_15-FINANCEIRAS" xfId="18197"/>
    <cellStyle name="s_Valuation _Sheet3 6_Relatório Gerencial_15-FINANCEIRAS" xfId="18198"/>
    <cellStyle name="s_Valuation _Sheet3 6_Relatório Gerencial_15-FINANCEIRAS_1" xfId="18199"/>
    <cellStyle name="s_Valuation _Sheet3 6_Relatório Gerencial_3-Balanço" xfId="18200"/>
    <cellStyle name="s_Valuation _Sheet3 6_Relatório Gerencial_7-Estoque" xfId="18201"/>
    <cellStyle name="s_Valuation _Sheet3 7" xfId="18202"/>
    <cellStyle name="s_Valuation _Sheet3 7 2" xfId="18203"/>
    <cellStyle name="s_Valuation _Sheet3 7 2_15-FINANCEIRAS" xfId="18204"/>
    <cellStyle name="s_Valuation _Sheet3 7_15-FINANCEIRAS" xfId="18205"/>
    <cellStyle name="s_Valuation _Sheet3 7_15-FINANCEIRAS_1" xfId="18206"/>
    <cellStyle name="s_Valuation _Sheet3 7_3-Balanço" xfId="18207"/>
    <cellStyle name="s_Valuation _Sheet3 7_7-Estoque" xfId="18208"/>
    <cellStyle name="s_Valuation _Sheet3 7_Relatório Gerencial" xfId="18209"/>
    <cellStyle name="s_Valuation _Sheet3 7_Relatório Gerencial 2" xfId="18210"/>
    <cellStyle name="s_Valuation _Sheet3 7_Relatório Gerencial 2_15-FINANCEIRAS" xfId="18211"/>
    <cellStyle name="s_Valuation _Sheet3 7_Relatório Gerencial_15-FINANCEIRAS" xfId="18212"/>
    <cellStyle name="s_Valuation _Sheet3 7_Relatório Gerencial_15-FINANCEIRAS_1" xfId="18213"/>
    <cellStyle name="s_Valuation _Sheet3 7_Relatório Gerencial_3-Balanço" xfId="18214"/>
    <cellStyle name="s_Valuation _Sheet3 7_Relatório Gerencial_7-Estoque" xfId="18215"/>
    <cellStyle name="s_Valuation _Sheet3 8" xfId="18216"/>
    <cellStyle name="s_Valuation _Sheet3 8 2" xfId="18217"/>
    <cellStyle name="s_Valuation _Sheet3 8 2_15-FINANCEIRAS" xfId="18218"/>
    <cellStyle name="s_Valuation _Sheet3 8_15-FINANCEIRAS" xfId="18219"/>
    <cellStyle name="s_Valuation _Sheet3 8_15-FINANCEIRAS_1" xfId="18220"/>
    <cellStyle name="s_Valuation _Sheet3 8_3-Balanço" xfId="18221"/>
    <cellStyle name="s_Valuation _Sheet3 8_7-Estoque" xfId="18222"/>
    <cellStyle name="s_Valuation _Sheet3 8_Relatório Gerencial" xfId="18223"/>
    <cellStyle name="s_Valuation _Sheet3 8_Relatório Gerencial 2" xfId="18224"/>
    <cellStyle name="s_Valuation _Sheet3 8_Relatório Gerencial 2_15-FINANCEIRAS" xfId="18225"/>
    <cellStyle name="s_Valuation _Sheet3 8_Relatório Gerencial_15-FINANCEIRAS" xfId="18226"/>
    <cellStyle name="s_Valuation _Sheet3 8_Relatório Gerencial_15-FINANCEIRAS_1" xfId="18227"/>
    <cellStyle name="s_Valuation _Sheet3 8_Relatório Gerencial_3-Balanço" xfId="18228"/>
    <cellStyle name="s_Valuation _Sheet3 8_Relatório Gerencial_7-Estoque" xfId="18229"/>
    <cellStyle name="s_Valuation _Sheet3 9" xfId="18230"/>
    <cellStyle name="s_Valuation _Sheet3 9 2" xfId="18231"/>
    <cellStyle name="s_Valuation _Sheet3 9 2_15-FINANCEIRAS" xfId="18232"/>
    <cellStyle name="s_Valuation _Sheet3 9_15-FINANCEIRAS" xfId="18233"/>
    <cellStyle name="s_Valuation _Sheet3 9_15-FINANCEIRAS_1" xfId="18234"/>
    <cellStyle name="s_Valuation _Sheet3 9_3-Balanço" xfId="18235"/>
    <cellStyle name="s_Valuation _Sheet3 9_7-Estoque" xfId="18236"/>
    <cellStyle name="s_Valuation _Sheet3 9_Relatório Gerencial" xfId="18237"/>
    <cellStyle name="s_Valuation _Sheet3 9_Relatório Gerencial 2" xfId="18238"/>
    <cellStyle name="s_Valuation _Sheet3 9_Relatório Gerencial 2_15-FINANCEIRAS" xfId="18239"/>
    <cellStyle name="s_Valuation _Sheet3 9_Relatório Gerencial_15-FINANCEIRAS" xfId="18240"/>
    <cellStyle name="s_Valuation _Sheet3 9_Relatório Gerencial_15-FINANCEIRAS_1" xfId="18241"/>
    <cellStyle name="s_Valuation _Sheet3 9_Relatório Gerencial_3-Balanço" xfId="18242"/>
    <cellStyle name="s_Valuation _Sheet3 9_Relatório Gerencial_7-Estoque" xfId="18243"/>
    <cellStyle name="s_Valuation _Sheet3_15-FINANCEIRAS" xfId="18244"/>
    <cellStyle name="s_Valuation _Sheet3_15-FINANCEIRAS_1" xfId="18245"/>
    <cellStyle name="s_Valuation _Sheet3_3-Balanço" xfId="18246"/>
    <cellStyle name="s_Valuation _Sheet3_3-Balanço 2" xfId="18247"/>
    <cellStyle name="s_Valuation _Sheet3_3-Balanço 2_15-FINANCEIRAS" xfId="18248"/>
    <cellStyle name="s_Valuation _Sheet3_3-Balanço_1" xfId="18249"/>
    <cellStyle name="s_Valuation _Sheet3_3-Balanço_15-FINANCEIRAS" xfId="18250"/>
    <cellStyle name="s_Valuation _Sheet3_3-Balanço_15-FINANCEIRAS_1" xfId="18251"/>
    <cellStyle name="s_Valuation _Sheet3_3-Balanço_3-Balanço" xfId="18252"/>
    <cellStyle name="s_Valuation _Sheet3_3-Balanço_7-Estoque" xfId="18253"/>
    <cellStyle name="s_Valuation _Sheet3_4-DMPL" xfId="18254"/>
    <cellStyle name="s_Valuation _Sheet3_4-DMPL 2" xfId="18255"/>
    <cellStyle name="s_Valuation _Sheet3_4-DMPL 2_15-FINANCEIRAS" xfId="18256"/>
    <cellStyle name="s_Valuation _Sheet3_4-DMPL_15-FINANCEIRAS" xfId="18257"/>
    <cellStyle name="s_Valuation _Sheet3_4-DMPL_15-FINANCEIRAS_1" xfId="18258"/>
    <cellStyle name="s_Valuation _Sheet3_4-DMPL_3-Balanço" xfId="18259"/>
    <cellStyle name="s_Valuation _Sheet3_7-Estoque" xfId="18260"/>
    <cellStyle name="s_Valuation _Sheet3_8-Impostos" xfId="18261"/>
    <cellStyle name="s_Valuation _Sheet3_8-Impostos 2" xfId="18262"/>
    <cellStyle name="s_Valuation _Sheet3_8-Impostos 2_15-FINANCEIRAS" xfId="18263"/>
    <cellStyle name="s_Valuation _Sheet3_8-Impostos_15-FINANCEIRAS" xfId="18264"/>
    <cellStyle name="s_Valuation _Sheet3_8-Impostos_15-FINANCEIRAS_1" xfId="18265"/>
    <cellStyle name="s_Valuation _Sheet3_8-Impostos_3-Balanço" xfId="18266"/>
    <cellStyle name="s_Valuation _Sheet3_Ajustes " xfId="18267"/>
    <cellStyle name="s_Valuation _Sheet3_Ajustes  2" xfId="18268"/>
    <cellStyle name="s_Valuation _Sheet3_Ajustes  2_15-FINANCEIRAS" xfId="18269"/>
    <cellStyle name="s_Valuation _Sheet3_Ajustes  3" xfId="18270"/>
    <cellStyle name="s_Valuation _Sheet3_Ajustes _15-FINANCEIRAS" xfId="18271"/>
    <cellStyle name="s_Valuation _Sheet3_Ajustes _15-FINANCEIRAS_1" xfId="18272"/>
    <cellStyle name="s_Valuation _Sheet3_Ajustes _3-Balanço" xfId="18273"/>
    <cellStyle name="s_Valuation _Sheet3_Ajustes _7-Estoque" xfId="18274"/>
    <cellStyle name="s_Valuation _Sheet3_Ajustes _CRE - Aging" xfId="18275"/>
    <cellStyle name="s_Valuation _Sheet3_Ajustes _DFC Indireto_Novo" xfId="18276"/>
    <cellStyle name="s_Valuation _Sheet3_Ajustes _Ind_Consol" xfId="18277"/>
    <cellStyle name="s_Valuation _Sheet3_Ajustes _Outras oper's" xfId="18278"/>
    <cellStyle name="s_Valuation _Sheet3_Ajustes _Receitas" xfId="18279"/>
    <cellStyle name="s_Valuation _Sheet3_Ajustes _Relatório Gerencial" xfId="18280"/>
    <cellStyle name="s_Valuation _Sheet3_Ajustes _Relatório Gerencial 2" xfId="18281"/>
    <cellStyle name="s_Valuation _Sheet3_Ajustes _Relatório Gerencial 2_15-FINANCEIRAS" xfId="18282"/>
    <cellStyle name="s_Valuation _Sheet3_Ajustes _Relatório Gerencial_15-FINANCEIRAS" xfId="18283"/>
    <cellStyle name="s_Valuation _Sheet3_Ajustes _Relatório Gerencial_15-FINANCEIRAS_1" xfId="18284"/>
    <cellStyle name="s_Valuation _Sheet3_Ajustes _Relatório Gerencial_3-Balanço" xfId="18285"/>
    <cellStyle name="s_Valuation _Sheet3_Ajustes _Relatório Gerencial_7-Estoque" xfId="18286"/>
    <cellStyle name="s_Valuation _Sheet3_Ajustes BMF" xfId="18287"/>
    <cellStyle name="s_Valuation _Sheet3_Ajustes BMF 2" xfId="18288"/>
    <cellStyle name="s_Valuation _Sheet3_Ajustes BMF 2_15-FINANCEIRAS" xfId="18289"/>
    <cellStyle name="s_Valuation _Sheet3_Ajustes BMF_15-FINANCEIRAS" xfId="18290"/>
    <cellStyle name="s_Valuation _Sheet3_Ajustes BMF_15-FINANCEIRAS_1" xfId="18291"/>
    <cellStyle name="s_Valuation _Sheet3_Ajustes BMF_3-Balanço" xfId="18292"/>
    <cellStyle name="s_Valuation _Sheet3_Ajustes BMF_7-Estoque" xfId="18293"/>
    <cellStyle name="s_Valuation _Sheet3_Balanço" xfId="18294"/>
    <cellStyle name="s_Valuation _Sheet3_Copy of COSAN Fechamento Mensal Setembro 09 v.5 NE" xfId="18295"/>
    <cellStyle name="s_Valuation _Sheet3_Copy of COSAN Fechamento Mensal Setembro 09 v.5 NE 2" xfId="18296"/>
    <cellStyle name="s_Valuation _Sheet3_Copy of COSAN Fechamento Mensal Setembro 09 v.5 NE 2_15-FINANCEIRAS" xfId="18297"/>
    <cellStyle name="s_Valuation _Sheet3_Copy of COSAN Fechamento Mensal Setembro 09 v.5 NE_15-FINANCEIRAS" xfId="18298"/>
    <cellStyle name="s_Valuation _Sheet3_Copy of COSAN Fechamento Mensal Setembro 09 v.5 NE_15-FINANCEIRAS_1" xfId="18299"/>
    <cellStyle name="s_Valuation _Sheet3_Copy of COSAN Fechamento Mensal Setembro 09 v.5 NE_3-Balanço" xfId="18300"/>
    <cellStyle name="s_Valuation _Sheet3_Copy of COSAN Fechamento Mensal Setembro 09 v.5 NE_7-Estoque" xfId="18301"/>
    <cellStyle name="s_Valuation _Sheet3_Copy of COSAN Fechamento Mensal Setembro 09 v.5 NE_Relatório Gerencial" xfId="18302"/>
    <cellStyle name="s_Valuation _Sheet3_Copy of COSAN Fechamento Mensal Setembro 09 v.5 NE_Relatório Gerencial 2" xfId="18303"/>
    <cellStyle name="s_Valuation _Sheet3_Copy of COSAN Fechamento Mensal Setembro 09 v.5 NE_Relatório Gerencial 2_15-FINANCEIRAS" xfId="18304"/>
    <cellStyle name="s_Valuation _Sheet3_Copy of COSAN Fechamento Mensal Setembro 09 v.5 NE_Relatório Gerencial_15-FINANCEIRAS" xfId="18305"/>
    <cellStyle name="s_Valuation _Sheet3_Copy of COSAN Fechamento Mensal Setembro 09 v.5 NE_Relatório Gerencial_15-FINANCEIRAS_1" xfId="18306"/>
    <cellStyle name="s_Valuation _Sheet3_Copy of COSAN Fechamento Mensal Setembro 09 v.5 NE_Relatório Gerencial_3-Balanço" xfId="18307"/>
    <cellStyle name="s_Valuation _Sheet3_Copy of COSAN Fechamento Mensal Setembro 09 v.5 NE_Relatório Gerencial_7-Estoque" xfId="18308"/>
    <cellStyle name="s_Valuation _Sheet3_COSAN Fechamento Mensal Setembro 09 v.5 NE" xfId="18309"/>
    <cellStyle name="s_Valuation _Sheet3_COSAN Fechamento Mensal Setembro 09 v.5 NE 2" xfId="18310"/>
    <cellStyle name="s_Valuation _Sheet3_COSAN Fechamento Mensal Setembro 09 v.5 NE 2_15-FINANCEIRAS" xfId="18311"/>
    <cellStyle name="s_Valuation _Sheet3_COSAN Fechamento Mensal Setembro 09 v.5 NE_15-FINANCEIRAS" xfId="18312"/>
    <cellStyle name="s_Valuation _Sheet3_COSAN Fechamento Mensal Setembro 09 v.5 NE_15-FINANCEIRAS_1" xfId="18313"/>
    <cellStyle name="s_Valuation _Sheet3_COSAN Fechamento Mensal Setembro 09 v.5 NE_3-Balanço" xfId="18314"/>
    <cellStyle name="s_Valuation _Sheet3_COSAN Fechamento Mensal Setembro 09 v.5 NE_7-Estoque" xfId="18315"/>
    <cellStyle name="s_Valuation _Sheet3_COSAN Fechamento Mensal Setembro 09 v.5 NE_Relatório Gerencial" xfId="18316"/>
    <cellStyle name="s_Valuation _Sheet3_COSAN Fechamento Mensal Setembro 09 v.5 NE_Relatório Gerencial 2" xfId="18317"/>
    <cellStyle name="s_Valuation _Sheet3_COSAN Fechamento Mensal Setembro 09 v.5 NE_Relatório Gerencial 2_15-FINANCEIRAS" xfId="18318"/>
    <cellStyle name="s_Valuation _Sheet3_COSAN Fechamento Mensal Setembro 09 v.5 NE_Relatório Gerencial_15-FINANCEIRAS" xfId="18319"/>
    <cellStyle name="s_Valuation _Sheet3_COSAN Fechamento Mensal Setembro 09 v.5 NE_Relatório Gerencial_15-FINANCEIRAS_1" xfId="18320"/>
    <cellStyle name="s_Valuation _Sheet3_COSAN Fechamento Mensal Setembro 09 v.5 NE_Relatório Gerencial_3-Balanço" xfId="18321"/>
    <cellStyle name="s_Valuation _Sheet3_COSAN Fechamento Mensal Setembro 09 v.5 NE_Relatório Gerencial_7-Estoque" xfId="18322"/>
    <cellStyle name="s_Valuation _Sheet3_Derivativos 2009-03-31 Mar'09" xfId="18323"/>
    <cellStyle name="s_Valuation _Sheet3_Derivativos 2009-03-31 Mar'09 2" xfId="18324"/>
    <cellStyle name="s_Valuation _Sheet3_Derivativos 2009-03-31 Mar'09 2_15-FINANCEIRAS" xfId="18325"/>
    <cellStyle name="s_Valuation _Sheet3_Derivativos 2009-03-31 Mar'09_15-FINANCEIRAS" xfId="18326"/>
    <cellStyle name="s_Valuation _Sheet3_Derivativos 2009-03-31 Mar'09_15-FINANCEIRAS_1" xfId="18327"/>
    <cellStyle name="s_Valuation _Sheet3_Derivativos 2009-03-31 Mar'09_3-Balanço" xfId="18328"/>
    <cellStyle name="s_Valuation _Sheet3_Derivativos 2009-03-31 Mar'09_7-Estoque" xfId="18329"/>
    <cellStyle name="s_Valuation _Sheet3_Derivativos 2009-03-31 Mar'09_Relatório Gerencial" xfId="18330"/>
    <cellStyle name="s_Valuation _Sheet3_Derivativos 2009-03-31 Mar'09_Relatório Gerencial 2" xfId="18331"/>
    <cellStyle name="s_Valuation _Sheet3_Derivativos 2009-03-31 Mar'09_Relatório Gerencial 2_15-FINANCEIRAS" xfId="18332"/>
    <cellStyle name="s_Valuation _Sheet3_Derivativos 2009-03-31 Mar'09_Relatório Gerencial_15-FINANCEIRAS" xfId="18333"/>
    <cellStyle name="s_Valuation _Sheet3_Derivativos 2009-03-31 Mar'09_Relatório Gerencial_15-FINANCEIRAS_1" xfId="18334"/>
    <cellStyle name="s_Valuation _Sheet3_Derivativos 2009-03-31 Mar'09_Relatório Gerencial_3-Balanço" xfId="18335"/>
    <cellStyle name="s_Valuation _Sheet3_Derivativos 2009-03-31 Mar'09_Relatório Gerencial_7-Estoque" xfId="18336"/>
    <cellStyle name="s_Valuation _Sheet3_Derivativos COSAN Mar 2009" xfId="18337"/>
    <cellStyle name="s_Valuation _Sheet3_Derivativos COSAN Mar 2009 2" xfId="18338"/>
    <cellStyle name="s_Valuation _Sheet3_Derivativos COSAN Mar 2009 2_15-FINANCEIRAS" xfId="18339"/>
    <cellStyle name="s_Valuation _Sheet3_Derivativos COSAN Mar 2009_15-FINANCEIRAS" xfId="18340"/>
    <cellStyle name="s_Valuation _Sheet3_Derivativos COSAN Mar 2009_15-FINANCEIRAS_1" xfId="18341"/>
    <cellStyle name="s_Valuation _Sheet3_Derivativos COSAN Mar 2009_3-Balanço" xfId="18342"/>
    <cellStyle name="s_Valuation _Sheet3_Derivativos COSAN Mar 2009_7-Estoque" xfId="18343"/>
    <cellStyle name="s_Valuation _Sheet3_Derivativos COSAN Mar 2009_Relatório Gerencial" xfId="18344"/>
    <cellStyle name="s_Valuation _Sheet3_Derivativos COSAN Mar 2009_Relatório Gerencial 2" xfId="18345"/>
    <cellStyle name="s_Valuation _Sheet3_Derivativos COSAN Mar 2009_Relatório Gerencial 2_15-FINANCEIRAS" xfId="18346"/>
    <cellStyle name="s_Valuation _Sheet3_Derivativos COSAN Mar 2009_Relatório Gerencial_15-FINANCEIRAS" xfId="18347"/>
    <cellStyle name="s_Valuation _Sheet3_Derivativos COSAN Mar 2009_Relatório Gerencial_15-FINANCEIRAS_1" xfId="18348"/>
    <cellStyle name="s_Valuation _Sheet3_Derivativos COSAN Mar 2009_Relatório Gerencial_3-Balanço" xfId="18349"/>
    <cellStyle name="s_Valuation _Sheet3_Derivativos COSAN Mar 2009_Relatório Gerencial_7-Estoque" xfId="18350"/>
    <cellStyle name="s_Valuation _Sheet3_ExtratosAbr'09" xfId="18351"/>
    <cellStyle name="s_Valuation _Sheet3_ExtratosAbr'09 2" xfId="18352"/>
    <cellStyle name="s_Valuation _Sheet3_ExtratosAbr'09 2_15-FINANCEIRAS" xfId="18353"/>
    <cellStyle name="s_Valuation _Sheet3_ExtratosAbr'09_15-FINANCEIRAS" xfId="18354"/>
    <cellStyle name="s_Valuation _Sheet3_ExtratosAbr'09_15-FINANCEIRAS_1" xfId="18355"/>
    <cellStyle name="s_Valuation _Sheet3_ExtratosAbr'09_3-Balanço" xfId="18356"/>
    <cellStyle name="s_Valuation _Sheet3_ExtratosAbr'09_7-Estoque" xfId="18357"/>
    <cellStyle name="s_Valuation _Sheet3_ExtratosAbr'09_Relatório Gerencial" xfId="18358"/>
    <cellStyle name="s_Valuation _Sheet3_ExtratosAbr'09_Relatório Gerencial 2" xfId="18359"/>
    <cellStyle name="s_Valuation _Sheet3_ExtratosAbr'09_Relatório Gerencial 2_15-FINANCEIRAS" xfId="18360"/>
    <cellStyle name="s_Valuation _Sheet3_ExtratosAbr'09_Relatório Gerencial_15-FINANCEIRAS" xfId="18361"/>
    <cellStyle name="s_Valuation _Sheet3_ExtratosAbr'09_Relatório Gerencial_15-FINANCEIRAS_1" xfId="18362"/>
    <cellStyle name="s_Valuation _Sheet3_ExtratosAbr'09_Relatório Gerencial_3-Balanço" xfId="18363"/>
    <cellStyle name="s_Valuation _Sheet3_ExtratosAbr'09_Relatório Gerencial_7-Estoque" xfId="18364"/>
    <cellStyle name="s_Valuation _Sheet3_ExtratosMai'09" xfId="18365"/>
    <cellStyle name="s_Valuation _Sheet3_ExtratosMai'09 2" xfId="18366"/>
    <cellStyle name="s_Valuation _Sheet3_ExtratosMai'09 2_15-FINANCEIRAS" xfId="18367"/>
    <cellStyle name="s_Valuation _Sheet3_ExtratosMai'09_15-FINANCEIRAS" xfId="18368"/>
    <cellStyle name="s_Valuation _Sheet3_ExtratosMai'09_15-FINANCEIRAS_1" xfId="18369"/>
    <cellStyle name="s_Valuation _Sheet3_ExtratosMai'09_3-Balanço" xfId="18370"/>
    <cellStyle name="s_Valuation _Sheet3_ExtratosMai'09_7-Estoque" xfId="18371"/>
    <cellStyle name="s_Valuation _Sheet3_ExtratosMai'09_Relatório Gerencial" xfId="18372"/>
    <cellStyle name="s_Valuation _Sheet3_ExtratosMai'09_Relatório Gerencial 2" xfId="18373"/>
    <cellStyle name="s_Valuation _Sheet3_ExtratosMai'09_Relatório Gerencial 2_15-FINANCEIRAS" xfId="18374"/>
    <cellStyle name="s_Valuation _Sheet3_ExtratosMai'09_Relatório Gerencial_15-FINANCEIRAS" xfId="18375"/>
    <cellStyle name="s_Valuation _Sheet3_ExtratosMai'09_Relatório Gerencial_15-FINANCEIRAS_1" xfId="18376"/>
    <cellStyle name="s_Valuation _Sheet3_ExtratosMai'09_Relatório Gerencial_3-Balanço" xfId="18377"/>
    <cellStyle name="s_Valuation _Sheet3_ExtratosMai'09_Relatório Gerencial_7-Estoque" xfId="18378"/>
    <cellStyle name="s_Valuation _Sheet3_MtM NDF - Swap Maio 10" xfId="18379"/>
    <cellStyle name="s_Valuation _Sheet3_MtM NDF - Swap Maio 10 2" xfId="18380"/>
    <cellStyle name="s_Valuation _Sheet3_MtM NDF - Swap Maio 10 2_15-FINANCEIRAS" xfId="18381"/>
    <cellStyle name="s_Valuation _Sheet3_MtM NDF - Swap Maio 10_15-FINANCEIRAS" xfId="18382"/>
    <cellStyle name="s_Valuation _Sheet3_MtM NDF - Swap Maio 10_15-FINANCEIRAS_1" xfId="18383"/>
    <cellStyle name="s_Valuation _Sheet3_MtM NDF - Swap Maio 10_3-Balanço" xfId="18384"/>
    <cellStyle name="s_Valuation _Sheet3_MtM NDF - Swap Maio 10_7-Estoque" xfId="18385"/>
    <cellStyle name="s_Valuation _Sheet3_MtM NDF - Swap Morgan Setembro - CCL 09" xfId="18386"/>
    <cellStyle name="s_Valuation _Sheet3_MtM NDF - Swap Morgan Setembro - CCL 09 2" xfId="18387"/>
    <cellStyle name="s_Valuation _Sheet3_MtM NDF - Swap Morgan Setembro - CCL 09 2_15-FINANCEIRAS" xfId="18388"/>
    <cellStyle name="s_Valuation _Sheet3_MtM NDF - Swap Morgan Setembro - CCL 09_15-FINANCEIRAS" xfId="18389"/>
    <cellStyle name="s_Valuation _Sheet3_MtM NDF - Swap Morgan Setembro - CCL 09_15-FINANCEIRAS_1" xfId="18390"/>
    <cellStyle name="s_Valuation _Sheet3_MtM NDF - Swap Morgan Setembro - CCL 09_3-Balanço" xfId="18391"/>
    <cellStyle name="s_Valuation _Sheet3_MtM NDF - Swap Morgan Setembro - CCL 09_7-Estoque" xfId="18392"/>
    <cellStyle name="s_Valuation _Sheet3_MtM NDF - Swap Morgan Setembro - CCL 09_Relatório Gerencial" xfId="18393"/>
    <cellStyle name="s_Valuation _Sheet3_MtM NDF - Swap Morgan Setembro - CCL 09_Relatório Gerencial 2" xfId="18394"/>
    <cellStyle name="s_Valuation _Sheet3_MtM NDF - Swap Morgan Setembro - CCL 09_Relatório Gerencial 2_15-FINANCEIRAS" xfId="18395"/>
    <cellStyle name="s_Valuation _Sheet3_MtM NDF - Swap Morgan Setembro - CCL 09_Relatório Gerencial_15-FINANCEIRAS" xfId="18396"/>
    <cellStyle name="s_Valuation _Sheet3_MtM NDF - Swap Morgan Setembro - CCL 09_Relatório Gerencial_15-FINANCEIRAS_1" xfId="18397"/>
    <cellStyle name="s_Valuation _Sheet3_MtM NDF - Swap Morgan Setembro - CCL 09_Relatório Gerencial_3-Balanço" xfId="18398"/>
    <cellStyle name="s_Valuation _Sheet3_MtM NDF - Swap Morgan Setembro - CCL 09_Relatório Gerencial_7-Estoque" xfId="18399"/>
    <cellStyle name="s_Valuation _Sheet3_MtM NDF e Swap Morgan Ago 09" xfId="18400"/>
    <cellStyle name="s_Valuation _Sheet3_MtM NDF e Swap Morgan Ago 09 2" xfId="18401"/>
    <cellStyle name="s_Valuation _Sheet3_MtM NDF e Swap Morgan Ago 09 2_15-FINANCEIRAS" xfId="18402"/>
    <cellStyle name="s_Valuation _Sheet3_MtM NDF e Swap Morgan Ago 09_15-FINANCEIRAS" xfId="18403"/>
    <cellStyle name="s_Valuation _Sheet3_MtM NDF e Swap Morgan Ago 09_15-FINANCEIRAS_1" xfId="18404"/>
    <cellStyle name="s_Valuation _Sheet3_MtM NDF e Swap Morgan Ago 09_3-Balanço" xfId="18405"/>
    <cellStyle name="s_Valuation _Sheet3_MtM NDF e Swap Morgan Ago 09_7-Estoque" xfId="18406"/>
    <cellStyle name="s_Valuation _Sheet3_MtM NDF e Swap Morgan Ago 09_Relatório Gerencial" xfId="18407"/>
    <cellStyle name="s_Valuation _Sheet3_MtM NDF e Swap Morgan Ago 09_Relatório Gerencial 2" xfId="18408"/>
    <cellStyle name="s_Valuation _Sheet3_MtM NDF e Swap Morgan Ago 09_Relatório Gerencial 2_15-FINANCEIRAS" xfId="18409"/>
    <cellStyle name="s_Valuation _Sheet3_MtM NDF e Swap Morgan Ago 09_Relatório Gerencial_15-FINANCEIRAS" xfId="18410"/>
    <cellStyle name="s_Valuation _Sheet3_MtM NDF e Swap Morgan Ago 09_Relatório Gerencial_15-FINANCEIRAS_1" xfId="18411"/>
    <cellStyle name="s_Valuation _Sheet3_MtM NDF e Swap Morgan Ago 09_Relatório Gerencial_3-Balanço" xfId="18412"/>
    <cellStyle name="s_Valuation _Sheet3_MtM NDF e Swap Morgan Ago 09_Relatório Gerencial_7-Estoque" xfId="18413"/>
    <cellStyle name="s_Valuation _Sheet3_MTM Swap Morgan Stanley" xfId="18414"/>
    <cellStyle name="s_Valuation _Sheet3_MtM Swap Morgan Stanley 130109" xfId="18415"/>
    <cellStyle name="s_Valuation _Sheet3_MtM Swap Morgan Stanley 130109 2" xfId="18416"/>
    <cellStyle name="s_Valuation _Sheet3_MtM Swap Morgan Stanley 130109 2_15-FINANCEIRAS" xfId="18417"/>
    <cellStyle name="s_Valuation _Sheet3_MtM Swap Morgan Stanley 130109_15-FINANCEIRAS" xfId="18418"/>
    <cellStyle name="s_Valuation _Sheet3_MtM Swap Morgan Stanley 130109_15-FINANCEIRAS_1" xfId="18419"/>
    <cellStyle name="s_Valuation _Sheet3_MtM Swap Morgan Stanley 130109_3-Balanço" xfId="18420"/>
    <cellStyle name="s_Valuation _Sheet3_MtM Swap Morgan Stanley 130109_7-Estoque" xfId="18421"/>
    <cellStyle name="s_Valuation _Sheet3_MtM Swap Morgan Stanley 130109_Relatório Gerencial" xfId="18422"/>
    <cellStyle name="s_Valuation _Sheet3_MtM Swap Morgan Stanley 130109_Relatório Gerencial 2" xfId="18423"/>
    <cellStyle name="s_Valuation _Sheet3_MtM Swap Morgan Stanley 130109_Relatório Gerencial 2_15-FINANCEIRAS" xfId="18424"/>
    <cellStyle name="s_Valuation _Sheet3_MtM Swap Morgan Stanley 130109_Relatório Gerencial_15-FINANCEIRAS" xfId="18425"/>
    <cellStyle name="s_Valuation _Sheet3_MtM Swap Morgan Stanley 130109_Relatório Gerencial_15-FINANCEIRAS_1" xfId="18426"/>
    <cellStyle name="s_Valuation _Sheet3_MtM Swap Morgan Stanley 130109_Relatório Gerencial_3-Balanço" xfId="18427"/>
    <cellStyle name="s_Valuation _Sheet3_MtM Swap Morgan Stanley 130109_Relatório Gerencial_7-Estoque" xfId="18428"/>
    <cellStyle name="s_Valuation _Sheet3_MTM Swap Morgan Stanley 2" xfId="18429"/>
    <cellStyle name="s_Valuation _Sheet3_MTM Swap Morgan Stanley 2_15-FINANCEIRAS" xfId="18430"/>
    <cellStyle name="s_Valuation _Sheet3_MTM Swap Morgan Stanley 3" xfId="18431"/>
    <cellStyle name="s_Valuation _Sheet3_MTM Swap Morgan Stanley 3_15-FINANCEIRAS" xfId="18432"/>
    <cellStyle name="s_Valuation _Sheet3_MTM Swap Morgan Stanley 4" xfId="18433"/>
    <cellStyle name="s_Valuation _Sheet3_MTM Swap Morgan Stanley 4_15-FINANCEIRAS" xfId="18434"/>
    <cellStyle name="s_Valuation _Sheet3_MTM Swap Morgan Stanley_15-FINANCEIRAS" xfId="18435"/>
    <cellStyle name="s_Valuation _Sheet3_MTM Swap Morgan Stanley_15-FINANCEIRAS_1" xfId="18436"/>
    <cellStyle name="s_Valuation _Sheet3_MTM Swap Morgan Stanley_3-Balanço" xfId="18437"/>
    <cellStyle name="s_Valuation _Sheet3_MTM Swap Morgan Stanley_7-Estoque" xfId="18438"/>
    <cellStyle name="s_Valuation _Sheet3_MTM Swap Morgan Stanley_Relatório Gerencial" xfId="18439"/>
    <cellStyle name="s_Valuation _Sheet3_MTM Swap Morgan Stanley_Relatório Gerencial 2" xfId="18440"/>
    <cellStyle name="s_Valuation _Sheet3_MTM Swap Morgan Stanley_Relatório Gerencial 2_15-FINANCEIRAS" xfId="18441"/>
    <cellStyle name="s_Valuation _Sheet3_MTM Swap Morgan Stanley_Relatório Gerencial_15-FINANCEIRAS" xfId="18442"/>
    <cellStyle name="s_Valuation _Sheet3_MTM Swap Morgan Stanley_Relatório Gerencial_15-FINANCEIRAS_1" xfId="18443"/>
    <cellStyle name="s_Valuation _Sheet3_MTM Swap Morgan Stanley_Relatório Gerencial_3-Balanço" xfId="18444"/>
    <cellStyle name="s_Valuation _Sheet3_MTM Swap Morgan Stanley_Relatório Gerencial_7-Estoque" xfId="18445"/>
    <cellStyle name="s_Valuation _Sheet3_MtM Swap NOV08 CF" xfId="18446"/>
    <cellStyle name="s_Valuation _Sheet3_MtM Swap NOV08 CF 2" xfId="18447"/>
    <cellStyle name="s_Valuation _Sheet3_MtM Swap NOV08 CF 2_15-FINANCEIRAS" xfId="18448"/>
    <cellStyle name="s_Valuation _Sheet3_MtM Swap NOV08 CF_15-FINANCEIRAS" xfId="18449"/>
    <cellStyle name="s_Valuation _Sheet3_MtM Swap NOV08 CF_15-FINANCEIRAS_1" xfId="18450"/>
    <cellStyle name="s_Valuation _Sheet3_MtM Swap NOV08 CF_3-Balanço" xfId="18451"/>
    <cellStyle name="s_Valuation _Sheet3_MtM Swap NOV08 CF_7-Estoque" xfId="18452"/>
    <cellStyle name="s_Valuation _Sheet3_MtM Swap NOV08 CF_Relatório Gerencial" xfId="18453"/>
    <cellStyle name="s_Valuation _Sheet3_MtM Swap NOV08 CF_Relatório Gerencial 2" xfId="18454"/>
    <cellStyle name="s_Valuation _Sheet3_MtM Swap NOV08 CF_Relatório Gerencial 2_15-FINANCEIRAS" xfId="18455"/>
    <cellStyle name="s_Valuation _Sheet3_MtM Swap NOV08 CF_Relatório Gerencial_15-FINANCEIRAS" xfId="18456"/>
    <cellStyle name="s_Valuation _Sheet3_MtM Swap NOV08 CF_Relatório Gerencial_15-FINANCEIRAS_1" xfId="18457"/>
    <cellStyle name="s_Valuation _Sheet3_MtM Swap NOV08 CF_Relatório Gerencial_3-Balanço" xfId="18458"/>
    <cellStyle name="s_Valuation _Sheet3_MtM Swap NOV08 CF_Relatório Gerencial_7-Estoque" xfId="18459"/>
    <cellStyle name="s_Valuation _Sheet3_NDF Forward" xfId="18460"/>
    <cellStyle name="s_Valuation _Sheet3_NDF Forward 2" xfId="18461"/>
    <cellStyle name="s_Valuation _Sheet3_NDF Forward 2_15-FINANCEIRAS" xfId="18462"/>
    <cellStyle name="s_Valuation _Sheet3_NDF Forward_15-FINANCEIRAS" xfId="18463"/>
    <cellStyle name="s_Valuation _Sheet3_NDF Forward_15-FINANCEIRAS_1" xfId="18464"/>
    <cellStyle name="s_Valuation _Sheet3_NDF Forward_3-Balanço" xfId="18465"/>
    <cellStyle name="s_Valuation _Sheet3_NDF Forward_7-Estoque" xfId="18466"/>
    <cellStyle name="s_Valuation _Sheet3_NDF Forward_Relatório Gerencial" xfId="18467"/>
    <cellStyle name="s_Valuation _Sheet3_NDF Forward_Relatório Gerencial 2" xfId="18468"/>
    <cellStyle name="s_Valuation _Sheet3_NDF Forward_Relatório Gerencial 2_15-FINANCEIRAS" xfId="18469"/>
    <cellStyle name="s_Valuation _Sheet3_NDF Forward_Relatório Gerencial_15-FINANCEIRAS" xfId="18470"/>
    <cellStyle name="s_Valuation _Sheet3_NDF Forward_Relatório Gerencial_15-FINANCEIRAS_1" xfId="18471"/>
    <cellStyle name="s_Valuation _Sheet3_NDF Forward_Relatório Gerencial_3-Balanço" xfId="18472"/>
    <cellStyle name="s_Valuation _Sheet3_NDF Forward_Relatório Gerencial_7-Estoque" xfId="18473"/>
    <cellStyle name="s_Valuation _Sheet3_Opes DI" xfId="18474"/>
    <cellStyle name="s_Valuation _Sheet3_Opes DI 2" xfId="18475"/>
    <cellStyle name="s_Valuation _Sheet3_Opes DI 2_15-FINANCEIRAS" xfId="18476"/>
    <cellStyle name="s_Valuation _Sheet3_Opes DI_15-FINANCEIRAS" xfId="18477"/>
    <cellStyle name="s_Valuation _Sheet3_Opes DI_15-FINANCEIRAS_1" xfId="18478"/>
    <cellStyle name="s_Valuation _Sheet3_Opes DI_3-Balanço" xfId="18479"/>
    <cellStyle name="s_Valuation _Sheet3_Opes DI_7-Estoque" xfId="18480"/>
    <cellStyle name="s_Valuation _Sheet3_Relatório Gerencial" xfId="18481"/>
    <cellStyle name="s_Valuation _Sheet3_Relatório Gerencial 2" xfId="18482"/>
    <cellStyle name="s_Valuation _Sheet3_Relatório Gerencial 2_15-FINANCEIRAS" xfId="18483"/>
    <cellStyle name="s_Valuation _Sheet3_Relatório Gerencial_15-FINANCEIRAS" xfId="18484"/>
    <cellStyle name="s_Valuation _Sheet3_Relatório Gerencial_15-FINANCEIRAS_1" xfId="18485"/>
    <cellStyle name="s_Valuation _Sheet3_Relatório Gerencial_3-Balanço" xfId="18486"/>
    <cellStyle name="s_Valuation _Sheet3_Relatório Gerencial_7-Estoque" xfId="18487"/>
    <cellStyle name="s_Valuation _Sheet3_Serie de acucar" xfId="18488"/>
    <cellStyle name="s_Valuation _Sheet3_Serie de acucar 2" xfId="18489"/>
    <cellStyle name="s_Valuation _Sheet3_Serie de acucar 2_15-FINANCEIRAS" xfId="18490"/>
    <cellStyle name="s_Valuation _Sheet3_Serie de acucar_15-FINANCEIRAS" xfId="18491"/>
    <cellStyle name="s_Valuation _Sheet3_Serie de acucar_15-FINANCEIRAS_1" xfId="18492"/>
    <cellStyle name="s_Valuation _Sheet3_Serie de acucar_3-Balanço" xfId="18493"/>
    <cellStyle name="s_Valuation _Sheet3_Serie de acucar_7-Estoque" xfId="18494"/>
    <cellStyle name="s_Valuation _Sheet3_Swap - CCL" xfId="18495"/>
    <cellStyle name="s_Valuation _Sheet3_Swap - CCL 2" xfId="18496"/>
    <cellStyle name="s_Valuation _Sheet3_Swap - CCL 2_15-FINANCEIRAS" xfId="18497"/>
    <cellStyle name="s_Valuation _Sheet3_Swap - CCL_15-FINANCEIRAS" xfId="18498"/>
    <cellStyle name="s_Valuation _Sheet3_Swap - CCL_15-FINANCEIRAS_1" xfId="18499"/>
    <cellStyle name="s_Valuation _Sheet3_Swap - CCL_3-Balanço" xfId="18500"/>
    <cellStyle name="s_Valuation _Sheet3_Swap - CCL_7-Estoque" xfId="18501"/>
    <cellStyle name="s_Valuation _Sheet3_Swap Standard" xfId="18502"/>
    <cellStyle name="s_Valuation _Sheet3_Swap Standard 2" xfId="18503"/>
    <cellStyle name="s_Valuation _Sheet3_Swap Standard 2_15-FINANCEIRAS" xfId="18504"/>
    <cellStyle name="s_Valuation _Sheet3_Swap Standard_15-FINANCEIRAS" xfId="18505"/>
    <cellStyle name="s_Valuation _Sheet3_Swap Standard_15-FINANCEIRAS_1" xfId="18506"/>
    <cellStyle name="s_Valuation _Sheet3_Swap Standard_3-Balanço" xfId="18507"/>
    <cellStyle name="s_Valuation _Sheet3_Swap Standard_7-Estoque" xfId="18508"/>
    <cellStyle name="s_Valuation _Sheet3_Tabela" xfId="18509"/>
    <cellStyle name="s_Valuation _Sheet3_Tabela 2" xfId="18510"/>
    <cellStyle name="s_Valuation _Sheet3_Tabela 2_15-FINANCEIRAS" xfId="18511"/>
    <cellStyle name="s_Valuation _Sheet3_Tabela_15-FINANCEIRAS" xfId="18512"/>
    <cellStyle name="s_Valuation _Sheet3_Tabela_15-FINANCEIRAS_1" xfId="18513"/>
    <cellStyle name="s_Valuation _Sheet3_Tabela_3-Balanço" xfId="18514"/>
    <cellStyle name="s_Valuation _Sheet3_Tabela_7-Estoque" xfId="18515"/>
    <cellStyle name="s_Valuation _Sistema Cosan" xfId="18516"/>
    <cellStyle name="s_Valuation _Sistema Cosan 2" xfId="18517"/>
    <cellStyle name="s_Valuation _Sistema Cosan 2_15-FINANCEIRAS" xfId="18518"/>
    <cellStyle name="s_Valuation _Sistema Cosan_15-FINANCEIRAS" xfId="18519"/>
    <cellStyle name="s_Valuation _Sistema Cosan_15-FINANCEIRAS_1" xfId="18520"/>
    <cellStyle name="s_Valuation _Sistema Cosan_3-Balanço" xfId="18521"/>
    <cellStyle name="s_Valuation _Sistema Cosan_7-Estoque" xfId="18522"/>
    <cellStyle name="s_Valuation _Sistema Cosan_Copy of COSAN Fechamento Mensal Setembro 09 v.5 NE" xfId="18523"/>
    <cellStyle name="s_Valuation _Sistema Cosan_Copy of COSAN Fechamento Mensal Setembro 09 v.5 NE 2" xfId="18524"/>
    <cellStyle name="s_Valuation _Sistema Cosan_Copy of COSAN Fechamento Mensal Setembro 09 v.5 NE 2_15-FINANCEIRAS" xfId="18525"/>
    <cellStyle name="s_Valuation _Sistema Cosan_Copy of COSAN Fechamento Mensal Setembro 09 v.5 NE_15-FINANCEIRAS" xfId="18526"/>
    <cellStyle name="s_Valuation _Sistema Cosan_Copy of COSAN Fechamento Mensal Setembro 09 v.5 NE_15-FINANCEIRAS_1" xfId="18527"/>
    <cellStyle name="s_Valuation _Sistema Cosan_Copy of COSAN Fechamento Mensal Setembro 09 v.5 NE_3-Balanço" xfId="18528"/>
    <cellStyle name="s_Valuation _Sistema Cosan_Copy of COSAN Fechamento Mensal Setembro 09 v.5 NE_7-Estoque" xfId="18529"/>
    <cellStyle name="s_Valuation _Sistema Cosan_Copy of COSAN Fechamento Mensal Setembro 09 v.5 NE_Relatório Gerencial" xfId="18530"/>
    <cellStyle name="s_Valuation _Sistema Cosan_Copy of COSAN Fechamento Mensal Setembro 09 v.5 NE_Relatório Gerencial 2" xfId="18531"/>
    <cellStyle name="s_Valuation _Sistema Cosan_Copy of COSAN Fechamento Mensal Setembro 09 v.5 NE_Relatório Gerencial 2_15-FINANCEIRAS" xfId="18532"/>
    <cellStyle name="s_Valuation _Sistema Cosan_Copy of COSAN Fechamento Mensal Setembro 09 v.5 NE_Relatório Gerencial_15-FINANCEIRAS" xfId="18533"/>
    <cellStyle name="s_Valuation _Sistema Cosan_Copy of COSAN Fechamento Mensal Setembro 09 v.5 NE_Relatório Gerencial_15-FINANCEIRAS_1" xfId="18534"/>
    <cellStyle name="s_Valuation _Sistema Cosan_Copy of COSAN Fechamento Mensal Setembro 09 v.5 NE_Relatório Gerencial_3-Balanço" xfId="18535"/>
    <cellStyle name="s_Valuation _Sistema Cosan_Copy of COSAN Fechamento Mensal Setembro 09 v.5 NE_Relatório Gerencial_7-Estoque" xfId="18536"/>
    <cellStyle name="s_Valuation _Sistema Cosan_COSAN Fechamento Mensal Setembro 09 v.5 NE" xfId="18537"/>
    <cellStyle name="s_Valuation _Sistema Cosan_COSAN Fechamento Mensal Setembro 09 v.5 NE 2" xfId="18538"/>
    <cellStyle name="s_Valuation _Sistema Cosan_COSAN Fechamento Mensal Setembro 09 v.5 NE 2_15-FINANCEIRAS" xfId="18539"/>
    <cellStyle name="s_Valuation _Sistema Cosan_COSAN Fechamento Mensal Setembro 09 v.5 NE_15-FINANCEIRAS" xfId="18540"/>
    <cellStyle name="s_Valuation _Sistema Cosan_COSAN Fechamento Mensal Setembro 09 v.5 NE_15-FINANCEIRAS_1" xfId="18541"/>
    <cellStyle name="s_Valuation _Sistema Cosan_COSAN Fechamento Mensal Setembro 09 v.5 NE_3-Balanço" xfId="18542"/>
    <cellStyle name="s_Valuation _Sistema Cosan_COSAN Fechamento Mensal Setembro 09 v.5 NE_7-Estoque" xfId="18543"/>
    <cellStyle name="s_Valuation _Sistema Cosan_COSAN Fechamento Mensal Setembro 09 v.5 NE_Relatório Gerencial" xfId="18544"/>
    <cellStyle name="s_Valuation _Sistema Cosan_COSAN Fechamento Mensal Setembro 09 v.5 NE_Relatório Gerencial 2" xfId="18545"/>
    <cellStyle name="s_Valuation _Sistema Cosan_COSAN Fechamento Mensal Setembro 09 v.5 NE_Relatório Gerencial 2_15-FINANCEIRAS" xfId="18546"/>
    <cellStyle name="s_Valuation _Sistema Cosan_COSAN Fechamento Mensal Setembro 09 v.5 NE_Relatório Gerencial_15-FINANCEIRAS" xfId="18547"/>
    <cellStyle name="s_Valuation _Sistema Cosan_COSAN Fechamento Mensal Setembro 09 v.5 NE_Relatório Gerencial_15-FINANCEIRAS_1" xfId="18548"/>
    <cellStyle name="s_Valuation _Sistema Cosan_COSAN Fechamento Mensal Setembro 09 v.5 NE_Relatório Gerencial_3-Balanço" xfId="18549"/>
    <cellStyle name="s_Valuation _Sistema Cosan_COSAN Fechamento Mensal Setembro 09 v.5 NE_Relatório Gerencial_7-Estoque" xfId="18550"/>
    <cellStyle name="s_Valuation _Sistema Cosan_Derivativos 2009-03-31 Mar'09" xfId="18551"/>
    <cellStyle name="s_Valuation _Sistema Cosan_Derivativos 2009-03-31 Mar'09 2" xfId="18552"/>
    <cellStyle name="s_Valuation _Sistema Cosan_Derivativos 2009-03-31 Mar'09 2_15-FINANCEIRAS" xfId="18553"/>
    <cellStyle name="s_Valuation _Sistema Cosan_Derivativos 2009-03-31 Mar'09_15-FINANCEIRAS" xfId="18554"/>
    <cellStyle name="s_Valuation _Sistema Cosan_Derivativos 2009-03-31 Mar'09_15-FINANCEIRAS_1" xfId="18555"/>
    <cellStyle name="s_Valuation _Sistema Cosan_Derivativos 2009-03-31 Mar'09_3-Balanço" xfId="18556"/>
    <cellStyle name="s_Valuation _Sistema Cosan_Derivativos 2009-03-31 Mar'09_7-Estoque" xfId="18557"/>
    <cellStyle name="s_Valuation _Sistema Cosan_Derivativos 2009-03-31 Mar'09_Relatório Gerencial" xfId="18558"/>
    <cellStyle name="s_Valuation _Sistema Cosan_Derivativos 2009-03-31 Mar'09_Relatório Gerencial 2" xfId="18559"/>
    <cellStyle name="s_Valuation _Sistema Cosan_Derivativos 2009-03-31 Mar'09_Relatório Gerencial 2_15-FINANCEIRAS" xfId="18560"/>
    <cellStyle name="s_Valuation _Sistema Cosan_Derivativos 2009-03-31 Mar'09_Relatório Gerencial_15-FINANCEIRAS" xfId="18561"/>
    <cellStyle name="s_Valuation _Sistema Cosan_Derivativos 2009-03-31 Mar'09_Relatório Gerencial_15-FINANCEIRAS_1" xfId="18562"/>
    <cellStyle name="s_Valuation _Sistema Cosan_Derivativos 2009-03-31 Mar'09_Relatório Gerencial_3-Balanço" xfId="18563"/>
    <cellStyle name="s_Valuation _Sistema Cosan_Derivativos 2009-03-31 Mar'09_Relatório Gerencial_7-Estoque" xfId="18564"/>
    <cellStyle name="s_Valuation _Sistema Cosan_Derivativos COSAN Mar 2009" xfId="18565"/>
    <cellStyle name="s_Valuation _Sistema Cosan_Derivativos COSAN Mar 2009 2" xfId="18566"/>
    <cellStyle name="s_Valuation _Sistema Cosan_Derivativos COSAN Mar 2009 2_15-FINANCEIRAS" xfId="18567"/>
    <cellStyle name="s_Valuation _Sistema Cosan_Derivativos COSAN Mar 2009_15-FINANCEIRAS" xfId="18568"/>
    <cellStyle name="s_Valuation _Sistema Cosan_Derivativos COSAN Mar 2009_15-FINANCEIRAS_1" xfId="18569"/>
    <cellStyle name="s_Valuation _Sistema Cosan_Derivativos COSAN Mar 2009_3-Balanço" xfId="18570"/>
    <cellStyle name="s_Valuation _Sistema Cosan_Derivativos COSAN Mar 2009_7-Estoque" xfId="18571"/>
    <cellStyle name="s_Valuation _Sistema Cosan_Derivativos COSAN Mar 2009_Relatório Gerencial" xfId="18572"/>
    <cellStyle name="s_Valuation _Sistema Cosan_Derivativos COSAN Mar 2009_Relatório Gerencial 2" xfId="18573"/>
    <cellStyle name="s_Valuation _Sistema Cosan_Derivativos COSAN Mar 2009_Relatório Gerencial 2_15-FINANCEIRAS" xfId="18574"/>
    <cellStyle name="s_Valuation _Sistema Cosan_Derivativos COSAN Mar 2009_Relatório Gerencial_15-FINANCEIRAS" xfId="18575"/>
    <cellStyle name="s_Valuation _Sistema Cosan_Derivativos COSAN Mar 2009_Relatório Gerencial_15-FINANCEIRAS_1" xfId="18576"/>
    <cellStyle name="s_Valuation _Sistema Cosan_Derivativos COSAN Mar 2009_Relatório Gerencial_3-Balanço" xfId="18577"/>
    <cellStyle name="s_Valuation _Sistema Cosan_Derivativos COSAN Mar 2009_Relatório Gerencial_7-Estoque" xfId="18578"/>
    <cellStyle name="s_Valuation _Sistema Cosan_ExtratosAbr'09" xfId="18579"/>
    <cellStyle name="s_Valuation _Sistema Cosan_ExtratosAbr'09 2" xfId="18580"/>
    <cellStyle name="s_Valuation _Sistema Cosan_ExtratosAbr'09 2_15-FINANCEIRAS" xfId="18581"/>
    <cellStyle name="s_Valuation _Sistema Cosan_ExtratosAbr'09_15-FINANCEIRAS" xfId="18582"/>
    <cellStyle name="s_Valuation _Sistema Cosan_ExtratosAbr'09_15-FINANCEIRAS_1" xfId="18583"/>
    <cellStyle name="s_Valuation _Sistema Cosan_ExtratosAbr'09_3-Balanço" xfId="18584"/>
    <cellStyle name="s_Valuation _Sistema Cosan_ExtratosAbr'09_7-Estoque" xfId="18585"/>
    <cellStyle name="s_Valuation _Sistema Cosan_ExtratosAbr'09_Relatório Gerencial" xfId="18586"/>
    <cellStyle name="s_Valuation _Sistema Cosan_ExtratosAbr'09_Relatório Gerencial 2" xfId="18587"/>
    <cellStyle name="s_Valuation _Sistema Cosan_ExtratosAbr'09_Relatório Gerencial 2_15-FINANCEIRAS" xfId="18588"/>
    <cellStyle name="s_Valuation _Sistema Cosan_ExtratosAbr'09_Relatório Gerencial_15-FINANCEIRAS" xfId="18589"/>
    <cellStyle name="s_Valuation _Sistema Cosan_ExtratosAbr'09_Relatório Gerencial_15-FINANCEIRAS_1" xfId="18590"/>
    <cellStyle name="s_Valuation _Sistema Cosan_ExtratosAbr'09_Relatório Gerencial_3-Balanço" xfId="18591"/>
    <cellStyle name="s_Valuation _Sistema Cosan_ExtratosAbr'09_Relatório Gerencial_7-Estoque" xfId="18592"/>
    <cellStyle name="s_Valuation _Sistema Cosan_ExtratosMai'09" xfId="18593"/>
    <cellStyle name="s_Valuation _Sistema Cosan_ExtratosMai'09 2" xfId="18594"/>
    <cellStyle name="s_Valuation _Sistema Cosan_ExtratosMai'09 2_15-FINANCEIRAS" xfId="18595"/>
    <cellStyle name="s_Valuation _Sistema Cosan_ExtratosMai'09_15-FINANCEIRAS" xfId="18596"/>
    <cellStyle name="s_Valuation _Sistema Cosan_ExtratosMai'09_15-FINANCEIRAS_1" xfId="18597"/>
    <cellStyle name="s_Valuation _Sistema Cosan_ExtratosMai'09_3-Balanço" xfId="18598"/>
    <cellStyle name="s_Valuation _Sistema Cosan_ExtratosMai'09_7-Estoque" xfId="18599"/>
    <cellStyle name="s_Valuation _Sistema Cosan_ExtratosMai'09_Relatório Gerencial" xfId="18600"/>
    <cellStyle name="s_Valuation _Sistema Cosan_ExtratosMai'09_Relatório Gerencial 2" xfId="18601"/>
    <cellStyle name="s_Valuation _Sistema Cosan_ExtratosMai'09_Relatório Gerencial 2_15-FINANCEIRAS" xfId="18602"/>
    <cellStyle name="s_Valuation _Sistema Cosan_ExtratosMai'09_Relatório Gerencial_15-FINANCEIRAS" xfId="18603"/>
    <cellStyle name="s_Valuation _Sistema Cosan_ExtratosMai'09_Relatório Gerencial_15-FINANCEIRAS_1" xfId="18604"/>
    <cellStyle name="s_Valuation _Sistema Cosan_ExtratosMai'09_Relatório Gerencial_3-Balanço" xfId="18605"/>
    <cellStyle name="s_Valuation _Sistema Cosan_ExtratosMai'09_Relatório Gerencial_7-Estoque" xfId="18606"/>
    <cellStyle name="s_Valuation _Sistema Cosan_Relatório Gerencial" xfId="18607"/>
    <cellStyle name="s_Valuation _Sistema Cosan_Relatório Gerencial 2" xfId="18608"/>
    <cellStyle name="s_Valuation _Sistema Cosan_Relatório Gerencial 2_15-FINANCEIRAS" xfId="18609"/>
    <cellStyle name="s_Valuation _Sistema Cosan_Relatório Gerencial_15-FINANCEIRAS" xfId="18610"/>
    <cellStyle name="s_Valuation _Sistema Cosan_Relatório Gerencial_15-FINANCEIRAS_1" xfId="18611"/>
    <cellStyle name="s_Valuation _Sistema Cosan_Relatório Gerencial_3-Balanço" xfId="18612"/>
    <cellStyle name="s_Valuation _Sistema Cosan_Relatório Gerencial_7-Estoque" xfId="18613"/>
    <cellStyle name="s_Valuation _Suporte Contas a receber curto prazo - CCL Consolidado" xfId="18614"/>
    <cellStyle name="s_Valuation _Suporte Contas a receber curto prazo - CCL Consolidado 2" xfId="18615"/>
    <cellStyle name="s_Valuation _Suporte Contas a receber curto prazo - CCL Consolidado 2 2" xfId="18616"/>
    <cellStyle name="s_Valuation _Suporte Contas a receber curto prazo - CCL Consolidado 2 2_15-FINANCEIRAS" xfId="18617"/>
    <cellStyle name="s_Valuation _Suporte Contas a receber curto prazo - CCL Consolidado 2_15-FINANCEIRAS" xfId="18618"/>
    <cellStyle name="s_Valuation _Suporte Contas a receber curto prazo - CCL Consolidado 2_15-FINANCEIRAS_1" xfId="18619"/>
    <cellStyle name="s_Valuation _Suporte Contas a receber curto prazo - CCL Consolidado 2_3-Balanço" xfId="18620"/>
    <cellStyle name="s_Valuation _Suporte Contas a receber curto prazo - CCL Consolidado 2_7-Estoque" xfId="18621"/>
    <cellStyle name="s_Valuation _Suporte Contas a receber curto prazo - CCL Consolidado 3" xfId="18622"/>
    <cellStyle name="s_Valuation _Suporte Contas a receber curto prazo - CCL Consolidado 3 2" xfId="18623"/>
    <cellStyle name="s_Valuation _Suporte Contas a receber curto prazo - CCL Consolidado 3 2_15-FINANCEIRAS" xfId="18624"/>
    <cellStyle name="s_Valuation _Suporte Contas a receber curto prazo - CCL Consolidado 3_15-FINANCEIRAS" xfId="18625"/>
    <cellStyle name="s_Valuation _Suporte Contas a receber curto prazo - CCL Consolidado 3_15-FINANCEIRAS_1" xfId="18626"/>
    <cellStyle name="s_Valuation _Suporte Contas a receber curto prazo - CCL Consolidado 3_3-Balanço" xfId="18627"/>
    <cellStyle name="s_Valuation _Suporte Contas a receber curto prazo - CCL Consolidado 3_7-Estoque" xfId="18628"/>
    <cellStyle name="s_Valuation _Suporte Contas a receber curto prazo - CCL Consolidado 4" xfId="18629"/>
    <cellStyle name="s_Valuation _Suporte Contas a receber curto prazo - CCL Consolidado 4 2" xfId="18630"/>
    <cellStyle name="s_Valuation _Suporte Contas a receber curto prazo - CCL Consolidado 4 2_15-FINANCEIRAS" xfId="18631"/>
    <cellStyle name="s_Valuation _Suporte Contas a receber curto prazo - CCL Consolidado 4_15-FINANCEIRAS" xfId="18632"/>
    <cellStyle name="s_Valuation _Suporte Contas a receber curto prazo - CCL Consolidado 4_15-FINANCEIRAS_1" xfId="18633"/>
    <cellStyle name="s_Valuation _Suporte Contas a receber curto prazo - CCL Consolidado 4_3-Balanço" xfId="18634"/>
    <cellStyle name="s_Valuation _Suporte Contas a receber curto prazo - CCL Consolidado 5" xfId="18635"/>
    <cellStyle name="s_Valuation _Suporte Contas a receber curto prazo - CCL Consolidado 5_15-FINANCEIRAS" xfId="18636"/>
    <cellStyle name="s_Valuation _Suporte Contas a receber curto prazo - CCL Consolidado_15-FINANCEIRAS" xfId="18637"/>
    <cellStyle name="s_Valuation _Suporte Contas a receber curto prazo - CCL Consolidado_15-FINANCEIRAS_1" xfId="18638"/>
    <cellStyle name="s_Valuation _Suporte Contas a receber curto prazo - CCL Consolidado_26_Instrumentos Financeiros" xfId="18639"/>
    <cellStyle name="s_Valuation _Suporte Contas a receber curto prazo - CCL Consolidado_26_Instrumentos Financeiros 2" xfId="18640"/>
    <cellStyle name="s_Valuation _Suporte Contas a receber curto prazo - CCL Consolidado_26_Instrumentos Financeiros 2_15-FINANCEIRAS" xfId="18641"/>
    <cellStyle name="s_Valuation _Suporte Contas a receber curto prazo - CCL Consolidado_26_Instrumentos Financeiros_1" xfId="18642"/>
    <cellStyle name="s_Valuation _Suporte Contas a receber curto prazo - CCL Consolidado_26_Instrumentos Financeiros_1 2" xfId="18643"/>
    <cellStyle name="s_Valuation _Suporte Contas a receber curto prazo - CCL Consolidado_26_Instrumentos Financeiros_1 2_15-FINANCEIRAS" xfId="18644"/>
    <cellStyle name="s_Valuation _Suporte Contas a receber curto prazo - CCL Consolidado_26_Instrumentos Financeiros_1_15-FINANCEIRAS" xfId="18645"/>
    <cellStyle name="s_Valuation _Suporte Contas a receber curto prazo - CCL Consolidado_26_Instrumentos Financeiros_1_15-FINANCEIRAS_1" xfId="18646"/>
    <cellStyle name="s_Valuation _Suporte Contas a receber curto prazo - CCL Consolidado_26_Instrumentos Financeiros_1_3-Balanço" xfId="18647"/>
    <cellStyle name="s_Valuation _Suporte Contas a receber curto prazo - CCL Consolidado_26_Instrumentos Financeiros_1_7-Estoque" xfId="18648"/>
    <cellStyle name="s_Valuation _Suporte Contas a receber curto prazo - CCL Consolidado_26_Instrumentos Financeiros_15-FINANCEIRAS" xfId="18649"/>
    <cellStyle name="s_Valuation _Suporte Contas a receber curto prazo - CCL Consolidado_26_Instrumentos Financeiros_15-FINANCEIRAS_1" xfId="18650"/>
    <cellStyle name="s_Valuation _Suporte Contas a receber curto prazo - CCL Consolidado_26_Instrumentos Financeiros_3-Balanço" xfId="18651"/>
    <cellStyle name="s_Valuation _Suporte Contas a receber curto prazo - CCL Consolidado_26_Instrumentos Financeiros_7-Estoque" xfId="18652"/>
    <cellStyle name="s_Valuation _Suporte Contas a receber curto prazo - CCL Consolidado_2-DRE" xfId="18653"/>
    <cellStyle name="s_Valuation _Suporte Contas a receber curto prazo - CCL Consolidado_2-DRE 2" xfId="18654"/>
    <cellStyle name="s_Valuation _Suporte Contas a receber curto prazo - CCL Consolidado_2-DRE 2_15-FINANCEIRAS" xfId="18655"/>
    <cellStyle name="s_Valuation _Suporte Contas a receber curto prazo - CCL Consolidado_2-DRE_15-FINANCEIRAS" xfId="18656"/>
    <cellStyle name="s_Valuation _Suporte Contas a receber curto prazo - CCL Consolidado_2-DRE_15-FINANCEIRAS_1" xfId="18657"/>
    <cellStyle name="s_Valuation _Suporte Contas a receber curto prazo - CCL Consolidado_2-DRE_3-Balanço" xfId="18658"/>
    <cellStyle name="s_Valuation _Suporte Contas a receber curto prazo - CCL Consolidado_2-DRE_7-Estoque" xfId="18659"/>
    <cellStyle name="s_Valuation _Suporte Contas a receber curto prazo - CCL Consolidado_3-Balanço" xfId="18660"/>
    <cellStyle name="s_Valuation _Suporte Contas a receber curto prazo - CCL Consolidado_3-Balanço 2" xfId="18661"/>
    <cellStyle name="s_Valuation _Suporte Contas a receber curto prazo - CCL Consolidado_3-Balanço 2_15-FINANCEIRAS" xfId="18662"/>
    <cellStyle name="s_Valuation _Suporte Contas a receber curto prazo - CCL Consolidado_3-Balanço_1" xfId="18663"/>
    <cellStyle name="s_Valuation _Suporte Contas a receber curto prazo - CCL Consolidado_3-Balanço_1 2" xfId="18664"/>
    <cellStyle name="s_Valuation _Suporte Contas a receber curto prazo - CCL Consolidado_3-Balanço_1 2_15-FINANCEIRAS" xfId="18665"/>
    <cellStyle name="s_Valuation _Suporte Contas a receber curto prazo - CCL Consolidado_3-Balanço_1_15-FINANCEIRAS" xfId="18666"/>
    <cellStyle name="s_Valuation _Suporte Contas a receber curto prazo - CCL Consolidado_3-Balanço_1_15-FINANCEIRAS_1" xfId="18667"/>
    <cellStyle name="s_Valuation _Suporte Contas a receber curto prazo - CCL Consolidado_3-Balanço_1_3-Balanço" xfId="18668"/>
    <cellStyle name="s_Valuation _Suporte Contas a receber curto prazo - CCL Consolidado_3-Balanço_1_7-Estoque" xfId="18669"/>
    <cellStyle name="s_Valuation _Suporte Contas a receber curto prazo - CCL Consolidado_3-Balanço_15-FINANCEIRAS" xfId="18670"/>
    <cellStyle name="s_Valuation _Suporte Contas a receber curto prazo - CCL Consolidado_3-Balanço_15-FINANCEIRAS_1" xfId="18671"/>
    <cellStyle name="s_Valuation _Suporte Contas a receber curto prazo - CCL Consolidado_3-Balanço_2" xfId="18672"/>
    <cellStyle name="s_Valuation _Suporte Contas a receber curto prazo - CCL Consolidado_3-Balanço_3-Balanço" xfId="18673"/>
    <cellStyle name="s_Valuation _Suporte Contas a receber curto prazo - CCL Consolidado_3-Balanço_7-Estoque" xfId="18674"/>
    <cellStyle name="s_Valuation _Suporte Contas a receber curto prazo - CCL Consolidado_4-DMPL" xfId="18675"/>
    <cellStyle name="s_Valuation _Suporte Contas a receber curto prazo - CCL Consolidado_4-DMPL 2" xfId="18676"/>
    <cellStyle name="s_Valuation _Suporte Contas a receber curto prazo - CCL Consolidado_4-DMPL 2_15-FINANCEIRAS" xfId="18677"/>
    <cellStyle name="s_Valuation _Suporte Contas a receber curto prazo - CCL Consolidado_4-DMPL_15-FINANCEIRAS" xfId="18678"/>
    <cellStyle name="s_Valuation _Suporte Contas a receber curto prazo - CCL Consolidado_4-DMPL_15-FINANCEIRAS_1" xfId="18679"/>
    <cellStyle name="s_Valuation _Suporte Contas a receber curto prazo - CCL Consolidado_4-DMPL_3-Balanço" xfId="18680"/>
    <cellStyle name="s_Valuation _Suporte Contas a receber curto prazo - CCL Consolidado_7-Estoque" xfId="18681"/>
    <cellStyle name="s_Valuation _Suporte Contas a receber curto prazo - CCL Consolidado_8-Impostos" xfId="18682"/>
    <cellStyle name="s_Valuation _Suporte Contas a receber curto prazo - CCL Consolidado_8-Impostos 2" xfId="18683"/>
    <cellStyle name="s_Valuation _Suporte Contas a receber curto prazo - CCL Consolidado_8-Impostos 2_15-FINANCEIRAS" xfId="18684"/>
    <cellStyle name="s_Valuation _Suporte Contas a receber curto prazo - CCL Consolidado_8-Impostos_15-FINANCEIRAS" xfId="18685"/>
    <cellStyle name="s_Valuation _Suporte Contas a receber curto prazo - CCL Consolidado_8-Impostos_15-FINANCEIRAS_1" xfId="18686"/>
    <cellStyle name="s_Valuation _Suporte Contas a receber curto prazo - CCL Consolidado_8-Impostos_3-Balanço" xfId="18687"/>
    <cellStyle name="s_Valuation _Suporte Contas a receber curto prazo - CCL Consolidado_Acerto FV e Ajustes Manuais" xfId="18688"/>
    <cellStyle name="s_Valuation _Suporte Contas a receber curto prazo - CCL Consolidado_Balanço" xfId="18689"/>
    <cellStyle name="s_Valuation _Suporte Contas a receber curto prazo - CCL Consolidado_Caixa restrito" xfId="18690"/>
    <cellStyle name="s_Valuation _Suporte Contas a receber curto prazo - CCL Consolidado_Caixa restrito_7-Estoque" xfId="18691"/>
    <cellStyle name="s_Valuation _Suporte Contas a receber curto prazo - CCL Consolidado_COSAN SA CONSOLID_MÊS" xfId="18692"/>
    <cellStyle name="s_Valuation _Suporte Contas a receber curto prazo - CCL Consolidado_Display" xfId="18693"/>
    <cellStyle name="s_Valuation _Suporte Contas a receber curto prazo - CCL Consolidado_Display 2" xfId="18694"/>
    <cellStyle name="s_Valuation _Suporte Contas a receber curto prazo - CCL Consolidado_Display 2_15-FINANCEIRAS" xfId="18695"/>
    <cellStyle name="s_Valuation _Suporte Contas a receber curto prazo - CCL Consolidado_Display_15-FINANCEIRAS" xfId="18696"/>
    <cellStyle name="s_Valuation _Suporte Contas a receber curto prazo - CCL Consolidado_Display_15-FINANCEIRAS_1" xfId="18697"/>
    <cellStyle name="s_Valuation _Suporte Contas a receber curto prazo - CCL Consolidado_Display_3-Balanço" xfId="18698"/>
    <cellStyle name="s_Valuation _Suporte Contas a receber curto prazo - CCL Consolidado_Display_7-Estoque" xfId="18699"/>
    <cellStyle name="s_Valuation _Suporte Contas a receber curto prazo - CCL Consolidado_Instrumentos Financeiros" xfId="18700"/>
    <cellStyle name="s_Valuation _Suporte Contas a receber curto prazo - CCL Consolidado_Instrumentos Financeiros 2" xfId="18701"/>
    <cellStyle name="s_Valuation _Suporte Contas a receber curto prazo - CCL Consolidado_Instrumentos Financeiros 2_15-FINANCEIRAS" xfId="18702"/>
    <cellStyle name="s_Valuation _Suporte Contas a receber curto prazo - CCL Consolidado_Instrumentos Financeiros_15-FINANCEIRAS" xfId="18703"/>
    <cellStyle name="s_Valuation _Suporte Contas a receber curto prazo - CCL Consolidado_Instrumentos Financeiros_15-FINANCEIRAS_1" xfId="18704"/>
    <cellStyle name="s_Valuation _Suporte Contas a receber curto prazo - CCL Consolidado_Instrumentos Financeiros_3-Balanço" xfId="18705"/>
    <cellStyle name="s_Valuation _Suporte Contas a receber curto prazo - CCL Consolidado_Instrumentos Financeiros_7-Estoque" xfId="18706"/>
    <cellStyle name="s_Valuation _Suporte Contas a receber curto prazo - CCL Consolidado_Mapa 3T12" xfId="18707"/>
    <cellStyle name="s_Valuation _Suporte Contas a receber curto prazo - CCL Consolidado_Mapa 3T12 2" xfId="18708"/>
    <cellStyle name="s_Valuation _Suporte Contas a receber curto prazo - CCL Consolidado_Mapa 3T12 2_15-FINANCEIRAS" xfId="18709"/>
    <cellStyle name="s_Valuation _Suporte Contas a receber curto prazo - CCL Consolidado_Mapa 3T12_15-FINANCEIRAS" xfId="18710"/>
    <cellStyle name="s_Valuation _Suporte Contas a receber curto prazo - CCL Consolidado_Mapa 3T12_15-FINANCEIRAS_1" xfId="18711"/>
    <cellStyle name="s_Valuation _Suporte Contas a receber curto prazo - CCL Consolidado_Mapa 3T12_3-Balanço" xfId="18712"/>
    <cellStyle name="s_Valuation _Suporte Contas a receber curto prazo - CCL Consolidado_Plan2" xfId="18713"/>
    <cellStyle name="s_Valuation _Suporte Contas a receber curto prazo - CCL Consolidado_Plan2 2" xfId="18714"/>
    <cellStyle name="s_Valuation _Suporte Contas a receber curto prazo - CCL Consolidado_Plan2 2_15-FINANCEIRAS" xfId="18715"/>
    <cellStyle name="s_Valuation _Suporte Contas a receber curto prazo - CCL Consolidado_Plan2_15-FINANCEIRAS" xfId="18716"/>
    <cellStyle name="s_Valuation _Suporte Contas a receber curto prazo - CCL Consolidado_Plan2_15-FINANCEIRAS_1" xfId="18717"/>
    <cellStyle name="s_Valuation _Suporte Contas a receber curto prazo - CCL Consolidado_Plan2_3-Balanço" xfId="18718"/>
    <cellStyle name="s_Valuation _Suporte Contas a receber curto prazo - CCL Consolidado_Plan2_7-Estoque" xfId="18719"/>
    <cellStyle name="s_Valuation _Swap - Fluxo Caixa" xfId="18720"/>
    <cellStyle name="s_Valuation _Swap - Fluxo Caixa 2" xfId="18721"/>
    <cellStyle name="s_Valuation _Swap - Fluxo Caixa 2_15-FINANCEIRAS" xfId="18722"/>
    <cellStyle name="s_Valuation _Swap - Fluxo Caixa_15-FINANCEIRAS" xfId="18723"/>
    <cellStyle name="s_Valuation _Swap - Fluxo Caixa_15-FINANCEIRAS_1" xfId="18724"/>
    <cellStyle name="s_Valuation _Swap - Fluxo Caixa_3-Balanço" xfId="18725"/>
    <cellStyle name="s_Valuation _Swap - Fluxo Caixa_7-Estoque" xfId="18726"/>
    <cellStyle name="s_Valuation _Swap - Fluxo Caixa_MTM Swap Morgan Stanley" xfId="18727"/>
    <cellStyle name="s_Valuation _Swap - Fluxo Caixa_MtM Swap Morgan Stanley 130109" xfId="18728"/>
    <cellStyle name="s_Valuation _Swap - Fluxo Caixa_MtM Swap Morgan Stanley 130109 2" xfId="18729"/>
    <cellStyle name="s_Valuation _Swap - Fluxo Caixa_MtM Swap Morgan Stanley 130109 2_15-FINANCEIRAS" xfId="18730"/>
    <cellStyle name="s_Valuation _Swap - Fluxo Caixa_MtM Swap Morgan Stanley 130109_15-FINANCEIRAS" xfId="18731"/>
    <cellStyle name="s_Valuation _Swap - Fluxo Caixa_MtM Swap Morgan Stanley 130109_15-FINANCEIRAS_1" xfId="18732"/>
    <cellStyle name="s_Valuation _Swap - Fluxo Caixa_MtM Swap Morgan Stanley 130109_3-Balanço" xfId="18733"/>
    <cellStyle name="s_Valuation _Swap - Fluxo Caixa_MtM Swap Morgan Stanley 130109_7-Estoque" xfId="18734"/>
    <cellStyle name="s_Valuation _Swap - Fluxo Caixa_MtM Swap Morgan Stanley 130109_Relatório Gerencial" xfId="18735"/>
    <cellStyle name="s_Valuation _Swap - Fluxo Caixa_MtM Swap Morgan Stanley 130109_Relatório Gerencial 2" xfId="18736"/>
    <cellStyle name="s_Valuation _Swap - Fluxo Caixa_MtM Swap Morgan Stanley 130109_Relatório Gerencial 2_15-FINANCEIRAS" xfId="18737"/>
    <cellStyle name="s_Valuation _Swap - Fluxo Caixa_MtM Swap Morgan Stanley 130109_Relatório Gerencial_15-FINANCEIRAS" xfId="18738"/>
    <cellStyle name="s_Valuation _Swap - Fluxo Caixa_MtM Swap Morgan Stanley 130109_Relatório Gerencial_15-FINANCEIRAS_1" xfId="18739"/>
    <cellStyle name="s_Valuation _Swap - Fluxo Caixa_MtM Swap Morgan Stanley 130109_Relatório Gerencial_3-Balanço" xfId="18740"/>
    <cellStyle name="s_Valuation _Swap - Fluxo Caixa_MtM Swap Morgan Stanley 130109_Relatório Gerencial_7-Estoque" xfId="18741"/>
    <cellStyle name="s_Valuation _Swap - Fluxo Caixa_MTM Swap Morgan Stanley 2" xfId="18742"/>
    <cellStyle name="s_Valuation _Swap - Fluxo Caixa_MTM Swap Morgan Stanley 2_15-FINANCEIRAS" xfId="18743"/>
    <cellStyle name="s_Valuation _Swap - Fluxo Caixa_MTM Swap Morgan Stanley 3" xfId="18744"/>
    <cellStyle name="s_Valuation _Swap - Fluxo Caixa_MTM Swap Morgan Stanley 3_15-FINANCEIRAS" xfId="18745"/>
    <cellStyle name="s_Valuation _Swap - Fluxo Caixa_MTM Swap Morgan Stanley 4" xfId="18746"/>
    <cellStyle name="s_Valuation _Swap - Fluxo Caixa_MTM Swap Morgan Stanley 4_15-FINANCEIRAS" xfId="18747"/>
    <cellStyle name="s_Valuation _Swap - Fluxo Caixa_MTM Swap Morgan Stanley_15-FINANCEIRAS" xfId="18748"/>
    <cellStyle name="s_Valuation _Swap - Fluxo Caixa_MTM Swap Morgan Stanley_15-FINANCEIRAS_1" xfId="18749"/>
    <cellStyle name="s_Valuation _Swap - Fluxo Caixa_MTM Swap Morgan Stanley_3-Balanço" xfId="18750"/>
    <cellStyle name="s_Valuation _Swap - Fluxo Caixa_MTM Swap Morgan Stanley_7-Estoque" xfId="18751"/>
    <cellStyle name="s_Valuation _Swap - Fluxo Caixa_MTM Swap Morgan Stanley_Relatório Gerencial" xfId="18752"/>
    <cellStyle name="s_Valuation _Swap - Fluxo Caixa_MTM Swap Morgan Stanley_Relatório Gerencial 2" xfId="18753"/>
    <cellStyle name="s_Valuation _Swap - Fluxo Caixa_MTM Swap Morgan Stanley_Relatório Gerencial 2_15-FINANCEIRAS" xfId="18754"/>
    <cellStyle name="s_Valuation _Swap - Fluxo Caixa_MTM Swap Morgan Stanley_Relatório Gerencial_15-FINANCEIRAS" xfId="18755"/>
    <cellStyle name="s_Valuation _Swap - Fluxo Caixa_MTM Swap Morgan Stanley_Relatório Gerencial_15-FINANCEIRAS_1" xfId="18756"/>
    <cellStyle name="s_Valuation _Swap - Fluxo Caixa_MTM Swap Morgan Stanley_Relatório Gerencial_3-Balanço" xfId="18757"/>
    <cellStyle name="s_Valuation _Swap - Fluxo Caixa_MTM Swap Morgan Stanley_Relatório Gerencial_7-Estoque" xfId="18758"/>
    <cellStyle name="s_Valuation _Swap - Fluxo Caixa_Relatório Gerencial" xfId="18759"/>
    <cellStyle name="s_Valuation _Swap - Fluxo Caixa_Relatório Gerencial 2" xfId="18760"/>
    <cellStyle name="s_Valuation _Swap - Fluxo Caixa_Relatório Gerencial 2_15-FINANCEIRAS" xfId="18761"/>
    <cellStyle name="s_Valuation _Swap - Fluxo Caixa_Relatório Gerencial_15-FINANCEIRAS" xfId="18762"/>
    <cellStyle name="s_Valuation _Swap - Fluxo Caixa_Relatório Gerencial_15-FINANCEIRAS_1" xfId="18763"/>
    <cellStyle name="s_Valuation _Swap - Fluxo Caixa_Relatório Gerencial_3-Balanço" xfId="18764"/>
    <cellStyle name="s_Valuation _Swap - Fluxo Caixa_Relatório Gerencial_7-Estoque" xfId="18765"/>
    <cellStyle name="Saída 10" xfId="18766"/>
    <cellStyle name="Saída 2" xfId="18767"/>
    <cellStyle name="Saída 2 2" xfId="18768"/>
    <cellStyle name="Saída 2 2 2" xfId="18769"/>
    <cellStyle name="Saída 2 2_15-FINANCEIRAS" xfId="18770"/>
    <cellStyle name="Saída 2 3" xfId="18771"/>
    <cellStyle name="Saída 2 3 2" xfId="18772"/>
    <cellStyle name="Saída 2 3_15-FINANCEIRAS" xfId="18773"/>
    <cellStyle name="Saída 2 4" xfId="18774"/>
    <cellStyle name="Saída 2 4 2" xfId="18775"/>
    <cellStyle name="Saída 2 4_15-FINANCEIRAS" xfId="18776"/>
    <cellStyle name="Saída 2 5" xfId="18777"/>
    <cellStyle name="Saída 2 5 2" xfId="18778"/>
    <cellStyle name="Saída 2 5_15-FINANCEIRAS" xfId="18779"/>
    <cellStyle name="Saída 2 6" xfId="18780"/>
    <cellStyle name="Saída 2 6 2" xfId="18781"/>
    <cellStyle name="Saída 2 6_15-FINANCEIRAS" xfId="18782"/>
    <cellStyle name="Saída 2 7" xfId="18783"/>
    <cellStyle name="Saída 2 7 2" xfId="18784"/>
    <cellStyle name="Saída 2 7_15-FINANCEIRAS" xfId="18785"/>
    <cellStyle name="Saída 2 8" xfId="18786"/>
    <cellStyle name="Saída 2 9" xfId="21535"/>
    <cellStyle name="Saída 2_11_Combinação de neg. Zanin" xfId="18787"/>
    <cellStyle name="Saída 3" xfId="18788"/>
    <cellStyle name="Saída 3 2" xfId="18789"/>
    <cellStyle name="Saída 3 2 2" xfId="18790"/>
    <cellStyle name="Saída 3 2_15-FINANCEIRAS" xfId="18791"/>
    <cellStyle name="Saída 3 3" xfId="18792"/>
    <cellStyle name="Saída 3 3 2" xfId="18793"/>
    <cellStyle name="Saída 3 3_15-FINANCEIRAS" xfId="18794"/>
    <cellStyle name="Saída 3 4" xfId="18795"/>
    <cellStyle name="Saída 3 4 2" xfId="18796"/>
    <cellStyle name="Saída 3 4_15-FINANCEIRAS" xfId="18797"/>
    <cellStyle name="Saída 3 5" xfId="18798"/>
    <cellStyle name="Saída 3_15-FINANCEIRAS" xfId="18799"/>
    <cellStyle name="Saída 4" xfId="18800"/>
    <cellStyle name="Saída 4 2" xfId="18801"/>
    <cellStyle name="Saída 4 2 2" xfId="18802"/>
    <cellStyle name="Saída 4 2_15-FINANCEIRAS" xfId="18803"/>
    <cellStyle name="Saída 4 3" xfId="18804"/>
    <cellStyle name="Saída 4 3 2" xfId="18805"/>
    <cellStyle name="Saída 4 3_15-FINANCEIRAS" xfId="18806"/>
    <cellStyle name="Saída 4 4" xfId="18807"/>
    <cellStyle name="Saída 4 4 2" xfId="18808"/>
    <cellStyle name="Saída 4 4_15-FINANCEIRAS" xfId="18809"/>
    <cellStyle name="Saída 4 5" xfId="18810"/>
    <cellStyle name="Saída 4_15-FINANCEIRAS" xfId="18811"/>
    <cellStyle name="Saída 5" xfId="18812"/>
    <cellStyle name="Saída 5 2" xfId="18813"/>
    <cellStyle name="Saída 5 2 2" xfId="18814"/>
    <cellStyle name="Saída 5 2_15-FINANCEIRAS" xfId="18815"/>
    <cellStyle name="Saída 5 3" xfId="18816"/>
    <cellStyle name="Saída 5 3 2" xfId="18817"/>
    <cellStyle name="Saída 5 3_15-FINANCEIRAS" xfId="18818"/>
    <cellStyle name="Saída 5 4" xfId="18819"/>
    <cellStyle name="Saída 5 4 2" xfId="18820"/>
    <cellStyle name="Saída 5 4_15-FINANCEIRAS" xfId="18821"/>
    <cellStyle name="Saída 5 5" xfId="18822"/>
    <cellStyle name="Saída 5_15-FINANCEIRAS" xfId="18823"/>
    <cellStyle name="Saída 6" xfId="18824"/>
    <cellStyle name="Saída 6 2" xfId="18825"/>
    <cellStyle name="Saída 6 2 2" xfId="18826"/>
    <cellStyle name="Saída 6 2_15-FINANCEIRAS" xfId="18827"/>
    <cellStyle name="Saída 6 3" xfId="18828"/>
    <cellStyle name="Saída 6 3 2" xfId="18829"/>
    <cellStyle name="Saída 6 3_15-FINANCEIRAS" xfId="18830"/>
    <cellStyle name="Saída 6 4" xfId="18831"/>
    <cellStyle name="Saída 6 4 2" xfId="18832"/>
    <cellStyle name="Saída 6 4_15-FINANCEIRAS" xfId="18833"/>
    <cellStyle name="Saída 6 5" xfId="18834"/>
    <cellStyle name="Saída 6_15-FINANCEIRAS" xfId="18835"/>
    <cellStyle name="Saída 7" xfId="18836"/>
    <cellStyle name="Saída 7 2" xfId="18837"/>
    <cellStyle name="Saída 7 2 2" xfId="18838"/>
    <cellStyle name="Saída 7 2_15-FINANCEIRAS" xfId="18839"/>
    <cellStyle name="Saída 7 3" xfId="18840"/>
    <cellStyle name="Saída 7 3 2" xfId="18841"/>
    <cellStyle name="Saída 7 3_15-FINANCEIRAS" xfId="18842"/>
    <cellStyle name="Saída 7 4" xfId="18843"/>
    <cellStyle name="Saída 7 4 2" xfId="18844"/>
    <cellStyle name="Saída 7 4_15-FINANCEIRAS" xfId="18845"/>
    <cellStyle name="Saída 7 5" xfId="18846"/>
    <cellStyle name="Saída 7_15-FINANCEIRAS" xfId="18847"/>
    <cellStyle name="Saída 8" xfId="18848"/>
    <cellStyle name="Saída 8 2" xfId="18849"/>
    <cellStyle name="Saída 8_15-FINANCEIRAS" xfId="18850"/>
    <cellStyle name="Saída 9" xfId="18851"/>
    <cellStyle name="SAPBEXaggData" xfId="18852"/>
    <cellStyle name="SAPBEXaggData 2" xfId="18853"/>
    <cellStyle name="SAPBEXaggData 2 2" xfId="18854"/>
    <cellStyle name="SAPBEXaggData 2_15-FINANCEIRAS" xfId="18855"/>
    <cellStyle name="SAPBEXaggData 3" xfId="18856"/>
    <cellStyle name="SAPBEXaggData 4" xfId="18857"/>
    <cellStyle name="SAPBEXaggData_15-FINANCEIRAS" xfId="18858"/>
    <cellStyle name="SAPBEXaggDataEmph" xfId="18859"/>
    <cellStyle name="SAPBEXaggDataEmph 2" xfId="18860"/>
    <cellStyle name="SAPBEXaggDataEmph 2 2" xfId="18861"/>
    <cellStyle name="SAPBEXaggDataEmph 2_15-FINANCEIRAS" xfId="18862"/>
    <cellStyle name="SAPBEXaggDataEmph 3" xfId="18863"/>
    <cellStyle name="SAPBEXaggDataEmph 4" xfId="18864"/>
    <cellStyle name="SAPBEXaggDataEmph_15-FINANCEIRAS" xfId="18865"/>
    <cellStyle name="SAPBEXaggItem" xfId="18866"/>
    <cellStyle name="SAPBEXaggItem 2" xfId="18867"/>
    <cellStyle name="SAPBEXaggItem 2 2" xfId="18868"/>
    <cellStyle name="SAPBEXaggItem 2_15-FINANCEIRAS" xfId="18869"/>
    <cellStyle name="SAPBEXaggItem 3" xfId="18870"/>
    <cellStyle name="SAPBEXaggItem 4" xfId="18871"/>
    <cellStyle name="SAPBEXaggItem_15-FINANCEIRAS" xfId="18872"/>
    <cellStyle name="SAPBEXaggItemX" xfId="18873"/>
    <cellStyle name="SAPBEXaggItemX 2" xfId="18874"/>
    <cellStyle name="SAPBEXaggItemX 2 2" xfId="18875"/>
    <cellStyle name="SAPBEXaggItemX 2_15-FINANCEIRAS" xfId="18876"/>
    <cellStyle name="SAPBEXaggItemX 3" xfId="18877"/>
    <cellStyle name="SAPBEXaggItemX 4" xfId="18878"/>
    <cellStyle name="SAPBEXaggItemX_15-FINANCEIRAS" xfId="18879"/>
    <cellStyle name="SAPBEXchaText" xfId="18880"/>
    <cellStyle name="SAPBEXchaText 2" xfId="18881"/>
    <cellStyle name="SAPBEXchaText 2 2" xfId="18882"/>
    <cellStyle name="SAPBEXchaText 2 2 2" xfId="18883"/>
    <cellStyle name="SAPBEXchaText 2 2 2 2" xfId="18884"/>
    <cellStyle name="SAPBEXchaText 2 2 2_15-FINANCEIRAS" xfId="18885"/>
    <cellStyle name="SAPBEXchaText 2 2 3" xfId="18886"/>
    <cellStyle name="SAPBEXchaText 2 2_15-FINANCEIRAS" xfId="18887"/>
    <cellStyle name="SAPBEXchaText 2 3" xfId="18888"/>
    <cellStyle name="SAPBEXchaText 2 3 2" xfId="18889"/>
    <cellStyle name="SAPBEXchaText 2 3_15-FINANCEIRAS" xfId="18890"/>
    <cellStyle name="SAPBEXchaText 2 4" xfId="18891"/>
    <cellStyle name="SAPBEXchaText 2 4 2" xfId="18892"/>
    <cellStyle name="SAPBEXchaText 2 4_15-FINANCEIRAS" xfId="18893"/>
    <cellStyle name="SAPBEXchaText 2 5" xfId="18894"/>
    <cellStyle name="SAPBEXchaText 2 5 2" xfId="18895"/>
    <cellStyle name="SAPBEXchaText 2 5_15-FINANCEIRAS" xfId="18896"/>
    <cellStyle name="SAPBEXchaText 2 6" xfId="18897"/>
    <cellStyle name="SAPBEXchaText 2_15-FINANCEIRAS" xfId="18898"/>
    <cellStyle name="SAPBEXchaText 3" xfId="18899"/>
    <cellStyle name="SAPBEXchaText 3 2" xfId="18900"/>
    <cellStyle name="SAPBEXchaText 3 2 2" xfId="18901"/>
    <cellStyle name="SAPBEXchaText 3 2 2 2" xfId="18902"/>
    <cellStyle name="SAPBEXchaText 3 2 2 2 2" xfId="18903"/>
    <cellStyle name="SAPBEXchaText 3 2 2 2_15-FINANCEIRAS" xfId="18904"/>
    <cellStyle name="SAPBEXchaText 3 2 2 3" xfId="18905"/>
    <cellStyle name="SAPBEXchaText 3 2 2_15-FINANCEIRAS" xfId="18906"/>
    <cellStyle name="SAPBEXchaText 3 2 3" xfId="18907"/>
    <cellStyle name="SAPBEXchaText 3 2 3 2" xfId="18908"/>
    <cellStyle name="SAPBEXchaText 3 2 3_15-FINANCEIRAS" xfId="18909"/>
    <cellStyle name="SAPBEXchaText 3 2 4" xfId="18910"/>
    <cellStyle name="SAPBEXchaText 3 2_15-FINANCEIRAS" xfId="18911"/>
    <cellStyle name="SAPBEXchaText 3 3" xfId="18912"/>
    <cellStyle name="SAPBEXchaText 3 3 2" xfId="18913"/>
    <cellStyle name="SAPBEXchaText 3 3 2 2" xfId="18914"/>
    <cellStyle name="SAPBEXchaText 3 3 2_15-FINANCEIRAS" xfId="18915"/>
    <cellStyle name="SAPBEXchaText 3 3 3" xfId="18916"/>
    <cellStyle name="SAPBEXchaText 3 3_15-FINANCEIRAS" xfId="18917"/>
    <cellStyle name="SAPBEXchaText 3 4" xfId="18918"/>
    <cellStyle name="SAPBEXchaText 3 4 2" xfId="18919"/>
    <cellStyle name="SAPBEXchaText 3 4_15-FINANCEIRAS" xfId="18920"/>
    <cellStyle name="SAPBEXchaText 3 5" xfId="18921"/>
    <cellStyle name="SAPBEXchaText 3_15-FINANCEIRAS" xfId="18922"/>
    <cellStyle name="SAPBEXchaText 4" xfId="18923"/>
    <cellStyle name="SAPBEXchaText 4 2" xfId="18924"/>
    <cellStyle name="SAPBEXchaText 4 2 2" xfId="18925"/>
    <cellStyle name="SAPBEXchaText 4 2 2 2" xfId="18926"/>
    <cellStyle name="SAPBEXchaText 4 2 2_15-FINANCEIRAS" xfId="18927"/>
    <cellStyle name="SAPBEXchaText 4 2 3" xfId="18928"/>
    <cellStyle name="SAPBEXchaText 4 2_15-FINANCEIRAS" xfId="18929"/>
    <cellStyle name="SAPBEXchaText 4 3" xfId="18930"/>
    <cellStyle name="SAPBEXchaText 4 3 2" xfId="18931"/>
    <cellStyle name="SAPBEXchaText 4 3_15-FINANCEIRAS" xfId="18932"/>
    <cellStyle name="SAPBEXchaText 4 4" xfId="18933"/>
    <cellStyle name="SAPBEXchaText 4_15-FINANCEIRAS" xfId="18934"/>
    <cellStyle name="SAPBEXchaText 5" xfId="18935"/>
    <cellStyle name="SAPBEXchaText 5 2" xfId="18936"/>
    <cellStyle name="SAPBEXchaText 5_15-FINANCEIRAS" xfId="18937"/>
    <cellStyle name="SAPBEXchaText 6" xfId="18938"/>
    <cellStyle name="SAPBEXchaText 7" xfId="18939"/>
    <cellStyle name="SAPBEXchaText 8" xfId="18940"/>
    <cellStyle name="SAPBEXchaText_15-FINANCEIRAS" xfId="18941"/>
    <cellStyle name="SAPBEXexcBad7" xfId="18942"/>
    <cellStyle name="SAPBEXexcBad7 2" xfId="18943"/>
    <cellStyle name="SAPBEXexcBad7 2 2" xfId="18944"/>
    <cellStyle name="SAPBEXexcBad7 2_15-FINANCEIRAS" xfId="18945"/>
    <cellStyle name="SAPBEXexcBad7 3" xfId="18946"/>
    <cellStyle name="SAPBEXexcBad7 4" xfId="18947"/>
    <cellStyle name="SAPBEXexcBad7_15-FINANCEIRAS" xfId="18948"/>
    <cellStyle name="SAPBEXexcBad8" xfId="18949"/>
    <cellStyle name="SAPBEXexcBad8 2" xfId="18950"/>
    <cellStyle name="SAPBEXexcBad8 2 2" xfId="18951"/>
    <cellStyle name="SAPBEXexcBad8 2_15-FINANCEIRAS" xfId="18952"/>
    <cellStyle name="SAPBEXexcBad8 3" xfId="18953"/>
    <cellStyle name="SAPBEXexcBad8 4" xfId="18954"/>
    <cellStyle name="SAPBEXexcBad8_15-FINANCEIRAS" xfId="18955"/>
    <cellStyle name="SAPBEXexcBad9" xfId="18956"/>
    <cellStyle name="SAPBEXexcBad9 2" xfId="18957"/>
    <cellStyle name="SAPBEXexcBad9 2 2" xfId="18958"/>
    <cellStyle name="SAPBEXexcBad9 2_15-FINANCEIRAS" xfId="18959"/>
    <cellStyle name="SAPBEXexcBad9 3" xfId="18960"/>
    <cellStyle name="SAPBEXexcBad9 4" xfId="18961"/>
    <cellStyle name="SAPBEXexcBad9_15-FINANCEIRAS" xfId="18962"/>
    <cellStyle name="SAPBEXexcCritical4" xfId="18963"/>
    <cellStyle name="SAPBEXexcCritical4 2" xfId="18964"/>
    <cellStyle name="SAPBEXexcCritical4 2 2" xfId="18965"/>
    <cellStyle name="SAPBEXexcCritical4 2_15-FINANCEIRAS" xfId="18966"/>
    <cellStyle name="SAPBEXexcCritical4 3" xfId="18967"/>
    <cellStyle name="SAPBEXexcCritical4 4" xfId="18968"/>
    <cellStyle name="SAPBEXexcCritical4_15-FINANCEIRAS" xfId="18969"/>
    <cellStyle name="SAPBEXexcCritical5" xfId="18970"/>
    <cellStyle name="SAPBEXexcCritical5 2" xfId="18971"/>
    <cellStyle name="SAPBEXexcCritical5 2 2" xfId="18972"/>
    <cellStyle name="SAPBEXexcCritical5 2_15-FINANCEIRAS" xfId="18973"/>
    <cellStyle name="SAPBEXexcCritical5 3" xfId="18974"/>
    <cellStyle name="SAPBEXexcCritical5 4" xfId="18975"/>
    <cellStyle name="SAPBEXexcCritical5_15-FINANCEIRAS" xfId="18976"/>
    <cellStyle name="SAPBEXexcCritical6" xfId="18977"/>
    <cellStyle name="SAPBEXexcCritical6 2" xfId="18978"/>
    <cellStyle name="SAPBEXexcCritical6 2 2" xfId="18979"/>
    <cellStyle name="SAPBEXexcCritical6 2_15-FINANCEIRAS" xfId="18980"/>
    <cellStyle name="SAPBEXexcCritical6 3" xfId="18981"/>
    <cellStyle name="SAPBEXexcCritical6 4" xfId="18982"/>
    <cellStyle name="SAPBEXexcCritical6_15-FINANCEIRAS" xfId="18983"/>
    <cellStyle name="SAPBEXexcGood1" xfId="18984"/>
    <cellStyle name="SAPBEXexcGood1 2" xfId="18985"/>
    <cellStyle name="SAPBEXexcGood1 2 2" xfId="18986"/>
    <cellStyle name="SAPBEXexcGood1 2_15-FINANCEIRAS" xfId="18987"/>
    <cellStyle name="SAPBEXexcGood1 3" xfId="18988"/>
    <cellStyle name="SAPBEXexcGood1 4" xfId="18989"/>
    <cellStyle name="SAPBEXexcGood1_15-FINANCEIRAS" xfId="18990"/>
    <cellStyle name="SAPBEXexcGood2" xfId="18991"/>
    <cellStyle name="SAPBEXexcGood2 2" xfId="18992"/>
    <cellStyle name="SAPBEXexcGood2 2 2" xfId="18993"/>
    <cellStyle name="SAPBEXexcGood2 2_15-FINANCEIRAS" xfId="18994"/>
    <cellStyle name="SAPBEXexcGood2 3" xfId="18995"/>
    <cellStyle name="SAPBEXexcGood2 4" xfId="18996"/>
    <cellStyle name="SAPBEXexcGood2_15-FINANCEIRAS" xfId="18997"/>
    <cellStyle name="SAPBEXexcGood3" xfId="18998"/>
    <cellStyle name="SAPBEXexcGood3 2" xfId="18999"/>
    <cellStyle name="SAPBEXexcGood3 2 2" xfId="19000"/>
    <cellStyle name="SAPBEXexcGood3 2_15-FINANCEIRAS" xfId="19001"/>
    <cellStyle name="SAPBEXexcGood3 3" xfId="19002"/>
    <cellStyle name="SAPBEXexcGood3 4" xfId="19003"/>
    <cellStyle name="SAPBEXexcGood3_15-FINANCEIRAS" xfId="19004"/>
    <cellStyle name="SAPBEXfilterDrill" xfId="19005"/>
    <cellStyle name="SAPBEXfilterDrill 2" xfId="19006"/>
    <cellStyle name="SAPBEXfilterDrill 2 2" xfId="19007"/>
    <cellStyle name="SAPBEXfilterDrill 2_15-FINANCEIRAS" xfId="19008"/>
    <cellStyle name="SAPBEXfilterDrill 3" xfId="19009"/>
    <cellStyle name="SAPBEXfilterDrill 4" xfId="19010"/>
    <cellStyle name="SAPBEXfilterDrill_15-FINANCEIRAS" xfId="19011"/>
    <cellStyle name="SAPBEXfilterItem" xfId="19012"/>
    <cellStyle name="SAPBEXfilterItem 2" xfId="19013"/>
    <cellStyle name="SAPBEXfilterItem 2 2" xfId="19014"/>
    <cellStyle name="SAPBEXfilterItem 2_15-FINANCEIRAS" xfId="19015"/>
    <cellStyle name="SAPBEXfilterItem 3" xfId="19016"/>
    <cellStyle name="SAPBEXfilterItem 4" xfId="19017"/>
    <cellStyle name="SAPBEXfilterItem_15-FINANCEIRAS" xfId="19018"/>
    <cellStyle name="SAPBEXfilterText" xfId="19019"/>
    <cellStyle name="SAPBEXfilterText 2" xfId="19020"/>
    <cellStyle name="SAPBEXfilterText 2 2" xfId="19021"/>
    <cellStyle name="SAPBEXfilterText 2_15-FINANCEIRAS" xfId="19022"/>
    <cellStyle name="SAPBEXfilterText 3" xfId="19023"/>
    <cellStyle name="SAPBEXfilterText 4" xfId="19024"/>
    <cellStyle name="SAPBEXfilterText_15-FINANCEIRAS" xfId="19025"/>
    <cellStyle name="SAPBEXformats" xfId="19026"/>
    <cellStyle name="SAPBEXformats 2" xfId="19027"/>
    <cellStyle name="SAPBEXformats 2 2" xfId="19028"/>
    <cellStyle name="SAPBEXformats 2 2 2" xfId="19029"/>
    <cellStyle name="SAPBEXformats 2 2 2 2" xfId="19030"/>
    <cellStyle name="SAPBEXformats 2 2 2_15-FINANCEIRAS" xfId="19031"/>
    <cellStyle name="SAPBEXformats 2 2 3" xfId="19032"/>
    <cellStyle name="SAPBEXformats 2 2_15-FINANCEIRAS" xfId="19033"/>
    <cellStyle name="SAPBEXformats 2 3" xfId="19034"/>
    <cellStyle name="SAPBEXformats 2 3 2" xfId="19035"/>
    <cellStyle name="SAPBEXformats 2 3_15-FINANCEIRAS" xfId="19036"/>
    <cellStyle name="SAPBEXformats 2 4" xfId="19037"/>
    <cellStyle name="SAPBEXformats 2 4 2" xfId="19038"/>
    <cellStyle name="SAPBEXformats 2 4_15-FINANCEIRAS" xfId="19039"/>
    <cellStyle name="SAPBEXformats 2 5" xfId="19040"/>
    <cellStyle name="SAPBEXformats 2_15-FINANCEIRAS" xfId="19041"/>
    <cellStyle name="SAPBEXformats 3" xfId="19042"/>
    <cellStyle name="SAPBEXformats 3 2" xfId="19043"/>
    <cellStyle name="SAPBEXformats 3 2 2" xfId="19044"/>
    <cellStyle name="SAPBEXformats 3 2 2 2" xfId="19045"/>
    <cellStyle name="SAPBEXformats 3 2 2 2 2" xfId="19046"/>
    <cellStyle name="SAPBEXformats 3 2 2 2_15-FINANCEIRAS" xfId="19047"/>
    <cellStyle name="SAPBEXformats 3 2 2 3" xfId="19048"/>
    <cellStyle name="SAPBEXformats 3 2 2_15-FINANCEIRAS" xfId="19049"/>
    <cellStyle name="SAPBEXformats 3 2 3" xfId="19050"/>
    <cellStyle name="SAPBEXformats 3 2 3 2" xfId="19051"/>
    <cellStyle name="SAPBEXformats 3 2 3_15-FINANCEIRAS" xfId="19052"/>
    <cellStyle name="SAPBEXformats 3 2 4" xfId="19053"/>
    <cellStyle name="SAPBEXformats 3 2_15-FINANCEIRAS" xfId="19054"/>
    <cellStyle name="SAPBEXformats 3 3" xfId="19055"/>
    <cellStyle name="SAPBEXformats 3 3 2" xfId="19056"/>
    <cellStyle name="SAPBEXformats 3 3 2 2" xfId="19057"/>
    <cellStyle name="SAPBEXformats 3 3 2_15-FINANCEIRAS" xfId="19058"/>
    <cellStyle name="SAPBEXformats 3 3 3" xfId="19059"/>
    <cellStyle name="SAPBEXformats 3 3_15-FINANCEIRAS" xfId="19060"/>
    <cellStyle name="SAPBEXformats 3 4" xfId="19061"/>
    <cellStyle name="SAPBEXformats 3 4 2" xfId="19062"/>
    <cellStyle name="SAPBEXformats 3 4_15-FINANCEIRAS" xfId="19063"/>
    <cellStyle name="SAPBEXformats 3 5" xfId="19064"/>
    <cellStyle name="SAPBEXformats 3_15-FINANCEIRAS" xfId="19065"/>
    <cellStyle name="SAPBEXformats 4" xfId="19066"/>
    <cellStyle name="SAPBEXformats 4 2" xfId="19067"/>
    <cellStyle name="SAPBEXformats 4 2 2" xfId="19068"/>
    <cellStyle name="SAPBEXformats 4 2 2 2" xfId="19069"/>
    <cellStyle name="SAPBEXformats 4 2 2_15-FINANCEIRAS" xfId="19070"/>
    <cellStyle name="SAPBEXformats 4 2 3" xfId="19071"/>
    <cellStyle name="SAPBEXformats 4 2_15-FINANCEIRAS" xfId="19072"/>
    <cellStyle name="SAPBEXformats 4 3" xfId="19073"/>
    <cellStyle name="SAPBEXformats 4 3 2" xfId="19074"/>
    <cellStyle name="SAPBEXformats 4 3_15-FINANCEIRAS" xfId="19075"/>
    <cellStyle name="SAPBEXformats 4 4" xfId="19076"/>
    <cellStyle name="SAPBEXformats 4_15-FINANCEIRAS" xfId="19077"/>
    <cellStyle name="SAPBEXformats 5" xfId="19078"/>
    <cellStyle name="SAPBEXformats 5 2" xfId="19079"/>
    <cellStyle name="SAPBEXformats 5_15-FINANCEIRAS" xfId="19080"/>
    <cellStyle name="SAPBEXformats 6" xfId="19081"/>
    <cellStyle name="SAPBEXformats 7" xfId="19082"/>
    <cellStyle name="SAPBEXformats 8" xfId="19083"/>
    <cellStyle name="SAPBEXformats_15-FINANCEIRAS" xfId="19084"/>
    <cellStyle name="SAPBEXheaderItem" xfId="19085"/>
    <cellStyle name="SAPBEXheaderItem 2" xfId="19086"/>
    <cellStyle name="SAPBEXheaderItem 2 2" xfId="19087"/>
    <cellStyle name="SAPBEXheaderItem 2 3" xfId="19088"/>
    <cellStyle name="SAPBEXheaderItem 2_15-FINANCEIRAS" xfId="19089"/>
    <cellStyle name="SAPBEXheaderItem 3" xfId="19090"/>
    <cellStyle name="SAPBEXheaderItem 3 2" xfId="19091"/>
    <cellStyle name="SAPBEXheaderItem 3_15-FINANCEIRAS" xfId="19092"/>
    <cellStyle name="SAPBEXheaderItem 4" xfId="19093"/>
    <cellStyle name="SAPBEXheaderItem 5" xfId="19094"/>
    <cellStyle name="SAPBEXheaderItem_15-FINANCEIRAS" xfId="19095"/>
    <cellStyle name="SAPBEXheaderText" xfId="19096"/>
    <cellStyle name="SAPBEXheaderText 2" xfId="19097"/>
    <cellStyle name="SAPBEXheaderText 2 2" xfId="19098"/>
    <cellStyle name="SAPBEXheaderText 2 3" xfId="19099"/>
    <cellStyle name="SAPBEXheaderText 2_15-FINANCEIRAS" xfId="19100"/>
    <cellStyle name="SAPBEXheaderText 3" xfId="19101"/>
    <cellStyle name="SAPBEXheaderText 3 2" xfId="19102"/>
    <cellStyle name="SAPBEXheaderText 3_15-FINANCEIRAS" xfId="19103"/>
    <cellStyle name="SAPBEXheaderText 4" xfId="19104"/>
    <cellStyle name="SAPBEXheaderText 5" xfId="19105"/>
    <cellStyle name="SAPBEXheaderText_15-FINANCEIRAS" xfId="19106"/>
    <cellStyle name="SAPBEXHLevel0" xfId="19107"/>
    <cellStyle name="SAPBEXHLevel0 2" xfId="19108"/>
    <cellStyle name="SAPBEXHLevel0 2 2" xfId="19109"/>
    <cellStyle name="SAPBEXHLevel0 2 2 2" xfId="19110"/>
    <cellStyle name="SAPBEXHLevel0 2 2 2 2" xfId="19111"/>
    <cellStyle name="SAPBEXHLevel0 2 2 2_15-FINANCEIRAS" xfId="19112"/>
    <cellStyle name="SAPBEXHLevel0 2 2 3" xfId="19113"/>
    <cellStyle name="SAPBEXHLevel0 2 2 3 2" xfId="19114"/>
    <cellStyle name="SAPBEXHLevel0 2 2 3_15-FINANCEIRAS" xfId="19115"/>
    <cellStyle name="SAPBEXHLevel0 2 2 4" xfId="19116"/>
    <cellStyle name="SAPBEXHLevel0 2 2 4 2" xfId="19117"/>
    <cellStyle name="SAPBEXHLevel0 2 2 4_15-FINANCEIRAS" xfId="19118"/>
    <cellStyle name="SAPBEXHLevel0 2 2 5" xfId="19119"/>
    <cellStyle name="SAPBEXHLevel0 2 2_15-FINANCEIRAS" xfId="19120"/>
    <cellStyle name="SAPBEXHLevel0 2 3" xfId="19121"/>
    <cellStyle name="SAPBEXHLevel0 2 3 2" xfId="19122"/>
    <cellStyle name="SAPBEXHLevel0 2 3_15-FINANCEIRAS" xfId="19123"/>
    <cellStyle name="SAPBEXHLevel0 2 4" xfId="19124"/>
    <cellStyle name="SAPBEXHLevel0 2 4 2" xfId="19125"/>
    <cellStyle name="SAPBEXHLevel0 2 4_15-FINANCEIRAS" xfId="19126"/>
    <cellStyle name="SAPBEXHLevel0 2 5" xfId="19127"/>
    <cellStyle name="SAPBEXHLevel0 2 5 2" xfId="19128"/>
    <cellStyle name="SAPBEXHLevel0 2 5_15-FINANCEIRAS" xfId="19129"/>
    <cellStyle name="SAPBEXHLevel0 2 6" xfId="19130"/>
    <cellStyle name="SAPBEXHLevel0 2_15-FINANCEIRAS" xfId="19131"/>
    <cellStyle name="SAPBEXHLevel0 3" xfId="19132"/>
    <cellStyle name="SAPBEXHLevel0 3 2" xfId="19133"/>
    <cellStyle name="SAPBEXHLevel0 3 2 2" xfId="19134"/>
    <cellStyle name="SAPBEXHLevel0 3 2 2 2" xfId="19135"/>
    <cellStyle name="SAPBEXHLevel0 3 2 2 2 2" xfId="19136"/>
    <cellStyle name="SAPBEXHLevel0 3 2 2 2_15-FINANCEIRAS" xfId="19137"/>
    <cellStyle name="SAPBEXHLevel0 3 2 2 3" xfId="19138"/>
    <cellStyle name="SAPBEXHLevel0 3 2 2_15-FINANCEIRAS" xfId="19139"/>
    <cellStyle name="SAPBEXHLevel0 3 2 3" xfId="19140"/>
    <cellStyle name="SAPBEXHLevel0 3 2 3 2" xfId="19141"/>
    <cellStyle name="SAPBEXHLevel0 3 2 3_15-FINANCEIRAS" xfId="19142"/>
    <cellStyle name="SAPBEXHLevel0 3 2 4" xfId="19143"/>
    <cellStyle name="SAPBEXHLevel0 3 2 4 2" xfId="19144"/>
    <cellStyle name="SAPBEXHLevel0 3 2 4_15-FINANCEIRAS" xfId="19145"/>
    <cellStyle name="SAPBEXHLevel0 3 2 5" xfId="19146"/>
    <cellStyle name="SAPBEXHLevel0 3 2_15-FINANCEIRAS" xfId="19147"/>
    <cellStyle name="SAPBEXHLevel0 3 3" xfId="19148"/>
    <cellStyle name="SAPBEXHLevel0 3 3 2" xfId="19149"/>
    <cellStyle name="SAPBEXHLevel0 3 3 2 2" xfId="19150"/>
    <cellStyle name="SAPBEXHLevel0 3 3 2_15-FINANCEIRAS" xfId="19151"/>
    <cellStyle name="SAPBEXHLevel0 3 3 3" xfId="19152"/>
    <cellStyle name="SAPBEXHLevel0 3 3_15-FINANCEIRAS" xfId="19153"/>
    <cellStyle name="SAPBEXHLevel0 3 4" xfId="19154"/>
    <cellStyle name="SAPBEXHLevel0 3 4 2" xfId="19155"/>
    <cellStyle name="SAPBEXHLevel0 3 4_15-FINANCEIRAS" xfId="19156"/>
    <cellStyle name="SAPBEXHLevel0 3 5" xfId="19157"/>
    <cellStyle name="SAPBEXHLevel0 3 5 2" xfId="19158"/>
    <cellStyle name="SAPBEXHLevel0 3 5_15-FINANCEIRAS" xfId="19159"/>
    <cellStyle name="SAPBEXHLevel0 3 6" xfId="19160"/>
    <cellStyle name="SAPBEXHLevel0 3_15-FINANCEIRAS" xfId="19161"/>
    <cellStyle name="SAPBEXHLevel0 4" xfId="19162"/>
    <cellStyle name="SAPBEXHLevel0 4 2" xfId="19163"/>
    <cellStyle name="SAPBEXHLevel0 4_15-FINANCEIRAS" xfId="19164"/>
    <cellStyle name="SAPBEXHLevel0 5" xfId="19165"/>
    <cellStyle name="SAPBEXHLevel0 5 2" xfId="19166"/>
    <cellStyle name="SAPBEXHLevel0 5_15-FINANCEIRAS" xfId="19167"/>
    <cellStyle name="SAPBEXHLevel0 6" xfId="19168"/>
    <cellStyle name="SAPBEXHLevel0 6 2" xfId="19169"/>
    <cellStyle name="SAPBEXHLevel0 6_15-FINANCEIRAS" xfId="19170"/>
    <cellStyle name="SAPBEXHLevel0 7" xfId="19171"/>
    <cellStyle name="SAPBEXHLevel0 8" xfId="19172"/>
    <cellStyle name="SAPBEXHLevel0_15-FINANCEIRAS" xfId="19173"/>
    <cellStyle name="SAPBEXHLevel0X" xfId="19174"/>
    <cellStyle name="SAPBEXHLevel0X 2" xfId="19175"/>
    <cellStyle name="SAPBEXHLevel0X 2 2" xfId="19176"/>
    <cellStyle name="SAPBEXHLevel0X 2 2 2" xfId="19177"/>
    <cellStyle name="SAPBEXHLevel0X 2 2 2 2" xfId="19178"/>
    <cellStyle name="SAPBEXHLevel0X 2 2 2_15-FINANCEIRAS" xfId="19179"/>
    <cellStyle name="SAPBEXHLevel0X 2 2 3" xfId="19180"/>
    <cellStyle name="SAPBEXHLevel0X 2 2 3 2" xfId="19181"/>
    <cellStyle name="SAPBEXHLevel0X 2 2 3_15-FINANCEIRAS" xfId="19182"/>
    <cellStyle name="SAPBEXHLevel0X 2 2 4" xfId="19183"/>
    <cellStyle name="SAPBEXHLevel0X 2 2 4 2" xfId="19184"/>
    <cellStyle name="SAPBEXHLevel0X 2 2 4_15-FINANCEIRAS" xfId="19185"/>
    <cellStyle name="SAPBEXHLevel0X 2 2 5" xfId="19186"/>
    <cellStyle name="SAPBEXHLevel0X 2 2_15-FINANCEIRAS" xfId="19187"/>
    <cellStyle name="SAPBEXHLevel0X 2 3" xfId="19188"/>
    <cellStyle name="SAPBEXHLevel0X 2 3 2" xfId="19189"/>
    <cellStyle name="SAPBEXHLevel0X 2 3_15-FINANCEIRAS" xfId="19190"/>
    <cellStyle name="SAPBEXHLevel0X 2 4" xfId="19191"/>
    <cellStyle name="SAPBEXHLevel0X 2 4 2" xfId="19192"/>
    <cellStyle name="SAPBEXHLevel0X 2 4_15-FINANCEIRAS" xfId="19193"/>
    <cellStyle name="SAPBEXHLevel0X 2 5" xfId="19194"/>
    <cellStyle name="SAPBEXHLevel0X 2 5 2" xfId="19195"/>
    <cellStyle name="SAPBEXHLevel0X 2 5_15-FINANCEIRAS" xfId="19196"/>
    <cellStyle name="SAPBEXHLevel0X 2 6" xfId="19197"/>
    <cellStyle name="SAPBEXHLevel0X 2_15-FINANCEIRAS" xfId="19198"/>
    <cellStyle name="SAPBEXHLevel0X 3" xfId="19199"/>
    <cellStyle name="SAPBEXHLevel0X 3 2" xfId="19200"/>
    <cellStyle name="SAPBEXHLevel0X 3 2 2" xfId="19201"/>
    <cellStyle name="SAPBEXHLevel0X 3 2 2 2" xfId="19202"/>
    <cellStyle name="SAPBEXHLevel0X 3 2 2 2 2" xfId="19203"/>
    <cellStyle name="SAPBEXHLevel0X 3 2 2 2_15-FINANCEIRAS" xfId="19204"/>
    <cellStyle name="SAPBEXHLevel0X 3 2 2 3" xfId="19205"/>
    <cellStyle name="SAPBEXHLevel0X 3 2 2_15-FINANCEIRAS" xfId="19206"/>
    <cellStyle name="SAPBEXHLevel0X 3 2 3" xfId="19207"/>
    <cellStyle name="SAPBEXHLevel0X 3 2 3 2" xfId="19208"/>
    <cellStyle name="SAPBEXHLevel0X 3 2 3_15-FINANCEIRAS" xfId="19209"/>
    <cellStyle name="SAPBEXHLevel0X 3 2 4" xfId="19210"/>
    <cellStyle name="SAPBEXHLevel0X 3 2 4 2" xfId="19211"/>
    <cellStyle name="SAPBEXHLevel0X 3 2 4_15-FINANCEIRAS" xfId="19212"/>
    <cellStyle name="SAPBEXHLevel0X 3 2 5" xfId="19213"/>
    <cellStyle name="SAPBEXHLevel0X 3 2_15-FINANCEIRAS" xfId="19214"/>
    <cellStyle name="SAPBEXHLevel0X 3 3" xfId="19215"/>
    <cellStyle name="SAPBEXHLevel0X 3 3 2" xfId="19216"/>
    <cellStyle name="SAPBEXHLevel0X 3 3 2 2" xfId="19217"/>
    <cellStyle name="SAPBEXHLevel0X 3 3 2_15-FINANCEIRAS" xfId="19218"/>
    <cellStyle name="SAPBEXHLevel0X 3 3 3" xfId="19219"/>
    <cellStyle name="SAPBEXHLevel0X 3 3_15-FINANCEIRAS" xfId="19220"/>
    <cellStyle name="SAPBEXHLevel0X 3 4" xfId="19221"/>
    <cellStyle name="SAPBEXHLevel0X 3 4 2" xfId="19222"/>
    <cellStyle name="SAPBEXHLevel0X 3 4_15-FINANCEIRAS" xfId="19223"/>
    <cellStyle name="SAPBEXHLevel0X 3 5" xfId="19224"/>
    <cellStyle name="SAPBEXHLevel0X 3 5 2" xfId="19225"/>
    <cellStyle name="SAPBEXHLevel0X 3 5_15-FINANCEIRAS" xfId="19226"/>
    <cellStyle name="SAPBEXHLevel0X 3 6" xfId="19227"/>
    <cellStyle name="SAPBEXHLevel0X 3_15-FINANCEIRAS" xfId="19228"/>
    <cellStyle name="SAPBEXHLevel0X 4" xfId="19229"/>
    <cellStyle name="SAPBEXHLevel0X 4 2" xfId="19230"/>
    <cellStyle name="SAPBEXHLevel0X 4_15-FINANCEIRAS" xfId="19231"/>
    <cellStyle name="SAPBEXHLevel0X 5" xfId="19232"/>
    <cellStyle name="SAPBEXHLevel0X 5 2" xfId="19233"/>
    <cellStyle name="SAPBEXHLevel0X 5_15-FINANCEIRAS" xfId="19234"/>
    <cellStyle name="SAPBEXHLevel0X 6" xfId="19235"/>
    <cellStyle name="SAPBEXHLevel0X 6 2" xfId="19236"/>
    <cellStyle name="SAPBEXHLevel0X 6_15-FINANCEIRAS" xfId="19237"/>
    <cellStyle name="SAPBEXHLevel0X 7" xfId="19238"/>
    <cellStyle name="SAPBEXHLevel0X 8" xfId="19239"/>
    <cellStyle name="SAPBEXHLevel0X_15-FINANCEIRAS" xfId="19240"/>
    <cellStyle name="SAPBEXHLevel1" xfId="19241"/>
    <cellStyle name="SAPBEXHLevel1 2" xfId="19242"/>
    <cellStyle name="SAPBEXHLevel1 2 2" xfId="19243"/>
    <cellStyle name="SAPBEXHLevel1 2 2 2" xfId="19244"/>
    <cellStyle name="SAPBEXHLevel1 2 2 2 2" xfId="19245"/>
    <cellStyle name="SAPBEXHLevel1 2 2 2_15-FINANCEIRAS" xfId="19246"/>
    <cellStyle name="SAPBEXHLevel1 2 2 3" xfId="19247"/>
    <cellStyle name="SAPBEXHLevel1 2 2 3 2" xfId="19248"/>
    <cellStyle name="SAPBEXHLevel1 2 2 3_15-FINANCEIRAS" xfId="19249"/>
    <cellStyle name="SAPBEXHLevel1 2 2 4" xfId="19250"/>
    <cellStyle name="SAPBEXHLevel1 2 2 4 2" xfId="19251"/>
    <cellStyle name="SAPBEXHLevel1 2 2 4_15-FINANCEIRAS" xfId="19252"/>
    <cellStyle name="SAPBEXHLevel1 2 2 5" xfId="19253"/>
    <cellStyle name="SAPBEXHLevel1 2 2_15-FINANCEIRAS" xfId="19254"/>
    <cellStyle name="SAPBEXHLevel1 2 3" xfId="19255"/>
    <cellStyle name="SAPBEXHLevel1 2 3 2" xfId="19256"/>
    <cellStyle name="SAPBEXHLevel1 2 3_15-FINANCEIRAS" xfId="19257"/>
    <cellStyle name="SAPBEXHLevel1 2 4" xfId="19258"/>
    <cellStyle name="SAPBEXHLevel1 2 4 2" xfId="19259"/>
    <cellStyle name="SAPBEXHLevel1 2 4_15-FINANCEIRAS" xfId="19260"/>
    <cellStyle name="SAPBEXHLevel1 2 5" xfId="19261"/>
    <cellStyle name="SAPBEXHLevel1 2 5 2" xfId="19262"/>
    <cellStyle name="SAPBEXHLevel1 2 5_15-FINANCEIRAS" xfId="19263"/>
    <cellStyle name="SAPBEXHLevel1 2 6" xfId="19264"/>
    <cellStyle name="SAPBEXHLevel1 2_15-FINANCEIRAS" xfId="19265"/>
    <cellStyle name="SAPBEXHLevel1 3" xfId="19266"/>
    <cellStyle name="SAPBEXHLevel1 3 2" xfId="19267"/>
    <cellStyle name="SAPBEXHLevel1 3 2 2" xfId="19268"/>
    <cellStyle name="SAPBEXHLevel1 3 2 2 2" xfId="19269"/>
    <cellStyle name="SAPBEXHLevel1 3 2 2 2 2" xfId="19270"/>
    <cellStyle name="SAPBEXHLevel1 3 2 2 2_15-FINANCEIRAS" xfId="19271"/>
    <cellStyle name="SAPBEXHLevel1 3 2 2 3" xfId="19272"/>
    <cellStyle name="SAPBEXHLevel1 3 2 2_15-FINANCEIRAS" xfId="19273"/>
    <cellStyle name="SAPBEXHLevel1 3 2 3" xfId="19274"/>
    <cellStyle name="SAPBEXHLevel1 3 2 3 2" xfId="19275"/>
    <cellStyle name="SAPBEXHLevel1 3 2 3_15-FINANCEIRAS" xfId="19276"/>
    <cellStyle name="SAPBEXHLevel1 3 2 4" xfId="19277"/>
    <cellStyle name="SAPBEXHLevel1 3 2 4 2" xfId="19278"/>
    <cellStyle name="SAPBEXHLevel1 3 2 4_15-FINANCEIRAS" xfId="19279"/>
    <cellStyle name="SAPBEXHLevel1 3 2 5" xfId="19280"/>
    <cellStyle name="SAPBEXHLevel1 3 2_15-FINANCEIRAS" xfId="19281"/>
    <cellStyle name="SAPBEXHLevel1 3 3" xfId="19282"/>
    <cellStyle name="SAPBEXHLevel1 3 3 2" xfId="19283"/>
    <cellStyle name="SAPBEXHLevel1 3 3 2 2" xfId="19284"/>
    <cellStyle name="SAPBEXHLevel1 3 3 2_15-FINANCEIRAS" xfId="19285"/>
    <cellStyle name="SAPBEXHLevel1 3 3 3" xfId="19286"/>
    <cellStyle name="SAPBEXHLevel1 3 3_15-FINANCEIRAS" xfId="19287"/>
    <cellStyle name="SAPBEXHLevel1 3 4" xfId="19288"/>
    <cellStyle name="SAPBEXHLevel1 3 4 2" xfId="19289"/>
    <cellStyle name="SAPBEXHLevel1 3 4_15-FINANCEIRAS" xfId="19290"/>
    <cellStyle name="SAPBEXHLevel1 3 5" xfId="19291"/>
    <cellStyle name="SAPBEXHLevel1 3 5 2" xfId="19292"/>
    <cellStyle name="SAPBEXHLevel1 3 5_15-FINANCEIRAS" xfId="19293"/>
    <cellStyle name="SAPBEXHLevel1 3 6" xfId="19294"/>
    <cellStyle name="SAPBEXHLevel1 3_15-FINANCEIRAS" xfId="19295"/>
    <cellStyle name="SAPBEXHLevel1 4" xfId="19296"/>
    <cellStyle name="SAPBEXHLevel1 4 2" xfId="19297"/>
    <cellStyle name="SAPBEXHLevel1 4_15-FINANCEIRAS" xfId="19298"/>
    <cellStyle name="SAPBEXHLevel1 5" xfId="19299"/>
    <cellStyle name="SAPBEXHLevel1 5 2" xfId="19300"/>
    <cellStyle name="SAPBEXHLevel1 5_15-FINANCEIRAS" xfId="19301"/>
    <cellStyle name="SAPBEXHLevel1 6" xfId="19302"/>
    <cellStyle name="SAPBEXHLevel1 6 2" xfId="19303"/>
    <cellStyle name="SAPBEXHLevel1 6_15-FINANCEIRAS" xfId="19304"/>
    <cellStyle name="SAPBEXHLevel1 7" xfId="19305"/>
    <cellStyle name="SAPBEXHLevel1 8" xfId="19306"/>
    <cellStyle name="SAPBEXHLevel1_15-FINANCEIRAS" xfId="19307"/>
    <cellStyle name="SAPBEXHLevel1X" xfId="19308"/>
    <cellStyle name="SAPBEXHLevel1X 2" xfId="19309"/>
    <cellStyle name="SAPBEXHLevel1X 2 2" xfId="19310"/>
    <cellStyle name="SAPBEXHLevel1X 2 2 2" xfId="19311"/>
    <cellStyle name="SAPBEXHLevel1X 2 2 2 2" xfId="19312"/>
    <cellStyle name="SAPBEXHLevel1X 2 2 2_15-FINANCEIRAS" xfId="19313"/>
    <cellStyle name="SAPBEXHLevel1X 2 2 3" xfId="19314"/>
    <cellStyle name="SAPBEXHLevel1X 2 2 3 2" xfId="19315"/>
    <cellStyle name="SAPBEXHLevel1X 2 2 3_15-FINANCEIRAS" xfId="19316"/>
    <cellStyle name="SAPBEXHLevel1X 2 2 4" xfId="19317"/>
    <cellStyle name="SAPBEXHLevel1X 2 2 4 2" xfId="19318"/>
    <cellStyle name="SAPBEXHLevel1X 2 2 4_15-FINANCEIRAS" xfId="19319"/>
    <cellStyle name="SAPBEXHLevel1X 2 2 5" xfId="19320"/>
    <cellStyle name="SAPBEXHLevel1X 2 2_15-FINANCEIRAS" xfId="19321"/>
    <cellStyle name="SAPBEXHLevel1X 2 3" xfId="19322"/>
    <cellStyle name="SAPBEXHLevel1X 2 3 2" xfId="19323"/>
    <cellStyle name="SAPBEXHLevel1X 2 3_15-FINANCEIRAS" xfId="19324"/>
    <cellStyle name="SAPBEXHLevel1X 2 4" xfId="19325"/>
    <cellStyle name="SAPBEXHLevel1X 2 4 2" xfId="19326"/>
    <cellStyle name="SAPBEXHLevel1X 2 4_15-FINANCEIRAS" xfId="19327"/>
    <cellStyle name="SAPBEXHLevel1X 2 5" xfId="19328"/>
    <cellStyle name="SAPBEXHLevel1X 2 5 2" xfId="19329"/>
    <cellStyle name="SAPBEXHLevel1X 2 5_15-FINANCEIRAS" xfId="19330"/>
    <cellStyle name="SAPBEXHLevel1X 2 6" xfId="19331"/>
    <cellStyle name="SAPBEXHLevel1X 2_15-FINANCEIRAS" xfId="19332"/>
    <cellStyle name="SAPBEXHLevel1X 3" xfId="19333"/>
    <cellStyle name="SAPBEXHLevel1X 3 2" xfId="19334"/>
    <cellStyle name="SAPBEXHLevel1X 3 2 2" xfId="19335"/>
    <cellStyle name="SAPBEXHLevel1X 3 2 2 2" xfId="19336"/>
    <cellStyle name="SAPBEXHLevel1X 3 2 2 2 2" xfId="19337"/>
    <cellStyle name="SAPBEXHLevel1X 3 2 2 2_15-FINANCEIRAS" xfId="19338"/>
    <cellStyle name="SAPBEXHLevel1X 3 2 2 3" xfId="19339"/>
    <cellStyle name="SAPBEXHLevel1X 3 2 2_15-FINANCEIRAS" xfId="19340"/>
    <cellStyle name="SAPBEXHLevel1X 3 2 3" xfId="19341"/>
    <cellStyle name="SAPBEXHLevel1X 3 2 3 2" xfId="19342"/>
    <cellStyle name="SAPBEXHLevel1X 3 2 3_15-FINANCEIRAS" xfId="19343"/>
    <cellStyle name="SAPBEXHLevel1X 3 2 4" xfId="19344"/>
    <cellStyle name="SAPBEXHLevel1X 3 2 4 2" xfId="19345"/>
    <cellStyle name="SAPBEXHLevel1X 3 2 4_15-FINANCEIRAS" xfId="19346"/>
    <cellStyle name="SAPBEXHLevel1X 3 2 5" xfId="19347"/>
    <cellStyle name="SAPBEXHLevel1X 3 2_15-FINANCEIRAS" xfId="19348"/>
    <cellStyle name="SAPBEXHLevel1X 3 3" xfId="19349"/>
    <cellStyle name="SAPBEXHLevel1X 3 3 2" xfId="19350"/>
    <cellStyle name="SAPBEXHLevel1X 3 3 2 2" xfId="19351"/>
    <cellStyle name="SAPBEXHLevel1X 3 3 2_15-FINANCEIRAS" xfId="19352"/>
    <cellStyle name="SAPBEXHLevel1X 3 3 3" xfId="19353"/>
    <cellStyle name="SAPBEXHLevel1X 3 3_15-FINANCEIRAS" xfId="19354"/>
    <cellStyle name="SAPBEXHLevel1X 3 4" xfId="19355"/>
    <cellStyle name="SAPBEXHLevel1X 3 4 2" xfId="19356"/>
    <cellStyle name="SAPBEXHLevel1X 3 4_15-FINANCEIRAS" xfId="19357"/>
    <cellStyle name="SAPBEXHLevel1X 3 5" xfId="19358"/>
    <cellStyle name="SAPBEXHLevel1X 3 5 2" xfId="19359"/>
    <cellStyle name="SAPBEXHLevel1X 3 5_15-FINANCEIRAS" xfId="19360"/>
    <cellStyle name="SAPBEXHLevel1X 3 6" xfId="19361"/>
    <cellStyle name="SAPBEXHLevel1X 3_15-FINANCEIRAS" xfId="19362"/>
    <cellStyle name="SAPBEXHLevel1X 4" xfId="19363"/>
    <cellStyle name="SAPBEXHLevel1X 4 2" xfId="19364"/>
    <cellStyle name="SAPBEXHLevel1X 4_15-FINANCEIRAS" xfId="19365"/>
    <cellStyle name="SAPBEXHLevel1X 5" xfId="19366"/>
    <cellStyle name="SAPBEXHLevel1X 5 2" xfId="19367"/>
    <cellStyle name="SAPBEXHLevel1X 5_15-FINANCEIRAS" xfId="19368"/>
    <cellStyle name="SAPBEXHLevel1X 6" xfId="19369"/>
    <cellStyle name="SAPBEXHLevel1X 6 2" xfId="19370"/>
    <cellStyle name="SAPBEXHLevel1X 6_15-FINANCEIRAS" xfId="19371"/>
    <cellStyle name="SAPBEXHLevel1X 7" xfId="19372"/>
    <cellStyle name="SAPBEXHLevel1X 8" xfId="19373"/>
    <cellStyle name="SAPBEXHLevel1X_15-FINANCEIRAS" xfId="19374"/>
    <cellStyle name="SAPBEXHLevel2" xfId="19375"/>
    <cellStyle name="SAPBEXHLevel2 2" xfId="19376"/>
    <cellStyle name="SAPBEXHLevel2 2 2" xfId="19377"/>
    <cellStyle name="SAPBEXHLevel2 2 2 2" xfId="19378"/>
    <cellStyle name="SAPBEXHLevel2 2 2 2 2" xfId="19379"/>
    <cellStyle name="SAPBEXHLevel2 2 2 2_15-FINANCEIRAS" xfId="19380"/>
    <cellStyle name="SAPBEXHLevel2 2 2 3" xfId="19381"/>
    <cellStyle name="SAPBEXHLevel2 2 2 3 2" xfId="19382"/>
    <cellStyle name="SAPBEXHLevel2 2 2 3_15-FINANCEIRAS" xfId="19383"/>
    <cellStyle name="SAPBEXHLevel2 2 2 4" xfId="19384"/>
    <cellStyle name="SAPBEXHLevel2 2 2 4 2" xfId="19385"/>
    <cellStyle name="SAPBEXHLevel2 2 2 4_15-FINANCEIRAS" xfId="19386"/>
    <cellStyle name="SAPBEXHLevel2 2 2 5" xfId="19387"/>
    <cellStyle name="SAPBEXHLevel2 2 2_15-FINANCEIRAS" xfId="19388"/>
    <cellStyle name="SAPBEXHLevel2 2 3" xfId="19389"/>
    <cellStyle name="SAPBEXHLevel2 2 3 2" xfId="19390"/>
    <cellStyle name="SAPBEXHLevel2 2 3_15-FINANCEIRAS" xfId="19391"/>
    <cellStyle name="SAPBEXHLevel2 2 4" xfId="19392"/>
    <cellStyle name="SAPBEXHLevel2 2 4 2" xfId="19393"/>
    <cellStyle name="SAPBEXHLevel2 2 4_15-FINANCEIRAS" xfId="19394"/>
    <cellStyle name="SAPBEXHLevel2 2 5" xfId="19395"/>
    <cellStyle name="SAPBEXHLevel2 2 5 2" xfId="19396"/>
    <cellStyle name="SAPBEXHLevel2 2 5_15-FINANCEIRAS" xfId="19397"/>
    <cellStyle name="SAPBEXHLevel2 2 6" xfId="19398"/>
    <cellStyle name="SAPBEXHLevel2 2 7" xfId="19399"/>
    <cellStyle name="SAPBEXHLevel2 2_15-FINANCEIRAS" xfId="19400"/>
    <cellStyle name="SAPBEXHLevel2 3" xfId="19401"/>
    <cellStyle name="SAPBEXHLevel2 3 2" xfId="19402"/>
    <cellStyle name="SAPBEXHLevel2 3 2 2" xfId="19403"/>
    <cellStyle name="SAPBEXHLevel2 3 2 2 2" xfId="19404"/>
    <cellStyle name="SAPBEXHLevel2 3 2 2 2 2" xfId="19405"/>
    <cellStyle name="SAPBEXHLevel2 3 2 2 2_15-FINANCEIRAS" xfId="19406"/>
    <cellStyle name="SAPBEXHLevel2 3 2 2 3" xfId="19407"/>
    <cellStyle name="SAPBEXHLevel2 3 2 2_15-FINANCEIRAS" xfId="19408"/>
    <cellStyle name="SAPBEXHLevel2 3 2 3" xfId="19409"/>
    <cellStyle name="SAPBEXHLevel2 3 2 3 2" xfId="19410"/>
    <cellStyle name="SAPBEXHLevel2 3 2 3_15-FINANCEIRAS" xfId="19411"/>
    <cellStyle name="SAPBEXHLevel2 3 2 4" xfId="19412"/>
    <cellStyle name="SAPBEXHLevel2 3 2 4 2" xfId="19413"/>
    <cellStyle name="SAPBEXHLevel2 3 2 4_15-FINANCEIRAS" xfId="19414"/>
    <cellStyle name="SAPBEXHLevel2 3 2 5" xfId="19415"/>
    <cellStyle name="SAPBEXHLevel2 3 2_15-FINANCEIRAS" xfId="19416"/>
    <cellStyle name="SAPBEXHLevel2 3 3" xfId="19417"/>
    <cellStyle name="SAPBEXHLevel2 3 3 2" xfId="19418"/>
    <cellStyle name="SAPBEXHLevel2 3 3 2 2" xfId="19419"/>
    <cellStyle name="SAPBEXHLevel2 3 3 2_15-FINANCEIRAS" xfId="19420"/>
    <cellStyle name="SAPBEXHLevel2 3 3 3" xfId="19421"/>
    <cellStyle name="SAPBEXHLevel2 3 3_15-FINANCEIRAS" xfId="19422"/>
    <cellStyle name="SAPBEXHLevel2 3 4" xfId="19423"/>
    <cellStyle name="SAPBEXHLevel2 3 4 2" xfId="19424"/>
    <cellStyle name="SAPBEXHLevel2 3 4_15-FINANCEIRAS" xfId="19425"/>
    <cellStyle name="SAPBEXHLevel2 3 5" xfId="19426"/>
    <cellStyle name="SAPBEXHLevel2 3 5 2" xfId="19427"/>
    <cellStyle name="SAPBEXHLevel2 3 5_15-FINANCEIRAS" xfId="19428"/>
    <cellStyle name="SAPBEXHLevel2 3 6" xfId="19429"/>
    <cellStyle name="SAPBEXHLevel2 3_15-FINANCEIRAS" xfId="19430"/>
    <cellStyle name="SAPBEXHLevel2 4" xfId="19431"/>
    <cellStyle name="SAPBEXHLevel2 4 2" xfId="19432"/>
    <cellStyle name="SAPBEXHLevel2 4_15-FINANCEIRAS" xfId="19433"/>
    <cellStyle name="SAPBEXHLevel2 5" xfId="19434"/>
    <cellStyle name="SAPBEXHLevel2 5 2" xfId="19435"/>
    <cellStyle name="SAPBEXHLevel2 5_15-FINANCEIRAS" xfId="19436"/>
    <cellStyle name="SAPBEXHLevel2 6" xfId="19437"/>
    <cellStyle name="SAPBEXHLevel2 6 2" xfId="19438"/>
    <cellStyle name="SAPBEXHLevel2 6_15-FINANCEIRAS" xfId="19439"/>
    <cellStyle name="SAPBEXHLevel2 7" xfId="19440"/>
    <cellStyle name="SAPBEXHLevel2 8" xfId="19441"/>
    <cellStyle name="SAPBEXHLevel2_15-FINANCEIRAS" xfId="19442"/>
    <cellStyle name="SAPBEXHLevel2X" xfId="19443"/>
    <cellStyle name="SAPBEXHLevel2X 2" xfId="19444"/>
    <cellStyle name="SAPBEXHLevel2X 2 2" xfId="19445"/>
    <cellStyle name="SAPBEXHLevel2X 2 2 2" xfId="19446"/>
    <cellStyle name="SAPBEXHLevel2X 2 2 2 2" xfId="19447"/>
    <cellStyle name="SAPBEXHLevel2X 2 2 2_15-FINANCEIRAS" xfId="19448"/>
    <cellStyle name="SAPBEXHLevel2X 2 2 3" xfId="19449"/>
    <cellStyle name="SAPBEXHLevel2X 2 2 3 2" xfId="19450"/>
    <cellStyle name="SAPBEXHLevel2X 2 2 3_15-FINANCEIRAS" xfId="19451"/>
    <cellStyle name="SAPBEXHLevel2X 2 2 4" xfId="19452"/>
    <cellStyle name="SAPBEXHLevel2X 2 2 4 2" xfId="19453"/>
    <cellStyle name="SAPBEXHLevel2X 2 2 4_15-FINANCEIRAS" xfId="19454"/>
    <cellStyle name="SAPBEXHLevel2X 2 2 5" xfId="19455"/>
    <cellStyle name="SAPBEXHLevel2X 2 2_15-FINANCEIRAS" xfId="19456"/>
    <cellStyle name="SAPBEXHLevel2X 2 3" xfId="19457"/>
    <cellStyle name="SAPBEXHLevel2X 2 3 2" xfId="19458"/>
    <cellStyle name="SAPBEXHLevel2X 2 3_15-FINANCEIRAS" xfId="19459"/>
    <cellStyle name="SAPBEXHLevel2X 2 4" xfId="19460"/>
    <cellStyle name="SAPBEXHLevel2X 2 4 2" xfId="19461"/>
    <cellStyle name="SAPBEXHLevel2X 2 4_15-FINANCEIRAS" xfId="19462"/>
    <cellStyle name="SAPBEXHLevel2X 2 5" xfId="19463"/>
    <cellStyle name="SAPBEXHLevel2X 2 5 2" xfId="19464"/>
    <cellStyle name="SAPBEXHLevel2X 2 5_15-FINANCEIRAS" xfId="19465"/>
    <cellStyle name="SAPBEXHLevel2X 2 6" xfId="19466"/>
    <cellStyle name="SAPBEXHLevel2X 2_15-FINANCEIRAS" xfId="19467"/>
    <cellStyle name="SAPBEXHLevel2X 3" xfId="19468"/>
    <cellStyle name="SAPBEXHLevel2X 3 2" xfId="19469"/>
    <cellStyle name="SAPBEXHLevel2X 3 2 2" xfId="19470"/>
    <cellStyle name="SAPBEXHLevel2X 3 2 2 2" xfId="19471"/>
    <cellStyle name="SAPBEXHLevel2X 3 2 2 2 2" xfId="19472"/>
    <cellStyle name="SAPBEXHLevel2X 3 2 2 2_15-FINANCEIRAS" xfId="19473"/>
    <cellStyle name="SAPBEXHLevel2X 3 2 2 3" xfId="19474"/>
    <cellStyle name="SAPBEXHLevel2X 3 2 2_15-FINANCEIRAS" xfId="19475"/>
    <cellStyle name="SAPBEXHLevel2X 3 2 3" xfId="19476"/>
    <cellStyle name="SAPBEXHLevel2X 3 2 3 2" xfId="19477"/>
    <cellStyle name="SAPBEXHLevel2X 3 2 3_15-FINANCEIRAS" xfId="19478"/>
    <cellStyle name="SAPBEXHLevel2X 3 2 4" xfId="19479"/>
    <cellStyle name="SAPBEXHLevel2X 3 2 4 2" xfId="19480"/>
    <cellStyle name="SAPBEXHLevel2X 3 2 4_15-FINANCEIRAS" xfId="19481"/>
    <cellStyle name="SAPBEXHLevel2X 3 2 5" xfId="19482"/>
    <cellStyle name="SAPBEXHLevel2X 3 2_15-FINANCEIRAS" xfId="19483"/>
    <cellStyle name="SAPBEXHLevel2X 3 3" xfId="19484"/>
    <cellStyle name="SAPBEXHLevel2X 3 3 2" xfId="19485"/>
    <cellStyle name="SAPBEXHLevel2X 3 3 2 2" xfId="19486"/>
    <cellStyle name="SAPBEXHLevel2X 3 3 2_15-FINANCEIRAS" xfId="19487"/>
    <cellStyle name="SAPBEXHLevel2X 3 3 3" xfId="19488"/>
    <cellStyle name="SAPBEXHLevel2X 3 3_15-FINANCEIRAS" xfId="19489"/>
    <cellStyle name="SAPBEXHLevel2X 3 4" xfId="19490"/>
    <cellStyle name="SAPBEXHLevel2X 3 4 2" xfId="19491"/>
    <cellStyle name="SAPBEXHLevel2X 3 4_15-FINANCEIRAS" xfId="19492"/>
    <cellStyle name="SAPBEXHLevel2X 3 5" xfId="19493"/>
    <cellStyle name="SAPBEXHLevel2X 3 5 2" xfId="19494"/>
    <cellStyle name="SAPBEXHLevel2X 3 5_15-FINANCEIRAS" xfId="19495"/>
    <cellStyle name="SAPBEXHLevel2X 3 6" xfId="19496"/>
    <cellStyle name="SAPBEXHLevel2X 3_15-FINANCEIRAS" xfId="19497"/>
    <cellStyle name="SAPBEXHLevel2X 4" xfId="19498"/>
    <cellStyle name="SAPBEXHLevel2X 4 2" xfId="19499"/>
    <cellStyle name="SAPBEXHLevel2X 4_15-FINANCEIRAS" xfId="19500"/>
    <cellStyle name="SAPBEXHLevel2X 5" xfId="19501"/>
    <cellStyle name="SAPBEXHLevel2X 5 2" xfId="19502"/>
    <cellStyle name="SAPBEXHLevel2X 5_15-FINANCEIRAS" xfId="19503"/>
    <cellStyle name="SAPBEXHLevel2X 6" xfId="19504"/>
    <cellStyle name="SAPBEXHLevel2X 6 2" xfId="19505"/>
    <cellStyle name="SAPBEXHLevel2X 6_15-FINANCEIRAS" xfId="19506"/>
    <cellStyle name="SAPBEXHLevel2X 7" xfId="19507"/>
    <cellStyle name="SAPBEXHLevel2X 8" xfId="19508"/>
    <cellStyle name="SAPBEXHLevel2X_15-FINANCEIRAS" xfId="19509"/>
    <cellStyle name="SAPBEXHLevel3" xfId="19510"/>
    <cellStyle name="SAPBEXHLevel3 2" xfId="19511"/>
    <cellStyle name="SAPBEXHLevel3 2 2" xfId="19512"/>
    <cellStyle name="SAPBEXHLevel3 2 2 2" xfId="19513"/>
    <cellStyle name="SAPBEXHLevel3 2 2 2 2" xfId="19514"/>
    <cellStyle name="SAPBEXHLevel3 2 2 2_15-FINANCEIRAS" xfId="19515"/>
    <cellStyle name="SAPBEXHLevel3 2 2 3" xfId="19516"/>
    <cellStyle name="SAPBEXHLevel3 2 2 3 2" xfId="19517"/>
    <cellStyle name="SAPBEXHLevel3 2 2 3_15-FINANCEIRAS" xfId="19518"/>
    <cellStyle name="SAPBEXHLevel3 2 2 4" xfId="19519"/>
    <cellStyle name="SAPBEXHLevel3 2 2 4 2" xfId="19520"/>
    <cellStyle name="SAPBEXHLevel3 2 2 4_15-FINANCEIRAS" xfId="19521"/>
    <cellStyle name="SAPBEXHLevel3 2 2 5" xfId="19522"/>
    <cellStyle name="SAPBEXHLevel3 2 2_15-FINANCEIRAS" xfId="19523"/>
    <cellStyle name="SAPBEXHLevel3 2 3" xfId="19524"/>
    <cellStyle name="SAPBEXHLevel3 2 3 2" xfId="19525"/>
    <cellStyle name="SAPBEXHLevel3 2 3_15-FINANCEIRAS" xfId="19526"/>
    <cellStyle name="SAPBEXHLevel3 2 4" xfId="19527"/>
    <cellStyle name="SAPBEXHLevel3 2 4 2" xfId="19528"/>
    <cellStyle name="SAPBEXHLevel3 2 4_15-FINANCEIRAS" xfId="19529"/>
    <cellStyle name="SAPBEXHLevel3 2 5" xfId="19530"/>
    <cellStyle name="SAPBEXHLevel3 2 5 2" xfId="19531"/>
    <cellStyle name="SAPBEXHLevel3 2 5_15-FINANCEIRAS" xfId="19532"/>
    <cellStyle name="SAPBEXHLevel3 2 6" xfId="19533"/>
    <cellStyle name="SAPBEXHLevel3 2_15-FINANCEIRAS" xfId="19534"/>
    <cellStyle name="SAPBEXHLevel3 3" xfId="19535"/>
    <cellStyle name="SAPBEXHLevel3 3 2" xfId="19536"/>
    <cellStyle name="SAPBEXHLevel3 3 2 2" xfId="19537"/>
    <cellStyle name="SAPBEXHLevel3 3 2 2 2" xfId="19538"/>
    <cellStyle name="SAPBEXHLevel3 3 2 2 2 2" xfId="19539"/>
    <cellStyle name="SAPBEXHLevel3 3 2 2 2_15-FINANCEIRAS" xfId="19540"/>
    <cellStyle name="SAPBEXHLevel3 3 2 2 3" xfId="19541"/>
    <cellStyle name="SAPBEXHLevel3 3 2 2_15-FINANCEIRAS" xfId="19542"/>
    <cellStyle name="SAPBEXHLevel3 3 2 3" xfId="19543"/>
    <cellStyle name="SAPBEXHLevel3 3 2 3 2" xfId="19544"/>
    <cellStyle name="SAPBEXHLevel3 3 2 3_15-FINANCEIRAS" xfId="19545"/>
    <cellStyle name="SAPBEXHLevel3 3 2 4" xfId="19546"/>
    <cellStyle name="SAPBEXHLevel3 3 2 4 2" xfId="19547"/>
    <cellStyle name="SAPBEXHLevel3 3 2 4_15-FINANCEIRAS" xfId="19548"/>
    <cellStyle name="SAPBEXHLevel3 3 2 5" xfId="19549"/>
    <cellStyle name="SAPBEXHLevel3 3 2_15-FINANCEIRAS" xfId="19550"/>
    <cellStyle name="SAPBEXHLevel3 3 3" xfId="19551"/>
    <cellStyle name="SAPBEXHLevel3 3 3 2" xfId="19552"/>
    <cellStyle name="SAPBEXHLevel3 3 3 2 2" xfId="19553"/>
    <cellStyle name="SAPBEXHLevel3 3 3 2_15-FINANCEIRAS" xfId="19554"/>
    <cellStyle name="SAPBEXHLevel3 3 3 3" xfId="19555"/>
    <cellStyle name="SAPBEXHLevel3 3 3_15-FINANCEIRAS" xfId="19556"/>
    <cellStyle name="SAPBEXHLevel3 3 4" xfId="19557"/>
    <cellStyle name="SAPBEXHLevel3 3 4 2" xfId="19558"/>
    <cellStyle name="SAPBEXHLevel3 3 4_15-FINANCEIRAS" xfId="19559"/>
    <cellStyle name="SAPBEXHLevel3 3 5" xfId="19560"/>
    <cellStyle name="SAPBEXHLevel3 3 5 2" xfId="19561"/>
    <cellStyle name="SAPBEXHLevel3 3 5_15-FINANCEIRAS" xfId="19562"/>
    <cellStyle name="SAPBEXHLevel3 3 6" xfId="19563"/>
    <cellStyle name="SAPBEXHLevel3 3_15-FINANCEIRAS" xfId="19564"/>
    <cellStyle name="SAPBEXHLevel3 4" xfId="19565"/>
    <cellStyle name="SAPBEXHLevel3 4 2" xfId="19566"/>
    <cellStyle name="SAPBEXHLevel3 4_15-FINANCEIRAS" xfId="19567"/>
    <cellStyle name="SAPBEXHLevel3 5" xfId="19568"/>
    <cellStyle name="SAPBEXHLevel3 5 2" xfId="19569"/>
    <cellStyle name="SAPBEXHLevel3 5_15-FINANCEIRAS" xfId="19570"/>
    <cellStyle name="SAPBEXHLevel3 6" xfId="19571"/>
    <cellStyle name="SAPBEXHLevel3 6 2" xfId="19572"/>
    <cellStyle name="SAPBEXHLevel3 6_15-FINANCEIRAS" xfId="19573"/>
    <cellStyle name="SAPBEXHLevel3 7" xfId="19574"/>
    <cellStyle name="SAPBEXHLevel3 8" xfId="19575"/>
    <cellStyle name="SAPBEXHLevel3_15-FINANCEIRAS" xfId="19576"/>
    <cellStyle name="SAPBEXHLevel3X" xfId="19577"/>
    <cellStyle name="SAPBEXHLevel3X 2" xfId="19578"/>
    <cellStyle name="SAPBEXHLevel3X 2 2" xfId="19579"/>
    <cellStyle name="SAPBEXHLevel3X 2 2 2" xfId="19580"/>
    <cellStyle name="SAPBEXHLevel3X 2 2 2 2" xfId="19581"/>
    <cellStyle name="SAPBEXHLevel3X 2 2 2_15-FINANCEIRAS" xfId="19582"/>
    <cellStyle name="SAPBEXHLevel3X 2 2 3" xfId="19583"/>
    <cellStyle name="SAPBEXHLevel3X 2 2 3 2" xfId="19584"/>
    <cellStyle name="SAPBEXHLevel3X 2 2 3_15-FINANCEIRAS" xfId="19585"/>
    <cellStyle name="SAPBEXHLevel3X 2 2 4" xfId="19586"/>
    <cellStyle name="SAPBEXHLevel3X 2 2 4 2" xfId="19587"/>
    <cellStyle name="SAPBEXHLevel3X 2 2 4_15-FINANCEIRAS" xfId="19588"/>
    <cellStyle name="SAPBEXHLevel3X 2 2 5" xfId="19589"/>
    <cellStyle name="SAPBEXHLevel3X 2 2_15-FINANCEIRAS" xfId="19590"/>
    <cellStyle name="SAPBEXHLevel3X 2 3" xfId="19591"/>
    <cellStyle name="SAPBEXHLevel3X 2 3 2" xfId="19592"/>
    <cellStyle name="SAPBEXHLevel3X 2 3_15-FINANCEIRAS" xfId="19593"/>
    <cellStyle name="SAPBEXHLevel3X 2 4" xfId="19594"/>
    <cellStyle name="SAPBEXHLevel3X 2 4 2" xfId="19595"/>
    <cellStyle name="SAPBEXHLevel3X 2 4_15-FINANCEIRAS" xfId="19596"/>
    <cellStyle name="SAPBEXHLevel3X 2 5" xfId="19597"/>
    <cellStyle name="SAPBEXHLevel3X 2 5 2" xfId="19598"/>
    <cellStyle name="SAPBEXHLevel3X 2 5_15-FINANCEIRAS" xfId="19599"/>
    <cellStyle name="SAPBEXHLevel3X 2 6" xfId="19600"/>
    <cellStyle name="SAPBEXHLevel3X 2_15-FINANCEIRAS" xfId="19601"/>
    <cellStyle name="SAPBEXHLevel3X 3" xfId="19602"/>
    <cellStyle name="SAPBEXHLevel3X 3 2" xfId="19603"/>
    <cellStyle name="SAPBEXHLevel3X 3 2 2" xfId="19604"/>
    <cellStyle name="SAPBEXHLevel3X 3 2 2 2" xfId="19605"/>
    <cellStyle name="SAPBEXHLevel3X 3 2 2 2 2" xfId="19606"/>
    <cellStyle name="SAPBEXHLevel3X 3 2 2 2_15-FINANCEIRAS" xfId="19607"/>
    <cellStyle name="SAPBEXHLevel3X 3 2 2 3" xfId="19608"/>
    <cellStyle name="SAPBEXHLevel3X 3 2 2_15-FINANCEIRAS" xfId="19609"/>
    <cellStyle name="SAPBEXHLevel3X 3 2 3" xfId="19610"/>
    <cellStyle name="SAPBEXHLevel3X 3 2 3 2" xfId="19611"/>
    <cellStyle name="SAPBEXHLevel3X 3 2 3_15-FINANCEIRAS" xfId="19612"/>
    <cellStyle name="SAPBEXHLevel3X 3 2 4" xfId="19613"/>
    <cellStyle name="SAPBEXHLevel3X 3 2 4 2" xfId="19614"/>
    <cellStyle name="SAPBEXHLevel3X 3 2 4_15-FINANCEIRAS" xfId="19615"/>
    <cellStyle name="SAPBEXHLevel3X 3 2 5" xfId="19616"/>
    <cellStyle name="SAPBEXHLevel3X 3 2_15-FINANCEIRAS" xfId="19617"/>
    <cellStyle name="SAPBEXHLevel3X 3 3" xfId="19618"/>
    <cellStyle name="SAPBEXHLevel3X 3 3 2" xfId="19619"/>
    <cellStyle name="SAPBEXHLevel3X 3 3 2 2" xfId="19620"/>
    <cellStyle name="SAPBEXHLevel3X 3 3 2_15-FINANCEIRAS" xfId="19621"/>
    <cellStyle name="SAPBEXHLevel3X 3 3 3" xfId="19622"/>
    <cellStyle name="SAPBEXHLevel3X 3 3_15-FINANCEIRAS" xfId="19623"/>
    <cellStyle name="SAPBEXHLevel3X 3 4" xfId="19624"/>
    <cellStyle name="SAPBEXHLevel3X 3 4 2" xfId="19625"/>
    <cellStyle name="SAPBEXHLevel3X 3 4_15-FINANCEIRAS" xfId="19626"/>
    <cellStyle name="SAPBEXHLevel3X 3 5" xfId="19627"/>
    <cellStyle name="SAPBEXHLevel3X 3 5 2" xfId="19628"/>
    <cellStyle name="SAPBEXHLevel3X 3 5_15-FINANCEIRAS" xfId="19629"/>
    <cellStyle name="SAPBEXHLevel3X 3 6" xfId="19630"/>
    <cellStyle name="SAPBEXHLevel3X 3_15-FINANCEIRAS" xfId="19631"/>
    <cellStyle name="SAPBEXHLevel3X 4" xfId="19632"/>
    <cellStyle name="SAPBEXHLevel3X 4 2" xfId="19633"/>
    <cellStyle name="SAPBEXHLevel3X 4_15-FINANCEIRAS" xfId="19634"/>
    <cellStyle name="SAPBEXHLevel3X 5" xfId="19635"/>
    <cellStyle name="SAPBEXHLevel3X 5 2" xfId="19636"/>
    <cellStyle name="SAPBEXHLevel3X 5_15-FINANCEIRAS" xfId="19637"/>
    <cellStyle name="SAPBEXHLevel3X 6" xfId="19638"/>
    <cellStyle name="SAPBEXHLevel3X 6 2" xfId="19639"/>
    <cellStyle name="SAPBEXHLevel3X 6_15-FINANCEIRAS" xfId="19640"/>
    <cellStyle name="SAPBEXHLevel3X 7" xfId="19641"/>
    <cellStyle name="SAPBEXHLevel3X 8" xfId="19642"/>
    <cellStyle name="SAPBEXHLevel3X_15-FINANCEIRAS" xfId="19643"/>
    <cellStyle name="SAPBEXresData" xfId="19644"/>
    <cellStyle name="SAPBEXresData 2" xfId="19645"/>
    <cellStyle name="SAPBEXresData 2 2" xfId="19646"/>
    <cellStyle name="SAPBEXresData 2_15-FINANCEIRAS" xfId="19647"/>
    <cellStyle name="SAPBEXresData 3" xfId="19648"/>
    <cellStyle name="SAPBEXresData 4" xfId="19649"/>
    <cellStyle name="SAPBEXresData_15-FINANCEIRAS" xfId="19650"/>
    <cellStyle name="SAPBEXresDataEmph" xfId="19651"/>
    <cellStyle name="SAPBEXresDataEmph 2" xfId="19652"/>
    <cellStyle name="SAPBEXresDataEmph 2 2" xfId="19653"/>
    <cellStyle name="SAPBEXresDataEmph 2_15-FINANCEIRAS" xfId="19654"/>
    <cellStyle name="SAPBEXresDataEmph 3" xfId="19655"/>
    <cellStyle name="SAPBEXresDataEmph 4" xfId="19656"/>
    <cellStyle name="SAPBEXresDataEmph_15-FINANCEIRAS" xfId="19657"/>
    <cellStyle name="SAPBEXresItem" xfId="19658"/>
    <cellStyle name="SAPBEXresItem 2" xfId="19659"/>
    <cellStyle name="SAPBEXresItem 2 2" xfId="19660"/>
    <cellStyle name="SAPBEXresItem 2_15-FINANCEIRAS" xfId="19661"/>
    <cellStyle name="SAPBEXresItem 3" xfId="19662"/>
    <cellStyle name="SAPBEXresItem 4" xfId="19663"/>
    <cellStyle name="SAPBEXresItem_15-FINANCEIRAS" xfId="19664"/>
    <cellStyle name="SAPBEXresItemX" xfId="19665"/>
    <cellStyle name="SAPBEXresItemX 2" xfId="19666"/>
    <cellStyle name="SAPBEXresItemX 2 2" xfId="19667"/>
    <cellStyle name="SAPBEXresItemX 2_15-FINANCEIRAS" xfId="19668"/>
    <cellStyle name="SAPBEXresItemX 3" xfId="19669"/>
    <cellStyle name="SAPBEXresItemX 4" xfId="19670"/>
    <cellStyle name="SAPBEXresItemX_15-FINANCEIRAS" xfId="19671"/>
    <cellStyle name="SAPBEXstdData" xfId="19672"/>
    <cellStyle name="SAPBEXstdData 2" xfId="19673"/>
    <cellStyle name="SAPBEXstdData 2 2" xfId="19674"/>
    <cellStyle name="SAPBEXstdData 2_15-FINANCEIRAS" xfId="19675"/>
    <cellStyle name="SAPBEXstdData 3" xfId="19676"/>
    <cellStyle name="SAPBEXstdData 4" xfId="19677"/>
    <cellStyle name="SAPBEXstdData_15-FINANCEIRAS" xfId="19678"/>
    <cellStyle name="SAPBEXstdDataEmph" xfId="19679"/>
    <cellStyle name="SAPBEXstdDataEmph 2" xfId="19680"/>
    <cellStyle name="SAPBEXstdDataEmph 2 2" xfId="19681"/>
    <cellStyle name="SAPBEXstdDataEmph 2_15-FINANCEIRAS" xfId="19682"/>
    <cellStyle name="SAPBEXstdDataEmph 3" xfId="19683"/>
    <cellStyle name="SAPBEXstdDataEmph 4" xfId="19684"/>
    <cellStyle name="SAPBEXstdDataEmph_15-FINANCEIRAS" xfId="19685"/>
    <cellStyle name="SAPBEXstdItem" xfId="19686"/>
    <cellStyle name="SAPBEXstdItem 2" xfId="19687"/>
    <cellStyle name="SAPBEXstdItem 2 2" xfId="19688"/>
    <cellStyle name="SAPBEXstdItem 2 2 2" xfId="19689"/>
    <cellStyle name="SAPBEXstdItem 2 2 2 2" xfId="19690"/>
    <cellStyle name="SAPBEXstdItem 2 2 2_15-FINANCEIRAS" xfId="19691"/>
    <cellStyle name="SAPBEXstdItem 2 2 3" xfId="19692"/>
    <cellStyle name="SAPBEXstdItem 2 2 3 2" xfId="19693"/>
    <cellStyle name="SAPBEXstdItem 2 2 3_15-FINANCEIRAS" xfId="19694"/>
    <cellStyle name="SAPBEXstdItem 2 2 4" xfId="19695"/>
    <cellStyle name="SAPBEXstdItem 2 2 4 2" xfId="19696"/>
    <cellStyle name="SAPBEXstdItem 2 2 4_15-FINANCEIRAS" xfId="19697"/>
    <cellStyle name="SAPBEXstdItem 2 2 5" xfId="19698"/>
    <cellStyle name="SAPBEXstdItem 2 2_15-FINANCEIRAS" xfId="19699"/>
    <cellStyle name="SAPBEXstdItem 2 3" xfId="19700"/>
    <cellStyle name="SAPBEXstdItem 2 3 2" xfId="19701"/>
    <cellStyle name="SAPBEXstdItem 2 3_15-FINANCEIRAS" xfId="19702"/>
    <cellStyle name="SAPBEXstdItem 2 4" xfId="19703"/>
    <cellStyle name="SAPBEXstdItem 2 4 2" xfId="19704"/>
    <cellStyle name="SAPBEXstdItem 2 4_15-FINANCEIRAS" xfId="19705"/>
    <cellStyle name="SAPBEXstdItem 2 5" xfId="19706"/>
    <cellStyle name="SAPBEXstdItem 2 5 2" xfId="19707"/>
    <cellStyle name="SAPBEXstdItem 2 5_15-FINANCEIRAS" xfId="19708"/>
    <cellStyle name="SAPBEXstdItem 2 6" xfId="19709"/>
    <cellStyle name="SAPBEXstdItem 2 6 2" xfId="19710"/>
    <cellStyle name="SAPBEXstdItem 2 6_15-FINANCEIRAS" xfId="19711"/>
    <cellStyle name="SAPBEXstdItem 2 7" xfId="19712"/>
    <cellStyle name="SAPBEXstdItem 2_15-FINANCEIRAS" xfId="19713"/>
    <cellStyle name="SAPBEXstdItem 3" xfId="19714"/>
    <cellStyle name="SAPBEXstdItem 3 2" xfId="19715"/>
    <cellStyle name="SAPBEXstdItem 3 2 2" xfId="19716"/>
    <cellStyle name="SAPBEXstdItem 3 2 2 2" xfId="19717"/>
    <cellStyle name="SAPBEXstdItem 3 2 2 2 2" xfId="19718"/>
    <cellStyle name="SAPBEXstdItem 3 2 2 2_15-FINANCEIRAS" xfId="19719"/>
    <cellStyle name="SAPBEXstdItem 3 2 2 3" xfId="19720"/>
    <cellStyle name="SAPBEXstdItem 3 2 2_15-FINANCEIRAS" xfId="19721"/>
    <cellStyle name="SAPBEXstdItem 3 2 3" xfId="19722"/>
    <cellStyle name="SAPBEXstdItem 3 2 3 2" xfId="19723"/>
    <cellStyle name="SAPBEXstdItem 3 2 3_15-FINANCEIRAS" xfId="19724"/>
    <cellStyle name="SAPBEXstdItem 3 2 4" xfId="19725"/>
    <cellStyle name="SAPBEXstdItem 3 2 4 2" xfId="19726"/>
    <cellStyle name="SAPBEXstdItem 3 2 4_15-FINANCEIRAS" xfId="19727"/>
    <cellStyle name="SAPBEXstdItem 3 2 5" xfId="19728"/>
    <cellStyle name="SAPBEXstdItem 3 2_15-FINANCEIRAS" xfId="19729"/>
    <cellStyle name="SAPBEXstdItem 3 3" xfId="19730"/>
    <cellStyle name="SAPBEXstdItem 3 3 2" xfId="19731"/>
    <cellStyle name="SAPBEXstdItem 3 3 2 2" xfId="19732"/>
    <cellStyle name="SAPBEXstdItem 3 3 2_15-FINANCEIRAS" xfId="19733"/>
    <cellStyle name="SAPBEXstdItem 3 3 3" xfId="19734"/>
    <cellStyle name="SAPBEXstdItem 3 3_15-FINANCEIRAS" xfId="19735"/>
    <cellStyle name="SAPBEXstdItem 3 4" xfId="19736"/>
    <cellStyle name="SAPBEXstdItem 3 4 2" xfId="19737"/>
    <cellStyle name="SAPBEXstdItem 3 4_15-FINANCEIRAS" xfId="19738"/>
    <cellStyle name="SAPBEXstdItem 3 5" xfId="19739"/>
    <cellStyle name="SAPBEXstdItem 3 5 2" xfId="19740"/>
    <cellStyle name="SAPBEXstdItem 3 5_15-FINANCEIRAS" xfId="19741"/>
    <cellStyle name="SAPBEXstdItem 3 6" xfId="19742"/>
    <cellStyle name="SAPBEXstdItem 3_15-FINANCEIRAS" xfId="19743"/>
    <cellStyle name="SAPBEXstdItem 4" xfId="19744"/>
    <cellStyle name="SAPBEXstdItem 4 2" xfId="19745"/>
    <cellStyle name="SAPBEXstdItem 4_15-FINANCEIRAS" xfId="19746"/>
    <cellStyle name="SAPBEXstdItem 5" xfId="19747"/>
    <cellStyle name="SAPBEXstdItem 5 2" xfId="19748"/>
    <cellStyle name="SAPBEXstdItem 5_15-FINANCEIRAS" xfId="19749"/>
    <cellStyle name="SAPBEXstdItem 6" xfId="19750"/>
    <cellStyle name="SAPBEXstdItem 6 2" xfId="19751"/>
    <cellStyle name="SAPBEXstdItem 6_15-FINANCEIRAS" xfId="19752"/>
    <cellStyle name="SAPBEXstdItem 7" xfId="19753"/>
    <cellStyle name="SAPBEXstdItem 8" xfId="19754"/>
    <cellStyle name="SAPBEXstdItem_15-FINANCEIRAS" xfId="19755"/>
    <cellStyle name="SAPBEXstdItemX" xfId="19756"/>
    <cellStyle name="SAPBEXstdItemX 10" xfId="19757"/>
    <cellStyle name="SAPBEXstdItemX 10 2" xfId="19758"/>
    <cellStyle name="SAPBEXstdItemX 10_15-FINANCEIRAS" xfId="19759"/>
    <cellStyle name="SAPBEXstdItemX 11" xfId="19760"/>
    <cellStyle name="SAPBEXstdItemX 12" xfId="19761"/>
    <cellStyle name="SAPBEXstdItemX 2" xfId="19762"/>
    <cellStyle name="SAPBEXstdItemX 2 2" xfId="19763"/>
    <cellStyle name="SAPBEXstdItemX 2 2 2" xfId="19764"/>
    <cellStyle name="SAPBEXstdItemX 2 2 2 2" xfId="19765"/>
    <cellStyle name="SAPBEXstdItemX 2 2 2_15-FINANCEIRAS" xfId="19766"/>
    <cellStyle name="SAPBEXstdItemX 2 2 3" xfId="19767"/>
    <cellStyle name="SAPBEXstdItemX 2 2_15-FINANCEIRAS" xfId="19768"/>
    <cellStyle name="SAPBEXstdItemX 2 3" xfId="19769"/>
    <cellStyle name="SAPBEXstdItemX 2 3 2" xfId="19770"/>
    <cellStyle name="SAPBEXstdItemX 2 3_15-FINANCEIRAS" xfId="19771"/>
    <cellStyle name="SAPBEXstdItemX 2 4" xfId="19772"/>
    <cellStyle name="SAPBEXstdItemX 2 4 2" xfId="19773"/>
    <cellStyle name="SAPBEXstdItemX 2 4_15-FINANCEIRAS" xfId="19774"/>
    <cellStyle name="SAPBEXstdItemX 2 5" xfId="19775"/>
    <cellStyle name="SAPBEXstdItemX 2_15-FINANCEIRAS" xfId="19776"/>
    <cellStyle name="SAPBEXstdItemX 3" xfId="19777"/>
    <cellStyle name="SAPBEXstdItemX 3 2" xfId="19778"/>
    <cellStyle name="SAPBEXstdItemX 3 2 2" xfId="19779"/>
    <cellStyle name="SAPBEXstdItemX 3 2 2 2" xfId="19780"/>
    <cellStyle name="SAPBEXstdItemX 3 2 2 2 2" xfId="19781"/>
    <cellStyle name="SAPBEXstdItemX 3 2 2 2_15-FINANCEIRAS" xfId="19782"/>
    <cellStyle name="SAPBEXstdItemX 3 2 2 3" xfId="19783"/>
    <cellStyle name="SAPBEXstdItemX 3 2 2_15-FINANCEIRAS" xfId="19784"/>
    <cellStyle name="SAPBEXstdItemX 3 2 3" xfId="19785"/>
    <cellStyle name="SAPBEXstdItemX 3 2 3 2" xfId="19786"/>
    <cellStyle name="SAPBEXstdItemX 3 2 3_15-FINANCEIRAS" xfId="19787"/>
    <cellStyle name="SAPBEXstdItemX 3 2 4" xfId="19788"/>
    <cellStyle name="SAPBEXstdItemX 3 2_15-FINANCEIRAS" xfId="19789"/>
    <cellStyle name="SAPBEXstdItemX 3 3" xfId="19790"/>
    <cellStyle name="SAPBEXstdItemX 3 3 2" xfId="19791"/>
    <cellStyle name="SAPBEXstdItemX 3 3 2 2" xfId="19792"/>
    <cellStyle name="SAPBEXstdItemX 3 3 2_15-FINANCEIRAS" xfId="19793"/>
    <cellStyle name="SAPBEXstdItemX 3 3 3" xfId="19794"/>
    <cellStyle name="SAPBEXstdItemX 3 3_15-FINANCEIRAS" xfId="19795"/>
    <cellStyle name="SAPBEXstdItemX 3 4" xfId="19796"/>
    <cellStyle name="SAPBEXstdItemX 3 4 2" xfId="19797"/>
    <cellStyle name="SAPBEXstdItemX 3 4_15-FINANCEIRAS" xfId="19798"/>
    <cellStyle name="SAPBEXstdItemX 3 5" xfId="19799"/>
    <cellStyle name="SAPBEXstdItemX 3_15-FINANCEIRAS" xfId="19800"/>
    <cellStyle name="SAPBEXstdItemX 4" xfId="19801"/>
    <cellStyle name="SAPBEXstdItemX 4 2" xfId="19802"/>
    <cellStyle name="SAPBEXstdItemX 4 2 2" xfId="19803"/>
    <cellStyle name="SAPBEXstdItemX 4 2 2 2" xfId="19804"/>
    <cellStyle name="SAPBEXstdItemX 4 2 2_15-FINANCEIRAS" xfId="19805"/>
    <cellStyle name="SAPBEXstdItemX 4 2 3" xfId="19806"/>
    <cellStyle name="SAPBEXstdItemX 4 2_15-FINANCEIRAS" xfId="19807"/>
    <cellStyle name="SAPBEXstdItemX 4 3" xfId="19808"/>
    <cellStyle name="SAPBEXstdItemX 4 3 2" xfId="19809"/>
    <cellStyle name="SAPBEXstdItemX 4 3_15-FINANCEIRAS" xfId="19810"/>
    <cellStyle name="SAPBEXstdItemX 4 4" xfId="19811"/>
    <cellStyle name="SAPBEXstdItemX 4_15-FINANCEIRAS" xfId="19812"/>
    <cellStyle name="SAPBEXstdItemX 5" xfId="19813"/>
    <cellStyle name="SAPBEXstdItemX 5 2" xfId="19814"/>
    <cellStyle name="SAPBEXstdItemX 5_15-FINANCEIRAS" xfId="19815"/>
    <cellStyle name="SAPBEXstdItemX 6" xfId="19816"/>
    <cellStyle name="SAPBEXstdItemX 6 2" xfId="19817"/>
    <cellStyle name="SAPBEXstdItemX 6_15-FINANCEIRAS" xfId="19818"/>
    <cellStyle name="SAPBEXstdItemX 7" xfId="19819"/>
    <cellStyle name="SAPBEXstdItemX 7 2" xfId="19820"/>
    <cellStyle name="SAPBEXstdItemX 7_15-FINANCEIRAS" xfId="19821"/>
    <cellStyle name="SAPBEXstdItemX 8" xfId="19822"/>
    <cellStyle name="SAPBEXstdItemX 8 2" xfId="19823"/>
    <cellStyle name="SAPBEXstdItemX 8_15-FINANCEIRAS" xfId="19824"/>
    <cellStyle name="SAPBEXstdItemX 9" xfId="19825"/>
    <cellStyle name="SAPBEXstdItemX 9 2" xfId="19826"/>
    <cellStyle name="SAPBEXstdItemX 9_15-FINANCEIRAS" xfId="19827"/>
    <cellStyle name="SAPBEXstdItemX_15-FINANCEIRAS" xfId="19828"/>
    <cellStyle name="SAPBEXtitle" xfId="19829"/>
    <cellStyle name="SAPBEXtitle 10" xfId="19830"/>
    <cellStyle name="SAPBEXtitle 10 2" xfId="19831"/>
    <cellStyle name="SAPBEXtitle 10_15-FINANCEIRAS" xfId="19832"/>
    <cellStyle name="SAPBEXtitle 11" xfId="19833"/>
    <cellStyle name="SAPBEXtitle 12" xfId="19834"/>
    <cellStyle name="SAPBEXtitle 2" xfId="19835"/>
    <cellStyle name="SAPBEXtitle 2 2" xfId="19836"/>
    <cellStyle name="SAPBEXtitle 2 2 2" xfId="19837"/>
    <cellStyle name="SAPBEXtitle 2 2_15-FINANCEIRAS" xfId="19838"/>
    <cellStyle name="SAPBEXtitle 2 3" xfId="19839"/>
    <cellStyle name="SAPBEXtitle 2 3 2" xfId="19840"/>
    <cellStyle name="SAPBEXtitle 2 3_15-FINANCEIRAS" xfId="19841"/>
    <cellStyle name="SAPBEXtitle 2 4" xfId="19842"/>
    <cellStyle name="SAPBEXtitle 2 4 2" xfId="19843"/>
    <cellStyle name="SAPBEXtitle 2 4_15-FINANCEIRAS" xfId="19844"/>
    <cellStyle name="SAPBEXtitle 2 5" xfId="19845"/>
    <cellStyle name="SAPBEXtitle 2_15-FINANCEIRAS" xfId="19846"/>
    <cellStyle name="SAPBEXtitle 3" xfId="19847"/>
    <cellStyle name="SAPBEXtitle 3 2" xfId="19848"/>
    <cellStyle name="SAPBEXtitle 3_15-FINANCEIRAS" xfId="19849"/>
    <cellStyle name="SAPBEXtitle 4" xfId="19850"/>
    <cellStyle name="SAPBEXtitle 4 2" xfId="19851"/>
    <cellStyle name="SAPBEXtitle 4_15-FINANCEIRAS" xfId="19852"/>
    <cellStyle name="SAPBEXtitle 5" xfId="19853"/>
    <cellStyle name="SAPBEXtitle 5 2" xfId="19854"/>
    <cellStyle name="SAPBEXtitle 5_15-FINANCEIRAS" xfId="19855"/>
    <cellStyle name="SAPBEXtitle 6" xfId="19856"/>
    <cellStyle name="SAPBEXtitle 6 2" xfId="19857"/>
    <cellStyle name="SAPBEXtitle 6_15-FINANCEIRAS" xfId="19858"/>
    <cellStyle name="SAPBEXtitle 7" xfId="19859"/>
    <cellStyle name="SAPBEXtitle 7 2" xfId="19860"/>
    <cellStyle name="SAPBEXtitle 7_15-FINANCEIRAS" xfId="19861"/>
    <cellStyle name="SAPBEXtitle 8" xfId="19862"/>
    <cellStyle name="SAPBEXtitle 8 2" xfId="19863"/>
    <cellStyle name="SAPBEXtitle 8_15-FINANCEIRAS" xfId="19864"/>
    <cellStyle name="SAPBEXtitle 9" xfId="19865"/>
    <cellStyle name="SAPBEXtitle 9 2" xfId="19866"/>
    <cellStyle name="SAPBEXtitle 9_15-FINANCEIRAS" xfId="19867"/>
    <cellStyle name="SAPBEXtitle_15-FINANCEIRAS" xfId="19868"/>
    <cellStyle name="SAPBEXundefined" xfId="19869"/>
    <cellStyle name="SAPBEXundefined 2" xfId="19870"/>
    <cellStyle name="SAPBEXundefined 2 2" xfId="19871"/>
    <cellStyle name="SAPBEXundefined 2_15-FINANCEIRAS" xfId="19872"/>
    <cellStyle name="SAPBEXundefined 3" xfId="19873"/>
    <cellStyle name="SAPBEXundefined 4" xfId="19874"/>
    <cellStyle name="SAPBEXundefined_15-FINANCEIRAS" xfId="19875"/>
    <cellStyle name="ScripFactor_ Pies " xfId="21399"/>
    <cellStyle name="SEM-BPS-headdata" xfId="19876"/>
    <cellStyle name="SEM-BPS-headdata 2" xfId="19877"/>
    <cellStyle name="SEM-BPS-headdata_15-FINANCEIRAS" xfId="19878"/>
    <cellStyle name="SEM-BPS-headkey" xfId="19879"/>
    <cellStyle name="SEM-BPS-headkey 2" xfId="19880"/>
    <cellStyle name="SEM-BPS-headkey_15-FINANCEIRAS" xfId="19881"/>
    <cellStyle name="SEM-BPS-input-on" xfId="19882"/>
    <cellStyle name="SEM-BPS-input-on 2" xfId="19883"/>
    <cellStyle name="SEM-BPS-input-on_15-FINANCEIRAS" xfId="19884"/>
    <cellStyle name="SEM-BPS-key" xfId="19885"/>
    <cellStyle name="SEM-BPS-key 2" xfId="19886"/>
    <cellStyle name="SEM-BPS-key_15-FINANCEIRAS" xfId="19887"/>
    <cellStyle name="Sep. milhar [0]" xfId="19888"/>
    <cellStyle name="Sep. milhar [0] 2" xfId="19889"/>
    <cellStyle name="Sep. milhar [0] 3" xfId="19890"/>
    <cellStyle name="Sep. milhar [0]_15-FINANCEIRAS" xfId="19891"/>
    <cellStyle name="Separador de m" xfId="19892"/>
    <cellStyle name="Separador de m 2" xfId="19893"/>
    <cellStyle name="Separador de m_15-FINANCEIRAS" xfId="19894"/>
    <cellStyle name="Separador de milhares 10" xfId="19895"/>
    <cellStyle name="Separador de milhares 10 2" xfId="19896"/>
    <cellStyle name="Separador de milhares 10 2 2" xfId="19897"/>
    <cellStyle name="Separador de milhares 10 2_15-FINANCEIRAS" xfId="19898"/>
    <cellStyle name="Separador de milhares 10 3" xfId="19899"/>
    <cellStyle name="Separador de milhares 10 3 2" xfId="19900"/>
    <cellStyle name="Separador de milhares 10 3_15-FINANCEIRAS" xfId="19901"/>
    <cellStyle name="Separador de milhares 10 4" xfId="19902"/>
    <cellStyle name="Separador de milhares 10_15-FINANCEIRAS" xfId="19903"/>
    <cellStyle name="Separador de milhares 11" xfId="19904"/>
    <cellStyle name="Separador de milhares 11 2" xfId="19905"/>
    <cellStyle name="Separador de milhares 11 2 2" xfId="19906"/>
    <cellStyle name="Separador de milhares 11 2_15-FINANCEIRAS" xfId="19907"/>
    <cellStyle name="Separador de milhares 11 3" xfId="19908"/>
    <cellStyle name="Separador de milhares 11 3 2" xfId="19909"/>
    <cellStyle name="Separador de milhares 11 3_15-FINANCEIRAS" xfId="19910"/>
    <cellStyle name="Separador de milhares 11 4" xfId="19911"/>
    <cellStyle name="Separador de milhares 11_15-FINANCEIRAS" xfId="19912"/>
    <cellStyle name="Separador de milhares 12" xfId="19913"/>
    <cellStyle name="Separador de milhares 12 2" xfId="19914"/>
    <cellStyle name="Separador de milhares 12 2 2" xfId="19915"/>
    <cellStyle name="Separador de milhares 12 2_15-FINANCEIRAS" xfId="19916"/>
    <cellStyle name="Separador de milhares 12 3" xfId="19917"/>
    <cellStyle name="Separador de milhares 12 3 2" xfId="19918"/>
    <cellStyle name="Separador de milhares 12 3_15-FINANCEIRAS" xfId="19919"/>
    <cellStyle name="Separador de milhares 12 4" xfId="19920"/>
    <cellStyle name="Separador de milhares 12_15-FINANCEIRAS" xfId="19921"/>
    <cellStyle name="Separador de milhares 13" xfId="19922"/>
    <cellStyle name="Separador de milhares 13 2" xfId="19923"/>
    <cellStyle name="Separador de milhares 13 2 2" xfId="19924"/>
    <cellStyle name="Separador de milhares 13 2_15-FINANCEIRAS" xfId="19925"/>
    <cellStyle name="Separador de milhares 13 3" xfId="19926"/>
    <cellStyle name="Separador de milhares 13 3 2" xfId="19927"/>
    <cellStyle name="Separador de milhares 13 3_15-FINANCEIRAS" xfId="19928"/>
    <cellStyle name="Separador de milhares 13 4" xfId="19929"/>
    <cellStyle name="Separador de milhares 13_15-FINANCEIRAS" xfId="19930"/>
    <cellStyle name="Separador de milhares 14" xfId="19931"/>
    <cellStyle name="Separador de milhares 14 2" xfId="19932"/>
    <cellStyle name="Separador de milhares 14 2 2" xfId="19933"/>
    <cellStyle name="Separador de milhares 14 2_15-FINANCEIRAS" xfId="19934"/>
    <cellStyle name="Separador de milhares 14 3" xfId="19935"/>
    <cellStyle name="Separador de milhares 14 3 2" xfId="19936"/>
    <cellStyle name="Separador de milhares 14 3_15-FINANCEIRAS" xfId="19937"/>
    <cellStyle name="Separador de milhares 14 4" xfId="19938"/>
    <cellStyle name="Separador de milhares 14_15-FINANCEIRAS" xfId="19939"/>
    <cellStyle name="Separador de milhares 15" xfId="19940"/>
    <cellStyle name="Separador de milhares 15 2" xfId="19941"/>
    <cellStyle name="Separador de milhares 15 2 2" xfId="19942"/>
    <cellStyle name="Separador de milhares 15 2_15-FINANCEIRAS" xfId="19943"/>
    <cellStyle name="Separador de milhares 15 3" xfId="19944"/>
    <cellStyle name="Separador de milhares 15 3 2" xfId="19945"/>
    <cellStyle name="Separador de milhares 15 3_15-FINANCEIRAS" xfId="19946"/>
    <cellStyle name="Separador de milhares 15 4" xfId="19947"/>
    <cellStyle name="Separador de milhares 15_15-FINANCEIRAS" xfId="19948"/>
    <cellStyle name="Separador de milhares 16" xfId="19949"/>
    <cellStyle name="Separador de milhares 16 2" xfId="19950"/>
    <cellStyle name="Separador de milhares 16_15-FINANCEIRAS" xfId="19951"/>
    <cellStyle name="Separador de milhares 17" xfId="19952"/>
    <cellStyle name="Separador de milhares 18" xfId="19953"/>
    <cellStyle name="Separador de milhares 19" xfId="19954"/>
    <cellStyle name="Separador de milhares 2" xfId="184"/>
    <cellStyle name="Separador de milhares 2 10" xfId="19955"/>
    <cellStyle name="Separador de milhares 2 10 2" xfId="19956"/>
    <cellStyle name="Separador de milhares 2 10 2 2" xfId="19957"/>
    <cellStyle name="Separador de milhares 2 10 2_15-FINANCEIRAS" xfId="19958"/>
    <cellStyle name="Separador de milhares 2 10 3" xfId="19959"/>
    <cellStyle name="Separador de milhares 2 10_15-FINANCEIRAS" xfId="19960"/>
    <cellStyle name="Separador de milhares 2 11" xfId="19961"/>
    <cellStyle name="Separador de milhares 2 12" xfId="19962"/>
    <cellStyle name="Separador de milhares 2 13" xfId="19963"/>
    <cellStyle name="Separador de milhares 2 14" xfId="19964"/>
    <cellStyle name="Separador de milhares 2 15" xfId="19965"/>
    <cellStyle name="Separador de milhares 2 16" xfId="19966"/>
    <cellStyle name="Separador de milhares 2 17" xfId="21388"/>
    <cellStyle name="Separador de milhares 2 18" xfId="21536"/>
    <cellStyle name="Separador de milhares 2 2" xfId="19967"/>
    <cellStyle name="Separador de milhares 2 2 2" xfId="19968"/>
    <cellStyle name="Separador de milhares 2 2 2 2" xfId="19969"/>
    <cellStyle name="Separador de milhares 2 2 2 2 2" xfId="19970"/>
    <cellStyle name="Separador de milhares 2 2 2 2_15-FINANCEIRAS" xfId="19971"/>
    <cellStyle name="Separador de milhares 2 2 2 3" xfId="19972"/>
    <cellStyle name="Separador de milhares 2 2 2_15-FINANCEIRAS" xfId="19973"/>
    <cellStyle name="Separador de milhares 2 2 3" xfId="19974"/>
    <cellStyle name="Separador de milhares 2 2 3 2" xfId="19975"/>
    <cellStyle name="Separador de milhares 2 2 3 2 2" xfId="19976"/>
    <cellStyle name="Separador de milhares 2 2 3 2_15-FINANCEIRAS" xfId="19977"/>
    <cellStyle name="Separador de milhares 2 2 3 3" xfId="19978"/>
    <cellStyle name="Separador de milhares 2 2 3_15-FINANCEIRAS" xfId="19979"/>
    <cellStyle name="Separador de milhares 2 2 4" xfId="19980"/>
    <cellStyle name="Separador de milhares 2 2 4 2" xfId="19981"/>
    <cellStyle name="Separador de milhares 2 2 4 2 2" xfId="19982"/>
    <cellStyle name="Separador de milhares 2 2 4 2_15-FINANCEIRAS" xfId="19983"/>
    <cellStyle name="Separador de milhares 2 2 4 3" xfId="19984"/>
    <cellStyle name="Separador de milhares 2 2 4_15-FINANCEIRAS" xfId="19985"/>
    <cellStyle name="Separador de milhares 2 2 5" xfId="19986"/>
    <cellStyle name="Separador de milhares 2 2 6" xfId="19987"/>
    <cellStyle name="Separador de milhares 2 2_15-FINANCEIRAS" xfId="19988"/>
    <cellStyle name="Separador de milhares 2 3" xfId="19989"/>
    <cellStyle name="Separador de milhares 2 3 2" xfId="19990"/>
    <cellStyle name="Separador de milhares 2 3 2 2" xfId="19991"/>
    <cellStyle name="Separador de milhares 2 3 2_15-FINANCEIRAS" xfId="19992"/>
    <cellStyle name="Separador de milhares 2 3 3" xfId="19993"/>
    <cellStyle name="Separador de milhares 2 3 3 2" xfId="19994"/>
    <cellStyle name="Separador de milhares 2 3 3_15-FINANCEIRAS" xfId="19995"/>
    <cellStyle name="Separador de milhares 2 3 4" xfId="19996"/>
    <cellStyle name="Separador de milhares 2 3 5" xfId="19997"/>
    <cellStyle name="Separador de milhares 2 3_15-FINANCEIRAS" xfId="19998"/>
    <cellStyle name="Separador de milhares 2 4" xfId="19999"/>
    <cellStyle name="Separador de milhares 2 4 2" xfId="20000"/>
    <cellStyle name="Separador de milhares 2 4 2 2" xfId="20001"/>
    <cellStyle name="Separador de milhares 2 4 2_15-FINANCEIRAS" xfId="20002"/>
    <cellStyle name="Separador de milhares 2 4 3" xfId="20003"/>
    <cellStyle name="Separador de milhares 2 4_15-FINANCEIRAS" xfId="20004"/>
    <cellStyle name="Separador de milhares 2 5" xfId="20005"/>
    <cellStyle name="Separador de milhares 2 5 2" xfId="20006"/>
    <cellStyle name="Separador de milhares 2 5 2 2" xfId="20007"/>
    <cellStyle name="Separador de milhares 2 5 2_15-FINANCEIRAS" xfId="20008"/>
    <cellStyle name="Separador de milhares 2 5 3" xfId="20009"/>
    <cellStyle name="Separador de milhares 2 5_15-FINANCEIRAS" xfId="20010"/>
    <cellStyle name="Separador de milhares 2 6" xfId="20011"/>
    <cellStyle name="Separador de milhares 2 6 2" xfId="20012"/>
    <cellStyle name="Separador de milhares 2 6 2 2" xfId="20013"/>
    <cellStyle name="Separador de milhares 2 6 2_15-FINANCEIRAS" xfId="20014"/>
    <cellStyle name="Separador de milhares 2 6 3" xfId="20015"/>
    <cellStyle name="Separador de milhares 2 6_15-FINANCEIRAS" xfId="20016"/>
    <cellStyle name="Separador de milhares 2 7" xfId="20017"/>
    <cellStyle name="Separador de milhares 2 7 2" xfId="20018"/>
    <cellStyle name="Separador de milhares 2 7_15-FINANCEIRAS" xfId="20019"/>
    <cellStyle name="Separador de milhares 2 8" xfId="20020"/>
    <cellStyle name="Separador de milhares 2 8 2" xfId="20021"/>
    <cellStyle name="Separador de milhares 2 8 2 2" xfId="20022"/>
    <cellStyle name="Separador de milhares 2 8 2_15-FINANCEIRAS" xfId="20023"/>
    <cellStyle name="Separador de milhares 2 8 3" xfId="20024"/>
    <cellStyle name="Separador de milhares 2 8_15-FINANCEIRAS" xfId="20025"/>
    <cellStyle name="Separador de milhares 2 9" xfId="20026"/>
    <cellStyle name="Separador de milhares 2 9 2" xfId="20027"/>
    <cellStyle name="Separador de milhares 2 9_15-FINANCEIRAS" xfId="20028"/>
    <cellStyle name="Separador de milhares 2_15-FINANCEIRAS" xfId="20029"/>
    <cellStyle name="Separador de milhares 20" xfId="20030"/>
    <cellStyle name="Separador de milhares 20 2" xfId="21349"/>
    <cellStyle name="Separador de milhares 20 2 2" xfId="21476"/>
    <cellStyle name="Separador de milhares 20 3" xfId="21432"/>
    <cellStyle name="Separador de milhares 24" xfId="20031"/>
    <cellStyle name="Separador de milhares 24 2" xfId="20032"/>
    <cellStyle name="Separador de milhares 24 2 2" xfId="21350"/>
    <cellStyle name="Separador de milhares 24 2 2 2" xfId="21477"/>
    <cellStyle name="Separador de milhares 24 2 3" xfId="21433"/>
    <cellStyle name="Separador de milhares 25" xfId="20033"/>
    <cellStyle name="Separador de milhares 25 2" xfId="20034"/>
    <cellStyle name="Separador de milhares 25 2 2" xfId="21351"/>
    <cellStyle name="Separador de milhares 25 2 2 2" xfId="21478"/>
    <cellStyle name="Separador de milhares 25 2 3" xfId="21434"/>
    <cellStyle name="Separador de milhares 3" xfId="20035"/>
    <cellStyle name="Separador de milhares 3 2" xfId="20036"/>
    <cellStyle name="Separador de milhares 3 2 2" xfId="20037"/>
    <cellStyle name="Separador de milhares 3 2 2 2" xfId="20038"/>
    <cellStyle name="Separador de milhares 3 2 2 2 2" xfId="20039"/>
    <cellStyle name="Separador de milhares 3 2 2 2_15-FINANCEIRAS" xfId="20040"/>
    <cellStyle name="Separador de milhares 3 2 2 3" xfId="20041"/>
    <cellStyle name="Separador de milhares 3 2 2_15-FINANCEIRAS" xfId="20042"/>
    <cellStyle name="Separador de milhares 3 2 3" xfId="20043"/>
    <cellStyle name="Separador de milhares 3 2 3 2" xfId="20044"/>
    <cellStyle name="Separador de milhares 3 2 3_15-FINANCEIRAS" xfId="20045"/>
    <cellStyle name="Separador de milhares 3 2 4" xfId="20046"/>
    <cellStyle name="Separador de milhares 3 2 4 2" xfId="20047"/>
    <cellStyle name="Separador de milhares 3 2 4_15-FINANCEIRAS" xfId="20048"/>
    <cellStyle name="Separador de milhares 3 2 5" xfId="20049"/>
    <cellStyle name="Separador de milhares 3 2_15-FINANCEIRAS" xfId="20050"/>
    <cellStyle name="Separador de milhares 3 3" xfId="20051"/>
    <cellStyle name="Separador de milhares 3 3 2" xfId="20052"/>
    <cellStyle name="Separador de milhares 3 3 2 2" xfId="20053"/>
    <cellStyle name="Separador de milhares 3 3 2_15-FINANCEIRAS" xfId="20054"/>
    <cellStyle name="Separador de milhares 3 3 3" xfId="20055"/>
    <cellStyle name="Separador de milhares 3 3_15-FINANCEIRAS" xfId="20056"/>
    <cellStyle name="Separador de milhares 3 4" xfId="20057"/>
    <cellStyle name="Separador de milhares 3 4 2" xfId="20058"/>
    <cellStyle name="Separador de milhares 3 4_15-FINANCEIRAS" xfId="20059"/>
    <cellStyle name="Separador de milhares 3 5" xfId="20060"/>
    <cellStyle name="Separador de milhares 3 5 2" xfId="20061"/>
    <cellStyle name="Separador de milhares 3 5_15-FINANCEIRAS" xfId="20062"/>
    <cellStyle name="Separador de milhares 3 6" xfId="20063"/>
    <cellStyle name="Separador de milhares 3 7" xfId="20064"/>
    <cellStyle name="Separador de milhares 3 8" xfId="20065"/>
    <cellStyle name="Separador de milhares 3 8 2" xfId="21352"/>
    <cellStyle name="Separador de milhares 3 8 2 2" xfId="21479"/>
    <cellStyle name="Separador de milhares 3 8 3" xfId="21435"/>
    <cellStyle name="Separador de milhares 3_15-FINANCEIRAS" xfId="20066"/>
    <cellStyle name="Separador de milhares 31" xfId="20067"/>
    <cellStyle name="Separador de milhares 31 2" xfId="20068"/>
    <cellStyle name="Separador de milhares 31 2 2" xfId="21353"/>
    <cellStyle name="Separador de milhares 31 2 2 2" xfId="21480"/>
    <cellStyle name="Separador de milhares 31 2 3" xfId="21436"/>
    <cellStyle name="Separador de milhares 4" xfId="20069"/>
    <cellStyle name="Separador de milhares 4 2" xfId="20070"/>
    <cellStyle name="Separador de milhares 4 2 2" xfId="20071"/>
    <cellStyle name="Separador de milhares 4 2 2 2" xfId="20072"/>
    <cellStyle name="Separador de milhares 4 2 2 2 2" xfId="20073"/>
    <cellStyle name="Separador de milhares 4 2 2 2_15-FINANCEIRAS" xfId="20074"/>
    <cellStyle name="Separador de milhares 4 2 2 3" xfId="20075"/>
    <cellStyle name="Separador de milhares 4 2 2_15-FINANCEIRAS" xfId="20076"/>
    <cellStyle name="Separador de milhares 4 2 3" xfId="20077"/>
    <cellStyle name="Separador de milhares 4 2 3 2" xfId="20078"/>
    <cellStyle name="Separador de milhares 4 2 3_15-FINANCEIRAS" xfId="20079"/>
    <cellStyle name="Separador de milhares 4 2 4" xfId="20080"/>
    <cellStyle name="Separador de milhares 4 2 4 2" xfId="20081"/>
    <cellStyle name="Separador de milhares 4 2 4_15-FINANCEIRAS" xfId="20082"/>
    <cellStyle name="Separador de milhares 4 2 5" xfId="20083"/>
    <cellStyle name="Separador de milhares 4 2 6" xfId="20084"/>
    <cellStyle name="Separador de milhares 4 2_15-FINANCEIRAS" xfId="20085"/>
    <cellStyle name="Separador de milhares 4 3" xfId="20086"/>
    <cellStyle name="Separador de milhares 4 3 2" xfId="20087"/>
    <cellStyle name="Separador de milhares 4 3 2 2" xfId="20088"/>
    <cellStyle name="Separador de milhares 4 3 2_15-FINANCEIRAS" xfId="20089"/>
    <cellStyle name="Separador de milhares 4 3 3" xfId="20090"/>
    <cellStyle name="Separador de milhares 4 3_15-FINANCEIRAS" xfId="20091"/>
    <cellStyle name="Separador de milhares 4 4" xfId="20092"/>
    <cellStyle name="Separador de milhares 4 4 2" xfId="20093"/>
    <cellStyle name="Separador de milhares 4 4_15-FINANCEIRAS" xfId="20094"/>
    <cellStyle name="Separador de milhares 4 5" xfId="20095"/>
    <cellStyle name="Separador de milhares 4 5 2" xfId="20096"/>
    <cellStyle name="Separador de milhares 4 5_15-FINANCEIRAS" xfId="20097"/>
    <cellStyle name="Separador de milhares 4 6" xfId="20098"/>
    <cellStyle name="Separador de milhares 4_15-FINANCEIRAS" xfId="20099"/>
    <cellStyle name="Separador de milhares 5" xfId="20100"/>
    <cellStyle name="Separador de milhares 5 2" xfId="20101"/>
    <cellStyle name="Separador de milhares 5 2 2" xfId="20102"/>
    <cellStyle name="Separador de milhares 5 2 3" xfId="20103"/>
    <cellStyle name="Separador de milhares 5 2_15-FINANCEIRAS" xfId="20104"/>
    <cellStyle name="Separador de milhares 5 3" xfId="20105"/>
    <cellStyle name="Separador de milhares 5 3 2" xfId="20106"/>
    <cellStyle name="Separador de milhares 5 3_15-FINANCEIRAS" xfId="20107"/>
    <cellStyle name="Separador de milhares 5 4" xfId="20108"/>
    <cellStyle name="Separador de milhares 5_15-FINANCEIRAS" xfId="20109"/>
    <cellStyle name="Separador de milhares 6" xfId="20110"/>
    <cellStyle name="Separador de milhares 6 2" xfId="20111"/>
    <cellStyle name="Separador de milhares 6 2 2" xfId="20112"/>
    <cellStyle name="Separador de milhares 6 2_15-FINANCEIRAS" xfId="20113"/>
    <cellStyle name="Separador de milhares 6 3" xfId="20114"/>
    <cellStyle name="Separador de milhares 6 3 2" xfId="20115"/>
    <cellStyle name="Separador de milhares 6 3_15-FINANCEIRAS" xfId="20116"/>
    <cellStyle name="Separador de milhares 6 4" xfId="20117"/>
    <cellStyle name="Separador de milhares 6_15-FINANCEIRAS" xfId="20118"/>
    <cellStyle name="Separador de milhares 7" xfId="20119"/>
    <cellStyle name="Separador de milhares 7 2" xfId="20120"/>
    <cellStyle name="Separador de milhares 7 2 2" xfId="20121"/>
    <cellStyle name="Separador de milhares 7 2 2 2" xfId="20122"/>
    <cellStyle name="Separador de milhares 7 2 2_15-FINANCEIRAS" xfId="20123"/>
    <cellStyle name="Separador de milhares 7 2 3" xfId="20124"/>
    <cellStyle name="Separador de milhares 7 2 4" xfId="20125"/>
    <cellStyle name="Separador de milhares 7 2_15-FINANCEIRAS" xfId="20126"/>
    <cellStyle name="Separador de milhares 7 3" xfId="20127"/>
    <cellStyle name="Separador de milhares 7 3 2" xfId="20128"/>
    <cellStyle name="Separador de milhares 7 3_15-FINANCEIRAS" xfId="20129"/>
    <cellStyle name="Separador de milhares 7 4" xfId="20130"/>
    <cellStyle name="Separador de milhares 7 5" xfId="20131"/>
    <cellStyle name="Separador de milhares 7_15-FINANCEIRAS" xfId="20132"/>
    <cellStyle name="Separador de milhares 8" xfId="20133"/>
    <cellStyle name="Separador de milhares 8 2" xfId="20134"/>
    <cellStyle name="Separador de milhares 8 2 2" xfId="20135"/>
    <cellStyle name="Separador de milhares 8 2_15-FINANCEIRAS" xfId="20136"/>
    <cellStyle name="Separador de milhares 8 3" xfId="20137"/>
    <cellStyle name="Separador de milhares 8_15-FINANCEIRAS" xfId="20138"/>
    <cellStyle name="Separador de milhares 9" xfId="20139"/>
    <cellStyle name="Separador de milhares 9 2" xfId="20140"/>
    <cellStyle name="Separador de milhares 9 2 2" xfId="20141"/>
    <cellStyle name="Separador de milhares 9 2_15-FINANCEIRAS" xfId="20142"/>
    <cellStyle name="Separador de milhares 9 3" xfId="20143"/>
    <cellStyle name="Separador de milhares 9 3 2" xfId="20144"/>
    <cellStyle name="Separador de milhares 9 3_15-FINANCEIRAS" xfId="20145"/>
    <cellStyle name="Separador de milhares 9 4" xfId="20146"/>
    <cellStyle name="Separador de milhares 9 4 2" xfId="20147"/>
    <cellStyle name="Separador de milhares 9 4_15-FINANCEIRAS" xfId="20148"/>
    <cellStyle name="Separador de milhares 9 5" xfId="20149"/>
    <cellStyle name="Separador de milhares 9_15-FINANCEIRAS" xfId="20150"/>
    <cellStyle name="SFL_Accounting_2_Bond_Valuation" xfId="20151"/>
    <cellStyle name="shading" xfId="20152"/>
    <cellStyle name="Single Border" xfId="20153"/>
    <cellStyle name="Single Border 2" xfId="20154"/>
    <cellStyle name="Single Border 2 2" xfId="20155"/>
    <cellStyle name="Single Border 2 3" xfId="20156"/>
    <cellStyle name="Single Border 2_15-FINANCEIRAS" xfId="20157"/>
    <cellStyle name="Single Border 3" xfId="20158"/>
    <cellStyle name="Single Border 3 2" xfId="20159"/>
    <cellStyle name="Single Border 3 3" xfId="20160"/>
    <cellStyle name="Single Border 3_15-FINANCEIRAS" xfId="20161"/>
    <cellStyle name="Single Border 4" xfId="20162"/>
    <cellStyle name="Single Border 4 2" xfId="20163"/>
    <cellStyle name="Single Border 4_15-FINANCEIRAS" xfId="20164"/>
    <cellStyle name="Single Border 5" xfId="20165"/>
    <cellStyle name="Single Border 6" xfId="20166"/>
    <cellStyle name="Single Border_15-FINANCEIRAS" xfId="20167"/>
    <cellStyle name="ssp " xfId="108"/>
    <cellStyle name="ssp  2" xfId="20168"/>
    <cellStyle name="ssp  2 2" xfId="20169"/>
    <cellStyle name="ssp  2 3" xfId="20170"/>
    <cellStyle name="ssp  2_15-FINANCEIRAS" xfId="20171"/>
    <cellStyle name="ssp  3" xfId="20172"/>
    <cellStyle name="ssp  3 2" xfId="20173"/>
    <cellStyle name="ssp  3 3" xfId="20174"/>
    <cellStyle name="ssp  3_15-FINANCEIRAS" xfId="20175"/>
    <cellStyle name="ssp  4" xfId="20176"/>
    <cellStyle name="ssp  4 2" xfId="20177"/>
    <cellStyle name="ssp  4_15-FINANCEIRAS" xfId="20178"/>
    <cellStyle name="ssp  5" xfId="20179"/>
    <cellStyle name="ssp  6" xfId="173"/>
    <cellStyle name="ssp _15-FINANCEIRAS" xfId="20180"/>
    <cellStyle name="Standard_Anpassen der Amortisation" xfId="20181"/>
    <cellStyle name="STYL1 - Style1" xfId="20182"/>
    <cellStyle name="STYL1 - Style1 2" xfId="20183"/>
    <cellStyle name="STYL1 - Style1_15-FINANCEIRAS" xfId="20184"/>
    <cellStyle name="Style 1" xfId="174"/>
    <cellStyle name="Style 1 2" xfId="20185"/>
    <cellStyle name="Style 1 2 2" xfId="20186"/>
    <cellStyle name="Style 1 2_15-FINANCEIRAS" xfId="20187"/>
    <cellStyle name="Style 1 3" xfId="20188"/>
    <cellStyle name="Style 1 3 2" xfId="20189"/>
    <cellStyle name="Style 1 3_15-FINANCEIRAS" xfId="20190"/>
    <cellStyle name="Style 1 4" xfId="20191"/>
    <cellStyle name="Style 1 5" xfId="21553"/>
    <cellStyle name="Style 1_15-FINANCEIRAS" xfId="20192"/>
    <cellStyle name="Style 2" xfId="175"/>
    <cellStyle name="Style 3" xfId="176"/>
    <cellStyle name="Style 3 2" xfId="21321"/>
    <cellStyle name="Style 4" xfId="177"/>
    <cellStyle name="Style 4 2" xfId="21322"/>
    <cellStyle name="Style 5" xfId="178"/>
    <cellStyle name="Style 5 2" xfId="21323"/>
    <cellStyle name="SubHead" xfId="20193"/>
    <cellStyle name="SubHead 2" xfId="20194"/>
    <cellStyle name="SubHead 2 2" xfId="20195"/>
    <cellStyle name="SubHead 2_15-FINANCEIRAS" xfId="20196"/>
    <cellStyle name="SubHead 3" xfId="20197"/>
    <cellStyle name="SubHead 3 2" xfId="20198"/>
    <cellStyle name="SubHead 3_15-FINANCEIRAS" xfId="20199"/>
    <cellStyle name="SubHead 4" xfId="20200"/>
    <cellStyle name="SubHead_15-FINANCEIRAS" xfId="20201"/>
    <cellStyle name="Sub-Título" xfId="20202"/>
    <cellStyle name="Table Head" xfId="20203"/>
    <cellStyle name="Table Head 2" xfId="20204"/>
    <cellStyle name="Table Head 2 2" xfId="20205"/>
    <cellStyle name="Table Head 2_15-FINANCEIRAS" xfId="20206"/>
    <cellStyle name="Table Head 3" xfId="20207"/>
    <cellStyle name="Table Head 3 2" xfId="20208"/>
    <cellStyle name="Table Head 3_15-FINANCEIRAS" xfId="20209"/>
    <cellStyle name="Table Head 4" xfId="20210"/>
    <cellStyle name="Table Head 4 2" xfId="20211"/>
    <cellStyle name="Table Head 4_15-FINANCEIRAS" xfId="20212"/>
    <cellStyle name="Table Head 5" xfId="20213"/>
    <cellStyle name="Table Head Aligned" xfId="20214"/>
    <cellStyle name="Table Head Aligned 10" xfId="20215"/>
    <cellStyle name="Table Head Aligned 10 2" xfId="20216"/>
    <cellStyle name="Table Head Aligned 10_15-FINANCEIRAS" xfId="20217"/>
    <cellStyle name="Table Head Aligned 11" xfId="20218"/>
    <cellStyle name="Table Head Aligned 11 2" xfId="20219"/>
    <cellStyle name="Table Head Aligned 11_15-FINANCEIRAS" xfId="20220"/>
    <cellStyle name="Table Head Aligned 12" xfId="20221"/>
    <cellStyle name="Table Head Aligned 12 2" xfId="20222"/>
    <cellStyle name="Table Head Aligned 12_15-FINANCEIRAS" xfId="20223"/>
    <cellStyle name="Table Head Aligned 13" xfId="20224"/>
    <cellStyle name="Table Head Aligned 13 2" xfId="20225"/>
    <cellStyle name="Table Head Aligned 13_15-FINANCEIRAS" xfId="20226"/>
    <cellStyle name="Table Head Aligned 14" xfId="20227"/>
    <cellStyle name="Table Head Aligned 14 2" xfId="20228"/>
    <cellStyle name="Table Head Aligned 14_15-FINANCEIRAS" xfId="20229"/>
    <cellStyle name="Table Head Aligned 15" xfId="20230"/>
    <cellStyle name="Table Head Aligned 15 2" xfId="20231"/>
    <cellStyle name="Table Head Aligned 15_15-FINANCEIRAS" xfId="20232"/>
    <cellStyle name="Table Head Aligned 16" xfId="20233"/>
    <cellStyle name="Table Head Aligned 16 2" xfId="20234"/>
    <cellStyle name="Table Head Aligned 16_15-FINANCEIRAS" xfId="20235"/>
    <cellStyle name="Table Head Aligned 17" xfId="20236"/>
    <cellStyle name="Table Head Aligned 17 2" xfId="20237"/>
    <cellStyle name="Table Head Aligned 17_15-FINANCEIRAS" xfId="20238"/>
    <cellStyle name="Table Head Aligned 18" xfId="20239"/>
    <cellStyle name="Table Head Aligned 18 2" xfId="20240"/>
    <cellStyle name="Table Head Aligned 18_15-FINANCEIRAS" xfId="20241"/>
    <cellStyle name="Table Head Aligned 19" xfId="20242"/>
    <cellStyle name="Table Head Aligned 19 2" xfId="20243"/>
    <cellStyle name="Table Head Aligned 19_15-FINANCEIRAS" xfId="20244"/>
    <cellStyle name="Table Head Aligned 2" xfId="20245"/>
    <cellStyle name="Table Head Aligned 2 2" xfId="20246"/>
    <cellStyle name="Table Head Aligned 2 2 2" xfId="20247"/>
    <cellStyle name="Table Head Aligned 2 2 2 2" xfId="20248"/>
    <cellStyle name="Table Head Aligned 2 2 2_15-FINANCEIRAS" xfId="20249"/>
    <cellStyle name="Table Head Aligned 2 2 3" xfId="20250"/>
    <cellStyle name="Table Head Aligned 2 2 3 2" xfId="20251"/>
    <cellStyle name="Table Head Aligned 2 2 3_15-FINANCEIRAS" xfId="20252"/>
    <cellStyle name="Table Head Aligned 2 2 4" xfId="20253"/>
    <cellStyle name="Table Head Aligned 2 2 4 2" xfId="20254"/>
    <cellStyle name="Table Head Aligned 2 2 4_15-FINANCEIRAS" xfId="20255"/>
    <cellStyle name="Table Head Aligned 2 2 5" xfId="20256"/>
    <cellStyle name="Table Head Aligned 2 2_15-FINANCEIRAS" xfId="20257"/>
    <cellStyle name="Table Head Aligned 2 3" xfId="20258"/>
    <cellStyle name="Table Head Aligned 2 3 2" xfId="20259"/>
    <cellStyle name="Table Head Aligned 2 3 2 2" xfId="20260"/>
    <cellStyle name="Table Head Aligned 2 3 2_15-FINANCEIRAS" xfId="20261"/>
    <cellStyle name="Table Head Aligned 2 3 3" xfId="20262"/>
    <cellStyle name="Table Head Aligned 2 3_15-FINANCEIRAS" xfId="20263"/>
    <cellStyle name="Table Head Aligned 2 4" xfId="20264"/>
    <cellStyle name="Table Head Aligned 2 4 2" xfId="20265"/>
    <cellStyle name="Table Head Aligned 2 4_15-FINANCEIRAS" xfId="20266"/>
    <cellStyle name="Table Head Aligned 2 5" xfId="20267"/>
    <cellStyle name="Table Head Aligned 2 5 2" xfId="20268"/>
    <cellStyle name="Table Head Aligned 2 5_15-FINANCEIRAS" xfId="20269"/>
    <cellStyle name="Table Head Aligned 2 6" xfId="20270"/>
    <cellStyle name="Table Head Aligned 2 6 2" xfId="20271"/>
    <cellStyle name="Table Head Aligned 2 6_15-FINANCEIRAS" xfId="20272"/>
    <cellStyle name="Table Head Aligned 2 7" xfId="20273"/>
    <cellStyle name="Table Head Aligned 2 7 2" xfId="20274"/>
    <cellStyle name="Table Head Aligned 2 7_15-FINANCEIRAS" xfId="20275"/>
    <cellStyle name="Table Head Aligned 2 8" xfId="20276"/>
    <cellStyle name="Table Head Aligned 2 9" xfId="20277"/>
    <cellStyle name="Table Head Aligned 2_15-FINANCEIRAS" xfId="20278"/>
    <cellStyle name="Table Head Aligned 20" xfId="20279"/>
    <cellStyle name="Table Head Aligned 20 2" xfId="20280"/>
    <cellStyle name="Table Head Aligned 20_15-FINANCEIRAS" xfId="20281"/>
    <cellStyle name="Table Head Aligned 21" xfId="20282"/>
    <cellStyle name="Table Head Aligned 21 2" xfId="20283"/>
    <cellStyle name="Table Head Aligned 21_15-FINANCEIRAS" xfId="20284"/>
    <cellStyle name="Table Head Aligned 22" xfId="20285"/>
    <cellStyle name="Table Head Aligned 22 2" xfId="20286"/>
    <cellStyle name="Table Head Aligned 22_15-FINANCEIRAS" xfId="20287"/>
    <cellStyle name="Table Head Aligned 23" xfId="20288"/>
    <cellStyle name="Table Head Aligned 23 2" xfId="20289"/>
    <cellStyle name="Table Head Aligned 23_15-FINANCEIRAS" xfId="20290"/>
    <cellStyle name="Table Head Aligned 24" xfId="20291"/>
    <cellStyle name="Table Head Aligned 24 2" xfId="20292"/>
    <cellStyle name="Table Head Aligned 24_15-FINANCEIRAS" xfId="20293"/>
    <cellStyle name="Table Head Aligned 25" xfId="20294"/>
    <cellStyle name="Table Head Aligned 25 2" xfId="20295"/>
    <cellStyle name="Table Head Aligned 25_15-FINANCEIRAS" xfId="20296"/>
    <cellStyle name="Table Head Aligned 26" xfId="20297"/>
    <cellStyle name="Table Head Aligned 26 2" xfId="20298"/>
    <cellStyle name="Table Head Aligned 26_15-FINANCEIRAS" xfId="20299"/>
    <cellStyle name="Table Head Aligned 27" xfId="20300"/>
    <cellStyle name="Table Head Aligned 27 2" xfId="20301"/>
    <cellStyle name="Table Head Aligned 27_15-FINANCEIRAS" xfId="20302"/>
    <cellStyle name="Table Head Aligned 28" xfId="20303"/>
    <cellStyle name="Table Head Aligned 28 2" xfId="20304"/>
    <cellStyle name="Table Head Aligned 28_15-FINANCEIRAS" xfId="20305"/>
    <cellStyle name="Table Head Aligned 29" xfId="20306"/>
    <cellStyle name="Table Head Aligned 29 2" xfId="20307"/>
    <cellStyle name="Table Head Aligned 29_15-FINANCEIRAS" xfId="20308"/>
    <cellStyle name="Table Head Aligned 3" xfId="20309"/>
    <cellStyle name="Table Head Aligned 3 2" xfId="20310"/>
    <cellStyle name="Table Head Aligned 3 2 2" xfId="20311"/>
    <cellStyle name="Table Head Aligned 3 2 2 2" xfId="20312"/>
    <cellStyle name="Table Head Aligned 3 2 2_15-FINANCEIRAS" xfId="20313"/>
    <cellStyle name="Table Head Aligned 3 2 3" xfId="20314"/>
    <cellStyle name="Table Head Aligned 3 2 3 2" xfId="20315"/>
    <cellStyle name="Table Head Aligned 3 2 3_15-FINANCEIRAS" xfId="20316"/>
    <cellStyle name="Table Head Aligned 3 2 4" xfId="20317"/>
    <cellStyle name="Table Head Aligned 3 2 4 2" xfId="20318"/>
    <cellStyle name="Table Head Aligned 3 2 4_15-FINANCEIRAS" xfId="20319"/>
    <cellStyle name="Table Head Aligned 3 2 5" xfId="20320"/>
    <cellStyle name="Table Head Aligned 3 2_15-FINANCEIRAS" xfId="20321"/>
    <cellStyle name="Table Head Aligned 3 3" xfId="20322"/>
    <cellStyle name="Table Head Aligned 3 3 2" xfId="20323"/>
    <cellStyle name="Table Head Aligned 3 3 2 2" xfId="20324"/>
    <cellStyle name="Table Head Aligned 3 3 2_15-FINANCEIRAS" xfId="20325"/>
    <cellStyle name="Table Head Aligned 3 3 3" xfId="20326"/>
    <cellStyle name="Table Head Aligned 3 3_15-FINANCEIRAS" xfId="20327"/>
    <cellStyle name="Table Head Aligned 3 4" xfId="20328"/>
    <cellStyle name="Table Head Aligned 3 4 2" xfId="20329"/>
    <cellStyle name="Table Head Aligned 3 4_15-FINANCEIRAS" xfId="20330"/>
    <cellStyle name="Table Head Aligned 3 5" xfId="20331"/>
    <cellStyle name="Table Head Aligned 3 5 2" xfId="20332"/>
    <cellStyle name="Table Head Aligned 3 5_15-FINANCEIRAS" xfId="20333"/>
    <cellStyle name="Table Head Aligned 3 6" xfId="20334"/>
    <cellStyle name="Table Head Aligned 3 6 2" xfId="20335"/>
    <cellStyle name="Table Head Aligned 3 6_15-FINANCEIRAS" xfId="20336"/>
    <cellStyle name="Table Head Aligned 3 7" xfId="20337"/>
    <cellStyle name="Table Head Aligned 3 7 2" xfId="20338"/>
    <cellStyle name="Table Head Aligned 3 7_15-FINANCEIRAS" xfId="20339"/>
    <cellStyle name="Table Head Aligned 3 8" xfId="20340"/>
    <cellStyle name="Table Head Aligned 3 9" xfId="20341"/>
    <cellStyle name="Table Head Aligned 3_15-FINANCEIRAS" xfId="20342"/>
    <cellStyle name="Table Head Aligned 30" xfId="20343"/>
    <cellStyle name="Table Head Aligned 30 2" xfId="20344"/>
    <cellStyle name="Table Head Aligned 30_15-FINANCEIRAS" xfId="20345"/>
    <cellStyle name="Table Head Aligned 31" xfId="20346"/>
    <cellStyle name="Table Head Aligned 31 2" xfId="20347"/>
    <cellStyle name="Table Head Aligned 31_15-FINANCEIRAS" xfId="20348"/>
    <cellStyle name="Table Head Aligned 32" xfId="20349"/>
    <cellStyle name="Table Head Aligned 32 2" xfId="20350"/>
    <cellStyle name="Table Head Aligned 32_15-FINANCEIRAS" xfId="20351"/>
    <cellStyle name="Table Head Aligned 33" xfId="20352"/>
    <cellStyle name="Table Head Aligned 33 2" xfId="20353"/>
    <cellStyle name="Table Head Aligned 33_15-FINANCEIRAS" xfId="20354"/>
    <cellStyle name="Table Head Aligned 34" xfId="20355"/>
    <cellStyle name="Table Head Aligned 34 2" xfId="20356"/>
    <cellStyle name="Table Head Aligned 34_15-FINANCEIRAS" xfId="20357"/>
    <cellStyle name="Table Head Aligned 35" xfId="20358"/>
    <cellStyle name="Table Head Aligned 35 2" xfId="20359"/>
    <cellStyle name="Table Head Aligned 35_15-FINANCEIRAS" xfId="20360"/>
    <cellStyle name="Table Head Aligned 36" xfId="20361"/>
    <cellStyle name="Table Head Aligned 36 2" xfId="20362"/>
    <cellStyle name="Table Head Aligned 36_15-FINANCEIRAS" xfId="20363"/>
    <cellStyle name="Table Head Aligned 37" xfId="20364"/>
    <cellStyle name="Table Head Aligned 37 2" xfId="20365"/>
    <cellStyle name="Table Head Aligned 37_15-FINANCEIRAS" xfId="20366"/>
    <cellStyle name="Table Head Aligned 38" xfId="20367"/>
    <cellStyle name="Table Head Aligned 39" xfId="20368"/>
    <cellStyle name="Table Head Aligned 4" xfId="20369"/>
    <cellStyle name="Table Head Aligned 4 2" xfId="20370"/>
    <cellStyle name="Table Head Aligned 4 2 2" xfId="20371"/>
    <cellStyle name="Table Head Aligned 4 2_15-FINANCEIRAS" xfId="20372"/>
    <cellStyle name="Table Head Aligned 4 3" xfId="20373"/>
    <cellStyle name="Table Head Aligned 4 3 2" xfId="20374"/>
    <cellStyle name="Table Head Aligned 4 3_15-FINANCEIRAS" xfId="20375"/>
    <cellStyle name="Table Head Aligned 4 4" xfId="20376"/>
    <cellStyle name="Table Head Aligned 4 4 2" xfId="20377"/>
    <cellStyle name="Table Head Aligned 4 4_15-FINANCEIRAS" xfId="20378"/>
    <cellStyle name="Table Head Aligned 4 5" xfId="20379"/>
    <cellStyle name="Table Head Aligned 4 5 2" xfId="20380"/>
    <cellStyle name="Table Head Aligned 4 5_15-FINANCEIRAS" xfId="20381"/>
    <cellStyle name="Table Head Aligned 4 6" xfId="20382"/>
    <cellStyle name="Table Head Aligned 4_15-FINANCEIRAS" xfId="20383"/>
    <cellStyle name="Table Head Aligned 40" xfId="20384"/>
    <cellStyle name="Table Head Aligned 41" xfId="20385"/>
    <cellStyle name="Table Head Aligned 42" xfId="20386"/>
    <cellStyle name="Table Head Aligned 5" xfId="20387"/>
    <cellStyle name="Table Head Aligned 5 2" xfId="20388"/>
    <cellStyle name="Table Head Aligned 5 2 2" xfId="20389"/>
    <cellStyle name="Table Head Aligned 5 2_15-FINANCEIRAS" xfId="20390"/>
    <cellStyle name="Table Head Aligned 5 3" xfId="20391"/>
    <cellStyle name="Table Head Aligned 5_15-FINANCEIRAS" xfId="20392"/>
    <cellStyle name="Table Head Aligned 6" xfId="20393"/>
    <cellStyle name="Table Head Aligned 6 2" xfId="20394"/>
    <cellStyle name="Table Head Aligned 6 2 2" xfId="20395"/>
    <cellStyle name="Table Head Aligned 6 2_15-FINANCEIRAS" xfId="20396"/>
    <cellStyle name="Table Head Aligned 6 3" xfId="20397"/>
    <cellStyle name="Table Head Aligned 6_15-FINANCEIRAS" xfId="20398"/>
    <cellStyle name="Table Head Aligned 7" xfId="20399"/>
    <cellStyle name="Table Head Aligned 7 2" xfId="20400"/>
    <cellStyle name="Table Head Aligned 7_15-FINANCEIRAS" xfId="20401"/>
    <cellStyle name="Table Head Aligned 8" xfId="20402"/>
    <cellStyle name="Table Head Aligned 8 2" xfId="20403"/>
    <cellStyle name="Table Head Aligned 8_15-FINANCEIRAS" xfId="20404"/>
    <cellStyle name="Table Head Aligned 9" xfId="20405"/>
    <cellStyle name="Table Head Aligned 9 2" xfId="20406"/>
    <cellStyle name="Table Head Aligned 9_15-FINANCEIRAS" xfId="20407"/>
    <cellStyle name="Table Head Aligned_15-FINANCEIRAS" xfId="20408"/>
    <cellStyle name="Table Head_15-FINANCEIRAS" xfId="20409"/>
    <cellStyle name="Table Title" xfId="20410"/>
    <cellStyle name="Table Title 2" xfId="20411"/>
    <cellStyle name="Table Title 2 2" xfId="20412"/>
    <cellStyle name="Table Title 2_15-FINANCEIRAS" xfId="20413"/>
    <cellStyle name="Table Title 3" xfId="20414"/>
    <cellStyle name="Table Title 3 2" xfId="20415"/>
    <cellStyle name="Table Title 3_15-FINANCEIRAS" xfId="20416"/>
    <cellStyle name="Table Title 4" xfId="20417"/>
    <cellStyle name="Table Title 4 2" xfId="20418"/>
    <cellStyle name="Table Title 4_15-FINANCEIRAS" xfId="20419"/>
    <cellStyle name="Table Title 5" xfId="20420"/>
    <cellStyle name="Table Title_15-FINANCEIRAS" xfId="20421"/>
    <cellStyle name="TESTE" xfId="20422"/>
    <cellStyle name="TESTE 2" xfId="20423"/>
    <cellStyle name="TESTE_15-FINANCEIRAS" xfId="20424"/>
    <cellStyle name="Texto de Aviso 10" xfId="20425"/>
    <cellStyle name="Texto de Aviso 2" xfId="20426"/>
    <cellStyle name="Texto de Aviso 2 2" xfId="20427"/>
    <cellStyle name="Texto de Aviso 2 2 2" xfId="20428"/>
    <cellStyle name="Texto de Aviso 2 2_15-FINANCEIRAS" xfId="20429"/>
    <cellStyle name="Texto de Aviso 2 3" xfId="20430"/>
    <cellStyle name="Texto de Aviso 2 3 2" xfId="20431"/>
    <cellStyle name="Texto de Aviso 2 3_15-FINANCEIRAS" xfId="20432"/>
    <cellStyle name="Texto de Aviso 2 4" xfId="20433"/>
    <cellStyle name="Texto de Aviso 2 4 2" xfId="20434"/>
    <cellStyle name="Texto de Aviso 2 4_15-FINANCEIRAS" xfId="20435"/>
    <cellStyle name="Texto de Aviso 2 5" xfId="20436"/>
    <cellStyle name="Texto de Aviso 2 5 2" xfId="20437"/>
    <cellStyle name="Texto de Aviso 2 5_15-FINANCEIRAS" xfId="20438"/>
    <cellStyle name="Texto de Aviso 2 6" xfId="20439"/>
    <cellStyle name="Texto de Aviso 2 7" xfId="21537"/>
    <cellStyle name="Texto de Aviso 2_15-FINANCEIRAS" xfId="20440"/>
    <cellStyle name="Texto de Aviso 3" xfId="20441"/>
    <cellStyle name="Texto de Aviso 3 2" xfId="20442"/>
    <cellStyle name="Texto de Aviso 3 2 2" xfId="20443"/>
    <cellStyle name="Texto de Aviso 3 2_15-FINANCEIRAS" xfId="20444"/>
    <cellStyle name="Texto de Aviso 3 3" xfId="20445"/>
    <cellStyle name="Texto de Aviso 3 3 2" xfId="20446"/>
    <cellStyle name="Texto de Aviso 3 3_15-FINANCEIRAS" xfId="20447"/>
    <cellStyle name="Texto de Aviso 3 4" xfId="20448"/>
    <cellStyle name="Texto de Aviso 3 4 2" xfId="20449"/>
    <cellStyle name="Texto de Aviso 3 4_15-FINANCEIRAS" xfId="20450"/>
    <cellStyle name="Texto de Aviso 3 5" xfId="20451"/>
    <cellStyle name="Texto de Aviso 3_15-FINANCEIRAS" xfId="20452"/>
    <cellStyle name="Texto de Aviso 4" xfId="20453"/>
    <cellStyle name="Texto de Aviso 4 2" xfId="20454"/>
    <cellStyle name="Texto de Aviso 4 2 2" xfId="20455"/>
    <cellStyle name="Texto de Aviso 4 2_15-FINANCEIRAS" xfId="20456"/>
    <cellStyle name="Texto de Aviso 4 3" xfId="20457"/>
    <cellStyle name="Texto de Aviso 4 3 2" xfId="20458"/>
    <cellStyle name="Texto de Aviso 4 3_15-FINANCEIRAS" xfId="20459"/>
    <cellStyle name="Texto de Aviso 4 4" xfId="20460"/>
    <cellStyle name="Texto de Aviso 4 4 2" xfId="20461"/>
    <cellStyle name="Texto de Aviso 4 4_15-FINANCEIRAS" xfId="20462"/>
    <cellStyle name="Texto de Aviso 4 5" xfId="20463"/>
    <cellStyle name="Texto de Aviso 4_15-FINANCEIRAS" xfId="20464"/>
    <cellStyle name="Texto de Aviso 5" xfId="20465"/>
    <cellStyle name="Texto de Aviso 5 2" xfId="20466"/>
    <cellStyle name="Texto de Aviso 5 2 2" xfId="20467"/>
    <cellStyle name="Texto de Aviso 5 2_15-FINANCEIRAS" xfId="20468"/>
    <cellStyle name="Texto de Aviso 5 3" xfId="20469"/>
    <cellStyle name="Texto de Aviso 5 3 2" xfId="20470"/>
    <cellStyle name="Texto de Aviso 5 3_15-FINANCEIRAS" xfId="20471"/>
    <cellStyle name="Texto de Aviso 5 4" xfId="20472"/>
    <cellStyle name="Texto de Aviso 5 4 2" xfId="20473"/>
    <cellStyle name="Texto de Aviso 5 4_15-FINANCEIRAS" xfId="20474"/>
    <cellStyle name="Texto de Aviso 5 5" xfId="20475"/>
    <cellStyle name="Texto de Aviso 5_15-FINANCEIRAS" xfId="20476"/>
    <cellStyle name="Texto de Aviso 6" xfId="20477"/>
    <cellStyle name="Texto de Aviso 6 2" xfId="20478"/>
    <cellStyle name="Texto de Aviso 6 2 2" xfId="20479"/>
    <cellStyle name="Texto de Aviso 6 2_15-FINANCEIRAS" xfId="20480"/>
    <cellStyle name="Texto de Aviso 6 3" xfId="20481"/>
    <cellStyle name="Texto de Aviso 6 3 2" xfId="20482"/>
    <cellStyle name="Texto de Aviso 6 3_15-FINANCEIRAS" xfId="20483"/>
    <cellStyle name="Texto de Aviso 6 4" xfId="20484"/>
    <cellStyle name="Texto de Aviso 6 4 2" xfId="20485"/>
    <cellStyle name="Texto de Aviso 6 4_15-FINANCEIRAS" xfId="20486"/>
    <cellStyle name="Texto de Aviso 6 5" xfId="20487"/>
    <cellStyle name="Texto de Aviso 6_15-FINANCEIRAS" xfId="20488"/>
    <cellStyle name="Texto de Aviso 7" xfId="20489"/>
    <cellStyle name="Texto de Aviso 7 2" xfId="20490"/>
    <cellStyle name="Texto de Aviso 7 2 2" xfId="20491"/>
    <cellStyle name="Texto de Aviso 7 2_15-FINANCEIRAS" xfId="20492"/>
    <cellStyle name="Texto de Aviso 7 3" xfId="20493"/>
    <cellStyle name="Texto de Aviso 7 3 2" xfId="20494"/>
    <cellStyle name="Texto de Aviso 7 3_15-FINANCEIRAS" xfId="20495"/>
    <cellStyle name="Texto de Aviso 7 4" xfId="20496"/>
    <cellStyle name="Texto de Aviso 7 4 2" xfId="20497"/>
    <cellStyle name="Texto de Aviso 7 4_15-FINANCEIRAS" xfId="20498"/>
    <cellStyle name="Texto de Aviso 7 5" xfId="20499"/>
    <cellStyle name="Texto de Aviso 7_15-FINANCEIRAS" xfId="20500"/>
    <cellStyle name="Texto de Aviso 8" xfId="20501"/>
    <cellStyle name="Texto de Aviso 8 2" xfId="20502"/>
    <cellStyle name="Texto de Aviso 8_15-FINANCEIRAS" xfId="20503"/>
    <cellStyle name="Texto de Aviso 9" xfId="20504"/>
    <cellStyle name="Texto Explicativo 10" xfId="20505"/>
    <cellStyle name="Texto Explicativo 2" xfId="20506"/>
    <cellStyle name="Texto Explicativo 2 2" xfId="20507"/>
    <cellStyle name="Texto Explicativo 2 2 2" xfId="20508"/>
    <cellStyle name="Texto Explicativo 2 2_15-FINANCEIRAS" xfId="20509"/>
    <cellStyle name="Texto Explicativo 2 3" xfId="20510"/>
    <cellStyle name="Texto Explicativo 2 3 2" xfId="20511"/>
    <cellStyle name="Texto Explicativo 2 3_15-FINANCEIRAS" xfId="20512"/>
    <cellStyle name="Texto Explicativo 2 4" xfId="20513"/>
    <cellStyle name="Texto Explicativo 2 4 2" xfId="20514"/>
    <cellStyle name="Texto Explicativo 2 4_15-FINANCEIRAS" xfId="20515"/>
    <cellStyle name="Texto Explicativo 2 5" xfId="20516"/>
    <cellStyle name="Texto Explicativo 2 5 2" xfId="20517"/>
    <cellStyle name="Texto Explicativo 2 5_15-FINANCEIRAS" xfId="20518"/>
    <cellStyle name="Texto Explicativo 2 6" xfId="20519"/>
    <cellStyle name="Texto Explicativo 2 6 2" xfId="20520"/>
    <cellStyle name="Texto Explicativo 2 6_15-FINANCEIRAS" xfId="20521"/>
    <cellStyle name="Texto Explicativo 2 7" xfId="20522"/>
    <cellStyle name="Texto Explicativo 2 8" xfId="21538"/>
    <cellStyle name="Texto Explicativo 2_11_Combinação de neg. Zanin" xfId="20523"/>
    <cellStyle name="Texto Explicativo 3" xfId="20524"/>
    <cellStyle name="Texto Explicativo 3 2" xfId="20525"/>
    <cellStyle name="Texto Explicativo 3 2 2" xfId="20526"/>
    <cellStyle name="Texto Explicativo 3 2_15-FINANCEIRAS" xfId="20527"/>
    <cellStyle name="Texto Explicativo 3 3" xfId="20528"/>
    <cellStyle name="Texto Explicativo 3 3 2" xfId="20529"/>
    <cellStyle name="Texto Explicativo 3 3_15-FINANCEIRAS" xfId="20530"/>
    <cellStyle name="Texto Explicativo 3 4" xfId="20531"/>
    <cellStyle name="Texto Explicativo 3 4 2" xfId="20532"/>
    <cellStyle name="Texto Explicativo 3 4_15-FINANCEIRAS" xfId="20533"/>
    <cellStyle name="Texto Explicativo 3 5" xfId="20534"/>
    <cellStyle name="Texto Explicativo 3_15-FINANCEIRAS" xfId="20535"/>
    <cellStyle name="Texto Explicativo 4" xfId="20536"/>
    <cellStyle name="Texto Explicativo 4 2" xfId="20537"/>
    <cellStyle name="Texto Explicativo 4 2 2" xfId="20538"/>
    <cellStyle name="Texto Explicativo 4 2_15-FINANCEIRAS" xfId="20539"/>
    <cellStyle name="Texto Explicativo 4 3" xfId="20540"/>
    <cellStyle name="Texto Explicativo 4 3 2" xfId="20541"/>
    <cellStyle name="Texto Explicativo 4 3_15-FINANCEIRAS" xfId="20542"/>
    <cellStyle name="Texto Explicativo 4 4" xfId="20543"/>
    <cellStyle name="Texto Explicativo 4 4 2" xfId="20544"/>
    <cellStyle name="Texto Explicativo 4 4_15-FINANCEIRAS" xfId="20545"/>
    <cellStyle name="Texto Explicativo 4 5" xfId="20546"/>
    <cellStyle name="Texto Explicativo 4_15-FINANCEIRAS" xfId="20547"/>
    <cellStyle name="Texto Explicativo 5" xfId="20548"/>
    <cellStyle name="Texto Explicativo 5 2" xfId="20549"/>
    <cellStyle name="Texto Explicativo 5 2 2" xfId="20550"/>
    <cellStyle name="Texto Explicativo 5 2_15-FINANCEIRAS" xfId="20551"/>
    <cellStyle name="Texto Explicativo 5 3" xfId="20552"/>
    <cellStyle name="Texto Explicativo 5 3 2" xfId="20553"/>
    <cellStyle name="Texto Explicativo 5 3_15-FINANCEIRAS" xfId="20554"/>
    <cellStyle name="Texto Explicativo 5 4" xfId="20555"/>
    <cellStyle name="Texto Explicativo 5 4 2" xfId="20556"/>
    <cellStyle name="Texto Explicativo 5 4_15-FINANCEIRAS" xfId="20557"/>
    <cellStyle name="Texto Explicativo 5 5" xfId="20558"/>
    <cellStyle name="Texto Explicativo 5_15-FINANCEIRAS" xfId="20559"/>
    <cellStyle name="Texto Explicativo 6" xfId="20560"/>
    <cellStyle name="Texto Explicativo 6 2" xfId="20561"/>
    <cellStyle name="Texto Explicativo 6 2 2" xfId="20562"/>
    <cellStyle name="Texto Explicativo 6 2_15-FINANCEIRAS" xfId="20563"/>
    <cellStyle name="Texto Explicativo 6 3" xfId="20564"/>
    <cellStyle name="Texto Explicativo 6 3 2" xfId="20565"/>
    <cellStyle name="Texto Explicativo 6 3_15-FINANCEIRAS" xfId="20566"/>
    <cellStyle name="Texto Explicativo 6 4" xfId="20567"/>
    <cellStyle name="Texto Explicativo 6 4 2" xfId="20568"/>
    <cellStyle name="Texto Explicativo 6 4_15-FINANCEIRAS" xfId="20569"/>
    <cellStyle name="Texto Explicativo 6 5" xfId="20570"/>
    <cellStyle name="Texto Explicativo 6_15-FINANCEIRAS" xfId="20571"/>
    <cellStyle name="Texto Explicativo 7" xfId="20572"/>
    <cellStyle name="Texto Explicativo 7 2" xfId="20573"/>
    <cellStyle name="Texto Explicativo 7 2 2" xfId="20574"/>
    <cellStyle name="Texto Explicativo 7 2_15-FINANCEIRAS" xfId="20575"/>
    <cellStyle name="Texto Explicativo 7 3" xfId="20576"/>
    <cellStyle name="Texto Explicativo 7 3 2" xfId="20577"/>
    <cellStyle name="Texto Explicativo 7 3_15-FINANCEIRAS" xfId="20578"/>
    <cellStyle name="Texto Explicativo 7 4" xfId="20579"/>
    <cellStyle name="Texto Explicativo 7 4 2" xfId="20580"/>
    <cellStyle name="Texto Explicativo 7 4_15-FINANCEIRAS" xfId="20581"/>
    <cellStyle name="Texto Explicativo 7 5" xfId="20582"/>
    <cellStyle name="Texto Explicativo 7_15-FINANCEIRAS" xfId="20583"/>
    <cellStyle name="Texto Explicativo 8" xfId="20584"/>
    <cellStyle name="Texto Explicativo 8 2" xfId="20585"/>
    <cellStyle name="Texto Explicativo 8_15-FINANCEIRAS" xfId="20586"/>
    <cellStyle name="Texto Explicativo 9" xfId="20587"/>
    <cellStyle name="þ_x001d_ð*&amp;„ýš&amp;}ý_x000b__x0008_Ó_x000d_¬_x000e__x0007__x0001__x0001_" xfId="20588"/>
    <cellStyle name="þ_x001d_ð*&amp;„ýš&amp;}ý_x000b__x0008_Ó_x000d_¬_x000e__x0007__x0001__x0001_ 2" xfId="20589"/>
    <cellStyle name="þ_x001d_ð*&amp;„ýš&amp;}ý_x000b__x0008_Ó_x000d_¬_x000e__x0007__x0001__x0001__15-FINANCEIRAS" xfId="20590"/>
    <cellStyle name="þ_x001d_ðÍ%–ý&amp;‰ýG_x0008_{_x0010_X_x0011__x0007__x0001__x0001_" xfId="179"/>
    <cellStyle name="Tickmark" xfId="20591"/>
    <cellStyle name="Tickmark 2" xfId="20592"/>
    <cellStyle name="Tickmark 2 2" xfId="20593"/>
    <cellStyle name="Tickmark 2_15-FINANCEIRAS" xfId="20594"/>
    <cellStyle name="Tickmark 3" xfId="20595"/>
    <cellStyle name="Tickmark 3 2" xfId="20596"/>
    <cellStyle name="Tickmark 3_15-FINANCEIRAS" xfId="20597"/>
    <cellStyle name="Tickmark 4" xfId="20598"/>
    <cellStyle name="Tickmark_15-FINANCEIRAS" xfId="20599"/>
    <cellStyle name="Title" xfId="109" builtinId="15" customBuiltin="1"/>
    <cellStyle name="Title 2" xfId="20600"/>
    <cellStyle name="Title 2 2" xfId="20601"/>
    <cellStyle name="Title 2 2 2" xfId="20602"/>
    <cellStyle name="Title 2 2 2 2" xfId="20603"/>
    <cellStyle name="Title 2 2 2_15-FINANCEIRAS" xfId="20604"/>
    <cellStyle name="Title 2 2 3" xfId="20605"/>
    <cellStyle name="Title 2 2_15-FINANCEIRAS" xfId="20606"/>
    <cellStyle name="Title 2 3" xfId="20607"/>
    <cellStyle name="Title 2 3 2" xfId="20608"/>
    <cellStyle name="Title 2 3 2 2" xfId="20609"/>
    <cellStyle name="Title 2 3 2_15-FINANCEIRAS" xfId="20610"/>
    <cellStyle name="Title 2 3 3" xfId="20611"/>
    <cellStyle name="Title 2 3_15-FINANCEIRAS" xfId="20612"/>
    <cellStyle name="Title 2 4" xfId="20613"/>
    <cellStyle name="Title 2 4 2" xfId="20614"/>
    <cellStyle name="Title 2 4 2 2" xfId="20615"/>
    <cellStyle name="Title 2 4 2_15-FINANCEIRAS" xfId="20616"/>
    <cellStyle name="Title 2 4 3" xfId="20617"/>
    <cellStyle name="Title 2 4_15-FINANCEIRAS" xfId="20618"/>
    <cellStyle name="Title 2 5" xfId="20619"/>
    <cellStyle name="Title 2 5 2" xfId="20620"/>
    <cellStyle name="Title 2 5_15-FINANCEIRAS" xfId="20621"/>
    <cellStyle name="Title 2 6" xfId="20622"/>
    <cellStyle name="Title 2 6 2" xfId="20623"/>
    <cellStyle name="Title 2 6_15-FINANCEIRAS" xfId="20624"/>
    <cellStyle name="Title 2 7" xfId="20625"/>
    <cellStyle name="Title 2_15-FINANCEIRAS" xfId="20626"/>
    <cellStyle name="Title 3" xfId="20627"/>
    <cellStyle name="Title 3 2" xfId="20628"/>
    <cellStyle name="Title 3 2 2" xfId="20629"/>
    <cellStyle name="Title 3 2 2 2" xfId="20630"/>
    <cellStyle name="Title 3 2 2_15-FINANCEIRAS" xfId="20631"/>
    <cellStyle name="Title 3 2 3" xfId="20632"/>
    <cellStyle name="Title 3 2_15-FINANCEIRAS" xfId="20633"/>
    <cellStyle name="Title 3 3" xfId="20634"/>
    <cellStyle name="Title 3 3 2" xfId="20635"/>
    <cellStyle name="Title 3 3 2 2" xfId="20636"/>
    <cellStyle name="Title 3 3 2_15-FINANCEIRAS" xfId="20637"/>
    <cellStyle name="Title 3 3 3" xfId="20638"/>
    <cellStyle name="Title 3 3_15-FINANCEIRAS" xfId="20639"/>
    <cellStyle name="Title 3 4" xfId="20640"/>
    <cellStyle name="Title 3 4 2" xfId="20641"/>
    <cellStyle name="Title 3 4 2 2" xfId="20642"/>
    <cellStyle name="Title 3 4 2_15-FINANCEIRAS" xfId="20643"/>
    <cellStyle name="Title 3 4 3" xfId="20644"/>
    <cellStyle name="Title 3 4_15-FINANCEIRAS" xfId="20645"/>
    <cellStyle name="Title 3 5" xfId="20646"/>
    <cellStyle name="Title 3 5 2" xfId="20647"/>
    <cellStyle name="Title 3 5_15-FINANCEIRAS" xfId="20648"/>
    <cellStyle name="Title 3 6" xfId="20649"/>
    <cellStyle name="Title 3_15-FINANCEIRAS" xfId="20650"/>
    <cellStyle name="Title 4" xfId="20651"/>
    <cellStyle name="Title 4 2" xfId="20652"/>
    <cellStyle name="Title 4_15-FINANCEIRAS" xfId="20653"/>
    <cellStyle name="Title 5" xfId="20654"/>
    <cellStyle name="Title 5 2" xfId="20655"/>
    <cellStyle name="Title 5_15-FINANCEIRAS" xfId="20656"/>
    <cellStyle name="Title 6" xfId="20657"/>
    <cellStyle name="Title 7" xfId="20658"/>
    <cellStyle name="Titles_Amil model" xfId="110"/>
    <cellStyle name="Título 1 10" xfId="20659"/>
    <cellStyle name="Título 1 2" xfId="20660"/>
    <cellStyle name="Título 1 2 2" xfId="20661"/>
    <cellStyle name="Título 1 2 2 2" xfId="20662"/>
    <cellStyle name="Título 1 2 2_15-FINANCEIRAS" xfId="20663"/>
    <cellStyle name="Título 1 2 3" xfId="20664"/>
    <cellStyle name="Título 1 2 3 2" xfId="20665"/>
    <cellStyle name="Título 1 2 3_15-FINANCEIRAS" xfId="20666"/>
    <cellStyle name="Título 1 2 4" xfId="20667"/>
    <cellStyle name="Título 1 2 4 2" xfId="20668"/>
    <cellStyle name="Título 1 2 4_15-FINANCEIRAS" xfId="20669"/>
    <cellStyle name="Título 1 2 5" xfId="20670"/>
    <cellStyle name="Título 1 2 5 2" xfId="20671"/>
    <cellStyle name="Título 1 2 5_15-FINANCEIRAS" xfId="20672"/>
    <cellStyle name="Título 1 2 6" xfId="20673"/>
    <cellStyle name="Título 1 2 6 2" xfId="20674"/>
    <cellStyle name="Título 1 2 6_15-FINANCEIRAS" xfId="20675"/>
    <cellStyle name="Título 1 2 7" xfId="20676"/>
    <cellStyle name="Título 1 2 8" xfId="21539"/>
    <cellStyle name="Título 1 2_11_Combinação de neg. Zanin" xfId="20677"/>
    <cellStyle name="Título 1 3" xfId="20678"/>
    <cellStyle name="Título 1 3 2" xfId="20679"/>
    <cellStyle name="Título 1 3 2 2" xfId="20680"/>
    <cellStyle name="Título 1 3 2_15-FINANCEIRAS" xfId="20681"/>
    <cellStyle name="Título 1 3 3" xfId="20682"/>
    <cellStyle name="Título 1 3 3 2" xfId="20683"/>
    <cellStyle name="Título 1 3 3_15-FINANCEIRAS" xfId="20684"/>
    <cellStyle name="Título 1 3 4" xfId="20685"/>
    <cellStyle name="Título 1 3 4 2" xfId="20686"/>
    <cellStyle name="Título 1 3 4_15-FINANCEIRAS" xfId="20687"/>
    <cellStyle name="Título 1 3 5" xfId="20688"/>
    <cellStyle name="Título 1 3_15-FINANCEIRAS" xfId="20689"/>
    <cellStyle name="Título 1 4" xfId="20690"/>
    <cellStyle name="Título 1 4 2" xfId="20691"/>
    <cellStyle name="Título 1 4 2 2" xfId="20692"/>
    <cellStyle name="Título 1 4 2_15-FINANCEIRAS" xfId="20693"/>
    <cellStyle name="Título 1 4 3" xfId="20694"/>
    <cellStyle name="Título 1 4 3 2" xfId="20695"/>
    <cellStyle name="Título 1 4 3_15-FINANCEIRAS" xfId="20696"/>
    <cellStyle name="Título 1 4 4" xfId="20697"/>
    <cellStyle name="Título 1 4 4 2" xfId="20698"/>
    <cellStyle name="Título 1 4 4_15-FINANCEIRAS" xfId="20699"/>
    <cellStyle name="Título 1 4 5" xfId="20700"/>
    <cellStyle name="Título 1 4_15-FINANCEIRAS" xfId="20701"/>
    <cellStyle name="Título 1 5" xfId="20702"/>
    <cellStyle name="Título 1 5 2" xfId="20703"/>
    <cellStyle name="Título 1 5 2 2" xfId="20704"/>
    <cellStyle name="Título 1 5 2_15-FINANCEIRAS" xfId="20705"/>
    <cellStyle name="Título 1 5 3" xfId="20706"/>
    <cellStyle name="Título 1 5 3 2" xfId="20707"/>
    <cellStyle name="Título 1 5 3_15-FINANCEIRAS" xfId="20708"/>
    <cellStyle name="Título 1 5 4" xfId="20709"/>
    <cellStyle name="Título 1 5 4 2" xfId="20710"/>
    <cellStyle name="Título 1 5 4_15-FINANCEIRAS" xfId="20711"/>
    <cellStyle name="Título 1 5 5" xfId="20712"/>
    <cellStyle name="Título 1 5_15-FINANCEIRAS" xfId="20713"/>
    <cellStyle name="Título 1 6" xfId="20714"/>
    <cellStyle name="Título 1 6 2" xfId="20715"/>
    <cellStyle name="Título 1 6 2 2" xfId="20716"/>
    <cellStyle name="Título 1 6 2_15-FINANCEIRAS" xfId="20717"/>
    <cellStyle name="Título 1 6 3" xfId="20718"/>
    <cellStyle name="Título 1 6 3 2" xfId="20719"/>
    <cellStyle name="Título 1 6 3_15-FINANCEIRAS" xfId="20720"/>
    <cellStyle name="Título 1 6 4" xfId="20721"/>
    <cellStyle name="Título 1 6 4 2" xfId="20722"/>
    <cellStyle name="Título 1 6 4_15-FINANCEIRAS" xfId="20723"/>
    <cellStyle name="Título 1 6 5" xfId="20724"/>
    <cellStyle name="Título 1 6_15-FINANCEIRAS" xfId="20725"/>
    <cellStyle name="Título 1 7" xfId="20726"/>
    <cellStyle name="Título 1 7 2" xfId="20727"/>
    <cellStyle name="Título 1 7 2 2" xfId="20728"/>
    <cellStyle name="Título 1 7 2_15-FINANCEIRAS" xfId="20729"/>
    <cellStyle name="Título 1 7 3" xfId="20730"/>
    <cellStyle name="Título 1 7 3 2" xfId="20731"/>
    <cellStyle name="Título 1 7 3_15-FINANCEIRAS" xfId="20732"/>
    <cellStyle name="Título 1 7 4" xfId="20733"/>
    <cellStyle name="Título 1 7 4 2" xfId="20734"/>
    <cellStyle name="Título 1 7 4_15-FINANCEIRAS" xfId="20735"/>
    <cellStyle name="Título 1 7 5" xfId="20736"/>
    <cellStyle name="Título 1 7_15-FINANCEIRAS" xfId="20737"/>
    <cellStyle name="Título 1 8" xfId="20738"/>
    <cellStyle name="Título 1 8 2" xfId="20739"/>
    <cellStyle name="Título 1 8_15-FINANCEIRAS" xfId="20740"/>
    <cellStyle name="Título 1 9" xfId="20741"/>
    <cellStyle name="Título 10" xfId="20742"/>
    <cellStyle name="Título 10 2" xfId="20743"/>
    <cellStyle name="Título 10 2 2" xfId="20744"/>
    <cellStyle name="Título 10 2_15-FINANCEIRAS" xfId="20745"/>
    <cellStyle name="Título 10 3" xfId="20746"/>
    <cellStyle name="Título 10 3 2" xfId="20747"/>
    <cellStyle name="Título 10 3_15-FINANCEIRAS" xfId="20748"/>
    <cellStyle name="Título 10 4" xfId="20749"/>
    <cellStyle name="Título 10 4 2" xfId="20750"/>
    <cellStyle name="Título 10 4_15-FINANCEIRAS" xfId="20751"/>
    <cellStyle name="Título 10 5" xfId="20752"/>
    <cellStyle name="Título 10_15-FINANCEIRAS" xfId="20753"/>
    <cellStyle name="Título 11" xfId="20754"/>
    <cellStyle name="Título 11 2" xfId="20755"/>
    <cellStyle name="Título 11_15-FINANCEIRAS" xfId="20756"/>
    <cellStyle name="Título 12" xfId="20757"/>
    <cellStyle name="Título 12 2" xfId="20758"/>
    <cellStyle name="Título 12_15-FINANCEIRAS" xfId="20759"/>
    <cellStyle name="Título 13" xfId="20760"/>
    <cellStyle name="Título 2 10" xfId="20761"/>
    <cellStyle name="Título 2 2" xfId="20762"/>
    <cellStyle name="Título 2 2 2" xfId="20763"/>
    <cellStyle name="Título 2 2 2 2" xfId="20764"/>
    <cellStyle name="Título 2 2 2_15-FINANCEIRAS" xfId="20765"/>
    <cellStyle name="Título 2 2 3" xfId="20766"/>
    <cellStyle name="Título 2 2 3 2" xfId="20767"/>
    <cellStyle name="Título 2 2 3_15-FINANCEIRAS" xfId="20768"/>
    <cellStyle name="Título 2 2 4" xfId="20769"/>
    <cellStyle name="Título 2 2 4 2" xfId="20770"/>
    <cellStyle name="Título 2 2 4_15-FINANCEIRAS" xfId="20771"/>
    <cellStyle name="Título 2 2 5" xfId="20772"/>
    <cellStyle name="Título 2 2 5 2" xfId="20773"/>
    <cellStyle name="Título 2 2 5_15-FINANCEIRAS" xfId="20774"/>
    <cellStyle name="Título 2 2 6" xfId="20775"/>
    <cellStyle name="Título 2 2 6 2" xfId="20776"/>
    <cellStyle name="Título 2 2 6_15-FINANCEIRAS" xfId="20777"/>
    <cellStyle name="Título 2 2 7" xfId="20778"/>
    <cellStyle name="Título 2 2 8" xfId="21540"/>
    <cellStyle name="Título 2 2_11_Combinação de neg. Zanin" xfId="20779"/>
    <cellStyle name="Título 2 3" xfId="20780"/>
    <cellStyle name="Título 2 3 2" xfId="20781"/>
    <cellStyle name="Título 2 3 2 2" xfId="20782"/>
    <cellStyle name="Título 2 3 2_15-FINANCEIRAS" xfId="20783"/>
    <cellStyle name="Título 2 3 3" xfId="20784"/>
    <cellStyle name="Título 2 3 3 2" xfId="20785"/>
    <cellStyle name="Título 2 3 3_15-FINANCEIRAS" xfId="20786"/>
    <cellStyle name="Título 2 3 4" xfId="20787"/>
    <cellStyle name="Título 2 3 4 2" xfId="20788"/>
    <cellStyle name="Título 2 3 4_15-FINANCEIRAS" xfId="20789"/>
    <cellStyle name="Título 2 3 5" xfId="20790"/>
    <cellStyle name="Título 2 3_11_Combinação de neg. Zanin" xfId="20791"/>
    <cellStyle name="Título 2 4" xfId="20792"/>
    <cellStyle name="Título 2 4 2" xfId="20793"/>
    <cellStyle name="Título 2 4 2 2" xfId="20794"/>
    <cellStyle name="Título 2 4 2_15-FINANCEIRAS" xfId="20795"/>
    <cellStyle name="Título 2 4 3" xfId="20796"/>
    <cellStyle name="Título 2 4 3 2" xfId="20797"/>
    <cellStyle name="Título 2 4 3_15-FINANCEIRAS" xfId="20798"/>
    <cellStyle name="Título 2 4 4" xfId="20799"/>
    <cellStyle name="Título 2 4 4 2" xfId="20800"/>
    <cellStyle name="Título 2 4 4_15-FINANCEIRAS" xfId="20801"/>
    <cellStyle name="Título 2 4 5" xfId="20802"/>
    <cellStyle name="Título 2 4_15-FINANCEIRAS" xfId="20803"/>
    <cellStyle name="Título 2 5" xfId="20804"/>
    <cellStyle name="Título 2 5 2" xfId="20805"/>
    <cellStyle name="Título 2 5 2 2" xfId="20806"/>
    <cellStyle name="Título 2 5 2_15-FINANCEIRAS" xfId="20807"/>
    <cellStyle name="Título 2 5 3" xfId="20808"/>
    <cellStyle name="Título 2 5 3 2" xfId="20809"/>
    <cellStyle name="Título 2 5 3_15-FINANCEIRAS" xfId="20810"/>
    <cellStyle name="Título 2 5 4" xfId="20811"/>
    <cellStyle name="Título 2 5 4 2" xfId="20812"/>
    <cellStyle name="Título 2 5 4_15-FINANCEIRAS" xfId="20813"/>
    <cellStyle name="Título 2 5 5" xfId="20814"/>
    <cellStyle name="Título 2 5_15-FINANCEIRAS" xfId="20815"/>
    <cellStyle name="Título 2 6" xfId="20816"/>
    <cellStyle name="Título 2 6 2" xfId="20817"/>
    <cellStyle name="Título 2 6 2 2" xfId="20818"/>
    <cellStyle name="Título 2 6 2_15-FINANCEIRAS" xfId="20819"/>
    <cellStyle name="Título 2 6 3" xfId="20820"/>
    <cellStyle name="Título 2 6 3 2" xfId="20821"/>
    <cellStyle name="Título 2 6 3_15-FINANCEIRAS" xfId="20822"/>
    <cellStyle name="Título 2 6 4" xfId="20823"/>
    <cellStyle name="Título 2 6 4 2" xfId="20824"/>
    <cellStyle name="Título 2 6 4_15-FINANCEIRAS" xfId="20825"/>
    <cellStyle name="Título 2 6 5" xfId="20826"/>
    <cellStyle name="Título 2 6_15-FINANCEIRAS" xfId="20827"/>
    <cellStyle name="Título 2 7" xfId="20828"/>
    <cellStyle name="Título 2 7 2" xfId="20829"/>
    <cellStyle name="Título 2 7 2 2" xfId="20830"/>
    <cellStyle name="Título 2 7 2_15-FINANCEIRAS" xfId="20831"/>
    <cellStyle name="Título 2 7 3" xfId="20832"/>
    <cellStyle name="Título 2 7 3 2" xfId="20833"/>
    <cellStyle name="Título 2 7 3_15-FINANCEIRAS" xfId="20834"/>
    <cellStyle name="Título 2 7 4" xfId="20835"/>
    <cellStyle name="Título 2 7 4 2" xfId="20836"/>
    <cellStyle name="Título 2 7 4_15-FINANCEIRAS" xfId="20837"/>
    <cellStyle name="Título 2 7 5" xfId="20838"/>
    <cellStyle name="Título 2 7_15-FINANCEIRAS" xfId="20839"/>
    <cellStyle name="Título 2 8" xfId="20840"/>
    <cellStyle name="Título 2 8 2" xfId="20841"/>
    <cellStyle name="Título 2 8_15-FINANCEIRAS" xfId="20842"/>
    <cellStyle name="Título 2 9" xfId="20843"/>
    <cellStyle name="Título 3 10" xfId="20844"/>
    <cellStyle name="Título 3 2" xfId="20845"/>
    <cellStyle name="Título 3 2 2" xfId="20846"/>
    <cellStyle name="Título 3 2 2 2" xfId="20847"/>
    <cellStyle name="Título 3 2 2_15-FINANCEIRAS" xfId="20848"/>
    <cellStyle name="Título 3 2 3" xfId="20849"/>
    <cellStyle name="Título 3 2 3 2" xfId="20850"/>
    <cellStyle name="Título 3 2 3_15-FINANCEIRAS" xfId="20851"/>
    <cellStyle name="Título 3 2 4" xfId="20852"/>
    <cellStyle name="Título 3 2 4 2" xfId="20853"/>
    <cellStyle name="Título 3 2 4_15-FINANCEIRAS" xfId="20854"/>
    <cellStyle name="Título 3 2 5" xfId="20855"/>
    <cellStyle name="Título 3 2 5 2" xfId="20856"/>
    <cellStyle name="Título 3 2 5_15-FINANCEIRAS" xfId="20857"/>
    <cellStyle name="Título 3 2 6" xfId="20858"/>
    <cellStyle name="Título 3 2 6 2" xfId="20859"/>
    <cellStyle name="Título 3 2 6_15-FINANCEIRAS" xfId="20860"/>
    <cellStyle name="Título 3 2 7" xfId="20861"/>
    <cellStyle name="Título 3 2 8" xfId="21541"/>
    <cellStyle name="Título 3 2_11_Combinação de neg. Zanin" xfId="20862"/>
    <cellStyle name="Título 3 3" xfId="20863"/>
    <cellStyle name="Título 3 3 2" xfId="20864"/>
    <cellStyle name="Título 3 3 2 2" xfId="20865"/>
    <cellStyle name="Título 3 3 2_15-FINANCEIRAS" xfId="20866"/>
    <cellStyle name="Título 3 3 3" xfId="20867"/>
    <cellStyle name="Título 3 3 3 2" xfId="20868"/>
    <cellStyle name="Título 3 3 3_15-FINANCEIRAS" xfId="20869"/>
    <cellStyle name="Título 3 3 4" xfId="20870"/>
    <cellStyle name="Título 3 3 4 2" xfId="20871"/>
    <cellStyle name="Título 3 3 4_15-FINANCEIRAS" xfId="20872"/>
    <cellStyle name="Título 3 3 5" xfId="20873"/>
    <cellStyle name="Título 3 3_15-FINANCEIRAS" xfId="20874"/>
    <cellStyle name="Título 3 4" xfId="20875"/>
    <cellStyle name="Título 3 4 2" xfId="20876"/>
    <cellStyle name="Título 3 4 2 2" xfId="20877"/>
    <cellStyle name="Título 3 4 2_15-FINANCEIRAS" xfId="20878"/>
    <cellStyle name="Título 3 4 3" xfId="20879"/>
    <cellStyle name="Título 3 4 3 2" xfId="20880"/>
    <cellStyle name="Título 3 4 3_15-FINANCEIRAS" xfId="20881"/>
    <cellStyle name="Título 3 4 4" xfId="20882"/>
    <cellStyle name="Título 3 4 4 2" xfId="20883"/>
    <cellStyle name="Título 3 4 4_15-FINANCEIRAS" xfId="20884"/>
    <cellStyle name="Título 3 4 5" xfId="20885"/>
    <cellStyle name="Título 3 4_15-FINANCEIRAS" xfId="20886"/>
    <cellStyle name="Título 3 5" xfId="20887"/>
    <cellStyle name="Título 3 5 2" xfId="20888"/>
    <cellStyle name="Título 3 5 2 2" xfId="20889"/>
    <cellStyle name="Título 3 5 2_15-FINANCEIRAS" xfId="20890"/>
    <cellStyle name="Título 3 5 3" xfId="20891"/>
    <cellStyle name="Título 3 5 3 2" xfId="20892"/>
    <cellStyle name="Título 3 5 3_15-FINANCEIRAS" xfId="20893"/>
    <cellStyle name="Título 3 5 4" xfId="20894"/>
    <cellStyle name="Título 3 5 4 2" xfId="20895"/>
    <cellStyle name="Título 3 5 4_15-FINANCEIRAS" xfId="20896"/>
    <cellStyle name="Título 3 5 5" xfId="20897"/>
    <cellStyle name="Título 3 5_15-FINANCEIRAS" xfId="20898"/>
    <cellStyle name="Título 3 6" xfId="20899"/>
    <cellStyle name="Título 3 6 2" xfId="20900"/>
    <cellStyle name="Título 3 6 2 2" xfId="20901"/>
    <cellStyle name="Título 3 6 2_15-FINANCEIRAS" xfId="20902"/>
    <cellStyle name="Título 3 6 3" xfId="20903"/>
    <cellStyle name="Título 3 6 3 2" xfId="20904"/>
    <cellStyle name="Título 3 6 3_15-FINANCEIRAS" xfId="20905"/>
    <cellStyle name="Título 3 6 4" xfId="20906"/>
    <cellStyle name="Título 3 6 4 2" xfId="20907"/>
    <cellStyle name="Título 3 6 4_15-FINANCEIRAS" xfId="20908"/>
    <cellStyle name="Título 3 6 5" xfId="20909"/>
    <cellStyle name="Título 3 6_15-FINANCEIRAS" xfId="20910"/>
    <cellStyle name="Título 3 7" xfId="20911"/>
    <cellStyle name="Título 3 7 2" xfId="20912"/>
    <cellStyle name="Título 3 7 2 2" xfId="20913"/>
    <cellStyle name="Título 3 7 2_15-FINANCEIRAS" xfId="20914"/>
    <cellStyle name="Título 3 7 3" xfId="20915"/>
    <cellStyle name="Título 3 7 3 2" xfId="20916"/>
    <cellStyle name="Título 3 7 3_15-FINANCEIRAS" xfId="20917"/>
    <cellStyle name="Título 3 7 4" xfId="20918"/>
    <cellStyle name="Título 3 7 4 2" xfId="20919"/>
    <cellStyle name="Título 3 7 4_15-FINANCEIRAS" xfId="20920"/>
    <cellStyle name="Título 3 7 5" xfId="20921"/>
    <cellStyle name="Título 3 7_15-FINANCEIRAS" xfId="20922"/>
    <cellStyle name="Título 3 8" xfId="20923"/>
    <cellStyle name="Título 3 8 2" xfId="20924"/>
    <cellStyle name="Título 3 8_15-FINANCEIRAS" xfId="20925"/>
    <cellStyle name="Título 3 9" xfId="20926"/>
    <cellStyle name="Título 4 10" xfId="20927"/>
    <cellStyle name="Título 4 2" xfId="20928"/>
    <cellStyle name="Título 4 2 2" xfId="20929"/>
    <cellStyle name="Título 4 2 2 2" xfId="20930"/>
    <cellStyle name="Título 4 2 2_15-FINANCEIRAS" xfId="20931"/>
    <cellStyle name="Título 4 2 3" xfId="20932"/>
    <cellStyle name="Título 4 2 3 2" xfId="20933"/>
    <cellStyle name="Título 4 2 3_15-FINANCEIRAS" xfId="20934"/>
    <cellStyle name="Título 4 2 4" xfId="20935"/>
    <cellStyle name="Título 4 2 4 2" xfId="20936"/>
    <cellStyle name="Título 4 2 4_15-FINANCEIRAS" xfId="20937"/>
    <cellStyle name="Título 4 2 5" xfId="20938"/>
    <cellStyle name="Título 4 2 5 2" xfId="20939"/>
    <cellStyle name="Título 4 2 5_15-FINANCEIRAS" xfId="20940"/>
    <cellStyle name="Título 4 2 6" xfId="20941"/>
    <cellStyle name="Título 4 2 6 2" xfId="20942"/>
    <cellStyle name="Título 4 2 6_15-FINANCEIRAS" xfId="20943"/>
    <cellStyle name="Título 4 2 7" xfId="20944"/>
    <cellStyle name="Título 4 2 8" xfId="21542"/>
    <cellStyle name="Título 4 2_11_Combinação de neg. Zanin" xfId="20945"/>
    <cellStyle name="Título 4 3" xfId="20946"/>
    <cellStyle name="Título 4 3 2" xfId="20947"/>
    <cellStyle name="Título 4 3 2 2" xfId="20948"/>
    <cellStyle name="Título 4 3 2_15-FINANCEIRAS" xfId="20949"/>
    <cellStyle name="Título 4 3 3" xfId="20950"/>
    <cellStyle name="Título 4 3 3 2" xfId="20951"/>
    <cellStyle name="Título 4 3 3_15-FINANCEIRAS" xfId="20952"/>
    <cellStyle name="Título 4 3 4" xfId="20953"/>
    <cellStyle name="Título 4 3 4 2" xfId="20954"/>
    <cellStyle name="Título 4 3 4_15-FINANCEIRAS" xfId="20955"/>
    <cellStyle name="Título 4 3 5" xfId="20956"/>
    <cellStyle name="Título 4 3_15-FINANCEIRAS" xfId="20957"/>
    <cellStyle name="Título 4 4" xfId="20958"/>
    <cellStyle name="Título 4 4 2" xfId="20959"/>
    <cellStyle name="Título 4 4 2 2" xfId="20960"/>
    <cellStyle name="Título 4 4 2_15-FINANCEIRAS" xfId="20961"/>
    <cellStyle name="Título 4 4 3" xfId="20962"/>
    <cellStyle name="Título 4 4 3 2" xfId="20963"/>
    <cellStyle name="Título 4 4 3_15-FINANCEIRAS" xfId="20964"/>
    <cellStyle name="Título 4 4 4" xfId="20965"/>
    <cellStyle name="Título 4 4 4 2" xfId="20966"/>
    <cellStyle name="Título 4 4 4_15-FINANCEIRAS" xfId="20967"/>
    <cellStyle name="Título 4 4 5" xfId="20968"/>
    <cellStyle name="Título 4 4_15-FINANCEIRAS" xfId="20969"/>
    <cellStyle name="Título 4 5" xfId="20970"/>
    <cellStyle name="Título 4 5 2" xfId="20971"/>
    <cellStyle name="Título 4 5 2 2" xfId="20972"/>
    <cellStyle name="Título 4 5 2_15-FINANCEIRAS" xfId="20973"/>
    <cellStyle name="Título 4 5 3" xfId="20974"/>
    <cellStyle name="Título 4 5 3 2" xfId="20975"/>
    <cellStyle name="Título 4 5 3_15-FINANCEIRAS" xfId="20976"/>
    <cellStyle name="Título 4 5 4" xfId="20977"/>
    <cellStyle name="Título 4 5 4 2" xfId="20978"/>
    <cellStyle name="Título 4 5 4_15-FINANCEIRAS" xfId="20979"/>
    <cellStyle name="Título 4 5 5" xfId="20980"/>
    <cellStyle name="Título 4 5_15-FINANCEIRAS" xfId="20981"/>
    <cellStyle name="Título 4 6" xfId="20982"/>
    <cellStyle name="Título 4 6 2" xfId="20983"/>
    <cellStyle name="Título 4 6 2 2" xfId="20984"/>
    <cellStyle name="Título 4 6 2_15-FINANCEIRAS" xfId="20985"/>
    <cellStyle name="Título 4 6 3" xfId="20986"/>
    <cellStyle name="Título 4 6 3 2" xfId="20987"/>
    <cellStyle name="Título 4 6 3_15-FINANCEIRAS" xfId="20988"/>
    <cellStyle name="Título 4 6 4" xfId="20989"/>
    <cellStyle name="Título 4 6 4 2" xfId="20990"/>
    <cellStyle name="Título 4 6 4_15-FINANCEIRAS" xfId="20991"/>
    <cellStyle name="Título 4 6 5" xfId="20992"/>
    <cellStyle name="Título 4 6_15-FINANCEIRAS" xfId="20993"/>
    <cellStyle name="Título 4 7" xfId="20994"/>
    <cellStyle name="Título 4 7 2" xfId="20995"/>
    <cellStyle name="Título 4 7 2 2" xfId="20996"/>
    <cellStyle name="Título 4 7 2_15-FINANCEIRAS" xfId="20997"/>
    <cellStyle name="Título 4 7 3" xfId="20998"/>
    <cellStyle name="Título 4 7 3 2" xfId="20999"/>
    <cellStyle name="Título 4 7 3_15-FINANCEIRAS" xfId="21000"/>
    <cellStyle name="Título 4 7 4" xfId="21001"/>
    <cellStyle name="Título 4 7 4 2" xfId="21002"/>
    <cellStyle name="Título 4 7 4_15-FINANCEIRAS" xfId="21003"/>
    <cellStyle name="Título 4 7 5" xfId="21004"/>
    <cellStyle name="Título 4 7_15-FINANCEIRAS" xfId="21005"/>
    <cellStyle name="Título 4 8" xfId="21006"/>
    <cellStyle name="Título 4 8 2" xfId="21007"/>
    <cellStyle name="Título 4 8_15-FINANCEIRAS" xfId="21008"/>
    <cellStyle name="Título 4 9" xfId="21009"/>
    <cellStyle name="Título 5" xfId="21010"/>
    <cellStyle name="Título 5 2" xfId="21011"/>
    <cellStyle name="Título 5 2 2" xfId="21012"/>
    <cellStyle name="Título 5 2_15-FINANCEIRAS" xfId="21013"/>
    <cellStyle name="Título 5 3" xfId="21014"/>
    <cellStyle name="Título 5 3 2" xfId="21015"/>
    <cellStyle name="Título 5 3_15-FINANCEIRAS" xfId="21016"/>
    <cellStyle name="Título 5 4" xfId="21017"/>
    <cellStyle name="Título 5 4 2" xfId="21018"/>
    <cellStyle name="Título 5 4_15-FINANCEIRAS" xfId="21019"/>
    <cellStyle name="Título 5 5" xfId="21020"/>
    <cellStyle name="Título 5 5 2" xfId="21021"/>
    <cellStyle name="Título 5 5_15-FINANCEIRAS" xfId="21022"/>
    <cellStyle name="Título 5 6" xfId="21023"/>
    <cellStyle name="Título 5 6 2" xfId="21024"/>
    <cellStyle name="Título 5 6_15-FINANCEIRAS" xfId="21025"/>
    <cellStyle name="Título 5 7" xfId="21026"/>
    <cellStyle name="Título 5 8" xfId="21543"/>
    <cellStyle name="Título 5_11_Combinação de neg. Zanin" xfId="21027"/>
    <cellStyle name="Título 6" xfId="21028"/>
    <cellStyle name="Título 6 2" xfId="21029"/>
    <cellStyle name="Título 6 2 2" xfId="21030"/>
    <cellStyle name="Título 6 2_15-FINANCEIRAS" xfId="21031"/>
    <cellStyle name="Título 6 3" xfId="21032"/>
    <cellStyle name="Título 6 3 2" xfId="21033"/>
    <cellStyle name="Título 6 3_15-FINANCEIRAS" xfId="21034"/>
    <cellStyle name="Título 6 4" xfId="21035"/>
    <cellStyle name="Título 6 4 2" xfId="21036"/>
    <cellStyle name="Título 6 4_15-FINANCEIRAS" xfId="21037"/>
    <cellStyle name="Título 6 5" xfId="21038"/>
    <cellStyle name="Título 6_15-FINANCEIRAS" xfId="21039"/>
    <cellStyle name="Título 7" xfId="21040"/>
    <cellStyle name="Título 7 2" xfId="21041"/>
    <cellStyle name="Título 7 2 2" xfId="21042"/>
    <cellStyle name="Título 7 2_15-FINANCEIRAS" xfId="21043"/>
    <cellStyle name="Título 7 3" xfId="21044"/>
    <cellStyle name="Título 7 3 2" xfId="21045"/>
    <cellStyle name="Título 7 3_15-FINANCEIRAS" xfId="21046"/>
    <cellStyle name="Título 7 4" xfId="21047"/>
    <cellStyle name="Título 7 4 2" xfId="21048"/>
    <cellStyle name="Título 7 4_15-FINANCEIRAS" xfId="21049"/>
    <cellStyle name="Título 7 5" xfId="21050"/>
    <cellStyle name="Título 7_15-FINANCEIRAS" xfId="21051"/>
    <cellStyle name="Título 8" xfId="21052"/>
    <cellStyle name="Título 8 2" xfId="21053"/>
    <cellStyle name="Título 8 2 2" xfId="21054"/>
    <cellStyle name="Título 8 2_15-FINANCEIRAS" xfId="21055"/>
    <cellStyle name="Título 8 3" xfId="21056"/>
    <cellStyle name="Título 8 3 2" xfId="21057"/>
    <cellStyle name="Título 8 3_15-FINANCEIRAS" xfId="21058"/>
    <cellStyle name="Título 8 4" xfId="21059"/>
    <cellStyle name="Título 8 4 2" xfId="21060"/>
    <cellStyle name="Título 8 4_15-FINANCEIRAS" xfId="21061"/>
    <cellStyle name="Título 8 5" xfId="21062"/>
    <cellStyle name="Título 8_15-FINANCEIRAS" xfId="21063"/>
    <cellStyle name="Título 9" xfId="21064"/>
    <cellStyle name="Título 9 2" xfId="21065"/>
    <cellStyle name="Título 9 2 2" xfId="21066"/>
    <cellStyle name="Título 9 2_15-FINANCEIRAS" xfId="21067"/>
    <cellStyle name="Título 9 3" xfId="21068"/>
    <cellStyle name="Título 9 3 2" xfId="21069"/>
    <cellStyle name="Título 9 3_15-FINANCEIRAS" xfId="21070"/>
    <cellStyle name="Título 9 4" xfId="21071"/>
    <cellStyle name="Título 9 4 2" xfId="21072"/>
    <cellStyle name="Título 9 4_15-FINANCEIRAS" xfId="21073"/>
    <cellStyle name="Título 9 5" xfId="21074"/>
    <cellStyle name="Título 9_15-FINANCEIRAS" xfId="21075"/>
    <cellStyle name="Titulo1" xfId="21076"/>
    <cellStyle name="Titulo1 2" xfId="21077"/>
    <cellStyle name="Titulo1_15-FINANCEIRAS" xfId="21078"/>
    <cellStyle name="Titulo2" xfId="21079"/>
    <cellStyle name="Titulo2 2" xfId="21080"/>
    <cellStyle name="Titulo2_15-FINANCEIRAS" xfId="21081"/>
    <cellStyle name="Títulos" xfId="21082"/>
    <cellStyle name="TopGrey" xfId="21083"/>
    <cellStyle name="TopGrey 2" xfId="21084"/>
    <cellStyle name="TopGrey_15-FINANCEIRAS" xfId="21085"/>
    <cellStyle name="Total" xfId="111" builtinId="25" customBuiltin="1"/>
    <cellStyle name="Total 10" xfId="21086"/>
    <cellStyle name="Total 2" xfId="21087"/>
    <cellStyle name="Total 2 2" xfId="21088"/>
    <cellStyle name="Total 2 2 2" xfId="21089"/>
    <cellStyle name="Total 2 2 2 2" xfId="21090"/>
    <cellStyle name="Total 2 2 2_15-FINANCEIRAS" xfId="21091"/>
    <cellStyle name="Total 2 2 3" xfId="21092"/>
    <cellStyle name="Total 2 2_15-FINANCEIRAS" xfId="21093"/>
    <cellStyle name="Total 2 3" xfId="21094"/>
    <cellStyle name="Total 2 3 2" xfId="21095"/>
    <cellStyle name="Total 2 3 2 2" xfId="21096"/>
    <cellStyle name="Total 2 3 2_15-FINANCEIRAS" xfId="21097"/>
    <cellStyle name="Total 2 3 3" xfId="21098"/>
    <cellStyle name="Total 2 3_15-FINANCEIRAS" xfId="21099"/>
    <cellStyle name="Total 2 4" xfId="21100"/>
    <cellStyle name="Total 2 4 2" xfId="21101"/>
    <cellStyle name="Total 2 4 2 2" xfId="21102"/>
    <cellStyle name="Total 2 4 2_15-FINANCEIRAS" xfId="21103"/>
    <cellStyle name="Total 2 4 3" xfId="21104"/>
    <cellStyle name="Total 2 4_15-FINANCEIRAS" xfId="21105"/>
    <cellStyle name="Total 2 5" xfId="21106"/>
    <cellStyle name="Total 2 5 2" xfId="21107"/>
    <cellStyle name="Total 2 5 2 2" xfId="21108"/>
    <cellStyle name="Total 2 5 2_15-FINANCEIRAS" xfId="21109"/>
    <cellStyle name="Total 2 5 3" xfId="21110"/>
    <cellStyle name="Total 2 5_15-FINANCEIRAS" xfId="21111"/>
    <cellStyle name="Total 2 6" xfId="21112"/>
    <cellStyle name="Total 2 6 2" xfId="21113"/>
    <cellStyle name="Total 2 6_15-FINANCEIRAS" xfId="21114"/>
    <cellStyle name="Total 2 7" xfId="21115"/>
    <cellStyle name="Total 2 8" xfId="21544"/>
    <cellStyle name="Total 2_11_Combinação de neg. Zanin" xfId="21116"/>
    <cellStyle name="Total 3" xfId="21117"/>
    <cellStyle name="Total 3 2" xfId="21118"/>
    <cellStyle name="Total 3 2 2" xfId="21119"/>
    <cellStyle name="Total 3 2 2 2" xfId="21120"/>
    <cellStyle name="Total 3 2 2_15-FINANCEIRAS" xfId="21121"/>
    <cellStyle name="Total 3 2 3" xfId="21122"/>
    <cellStyle name="Total 3 2_15-FINANCEIRAS" xfId="21123"/>
    <cellStyle name="Total 3 3" xfId="21124"/>
    <cellStyle name="Total 3 3 2" xfId="21125"/>
    <cellStyle name="Total 3 3_15-FINANCEIRAS" xfId="21126"/>
    <cellStyle name="Total 3 4" xfId="21127"/>
    <cellStyle name="Total 3 4 2" xfId="21128"/>
    <cellStyle name="Total 3 4_15-FINANCEIRAS" xfId="21129"/>
    <cellStyle name="Total 3 5" xfId="21130"/>
    <cellStyle name="Total 3 5 2" xfId="21131"/>
    <cellStyle name="Total 3 5_15-FINANCEIRAS" xfId="21132"/>
    <cellStyle name="Total 3 6" xfId="21133"/>
    <cellStyle name="Total 3 6 2" xfId="21134"/>
    <cellStyle name="Total 3 6_15-FINANCEIRAS" xfId="21135"/>
    <cellStyle name="Total 3 7" xfId="21136"/>
    <cellStyle name="Total 3_15-FINANCEIRAS" xfId="21137"/>
    <cellStyle name="Total 4" xfId="21138"/>
    <cellStyle name="Total 4 2" xfId="21139"/>
    <cellStyle name="Total 4 2 2" xfId="21140"/>
    <cellStyle name="Total 4 2_15-FINANCEIRAS" xfId="21141"/>
    <cellStyle name="Total 4 3" xfId="21142"/>
    <cellStyle name="Total 4 3 2" xfId="21143"/>
    <cellStyle name="Total 4 3_15-FINANCEIRAS" xfId="21144"/>
    <cellStyle name="Total 4 4" xfId="21145"/>
    <cellStyle name="Total 4 4 2" xfId="21146"/>
    <cellStyle name="Total 4 4_15-FINANCEIRAS" xfId="21147"/>
    <cellStyle name="Total 4 5" xfId="21148"/>
    <cellStyle name="Total 4_15-FINANCEIRAS" xfId="21149"/>
    <cellStyle name="Total 5" xfId="21150"/>
    <cellStyle name="Total 5 2" xfId="21151"/>
    <cellStyle name="Total 5 2 2" xfId="21152"/>
    <cellStyle name="Total 5 2_15-FINANCEIRAS" xfId="21153"/>
    <cellStyle name="Total 5 3" xfId="21154"/>
    <cellStyle name="Total 5 3 2" xfId="21155"/>
    <cellStyle name="Total 5 3_15-FINANCEIRAS" xfId="21156"/>
    <cellStyle name="Total 5 4" xfId="21157"/>
    <cellStyle name="Total 5 4 2" xfId="21158"/>
    <cellStyle name="Total 5 4_15-FINANCEIRAS" xfId="21159"/>
    <cellStyle name="Total 5 5" xfId="21160"/>
    <cellStyle name="Total 5_15-FINANCEIRAS" xfId="21161"/>
    <cellStyle name="Total 6" xfId="21162"/>
    <cellStyle name="Total 6 2" xfId="21163"/>
    <cellStyle name="Total 6 2 2" xfId="21164"/>
    <cellStyle name="Total 6 2_15-FINANCEIRAS" xfId="21165"/>
    <cellStyle name="Total 6 3" xfId="21166"/>
    <cellStyle name="Total 6 3 2" xfId="21167"/>
    <cellStyle name="Total 6 3_15-FINANCEIRAS" xfId="21168"/>
    <cellStyle name="Total 6 4" xfId="21169"/>
    <cellStyle name="Total 6 4 2" xfId="21170"/>
    <cellStyle name="Total 6 4_15-FINANCEIRAS" xfId="21171"/>
    <cellStyle name="Total 6 5" xfId="21172"/>
    <cellStyle name="Total 6_15-FINANCEIRAS" xfId="21173"/>
    <cellStyle name="Total 7" xfId="21174"/>
    <cellStyle name="Total 7 2" xfId="21175"/>
    <cellStyle name="Total 7 2 2" xfId="21176"/>
    <cellStyle name="Total 7 2_15-FINANCEIRAS" xfId="21177"/>
    <cellStyle name="Total 7 3" xfId="21178"/>
    <cellStyle name="Total 7 3 2" xfId="21179"/>
    <cellStyle name="Total 7 3_15-FINANCEIRAS" xfId="21180"/>
    <cellStyle name="Total 7 4" xfId="21181"/>
    <cellStyle name="Total 7 4 2" xfId="21182"/>
    <cellStyle name="Total 7 4_15-FINANCEIRAS" xfId="21183"/>
    <cellStyle name="Total 7 5" xfId="21184"/>
    <cellStyle name="Total 7_15-FINANCEIRAS" xfId="21185"/>
    <cellStyle name="Total 8" xfId="21186"/>
    <cellStyle name="Total 8 2" xfId="21187"/>
    <cellStyle name="Total 8_15-FINANCEIRAS" xfId="21188"/>
    <cellStyle name="Total 9" xfId="21189"/>
    <cellStyle name="Total 9 2" xfId="21190"/>
    <cellStyle name="Total 9_15-FINANCEIRAS" xfId="21191"/>
    <cellStyle name="US CHECK " xfId="112"/>
    <cellStyle name="US CHECK  2" xfId="21324"/>
    <cellStyle name="US CHECK  3" xfId="180"/>
    <cellStyle name="VINHAÇA" xfId="21192"/>
    <cellStyle name="VINHAÇA 2" xfId="21193"/>
    <cellStyle name="VINHAÇA_15-FINANCEIRAS" xfId="21194"/>
    <cellStyle name="Vírgula 2" xfId="21195"/>
    <cellStyle name="Vírgula 2 2" xfId="21196"/>
    <cellStyle name="Vírgula 2 2 2" xfId="21549"/>
    <cellStyle name="Vírgula 2 3" xfId="21545"/>
    <cellStyle name="Vírgula 2_15-FINANCEIRAS" xfId="21197"/>
    <cellStyle name="Vírgula 3" xfId="21198"/>
    <cellStyle name="Vírgula 3 2" xfId="21354"/>
    <cellStyle name="Vírgula 3 2 2" xfId="21481"/>
    <cellStyle name="Vírgula 3 3" xfId="21440"/>
    <cellStyle name="Währung [0]_Compiling Utility Macros" xfId="21199"/>
    <cellStyle name="Währung_Compiling Utility Macros" xfId="21200"/>
    <cellStyle name="Warning Text" xfId="113" builtinId="11" customBuiltin="1"/>
    <cellStyle name="Warning Text 2" xfId="21201"/>
    <cellStyle name="Warning Text 2 2" xfId="21202"/>
    <cellStyle name="Warning Text 2 2 2" xfId="21203"/>
    <cellStyle name="Warning Text 2 2_15-FINANCEIRAS" xfId="21204"/>
    <cellStyle name="Warning Text 2 3" xfId="21205"/>
    <cellStyle name="Warning Text 2 3 2" xfId="21206"/>
    <cellStyle name="Warning Text 2 3_15-FINANCEIRAS" xfId="21207"/>
    <cellStyle name="Warning Text 2 4" xfId="21208"/>
    <cellStyle name="Warning Text 2 4 2" xfId="21209"/>
    <cellStyle name="Warning Text 2 4_15-FINANCEIRAS" xfId="21210"/>
    <cellStyle name="Warning Text 2 5" xfId="21211"/>
    <cellStyle name="Warning Text 2 5 2" xfId="21212"/>
    <cellStyle name="Warning Text 2 5_15-FINANCEIRAS" xfId="21213"/>
    <cellStyle name="Warning Text 2 6" xfId="21214"/>
    <cellStyle name="Warning Text 2 6 2" xfId="21215"/>
    <cellStyle name="Warning Text 2 6_15-FINANCEIRAS" xfId="21216"/>
    <cellStyle name="Warning Text 2 7" xfId="21217"/>
    <cellStyle name="Warning Text 2_15-FINANCEIRAS" xfId="21218"/>
    <cellStyle name="Warning Text 3" xfId="21219"/>
    <cellStyle name="Warning Text 3 2" xfId="21220"/>
    <cellStyle name="Warning Text 3 2 2" xfId="21221"/>
    <cellStyle name="Warning Text 3 2_15-FINANCEIRAS" xfId="21222"/>
    <cellStyle name="Warning Text 3 3" xfId="21223"/>
    <cellStyle name="Warning Text 3 3 2" xfId="21224"/>
    <cellStyle name="Warning Text 3 3_15-FINANCEIRAS" xfId="21225"/>
    <cellStyle name="Warning Text 3 4" xfId="21226"/>
    <cellStyle name="Warning Text 3 4 2" xfId="21227"/>
    <cellStyle name="Warning Text 3 4_15-FINANCEIRAS" xfId="21228"/>
    <cellStyle name="Warning Text 3 5" xfId="21229"/>
    <cellStyle name="Warning Text 3 5 2" xfId="21230"/>
    <cellStyle name="Warning Text 3 5_15-FINANCEIRAS" xfId="21231"/>
    <cellStyle name="Warning Text 3 6" xfId="21232"/>
    <cellStyle name="Warning Text 3_15-FINANCEIRAS" xfId="21233"/>
    <cellStyle name="Warning Text 4" xfId="21234"/>
    <cellStyle name="Warning Text 4 2" xfId="21235"/>
    <cellStyle name="Warning Text 4_15-FINANCEIRAS" xfId="21236"/>
    <cellStyle name="Warning Text 5" xfId="21237"/>
    <cellStyle name="Warning Text 5 2" xfId="21238"/>
    <cellStyle name="Warning Text 5_15-FINANCEIRAS" xfId="21239"/>
    <cellStyle name="Warning Text 6" xfId="21240"/>
    <cellStyle name="Warning Text 7" xfId="21241"/>
    <cellStyle name="Warning Text 8" xfId="21242"/>
    <cellStyle name="Warning Text 9" xfId="21243"/>
    <cellStyle name="XComma" xfId="21244"/>
    <cellStyle name="XComma 0.0" xfId="21245"/>
    <cellStyle name="XComma 0.0 2" xfId="21246"/>
    <cellStyle name="XComma 0.0_15-FINANCEIRAS" xfId="21247"/>
    <cellStyle name="XComma 0.00" xfId="21248"/>
    <cellStyle name="XComma 0.00 2" xfId="21249"/>
    <cellStyle name="XComma 0.00_15-FINANCEIRAS" xfId="21250"/>
    <cellStyle name="XComma 0.000" xfId="21251"/>
    <cellStyle name="XComma 0.000 2" xfId="21252"/>
    <cellStyle name="XComma 0.000_15-FINANCEIRAS" xfId="21253"/>
    <cellStyle name="XComma 2" xfId="21254"/>
    <cellStyle name="XComma 3" xfId="21255"/>
    <cellStyle name="XComma 4" xfId="21256"/>
    <cellStyle name="XComma_15-FINANCEIRAS" xfId="21257"/>
    <cellStyle name="XCurrency" xfId="21258"/>
    <cellStyle name="XCurrency 0.0" xfId="21259"/>
    <cellStyle name="XCurrency 0.0 2" xfId="21260"/>
    <cellStyle name="XCurrency 0.0_15-FINANCEIRAS" xfId="21261"/>
    <cellStyle name="XCurrency 0.00" xfId="21262"/>
    <cellStyle name="XCurrency 0.00 2" xfId="21263"/>
    <cellStyle name="XCurrency 0.00_15-FINANCEIRAS" xfId="21264"/>
    <cellStyle name="XCurrency 0.000" xfId="21265"/>
    <cellStyle name="XCurrency 0.000 2" xfId="21266"/>
    <cellStyle name="XCurrency 0.000_15-FINANCEIRAS" xfId="21267"/>
    <cellStyle name="XCurrency 2" xfId="21268"/>
    <cellStyle name="XCurrency 3" xfId="21269"/>
    <cellStyle name="XCurrency 4" xfId="21270"/>
    <cellStyle name="XCurrency_15-FINANCEIRAS" xfId="21271"/>
    <cellStyle name="XL3 Blue" xfId="21272"/>
    <cellStyle name="XL3 Blue 2" xfId="21273"/>
    <cellStyle name="XL3 Blue 2 2" xfId="21274"/>
    <cellStyle name="XL3 Blue 2_15-FINANCEIRAS" xfId="21275"/>
    <cellStyle name="XL3 Blue 3" xfId="21276"/>
    <cellStyle name="XL3 Blue_15-FINANCEIRAS" xfId="21277"/>
    <cellStyle name="XL3 Green" xfId="21278"/>
    <cellStyle name="XL3 Green 2" xfId="21279"/>
    <cellStyle name="XL3 Green 2 2" xfId="21280"/>
    <cellStyle name="XL3 Green 2_15-FINANCEIRAS" xfId="21281"/>
    <cellStyle name="XL3 Green 3" xfId="21282"/>
    <cellStyle name="XL3 Green_15-FINANCEIRAS" xfId="21283"/>
    <cellStyle name="XL3 Orange" xfId="21284"/>
    <cellStyle name="XL3 Orange 2" xfId="21285"/>
    <cellStyle name="XL3 Orange 2 2" xfId="21286"/>
    <cellStyle name="XL3 Orange 2_15-FINANCEIRAS" xfId="21287"/>
    <cellStyle name="XL3 Orange 3" xfId="21288"/>
    <cellStyle name="XL3 Orange_15-FINANCEIRAS" xfId="21289"/>
    <cellStyle name="XL3 Red" xfId="21290"/>
    <cellStyle name="XL3 Red 2" xfId="21291"/>
    <cellStyle name="XL3 Red 2 2" xfId="21292"/>
    <cellStyle name="XL3 Red 2_15-FINANCEIRAS" xfId="21293"/>
    <cellStyle name="XL3 Red 3" xfId="21294"/>
    <cellStyle name="XL3 Red_15-FINANCEIRAS" xfId="21295"/>
    <cellStyle name="XL3 Yellow" xfId="21296"/>
    <cellStyle name="XL3 Yellow 2" xfId="21297"/>
    <cellStyle name="XL3 Yellow 2 2" xfId="21298"/>
    <cellStyle name="XL3 Yellow 2_15-FINANCEIRAS" xfId="21299"/>
    <cellStyle name="XL3 Yellow 3" xfId="21300"/>
    <cellStyle name="XL3 Yellow_15-FINANCEIRAS" xfId="21301"/>
    <cellStyle name="YearE_ Pies " xfId="21400"/>
    <cellStyle name="콤마 [0]_#3이설 견적_준공내역총괄표 " xfId="114"/>
    <cellStyle name="콤마_#3이설 견적_준공내역총괄표 " xfId="115"/>
  </cellStyles>
  <dxfs count="250">
    <dxf>
      <fill>
        <patternFill>
          <bgColor rgb="FFFFFF00"/>
        </patternFill>
      </fill>
    </dxf>
    <dxf>
      <fill>
        <patternFill>
          <bgColor theme="0"/>
        </patternFill>
      </fill>
    </dxf>
    <dxf>
      <fill>
        <patternFill>
          <bgColor theme="0"/>
        </patternFill>
      </fill>
    </dxf>
    <dxf>
      <fill>
        <patternFill>
          <bgColor theme="0"/>
        </patternFill>
      </fill>
    </dxf>
    <dxf>
      <font>
        <i val="0"/>
        <condense val="0"/>
        <extend val="0"/>
        <color indexed="10"/>
      </font>
    </dxf>
    <dxf>
      <font>
        <i val="0"/>
        <condense val="0"/>
        <extend val="0"/>
        <color indexed="17"/>
      </font>
    </dxf>
    <dxf>
      <font>
        <i val="0"/>
        <condense val="0"/>
        <extend val="0"/>
        <color indexed="10"/>
      </font>
    </dxf>
    <dxf>
      <font>
        <i val="0"/>
        <condense val="0"/>
        <extend val="0"/>
        <color indexed="17"/>
      </font>
    </dxf>
    <dxf>
      <border>
        <right style="dotted">
          <color rgb="FFFF0000"/>
        </right>
      </border>
    </dxf>
    <dxf>
      <border>
        <right style="dotted">
          <color rgb="FFFF0000"/>
        </right>
      </border>
    </dxf>
    <dxf>
      <border>
        <right style="dotted">
          <color rgb="FFFF0000"/>
        </right>
      </border>
    </dxf>
    <dxf>
      <font>
        <i val="0"/>
        <condense val="0"/>
        <extend val="0"/>
        <color indexed="10"/>
      </font>
    </dxf>
    <dxf>
      <font>
        <i val="0"/>
        <condense val="0"/>
        <extend val="0"/>
        <color indexed="17"/>
      </font>
    </dxf>
    <dxf>
      <font>
        <i val="0"/>
        <condense val="0"/>
        <extend val="0"/>
        <color indexed="10"/>
      </font>
    </dxf>
    <dxf>
      <font>
        <i val="0"/>
        <condense val="0"/>
        <extend val="0"/>
        <color indexed="17"/>
      </font>
    </dxf>
    <dxf>
      <font>
        <i val="0"/>
        <condense val="0"/>
        <extend val="0"/>
        <color indexed="10"/>
      </font>
    </dxf>
    <dxf>
      <font>
        <i val="0"/>
        <condense val="0"/>
        <extend val="0"/>
        <color indexed="17"/>
      </font>
    </dxf>
    <dxf>
      <font>
        <i val="0"/>
        <condense val="0"/>
        <extend val="0"/>
        <color indexed="10"/>
      </font>
    </dxf>
    <dxf>
      <font>
        <i val="0"/>
        <condense val="0"/>
        <extend val="0"/>
        <color indexed="17"/>
      </font>
    </dxf>
    <dxf>
      <border>
        <right style="dotted">
          <color rgb="FFFF0000"/>
        </right>
      </border>
    </dxf>
    <dxf>
      <font>
        <i val="0"/>
        <condense val="0"/>
        <extend val="0"/>
        <color indexed="10"/>
      </font>
    </dxf>
    <dxf>
      <font>
        <i val="0"/>
        <condense val="0"/>
        <extend val="0"/>
        <color indexed="17"/>
      </font>
    </dxf>
    <dxf>
      <font>
        <i val="0"/>
        <condense val="0"/>
        <extend val="0"/>
        <color indexed="10"/>
      </font>
    </dxf>
    <dxf>
      <font>
        <i val="0"/>
        <condense val="0"/>
        <extend val="0"/>
        <color indexed="17"/>
      </font>
    </dxf>
    <dxf>
      <border>
        <right style="dotted">
          <color rgb="FFFF0000"/>
        </right>
      </border>
    </dxf>
    <dxf>
      <border>
        <right style="dotted">
          <color rgb="FFFF0000"/>
        </right>
      </border>
    </dxf>
    <dxf>
      <font>
        <i val="0"/>
        <condense val="0"/>
        <extend val="0"/>
        <color indexed="10"/>
      </font>
    </dxf>
    <dxf>
      <font>
        <i val="0"/>
        <condense val="0"/>
        <extend val="0"/>
        <color indexed="17"/>
      </font>
    </dxf>
    <dxf>
      <font>
        <i val="0"/>
        <condense val="0"/>
        <extend val="0"/>
        <color indexed="10"/>
      </font>
    </dxf>
    <dxf>
      <font>
        <i val="0"/>
        <condense val="0"/>
        <extend val="0"/>
        <color indexed="17"/>
      </font>
    </dxf>
    <dxf>
      <border>
        <right style="dotted">
          <color rgb="FFFF0000"/>
        </right>
      </border>
    </dxf>
    <dxf>
      <font>
        <i val="0"/>
        <condense val="0"/>
        <extend val="0"/>
        <color indexed="10"/>
      </font>
    </dxf>
    <dxf>
      <font>
        <i val="0"/>
        <condense val="0"/>
        <extend val="0"/>
        <color indexed="17"/>
      </font>
    </dxf>
    <dxf>
      <font>
        <i val="0"/>
        <condense val="0"/>
        <extend val="0"/>
        <color indexed="10"/>
      </font>
    </dxf>
    <dxf>
      <font>
        <i val="0"/>
        <condense val="0"/>
        <extend val="0"/>
        <color indexed="17"/>
      </font>
    </dxf>
    <dxf>
      <border>
        <right style="dotted">
          <color rgb="FFFF0000"/>
        </right>
      </border>
    </dxf>
    <dxf>
      <font>
        <i val="0"/>
        <condense val="0"/>
        <extend val="0"/>
        <color indexed="10"/>
      </font>
    </dxf>
    <dxf>
      <font>
        <i val="0"/>
        <condense val="0"/>
        <extend val="0"/>
        <color indexed="17"/>
      </font>
    </dxf>
    <dxf>
      <font>
        <i val="0"/>
        <condense val="0"/>
        <extend val="0"/>
        <color indexed="10"/>
      </font>
    </dxf>
    <dxf>
      <font>
        <i val="0"/>
        <condense val="0"/>
        <extend val="0"/>
        <color indexed="17"/>
      </font>
    </dxf>
    <dxf>
      <border>
        <right style="dotted">
          <color rgb="FFFF0000"/>
        </right>
      </border>
    </dxf>
    <dxf>
      <border>
        <right style="dotted">
          <color rgb="FFFF0000"/>
        </right>
      </border>
    </dxf>
    <dxf>
      <font>
        <i val="0"/>
        <condense val="0"/>
        <extend val="0"/>
        <color indexed="10"/>
      </font>
    </dxf>
    <dxf>
      <font>
        <i val="0"/>
        <condense val="0"/>
        <extend val="0"/>
        <color indexed="17"/>
      </font>
    </dxf>
    <dxf>
      <font>
        <i val="0"/>
        <condense val="0"/>
        <extend val="0"/>
        <color indexed="10"/>
      </font>
    </dxf>
    <dxf>
      <font>
        <i val="0"/>
        <condense val="0"/>
        <extend val="0"/>
        <color indexed="17"/>
      </font>
    </dxf>
    <dxf>
      <border>
        <right style="dotted">
          <color rgb="FFFF0000"/>
        </right>
      </border>
    </dxf>
    <dxf>
      <font>
        <i val="0"/>
        <condense val="0"/>
        <extend val="0"/>
        <color indexed="10"/>
      </font>
    </dxf>
    <dxf>
      <font>
        <i val="0"/>
        <condense val="0"/>
        <extend val="0"/>
        <color indexed="17"/>
      </font>
    </dxf>
    <dxf>
      <font>
        <i val="0"/>
        <condense val="0"/>
        <extend val="0"/>
        <color indexed="10"/>
      </font>
    </dxf>
    <dxf>
      <font>
        <i val="0"/>
        <condense val="0"/>
        <extend val="0"/>
        <color indexed="17"/>
      </font>
    </dxf>
    <dxf>
      <font>
        <i val="0"/>
        <condense val="0"/>
        <extend val="0"/>
        <color indexed="10"/>
      </font>
    </dxf>
    <dxf>
      <font>
        <i val="0"/>
        <condense val="0"/>
        <extend val="0"/>
        <color indexed="17"/>
      </font>
    </dxf>
    <dxf>
      <border>
        <right style="dotted">
          <color rgb="FFFF0000"/>
        </right>
      </border>
    </dxf>
    <dxf>
      <border>
        <right style="dotted">
          <color rgb="FFFF0000"/>
        </right>
      </border>
    </dxf>
    <dxf>
      <border>
        <right style="dotted">
          <color rgb="FFFF0000"/>
        </right>
      </border>
    </dxf>
    <dxf>
      <border>
        <right style="dotted">
          <color rgb="FFFF0000"/>
        </right>
      </border>
    </dxf>
    <dxf>
      <border>
        <right style="dotted">
          <color rgb="FFFF0000"/>
        </right>
      </border>
    </dxf>
    <dxf>
      <border>
        <right style="dotted">
          <color rgb="FFFF0000"/>
        </right>
      </border>
    </dxf>
    <dxf>
      <border>
        <right style="dotted">
          <color rgb="FFFF0000"/>
        </right>
      </border>
    </dxf>
    <dxf>
      <border>
        <right style="dotted">
          <color rgb="FFFF0000"/>
        </right>
      </border>
    </dxf>
    <dxf>
      <font>
        <i val="0"/>
        <condense val="0"/>
        <extend val="0"/>
        <color indexed="10"/>
      </font>
    </dxf>
    <dxf>
      <font>
        <i val="0"/>
        <condense val="0"/>
        <extend val="0"/>
        <color indexed="17"/>
      </font>
    </dxf>
    <dxf>
      <font>
        <i val="0"/>
        <condense val="0"/>
        <extend val="0"/>
        <color indexed="10"/>
      </font>
    </dxf>
    <dxf>
      <font>
        <i val="0"/>
        <condense val="0"/>
        <extend val="0"/>
        <color indexed="17"/>
      </font>
    </dxf>
    <dxf>
      <font>
        <i val="0"/>
        <condense val="0"/>
        <extend val="0"/>
        <color indexed="10"/>
      </font>
    </dxf>
    <dxf>
      <font>
        <i val="0"/>
        <condense val="0"/>
        <extend val="0"/>
        <color indexed="17"/>
      </font>
    </dxf>
    <dxf>
      <font>
        <i val="0"/>
        <condense val="0"/>
        <extend val="0"/>
        <color indexed="17"/>
      </font>
    </dxf>
    <dxf>
      <font>
        <i val="0"/>
        <condense val="0"/>
        <extend val="0"/>
        <color indexed="17"/>
      </font>
    </dxf>
    <dxf>
      <font>
        <i val="0"/>
        <condense val="0"/>
        <extend val="0"/>
        <color indexed="17"/>
      </font>
    </dxf>
    <dxf>
      <font>
        <i val="0"/>
        <condense val="0"/>
        <extend val="0"/>
        <color indexed="17"/>
      </font>
    </dxf>
    <dxf>
      <font>
        <i val="0"/>
        <condense val="0"/>
        <extend val="0"/>
        <color indexed="17"/>
      </font>
    </dxf>
    <dxf>
      <font>
        <i val="0"/>
        <condense val="0"/>
        <extend val="0"/>
        <color indexed="17"/>
      </font>
    </dxf>
    <dxf>
      <font>
        <i val="0"/>
        <condense val="0"/>
        <extend val="0"/>
        <color indexed="17"/>
      </font>
    </dxf>
    <dxf>
      <font>
        <i val="0"/>
        <condense val="0"/>
        <extend val="0"/>
        <color indexed="17"/>
      </font>
    </dxf>
    <dxf>
      <font>
        <i val="0"/>
        <condense val="0"/>
        <extend val="0"/>
        <color indexed="17"/>
      </font>
    </dxf>
    <dxf>
      <font>
        <i val="0"/>
        <condense val="0"/>
        <extend val="0"/>
        <color indexed="17"/>
      </font>
    </dxf>
    <dxf>
      <font>
        <i val="0"/>
        <condense val="0"/>
        <extend val="0"/>
        <color indexed="17"/>
      </font>
    </dxf>
    <dxf>
      <font>
        <i val="0"/>
        <condense val="0"/>
        <extend val="0"/>
        <color indexed="17"/>
      </font>
    </dxf>
    <dxf>
      <font>
        <i val="0"/>
        <condense val="0"/>
        <extend val="0"/>
        <color indexed="17"/>
      </font>
    </dxf>
    <dxf>
      <font>
        <i val="0"/>
        <condense val="0"/>
        <extend val="0"/>
        <color indexed="17"/>
      </font>
    </dxf>
    <dxf>
      <font>
        <i val="0"/>
        <condense val="0"/>
        <extend val="0"/>
        <color indexed="17"/>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i val="0"/>
        <condense val="0"/>
        <extend val="0"/>
        <color indexed="17"/>
      </font>
    </dxf>
    <dxf>
      <font>
        <i val="0"/>
        <condense val="0"/>
        <extend val="0"/>
        <color indexed="17"/>
      </font>
    </dxf>
    <dxf>
      <font>
        <i val="0"/>
        <condense val="0"/>
        <extend val="0"/>
        <color indexed="17"/>
      </font>
    </dxf>
    <dxf>
      <font>
        <i val="0"/>
        <condense val="0"/>
        <extend val="0"/>
        <color indexed="17"/>
      </font>
    </dxf>
    <dxf>
      <font>
        <i val="0"/>
        <condense val="0"/>
        <extend val="0"/>
        <color indexed="17"/>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i val="0"/>
        <condense val="0"/>
        <extend val="0"/>
        <color indexed="17"/>
      </font>
    </dxf>
    <dxf>
      <font>
        <i val="0"/>
        <condense val="0"/>
        <extend val="0"/>
        <color indexed="17"/>
      </font>
    </dxf>
    <dxf>
      <font>
        <i val="0"/>
        <condense val="0"/>
        <extend val="0"/>
        <color indexed="17"/>
      </font>
    </dxf>
    <dxf>
      <font>
        <i val="0"/>
        <condense val="0"/>
        <extend val="0"/>
        <color indexed="17"/>
      </font>
    </dxf>
    <dxf>
      <font>
        <i val="0"/>
        <condense val="0"/>
        <extend val="0"/>
        <color indexed="17"/>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i val="0"/>
        <condense val="0"/>
        <extend val="0"/>
        <color indexed="17"/>
      </font>
    </dxf>
    <dxf>
      <font>
        <i val="0"/>
        <condense val="0"/>
        <extend val="0"/>
        <color indexed="17"/>
      </font>
    </dxf>
    <dxf>
      <font>
        <i val="0"/>
        <condense val="0"/>
        <extend val="0"/>
        <color indexed="17"/>
      </font>
    </dxf>
    <dxf>
      <font>
        <i val="0"/>
        <condense val="0"/>
        <extend val="0"/>
        <color indexed="17"/>
      </font>
    </dxf>
    <dxf>
      <font>
        <i val="0"/>
        <condense val="0"/>
        <extend val="0"/>
        <color indexed="17"/>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i val="0"/>
        <condense val="0"/>
        <extend val="0"/>
        <color indexed="17"/>
      </font>
    </dxf>
    <dxf>
      <font>
        <i val="0"/>
        <condense val="0"/>
        <extend val="0"/>
        <color indexed="17"/>
      </font>
    </dxf>
    <dxf>
      <font>
        <i val="0"/>
        <condense val="0"/>
        <extend val="0"/>
        <color indexed="17"/>
      </font>
    </dxf>
    <dxf>
      <font>
        <i val="0"/>
        <condense val="0"/>
        <extend val="0"/>
        <color indexed="17"/>
      </font>
    </dxf>
    <dxf>
      <font>
        <i val="0"/>
        <condense val="0"/>
        <extend val="0"/>
        <color indexed="17"/>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i val="0"/>
        <condense val="0"/>
        <extend val="0"/>
        <color indexed="17"/>
      </font>
    </dxf>
    <dxf>
      <font>
        <i val="0"/>
        <condense val="0"/>
        <extend val="0"/>
        <color indexed="17"/>
      </font>
    </dxf>
    <dxf>
      <font>
        <i val="0"/>
        <condense val="0"/>
        <extend val="0"/>
        <color indexed="17"/>
      </font>
    </dxf>
    <dxf>
      <font>
        <i val="0"/>
        <condense val="0"/>
        <extend val="0"/>
        <color indexed="17"/>
      </font>
    </dxf>
    <dxf>
      <font>
        <i val="0"/>
        <condense val="0"/>
        <extend val="0"/>
        <color indexed="17"/>
      </font>
    </dxf>
    <dxf>
      <fill>
        <patternFill>
          <bgColor rgb="FFFFC000"/>
        </patternFill>
      </fill>
    </dxf>
    <dxf>
      <fill>
        <patternFill>
          <bgColor rgb="FFFFC000"/>
        </patternFill>
      </fill>
    </dxf>
    <dxf>
      <font>
        <i val="0"/>
        <condense val="0"/>
        <extend val="0"/>
        <color indexed="17"/>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i val="0"/>
        <condense val="0"/>
        <extend val="0"/>
        <color indexed="17"/>
      </font>
    </dxf>
    <dxf>
      <font>
        <i val="0"/>
        <condense val="0"/>
        <extend val="0"/>
        <color indexed="17"/>
      </font>
    </dxf>
    <dxf>
      <font>
        <i val="0"/>
        <condense val="0"/>
        <extend val="0"/>
        <color indexed="17"/>
      </font>
    </dxf>
    <dxf>
      <font>
        <i val="0"/>
        <condense val="0"/>
        <extend val="0"/>
        <color indexed="17"/>
      </font>
    </dxf>
    <dxf>
      <font>
        <i val="0"/>
        <condense val="0"/>
        <extend val="0"/>
        <color indexed="17"/>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i val="0"/>
        <condense val="0"/>
        <extend val="0"/>
        <color indexed="17"/>
      </font>
    </dxf>
    <dxf>
      <font>
        <i val="0"/>
        <condense val="0"/>
        <extend val="0"/>
        <color indexed="17"/>
      </font>
    </dxf>
    <dxf>
      <font>
        <i val="0"/>
        <condense val="0"/>
        <extend val="0"/>
        <color indexed="17"/>
      </font>
    </dxf>
    <dxf>
      <font>
        <i val="0"/>
        <condense val="0"/>
        <extend val="0"/>
        <color indexed="17"/>
      </font>
    </dxf>
    <dxf>
      <font>
        <i val="0"/>
        <condense val="0"/>
        <extend val="0"/>
        <color indexed="17"/>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i val="0"/>
        <condense val="0"/>
        <extend val="0"/>
        <color indexed="17"/>
      </font>
    </dxf>
    <dxf>
      <font>
        <i val="0"/>
        <condense val="0"/>
        <extend val="0"/>
        <color indexed="17"/>
      </font>
    </dxf>
    <dxf>
      <font>
        <i val="0"/>
        <condense val="0"/>
        <extend val="0"/>
        <color indexed="17"/>
      </font>
    </dxf>
    <dxf>
      <fill>
        <patternFill>
          <bgColor rgb="FFFFC000"/>
        </patternFill>
      </fill>
    </dxf>
    <dxf>
      <font>
        <i val="0"/>
        <condense val="0"/>
        <extend val="0"/>
        <color indexed="17"/>
      </font>
    </dxf>
    <dxf>
      <font>
        <i val="0"/>
        <condense val="0"/>
        <extend val="0"/>
        <color indexed="17"/>
      </font>
    </dxf>
    <dxf>
      <fill>
        <patternFill>
          <bgColor rgb="FFFFC000"/>
        </patternFill>
      </fill>
    </dxf>
    <dxf>
      <fill>
        <patternFill>
          <bgColor rgb="FFFFC000"/>
        </patternFill>
      </fill>
    </dxf>
    <dxf>
      <fill>
        <patternFill>
          <bgColor rgb="FFFFC000"/>
        </patternFill>
      </fill>
    </dxf>
    <dxf>
      <fill>
        <patternFill>
          <bgColor rgb="FFFFC000"/>
        </patternFill>
      </fill>
    </dxf>
    <dxf>
      <font>
        <i val="0"/>
        <condense val="0"/>
        <extend val="0"/>
        <color indexed="17"/>
      </font>
    </dxf>
    <dxf>
      <font>
        <i val="0"/>
        <condense val="0"/>
        <extend val="0"/>
        <color indexed="17"/>
      </font>
    </dxf>
    <dxf>
      <font>
        <i val="0"/>
        <condense val="0"/>
        <extend val="0"/>
        <color indexed="17"/>
      </font>
    </dxf>
    <dxf>
      <font>
        <i val="0"/>
        <condense val="0"/>
        <extend val="0"/>
        <color indexed="17"/>
      </font>
    </dxf>
    <dxf>
      <fill>
        <patternFill>
          <bgColor rgb="FFFFC000"/>
        </patternFill>
      </fill>
    </dxf>
    <dxf>
      <fill>
        <patternFill>
          <bgColor rgb="FFFFC000"/>
        </patternFill>
      </fill>
    </dxf>
    <dxf>
      <fill>
        <patternFill>
          <bgColor rgb="FFFFC000"/>
        </patternFill>
      </fill>
    </dxf>
    <dxf>
      <font>
        <i val="0"/>
        <condense val="0"/>
        <extend val="0"/>
        <color indexed="17"/>
      </font>
    </dxf>
    <dxf>
      <font>
        <i val="0"/>
        <condense val="0"/>
        <extend val="0"/>
        <color indexed="17"/>
      </font>
    </dxf>
    <dxf>
      <font>
        <i val="0"/>
        <condense val="0"/>
        <extend val="0"/>
        <color indexed="17"/>
      </font>
    </dxf>
    <dxf>
      <font>
        <i val="0"/>
        <condense val="0"/>
        <extend val="0"/>
        <color indexed="17"/>
      </font>
    </dxf>
    <dxf>
      <fill>
        <patternFill>
          <bgColor rgb="FFFFC000"/>
        </patternFill>
      </fill>
    </dxf>
    <dxf>
      <font>
        <i val="0"/>
        <condense val="0"/>
        <extend val="0"/>
        <color indexed="17"/>
      </font>
    </dxf>
    <dxf>
      <font>
        <i val="0"/>
        <condense val="0"/>
        <extend val="0"/>
        <color indexed="17"/>
      </font>
    </dxf>
    <dxf>
      <fill>
        <patternFill>
          <bgColor rgb="FFFFC000"/>
        </patternFill>
      </fill>
    </dxf>
    <dxf>
      <font>
        <i val="0"/>
        <condense val="0"/>
        <extend val="0"/>
        <color indexed="17"/>
      </font>
    </dxf>
    <dxf>
      <font>
        <i val="0"/>
        <condense val="0"/>
        <extend val="0"/>
        <color indexed="17"/>
      </font>
    </dxf>
    <dxf>
      <fill>
        <patternFill>
          <bgColor rgb="FFFFC000"/>
        </patternFill>
      </fill>
    </dxf>
    <dxf>
      <fill>
        <patternFill>
          <bgColor rgb="FFFFC000"/>
        </patternFill>
      </fill>
    </dxf>
    <dxf>
      <font>
        <i val="0"/>
        <condense val="0"/>
        <extend val="0"/>
        <color indexed="17"/>
      </font>
    </dxf>
    <dxf>
      <font>
        <i val="0"/>
        <condense val="0"/>
        <extend val="0"/>
        <color indexed="17"/>
      </font>
    </dxf>
    <dxf>
      <font>
        <i val="0"/>
        <condense val="0"/>
        <extend val="0"/>
        <color indexed="17"/>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i val="0"/>
        <condense val="0"/>
        <extend val="0"/>
        <color indexed="17"/>
      </font>
    </dxf>
    <dxf>
      <border>
        <left/>
        <right style="hair">
          <color theme="0" tint="-0.499984740745262"/>
        </right>
        <vertical/>
        <horizontal/>
      </border>
    </dxf>
    <dxf>
      <font>
        <condense val="0"/>
        <extend val="0"/>
        <color indexed="8"/>
      </font>
      <fill>
        <patternFill>
          <bgColor theme="3" tint="0.79998168889431442"/>
        </patternFill>
      </fill>
    </dxf>
  </dxfs>
  <tableStyles count="0" defaultTableStyle="TableStyleMedium2" defaultPivotStyle="PivotStyleLight16"/>
  <colors>
    <mruColors>
      <color rgb="FFFF6600"/>
      <color rgb="FFFF9933"/>
      <color rgb="FFCE6D32"/>
      <color rgb="FFB9CD99"/>
      <color rgb="FFA4BDD8"/>
      <color rgb="FFE7C46B"/>
      <color rgb="FF99FF66"/>
      <color rgb="FFE4F3DA"/>
      <color rgb="FFCC6600"/>
      <color rgb="FFFF99FF"/>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v>69</v>
        <stp/>
        <stp>c457b0af-9cdb-4cde-8cc9-0529e85b667b</stp>
        <tr r="D68" s="60"/>
      </tp>
      <tp t="s">
        <v xml:space="preserve">                                                               N/A                                                               </v>
        <stp/>
        <stp>e0c354ea-c806-4b1a-8be4-55927a75b27e</stp>
        <tr r="D65" s="60"/>
      </tp>
      <tp>
        <v>551</v>
        <stp/>
        <stp>12b17da3-185a-4eff-b6d2-c21d4116f081</stp>
        <tr r="D66" s="60"/>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worksheets/sheet32.xml" Type="http://schemas.openxmlformats.org/officeDocument/2006/relationships/worksheet"/>
<Relationship Id="rId33" Target="worksheets/sheet33.xml" Type="http://schemas.openxmlformats.org/officeDocument/2006/relationships/worksheet"/>
<Relationship Id="rId34" Target="worksheets/sheet34.xml" Type="http://schemas.openxmlformats.org/officeDocument/2006/relationships/worksheet"/>
<Relationship Id="rId35" Target="worksheets/sheet35.xml" Type="http://schemas.openxmlformats.org/officeDocument/2006/relationships/worksheet"/>
<Relationship Id="rId36" Target="worksheets/sheet36.xml" Type="http://schemas.openxmlformats.org/officeDocument/2006/relationships/worksheet"/>
<Relationship Id="rId37" Target="worksheets/sheet37.xml" Type="http://schemas.openxmlformats.org/officeDocument/2006/relationships/worksheet"/>
<Relationship Id="rId38" Target="theme/theme1.xml" Type="http://schemas.openxmlformats.org/officeDocument/2006/relationships/theme"/>
<Relationship Id="rId39" Target="styles.xml" Type="http://schemas.openxmlformats.org/officeDocument/2006/relationships/styles"/>
<Relationship Id="rId4" Target="worksheets/sheet4.xml" Type="http://schemas.openxmlformats.org/officeDocument/2006/relationships/worksheet"/>
<Relationship Id="rId40" Target="sharedStrings.xml" Type="http://schemas.openxmlformats.org/officeDocument/2006/relationships/sharedStrings"/>
<Relationship Id="rId41" Target="calcChain.xml" Type="http://schemas.openxmlformats.org/officeDocument/2006/relationships/calcChain"/>
<Relationship Id="rId42" Target="../customXml/item1.xml" Type="http://schemas.openxmlformats.org/officeDocument/2006/relationships/customXml"/>
<Relationship Id="rId43" Target="../customXml/item2.xml" Type="http://schemas.openxmlformats.org/officeDocument/2006/relationships/customXml"/>
<Relationship Id="rId44" Target="volatileDependencies.xml" Type="http://schemas.openxmlformats.org/officeDocument/2006/relationships/volatileDependencies"/>
<Relationship Id="rId45" Target="vbaProject.bin" Type="http://schemas.microsoft.com/office/2006/relationships/vbaProjec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harts/_rels/chart14.xml.rels><?xml version="1.0" encoding="UTF-8" standalone="yes"?>
<Relationships xmlns="http://schemas.openxmlformats.org/package/2006/relationships">
<Relationship Id="rId1" Target="../drawings/drawing6.xml" Type="http://schemas.openxmlformats.org/officeDocument/2006/relationships/chartUserShapes"/>
</Relationships>

</file>

<file path=xl/charts/_rels/chart27.xml.rels><?xml version="1.0" encoding="UTF-8" standalone="yes"?>
<Relationships xmlns="http://schemas.openxmlformats.org/package/2006/relationships">
<Relationship Id="rId1" Target="../drawings/drawing7.xml" Type="http://schemas.openxmlformats.org/officeDocument/2006/relationships/chartUserShapes"/>
</Relationships>

</file>

<file path=xl/charts/_rels/chart38.xml.rels><?xml version="1.0" encoding="UTF-8" standalone="yes"?>
<Relationships xmlns="http://schemas.openxmlformats.org/package/2006/relationships">
<Relationship Id="rId1" Target="../drawings/drawing8.xml" Type="http://schemas.openxmlformats.org/officeDocument/2006/relationships/chartUserShapes"/>
</Relationships>

</file>

<file path=xl/charts/_rels/chart81.xml.rels><?xml version="1.0" encoding="UTF-8" standalone="yes"?>
<Relationships xmlns="http://schemas.openxmlformats.org/package/2006/relationships">
<Relationship Id="rId1" Target="../drawings/drawing9.xml" Type="http://schemas.openxmlformats.org/officeDocument/2006/relationships/chartUserShapes"/>
</Relationships>

</file>

<file path=xl/charts/_rels/chart82.xml.rels><?xml version="1.0" encoding="UTF-8" standalone="yes"?>
<Relationships xmlns="http://schemas.openxmlformats.org/package/2006/relationships">
<Relationship Id="rId1" Target="../drawings/drawing10.xml" Type="http://schemas.openxmlformats.org/officeDocument/2006/relationships/chartUserShapes"/>
</Relationships>

</file>

<file path=xl/charts/_rels/chart108.xml.rels><?xml version="1.0" encoding="UTF-8" standalone="yes"?>
<Relationships xmlns="http://schemas.openxmlformats.org/package/2006/relationships">
<Relationship Id="rId1" Target="../drawings/drawing11.xml" Type="http://schemas.openxmlformats.org/officeDocument/2006/relationships/chartUserShapes"/>
</Relationships>

</file>

<file path=xl/charts/_rels/chart118.xml.rels><?xml version="1.0" encoding="UTF-8" standalone="yes"?>
<Relationships xmlns="http://schemas.openxmlformats.org/package/2006/relationships">
<Relationship Id="rId1" Target="../drawings/drawing12.xml" Type="http://schemas.openxmlformats.org/officeDocument/2006/relationships/chartUserShapes"/>
</Relationships>

</file>

<file path=xl/charts/_rels/chart137.xml.rels><?xml version="1.0" encoding="UTF-8" standalone="yes"?>
<Relationships xmlns="http://schemas.openxmlformats.org/package/2006/relationships">
<Relationship Id="rId1" Target="../drawings/drawing13.xml" Type="http://schemas.openxmlformats.org/officeDocument/2006/relationships/chartUserShapes"/>
</Relationships>

</file>

<file path=xl/charts/_rels/chart138.xml.rels><?xml version="1.0" encoding="UTF-8" standalone="yes"?>
<Relationships xmlns="http://schemas.openxmlformats.org/package/2006/relationships">
<Relationship Id="rId1" Target="../drawings/drawing14.xml" Type="http://schemas.openxmlformats.org/officeDocument/2006/relationships/chartUserShapes"/>
</Relationships>

</file>

<file path=xl/charts/_rels/chart166.xml.rels><?xml version="1.0" encoding="UTF-8" standalone="yes"?>
<Relationships xmlns="http://schemas.openxmlformats.org/package/2006/relationships">
<Relationship Id="rId1" Target="../drawings/drawing15.xml" Type="http://schemas.openxmlformats.org/officeDocument/2006/relationships/chartUserShapes"/>
</Relationships>

</file>

<file path=xl/charts/_rels/chart173.xml.rels><?xml version="1.0" encoding="UTF-8" standalone="yes"?>
<Relationships xmlns="http://schemas.openxmlformats.org/package/2006/relationships">
<Relationship Id="rId1" Target="../media/image5.png" Type="http://schemas.openxmlformats.org/officeDocument/2006/relationships/image"/>
<Relationship Id="rId2" Target="../drawings/drawing16.xml" Type="http://schemas.openxmlformats.org/officeDocument/2006/relationships/chartUserShapes"/>
</Relationships>

</file>

<file path=xl/charts/_rels/chart174.xml.rels><?xml version="1.0" encoding="UTF-8" standalone="yes"?>
<Relationships xmlns="http://schemas.openxmlformats.org/package/2006/relationships">
<Relationship Id="rId1" Target="../drawings/drawing17.xml" Type="http://schemas.openxmlformats.org/officeDocument/2006/relationships/chartUserShapes"/>
</Relationships>

</file>

<file path=xl/charts/_rels/chart177.xml.rels><?xml version="1.0" encoding="UTF-8" standalone="yes"?>
<Relationships xmlns="http://schemas.openxmlformats.org/package/2006/relationships">
<Relationship Id="rId1" Target="../drawings/drawing18.xml" Type="http://schemas.openxmlformats.org/officeDocument/2006/relationships/chartUserShapes"/>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30297433051055"/>
          <c:y val="0.22257087359618927"/>
          <c:w val="0.53351276274605541"/>
          <c:h val="0.62382540627664318"/>
        </c:manualLayout>
      </c:layout>
      <c:pieChart>
        <c:varyColors val="1"/>
        <c:ser>
          <c:idx val="0"/>
          <c:order val="0"/>
          <c:dPt>
            <c:idx val="0"/>
            <c:bubble3D val="0"/>
            <c:spPr>
              <a:solidFill>
                <a:schemeClr val="accent1"/>
              </a:solidFill>
            </c:spPr>
          </c:dPt>
          <c:dPt>
            <c:idx val="1"/>
            <c:bubble3D val="0"/>
            <c:spPr>
              <a:solidFill>
                <a:schemeClr val="accent2"/>
              </a:solidFill>
            </c:spPr>
          </c:dPt>
          <c:dLbls>
            <c:dLbl>
              <c:idx val="0"/>
              <c:layout>
                <c:manualLayout>
                  <c:x val="-0.20033897358574865"/>
                  <c:y val="-0.20723796308248355"/>
                </c:manualLayout>
              </c:layout>
              <c:numFmt formatCode="0%" sourceLinked="0"/>
              <c:spPr/>
              <c:txPr>
                <a:bodyPr/>
                <a:lstStyle/>
                <a:p>
                  <a:pPr>
                    <a:defRPr>
                      <a:solidFill>
                        <a:schemeClr val="bg1"/>
                      </a:solidFill>
                    </a:defRPr>
                  </a:pPr>
                  <a:endParaRPr lang="en-US"/>
                </a:p>
              </c:txPr>
              <c:dLblPos val="bestFit"/>
              <c:showLegendKey val="0"/>
              <c:showVal val="0"/>
              <c:showCatName val="1"/>
              <c:showSerName val="0"/>
              <c:showPercent val="1"/>
              <c:showBubbleSize val="0"/>
            </c:dLbl>
            <c:dLbl>
              <c:idx val="1"/>
              <c:layout>
                <c:manualLayout>
                  <c:x val="0.20461886413134528"/>
                  <c:y val="0.12338711759390732"/>
                </c:manualLayout>
              </c:layout>
              <c:dLblPos val="bestFit"/>
              <c:showLegendKey val="0"/>
              <c:showVal val="0"/>
              <c:showCatName val="1"/>
              <c:showSerName val="0"/>
              <c:showPercent val="1"/>
              <c:showBubbleSize val="0"/>
            </c:dLbl>
            <c:numFmt formatCode="0%" sourceLinked="0"/>
            <c:showLegendKey val="0"/>
            <c:showVal val="0"/>
            <c:showCatName val="1"/>
            <c:showSerName val="0"/>
            <c:showPercent val="1"/>
            <c:showBubbleSize val="0"/>
            <c:showLeaderLines val="1"/>
          </c:dLbls>
          <c:cat>
            <c:strRef>
              <c:f>ChartSupport!$A$339:$A$340</c:f>
              <c:strCache>
                <c:ptCount val="2"/>
                <c:pt idx="0">
                  <c:v>Own</c:v>
                </c:pt>
                <c:pt idx="1">
                  <c:v>Third party</c:v>
                </c:pt>
              </c:strCache>
            </c:strRef>
          </c:cat>
          <c:val>
            <c:numRef>
              <c:f>ChartSupport!$P$339:$P$340</c:f>
              <c:numCache>
                <c:formatCode>#,##0.0</c:formatCode>
                <c:ptCount val="2"/>
                <c:pt idx="0">
                  <c:v>0.69488097090399881</c:v>
                </c:pt>
                <c:pt idx="1">
                  <c:v>0.30511902909600119</c:v>
                </c:pt>
              </c:numCache>
            </c:numRef>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ln>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75" b="0" i="0" u="none" strike="noStrike" baseline="0">
              <a:solidFill>
                <a:srgbClr val="000000"/>
              </a:solidFill>
              <a:latin typeface="Arial"/>
              <a:ea typeface="Arial"/>
              <a:cs typeface="Arial"/>
            </a:defRPr>
          </a:pPr>
          <a:endParaRPr lang="en-US"/>
        </a:p>
      </c:txPr>
    </c:title>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0924160"/>
        <c:axId val="880925696"/>
      </c:lineChart>
      <c:catAx>
        <c:axId val="880924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80925696"/>
        <c:crosses val="autoZero"/>
        <c:auto val="1"/>
        <c:lblAlgn val="ctr"/>
        <c:lblOffset val="100"/>
        <c:tickLblSkip val="1"/>
        <c:tickMarkSkip val="1"/>
        <c:noMultiLvlLbl val="0"/>
      </c:catAx>
      <c:valAx>
        <c:axId val="880925696"/>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0924160"/>
        <c:crosses val="autoZero"/>
        <c:crossBetween val="between"/>
      </c:valAx>
      <c:spPr>
        <a:noFill/>
        <a:ln w="25400">
          <a:noFill/>
        </a:ln>
      </c:spPr>
    </c:plotArea>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75" b="0" i="0" u="none" strike="noStrike" baseline="0">
              <a:solidFill>
                <a:srgbClr val="000000"/>
              </a:solidFill>
              <a:latin typeface="Arial"/>
              <a:ea typeface="Arial"/>
              <a:cs typeface="Arial"/>
            </a:defRPr>
          </a:pPr>
          <a:endParaRPr lang="en-US"/>
        </a:p>
      </c:txPr>
    </c:title>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0745088"/>
        <c:axId val="880746880"/>
      </c:lineChart>
      <c:catAx>
        <c:axId val="880745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80746880"/>
        <c:crosses val="autoZero"/>
        <c:auto val="1"/>
        <c:lblAlgn val="ctr"/>
        <c:lblOffset val="100"/>
        <c:tickLblSkip val="1"/>
        <c:tickMarkSkip val="1"/>
        <c:noMultiLvlLbl val="0"/>
      </c:catAx>
      <c:valAx>
        <c:axId val="880746880"/>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0745088"/>
        <c:crosses val="autoZero"/>
        <c:crossBetween val="between"/>
      </c:valAx>
      <c:spPr>
        <a:noFill/>
        <a:ln w="25400">
          <a:noFill/>
        </a:ln>
      </c:spPr>
    </c:plotArea>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0785280"/>
        <c:axId val="880786816"/>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0796800"/>
        <c:axId val="880798336"/>
      </c:lineChart>
      <c:catAx>
        <c:axId val="88078528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80786816"/>
        <c:crosses val="autoZero"/>
        <c:auto val="1"/>
        <c:lblAlgn val="ctr"/>
        <c:lblOffset val="100"/>
        <c:tickLblSkip val="1"/>
        <c:tickMarkSkip val="1"/>
        <c:noMultiLvlLbl val="0"/>
      </c:catAx>
      <c:valAx>
        <c:axId val="880786816"/>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0785280"/>
        <c:crosses val="autoZero"/>
        <c:crossBetween val="between"/>
      </c:valAx>
      <c:catAx>
        <c:axId val="880796800"/>
        <c:scaling>
          <c:orientation val="minMax"/>
        </c:scaling>
        <c:delete val="1"/>
        <c:axPos val="b"/>
        <c:numFmt formatCode="General" sourceLinked="1"/>
        <c:majorTickMark val="out"/>
        <c:minorTickMark val="none"/>
        <c:tickLblPos val="nextTo"/>
        <c:crossAx val="880798336"/>
        <c:crosses val="autoZero"/>
        <c:auto val="1"/>
        <c:lblAlgn val="ctr"/>
        <c:lblOffset val="100"/>
        <c:noMultiLvlLbl val="0"/>
      </c:catAx>
      <c:valAx>
        <c:axId val="880798336"/>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079680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0828800"/>
        <c:axId val="880830336"/>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0831872"/>
        <c:axId val="880837760"/>
      </c:lineChart>
      <c:catAx>
        <c:axId val="880828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80830336"/>
        <c:crosses val="autoZero"/>
        <c:auto val="1"/>
        <c:lblAlgn val="ctr"/>
        <c:lblOffset val="100"/>
        <c:tickLblSkip val="1"/>
        <c:tickMarkSkip val="1"/>
        <c:noMultiLvlLbl val="0"/>
      </c:catAx>
      <c:valAx>
        <c:axId val="880830336"/>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0828800"/>
        <c:crosses val="autoZero"/>
        <c:crossBetween val="between"/>
      </c:valAx>
      <c:catAx>
        <c:axId val="880831872"/>
        <c:scaling>
          <c:orientation val="minMax"/>
        </c:scaling>
        <c:delete val="1"/>
        <c:axPos val="b"/>
        <c:numFmt formatCode="General" sourceLinked="1"/>
        <c:majorTickMark val="out"/>
        <c:minorTickMark val="none"/>
        <c:tickLblPos val="nextTo"/>
        <c:crossAx val="880837760"/>
        <c:crosses val="autoZero"/>
        <c:auto val="1"/>
        <c:lblAlgn val="ctr"/>
        <c:lblOffset val="100"/>
        <c:noMultiLvlLbl val="0"/>
      </c:catAx>
      <c:valAx>
        <c:axId val="880837760"/>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0831872"/>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75" b="0" i="0" u="none" strike="noStrike" baseline="0">
              <a:solidFill>
                <a:srgbClr val="000000"/>
              </a:solidFill>
              <a:latin typeface="Arial"/>
              <a:ea typeface="Arial"/>
              <a:cs typeface="Arial"/>
            </a:defRPr>
          </a:pPr>
          <a:endParaRPr lang="en-US"/>
        </a:p>
      </c:txPr>
    </c:title>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0861952"/>
        <c:axId val="880863488"/>
      </c:lineChart>
      <c:catAx>
        <c:axId val="880861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80863488"/>
        <c:crosses val="autoZero"/>
        <c:auto val="1"/>
        <c:lblAlgn val="ctr"/>
        <c:lblOffset val="100"/>
        <c:tickLblSkip val="1"/>
        <c:tickMarkSkip val="1"/>
        <c:noMultiLvlLbl val="0"/>
      </c:catAx>
      <c:valAx>
        <c:axId val="880863488"/>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0861952"/>
        <c:crosses val="autoZero"/>
        <c:crossBetween val="between"/>
      </c:valAx>
      <c:spPr>
        <a:noFill/>
        <a:ln w="25400">
          <a:noFill/>
        </a:ln>
      </c:spPr>
    </c:plotArea>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75" b="0" i="0" u="none" strike="noStrike" baseline="0">
              <a:solidFill>
                <a:srgbClr val="000000"/>
              </a:solidFill>
              <a:latin typeface="Arial"/>
              <a:ea typeface="Arial"/>
              <a:cs typeface="Arial"/>
            </a:defRPr>
          </a:pPr>
          <a:endParaRPr lang="en-US"/>
        </a:p>
      </c:txPr>
    </c:title>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3324800"/>
        <c:axId val="883326336"/>
      </c:lineChart>
      <c:catAx>
        <c:axId val="883324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83326336"/>
        <c:crosses val="autoZero"/>
        <c:auto val="1"/>
        <c:lblAlgn val="ctr"/>
        <c:lblOffset val="100"/>
        <c:tickLblSkip val="1"/>
        <c:tickMarkSkip val="1"/>
        <c:noMultiLvlLbl val="0"/>
      </c:catAx>
      <c:valAx>
        <c:axId val="883326336"/>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3324800"/>
        <c:crosses val="autoZero"/>
        <c:crossBetween val="between"/>
      </c:valAx>
      <c:spPr>
        <a:noFill/>
        <a:ln w="25400">
          <a:noFill/>
        </a:ln>
      </c:spPr>
    </c:plotArea>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3356800"/>
        <c:axId val="883358336"/>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3368320"/>
        <c:axId val="883369856"/>
      </c:lineChart>
      <c:catAx>
        <c:axId val="883356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83358336"/>
        <c:crosses val="autoZero"/>
        <c:auto val="1"/>
        <c:lblAlgn val="ctr"/>
        <c:lblOffset val="100"/>
        <c:tickLblSkip val="1"/>
        <c:tickMarkSkip val="1"/>
        <c:noMultiLvlLbl val="0"/>
      </c:catAx>
      <c:valAx>
        <c:axId val="883358336"/>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3356800"/>
        <c:crosses val="autoZero"/>
        <c:crossBetween val="between"/>
      </c:valAx>
      <c:catAx>
        <c:axId val="883368320"/>
        <c:scaling>
          <c:orientation val="minMax"/>
        </c:scaling>
        <c:delete val="1"/>
        <c:axPos val="b"/>
        <c:numFmt formatCode="General" sourceLinked="1"/>
        <c:majorTickMark val="out"/>
        <c:minorTickMark val="none"/>
        <c:tickLblPos val="nextTo"/>
        <c:crossAx val="883369856"/>
        <c:crosses val="autoZero"/>
        <c:auto val="1"/>
        <c:lblAlgn val="ctr"/>
        <c:lblOffset val="100"/>
        <c:noMultiLvlLbl val="0"/>
      </c:catAx>
      <c:valAx>
        <c:axId val="883369856"/>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336832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3395968"/>
        <c:axId val="883401856"/>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3403392"/>
        <c:axId val="883417472"/>
      </c:lineChart>
      <c:catAx>
        <c:axId val="88339596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83401856"/>
        <c:crosses val="autoZero"/>
        <c:auto val="1"/>
        <c:lblAlgn val="ctr"/>
        <c:lblOffset val="100"/>
        <c:tickLblSkip val="1"/>
        <c:tickMarkSkip val="1"/>
        <c:noMultiLvlLbl val="0"/>
      </c:catAx>
      <c:valAx>
        <c:axId val="883401856"/>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3395968"/>
        <c:crosses val="autoZero"/>
        <c:crossBetween val="between"/>
      </c:valAx>
      <c:catAx>
        <c:axId val="883403392"/>
        <c:scaling>
          <c:orientation val="minMax"/>
        </c:scaling>
        <c:delete val="1"/>
        <c:axPos val="b"/>
        <c:numFmt formatCode="General" sourceLinked="1"/>
        <c:majorTickMark val="out"/>
        <c:minorTickMark val="none"/>
        <c:tickLblPos val="nextTo"/>
        <c:crossAx val="883417472"/>
        <c:crosses val="autoZero"/>
        <c:auto val="1"/>
        <c:lblAlgn val="ctr"/>
        <c:lblOffset val="100"/>
        <c:noMultiLvlLbl val="0"/>
      </c:catAx>
      <c:valAx>
        <c:axId val="883417472"/>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3403392"/>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3447680"/>
        <c:axId val="883449216"/>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3451008"/>
        <c:axId val="883452544"/>
      </c:lineChart>
      <c:catAx>
        <c:axId val="88344768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83449216"/>
        <c:crosses val="autoZero"/>
        <c:auto val="1"/>
        <c:lblAlgn val="ctr"/>
        <c:lblOffset val="100"/>
        <c:tickLblSkip val="1"/>
        <c:tickMarkSkip val="1"/>
        <c:noMultiLvlLbl val="0"/>
      </c:catAx>
      <c:valAx>
        <c:axId val="883449216"/>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3447680"/>
        <c:crosses val="autoZero"/>
        <c:crossBetween val="between"/>
      </c:valAx>
      <c:catAx>
        <c:axId val="883451008"/>
        <c:scaling>
          <c:orientation val="minMax"/>
        </c:scaling>
        <c:delete val="1"/>
        <c:axPos val="b"/>
        <c:numFmt formatCode="General" sourceLinked="1"/>
        <c:majorTickMark val="out"/>
        <c:minorTickMark val="none"/>
        <c:tickLblPos val="nextTo"/>
        <c:crossAx val="883452544"/>
        <c:crosses val="autoZero"/>
        <c:auto val="1"/>
        <c:lblAlgn val="ctr"/>
        <c:lblOffset val="100"/>
        <c:noMultiLvlLbl val="0"/>
      </c:catAx>
      <c:valAx>
        <c:axId val="883452544"/>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3451008"/>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6837632"/>
        <c:axId val="886839168"/>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6840704"/>
        <c:axId val="886842496"/>
      </c:lineChart>
      <c:catAx>
        <c:axId val="886837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86839168"/>
        <c:crosses val="autoZero"/>
        <c:auto val="1"/>
        <c:lblAlgn val="ctr"/>
        <c:lblOffset val="100"/>
        <c:tickLblSkip val="1"/>
        <c:tickMarkSkip val="1"/>
        <c:noMultiLvlLbl val="0"/>
      </c:catAx>
      <c:valAx>
        <c:axId val="886839168"/>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6837632"/>
        <c:crosses val="autoZero"/>
        <c:crossBetween val="between"/>
      </c:valAx>
      <c:catAx>
        <c:axId val="886840704"/>
        <c:scaling>
          <c:orientation val="minMax"/>
        </c:scaling>
        <c:delete val="1"/>
        <c:axPos val="b"/>
        <c:numFmt formatCode="General" sourceLinked="1"/>
        <c:majorTickMark val="out"/>
        <c:minorTickMark val="none"/>
        <c:tickLblPos val="nextTo"/>
        <c:crossAx val="886842496"/>
        <c:crosses val="autoZero"/>
        <c:auto val="1"/>
        <c:lblAlgn val="ctr"/>
        <c:lblOffset val="100"/>
        <c:noMultiLvlLbl val="0"/>
      </c:catAx>
      <c:valAx>
        <c:axId val="886842496"/>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6840704"/>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75" b="0" i="0" u="none" strike="noStrike" baseline="0">
              <a:solidFill>
                <a:srgbClr val="000000"/>
              </a:solidFill>
              <a:latin typeface="Arial"/>
              <a:ea typeface="Arial"/>
              <a:cs typeface="Arial"/>
            </a:defRPr>
          </a:pPr>
          <a:endParaRPr lang="en-US"/>
        </a:p>
      </c:txPr>
    </c:title>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6866688"/>
        <c:axId val="886868224"/>
      </c:lineChart>
      <c:catAx>
        <c:axId val="886866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86868224"/>
        <c:crosses val="autoZero"/>
        <c:auto val="1"/>
        <c:lblAlgn val="ctr"/>
        <c:lblOffset val="100"/>
        <c:tickLblSkip val="1"/>
        <c:tickMarkSkip val="1"/>
        <c:noMultiLvlLbl val="0"/>
      </c:catAx>
      <c:valAx>
        <c:axId val="88686822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6866688"/>
        <c:crosses val="autoZero"/>
        <c:crossBetween val="between"/>
      </c:valAx>
      <c:spPr>
        <a:noFill/>
        <a:ln w="25400">
          <a:noFill/>
        </a:ln>
      </c:spPr>
    </c:plotArea>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title>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6892416"/>
        <c:axId val="886893952"/>
      </c:lineChart>
      <c:catAx>
        <c:axId val="88689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886893952"/>
        <c:crosses val="autoZero"/>
        <c:auto val="1"/>
        <c:lblAlgn val="ctr"/>
        <c:lblOffset val="100"/>
        <c:tickLblSkip val="1"/>
        <c:tickMarkSkip val="1"/>
        <c:noMultiLvlLbl val="0"/>
      </c:catAx>
      <c:valAx>
        <c:axId val="886893952"/>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886892416"/>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72825896762905"/>
          <c:y val="3.1161838715114739E-2"/>
          <c:w val="0.79112271540469969"/>
          <c:h val="0.81446790999628416"/>
        </c:manualLayout>
      </c:layout>
      <c:lineChart>
        <c:grouping val="standard"/>
        <c:varyColors val="0"/>
        <c:ser>
          <c:idx val="2"/>
          <c:order val="0"/>
          <c:tx>
            <c:strRef>
              <c:f>Financials!$A$41</c:f>
              <c:strCache>
                <c:ptCount val="1"/>
                <c:pt idx="0">
                  <c:v>Growth in %</c:v>
                </c:pt>
              </c:strCache>
            </c:strRef>
          </c:tx>
          <c:spPr>
            <a:ln w="25400">
              <a:solidFill>
                <a:schemeClr val="accent1"/>
              </a:solidFill>
              <a:prstDash val="solid"/>
            </a:ln>
          </c:spPr>
          <c:marker>
            <c:symbol val="none"/>
          </c:marker>
          <c:dPt>
            <c:idx val="9"/>
            <c:bubble3D val="0"/>
          </c:dPt>
          <c:dPt>
            <c:idx val="10"/>
            <c:bubble3D val="0"/>
          </c:dPt>
          <c:dPt>
            <c:idx val="11"/>
            <c:bubble3D val="0"/>
          </c:dPt>
          <c:dPt>
            <c:idx val="12"/>
            <c:bubble3D val="0"/>
          </c:dPt>
          <c:dPt>
            <c:idx val="13"/>
            <c:bubble3D val="0"/>
          </c:dPt>
          <c:cat>
            <c:strRef>
              <c:f>ChartSupport!$B$4:$W$4</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ChartSupport!$B$19:$W$19</c:f>
              <c:numCache>
                <c:formatCode>0.0%</c:formatCode>
                <c:ptCount val="22"/>
                <c:pt idx="1">
                  <c:v>0.25135135135135123</c:v>
                </c:pt>
                <c:pt idx="2">
                  <c:v>0.24656278926257325</c:v>
                </c:pt>
                <c:pt idx="3">
                  <c:v>2.2913980064899198E-2</c:v>
                </c:pt>
                <c:pt idx="4">
                  <c:v>-0.1380664144496857</c:v>
                </c:pt>
                <c:pt idx="5">
                  <c:v>8.7059599674349286E-2</c:v>
                </c:pt>
                <c:pt idx="6">
                  <c:v>0.52791877517131658</c:v>
                </c:pt>
                <c:pt idx="7">
                  <c:v>9.4433636500389495E-2</c:v>
                </c:pt>
                <c:pt idx="8">
                  <c:v>5.5567910500776918E-2</c:v>
                </c:pt>
                <c:pt idx="9">
                  <c:v>0.19675710868404295</c:v>
                </c:pt>
                <c:pt idx="10">
                  <c:v>0.20522263754198633</c:v>
                </c:pt>
                <c:pt idx="11">
                  <c:v>0.17927361806369135</c:v>
                </c:pt>
                <c:pt idx="12">
                  <c:v>0.17298450602581683</c:v>
                </c:pt>
                <c:pt idx="13">
                  <c:v>0.10101383049440504</c:v>
                </c:pt>
                <c:pt idx="14">
                  <c:v>0.21775052562685882</c:v>
                </c:pt>
                <c:pt idx="15">
                  <c:v>3.4274784684021009E-2</c:v>
                </c:pt>
                <c:pt idx="16">
                  <c:v>8.0032111180861731E-2</c:v>
                </c:pt>
                <c:pt idx="17">
                  <c:v>0.150876898631918</c:v>
                </c:pt>
                <c:pt idx="18">
                  <c:v>7.0220896205264172E-2</c:v>
                </c:pt>
                <c:pt idx="19">
                  <c:v>-4.8306997926606865E-2</c:v>
                </c:pt>
                <c:pt idx="20">
                  <c:v>-2.5605829572782013E-2</c:v>
                </c:pt>
                <c:pt idx="21">
                  <c:v>0.11906331633151579</c:v>
                </c:pt>
              </c:numCache>
            </c:numRef>
          </c:val>
          <c:smooth val="0"/>
        </c:ser>
        <c:ser>
          <c:idx val="1"/>
          <c:order val="2"/>
          <c:tx>
            <c:v>zeroline</c:v>
          </c:tx>
          <c:spPr>
            <a:ln w="3175">
              <a:solidFill>
                <a:schemeClr val="bg1">
                  <a:lumMod val="50000"/>
                </a:schemeClr>
              </a:solidFill>
            </a:ln>
          </c:spPr>
          <c:marker>
            <c:symbol val="none"/>
          </c:marker>
          <c:cat>
            <c:strRef>
              <c:f>ChartSupport!$B$4:$W$4</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ChartSupport!$B$421:$W$421</c:f>
              <c:numCache>
                <c:formatCode>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mooth val="0"/>
        </c:ser>
        <c:dLbls>
          <c:showLegendKey val="0"/>
          <c:showVal val="0"/>
          <c:showCatName val="0"/>
          <c:showSerName val="0"/>
          <c:showPercent val="0"/>
          <c:showBubbleSize val="0"/>
        </c:dLbls>
        <c:marker val="1"/>
        <c:smooth val="0"/>
        <c:axId val="886967296"/>
        <c:axId val="886973184"/>
      </c:lineChart>
      <c:lineChart>
        <c:grouping val="standard"/>
        <c:varyColors val="0"/>
        <c:ser>
          <c:idx val="0"/>
          <c:order val="1"/>
          <c:tx>
            <c:strRef>
              <c:f>Financials!$A$16</c:f>
              <c:strCache>
                <c:ptCount val="1"/>
                <c:pt idx="0">
                  <c:v>Sugar Nybot prices (US$ cents/lb)</c:v>
                </c:pt>
              </c:strCache>
            </c:strRef>
          </c:tx>
          <c:spPr>
            <a:ln w="15875">
              <a:solidFill>
                <a:srgbClr val="FF0000"/>
              </a:solidFill>
              <a:prstDash val="sysDash"/>
            </a:ln>
          </c:spPr>
          <c:marker>
            <c:symbol val="none"/>
          </c:marker>
          <c:cat>
            <c:strRef>
              <c:f>ChartSupport!$B$4:$W$4</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ChartSupport!$B$179:$W$179</c:f>
              <c:numCache>
                <c:formatCode>#,##0.0</c:formatCode>
                <c:ptCount val="22"/>
                <c:pt idx="0">
                  <c:v>#N/A</c:v>
                </c:pt>
                <c:pt idx="1">
                  <c:v>#N/A</c:v>
                </c:pt>
                <c:pt idx="2" formatCode="0">
                  <c:v>13.545</c:v>
                </c:pt>
                <c:pt idx="3" formatCode="0">
                  <c:v>10.401666666666666</c:v>
                </c:pt>
                <c:pt idx="4" formatCode="0">
                  <c:v>12.4</c:v>
                </c:pt>
                <c:pt idx="5" formatCode="0">
                  <c:v>18.787500000000001</c:v>
                </c:pt>
                <c:pt idx="6" formatCode="0">
                  <c:v>23.440833333333334</c:v>
                </c:pt>
                <c:pt idx="7" formatCode="0">
                  <c:v>25.258333333333336</c:v>
                </c:pt>
                <c:pt idx="8" formatCode="0">
                  <c:v>20.410833333333333</c:v>
                </c:pt>
                <c:pt idx="9" formatCode="0">
                  <c:v>17.066666666666666</c:v>
                </c:pt>
                <c:pt idx="10" formatCode="0">
                  <c:v>15.978333333333333</c:v>
                </c:pt>
                <c:pt idx="11" formatCode="0">
                  <c:v>13.149166666666668</c:v>
                </c:pt>
                <c:pt idx="12" formatCode="0">
                  <c:v>19.252499999999998</c:v>
                </c:pt>
                <c:pt idx="13" formatCode="0">
                  <c:v>17.805000000000003</c:v>
                </c:pt>
                <c:pt idx="14" formatCode="0">
                  <c:v>16.244658605325153</c:v>
                </c:pt>
                <c:pt idx="15" formatCode="0">
                  <c:v>16.31531880717511</c:v>
                </c:pt>
                <c:pt idx="16" formatCode="0">
                  <c:v>16.498655235130911</c:v>
                </c:pt>
                <c:pt idx="17" formatCode="0">
                  <c:v>19.747444770453257</c:v>
                </c:pt>
                <c:pt idx="18" formatCode="0">
                  <c:v>20.93514679550681</c:v>
                </c:pt>
                <c:pt idx="19" formatCode="0">
                  <c:v>17.432162450241776</c:v>
                </c:pt>
                <c:pt idx="20" formatCode="0">
                  <c:v>15.017906650666538</c:v>
                </c:pt>
                <c:pt idx="21" formatCode="0">
                  <c:v>17.055276269110166</c:v>
                </c:pt>
              </c:numCache>
            </c:numRef>
          </c:val>
          <c:smooth val="0"/>
        </c:ser>
        <c:dLbls>
          <c:showLegendKey val="0"/>
          <c:showVal val="0"/>
          <c:showCatName val="0"/>
          <c:showSerName val="0"/>
          <c:showPercent val="0"/>
          <c:showBubbleSize val="0"/>
        </c:dLbls>
        <c:marker val="1"/>
        <c:smooth val="0"/>
        <c:axId val="886974720"/>
        <c:axId val="886976512"/>
      </c:lineChart>
      <c:catAx>
        <c:axId val="886967296"/>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86973184"/>
        <c:crossesAt val="-0.2"/>
        <c:auto val="1"/>
        <c:lblAlgn val="ctr"/>
        <c:lblOffset val="100"/>
        <c:tickLblSkip val="1"/>
        <c:tickMarkSkip val="1"/>
        <c:noMultiLvlLbl val="0"/>
      </c:catAx>
      <c:valAx>
        <c:axId val="886973184"/>
        <c:scaling>
          <c:orientation val="minMax"/>
        </c:scaling>
        <c:delete val="0"/>
        <c:axPos val="l"/>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6967296"/>
        <c:crosses val="autoZero"/>
        <c:crossBetween val="midCat"/>
      </c:valAx>
      <c:catAx>
        <c:axId val="886974720"/>
        <c:scaling>
          <c:orientation val="minMax"/>
        </c:scaling>
        <c:delete val="1"/>
        <c:axPos val="b"/>
        <c:numFmt formatCode="General" sourceLinked="1"/>
        <c:majorTickMark val="out"/>
        <c:minorTickMark val="none"/>
        <c:tickLblPos val="nextTo"/>
        <c:crossAx val="886976512"/>
        <c:crosses val="autoZero"/>
        <c:auto val="1"/>
        <c:lblAlgn val="ctr"/>
        <c:lblOffset val="100"/>
        <c:noMultiLvlLbl val="0"/>
      </c:catAx>
      <c:valAx>
        <c:axId val="886976512"/>
        <c:scaling>
          <c:orientation val="minMax"/>
        </c:scaling>
        <c:delete val="0"/>
        <c:axPos val="r"/>
        <c:title>
          <c:tx>
            <c:rich>
              <a:bodyPr rot="0" vert="horz"/>
              <a:lstStyle/>
              <a:p>
                <a:pPr algn="ctr" rtl="0">
                  <a:defRPr sz="900"/>
                </a:pPr>
                <a:r>
                  <a:rPr lang="en-US" sz="900" b="0" i="0" baseline="0">
                    <a:effectLst/>
                  </a:rPr>
                  <a:t>US$cents/lb</a:t>
                </a:r>
                <a:endParaRPr lang="en-US" sz="900">
                  <a:effectLst/>
                </a:endParaRPr>
              </a:p>
            </c:rich>
          </c:tx>
          <c:layout>
            <c:manualLayout>
              <c:xMode val="edge"/>
              <c:yMode val="edge"/>
              <c:x val="0.6985815602836879"/>
              <c:y val="2.1798386312822007E-2"/>
            </c:manualLayout>
          </c:layout>
          <c:overlay val="0"/>
        </c:title>
        <c:numFmt formatCode="#,##0_);\(#,##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6974720"/>
        <c:crosses val="max"/>
        <c:crossBetween val="midCat"/>
      </c:valAx>
      <c:spPr>
        <a:noFill/>
        <a:ln w="25400">
          <a:noFill/>
        </a:ln>
      </c:spPr>
    </c:plotArea>
    <c:legend>
      <c:legendPos val="b"/>
      <c:legendEntry>
        <c:idx val="1"/>
        <c:delete val="1"/>
      </c:legendEntry>
      <c:layout>
        <c:manualLayout>
          <c:xMode val="edge"/>
          <c:yMode val="edge"/>
          <c:x val="0.26903993000874893"/>
          <c:y val="0.69257306139484853"/>
          <c:w val="0.60225539807524064"/>
          <c:h val="0.14197180433342796"/>
        </c:manualLayout>
      </c:layout>
      <c:overlay val="0"/>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670765977574357E-2"/>
          <c:y val="4.7022015548490691E-2"/>
          <c:w val="0.7832097047939679"/>
          <c:h val="0.78633038562487378"/>
        </c:manualLayout>
      </c:layout>
      <c:areaChart>
        <c:grouping val="standard"/>
        <c:varyColors val="0"/>
        <c:ser>
          <c:idx val="4"/>
          <c:order val="0"/>
          <c:tx>
            <c:v>Bull-Bear Scenario</c:v>
          </c:tx>
          <c:spPr>
            <a:solidFill>
              <a:schemeClr val="bg1">
                <a:lumMod val="85000"/>
              </a:schemeClr>
            </a:solidFill>
            <a:ln w="12700">
              <a:noFill/>
              <a:prstDash val="solid"/>
            </a:ln>
          </c:spPr>
          <c:cat>
            <c:strRef>
              <c:f>ChartSupport!$B$12:$W$12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ChartSupport!$B$15:$W$15</c:f>
              <c:numCache>
                <c:formatCode>#,##0</c:formatCode>
                <c:ptCount val="22"/>
                <c:pt idx="0">
                  <c:v>518</c:v>
                </c:pt>
                <c:pt idx="1">
                  <c:v>648.19999999999993</c:v>
                </c:pt>
                <c:pt idx="2">
                  <c:v>808.02199999999993</c:v>
                </c:pt>
                <c:pt idx="3">
                  <c:v>826.53699999999992</c:v>
                </c:pt>
                <c:pt idx="4">
                  <c:v>712.42000000000007</c:v>
                </c:pt>
                <c:pt idx="5">
                  <c:v>774.44299999999998</c:v>
                </c:pt>
                <c:pt idx="6">
                  <c:v>1183.2859999999998</c:v>
                </c:pt>
                <c:pt idx="7">
                  <c:v>1295.0279999999998</c:v>
                </c:pt>
                <c:pt idx="8">
                  <c:v>1366.99</c:v>
                </c:pt>
                <c:pt idx="9">
                  <c:v>1635.9549999999999</c:v>
                </c:pt>
                <c:pt idx="10">
                  <c:v>1971.69</c:v>
                </c:pt>
                <c:pt idx="11">
                  <c:v>2325.1619999999998</c:v>
                </c:pt>
                <c:pt idx="12">
                  <c:v>2727.3789999999999</c:v>
                </c:pt>
                <c:pt idx="13">
                  <c:v>3002.8820000000001</c:v>
                </c:pt>
                <c:pt idx="14">
                  <c:v>3979.3484337315795</c:v>
                </c:pt>
                <c:pt idx="15">
                  <c:v>4283.168518158679</c:v>
                </c:pt>
                <c:pt idx="16">
                  <c:v>4824.5712612595689</c:v>
                </c:pt>
                <c:pt idx="17">
                  <c:v>5295.9446131974628</c:v>
                </c:pt>
                <c:pt idx="18">
                  <c:v>5175.0415548013834</c:v>
                </c:pt>
                <c:pt idx="19">
                  <c:v>5058.7076341979009</c:v>
                </c:pt>
                <c:pt idx="20">
                  <c:v>5431.0299547888071</c:v>
                </c:pt>
                <c:pt idx="21">
                  <c:v>5994.6709525460374</c:v>
                </c:pt>
              </c:numCache>
            </c:numRef>
          </c:val>
        </c:ser>
        <c:ser>
          <c:idx val="3"/>
          <c:order val="1"/>
          <c:tx>
            <c:v>Bear Scenario</c:v>
          </c:tx>
          <c:spPr>
            <a:solidFill>
              <a:srgbClr val="FFFFFF"/>
            </a:solidFill>
            <a:ln w="12700">
              <a:noFill/>
              <a:prstDash val="solid"/>
            </a:ln>
          </c:spPr>
          <c:cat>
            <c:strRef>
              <c:f>ChartSupport!$B$12:$W$12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ChartSupport!$B$13:$W$13</c:f>
              <c:numCache>
                <c:formatCode>#,##0</c:formatCode>
                <c:ptCount val="22"/>
                <c:pt idx="0">
                  <c:v>518</c:v>
                </c:pt>
                <c:pt idx="1">
                  <c:v>648.19999999999993</c:v>
                </c:pt>
                <c:pt idx="2">
                  <c:v>808.02199999999993</c:v>
                </c:pt>
                <c:pt idx="3">
                  <c:v>826.53699999999992</c:v>
                </c:pt>
                <c:pt idx="4">
                  <c:v>712.42000000000007</c:v>
                </c:pt>
                <c:pt idx="5">
                  <c:v>774.44299999999998</c:v>
                </c:pt>
                <c:pt idx="6">
                  <c:v>1183.2859999999998</c:v>
                </c:pt>
                <c:pt idx="7">
                  <c:v>1295.0279999999998</c:v>
                </c:pt>
                <c:pt idx="8">
                  <c:v>1366.99</c:v>
                </c:pt>
                <c:pt idx="9">
                  <c:v>1635.9549999999999</c:v>
                </c:pt>
                <c:pt idx="10">
                  <c:v>1971.69</c:v>
                </c:pt>
                <c:pt idx="11">
                  <c:v>2325.1619999999998</c:v>
                </c:pt>
                <c:pt idx="12">
                  <c:v>2727.3789999999999</c:v>
                </c:pt>
                <c:pt idx="13">
                  <c:v>3002.8820000000001</c:v>
                </c:pt>
                <c:pt idx="14">
                  <c:v>3345.3523290050807</c:v>
                </c:pt>
                <c:pt idx="15">
                  <c:v>3213.2813499699196</c:v>
                </c:pt>
                <c:pt idx="16">
                  <c:v>3754.4804080624235</c:v>
                </c:pt>
                <c:pt idx="17">
                  <c:v>4312.4190258944391</c:v>
                </c:pt>
                <c:pt idx="18">
                  <c:v>4238.4775865398869</c:v>
                </c:pt>
                <c:pt idx="19">
                  <c:v>4068.7854142497249</c:v>
                </c:pt>
                <c:pt idx="20">
                  <c:v>4357.7390087878084</c:v>
                </c:pt>
                <c:pt idx="21">
                  <c:v>4655.6374556782703</c:v>
                </c:pt>
              </c:numCache>
            </c:numRef>
          </c:val>
        </c:ser>
        <c:dLbls>
          <c:showLegendKey val="0"/>
          <c:showVal val="0"/>
          <c:showCatName val="0"/>
          <c:showSerName val="0"/>
          <c:showPercent val="0"/>
          <c:showBubbleSize val="0"/>
        </c:dLbls>
        <c:axId val="887014912"/>
        <c:axId val="887016448"/>
      </c:areaChart>
      <c:lineChart>
        <c:grouping val="standard"/>
        <c:varyColors val="0"/>
        <c:ser>
          <c:idx val="2"/>
          <c:order val="2"/>
          <c:tx>
            <c:v>Base Scenario</c:v>
          </c:tx>
          <c:spPr>
            <a:ln w="25400">
              <a:solidFill>
                <a:schemeClr val="accent1"/>
              </a:solidFill>
              <a:prstDash val="solid"/>
            </a:ln>
          </c:spPr>
          <c:marker>
            <c:symbol val="none"/>
          </c:marker>
          <c:cat>
            <c:strRef>
              <c:f>ChartSupport!$B$12:$W$12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ChartSupport!$B$14:$W$14</c:f>
              <c:numCache>
                <c:formatCode>#,##0</c:formatCode>
                <c:ptCount val="22"/>
                <c:pt idx="0">
                  <c:v>518</c:v>
                </c:pt>
                <c:pt idx="1">
                  <c:v>648.19999999999993</c:v>
                </c:pt>
                <c:pt idx="2">
                  <c:v>808.02199999999993</c:v>
                </c:pt>
                <c:pt idx="3">
                  <c:v>826.53699999999992</c:v>
                </c:pt>
                <c:pt idx="4">
                  <c:v>712.42000000000007</c:v>
                </c:pt>
                <c:pt idx="5">
                  <c:v>774.44299999999998</c:v>
                </c:pt>
                <c:pt idx="6">
                  <c:v>1183.2859999999998</c:v>
                </c:pt>
                <c:pt idx="7">
                  <c:v>1295.0279999999998</c:v>
                </c:pt>
                <c:pt idx="8">
                  <c:v>1366.99</c:v>
                </c:pt>
                <c:pt idx="9">
                  <c:v>1635.9549999999999</c:v>
                </c:pt>
                <c:pt idx="10">
                  <c:v>1971.69</c:v>
                </c:pt>
                <c:pt idx="11">
                  <c:v>2325.1619999999998</c:v>
                </c:pt>
                <c:pt idx="12">
                  <c:v>2727.3789999999999</c:v>
                </c:pt>
                <c:pt idx="13">
                  <c:v>3002.8820000000001</c:v>
                </c:pt>
                <c:pt idx="14">
                  <c:v>3656.7611338954334</c:v>
                </c:pt>
                <c:pt idx="15">
                  <c:v>3782.0958344005958</c:v>
                </c:pt>
                <c:pt idx="16">
                  <c:v>4084.7849487160179</c:v>
                </c:pt>
                <c:pt idx="17">
                  <c:v>4701.0846333566287</c:v>
                </c:pt>
                <c:pt idx="18">
                  <c:v>5031.1990094477269</c:v>
                </c:pt>
                <c:pt idx="19">
                  <c:v>4788.1568893299891</c:v>
                </c:pt>
                <c:pt idx="20">
                  <c:v>4665.5521600540633</c:v>
                </c:pt>
                <c:pt idx="21">
                  <c:v>5221.0482727477665</c:v>
                </c:pt>
              </c:numCache>
            </c:numRef>
          </c:val>
          <c:smooth val="0"/>
        </c:ser>
        <c:dLbls>
          <c:showLegendKey val="0"/>
          <c:showVal val="0"/>
          <c:showCatName val="0"/>
          <c:showSerName val="0"/>
          <c:showPercent val="0"/>
          <c:showBubbleSize val="0"/>
        </c:dLbls>
        <c:marker val="1"/>
        <c:smooth val="0"/>
        <c:axId val="887014912"/>
        <c:axId val="887016448"/>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ChartSupport!$B$12:$W$12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ChartSupport!$B$179:$W$179</c:f>
              <c:numCache>
                <c:formatCode>#,##0.0</c:formatCode>
                <c:ptCount val="22"/>
                <c:pt idx="0">
                  <c:v>#N/A</c:v>
                </c:pt>
                <c:pt idx="1">
                  <c:v>#N/A</c:v>
                </c:pt>
                <c:pt idx="2" formatCode="0">
                  <c:v>13.545</c:v>
                </c:pt>
                <c:pt idx="3" formatCode="0">
                  <c:v>10.401666666666666</c:v>
                </c:pt>
                <c:pt idx="4" formatCode="0">
                  <c:v>12.4</c:v>
                </c:pt>
                <c:pt idx="5" formatCode="0">
                  <c:v>18.787500000000001</c:v>
                </c:pt>
                <c:pt idx="6" formatCode="0">
                  <c:v>23.440833333333334</c:v>
                </c:pt>
                <c:pt idx="7" formatCode="0">
                  <c:v>25.258333333333336</c:v>
                </c:pt>
                <c:pt idx="8" formatCode="0">
                  <c:v>20.410833333333333</c:v>
                </c:pt>
                <c:pt idx="9" formatCode="0">
                  <c:v>17.066666666666666</c:v>
                </c:pt>
                <c:pt idx="10" formatCode="0">
                  <c:v>15.978333333333333</c:v>
                </c:pt>
                <c:pt idx="11" formatCode="0">
                  <c:v>13.149166666666668</c:v>
                </c:pt>
                <c:pt idx="12" formatCode="0">
                  <c:v>19.252499999999998</c:v>
                </c:pt>
                <c:pt idx="13" formatCode="0">
                  <c:v>17.805000000000003</c:v>
                </c:pt>
                <c:pt idx="14" formatCode="0">
                  <c:v>16.244658605325153</c:v>
                </c:pt>
                <c:pt idx="15" formatCode="0">
                  <c:v>16.31531880717511</c:v>
                </c:pt>
                <c:pt idx="16" formatCode="0">
                  <c:v>16.498655235130911</c:v>
                </c:pt>
                <c:pt idx="17" formatCode="0">
                  <c:v>19.747444770453257</c:v>
                </c:pt>
                <c:pt idx="18" formatCode="0">
                  <c:v>20.93514679550681</c:v>
                </c:pt>
                <c:pt idx="19" formatCode="0">
                  <c:v>17.432162450241776</c:v>
                </c:pt>
                <c:pt idx="20" formatCode="0">
                  <c:v>15.017906650666538</c:v>
                </c:pt>
                <c:pt idx="21" formatCode="0">
                  <c:v>17.055276269110166</c:v>
                </c:pt>
              </c:numCache>
            </c:numRef>
          </c:val>
          <c:smooth val="0"/>
        </c:ser>
        <c:dLbls>
          <c:showLegendKey val="0"/>
          <c:showVal val="0"/>
          <c:showCatName val="0"/>
          <c:showSerName val="0"/>
          <c:showPercent val="0"/>
          <c:showBubbleSize val="0"/>
        </c:dLbls>
        <c:marker val="1"/>
        <c:smooth val="0"/>
        <c:axId val="887096448"/>
        <c:axId val="887097984"/>
      </c:lineChart>
      <c:catAx>
        <c:axId val="887014912"/>
        <c:scaling>
          <c:orientation val="minMax"/>
        </c:scaling>
        <c:delete val="0"/>
        <c:axPos val="b"/>
        <c:numFmt formatCode="General" sourceLinked="1"/>
        <c:majorTickMark val="out"/>
        <c:minorTickMark val="none"/>
        <c:tickLblPos val="low"/>
        <c:spPr>
          <a:ln w="3175">
            <a:solidFill>
              <a:srgbClr val="969696"/>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87016448"/>
        <c:crosses val="autoZero"/>
        <c:auto val="1"/>
        <c:lblAlgn val="ctr"/>
        <c:lblOffset val="100"/>
        <c:tickLblSkip val="1"/>
        <c:tickMarkSkip val="1"/>
        <c:noMultiLvlLbl val="0"/>
      </c:catAx>
      <c:valAx>
        <c:axId val="887016448"/>
        <c:scaling>
          <c:orientation val="minMax"/>
        </c:scaling>
        <c:delete val="0"/>
        <c:axPos val="r"/>
        <c:title>
          <c:tx>
            <c:rich>
              <a:bodyPr rot="0" vert="horz"/>
              <a:lstStyle/>
              <a:p>
                <a:pPr algn="ctr" rtl="0">
                  <a:defRPr/>
                </a:pPr>
                <a:r>
                  <a:rPr lang="en-US" sz="900"/>
                  <a:t>US$cents/lb</a:t>
                </a:r>
              </a:p>
            </c:rich>
          </c:tx>
          <c:layout>
            <c:manualLayout>
              <c:xMode val="edge"/>
              <c:yMode val="edge"/>
              <c:x val="0.11431971017139535"/>
              <c:y val="2.993653458652509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7014912"/>
        <c:crosses val="max"/>
        <c:crossBetween val="midCat"/>
      </c:valAx>
      <c:catAx>
        <c:axId val="887096448"/>
        <c:scaling>
          <c:orientation val="minMax"/>
        </c:scaling>
        <c:delete val="1"/>
        <c:axPos val="b"/>
        <c:majorTickMark val="out"/>
        <c:minorTickMark val="none"/>
        <c:tickLblPos val="nextTo"/>
        <c:crossAx val="887097984"/>
        <c:crosses val="autoZero"/>
        <c:auto val="1"/>
        <c:lblAlgn val="ctr"/>
        <c:lblOffset val="100"/>
        <c:noMultiLvlLbl val="0"/>
      </c:catAx>
      <c:valAx>
        <c:axId val="887097984"/>
        <c:scaling>
          <c:orientation val="minMax"/>
        </c:scaling>
        <c:delete val="0"/>
        <c:axPos val="l"/>
        <c:title>
          <c:tx>
            <c:rich>
              <a:bodyPr rot="0" vert="horz"/>
              <a:lstStyle/>
              <a:p>
                <a:pPr algn="ctr" rtl="0">
                  <a:defRPr sz="900" b="0" i="0" u="none" strike="noStrike" baseline="0">
                    <a:solidFill>
                      <a:srgbClr val="808080"/>
                    </a:solidFill>
                    <a:latin typeface="Arial"/>
                    <a:ea typeface="Arial"/>
                    <a:cs typeface="Arial"/>
                  </a:defRPr>
                </a:pPr>
                <a:r>
                  <a:rPr lang="en-US" sz="900"/>
                  <a:t>R$ mn</a:t>
                </a:r>
              </a:p>
            </c:rich>
          </c:tx>
          <c:layout>
            <c:manualLayout>
              <c:xMode val="edge"/>
              <c:yMode val="edge"/>
              <c:x val="0.73656387665198242"/>
              <c:y val="1.3526186149808194E-2"/>
            </c:manualLayout>
          </c:layout>
          <c:overlay val="0"/>
          <c:spPr>
            <a:noFill/>
            <a:ln w="25400">
              <a:noFill/>
            </a:ln>
          </c:spPr>
        </c:title>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7096448"/>
        <c:crosses val="autoZero"/>
        <c:crossBetween val="midCat"/>
      </c:valAx>
      <c:spPr>
        <a:noFill/>
        <a:ln w="25400">
          <a:noFill/>
        </a:ln>
      </c:spPr>
    </c:plotArea>
    <c:legend>
      <c:legendPos val="r"/>
      <c:legendEntry>
        <c:idx val="1"/>
        <c:delete val="1"/>
      </c:legendEntry>
      <c:layout>
        <c:manualLayout>
          <c:xMode val="edge"/>
          <c:yMode val="edge"/>
          <c:x val="0.36532425489254161"/>
          <c:y val="0.66498391462822637"/>
          <c:w val="0.51260534055776963"/>
          <c:h val="0.15743489744032779"/>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4698527901403623E-2"/>
          <c:y val="4.7169890800686953E-2"/>
          <c:w val="0.78312468332762752"/>
          <c:h val="0.78977641683678435"/>
        </c:manualLayout>
      </c:layout>
      <c:areaChart>
        <c:grouping val="standard"/>
        <c:varyColors val="0"/>
        <c:ser>
          <c:idx val="4"/>
          <c:order val="0"/>
          <c:tx>
            <c:v>Bull-Bear Scenario</c:v>
          </c:tx>
          <c:spPr>
            <a:solidFill>
              <a:schemeClr val="bg1">
                <a:lumMod val="85000"/>
              </a:schemeClr>
            </a:solidFill>
            <a:ln w="12700">
              <a:solidFill>
                <a:schemeClr val="bg1">
                  <a:lumMod val="85000"/>
                </a:schemeClr>
              </a:solidFill>
              <a:prstDash val="solid"/>
            </a:ln>
          </c:spPr>
          <c:cat>
            <c:strRef>
              <c:f>ChartSupport!$B$22:$W$22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ChartSupport!$B$25:$W$25</c:f>
              <c:numCache>
                <c:formatCode>#,##0</c:formatCode>
                <c:ptCount val="22"/>
                <c:pt idx="0">
                  <c:v>222.23199999999997</c:v>
                </c:pt>
                <c:pt idx="1">
                  <c:v>292.90999999999997</c:v>
                </c:pt>
                <c:pt idx="2">
                  <c:v>435.56699999999995</c:v>
                </c:pt>
                <c:pt idx="3">
                  <c:v>530.04399999999987</c:v>
                </c:pt>
                <c:pt idx="4">
                  <c:v>280.0510000000001</c:v>
                </c:pt>
                <c:pt idx="5">
                  <c:v>339.90799999999996</c:v>
                </c:pt>
                <c:pt idx="6">
                  <c:v>555.53299999999979</c:v>
                </c:pt>
                <c:pt idx="7">
                  <c:v>729.69399999999973</c:v>
                </c:pt>
                <c:pt idx="8">
                  <c:v>728.17900000000009</c:v>
                </c:pt>
                <c:pt idx="9">
                  <c:v>855.20999999999981</c:v>
                </c:pt>
                <c:pt idx="10">
                  <c:v>978.75699999999995</c:v>
                </c:pt>
                <c:pt idx="11">
                  <c:v>1281.1349999999998</c:v>
                </c:pt>
                <c:pt idx="12">
                  <c:v>1489.7589999999998</c:v>
                </c:pt>
                <c:pt idx="13">
                  <c:v>1566.7600000000002</c:v>
                </c:pt>
                <c:pt idx="14">
                  <c:v>2303.4403274288452</c:v>
                </c:pt>
                <c:pt idx="15">
                  <c:v>2544.722048252871</c:v>
                </c:pt>
                <c:pt idx="16">
                  <c:v>2921.9328071354771</c:v>
                </c:pt>
                <c:pt idx="17">
                  <c:v>3248.2556777133764</c:v>
                </c:pt>
                <c:pt idx="18">
                  <c:v>3141.404626689683</c:v>
                </c:pt>
                <c:pt idx="19">
                  <c:v>3060.9877345830128</c:v>
                </c:pt>
                <c:pt idx="20">
                  <c:v>3320.7319698168731</c:v>
                </c:pt>
                <c:pt idx="21">
                  <c:v>3940.7705672495417</c:v>
                </c:pt>
              </c:numCache>
            </c:numRef>
          </c:val>
        </c:ser>
        <c:ser>
          <c:idx val="3"/>
          <c:order val="1"/>
          <c:tx>
            <c:v>Bear Scenario</c:v>
          </c:tx>
          <c:spPr>
            <a:solidFill>
              <a:srgbClr val="FFFFFF"/>
            </a:solidFill>
            <a:ln w="12700">
              <a:solidFill>
                <a:schemeClr val="bg1">
                  <a:lumMod val="85000"/>
                </a:schemeClr>
              </a:solidFill>
              <a:prstDash val="solid"/>
            </a:ln>
          </c:spPr>
          <c:cat>
            <c:strRef>
              <c:f>ChartSupport!$B$22:$W$22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ChartSupport!$B$23:$W$23</c:f>
              <c:numCache>
                <c:formatCode>#,##0</c:formatCode>
                <c:ptCount val="22"/>
                <c:pt idx="0">
                  <c:v>222.23199999999997</c:v>
                </c:pt>
                <c:pt idx="1">
                  <c:v>292.90999999999997</c:v>
                </c:pt>
                <c:pt idx="2">
                  <c:v>435.56699999999995</c:v>
                </c:pt>
                <c:pt idx="3">
                  <c:v>530.04399999999987</c:v>
                </c:pt>
                <c:pt idx="4">
                  <c:v>280.0510000000001</c:v>
                </c:pt>
                <c:pt idx="5">
                  <c:v>339.90799999999996</c:v>
                </c:pt>
                <c:pt idx="6">
                  <c:v>555.53299999999979</c:v>
                </c:pt>
                <c:pt idx="7">
                  <c:v>729.69399999999973</c:v>
                </c:pt>
                <c:pt idx="8">
                  <c:v>728.17900000000009</c:v>
                </c:pt>
                <c:pt idx="9">
                  <c:v>855.20999999999981</c:v>
                </c:pt>
                <c:pt idx="10">
                  <c:v>978.75699999999995</c:v>
                </c:pt>
                <c:pt idx="11">
                  <c:v>1281.1349999999998</c:v>
                </c:pt>
                <c:pt idx="12">
                  <c:v>1489.7589999999998</c:v>
                </c:pt>
                <c:pt idx="13">
                  <c:v>1566.7600000000002</c:v>
                </c:pt>
                <c:pt idx="14">
                  <c:v>1842.7067219467144</c:v>
                </c:pt>
                <c:pt idx="15">
                  <c:v>1638.1121868311109</c:v>
                </c:pt>
                <c:pt idx="16">
                  <c:v>1958.357642106424</c:v>
                </c:pt>
                <c:pt idx="17">
                  <c:v>2261.7026415980422</c:v>
                </c:pt>
                <c:pt idx="18">
                  <c:v>2154.6377061095704</c:v>
                </c:pt>
                <c:pt idx="19">
                  <c:v>1999.1774273412598</c:v>
                </c:pt>
                <c:pt idx="20">
                  <c:v>2112.9611327575258</c:v>
                </c:pt>
                <c:pt idx="21">
                  <c:v>2435.2308515532186</c:v>
                </c:pt>
              </c:numCache>
            </c:numRef>
          </c:val>
        </c:ser>
        <c:dLbls>
          <c:showLegendKey val="0"/>
          <c:showVal val="0"/>
          <c:showCatName val="0"/>
          <c:showSerName val="0"/>
          <c:showPercent val="0"/>
          <c:showBubbleSize val="0"/>
        </c:dLbls>
        <c:axId val="887147520"/>
        <c:axId val="887161600"/>
      </c:areaChart>
      <c:lineChart>
        <c:grouping val="standard"/>
        <c:varyColors val="0"/>
        <c:ser>
          <c:idx val="2"/>
          <c:order val="2"/>
          <c:tx>
            <c:v>Base Scenario</c:v>
          </c:tx>
          <c:spPr>
            <a:ln w="25400">
              <a:solidFill>
                <a:schemeClr val="accent1"/>
              </a:solidFill>
            </a:ln>
          </c:spPr>
          <c:marker>
            <c:symbol val="none"/>
          </c:marker>
          <c:cat>
            <c:strRef>
              <c:f>ChartSupport!$B$22:$W$22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ChartSupport!$B$24:$W$24</c:f>
              <c:numCache>
                <c:formatCode>#,##0</c:formatCode>
                <c:ptCount val="22"/>
                <c:pt idx="0">
                  <c:v>222.23199999999997</c:v>
                </c:pt>
                <c:pt idx="1">
                  <c:v>292.90999999999997</c:v>
                </c:pt>
                <c:pt idx="2">
                  <c:v>435.56699999999995</c:v>
                </c:pt>
                <c:pt idx="3">
                  <c:v>530.04399999999987</c:v>
                </c:pt>
                <c:pt idx="4">
                  <c:v>280.0510000000001</c:v>
                </c:pt>
                <c:pt idx="5">
                  <c:v>339.90799999999996</c:v>
                </c:pt>
                <c:pt idx="6">
                  <c:v>555.53299999999979</c:v>
                </c:pt>
                <c:pt idx="7">
                  <c:v>729.69399999999973</c:v>
                </c:pt>
                <c:pt idx="8">
                  <c:v>728.17900000000009</c:v>
                </c:pt>
                <c:pt idx="9">
                  <c:v>855.20999999999981</c:v>
                </c:pt>
                <c:pt idx="10">
                  <c:v>978.75699999999995</c:v>
                </c:pt>
                <c:pt idx="11">
                  <c:v>1281.1349999999998</c:v>
                </c:pt>
                <c:pt idx="12">
                  <c:v>1489.7589999999998</c:v>
                </c:pt>
                <c:pt idx="13">
                  <c:v>1566.7600000000002</c:v>
                </c:pt>
                <c:pt idx="14">
                  <c:v>2049.2862985723186</c:v>
                </c:pt>
                <c:pt idx="15">
                  <c:v>2089.4829464816457</c:v>
                </c:pt>
                <c:pt idx="16">
                  <c:v>2279.1219106965364</c:v>
                </c:pt>
                <c:pt idx="17">
                  <c:v>2643.8263839532992</c:v>
                </c:pt>
                <c:pt idx="18">
                  <c:v>2821.6505909302637</c:v>
                </c:pt>
                <c:pt idx="19">
                  <c:v>2609.7928698680221</c:v>
                </c:pt>
                <c:pt idx="20">
                  <c:v>2493.6600146793753</c:v>
                </c:pt>
                <c:pt idx="21">
                  <c:v>3078.6976537738378</c:v>
                </c:pt>
              </c:numCache>
            </c:numRef>
          </c:val>
          <c:smooth val="0"/>
        </c:ser>
        <c:dLbls>
          <c:showLegendKey val="0"/>
          <c:showVal val="0"/>
          <c:showCatName val="0"/>
          <c:showSerName val="0"/>
          <c:showPercent val="0"/>
          <c:showBubbleSize val="0"/>
        </c:dLbls>
        <c:marker val="1"/>
        <c:smooth val="0"/>
        <c:axId val="887147520"/>
        <c:axId val="887161600"/>
      </c:lineChart>
      <c:lineChart>
        <c:grouping val="standard"/>
        <c:varyColors val="0"/>
        <c:ser>
          <c:idx val="0"/>
          <c:order val="3"/>
          <c:tx>
            <c:strRef>
              <c:f>ChartSupport!$A$179</c:f>
              <c:strCache>
                <c:ptCount val="1"/>
                <c:pt idx="0">
                  <c:v>Sugar Prices NY11 (US$c/lb)</c:v>
                </c:pt>
              </c:strCache>
            </c:strRef>
          </c:tx>
          <c:spPr>
            <a:ln w="12700">
              <a:solidFill>
                <a:srgbClr val="FF0000"/>
              </a:solidFill>
              <a:prstDash val="sysDash"/>
            </a:ln>
          </c:spPr>
          <c:marker>
            <c:symbol val="none"/>
          </c:marker>
          <c:cat>
            <c:strRef>
              <c:f>ChartSupport!$B$22:$W$22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ChartSupport!$B$179:$W$179</c:f>
              <c:numCache>
                <c:formatCode>#,##0.0</c:formatCode>
                <c:ptCount val="22"/>
                <c:pt idx="0">
                  <c:v>#N/A</c:v>
                </c:pt>
                <c:pt idx="1">
                  <c:v>#N/A</c:v>
                </c:pt>
                <c:pt idx="2" formatCode="0">
                  <c:v>13.545</c:v>
                </c:pt>
                <c:pt idx="3" formatCode="0">
                  <c:v>10.401666666666666</c:v>
                </c:pt>
                <c:pt idx="4" formatCode="0">
                  <c:v>12.4</c:v>
                </c:pt>
                <c:pt idx="5" formatCode="0">
                  <c:v>18.787500000000001</c:v>
                </c:pt>
                <c:pt idx="6" formatCode="0">
                  <c:v>23.440833333333334</c:v>
                </c:pt>
                <c:pt idx="7" formatCode="0">
                  <c:v>25.258333333333336</c:v>
                </c:pt>
                <c:pt idx="8" formatCode="0">
                  <c:v>20.410833333333333</c:v>
                </c:pt>
                <c:pt idx="9" formatCode="0">
                  <c:v>17.066666666666666</c:v>
                </c:pt>
                <c:pt idx="10" formatCode="0">
                  <c:v>15.978333333333333</c:v>
                </c:pt>
                <c:pt idx="11" formatCode="0">
                  <c:v>13.149166666666668</c:v>
                </c:pt>
                <c:pt idx="12" formatCode="0">
                  <c:v>19.252499999999998</c:v>
                </c:pt>
                <c:pt idx="13" formatCode="0">
                  <c:v>17.805000000000003</c:v>
                </c:pt>
                <c:pt idx="14" formatCode="0">
                  <c:v>16.244658605325153</c:v>
                </c:pt>
                <c:pt idx="15" formatCode="0">
                  <c:v>16.31531880717511</c:v>
                </c:pt>
                <c:pt idx="16" formatCode="0">
                  <c:v>16.498655235130911</c:v>
                </c:pt>
                <c:pt idx="17" formatCode="0">
                  <c:v>19.747444770453257</c:v>
                </c:pt>
                <c:pt idx="18" formatCode="0">
                  <c:v>20.93514679550681</c:v>
                </c:pt>
                <c:pt idx="19" formatCode="0">
                  <c:v>17.432162450241776</c:v>
                </c:pt>
                <c:pt idx="20" formatCode="0">
                  <c:v>15.017906650666538</c:v>
                </c:pt>
                <c:pt idx="21" formatCode="0">
                  <c:v>17.055276269110166</c:v>
                </c:pt>
              </c:numCache>
            </c:numRef>
          </c:val>
          <c:smooth val="0"/>
        </c:ser>
        <c:dLbls>
          <c:showLegendKey val="0"/>
          <c:showVal val="0"/>
          <c:showCatName val="0"/>
          <c:showSerName val="0"/>
          <c:showPercent val="0"/>
          <c:showBubbleSize val="0"/>
        </c:dLbls>
        <c:marker val="1"/>
        <c:smooth val="0"/>
        <c:axId val="887163520"/>
        <c:axId val="887169408"/>
      </c:lineChart>
      <c:catAx>
        <c:axId val="887147520"/>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87161600"/>
        <c:crosses val="autoZero"/>
        <c:auto val="1"/>
        <c:lblAlgn val="ctr"/>
        <c:lblOffset val="100"/>
        <c:tickLblSkip val="1"/>
        <c:tickMarkSkip val="1"/>
        <c:noMultiLvlLbl val="0"/>
      </c:catAx>
      <c:valAx>
        <c:axId val="887161600"/>
        <c:scaling>
          <c:orientation val="minMax"/>
        </c:scaling>
        <c:delete val="0"/>
        <c:axPos val="r"/>
        <c:title>
          <c:tx>
            <c:rich>
              <a:bodyPr rot="0" vert="horz"/>
              <a:lstStyle/>
              <a:p>
                <a:pPr algn="ctr" rtl="0">
                  <a:defRPr sz="900"/>
                </a:pPr>
                <a:r>
                  <a:rPr lang="en-US" sz="900" b="0" i="0" baseline="0">
                    <a:effectLst/>
                  </a:rPr>
                  <a:t>US$cents/lb</a:t>
                </a:r>
                <a:endParaRPr lang="en-US" sz="900">
                  <a:effectLst/>
                </a:endParaRPr>
              </a:p>
            </c:rich>
          </c:tx>
          <c:layout>
            <c:manualLayout>
              <c:xMode val="edge"/>
              <c:yMode val="edge"/>
              <c:x val="0.10831988717846636"/>
              <c:y val="2.5567319668780793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7147520"/>
        <c:crosses val="max"/>
        <c:crossBetween val="midCat"/>
      </c:valAx>
      <c:catAx>
        <c:axId val="887163520"/>
        <c:scaling>
          <c:orientation val="minMax"/>
        </c:scaling>
        <c:delete val="1"/>
        <c:axPos val="b"/>
        <c:majorTickMark val="out"/>
        <c:minorTickMark val="none"/>
        <c:tickLblPos val="nextTo"/>
        <c:crossAx val="887169408"/>
        <c:crosses val="autoZero"/>
        <c:auto val="1"/>
        <c:lblAlgn val="ctr"/>
        <c:lblOffset val="100"/>
        <c:noMultiLvlLbl val="0"/>
      </c:catAx>
      <c:valAx>
        <c:axId val="887169408"/>
        <c:scaling>
          <c:orientation val="minMax"/>
        </c:scaling>
        <c:delete val="0"/>
        <c:axPos val="l"/>
        <c:title>
          <c:tx>
            <c:rich>
              <a:bodyPr rot="0" vert="horz"/>
              <a:lstStyle/>
              <a:p>
                <a:pPr algn="ctr" rtl="0">
                  <a:defRPr sz="900"/>
                </a:pPr>
                <a:r>
                  <a:rPr lang="en-US" sz="900"/>
                  <a:t>R$ mn</a:t>
                </a:r>
              </a:p>
            </c:rich>
          </c:tx>
          <c:layout>
            <c:manualLayout>
              <c:xMode val="edge"/>
              <c:yMode val="edge"/>
              <c:x val="0.73310221367400352"/>
              <c:y val="2.179834696868195E-2"/>
            </c:manualLayout>
          </c:layout>
          <c:overlay val="0"/>
        </c:title>
        <c:numFmt formatCode="#,##0.0" sourceLinked="1"/>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7163520"/>
        <c:crosses val="autoZero"/>
        <c:crossBetween val="midCat"/>
      </c:valAx>
      <c:spPr>
        <a:noFill/>
        <a:ln w="25400">
          <a:noFill/>
        </a:ln>
      </c:spPr>
    </c:plotArea>
    <c:legend>
      <c:legendPos val="r"/>
      <c:legendEntry>
        <c:idx val="1"/>
        <c:delete val="1"/>
      </c:legendEntry>
      <c:layout>
        <c:manualLayout>
          <c:xMode val="edge"/>
          <c:yMode val="edge"/>
          <c:x val="0.33666762662695709"/>
          <c:y val="0.71458228098846133"/>
          <c:w val="0.53568864172574326"/>
          <c:h val="0.11949058254510639"/>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496083550913843E-2"/>
          <c:y val="4.7169956177390976E-2"/>
          <c:w val="0.835509138381201"/>
          <c:h val="0.81446790999628416"/>
        </c:manualLayout>
      </c:layout>
      <c:areaChart>
        <c:grouping val="standard"/>
        <c:varyColors val="0"/>
        <c:ser>
          <c:idx val="4"/>
          <c:order val="0"/>
          <c:tx>
            <c:v>Bull-Bear Scenario</c:v>
          </c:tx>
          <c:spPr>
            <a:solidFill>
              <a:schemeClr val="bg1">
                <a:lumMod val="85000"/>
              </a:schemeClr>
            </a:solidFill>
            <a:ln w="12700">
              <a:noFill/>
              <a:prstDash val="solid"/>
            </a:ln>
          </c:spPr>
          <c:cat>
            <c:strRef>
              <c:f>ChartSupport!$B$27:$W$27</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ChartSupport!$B$28:$W$28</c:f>
              <c:numCache>
                <c:formatCode>0.0%</c:formatCode>
                <c:ptCount val="22"/>
                <c:pt idx="0">
                  <c:v>0.42901930501930496</c:v>
                </c:pt>
                <c:pt idx="1">
                  <c:v>0.45188213514347425</c:v>
                </c:pt>
                <c:pt idx="2">
                  <c:v>0.53905339211061087</c:v>
                </c:pt>
                <c:pt idx="3">
                  <c:v>0.64128284638195254</c:v>
                </c:pt>
                <c:pt idx="4">
                  <c:v>0.39309817242637779</c:v>
                </c:pt>
                <c:pt idx="5">
                  <c:v>0.43890641402917963</c:v>
                </c:pt>
                <c:pt idx="6">
                  <c:v>0.46948328637370834</c:v>
                </c:pt>
                <c:pt idx="7">
                  <c:v>0.56345808739270486</c:v>
                </c:pt>
                <c:pt idx="8">
                  <c:v>0.53268787628292824</c:v>
                </c:pt>
                <c:pt idx="9">
                  <c:v>0.52275887784199437</c:v>
                </c:pt>
                <c:pt idx="10">
                  <c:v>0.49640511439425056</c:v>
                </c:pt>
                <c:pt idx="11">
                  <c:v>0.55098741507043369</c:v>
                </c:pt>
                <c:pt idx="12">
                  <c:v>0.54622368215051886</c:v>
                </c:pt>
                <c:pt idx="13">
                  <c:v>0.5217521034792576</c:v>
                </c:pt>
                <c:pt idx="14">
                  <c:v>0.55082590433598422</c:v>
                </c:pt>
                <c:pt idx="15">
                  <c:v>0.50979419740087362</c:v>
                </c:pt>
                <c:pt idx="16">
                  <c:v>0.52160550309465448</c:v>
                </c:pt>
                <c:pt idx="17">
                  <c:v>0.52446263408480864</c:v>
                </c:pt>
                <c:pt idx="18">
                  <c:v>0.50835179899312033</c:v>
                </c:pt>
                <c:pt idx="19">
                  <c:v>0.49134501424914878</c:v>
                </c:pt>
                <c:pt idx="20">
                  <c:v>0.48487555782861991</c:v>
                </c:pt>
                <c:pt idx="21">
                  <c:v>0.52307141067934271</c:v>
                </c:pt>
              </c:numCache>
            </c:numRef>
          </c:val>
        </c:ser>
        <c:ser>
          <c:idx val="3"/>
          <c:order val="1"/>
          <c:tx>
            <c:v>Bear Scenario</c:v>
          </c:tx>
          <c:spPr>
            <a:solidFill>
              <a:srgbClr val="FFFFFF"/>
            </a:solidFill>
            <a:ln w="12700">
              <a:noFill/>
              <a:prstDash val="solid"/>
            </a:ln>
          </c:spPr>
          <c:cat>
            <c:strRef>
              <c:f>ChartSupport!$B$27:$W$27</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ChartSupport!$B$30:$W$30</c:f>
              <c:numCache>
                <c:formatCode>0.0%</c:formatCode>
                <c:ptCount val="22"/>
                <c:pt idx="0">
                  <c:v>0.42901930501930496</c:v>
                </c:pt>
                <c:pt idx="1">
                  <c:v>0.45188213514347425</c:v>
                </c:pt>
                <c:pt idx="2">
                  <c:v>0.53905339211061087</c:v>
                </c:pt>
                <c:pt idx="3">
                  <c:v>0.64128284638195254</c:v>
                </c:pt>
                <c:pt idx="4">
                  <c:v>0.39309817242637779</c:v>
                </c:pt>
                <c:pt idx="5">
                  <c:v>0.43890641402917963</c:v>
                </c:pt>
                <c:pt idx="6">
                  <c:v>0.46948328637370834</c:v>
                </c:pt>
                <c:pt idx="7">
                  <c:v>0.56345808739270486</c:v>
                </c:pt>
                <c:pt idx="8">
                  <c:v>0.53268787628292824</c:v>
                </c:pt>
                <c:pt idx="9">
                  <c:v>0.52275887784199437</c:v>
                </c:pt>
                <c:pt idx="10">
                  <c:v>0.49640511439425056</c:v>
                </c:pt>
                <c:pt idx="11">
                  <c:v>0.55098741507043369</c:v>
                </c:pt>
                <c:pt idx="12">
                  <c:v>0.54622368215051886</c:v>
                </c:pt>
                <c:pt idx="13">
                  <c:v>0.5217521034792576</c:v>
                </c:pt>
                <c:pt idx="14">
                  <c:v>0.57884861448757974</c:v>
                </c:pt>
                <c:pt idx="15">
                  <c:v>0.59412139341807624</c:v>
                </c:pt>
                <c:pt idx="16">
                  <c:v>0.60563574438169598</c:v>
                </c:pt>
                <c:pt idx="17">
                  <c:v>0.61334774340704812</c:v>
                </c:pt>
                <c:pt idx="18">
                  <c:v>0.60702983607447558</c:v>
                </c:pt>
                <c:pt idx="19">
                  <c:v>0.60509283317543561</c:v>
                </c:pt>
                <c:pt idx="20">
                  <c:v>0.61143687246446132</c:v>
                </c:pt>
                <c:pt idx="21">
                  <c:v>0.65737896182205469</c:v>
                </c:pt>
              </c:numCache>
            </c:numRef>
          </c:val>
        </c:ser>
        <c:dLbls>
          <c:showLegendKey val="0"/>
          <c:showVal val="0"/>
          <c:showCatName val="0"/>
          <c:showSerName val="0"/>
          <c:showPercent val="0"/>
          <c:showBubbleSize val="0"/>
        </c:dLbls>
        <c:axId val="887210752"/>
        <c:axId val="887212288"/>
      </c:areaChart>
      <c:lineChart>
        <c:grouping val="standard"/>
        <c:varyColors val="0"/>
        <c:ser>
          <c:idx val="2"/>
          <c:order val="2"/>
          <c:tx>
            <c:v>Base Scenario</c:v>
          </c:tx>
          <c:spPr>
            <a:ln w="25400">
              <a:solidFill>
                <a:schemeClr val="accent1"/>
              </a:solidFill>
              <a:prstDash val="solid"/>
            </a:ln>
          </c:spPr>
          <c:marker>
            <c:symbol val="none"/>
          </c:marker>
          <c:cat>
            <c:strRef>
              <c:f>ChartSupport!$B$27:$W$27</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ChartSupport!$B$29:$W$29</c:f>
              <c:numCache>
                <c:formatCode>0.0%</c:formatCode>
                <c:ptCount val="22"/>
                <c:pt idx="0">
                  <c:v>0.42901930501930496</c:v>
                </c:pt>
                <c:pt idx="1">
                  <c:v>0.45188213514347425</c:v>
                </c:pt>
                <c:pt idx="2">
                  <c:v>0.53905339211061087</c:v>
                </c:pt>
                <c:pt idx="3">
                  <c:v>0.64128284638195254</c:v>
                </c:pt>
                <c:pt idx="4">
                  <c:v>0.39309817242637779</c:v>
                </c:pt>
                <c:pt idx="5">
                  <c:v>0.43890641402917963</c:v>
                </c:pt>
                <c:pt idx="6">
                  <c:v>0.46948328637370834</c:v>
                </c:pt>
                <c:pt idx="7">
                  <c:v>0.56345808739270486</c:v>
                </c:pt>
                <c:pt idx="8">
                  <c:v>0.53268787628292824</c:v>
                </c:pt>
                <c:pt idx="9">
                  <c:v>0.52275887784199437</c:v>
                </c:pt>
                <c:pt idx="10">
                  <c:v>0.49640511439425056</c:v>
                </c:pt>
                <c:pt idx="11">
                  <c:v>0.55098741507043369</c:v>
                </c:pt>
                <c:pt idx="12">
                  <c:v>0.54622368215051886</c:v>
                </c:pt>
                <c:pt idx="13">
                  <c:v>0.5217521034792576</c:v>
                </c:pt>
                <c:pt idx="14">
                  <c:v>0.56041021645547784</c:v>
                </c:pt>
                <c:pt idx="15">
                  <c:v>0.55246694900654114</c:v>
                </c:pt>
                <c:pt idx="16">
                  <c:v>0.55795395334408959</c:v>
                </c:pt>
                <c:pt idx="17">
                  <c:v>0.56238646826180971</c:v>
                </c:pt>
                <c:pt idx="18">
                  <c:v>0.56083064606104605</c:v>
                </c:pt>
                <c:pt idx="19">
                  <c:v>0.54505166187927745</c:v>
                </c:pt>
                <c:pt idx="20">
                  <c:v>0.5344833642692528</c:v>
                </c:pt>
                <c:pt idx="21">
                  <c:v>0.58967040581556651</c:v>
                </c:pt>
              </c:numCache>
            </c:numRef>
          </c:val>
          <c:smooth val="0"/>
        </c:ser>
        <c:dLbls>
          <c:showLegendKey val="0"/>
          <c:showVal val="0"/>
          <c:showCatName val="0"/>
          <c:showSerName val="0"/>
          <c:showPercent val="0"/>
          <c:showBubbleSize val="0"/>
        </c:dLbls>
        <c:marker val="1"/>
        <c:smooth val="0"/>
        <c:axId val="887210752"/>
        <c:axId val="887212288"/>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ChartSupport!$B$27:$W$27</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ChartSupport!$B$179:$W$179</c:f>
              <c:numCache>
                <c:formatCode>#,##0.0</c:formatCode>
                <c:ptCount val="22"/>
                <c:pt idx="0">
                  <c:v>#N/A</c:v>
                </c:pt>
                <c:pt idx="1">
                  <c:v>#N/A</c:v>
                </c:pt>
                <c:pt idx="2" formatCode="0">
                  <c:v>13.545</c:v>
                </c:pt>
                <c:pt idx="3" formatCode="0">
                  <c:v>10.401666666666666</c:v>
                </c:pt>
                <c:pt idx="4" formatCode="0">
                  <c:v>12.4</c:v>
                </c:pt>
                <c:pt idx="5" formatCode="0">
                  <c:v>18.787500000000001</c:v>
                </c:pt>
                <c:pt idx="6" formatCode="0">
                  <c:v>23.440833333333334</c:v>
                </c:pt>
                <c:pt idx="7" formatCode="0">
                  <c:v>25.258333333333336</c:v>
                </c:pt>
                <c:pt idx="8" formatCode="0">
                  <c:v>20.410833333333333</c:v>
                </c:pt>
                <c:pt idx="9" formatCode="0">
                  <c:v>17.066666666666666</c:v>
                </c:pt>
                <c:pt idx="10" formatCode="0">
                  <c:v>15.978333333333333</c:v>
                </c:pt>
                <c:pt idx="11" formatCode="0">
                  <c:v>13.149166666666668</c:v>
                </c:pt>
                <c:pt idx="12" formatCode="0">
                  <c:v>19.252499999999998</c:v>
                </c:pt>
                <c:pt idx="13" formatCode="0">
                  <c:v>17.805000000000003</c:v>
                </c:pt>
                <c:pt idx="14" formatCode="0">
                  <c:v>16.244658605325153</c:v>
                </c:pt>
                <c:pt idx="15" formatCode="0">
                  <c:v>16.31531880717511</c:v>
                </c:pt>
                <c:pt idx="16" formatCode="0">
                  <c:v>16.498655235130911</c:v>
                </c:pt>
                <c:pt idx="17" formatCode="0">
                  <c:v>19.747444770453257</c:v>
                </c:pt>
                <c:pt idx="18" formatCode="0">
                  <c:v>20.93514679550681</c:v>
                </c:pt>
                <c:pt idx="19" formatCode="0">
                  <c:v>17.432162450241776</c:v>
                </c:pt>
                <c:pt idx="20" formatCode="0">
                  <c:v>15.017906650666538</c:v>
                </c:pt>
                <c:pt idx="21" formatCode="0">
                  <c:v>17.055276269110166</c:v>
                </c:pt>
              </c:numCache>
            </c:numRef>
          </c:val>
          <c:smooth val="0"/>
        </c:ser>
        <c:dLbls>
          <c:showLegendKey val="0"/>
          <c:showVal val="0"/>
          <c:showCatName val="0"/>
          <c:showSerName val="0"/>
          <c:showPercent val="0"/>
          <c:showBubbleSize val="0"/>
        </c:dLbls>
        <c:marker val="1"/>
        <c:smooth val="0"/>
        <c:axId val="887222656"/>
        <c:axId val="887224192"/>
      </c:lineChart>
      <c:catAx>
        <c:axId val="887210752"/>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a:pPr>
            <a:endParaRPr lang="en-US"/>
          </a:p>
        </c:txPr>
        <c:crossAx val="887212288"/>
        <c:crosses val="autoZero"/>
        <c:auto val="1"/>
        <c:lblAlgn val="ctr"/>
        <c:lblOffset val="100"/>
        <c:tickLblSkip val="1"/>
        <c:tickMarkSkip val="1"/>
        <c:noMultiLvlLbl val="0"/>
      </c:catAx>
      <c:valAx>
        <c:axId val="887212288"/>
        <c:scaling>
          <c:orientation val="minMax"/>
          <c:min val="0.30000000000000004"/>
        </c:scaling>
        <c:delete val="0"/>
        <c:axPos val="r"/>
        <c:title>
          <c:tx>
            <c:rich>
              <a:bodyPr rot="0" vert="horz"/>
              <a:lstStyle/>
              <a:p>
                <a:pPr algn="ctr" rtl="0">
                  <a:defRPr/>
                </a:pPr>
                <a:r>
                  <a:rPr lang="en-US"/>
                  <a:t>US$cents/lb</a:t>
                </a:r>
              </a:p>
            </c:rich>
          </c:tx>
          <c:layout>
            <c:manualLayout>
              <c:xMode val="edge"/>
              <c:yMode val="edge"/>
              <c:x val="9.0195130741368326E-2"/>
              <c:y val="2.1913941234806601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87210752"/>
        <c:crosses val="max"/>
        <c:crossBetween val="midCat"/>
      </c:valAx>
      <c:catAx>
        <c:axId val="887222656"/>
        <c:scaling>
          <c:orientation val="minMax"/>
        </c:scaling>
        <c:delete val="1"/>
        <c:axPos val="b"/>
        <c:majorTickMark val="out"/>
        <c:minorTickMark val="none"/>
        <c:tickLblPos val="nextTo"/>
        <c:crossAx val="887224192"/>
        <c:crosses val="autoZero"/>
        <c:auto val="1"/>
        <c:lblAlgn val="ctr"/>
        <c:lblOffset val="100"/>
        <c:noMultiLvlLbl val="0"/>
      </c:catAx>
      <c:valAx>
        <c:axId val="887224192"/>
        <c:scaling>
          <c:orientation val="minMax"/>
        </c:scaling>
        <c:delete val="0"/>
        <c:axPos val="l"/>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887222656"/>
        <c:crosses val="autoZero"/>
        <c:crossBetween val="midCat"/>
      </c:valAx>
      <c:spPr>
        <a:noFill/>
        <a:ln w="25400">
          <a:noFill/>
        </a:ln>
      </c:spPr>
    </c:plotArea>
    <c:legend>
      <c:legendPos val="r"/>
      <c:legendEntry>
        <c:idx val="1"/>
        <c:delete val="1"/>
      </c:legendEntry>
      <c:layout>
        <c:manualLayout>
          <c:xMode val="edge"/>
          <c:yMode val="edge"/>
          <c:x val="0.16293039370078741"/>
          <c:y val="0.65087307482791068"/>
          <c:w val="0.71801560804899389"/>
          <c:h val="0.17924594331368959"/>
        </c:manualLayout>
      </c:layout>
      <c:overlay val="0"/>
      <c:spPr>
        <a:no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904635398836015"/>
          <c:y val="4.7169956177390976E-2"/>
          <c:w val="0.75877685724067101"/>
          <c:h val="0.77743073782443861"/>
        </c:manualLayout>
      </c:layout>
      <c:areaChart>
        <c:grouping val="standard"/>
        <c:varyColors val="0"/>
        <c:ser>
          <c:idx val="4"/>
          <c:order val="0"/>
          <c:tx>
            <c:v>Bull-Bear Scenario</c:v>
          </c:tx>
          <c:spPr>
            <a:solidFill>
              <a:schemeClr val="bg1">
                <a:lumMod val="85000"/>
              </a:schemeClr>
            </a:solidFill>
            <a:ln w="12700">
              <a:noFill/>
              <a:prstDash val="solid"/>
            </a:ln>
          </c:spPr>
          <c:cat>
            <c:strRef>
              <c:f>ChartSupport!$B$32:$W$32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ChartSupport!$B$35:$W$35</c:f>
              <c:numCache>
                <c:formatCode>#,##0</c:formatCode>
                <c:ptCount val="22"/>
                <c:pt idx="0">
                  <c:v>91.93199999999996</c:v>
                </c:pt>
                <c:pt idx="1">
                  <c:v>163.10999999999996</c:v>
                </c:pt>
                <c:pt idx="2">
                  <c:v>322.19099999999997</c:v>
                </c:pt>
                <c:pt idx="3">
                  <c:v>390.47699999999986</c:v>
                </c:pt>
                <c:pt idx="4">
                  <c:v>128.3730000000001</c:v>
                </c:pt>
                <c:pt idx="5">
                  <c:v>243.17899999999995</c:v>
                </c:pt>
                <c:pt idx="6">
                  <c:v>401.32199999999978</c:v>
                </c:pt>
                <c:pt idx="7">
                  <c:v>566.1239999999998</c:v>
                </c:pt>
                <c:pt idx="8">
                  <c:v>582.6350000000001</c:v>
                </c:pt>
                <c:pt idx="9">
                  <c:v>651.75999999999976</c:v>
                </c:pt>
                <c:pt idx="10">
                  <c:v>751.20299999999997</c:v>
                </c:pt>
                <c:pt idx="11">
                  <c:v>1131.7149999999997</c:v>
                </c:pt>
                <c:pt idx="12">
                  <c:v>1235.8139999999999</c:v>
                </c:pt>
                <c:pt idx="13">
                  <c:v>1444.3980000000001</c:v>
                </c:pt>
                <c:pt idx="14">
                  <c:v>2013.535953804369</c:v>
                </c:pt>
                <c:pt idx="15">
                  <c:v>2237.0161565818175</c:v>
                </c:pt>
                <c:pt idx="16">
                  <c:v>2598.8592644276914</c:v>
                </c:pt>
                <c:pt idx="17">
                  <c:v>2907.6968964078374</c:v>
                </c:pt>
                <c:pt idx="18">
                  <c:v>2785.2718743148152</c:v>
                </c:pt>
                <c:pt idx="19">
                  <c:v>2688.5581124503587</c:v>
                </c:pt>
                <c:pt idx="20">
                  <c:v>2931.2644536911444</c:v>
                </c:pt>
                <c:pt idx="21">
                  <c:v>3533.5031878312352</c:v>
                </c:pt>
              </c:numCache>
            </c:numRef>
          </c:val>
        </c:ser>
        <c:ser>
          <c:idx val="3"/>
          <c:order val="1"/>
          <c:tx>
            <c:v>Bear Scenario</c:v>
          </c:tx>
          <c:spPr>
            <a:solidFill>
              <a:srgbClr val="FFFFFF"/>
            </a:solidFill>
            <a:ln w="12700">
              <a:noFill/>
              <a:prstDash val="solid"/>
            </a:ln>
          </c:spPr>
          <c:cat>
            <c:strRef>
              <c:f>ChartSupport!$B$32:$W$32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ChartSupport!$B$33:$W$33</c:f>
              <c:numCache>
                <c:formatCode>#,##0</c:formatCode>
                <c:ptCount val="22"/>
                <c:pt idx="0">
                  <c:v>91.93199999999996</c:v>
                </c:pt>
                <c:pt idx="1">
                  <c:v>163.10999999999996</c:v>
                </c:pt>
                <c:pt idx="2">
                  <c:v>322.19099999999997</c:v>
                </c:pt>
                <c:pt idx="3">
                  <c:v>390.47699999999986</c:v>
                </c:pt>
                <c:pt idx="4">
                  <c:v>128.3730000000001</c:v>
                </c:pt>
                <c:pt idx="5">
                  <c:v>243.17899999999995</c:v>
                </c:pt>
                <c:pt idx="6">
                  <c:v>401.32199999999978</c:v>
                </c:pt>
                <c:pt idx="7">
                  <c:v>566.1239999999998</c:v>
                </c:pt>
                <c:pt idx="8">
                  <c:v>582.6350000000001</c:v>
                </c:pt>
                <c:pt idx="9">
                  <c:v>651.75999999999976</c:v>
                </c:pt>
                <c:pt idx="10">
                  <c:v>751.20299999999997</c:v>
                </c:pt>
                <c:pt idx="11">
                  <c:v>1131.7149999999997</c:v>
                </c:pt>
                <c:pt idx="12">
                  <c:v>1235.8139999999999</c:v>
                </c:pt>
                <c:pt idx="13">
                  <c:v>1444.3980000000001</c:v>
                </c:pt>
                <c:pt idx="14">
                  <c:v>1553.182129576574</c:v>
                </c:pt>
                <c:pt idx="15">
                  <c:v>1328.9423530676906</c:v>
                </c:pt>
                <c:pt idx="16">
                  <c:v>1631.3861488187895</c:v>
                </c:pt>
                <c:pt idx="17">
                  <c:v>1914.5922466331567</c:v>
                </c:pt>
                <c:pt idx="18">
                  <c:v>1788.361528614309</c:v>
                </c:pt>
                <c:pt idx="19">
                  <c:v>1612.6758441749128</c:v>
                </c:pt>
                <c:pt idx="20">
                  <c:v>1705.1208251869857</c:v>
                </c:pt>
                <c:pt idx="21">
                  <c:v>2004.8780218993866</c:v>
                </c:pt>
              </c:numCache>
            </c:numRef>
          </c:val>
        </c:ser>
        <c:dLbls>
          <c:showLegendKey val="0"/>
          <c:showVal val="0"/>
          <c:showCatName val="0"/>
          <c:showSerName val="0"/>
          <c:showPercent val="0"/>
          <c:showBubbleSize val="0"/>
        </c:dLbls>
        <c:axId val="887269248"/>
        <c:axId val="887270784"/>
      </c:areaChart>
      <c:lineChart>
        <c:grouping val="standard"/>
        <c:varyColors val="0"/>
        <c:ser>
          <c:idx val="2"/>
          <c:order val="2"/>
          <c:tx>
            <c:v>Base Scenario</c:v>
          </c:tx>
          <c:spPr>
            <a:ln w="25400">
              <a:solidFill>
                <a:schemeClr val="accent1"/>
              </a:solidFill>
              <a:prstDash val="solid"/>
            </a:ln>
          </c:spPr>
          <c:marker>
            <c:symbol val="none"/>
          </c:marker>
          <c:cat>
            <c:strRef>
              <c:f>ChartSupport!$B$32:$W$32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ChartSupport!$B$34:$W$34</c:f>
              <c:numCache>
                <c:formatCode>#,##0</c:formatCode>
                <c:ptCount val="22"/>
                <c:pt idx="0">
                  <c:v>91.93199999999996</c:v>
                </c:pt>
                <c:pt idx="1">
                  <c:v>163.10999999999996</c:v>
                </c:pt>
                <c:pt idx="2">
                  <c:v>322.19099999999997</c:v>
                </c:pt>
                <c:pt idx="3">
                  <c:v>390.47699999999986</c:v>
                </c:pt>
                <c:pt idx="4">
                  <c:v>128.3730000000001</c:v>
                </c:pt>
                <c:pt idx="5">
                  <c:v>243.17899999999995</c:v>
                </c:pt>
                <c:pt idx="6">
                  <c:v>401.32199999999978</c:v>
                </c:pt>
                <c:pt idx="7">
                  <c:v>566.1239999999998</c:v>
                </c:pt>
                <c:pt idx="8">
                  <c:v>582.6350000000001</c:v>
                </c:pt>
                <c:pt idx="9">
                  <c:v>651.75999999999976</c:v>
                </c:pt>
                <c:pt idx="10">
                  <c:v>751.20299999999997</c:v>
                </c:pt>
                <c:pt idx="11">
                  <c:v>1131.7149999999997</c:v>
                </c:pt>
                <c:pt idx="12">
                  <c:v>1235.8139999999999</c:v>
                </c:pt>
                <c:pt idx="13">
                  <c:v>1444.3980000000001</c:v>
                </c:pt>
                <c:pt idx="14">
                  <c:v>1759.0220528034631</c:v>
                </c:pt>
                <c:pt idx="15">
                  <c:v>1780.1509011492542</c:v>
                </c:pt>
                <c:pt idx="16">
                  <c:v>1952.9908721268353</c:v>
                </c:pt>
                <c:pt idx="17">
                  <c:v>2298.6292562952813</c:v>
                </c:pt>
                <c:pt idx="18">
                  <c:v>2458.0074493075854</c:v>
                </c:pt>
                <c:pt idx="19">
                  <c:v>2226.7144313496665</c:v>
                </c:pt>
                <c:pt idx="20">
                  <c:v>2090.1126866537361</c:v>
                </c:pt>
                <c:pt idx="21">
                  <c:v>2653.5978609798112</c:v>
                </c:pt>
              </c:numCache>
            </c:numRef>
          </c:val>
          <c:smooth val="0"/>
        </c:ser>
        <c:dLbls>
          <c:showLegendKey val="0"/>
          <c:showVal val="0"/>
          <c:showCatName val="0"/>
          <c:showSerName val="0"/>
          <c:showPercent val="0"/>
          <c:showBubbleSize val="0"/>
        </c:dLbls>
        <c:marker val="1"/>
        <c:smooth val="0"/>
        <c:axId val="887269248"/>
        <c:axId val="887270784"/>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ChartSupport!$B$32:$W$32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ChartSupport!$B$179:$W$179</c:f>
              <c:numCache>
                <c:formatCode>#,##0.0</c:formatCode>
                <c:ptCount val="22"/>
                <c:pt idx="0">
                  <c:v>#N/A</c:v>
                </c:pt>
                <c:pt idx="1">
                  <c:v>#N/A</c:v>
                </c:pt>
                <c:pt idx="2" formatCode="0">
                  <c:v>13.545</c:v>
                </c:pt>
                <c:pt idx="3" formatCode="0">
                  <c:v>10.401666666666666</c:v>
                </c:pt>
                <c:pt idx="4" formatCode="0">
                  <c:v>12.4</c:v>
                </c:pt>
                <c:pt idx="5" formatCode="0">
                  <c:v>18.787500000000001</c:v>
                </c:pt>
                <c:pt idx="6" formatCode="0">
                  <c:v>23.440833333333334</c:v>
                </c:pt>
                <c:pt idx="7" formatCode="0">
                  <c:v>25.258333333333336</c:v>
                </c:pt>
                <c:pt idx="8" formatCode="0">
                  <c:v>20.410833333333333</c:v>
                </c:pt>
                <c:pt idx="9" formatCode="0">
                  <c:v>17.066666666666666</c:v>
                </c:pt>
                <c:pt idx="10" formatCode="0">
                  <c:v>15.978333333333333</c:v>
                </c:pt>
                <c:pt idx="11" formatCode="0">
                  <c:v>13.149166666666668</c:v>
                </c:pt>
                <c:pt idx="12" formatCode="0">
                  <c:v>19.252499999999998</c:v>
                </c:pt>
                <c:pt idx="13" formatCode="0">
                  <c:v>17.805000000000003</c:v>
                </c:pt>
                <c:pt idx="14" formatCode="0">
                  <c:v>16.244658605325153</c:v>
                </c:pt>
                <c:pt idx="15" formatCode="0">
                  <c:v>16.31531880717511</c:v>
                </c:pt>
                <c:pt idx="16" formatCode="0">
                  <c:v>16.498655235130911</c:v>
                </c:pt>
                <c:pt idx="17" formatCode="0">
                  <c:v>19.747444770453257</c:v>
                </c:pt>
                <c:pt idx="18" formatCode="0">
                  <c:v>20.93514679550681</c:v>
                </c:pt>
                <c:pt idx="19" formatCode="0">
                  <c:v>17.432162450241776</c:v>
                </c:pt>
                <c:pt idx="20" formatCode="0">
                  <c:v>15.017906650666538</c:v>
                </c:pt>
                <c:pt idx="21" formatCode="0">
                  <c:v>17.055276269110166</c:v>
                </c:pt>
              </c:numCache>
            </c:numRef>
          </c:val>
          <c:smooth val="0"/>
        </c:ser>
        <c:dLbls>
          <c:showLegendKey val="0"/>
          <c:showVal val="0"/>
          <c:showCatName val="0"/>
          <c:showSerName val="0"/>
          <c:showPercent val="0"/>
          <c:showBubbleSize val="0"/>
        </c:dLbls>
        <c:marker val="1"/>
        <c:smooth val="0"/>
        <c:axId val="887277056"/>
        <c:axId val="887278592"/>
      </c:lineChart>
      <c:catAx>
        <c:axId val="887269248"/>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87270784"/>
        <c:crosses val="autoZero"/>
        <c:auto val="1"/>
        <c:lblAlgn val="ctr"/>
        <c:lblOffset val="100"/>
        <c:tickLblSkip val="1"/>
        <c:tickMarkSkip val="1"/>
        <c:noMultiLvlLbl val="0"/>
      </c:catAx>
      <c:valAx>
        <c:axId val="887270784"/>
        <c:scaling>
          <c:orientation val="minMax"/>
        </c:scaling>
        <c:delete val="0"/>
        <c:axPos val="r"/>
        <c:title>
          <c:tx>
            <c:rich>
              <a:bodyPr rot="0" vert="horz"/>
              <a:lstStyle/>
              <a:p>
                <a:pPr marL="0" marR="0" indent="0" algn="ctr" defTabSz="914400" rtl="0" eaLnBrk="1" fontAlgn="auto" latinLnBrk="0" hangingPunct="1">
                  <a:lnSpc>
                    <a:spcPct val="100000"/>
                  </a:lnSpc>
                  <a:spcBef>
                    <a:spcPts val="0"/>
                  </a:spcBef>
                  <a:spcAft>
                    <a:spcPts val="0"/>
                  </a:spcAft>
                  <a:buClrTx/>
                  <a:buSzTx/>
                  <a:buFontTx/>
                  <a:buNone/>
                  <a:tabLst/>
                  <a:defRPr sz="900" b="0" i="0" u="none" strike="noStrike" kern="1200" baseline="0">
                    <a:solidFill>
                      <a:srgbClr val="808080"/>
                    </a:solidFill>
                    <a:latin typeface="Arial"/>
                    <a:ea typeface="Arial"/>
                    <a:cs typeface="Arial"/>
                  </a:defRPr>
                </a:pPr>
                <a:r>
                  <a:rPr lang="en-US" sz="900" b="0" i="0" baseline="0">
                    <a:effectLst/>
                  </a:rPr>
                  <a:t>US$cents/lb</a:t>
                </a:r>
                <a:endParaRPr lang="en-US" sz="900">
                  <a:effectLst/>
                </a:endParaRPr>
              </a:p>
            </c:rich>
          </c:tx>
          <c:layout>
            <c:manualLayout>
              <c:xMode val="edge"/>
              <c:yMode val="edge"/>
              <c:x val="0.12706200824391814"/>
              <c:y val="2.5326329810526058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7269248"/>
        <c:crosses val="max"/>
        <c:crossBetween val="midCat"/>
      </c:valAx>
      <c:catAx>
        <c:axId val="887277056"/>
        <c:scaling>
          <c:orientation val="minMax"/>
        </c:scaling>
        <c:delete val="1"/>
        <c:axPos val="b"/>
        <c:majorTickMark val="out"/>
        <c:minorTickMark val="none"/>
        <c:tickLblPos val="nextTo"/>
        <c:crossAx val="887278592"/>
        <c:crosses val="autoZero"/>
        <c:auto val="1"/>
        <c:lblAlgn val="ctr"/>
        <c:lblOffset val="100"/>
        <c:noMultiLvlLbl val="0"/>
      </c:catAx>
      <c:valAx>
        <c:axId val="887278592"/>
        <c:scaling>
          <c:orientation val="minMax"/>
        </c:scaling>
        <c:delete val="0"/>
        <c:axPos val="l"/>
        <c:title>
          <c:tx>
            <c:rich>
              <a:bodyPr rot="0" vert="horz"/>
              <a:lstStyle/>
              <a:p>
                <a:pPr algn="ctr" rtl="0">
                  <a:defRPr sz="900"/>
                </a:pPr>
                <a:r>
                  <a:rPr lang="en-US" sz="900"/>
                  <a:t>R$ mn</a:t>
                </a:r>
              </a:p>
            </c:rich>
          </c:tx>
          <c:layout>
            <c:manualLayout>
              <c:xMode val="edge"/>
              <c:yMode val="edge"/>
              <c:x val="0.74280028770868345"/>
              <c:y val="1.2980550220540361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7277056"/>
        <c:crosses val="autoZero"/>
        <c:crossBetween val="midCat"/>
      </c:valAx>
      <c:spPr>
        <a:noFill/>
        <a:ln w="25400">
          <a:noFill/>
        </a:ln>
      </c:spPr>
    </c:plotArea>
    <c:legend>
      <c:legendPos val="r"/>
      <c:legendEntry>
        <c:idx val="1"/>
        <c:delete val="1"/>
      </c:legendEntry>
      <c:layout>
        <c:manualLayout>
          <c:xMode val="edge"/>
          <c:yMode val="edge"/>
          <c:x val="0.38077838256586327"/>
          <c:y val="0.67187653813070569"/>
          <c:w val="0.49124392308675646"/>
          <c:h val="0.13949126729529179"/>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496083550913843E-2"/>
          <c:y val="4.7169956177390976E-2"/>
          <c:w val="0.835509138381201"/>
          <c:h val="0.81446790999628416"/>
        </c:manualLayout>
      </c:layout>
      <c:areaChart>
        <c:grouping val="standard"/>
        <c:varyColors val="0"/>
        <c:ser>
          <c:idx val="4"/>
          <c:order val="0"/>
          <c:tx>
            <c:v>Bull-Bear Scenario</c:v>
          </c:tx>
          <c:spPr>
            <a:solidFill>
              <a:schemeClr val="bg1">
                <a:lumMod val="85000"/>
              </a:schemeClr>
            </a:solidFill>
            <a:ln w="12700">
              <a:noFill/>
              <a:prstDash val="solid"/>
            </a:ln>
          </c:spPr>
          <c:cat>
            <c:strRef>
              <c:f>ChartSupport!$B$37:$W$37</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ChartSupport!$B$40:$W$40</c:f>
              <c:numCache>
                <c:formatCode>0.0%</c:formatCode>
                <c:ptCount val="22"/>
                <c:pt idx="0">
                  <c:v>0.17747490347490338</c:v>
                </c:pt>
                <c:pt idx="1">
                  <c:v>0.25163529774760873</c:v>
                </c:pt>
                <c:pt idx="2">
                  <c:v>0.39874038083121499</c:v>
                </c:pt>
                <c:pt idx="3">
                  <c:v>0.4724253118735155</c:v>
                </c:pt>
                <c:pt idx="4">
                  <c:v>0.18019286376014162</c:v>
                </c:pt>
                <c:pt idx="5">
                  <c:v>0.31400503329489704</c:v>
                </c:pt>
                <c:pt idx="6">
                  <c:v>0.33915891846941471</c:v>
                </c:pt>
                <c:pt idx="7">
                  <c:v>0.43715193802759467</c:v>
                </c:pt>
                <c:pt idx="8">
                  <c:v>0.42621745587019666</c:v>
                </c:pt>
                <c:pt idx="9">
                  <c:v>0.39839726642847745</c:v>
                </c:pt>
                <c:pt idx="10">
                  <c:v>0.38099447681937826</c:v>
                </c:pt>
                <c:pt idx="11">
                  <c:v>0.48672522602726165</c:v>
                </c:pt>
                <c:pt idx="12">
                  <c:v>0.45311414365220232</c:v>
                </c:pt>
                <c:pt idx="13">
                  <c:v>0.48100391557177408</c:v>
                </c:pt>
                <c:pt idx="14">
                  <c:v>0.50599639296129773</c:v>
                </c:pt>
                <c:pt idx="15">
                  <c:v>0.52228067775010256</c:v>
                </c:pt>
                <c:pt idx="16">
                  <c:v>0.5386715468991119</c:v>
                </c:pt>
                <c:pt idx="17">
                  <c:v>0.54904216504868153</c:v>
                </c:pt>
                <c:pt idx="18">
                  <c:v>0.5382124655077698</c:v>
                </c:pt>
                <c:pt idx="19">
                  <c:v>0.53147133751615816</c:v>
                </c:pt>
                <c:pt idx="20">
                  <c:v>0.53972533351735685</c:v>
                </c:pt>
                <c:pt idx="21">
                  <c:v>0.58944072423699867</c:v>
                </c:pt>
              </c:numCache>
            </c:numRef>
          </c:val>
        </c:ser>
        <c:ser>
          <c:idx val="3"/>
          <c:order val="1"/>
          <c:tx>
            <c:v>Bear Scenario</c:v>
          </c:tx>
          <c:spPr>
            <a:solidFill>
              <a:srgbClr val="FFFFFF"/>
            </a:solidFill>
            <a:ln w="12700">
              <a:noFill/>
              <a:prstDash val="solid"/>
            </a:ln>
          </c:spPr>
          <c:cat>
            <c:strRef>
              <c:f>ChartSupport!$B$37:$W$37</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ChartSupport!$B$38:$W$38</c:f>
              <c:numCache>
                <c:formatCode>0.0%</c:formatCode>
                <c:ptCount val="22"/>
                <c:pt idx="0">
                  <c:v>0.17747490347490338</c:v>
                </c:pt>
                <c:pt idx="1">
                  <c:v>0.25163529774760873</c:v>
                </c:pt>
                <c:pt idx="2">
                  <c:v>0.39874038083121499</c:v>
                </c:pt>
                <c:pt idx="3">
                  <c:v>0.4724253118735155</c:v>
                </c:pt>
                <c:pt idx="4">
                  <c:v>0.18019286376014162</c:v>
                </c:pt>
                <c:pt idx="5">
                  <c:v>0.31400503329489704</c:v>
                </c:pt>
                <c:pt idx="6">
                  <c:v>0.33915891846941471</c:v>
                </c:pt>
                <c:pt idx="7">
                  <c:v>0.43715193802759467</c:v>
                </c:pt>
                <c:pt idx="8">
                  <c:v>0.42621745587019666</c:v>
                </c:pt>
                <c:pt idx="9">
                  <c:v>0.39839726642847745</c:v>
                </c:pt>
                <c:pt idx="10">
                  <c:v>0.38099447681937826</c:v>
                </c:pt>
                <c:pt idx="11">
                  <c:v>0.48672522602726165</c:v>
                </c:pt>
                <c:pt idx="12">
                  <c:v>0.45311414365220232</c:v>
                </c:pt>
                <c:pt idx="13">
                  <c:v>0.48100391557177408</c:v>
                </c:pt>
                <c:pt idx="14">
                  <c:v>0.46428058297778629</c:v>
                </c:pt>
                <c:pt idx="15">
                  <c:v>0.41357796231572791</c:v>
                </c:pt>
                <c:pt idx="16">
                  <c:v>0.43451715590672096</c:v>
                </c:pt>
                <c:pt idx="17">
                  <c:v>0.44397175579106696</c:v>
                </c:pt>
                <c:pt idx="18">
                  <c:v>0.42193487923437417</c:v>
                </c:pt>
                <c:pt idx="19">
                  <c:v>0.39635313244266696</c:v>
                </c:pt>
                <c:pt idx="20">
                  <c:v>0.39128566941444687</c:v>
                </c:pt>
                <c:pt idx="21">
                  <c:v>0.43063448152607492</c:v>
                </c:pt>
              </c:numCache>
            </c:numRef>
          </c:val>
        </c:ser>
        <c:dLbls>
          <c:showLegendKey val="0"/>
          <c:showVal val="0"/>
          <c:showCatName val="0"/>
          <c:showSerName val="0"/>
          <c:showPercent val="0"/>
          <c:showBubbleSize val="0"/>
        </c:dLbls>
        <c:axId val="887340416"/>
        <c:axId val="887346304"/>
      </c:areaChart>
      <c:lineChart>
        <c:grouping val="standard"/>
        <c:varyColors val="0"/>
        <c:ser>
          <c:idx val="2"/>
          <c:order val="2"/>
          <c:tx>
            <c:v>Base Scenario</c:v>
          </c:tx>
          <c:spPr>
            <a:ln w="25400">
              <a:solidFill>
                <a:schemeClr val="accent1"/>
              </a:solidFill>
              <a:prstDash val="solid"/>
            </a:ln>
          </c:spPr>
          <c:marker>
            <c:symbol val="none"/>
          </c:marker>
          <c:cat>
            <c:strRef>
              <c:f>ChartSupport!$B$37:$W$37</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ChartSupport!$B$39:$W$39</c:f>
              <c:numCache>
                <c:formatCode>0.0%</c:formatCode>
                <c:ptCount val="22"/>
                <c:pt idx="0">
                  <c:v>0.17747490347490338</c:v>
                </c:pt>
                <c:pt idx="1">
                  <c:v>0.25163529774760873</c:v>
                </c:pt>
                <c:pt idx="2">
                  <c:v>0.39874038083121499</c:v>
                </c:pt>
                <c:pt idx="3">
                  <c:v>0.4724253118735155</c:v>
                </c:pt>
                <c:pt idx="4">
                  <c:v>0.18019286376014162</c:v>
                </c:pt>
                <c:pt idx="5">
                  <c:v>0.31400503329489704</c:v>
                </c:pt>
                <c:pt idx="6">
                  <c:v>0.33915891846941471</c:v>
                </c:pt>
                <c:pt idx="7">
                  <c:v>0.43715193802759467</c:v>
                </c:pt>
                <c:pt idx="8">
                  <c:v>0.42621745587019666</c:v>
                </c:pt>
                <c:pt idx="9">
                  <c:v>0.39839726642847745</c:v>
                </c:pt>
                <c:pt idx="10">
                  <c:v>0.38099447681937826</c:v>
                </c:pt>
                <c:pt idx="11">
                  <c:v>0.48672522602726165</c:v>
                </c:pt>
                <c:pt idx="12">
                  <c:v>0.45311414365220232</c:v>
                </c:pt>
                <c:pt idx="13">
                  <c:v>0.48100391557177408</c:v>
                </c:pt>
                <c:pt idx="14">
                  <c:v>0.48103280154086298</c:v>
                </c:pt>
                <c:pt idx="15">
                  <c:v>0.47067842251844494</c:v>
                </c:pt>
                <c:pt idx="16">
                  <c:v>0.47811351066124658</c:v>
                </c:pt>
                <c:pt idx="17">
                  <c:v>0.48895721638051715</c:v>
                </c:pt>
                <c:pt idx="18">
                  <c:v>0.48855301583019672</c:v>
                </c:pt>
                <c:pt idx="19">
                  <c:v>0.4650462553371455</c:v>
                </c:pt>
                <c:pt idx="20">
                  <c:v>0.44798827983299544</c:v>
                </c:pt>
                <c:pt idx="21">
                  <c:v>0.50825001462460317</c:v>
                </c:pt>
              </c:numCache>
            </c:numRef>
          </c:val>
          <c:smooth val="0"/>
        </c:ser>
        <c:dLbls>
          <c:showLegendKey val="0"/>
          <c:showVal val="0"/>
          <c:showCatName val="0"/>
          <c:showSerName val="0"/>
          <c:showPercent val="0"/>
          <c:showBubbleSize val="0"/>
        </c:dLbls>
        <c:marker val="1"/>
        <c:smooth val="0"/>
        <c:axId val="887340416"/>
        <c:axId val="887346304"/>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ChartSupport!$B$37:$W$37</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ChartSupport!$B$179:$W$179</c:f>
              <c:numCache>
                <c:formatCode>#,##0.0</c:formatCode>
                <c:ptCount val="22"/>
                <c:pt idx="0">
                  <c:v>#N/A</c:v>
                </c:pt>
                <c:pt idx="1">
                  <c:v>#N/A</c:v>
                </c:pt>
                <c:pt idx="2" formatCode="0">
                  <c:v>13.545</c:v>
                </c:pt>
                <c:pt idx="3" formatCode="0">
                  <c:v>10.401666666666666</c:v>
                </c:pt>
                <c:pt idx="4" formatCode="0">
                  <c:v>12.4</c:v>
                </c:pt>
                <c:pt idx="5" formatCode="0">
                  <c:v>18.787500000000001</c:v>
                </c:pt>
                <c:pt idx="6" formatCode="0">
                  <c:v>23.440833333333334</c:v>
                </c:pt>
                <c:pt idx="7" formatCode="0">
                  <c:v>25.258333333333336</c:v>
                </c:pt>
                <c:pt idx="8" formatCode="0">
                  <c:v>20.410833333333333</c:v>
                </c:pt>
                <c:pt idx="9" formatCode="0">
                  <c:v>17.066666666666666</c:v>
                </c:pt>
                <c:pt idx="10" formatCode="0">
                  <c:v>15.978333333333333</c:v>
                </c:pt>
                <c:pt idx="11" formatCode="0">
                  <c:v>13.149166666666668</c:v>
                </c:pt>
                <c:pt idx="12" formatCode="0">
                  <c:v>19.252499999999998</c:v>
                </c:pt>
                <c:pt idx="13" formatCode="0">
                  <c:v>17.805000000000003</c:v>
                </c:pt>
                <c:pt idx="14" formatCode="0">
                  <c:v>16.244658605325153</c:v>
                </c:pt>
                <c:pt idx="15" formatCode="0">
                  <c:v>16.31531880717511</c:v>
                </c:pt>
                <c:pt idx="16" formatCode="0">
                  <c:v>16.498655235130911</c:v>
                </c:pt>
                <c:pt idx="17" formatCode="0">
                  <c:v>19.747444770453257</c:v>
                </c:pt>
                <c:pt idx="18" formatCode="0">
                  <c:v>20.93514679550681</c:v>
                </c:pt>
                <c:pt idx="19" formatCode="0">
                  <c:v>17.432162450241776</c:v>
                </c:pt>
                <c:pt idx="20" formatCode="0">
                  <c:v>15.017906650666538</c:v>
                </c:pt>
                <c:pt idx="21" formatCode="0">
                  <c:v>17.055276269110166</c:v>
                </c:pt>
              </c:numCache>
            </c:numRef>
          </c:val>
          <c:smooth val="0"/>
        </c:ser>
        <c:dLbls>
          <c:showLegendKey val="0"/>
          <c:showVal val="0"/>
          <c:showCatName val="0"/>
          <c:showSerName val="0"/>
          <c:showPercent val="0"/>
          <c:showBubbleSize val="0"/>
        </c:dLbls>
        <c:marker val="1"/>
        <c:smooth val="0"/>
        <c:axId val="887348224"/>
        <c:axId val="887362304"/>
      </c:lineChart>
      <c:catAx>
        <c:axId val="887340416"/>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87346304"/>
        <c:crosses val="autoZero"/>
        <c:auto val="1"/>
        <c:lblAlgn val="ctr"/>
        <c:lblOffset val="100"/>
        <c:tickLblSkip val="1"/>
        <c:tickMarkSkip val="1"/>
        <c:noMultiLvlLbl val="0"/>
      </c:catAx>
      <c:valAx>
        <c:axId val="887346304"/>
        <c:scaling>
          <c:orientation val="minMax"/>
        </c:scaling>
        <c:delete val="0"/>
        <c:axPos val="r"/>
        <c:title>
          <c:tx>
            <c:rich>
              <a:bodyPr rot="0" vert="horz"/>
              <a:lstStyle/>
              <a:p>
                <a:pPr algn="ctr" rtl="0">
                  <a:defRPr sz="900"/>
                </a:pPr>
                <a:r>
                  <a:rPr lang="en-US" sz="900" b="0" i="0" baseline="0">
                    <a:effectLst/>
                  </a:rPr>
                  <a:t>US$cents/lb</a:t>
                </a:r>
                <a:endParaRPr lang="en-US" sz="900">
                  <a:effectLst/>
                </a:endParaRPr>
              </a:p>
            </c:rich>
          </c:tx>
          <c:layout>
            <c:manualLayout>
              <c:xMode val="edge"/>
              <c:yMode val="edge"/>
              <c:x val="8.6650980584981704E-2"/>
              <c:y val="3.8259370214455683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7340416"/>
        <c:crosses val="max"/>
        <c:crossBetween val="midCat"/>
      </c:valAx>
      <c:catAx>
        <c:axId val="887348224"/>
        <c:scaling>
          <c:orientation val="minMax"/>
        </c:scaling>
        <c:delete val="1"/>
        <c:axPos val="b"/>
        <c:majorTickMark val="out"/>
        <c:minorTickMark val="none"/>
        <c:tickLblPos val="nextTo"/>
        <c:crossAx val="887362304"/>
        <c:crosses val="autoZero"/>
        <c:auto val="1"/>
        <c:lblAlgn val="ctr"/>
        <c:lblOffset val="100"/>
        <c:noMultiLvlLbl val="0"/>
      </c:catAx>
      <c:valAx>
        <c:axId val="887362304"/>
        <c:scaling>
          <c:orientation val="minMax"/>
        </c:scaling>
        <c:delete val="0"/>
        <c:axPos val="l"/>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7348224"/>
        <c:crosses val="autoZero"/>
        <c:crossBetween val="midCat"/>
      </c:valAx>
      <c:spPr>
        <a:noFill/>
        <a:ln w="25400">
          <a:noFill/>
        </a:ln>
      </c:spPr>
    </c:plotArea>
    <c:legend>
      <c:legendPos val="r"/>
      <c:legendEntry>
        <c:idx val="1"/>
        <c:delete val="1"/>
      </c:legendEntry>
      <c:layout>
        <c:manualLayout>
          <c:xMode val="edge"/>
          <c:yMode val="edge"/>
          <c:x val="0.2184625721784777"/>
          <c:y val="0.68290727809967156"/>
          <c:w val="0.64077830271216096"/>
          <c:h val="0.1477217199701889"/>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8444724409448821E-2"/>
          <c:y val="4.7169929446892536E-2"/>
          <c:w val="0.835509138381201"/>
          <c:h val="0.81446790999628416"/>
        </c:manualLayout>
      </c:layout>
      <c:areaChart>
        <c:grouping val="standard"/>
        <c:varyColors val="0"/>
        <c:ser>
          <c:idx val="4"/>
          <c:order val="0"/>
          <c:tx>
            <c:v>Bull-Bear Scenario</c:v>
          </c:tx>
          <c:spPr>
            <a:solidFill>
              <a:schemeClr val="bg1">
                <a:lumMod val="85000"/>
              </a:schemeClr>
            </a:solidFill>
            <a:ln w="12700">
              <a:noFill/>
              <a:prstDash val="solid"/>
            </a:ln>
          </c:spPr>
          <c:cat>
            <c:strRef>
              <c:f>ChartSupport!$B$42:$W$42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ChartSupport!$B$45:$W$45</c:f>
              <c:numCache>
                <c:formatCode>#,##0</c:formatCode>
                <c:ptCount val="22"/>
                <c:pt idx="0">
                  <c:v>21.531999999999954</c:v>
                </c:pt>
                <c:pt idx="1">
                  <c:v>85.509999999999962</c:v>
                </c:pt>
                <c:pt idx="2">
                  <c:v>234.89099999999996</c:v>
                </c:pt>
                <c:pt idx="3">
                  <c:v>250.38599999999985</c:v>
                </c:pt>
                <c:pt idx="4">
                  <c:v>-62.840999999999923</c:v>
                </c:pt>
                <c:pt idx="5">
                  <c:v>40.672999999999945</c:v>
                </c:pt>
                <c:pt idx="6">
                  <c:v>124.30599999999981</c:v>
                </c:pt>
                <c:pt idx="7">
                  <c:v>235.76899999999983</c:v>
                </c:pt>
                <c:pt idx="8">
                  <c:v>231.00800000000015</c:v>
                </c:pt>
                <c:pt idx="9">
                  <c:v>198.80999999999977</c:v>
                </c:pt>
                <c:pt idx="10">
                  <c:v>302.91800000000001</c:v>
                </c:pt>
                <c:pt idx="11">
                  <c:v>532.68599999999969</c:v>
                </c:pt>
                <c:pt idx="12">
                  <c:v>512.05299999999988</c:v>
                </c:pt>
                <c:pt idx="13">
                  <c:v>706.48700000000008</c:v>
                </c:pt>
                <c:pt idx="14">
                  <c:v>993.85194202472621</c:v>
                </c:pt>
                <c:pt idx="15">
                  <c:v>1139.4800824087986</c:v>
                </c:pt>
                <c:pt idx="16">
                  <c:v>1362.5920059245952</c:v>
                </c:pt>
                <c:pt idx="17">
                  <c:v>1550.6430622744883</c:v>
                </c:pt>
                <c:pt idx="18">
                  <c:v>1459.1987189721735</c:v>
                </c:pt>
                <c:pt idx="19">
                  <c:v>1392.294821924148</c:v>
                </c:pt>
                <c:pt idx="20">
                  <c:v>1539.5958163204427</c:v>
                </c:pt>
                <c:pt idx="21">
                  <c:v>1997.4049476329112</c:v>
                </c:pt>
              </c:numCache>
            </c:numRef>
          </c:val>
        </c:ser>
        <c:ser>
          <c:idx val="3"/>
          <c:order val="1"/>
          <c:tx>
            <c:v>Bear Scenario</c:v>
          </c:tx>
          <c:spPr>
            <a:solidFill>
              <a:srgbClr val="FFFFFF"/>
            </a:solidFill>
            <a:ln w="12700">
              <a:noFill/>
              <a:prstDash val="solid"/>
            </a:ln>
          </c:spPr>
          <c:cat>
            <c:strRef>
              <c:f>ChartSupport!$B$42:$W$42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ChartSupport!$B$43:$W$43</c:f>
              <c:numCache>
                <c:formatCode>#,##0</c:formatCode>
                <c:ptCount val="22"/>
                <c:pt idx="0">
                  <c:v>21.531999999999954</c:v>
                </c:pt>
                <c:pt idx="1">
                  <c:v>85.509999999999962</c:v>
                </c:pt>
                <c:pt idx="2">
                  <c:v>234.89099999999996</c:v>
                </c:pt>
                <c:pt idx="3">
                  <c:v>250.38599999999985</c:v>
                </c:pt>
                <c:pt idx="4">
                  <c:v>-62.840999999999923</c:v>
                </c:pt>
                <c:pt idx="5">
                  <c:v>40.672999999999945</c:v>
                </c:pt>
                <c:pt idx="6">
                  <c:v>124.30599999999981</c:v>
                </c:pt>
                <c:pt idx="7">
                  <c:v>235.76899999999983</c:v>
                </c:pt>
                <c:pt idx="8">
                  <c:v>231.00800000000015</c:v>
                </c:pt>
                <c:pt idx="9">
                  <c:v>198.80999999999977</c:v>
                </c:pt>
                <c:pt idx="10">
                  <c:v>302.91800000000001</c:v>
                </c:pt>
                <c:pt idx="11">
                  <c:v>532.68599999999969</c:v>
                </c:pt>
                <c:pt idx="12">
                  <c:v>512.05299999999988</c:v>
                </c:pt>
                <c:pt idx="13">
                  <c:v>706.48700000000008</c:v>
                </c:pt>
                <c:pt idx="14">
                  <c:v>695.9557920333034</c:v>
                </c:pt>
                <c:pt idx="15">
                  <c:v>505.55840655524332</c:v>
                </c:pt>
                <c:pt idx="16">
                  <c:v>669.32321102996457</c:v>
                </c:pt>
                <c:pt idx="17">
                  <c:v>809.56090644579126</c:v>
                </c:pt>
                <c:pt idx="18">
                  <c:v>702.27723585779881</c:v>
                </c:pt>
                <c:pt idx="19">
                  <c:v>570.07414609186662</c:v>
                </c:pt>
                <c:pt idx="20">
                  <c:v>588.476512991748</c:v>
                </c:pt>
                <c:pt idx="21">
                  <c:v>811.89903117906647</c:v>
                </c:pt>
              </c:numCache>
            </c:numRef>
          </c:val>
        </c:ser>
        <c:dLbls>
          <c:showLegendKey val="0"/>
          <c:showVal val="0"/>
          <c:showCatName val="0"/>
          <c:showSerName val="0"/>
          <c:showPercent val="0"/>
          <c:showBubbleSize val="0"/>
        </c:dLbls>
        <c:axId val="887399168"/>
        <c:axId val="887400704"/>
      </c:areaChart>
      <c:lineChart>
        <c:grouping val="standard"/>
        <c:varyColors val="0"/>
        <c:ser>
          <c:idx val="2"/>
          <c:order val="2"/>
          <c:tx>
            <c:v>Base Scenario</c:v>
          </c:tx>
          <c:spPr>
            <a:ln w="25400">
              <a:solidFill>
                <a:schemeClr val="accent1"/>
              </a:solidFill>
              <a:prstDash val="solid"/>
            </a:ln>
          </c:spPr>
          <c:marker>
            <c:symbol val="none"/>
          </c:marker>
          <c:cat>
            <c:strRef>
              <c:f>ChartSupport!$B$42:$W$42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ChartSupport!$B$44:$W$44</c:f>
              <c:numCache>
                <c:formatCode>#,##0</c:formatCode>
                <c:ptCount val="22"/>
                <c:pt idx="0">
                  <c:v>21.531999999999954</c:v>
                </c:pt>
                <c:pt idx="1">
                  <c:v>85.509999999999962</c:v>
                </c:pt>
                <c:pt idx="2">
                  <c:v>234.89099999999996</c:v>
                </c:pt>
                <c:pt idx="3">
                  <c:v>250.38599999999985</c:v>
                </c:pt>
                <c:pt idx="4">
                  <c:v>-62.840999999999923</c:v>
                </c:pt>
                <c:pt idx="5">
                  <c:v>40.672999999999945</c:v>
                </c:pt>
                <c:pt idx="6">
                  <c:v>124.30599999999981</c:v>
                </c:pt>
                <c:pt idx="7">
                  <c:v>235.76899999999983</c:v>
                </c:pt>
                <c:pt idx="8">
                  <c:v>231.00800000000015</c:v>
                </c:pt>
                <c:pt idx="9">
                  <c:v>198.80999999999977</c:v>
                </c:pt>
                <c:pt idx="10">
                  <c:v>302.91800000000001</c:v>
                </c:pt>
                <c:pt idx="11">
                  <c:v>532.68599999999969</c:v>
                </c:pt>
                <c:pt idx="12">
                  <c:v>512.05299999999988</c:v>
                </c:pt>
                <c:pt idx="13">
                  <c:v>706.48700000000008</c:v>
                </c:pt>
                <c:pt idx="14">
                  <c:v>821.99908906319183</c:v>
                </c:pt>
                <c:pt idx="15">
                  <c:v>811.01167708280195</c:v>
                </c:pt>
                <c:pt idx="16">
                  <c:v>906.28938993016277</c:v>
                </c:pt>
                <c:pt idx="17">
                  <c:v>1094.004700671343</c:v>
                </c:pt>
                <c:pt idx="18">
                  <c:v>1168.7930777968661</c:v>
                </c:pt>
                <c:pt idx="19">
                  <c:v>999.77813581046735</c:v>
                </c:pt>
                <c:pt idx="20">
                  <c:v>894.59311279477424</c:v>
                </c:pt>
                <c:pt idx="21">
                  <c:v>1315.7357619179606</c:v>
                </c:pt>
              </c:numCache>
            </c:numRef>
          </c:val>
          <c:smooth val="0"/>
        </c:ser>
        <c:dLbls>
          <c:showLegendKey val="0"/>
          <c:showVal val="0"/>
          <c:showCatName val="0"/>
          <c:showSerName val="0"/>
          <c:showPercent val="0"/>
          <c:showBubbleSize val="0"/>
        </c:dLbls>
        <c:marker val="1"/>
        <c:smooth val="0"/>
        <c:axId val="887399168"/>
        <c:axId val="887400704"/>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ChartSupport!$B$42:$W$42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ChartSupport!$B$179:$W$179</c:f>
              <c:numCache>
                <c:formatCode>#,##0.0</c:formatCode>
                <c:ptCount val="22"/>
                <c:pt idx="0">
                  <c:v>#N/A</c:v>
                </c:pt>
                <c:pt idx="1">
                  <c:v>#N/A</c:v>
                </c:pt>
                <c:pt idx="2" formatCode="0">
                  <c:v>13.545</c:v>
                </c:pt>
                <c:pt idx="3" formatCode="0">
                  <c:v>10.401666666666666</c:v>
                </c:pt>
                <c:pt idx="4" formatCode="0">
                  <c:v>12.4</c:v>
                </c:pt>
                <c:pt idx="5" formatCode="0">
                  <c:v>18.787500000000001</c:v>
                </c:pt>
                <c:pt idx="6" formatCode="0">
                  <c:v>23.440833333333334</c:v>
                </c:pt>
                <c:pt idx="7" formatCode="0">
                  <c:v>25.258333333333336</c:v>
                </c:pt>
                <c:pt idx="8" formatCode="0">
                  <c:v>20.410833333333333</c:v>
                </c:pt>
                <c:pt idx="9" formatCode="0">
                  <c:v>17.066666666666666</c:v>
                </c:pt>
                <c:pt idx="10" formatCode="0">
                  <c:v>15.978333333333333</c:v>
                </c:pt>
                <c:pt idx="11" formatCode="0">
                  <c:v>13.149166666666668</c:v>
                </c:pt>
                <c:pt idx="12" formatCode="0">
                  <c:v>19.252499999999998</c:v>
                </c:pt>
                <c:pt idx="13" formatCode="0">
                  <c:v>17.805000000000003</c:v>
                </c:pt>
                <c:pt idx="14" formatCode="0">
                  <c:v>16.244658605325153</c:v>
                </c:pt>
                <c:pt idx="15" formatCode="0">
                  <c:v>16.31531880717511</c:v>
                </c:pt>
                <c:pt idx="16" formatCode="0">
                  <c:v>16.498655235130911</c:v>
                </c:pt>
                <c:pt idx="17" formatCode="0">
                  <c:v>19.747444770453257</c:v>
                </c:pt>
                <c:pt idx="18" formatCode="0">
                  <c:v>20.93514679550681</c:v>
                </c:pt>
                <c:pt idx="19" formatCode="0">
                  <c:v>17.432162450241776</c:v>
                </c:pt>
                <c:pt idx="20" formatCode="0">
                  <c:v>15.017906650666538</c:v>
                </c:pt>
                <c:pt idx="21" formatCode="0">
                  <c:v>17.055276269110166</c:v>
                </c:pt>
              </c:numCache>
            </c:numRef>
          </c:val>
          <c:smooth val="0"/>
        </c:ser>
        <c:dLbls>
          <c:showLegendKey val="0"/>
          <c:showVal val="0"/>
          <c:showCatName val="0"/>
          <c:showSerName val="0"/>
          <c:showPercent val="0"/>
          <c:showBubbleSize val="0"/>
        </c:dLbls>
        <c:marker val="1"/>
        <c:smooth val="0"/>
        <c:axId val="887402880"/>
        <c:axId val="887404416"/>
      </c:lineChart>
      <c:catAx>
        <c:axId val="887399168"/>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87400704"/>
        <c:crosses val="autoZero"/>
        <c:auto val="1"/>
        <c:lblAlgn val="ctr"/>
        <c:lblOffset val="100"/>
        <c:tickLblSkip val="1"/>
        <c:tickMarkSkip val="1"/>
        <c:noMultiLvlLbl val="0"/>
      </c:catAx>
      <c:valAx>
        <c:axId val="887400704"/>
        <c:scaling>
          <c:orientation val="minMax"/>
        </c:scaling>
        <c:delete val="0"/>
        <c:axPos val="r"/>
        <c:title>
          <c:tx>
            <c:rich>
              <a:bodyPr rot="0" vert="horz"/>
              <a:lstStyle/>
              <a:p>
                <a:pPr marL="0" marR="0" indent="0" algn="ctr" defTabSz="914400" rtl="0" eaLnBrk="1" fontAlgn="auto" latinLnBrk="0" hangingPunct="1">
                  <a:lnSpc>
                    <a:spcPct val="100000"/>
                  </a:lnSpc>
                  <a:spcBef>
                    <a:spcPts val="0"/>
                  </a:spcBef>
                  <a:spcAft>
                    <a:spcPts val="0"/>
                  </a:spcAft>
                  <a:buClrTx/>
                  <a:buSzTx/>
                  <a:buFontTx/>
                  <a:buNone/>
                  <a:tabLst/>
                  <a:defRPr sz="900" b="0" i="0" u="none" strike="noStrike" kern="1200" baseline="0">
                    <a:solidFill>
                      <a:srgbClr val="808080"/>
                    </a:solidFill>
                    <a:latin typeface="Arial"/>
                    <a:ea typeface="Arial"/>
                    <a:cs typeface="Arial"/>
                  </a:defRPr>
                </a:pPr>
                <a:r>
                  <a:rPr lang="en-US" sz="900" b="0" i="0" baseline="0">
                    <a:effectLst/>
                  </a:rPr>
                  <a:t>US$cents/lb</a:t>
                </a:r>
                <a:endParaRPr lang="en-US" sz="900">
                  <a:effectLst/>
                </a:endParaRPr>
              </a:p>
            </c:rich>
          </c:tx>
          <c:layout>
            <c:manualLayout>
              <c:xMode val="edge"/>
              <c:yMode val="edge"/>
              <c:x val="8.6663036801250912E-2"/>
              <c:y val="5.3374809630277673E-3"/>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7399168"/>
        <c:crosses val="max"/>
        <c:crossBetween val="midCat"/>
      </c:valAx>
      <c:catAx>
        <c:axId val="887402880"/>
        <c:scaling>
          <c:orientation val="minMax"/>
        </c:scaling>
        <c:delete val="1"/>
        <c:axPos val="b"/>
        <c:majorTickMark val="out"/>
        <c:minorTickMark val="none"/>
        <c:tickLblPos val="nextTo"/>
        <c:crossAx val="887404416"/>
        <c:crossesAt val="0"/>
        <c:auto val="1"/>
        <c:lblAlgn val="ctr"/>
        <c:lblOffset val="100"/>
        <c:noMultiLvlLbl val="0"/>
      </c:catAx>
      <c:valAx>
        <c:axId val="887404416"/>
        <c:scaling>
          <c:orientation val="minMax"/>
          <c:min val="0"/>
        </c:scaling>
        <c:delete val="0"/>
        <c:axPos val="l"/>
        <c:title>
          <c:tx>
            <c:rich>
              <a:bodyPr rot="0" vert="horz"/>
              <a:lstStyle/>
              <a:p>
                <a:pPr algn="ctr" rtl="0">
                  <a:defRPr sz="900"/>
                </a:pPr>
                <a:r>
                  <a:rPr lang="en-US" sz="900"/>
                  <a:t>R$ mn</a:t>
                </a:r>
              </a:p>
            </c:rich>
          </c:tx>
          <c:layout>
            <c:manualLayout>
              <c:xMode val="edge"/>
              <c:yMode val="edge"/>
              <c:x val="0.74469065302935278"/>
              <c:y val="2.179834696868195E-2"/>
            </c:manualLayout>
          </c:layout>
          <c:overlay val="0"/>
        </c:title>
        <c:numFmt formatCode="0" sourceLinked="0"/>
        <c:majorTickMark val="cross"/>
        <c:minorTickMark val="none"/>
        <c:tickLblPos val="low"/>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7402880"/>
        <c:crosses val="autoZero"/>
        <c:crossBetween val="midCat"/>
      </c:valAx>
      <c:spPr>
        <a:noFill/>
        <a:ln w="25400">
          <a:noFill/>
        </a:ln>
      </c:spPr>
    </c:plotArea>
    <c:legend>
      <c:legendPos val="r"/>
      <c:legendEntry>
        <c:idx val="1"/>
        <c:delete val="1"/>
      </c:legendEntry>
      <c:layout>
        <c:manualLayout>
          <c:xMode val="edge"/>
          <c:yMode val="edge"/>
          <c:x val="0.25080860892388451"/>
          <c:y val="0.73895211211806067"/>
          <c:w val="0.56525914260717414"/>
          <c:h val="0.11713324825222537"/>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496083550913843E-2"/>
          <c:y val="4.7169956177390976E-2"/>
          <c:w val="0.82506527415143605"/>
          <c:h val="0.81446790999628416"/>
        </c:manualLayout>
      </c:layout>
      <c:areaChart>
        <c:grouping val="standard"/>
        <c:varyColors val="0"/>
        <c:ser>
          <c:idx val="4"/>
          <c:order val="0"/>
          <c:tx>
            <c:v>Bull-Bear Scenario</c:v>
          </c:tx>
          <c:spPr>
            <a:solidFill>
              <a:schemeClr val="bg1">
                <a:lumMod val="85000"/>
              </a:schemeClr>
            </a:solidFill>
            <a:ln w="12700">
              <a:noFill/>
              <a:prstDash val="solid"/>
            </a:ln>
          </c:spPr>
          <c:cat>
            <c:strRef>
              <c:f>ChartSupport!$B$37:$W$37</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ChartSupport!$B$50:$W$50</c:f>
              <c:numCache>
                <c:formatCode>0.0%</c:formatCode>
                <c:ptCount val="22"/>
                <c:pt idx="0">
                  <c:v>4.1567567567567479E-2</c:v>
                </c:pt>
                <c:pt idx="1">
                  <c:v>0.13191916075285401</c:v>
                </c:pt>
                <c:pt idx="2">
                  <c:v>0.29069876810284867</c:v>
                </c:pt>
                <c:pt idx="3">
                  <c:v>0.3029338069560103</c:v>
                </c:pt>
                <c:pt idx="4">
                  <c:v>-8.8207798770388132E-2</c:v>
                </c:pt>
                <c:pt idx="5">
                  <c:v>5.2519036262190948E-2</c:v>
                </c:pt>
                <c:pt idx="6">
                  <c:v>0.10505152600470202</c:v>
                </c:pt>
                <c:pt idx="7">
                  <c:v>0.18205706749197692</c:v>
                </c:pt>
                <c:pt idx="8">
                  <c:v>0.16899026327917552</c:v>
                </c:pt>
                <c:pt idx="9">
                  <c:v>0.12152534757985384</c:v>
                </c:pt>
                <c:pt idx="10">
                  <c:v>0.15363368480846382</c:v>
                </c:pt>
                <c:pt idx="11">
                  <c:v>0.22909629522588093</c:v>
                </c:pt>
                <c:pt idx="12">
                  <c:v>0.1877454508522651</c:v>
                </c:pt>
                <c:pt idx="13">
                  <c:v>0.23526965095531563</c:v>
                </c:pt>
                <c:pt idx="14">
                  <c:v>0.24975243022203894</c:v>
                </c:pt>
                <c:pt idx="15">
                  <c:v>0.26603671501084381</c:v>
                </c:pt>
                <c:pt idx="16">
                  <c:v>0.28242758415985303</c:v>
                </c:pt>
                <c:pt idx="17">
                  <c:v>0.29279820230942277</c:v>
                </c:pt>
                <c:pt idx="18">
                  <c:v>0.28196850276851104</c:v>
                </c:pt>
                <c:pt idx="19">
                  <c:v>0.27522737477689946</c:v>
                </c:pt>
                <c:pt idx="20">
                  <c:v>0.28348137077809804</c:v>
                </c:pt>
                <c:pt idx="21">
                  <c:v>0.33319676149773991</c:v>
                </c:pt>
              </c:numCache>
            </c:numRef>
          </c:val>
        </c:ser>
        <c:ser>
          <c:idx val="3"/>
          <c:order val="1"/>
          <c:tx>
            <c:v>Bear Scenario</c:v>
          </c:tx>
          <c:spPr>
            <a:solidFill>
              <a:srgbClr val="FFFFFF"/>
            </a:solidFill>
            <a:ln w="12700">
              <a:noFill/>
              <a:prstDash val="solid"/>
            </a:ln>
          </c:spPr>
          <c:cat>
            <c:strRef>
              <c:f>ChartSupport!$B$37:$W$37</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ChartSupport!$B$48:$W$48</c:f>
              <c:numCache>
                <c:formatCode>0.0%</c:formatCode>
                <c:ptCount val="22"/>
                <c:pt idx="0">
                  <c:v>4.1567567567567479E-2</c:v>
                </c:pt>
                <c:pt idx="1">
                  <c:v>0.13191916075285401</c:v>
                </c:pt>
                <c:pt idx="2">
                  <c:v>0.29069876810284867</c:v>
                </c:pt>
                <c:pt idx="3">
                  <c:v>0.3029338069560103</c:v>
                </c:pt>
                <c:pt idx="4">
                  <c:v>-8.8207798770388132E-2</c:v>
                </c:pt>
                <c:pt idx="5">
                  <c:v>5.2519036262190948E-2</c:v>
                </c:pt>
                <c:pt idx="6">
                  <c:v>0.10505152600470202</c:v>
                </c:pt>
                <c:pt idx="7">
                  <c:v>0.18205706749197692</c:v>
                </c:pt>
                <c:pt idx="8">
                  <c:v>0.16899026327917552</c:v>
                </c:pt>
                <c:pt idx="9">
                  <c:v>0.12152534757985384</c:v>
                </c:pt>
                <c:pt idx="10">
                  <c:v>0.15363368480846382</c:v>
                </c:pt>
                <c:pt idx="11">
                  <c:v>0.22909629522588093</c:v>
                </c:pt>
                <c:pt idx="12">
                  <c:v>0.1877454508522651</c:v>
                </c:pt>
                <c:pt idx="13">
                  <c:v>0.23526965095531563</c:v>
                </c:pt>
                <c:pt idx="14">
                  <c:v>0.20803662023852748</c:v>
                </c:pt>
                <c:pt idx="15">
                  <c:v>0.15733399957646907</c:v>
                </c:pt>
                <c:pt idx="16">
                  <c:v>0.17827319316746215</c:v>
                </c:pt>
                <c:pt idx="17">
                  <c:v>0.18772779305180812</c:v>
                </c:pt>
                <c:pt idx="18">
                  <c:v>0.16569091649511544</c:v>
                </c:pt>
                <c:pt idx="19">
                  <c:v>0.14010916970340817</c:v>
                </c:pt>
                <c:pt idx="20">
                  <c:v>0.13504170667518806</c:v>
                </c:pt>
                <c:pt idx="21">
                  <c:v>0.17439051878681619</c:v>
                </c:pt>
              </c:numCache>
            </c:numRef>
          </c:val>
        </c:ser>
        <c:dLbls>
          <c:showLegendKey val="0"/>
          <c:showVal val="0"/>
          <c:showCatName val="0"/>
          <c:showSerName val="0"/>
          <c:showPercent val="0"/>
          <c:showBubbleSize val="0"/>
        </c:dLbls>
        <c:axId val="887507200"/>
        <c:axId val="887521280"/>
      </c:areaChart>
      <c:lineChart>
        <c:grouping val="standard"/>
        <c:varyColors val="0"/>
        <c:ser>
          <c:idx val="2"/>
          <c:order val="2"/>
          <c:tx>
            <c:v>Base Scenario</c:v>
          </c:tx>
          <c:spPr>
            <a:ln w="25400">
              <a:solidFill>
                <a:schemeClr val="accent1"/>
              </a:solidFill>
              <a:prstDash val="solid"/>
            </a:ln>
          </c:spPr>
          <c:marker>
            <c:symbol val="none"/>
          </c:marker>
          <c:cat>
            <c:strRef>
              <c:f>ChartSupport!$B$37:$W$37</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ChartSupport!$B$49:$W$49</c:f>
              <c:numCache>
                <c:formatCode>0.0%</c:formatCode>
                <c:ptCount val="22"/>
                <c:pt idx="0">
                  <c:v>4.1567567567567479E-2</c:v>
                </c:pt>
                <c:pt idx="1">
                  <c:v>0.13191916075285401</c:v>
                </c:pt>
                <c:pt idx="2">
                  <c:v>0.29069876810284867</c:v>
                </c:pt>
                <c:pt idx="3">
                  <c:v>0.3029338069560103</c:v>
                </c:pt>
                <c:pt idx="4">
                  <c:v>-8.8207798770388132E-2</c:v>
                </c:pt>
                <c:pt idx="5">
                  <c:v>5.2519036262190948E-2</c:v>
                </c:pt>
                <c:pt idx="6">
                  <c:v>0.10505152600470202</c:v>
                </c:pt>
                <c:pt idx="7">
                  <c:v>0.18205706749197692</c:v>
                </c:pt>
                <c:pt idx="8">
                  <c:v>0.16899026327917552</c:v>
                </c:pt>
                <c:pt idx="9">
                  <c:v>0.12152534757985384</c:v>
                </c:pt>
                <c:pt idx="10">
                  <c:v>0.15363368480846382</c:v>
                </c:pt>
                <c:pt idx="11">
                  <c:v>0.22909629522588093</c:v>
                </c:pt>
                <c:pt idx="12">
                  <c:v>0.1877454508522651</c:v>
                </c:pt>
                <c:pt idx="13">
                  <c:v>0.23526965095531563</c:v>
                </c:pt>
                <c:pt idx="14">
                  <c:v>0.22478883880160416</c:v>
                </c:pt>
                <c:pt idx="15">
                  <c:v>0.21443445977918613</c:v>
                </c:pt>
                <c:pt idx="16">
                  <c:v>0.22186954792198774</c:v>
                </c:pt>
                <c:pt idx="17">
                  <c:v>0.23271325364125833</c:v>
                </c:pt>
                <c:pt idx="18">
                  <c:v>0.23230905309093788</c:v>
                </c:pt>
                <c:pt idx="19">
                  <c:v>0.20880229259788669</c:v>
                </c:pt>
                <c:pt idx="20">
                  <c:v>0.19174431709373665</c:v>
                </c:pt>
                <c:pt idx="21">
                  <c:v>0.25200605188534425</c:v>
                </c:pt>
              </c:numCache>
            </c:numRef>
          </c:val>
          <c:smooth val="0"/>
        </c:ser>
        <c:dLbls>
          <c:showLegendKey val="0"/>
          <c:showVal val="0"/>
          <c:showCatName val="0"/>
          <c:showSerName val="0"/>
          <c:showPercent val="0"/>
          <c:showBubbleSize val="0"/>
        </c:dLbls>
        <c:marker val="1"/>
        <c:smooth val="0"/>
        <c:axId val="887507200"/>
        <c:axId val="887521280"/>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ChartSupport!$B$37:$W$37</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ChartSupport!$B$179:$W$179</c:f>
              <c:numCache>
                <c:formatCode>#,##0.0</c:formatCode>
                <c:ptCount val="22"/>
                <c:pt idx="0">
                  <c:v>#N/A</c:v>
                </c:pt>
                <c:pt idx="1">
                  <c:v>#N/A</c:v>
                </c:pt>
                <c:pt idx="2" formatCode="0">
                  <c:v>13.545</c:v>
                </c:pt>
                <c:pt idx="3" formatCode="0">
                  <c:v>10.401666666666666</c:v>
                </c:pt>
                <c:pt idx="4" formatCode="0">
                  <c:v>12.4</c:v>
                </c:pt>
                <c:pt idx="5" formatCode="0">
                  <c:v>18.787500000000001</c:v>
                </c:pt>
                <c:pt idx="6" formatCode="0">
                  <c:v>23.440833333333334</c:v>
                </c:pt>
                <c:pt idx="7" formatCode="0">
                  <c:v>25.258333333333336</c:v>
                </c:pt>
                <c:pt idx="8" formatCode="0">
                  <c:v>20.410833333333333</c:v>
                </c:pt>
                <c:pt idx="9" formatCode="0">
                  <c:v>17.066666666666666</c:v>
                </c:pt>
                <c:pt idx="10" formatCode="0">
                  <c:v>15.978333333333333</c:v>
                </c:pt>
                <c:pt idx="11" formatCode="0">
                  <c:v>13.149166666666668</c:v>
                </c:pt>
                <c:pt idx="12" formatCode="0">
                  <c:v>19.252499999999998</c:v>
                </c:pt>
                <c:pt idx="13" formatCode="0">
                  <c:v>17.805000000000003</c:v>
                </c:pt>
                <c:pt idx="14" formatCode="0">
                  <c:v>16.244658605325153</c:v>
                </c:pt>
                <c:pt idx="15" formatCode="0">
                  <c:v>16.31531880717511</c:v>
                </c:pt>
                <c:pt idx="16" formatCode="0">
                  <c:v>16.498655235130911</c:v>
                </c:pt>
                <c:pt idx="17" formatCode="0">
                  <c:v>19.747444770453257</c:v>
                </c:pt>
                <c:pt idx="18" formatCode="0">
                  <c:v>20.93514679550681</c:v>
                </c:pt>
                <c:pt idx="19" formatCode="0">
                  <c:v>17.432162450241776</c:v>
                </c:pt>
                <c:pt idx="20" formatCode="0">
                  <c:v>15.017906650666538</c:v>
                </c:pt>
                <c:pt idx="21" formatCode="0">
                  <c:v>17.055276269110166</c:v>
                </c:pt>
              </c:numCache>
            </c:numRef>
          </c:val>
          <c:smooth val="0"/>
        </c:ser>
        <c:dLbls>
          <c:showLegendKey val="0"/>
          <c:showVal val="0"/>
          <c:showCatName val="0"/>
          <c:showSerName val="0"/>
          <c:showPercent val="0"/>
          <c:showBubbleSize val="0"/>
        </c:dLbls>
        <c:marker val="1"/>
        <c:smooth val="0"/>
        <c:axId val="887523200"/>
        <c:axId val="887524736"/>
      </c:lineChart>
      <c:catAx>
        <c:axId val="887507200"/>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a:pPr>
            <a:endParaRPr lang="en-US"/>
          </a:p>
        </c:txPr>
        <c:crossAx val="887521280"/>
        <c:crosses val="autoZero"/>
        <c:auto val="1"/>
        <c:lblAlgn val="ctr"/>
        <c:lblOffset val="100"/>
        <c:tickLblSkip val="1"/>
        <c:tickMarkSkip val="1"/>
        <c:noMultiLvlLbl val="0"/>
      </c:catAx>
      <c:valAx>
        <c:axId val="887521280"/>
        <c:scaling>
          <c:orientation val="minMax"/>
        </c:scaling>
        <c:delete val="0"/>
        <c:axPos val="r"/>
        <c:title>
          <c:tx>
            <c:rich>
              <a:bodyPr rot="0" vert="horz"/>
              <a:lstStyle/>
              <a:p>
                <a:pPr algn="ctr" rtl="0">
                  <a:defRPr/>
                </a:pPr>
                <a:r>
                  <a:rPr lang="en-US"/>
                  <a:t>US$cents/lb</a:t>
                </a:r>
              </a:p>
            </c:rich>
          </c:tx>
          <c:layout>
            <c:manualLayout>
              <c:xMode val="edge"/>
              <c:yMode val="edge"/>
              <c:x val="9.3755229584887953E-2"/>
              <c:y val="3.4605991780481488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87507200"/>
        <c:crosses val="max"/>
        <c:crossBetween val="midCat"/>
      </c:valAx>
      <c:catAx>
        <c:axId val="887523200"/>
        <c:scaling>
          <c:orientation val="minMax"/>
        </c:scaling>
        <c:delete val="1"/>
        <c:axPos val="b"/>
        <c:majorTickMark val="out"/>
        <c:minorTickMark val="none"/>
        <c:tickLblPos val="nextTo"/>
        <c:crossAx val="887524736"/>
        <c:crossesAt val="0"/>
        <c:auto val="1"/>
        <c:lblAlgn val="ctr"/>
        <c:lblOffset val="100"/>
        <c:noMultiLvlLbl val="0"/>
      </c:catAx>
      <c:valAx>
        <c:axId val="887524736"/>
        <c:scaling>
          <c:orientation val="minMax"/>
          <c:max val="28"/>
          <c:min val="-14"/>
        </c:scaling>
        <c:delete val="0"/>
        <c:axPos val="l"/>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887523200"/>
        <c:crosses val="autoZero"/>
        <c:crossBetween val="midCat"/>
      </c:valAx>
      <c:spPr>
        <a:noFill/>
        <a:ln w="25400">
          <a:noFill/>
        </a:ln>
      </c:spPr>
    </c:plotArea>
    <c:legend>
      <c:legendPos val="r"/>
      <c:legendEntry>
        <c:idx val="1"/>
        <c:delete val="1"/>
      </c:legendEntry>
      <c:layout>
        <c:manualLayout>
          <c:xMode val="edge"/>
          <c:yMode val="edge"/>
          <c:x val="0.24887489063867016"/>
          <c:y val="0.649196916423183"/>
          <c:w val="0.63749291338582681"/>
          <c:h val="0.18728107099820071"/>
        </c:manualLayout>
      </c:layout>
      <c:overlay val="0"/>
      <c:spPr>
        <a:no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8593401631247"/>
          <c:y val="2.2927967337416158E-2"/>
          <c:w val="0.81621729336108184"/>
          <c:h val="0.84145426266161172"/>
        </c:manualLayout>
      </c:layout>
      <c:lineChart>
        <c:grouping val="standard"/>
        <c:varyColors val="0"/>
        <c:ser>
          <c:idx val="4"/>
          <c:order val="0"/>
          <c:tx>
            <c:strRef>
              <c:f>ChartSupport!$A$301</c:f>
              <c:strCache>
                <c:ptCount val="1"/>
                <c:pt idx="0">
                  <c:v>Total revenue</c:v>
                </c:pt>
              </c:strCache>
            </c:strRef>
          </c:tx>
          <c:spPr>
            <a:ln w="25400">
              <a:solidFill>
                <a:schemeClr val="accent1"/>
              </a:solidFill>
              <a:prstDash val="solid"/>
            </a:ln>
          </c:spPr>
          <c:marker>
            <c:symbol val="none"/>
          </c:marker>
          <c:cat>
            <c:strRef>
              <c:f>ChartSupport!$B$4:$W$4</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ChartSupport!$B$301:$W$301</c:f>
              <c:numCache>
                <c:formatCode>#,##0</c:formatCode>
                <c:ptCount val="22"/>
                <c:pt idx="0">
                  <c:v>518</c:v>
                </c:pt>
                <c:pt idx="1">
                  <c:v>648.19999999999993</c:v>
                </c:pt>
                <c:pt idx="2">
                  <c:v>808.02199999999993</c:v>
                </c:pt>
                <c:pt idx="3">
                  <c:v>826.53699999999992</c:v>
                </c:pt>
                <c:pt idx="4">
                  <c:v>712.42000000000007</c:v>
                </c:pt>
                <c:pt idx="5">
                  <c:v>774.44299999999998</c:v>
                </c:pt>
                <c:pt idx="6">
                  <c:v>1183.2859999999998</c:v>
                </c:pt>
                <c:pt idx="7">
                  <c:v>1295.0279999999998</c:v>
                </c:pt>
                <c:pt idx="8">
                  <c:v>1366.99</c:v>
                </c:pt>
                <c:pt idx="9">
                  <c:v>1635.9549999999999</c:v>
                </c:pt>
                <c:pt idx="10">
                  <c:v>1971.69</c:v>
                </c:pt>
                <c:pt idx="11">
                  <c:v>2325.1619999999998</c:v>
                </c:pt>
                <c:pt idx="12">
                  <c:v>2727.3789999999999</c:v>
                </c:pt>
                <c:pt idx="13">
                  <c:v>3002.8820000000001</c:v>
                </c:pt>
                <c:pt idx="14">
                  <c:v>3656.7611338954334</c:v>
                </c:pt>
                <c:pt idx="15">
                  <c:v>3782.0958344005958</c:v>
                </c:pt>
                <c:pt idx="16">
                  <c:v>4084.7849487160179</c:v>
                </c:pt>
                <c:pt idx="17">
                  <c:v>4701.0846333566287</c:v>
                </c:pt>
                <c:pt idx="18">
                  <c:v>5031.1990094477269</c:v>
                </c:pt>
                <c:pt idx="19">
                  <c:v>4788.1568893299891</c:v>
                </c:pt>
                <c:pt idx="20">
                  <c:v>4665.5521600540633</c:v>
                </c:pt>
                <c:pt idx="21">
                  <c:v>5221.0482727477665</c:v>
                </c:pt>
              </c:numCache>
            </c:numRef>
          </c:val>
          <c:smooth val="0"/>
        </c:ser>
        <c:ser>
          <c:idx val="9"/>
          <c:order val="1"/>
          <c:tx>
            <c:strRef>
              <c:f>ChartSupport!$A$305</c:f>
              <c:strCache>
                <c:ptCount val="1"/>
                <c:pt idx="0">
                  <c:v>Operating CF</c:v>
                </c:pt>
              </c:strCache>
            </c:strRef>
          </c:tx>
          <c:spPr>
            <a:ln w="25400">
              <a:solidFill>
                <a:schemeClr val="accent3"/>
              </a:solidFill>
              <a:prstDash val="solid"/>
            </a:ln>
          </c:spPr>
          <c:marker>
            <c:symbol val="none"/>
          </c:marker>
          <c:cat>
            <c:strRef>
              <c:f>ChartSupport!$B$4:$W$4</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ChartSupport!$B$305:$W$305</c:f>
              <c:numCache>
                <c:formatCode>#,##0</c:formatCode>
                <c:ptCount val="22"/>
                <c:pt idx="1">
                  <c:v>99.736999999999966</c:v>
                </c:pt>
                <c:pt idx="2">
                  <c:v>246.33299999999997</c:v>
                </c:pt>
                <c:pt idx="3">
                  <c:v>499.52099999999973</c:v>
                </c:pt>
                <c:pt idx="4">
                  <c:v>112.02500000000012</c:v>
                </c:pt>
                <c:pt idx="5">
                  <c:v>34.098999999999876</c:v>
                </c:pt>
                <c:pt idx="6">
                  <c:v>558.69499999999971</c:v>
                </c:pt>
                <c:pt idx="7">
                  <c:v>274.33179200000006</c:v>
                </c:pt>
                <c:pt idx="8">
                  <c:v>468.57283200000018</c:v>
                </c:pt>
                <c:pt idx="9">
                  <c:v>352.6637759999997</c:v>
                </c:pt>
                <c:pt idx="10">
                  <c:v>554.72020799999984</c:v>
                </c:pt>
                <c:pt idx="11">
                  <c:v>690.92073999999991</c:v>
                </c:pt>
                <c:pt idx="12">
                  <c:v>933.81365200000016</c:v>
                </c:pt>
                <c:pt idx="13">
                  <c:v>895.50100000000009</c:v>
                </c:pt>
                <c:pt idx="14">
                  <c:v>1462.7154812483714</c:v>
                </c:pt>
                <c:pt idx="15">
                  <c:v>1566.0753335003888</c:v>
                </c:pt>
                <c:pt idx="16">
                  <c:v>1764.9494537625233</c:v>
                </c:pt>
                <c:pt idx="17">
                  <c:v>2090.7103215652078</c:v>
                </c:pt>
                <c:pt idx="18">
                  <c:v>2266.896740735735</c:v>
                </c:pt>
                <c:pt idx="19">
                  <c:v>2064.0264030851886</c:v>
                </c:pt>
                <c:pt idx="20">
                  <c:v>1734.8443438208317</c:v>
                </c:pt>
                <c:pt idx="21">
                  <c:v>2042.5382694421899</c:v>
                </c:pt>
              </c:numCache>
            </c:numRef>
          </c:val>
          <c:smooth val="0"/>
        </c:ser>
        <c:dLbls>
          <c:showLegendKey val="0"/>
          <c:showVal val="0"/>
          <c:showCatName val="0"/>
          <c:showSerName val="0"/>
          <c:showPercent val="0"/>
          <c:showBubbleSize val="0"/>
        </c:dLbls>
        <c:marker val="1"/>
        <c:smooth val="0"/>
        <c:axId val="887641984"/>
        <c:axId val="887643520"/>
      </c:lineChart>
      <c:lineChart>
        <c:grouping val="standard"/>
        <c:varyColors val="0"/>
        <c:ser>
          <c:idx val="6"/>
          <c:order val="2"/>
          <c:tx>
            <c:strRef>
              <c:f>ChartSupport!$A$293</c:f>
              <c:strCache>
                <c:ptCount val="1"/>
                <c:pt idx="0">
                  <c:v>Sugar Nybot prices (US$ cents/lb)</c:v>
                </c:pt>
              </c:strCache>
            </c:strRef>
          </c:tx>
          <c:spPr>
            <a:ln w="15875">
              <a:solidFill>
                <a:srgbClr val="FF0000"/>
              </a:solidFill>
              <a:prstDash val="sysDash"/>
            </a:ln>
          </c:spPr>
          <c:marker>
            <c:symbol val="none"/>
          </c:marker>
          <c:cat>
            <c:strRef>
              <c:f>ChartSupport!$B$4:$W$4</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ChartSupport!$B$293:$W$293</c:f>
              <c:numCache>
                <c:formatCode>#,##0.0</c:formatCode>
                <c:ptCount val="22"/>
                <c:pt idx="0">
                  <c:v>#N/A</c:v>
                </c:pt>
                <c:pt idx="1">
                  <c:v>#N/A</c:v>
                </c:pt>
                <c:pt idx="2">
                  <c:v>13.545</c:v>
                </c:pt>
                <c:pt idx="3">
                  <c:v>10.401666666666666</c:v>
                </c:pt>
                <c:pt idx="4">
                  <c:v>12.4</c:v>
                </c:pt>
                <c:pt idx="5">
                  <c:v>18.787500000000001</c:v>
                </c:pt>
                <c:pt idx="6">
                  <c:v>23.440833333333334</c:v>
                </c:pt>
                <c:pt idx="7">
                  <c:v>25.258333333333336</c:v>
                </c:pt>
                <c:pt idx="8">
                  <c:v>20.410833333333333</c:v>
                </c:pt>
                <c:pt idx="9">
                  <c:v>17.066666666666666</c:v>
                </c:pt>
                <c:pt idx="10">
                  <c:v>15.978333333333333</c:v>
                </c:pt>
                <c:pt idx="11">
                  <c:v>13.149166666666668</c:v>
                </c:pt>
                <c:pt idx="12">
                  <c:v>19.252499999999998</c:v>
                </c:pt>
                <c:pt idx="13">
                  <c:v>17.805000000000003</c:v>
                </c:pt>
                <c:pt idx="14">
                  <c:v>16.244658605325153</c:v>
                </c:pt>
                <c:pt idx="15">
                  <c:v>16.31531880717511</c:v>
                </c:pt>
                <c:pt idx="16">
                  <c:v>16.498655235130911</c:v>
                </c:pt>
                <c:pt idx="17">
                  <c:v>19.747444770453257</c:v>
                </c:pt>
                <c:pt idx="18">
                  <c:v>20.93514679550681</c:v>
                </c:pt>
                <c:pt idx="19">
                  <c:v>17.432162450241776</c:v>
                </c:pt>
                <c:pt idx="20">
                  <c:v>15.017906650666538</c:v>
                </c:pt>
                <c:pt idx="21">
                  <c:v>17.055276269110166</c:v>
                </c:pt>
              </c:numCache>
            </c:numRef>
          </c:val>
          <c:smooth val="0"/>
        </c:ser>
        <c:dLbls>
          <c:showLegendKey val="0"/>
          <c:showVal val="0"/>
          <c:showCatName val="0"/>
          <c:showSerName val="0"/>
          <c:showPercent val="0"/>
          <c:showBubbleSize val="0"/>
        </c:dLbls>
        <c:marker val="1"/>
        <c:smooth val="0"/>
        <c:axId val="887653888"/>
        <c:axId val="887655424"/>
      </c:lineChart>
      <c:catAx>
        <c:axId val="887641984"/>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87643520"/>
        <c:crosses val="autoZero"/>
        <c:auto val="1"/>
        <c:lblAlgn val="ctr"/>
        <c:lblOffset val="100"/>
        <c:tickLblSkip val="1"/>
        <c:tickMarkSkip val="1"/>
        <c:noMultiLvlLbl val="0"/>
      </c:catAx>
      <c:valAx>
        <c:axId val="887643520"/>
        <c:scaling>
          <c:orientation val="minMax"/>
        </c:scaling>
        <c:delete val="0"/>
        <c:axPos val="l"/>
        <c:title>
          <c:tx>
            <c:rich>
              <a:bodyPr rot="0" vert="horz"/>
              <a:lstStyle/>
              <a:p>
                <a:pPr algn="ctr" rtl="0">
                  <a:defRPr sz="900"/>
                </a:pPr>
                <a:r>
                  <a:rPr lang="en-US" sz="900"/>
                  <a:t>R$ mn</a:t>
                </a:r>
              </a:p>
            </c:rich>
          </c:tx>
          <c:layout>
            <c:manualLayout>
              <c:xMode val="edge"/>
              <c:yMode val="edge"/>
              <c:x val="0.12667693659492738"/>
              <c:y val="1.4047672219187813E-2"/>
            </c:manualLayout>
          </c:layout>
          <c:overlay val="0"/>
        </c:title>
        <c:numFmt formatCode="#,##0" sourceLinked="1"/>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7641984"/>
        <c:crosses val="autoZero"/>
        <c:crossBetween val="midCat"/>
      </c:valAx>
      <c:catAx>
        <c:axId val="887653888"/>
        <c:scaling>
          <c:orientation val="minMax"/>
        </c:scaling>
        <c:delete val="1"/>
        <c:axPos val="b"/>
        <c:majorTickMark val="out"/>
        <c:minorTickMark val="none"/>
        <c:tickLblPos val="nextTo"/>
        <c:crossAx val="887655424"/>
        <c:crosses val="autoZero"/>
        <c:auto val="1"/>
        <c:lblAlgn val="ctr"/>
        <c:lblOffset val="100"/>
        <c:noMultiLvlLbl val="0"/>
      </c:catAx>
      <c:valAx>
        <c:axId val="887655424"/>
        <c:scaling>
          <c:orientation val="minMax"/>
        </c:scaling>
        <c:delete val="0"/>
        <c:axPos val="r"/>
        <c:title>
          <c:tx>
            <c:rich>
              <a:bodyPr rot="0" vert="horz"/>
              <a:lstStyle/>
              <a:p>
                <a:pPr algn="ctr" rtl="0">
                  <a:defRPr sz="900"/>
                </a:pPr>
                <a:r>
                  <a:rPr lang="en-US" sz="900"/>
                  <a:t>US$ cents/lb</a:t>
                </a:r>
              </a:p>
            </c:rich>
          </c:tx>
          <c:layout>
            <c:manualLayout>
              <c:xMode val="edge"/>
              <c:yMode val="edge"/>
              <c:x val="0.77927323829425321"/>
              <c:y val="9.540901300371574E-3"/>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7653888"/>
        <c:crosses val="max"/>
        <c:crossBetween val="between"/>
      </c:valAx>
      <c:spPr>
        <a:noFill/>
        <a:ln w="25400">
          <a:noFill/>
        </a:ln>
      </c:spPr>
    </c:plotArea>
    <c:legend>
      <c:legendPos val="r"/>
      <c:layout>
        <c:manualLayout>
          <c:xMode val="edge"/>
          <c:yMode val="edge"/>
          <c:x val="0.24376372308300173"/>
          <c:y val="2.4589287450179839E-2"/>
          <c:w val="0.61627145279118623"/>
          <c:h val="0.13478745063409131"/>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081095704570978"/>
          <c:y val="4.7619195248001144E-2"/>
          <c:w val="0.81891999963048934"/>
          <c:h val="0.7913442419611314"/>
        </c:manualLayout>
      </c:layout>
      <c:lineChart>
        <c:grouping val="standard"/>
        <c:varyColors val="0"/>
        <c:ser>
          <c:idx val="4"/>
          <c:order val="0"/>
          <c:tx>
            <c:strRef>
              <c:f>ChartSupport!$A$311</c:f>
              <c:strCache>
                <c:ptCount val="1"/>
                <c:pt idx="0">
                  <c:v>Gross Margin </c:v>
                </c:pt>
              </c:strCache>
            </c:strRef>
          </c:tx>
          <c:spPr>
            <a:ln w="25400">
              <a:solidFill>
                <a:schemeClr val="accent1"/>
              </a:solidFill>
              <a:prstDash val="solid"/>
            </a:ln>
          </c:spPr>
          <c:marker>
            <c:symbol val="none"/>
          </c:marker>
          <c:cat>
            <c:strRef>
              <c:f>ChartSupport!$B$4:$W$4</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ChartSupport!$B$311:$W$311</c:f>
              <c:numCache>
                <c:formatCode>0%</c:formatCode>
                <c:ptCount val="22"/>
                <c:pt idx="0">
                  <c:v>0.42901930501930496</c:v>
                </c:pt>
                <c:pt idx="1">
                  <c:v>0.45188213514347425</c:v>
                </c:pt>
                <c:pt idx="2">
                  <c:v>0.53905339211061087</c:v>
                </c:pt>
                <c:pt idx="3">
                  <c:v>0.64128284638195254</c:v>
                </c:pt>
                <c:pt idx="4">
                  <c:v>0.39309817242637779</c:v>
                </c:pt>
                <c:pt idx="5">
                  <c:v>0.43890641402917963</c:v>
                </c:pt>
                <c:pt idx="6">
                  <c:v>0.46948328637370834</c:v>
                </c:pt>
                <c:pt idx="7">
                  <c:v>0.56345808739270486</c:v>
                </c:pt>
                <c:pt idx="8">
                  <c:v>0.53268787628292824</c:v>
                </c:pt>
                <c:pt idx="9">
                  <c:v>0.52275887784199437</c:v>
                </c:pt>
                <c:pt idx="10">
                  <c:v>0.49640511439425056</c:v>
                </c:pt>
                <c:pt idx="11">
                  <c:v>0.55098741507043369</c:v>
                </c:pt>
                <c:pt idx="12">
                  <c:v>0.54622368215051886</c:v>
                </c:pt>
                <c:pt idx="13">
                  <c:v>0.5217521034792576</c:v>
                </c:pt>
                <c:pt idx="14">
                  <c:v>0.56041021645547784</c:v>
                </c:pt>
                <c:pt idx="15">
                  <c:v>0.55246694900654114</c:v>
                </c:pt>
                <c:pt idx="16">
                  <c:v>0.55795395334408959</c:v>
                </c:pt>
                <c:pt idx="17">
                  <c:v>0.56238646826180971</c:v>
                </c:pt>
                <c:pt idx="18">
                  <c:v>0.56083064606104605</c:v>
                </c:pt>
                <c:pt idx="19">
                  <c:v>0.54505166187927745</c:v>
                </c:pt>
                <c:pt idx="20">
                  <c:v>0.5344833642692528</c:v>
                </c:pt>
                <c:pt idx="21">
                  <c:v>0.58967040581556651</c:v>
                </c:pt>
              </c:numCache>
            </c:numRef>
          </c:val>
          <c:smooth val="0"/>
        </c:ser>
        <c:ser>
          <c:idx val="9"/>
          <c:order val="1"/>
          <c:tx>
            <c:strRef>
              <c:f>ChartSupport!$A$312</c:f>
              <c:strCache>
                <c:ptCount val="1"/>
                <c:pt idx="0">
                  <c:v>EBIT margin</c:v>
                </c:pt>
              </c:strCache>
            </c:strRef>
          </c:tx>
          <c:spPr>
            <a:ln w="25400">
              <a:solidFill>
                <a:schemeClr val="accent3"/>
              </a:solidFill>
              <a:prstDash val="solid"/>
            </a:ln>
          </c:spPr>
          <c:marker>
            <c:symbol val="none"/>
          </c:marker>
          <c:cat>
            <c:strRef>
              <c:f>ChartSupport!$B$4:$W$4</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ChartSupport!$B$312:$W$312</c:f>
              <c:numCache>
                <c:formatCode>0.0%</c:formatCode>
                <c:ptCount val="22"/>
                <c:pt idx="0">
                  <c:v>4.1567567567567479E-2</c:v>
                </c:pt>
                <c:pt idx="1">
                  <c:v>0.13191916075285401</c:v>
                </c:pt>
                <c:pt idx="2">
                  <c:v>0.29069876810284867</c:v>
                </c:pt>
                <c:pt idx="3">
                  <c:v>0.3029338069560103</c:v>
                </c:pt>
                <c:pt idx="4">
                  <c:v>-8.8207798770388132E-2</c:v>
                </c:pt>
                <c:pt idx="5">
                  <c:v>5.2519036262190948E-2</c:v>
                </c:pt>
                <c:pt idx="6">
                  <c:v>0.10505152600470202</c:v>
                </c:pt>
                <c:pt idx="7">
                  <c:v>0.18205706749197692</c:v>
                </c:pt>
                <c:pt idx="8">
                  <c:v>0.16899026327917552</c:v>
                </c:pt>
                <c:pt idx="9">
                  <c:v>0.12152534757985384</c:v>
                </c:pt>
                <c:pt idx="10">
                  <c:v>0.15363368480846382</c:v>
                </c:pt>
                <c:pt idx="11">
                  <c:v>0.22909629522588093</c:v>
                </c:pt>
                <c:pt idx="12">
                  <c:v>0.1877454508522651</c:v>
                </c:pt>
                <c:pt idx="13">
                  <c:v>0.23526965095531563</c:v>
                </c:pt>
                <c:pt idx="14">
                  <c:v>0.22478883880160416</c:v>
                </c:pt>
                <c:pt idx="15">
                  <c:v>0.21443445977918613</c:v>
                </c:pt>
                <c:pt idx="16">
                  <c:v>0.22186954792198774</c:v>
                </c:pt>
                <c:pt idx="17">
                  <c:v>0.23271325364125833</c:v>
                </c:pt>
                <c:pt idx="18">
                  <c:v>0.23230905309093788</c:v>
                </c:pt>
                <c:pt idx="19">
                  <c:v>0.20880229259788669</c:v>
                </c:pt>
                <c:pt idx="20">
                  <c:v>0.19174431709373665</c:v>
                </c:pt>
                <c:pt idx="21">
                  <c:v>0.25200605188534425</c:v>
                </c:pt>
              </c:numCache>
            </c:numRef>
          </c:val>
          <c:smooth val="0"/>
        </c:ser>
        <c:dLbls>
          <c:showLegendKey val="0"/>
          <c:showVal val="0"/>
          <c:showCatName val="0"/>
          <c:showSerName val="0"/>
          <c:showPercent val="0"/>
          <c:showBubbleSize val="0"/>
        </c:dLbls>
        <c:marker val="1"/>
        <c:smooth val="0"/>
        <c:axId val="887561216"/>
        <c:axId val="887575296"/>
      </c:lineChart>
      <c:lineChart>
        <c:grouping val="standard"/>
        <c:varyColors val="0"/>
        <c:ser>
          <c:idx val="6"/>
          <c:order val="2"/>
          <c:tx>
            <c:strRef>
              <c:f>ChartSupport!$A$293</c:f>
              <c:strCache>
                <c:ptCount val="1"/>
                <c:pt idx="0">
                  <c:v>Sugar Nybot prices (US$ cents/lb)</c:v>
                </c:pt>
              </c:strCache>
            </c:strRef>
          </c:tx>
          <c:spPr>
            <a:ln w="15875">
              <a:solidFill>
                <a:srgbClr val="FF0000"/>
              </a:solidFill>
              <a:prstDash val="sysDash"/>
            </a:ln>
          </c:spPr>
          <c:marker>
            <c:symbol val="none"/>
          </c:marker>
          <c:cat>
            <c:strRef>
              <c:f>ChartSupport!$B$4:$W$4</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ChartSupport!$B$293:$W$293</c:f>
              <c:numCache>
                <c:formatCode>#,##0.0</c:formatCode>
                <c:ptCount val="22"/>
                <c:pt idx="0">
                  <c:v>#N/A</c:v>
                </c:pt>
                <c:pt idx="1">
                  <c:v>#N/A</c:v>
                </c:pt>
                <c:pt idx="2">
                  <c:v>13.545</c:v>
                </c:pt>
                <c:pt idx="3">
                  <c:v>10.401666666666666</c:v>
                </c:pt>
                <c:pt idx="4">
                  <c:v>12.4</c:v>
                </c:pt>
                <c:pt idx="5">
                  <c:v>18.787500000000001</c:v>
                </c:pt>
                <c:pt idx="6">
                  <c:v>23.440833333333334</c:v>
                </c:pt>
                <c:pt idx="7">
                  <c:v>25.258333333333336</c:v>
                </c:pt>
                <c:pt idx="8">
                  <c:v>20.410833333333333</c:v>
                </c:pt>
                <c:pt idx="9">
                  <c:v>17.066666666666666</c:v>
                </c:pt>
                <c:pt idx="10">
                  <c:v>15.978333333333333</c:v>
                </c:pt>
                <c:pt idx="11">
                  <c:v>13.149166666666668</c:v>
                </c:pt>
                <c:pt idx="12">
                  <c:v>19.252499999999998</c:v>
                </c:pt>
                <c:pt idx="13">
                  <c:v>17.805000000000003</c:v>
                </c:pt>
                <c:pt idx="14">
                  <c:v>16.244658605325153</c:v>
                </c:pt>
                <c:pt idx="15">
                  <c:v>16.31531880717511</c:v>
                </c:pt>
                <c:pt idx="16">
                  <c:v>16.498655235130911</c:v>
                </c:pt>
                <c:pt idx="17">
                  <c:v>19.747444770453257</c:v>
                </c:pt>
                <c:pt idx="18">
                  <c:v>20.93514679550681</c:v>
                </c:pt>
                <c:pt idx="19">
                  <c:v>17.432162450241776</c:v>
                </c:pt>
                <c:pt idx="20">
                  <c:v>15.017906650666538</c:v>
                </c:pt>
                <c:pt idx="21">
                  <c:v>17.055276269110166</c:v>
                </c:pt>
              </c:numCache>
            </c:numRef>
          </c:val>
          <c:smooth val="0"/>
        </c:ser>
        <c:ser>
          <c:idx val="0"/>
          <c:order val="3"/>
          <c:tx>
            <c:v>Zero Line</c:v>
          </c:tx>
          <c:spPr>
            <a:ln w="9525">
              <a:solidFill>
                <a:schemeClr val="bg1">
                  <a:lumMod val="50000"/>
                </a:schemeClr>
              </a:solidFill>
            </a:ln>
          </c:spPr>
          <c:marker>
            <c:symbol val="none"/>
          </c:marker>
          <c:cat>
            <c:strRef>
              <c:f>ChartSupport!$B$4:$W$4</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ChartSupport!$B$421:$W$421</c:f>
              <c:numCache>
                <c:formatCode>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mooth val="0"/>
        </c:ser>
        <c:dLbls>
          <c:showLegendKey val="0"/>
          <c:showVal val="0"/>
          <c:showCatName val="0"/>
          <c:showSerName val="0"/>
          <c:showPercent val="0"/>
          <c:showBubbleSize val="0"/>
        </c:dLbls>
        <c:marker val="1"/>
        <c:smooth val="0"/>
        <c:axId val="887576832"/>
        <c:axId val="887582720"/>
      </c:lineChart>
      <c:catAx>
        <c:axId val="887561216"/>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87575296"/>
        <c:crossesAt val="-0.2"/>
        <c:auto val="1"/>
        <c:lblAlgn val="ctr"/>
        <c:lblOffset val="100"/>
        <c:tickLblSkip val="1"/>
        <c:tickMarkSkip val="1"/>
        <c:noMultiLvlLbl val="0"/>
      </c:catAx>
      <c:valAx>
        <c:axId val="887575296"/>
        <c:scaling>
          <c:orientation val="minMax"/>
        </c:scaling>
        <c:delete val="0"/>
        <c:axPos val="l"/>
        <c:numFmt formatCode="0%" sourceLinked="1"/>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7561216"/>
        <c:crosses val="autoZero"/>
        <c:crossBetween val="midCat"/>
      </c:valAx>
      <c:catAx>
        <c:axId val="887576832"/>
        <c:scaling>
          <c:orientation val="minMax"/>
        </c:scaling>
        <c:delete val="1"/>
        <c:axPos val="b"/>
        <c:numFmt formatCode="General" sourceLinked="1"/>
        <c:majorTickMark val="out"/>
        <c:minorTickMark val="none"/>
        <c:tickLblPos val="nextTo"/>
        <c:crossAx val="887582720"/>
        <c:crossesAt val="0"/>
        <c:auto val="1"/>
        <c:lblAlgn val="ctr"/>
        <c:lblOffset val="100"/>
        <c:noMultiLvlLbl val="0"/>
      </c:catAx>
      <c:valAx>
        <c:axId val="887582720"/>
        <c:scaling>
          <c:orientation val="minMax"/>
          <c:min val="-8.6999999999999993"/>
        </c:scaling>
        <c:delete val="0"/>
        <c:axPos val="r"/>
        <c:title>
          <c:tx>
            <c:rich>
              <a:bodyPr rot="0" vert="horz"/>
              <a:lstStyle/>
              <a:p>
                <a:pPr marL="0" marR="0" indent="0" algn="ctr" defTabSz="914400" rtl="0" eaLnBrk="1" fontAlgn="auto" latinLnBrk="0" hangingPunct="1">
                  <a:lnSpc>
                    <a:spcPct val="100000"/>
                  </a:lnSpc>
                  <a:spcBef>
                    <a:spcPts val="0"/>
                  </a:spcBef>
                  <a:spcAft>
                    <a:spcPts val="0"/>
                  </a:spcAft>
                  <a:buClrTx/>
                  <a:buSzTx/>
                  <a:buFontTx/>
                  <a:buNone/>
                  <a:tabLst/>
                  <a:defRPr sz="900" b="0" i="0" u="none" strike="noStrike" kern="1200" baseline="0">
                    <a:solidFill>
                      <a:srgbClr val="808080"/>
                    </a:solidFill>
                    <a:latin typeface="Arial"/>
                    <a:ea typeface="Arial"/>
                    <a:cs typeface="Arial"/>
                  </a:defRPr>
                </a:pPr>
                <a:r>
                  <a:rPr lang="en-US" sz="900" b="0" i="0" baseline="0">
                    <a:effectLst/>
                  </a:rPr>
                  <a:t>US$ cents/lb</a:t>
                </a:r>
                <a:endParaRPr lang="en-US" sz="900">
                  <a:effectLst/>
                </a:endParaRPr>
              </a:p>
              <a:p>
                <a:pPr marL="0" marR="0" indent="0" algn="ctr" defTabSz="914400" rtl="0" eaLnBrk="1" fontAlgn="auto" latinLnBrk="0" hangingPunct="1">
                  <a:lnSpc>
                    <a:spcPct val="100000"/>
                  </a:lnSpc>
                  <a:spcBef>
                    <a:spcPts val="0"/>
                  </a:spcBef>
                  <a:spcAft>
                    <a:spcPts val="0"/>
                  </a:spcAft>
                  <a:buClrTx/>
                  <a:buSzTx/>
                  <a:buFontTx/>
                  <a:buNone/>
                  <a:tabLst/>
                  <a:defRPr sz="900" b="0" i="0" u="none" strike="noStrike" kern="1200" baseline="0">
                    <a:solidFill>
                      <a:srgbClr val="808080"/>
                    </a:solidFill>
                    <a:latin typeface="Arial"/>
                    <a:ea typeface="Arial"/>
                    <a:cs typeface="Arial"/>
                  </a:defRPr>
                </a:pPr>
                <a:endParaRPr lang="en-US" sz="900"/>
              </a:p>
            </c:rich>
          </c:tx>
          <c:layout>
            <c:manualLayout>
              <c:xMode val="edge"/>
              <c:yMode val="edge"/>
              <c:x val="0.78355009831432576"/>
              <c:y val="1.3694866048005854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7576832"/>
        <c:crosses val="max"/>
        <c:crossBetween val="between"/>
      </c:valAx>
      <c:spPr>
        <a:noFill/>
        <a:ln w="25400">
          <a:noFill/>
        </a:ln>
      </c:spPr>
    </c:plotArea>
    <c:legend>
      <c:legendPos val="r"/>
      <c:legendEntry>
        <c:idx val="3"/>
        <c:delete val="1"/>
      </c:legendEntry>
      <c:layout>
        <c:manualLayout>
          <c:xMode val="edge"/>
          <c:yMode val="edge"/>
          <c:x val="0.27324083942615679"/>
          <c:y val="0.67240297252127634"/>
          <c:w val="0.61535997516439478"/>
          <c:h val="0.15956093451281553"/>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000013196807957"/>
          <c:y val="4.7619195248001144E-2"/>
          <c:w val="0.82973082470811965"/>
          <c:h val="0.77778201660911594"/>
        </c:manualLayout>
      </c:layout>
      <c:lineChart>
        <c:grouping val="standard"/>
        <c:varyColors val="0"/>
        <c:ser>
          <c:idx val="4"/>
          <c:order val="0"/>
          <c:tx>
            <c:strRef>
              <c:f>ChartSupport!$A$314</c:f>
              <c:strCache>
                <c:ptCount val="1"/>
                <c:pt idx="0">
                  <c:v>ROE</c:v>
                </c:pt>
              </c:strCache>
            </c:strRef>
          </c:tx>
          <c:spPr>
            <a:ln w="25400">
              <a:solidFill>
                <a:schemeClr val="accent1"/>
              </a:solidFill>
              <a:prstDash val="solid"/>
            </a:ln>
          </c:spPr>
          <c:marker>
            <c:symbol val="none"/>
          </c:marker>
          <c:cat>
            <c:strRef>
              <c:f>ChartSupport!$B$4:$W$4</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ChartSupport!$B$314:$W$314</c:f>
              <c:numCache>
                <c:formatCode>0%</c:formatCode>
                <c:ptCount val="22"/>
                <c:pt idx="0" formatCode="#,##0.0">
                  <c:v>#N/A</c:v>
                </c:pt>
                <c:pt idx="1">
                  <c:v>4.0399902683557441E-2</c:v>
                </c:pt>
                <c:pt idx="2">
                  <c:v>0.18952681471194455</c:v>
                </c:pt>
                <c:pt idx="3">
                  <c:v>0.21236795516004561</c:v>
                </c:pt>
                <c:pt idx="4">
                  <c:v>-2.9059771030873208E-2</c:v>
                </c:pt>
                <c:pt idx="5">
                  <c:v>-4.4029746500411762E-2</c:v>
                </c:pt>
                <c:pt idx="6">
                  <c:v>6.1547189609424513E-2</c:v>
                </c:pt>
                <c:pt idx="7">
                  <c:v>7.4521666856081262E-2</c:v>
                </c:pt>
                <c:pt idx="8">
                  <c:v>6.4814843254876381E-2</c:v>
                </c:pt>
                <c:pt idx="9">
                  <c:v>3.6028534401694109E-2</c:v>
                </c:pt>
                <c:pt idx="10">
                  <c:v>6.4267784179600579E-2</c:v>
                </c:pt>
                <c:pt idx="11">
                  <c:v>0.15281567203865967</c:v>
                </c:pt>
                <c:pt idx="12">
                  <c:v>7.6233761517687681E-2</c:v>
                </c:pt>
                <c:pt idx="13">
                  <c:v>0.10726529199572134</c:v>
                </c:pt>
                <c:pt idx="14">
                  <c:v>0.1536152599865698</c:v>
                </c:pt>
                <c:pt idx="15">
                  <c:v>0.16796228854269005</c:v>
                </c:pt>
                <c:pt idx="16">
                  <c:v>0.18327249842198215</c:v>
                </c:pt>
                <c:pt idx="17">
                  <c:v>0.20764017164641008</c:v>
                </c:pt>
                <c:pt idx="18">
                  <c:v>0.20741899524148216</c:v>
                </c:pt>
                <c:pt idx="19">
                  <c:v>0.16145871555437435</c:v>
                </c:pt>
                <c:pt idx="20">
                  <c:v>0.13558882832496355</c:v>
                </c:pt>
                <c:pt idx="21">
                  <c:v>0.17722014303754671</c:v>
                </c:pt>
              </c:numCache>
            </c:numRef>
          </c:val>
          <c:smooth val="0"/>
        </c:ser>
        <c:ser>
          <c:idx val="9"/>
          <c:order val="1"/>
          <c:tx>
            <c:strRef>
              <c:f>ChartSupport!$A$315</c:f>
              <c:strCache>
                <c:ptCount val="1"/>
                <c:pt idx="0">
                  <c:v>ROCE</c:v>
                </c:pt>
              </c:strCache>
            </c:strRef>
          </c:tx>
          <c:spPr>
            <a:ln w="25400">
              <a:solidFill>
                <a:schemeClr val="accent3"/>
              </a:solidFill>
              <a:prstDash val="solid"/>
            </a:ln>
          </c:spPr>
          <c:marker>
            <c:symbol val="none"/>
          </c:marker>
          <c:cat>
            <c:strRef>
              <c:f>ChartSupport!$B$4:$W$4</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ChartSupport!$B$315:$W$315</c:f>
              <c:numCache>
                <c:formatCode>0%</c:formatCode>
                <c:ptCount val="22"/>
                <c:pt idx="0" formatCode="#,##0.0">
                  <c:v>#N/A</c:v>
                </c:pt>
                <c:pt idx="1">
                  <c:v>4.9597239822901505E-2</c:v>
                </c:pt>
                <c:pt idx="2">
                  <c:v>0.13414572857799245</c:v>
                </c:pt>
                <c:pt idx="3">
                  <c:v>0.10421085489537274</c:v>
                </c:pt>
                <c:pt idx="4">
                  <c:v>0</c:v>
                </c:pt>
                <c:pt idx="5">
                  <c:v>1.089235211389904E-2</c:v>
                </c:pt>
                <c:pt idx="6">
                  <c:v>2.9418368219598305E-2</c:v>
                </c:pt>
                <c:pt idx="7">
                  <c:v>5.6018699835137992E-2</c:v>
                </c:pt>
                <c:pt idx="8">
                  <c:v>5.1141831150253898E-2</c:v>
                </c:pt>
                <c:pt idx="9">
                  <c:v>3.5685402364574716E-2</c:v>
                </c:pt>
                <c:pt idx="10">
                  <c:v>4.7785048179808179E-2</c:v>
                </c:pt>
                <c:pt idx="11">
                  <c:v>6.6871600763110439E-2</c:v>
                </c:pt>
                <c:pt idx="12">
                  <c:v>5.3213869602196151E-2</c:v>
                </c:pt>
                <c:pt idx="13">
                  <c:v>6.8597832675230827E-2</c:v>
                </c:pt>
                <c:pt idx="14">
                  <c:v>7.7162616768305353E-2</c:v>
                </c:pt>
                <c:pt idx="15">
                  <c:v>7.5577160545731756E-2</c:v>
                </c:pt>
                <c:pt idx="16">
                  <c:v>8.1633133523451515E-2</c:v>
                </c:pt>
                <c:pt idx="17">
                  <c:v>9.5628853366744565E-2</c:v>
                </c:pt>
                <c:pt idx="18">
                  <c:v>9.8886206931128137E-2</c:v>
                </c:pt>
                <c:pt idx="19">
                  <c:v>8.3211253622587397E-2</c:v>
                </c:pt>
                <c:pt idx="20">
                  <c:v>7.4456733680659207E-2</c:v>
                </c:pt>
                <c:pt idx="21">
                  <c:v>0.10950831815951925</c:v>
                </c:pt>
              </c:numCache>
            </c:numRef>
          </c:val>
          <c:smooth val="0"/>
        </c:ser>
        <c:dLbls>
          <c:showLegendKey val="0"/>
          <c:showVal val="0"/>
          <c:showCatName val="0"/>
          <c:showSerName val="0"/>
          <c:showPercent val="0"/>
          <c:showBubbleSize val="0"/>
        </c:dLbls>
        <c:marker val="1"/>
        <c:smooth val="0"/>
        <c:axId val="887697408"/>
        <c:axId val="887698944"/>
      </c:lineChart>
      <c:lineChart>
        <c:grouping val="standard"/>
        <c:varyColors val="0"/>
        <c:ser>
          <c:idx val="6"/>
          <c:order val="2"/>
          <c:tx>
            <c:strRef>
              <c:f>ChartSupport!$A$293</c:f>
              <c:strCache>
                <c:ptCount val="1"/>
                <c:pt idx="0">
                  <c:v>Sugar Nybot prices (US$ cents/lb)</c:v>
                </c:pt>
              </c:strCache>
            </c:strRef>
          </c:tx>
          <c:spPr>
            <a:ln w="15875">
              <a:solidFill>
                <a:srgbClr val="FF0000"/>
              </a:solidFill>
              <a:prstDash val="sysDash"/>
            </a:ln>
          </c:spPr>
          <c:marker>
            <c:symbol val="none"/>
          </c:marker>
          <c:cat>
            <c:strRef>
              <c:f>ChartSupport!$B$4:$W$4</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ChartSupport!$B$293:$W$293</c:f>
              <c:numCache>
                <c:formatCode>#,##0.0</c:formatCode>
                <c:ptCount val="22"/>
                <c:pt idx="0">
                  <c:v>#N/A</c:v>
                </c:pt>
                <c:pt idx="1">
                  <c:v>#N/A</c:v>
                </c:pt>
                <c:pt idx="2">
                  <c:v>13.545</c:v>
                </c:pt>
                <c:pt idx="3">
                  <c:v>10.401666666666666</c:v>
                </c:pt>
                <c:pt idx="4">
                  <c:v>12.4</c:v>
                </c:pt>
                <c:pt idx="5">
                  <c:v>18.787500000000001</c:v>
                </c:pt>
                <c:pt idx="6">
                  <c:v>23.440833333333334</c:v>
                </c:pt>
                <c:pt idx="7">
                  <c:v>25.258333333333336</c:v>
                </c:pt>
                <c:pt idx="8">
                  <c:v>20.410833333333333</c:v>
                </c:pt>
                <c:pt idx="9">
                  <c:v>17.066666666666666</c:v>
                </c:pt>
                <c:pt idx="10">
                  <c:v>15.978333333333333</c:v>
                </c:pt>
                <c:pt idx="11">
                  <c:v>13.149166666666668</c:v>
                </c:pt>
                <c:pt idx="12">
                  <c:v>19.252499999999998</c:v>
                </c:pt>
                <c:pt idx="13">
                  <c:v>17.805000000000003</c:v>
                </c:pt>
                <c:pt idx="14">
                  <c:v>16.244658605325153</c:v>
                </c:pt>
                <c:pt idx="15">
                  <c:v>16.31531880717511</c:v>
                </c:pt>
                <c:pt idx="16">
                  <c:v>16.498655235130911</c:v>
                </c:pt>
                <c:pt idx="17">
                  <c:v>19.747444770453257</c:v>
                </c:pt>
                <c:pt idx="18">
                  <c:v>20.93514679550681</c:v>
                </c:pt>
                <c:pt idx="19">
                  <c:v>17.432162450241776</c:v>
                </c:pt>
                <c:pt idx="20">
                  <c:v>15.017906650666538</c:v>
                </c:pt>
                <c:pt idx="21">
                  <c:v>17.055276269110166</c:v>
                </c:pt>
              </c:numCache>
            </c:numRef>
          </c:val>
          <c:smooth val="0"/>
        </c:ser>
        <c:ser>
          <c:idx val="0"/>
          <c:order val="3"/>
          <c:tx>
            <c:v>Zero Line</c:v>
          </c:tx>
          <c:spPr>
            <a:ln w="12700">
              <a:solidFill>
                <a:schemeClr val="bg1">
                  <a:lumMod val="50000"/>
                </a:schemeClr>
              </a:solidFill>
            </a:ln>
          </c:spPr>
          <c:marker>
            <c:symbol val="none"/>
          </c:marker>
          <c:cat>
            <c:strRef>
              <c:f>ChartSupport!$B$4:$W$4</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ChartSupport!$B$421:$W$421</c:f>
              <c:numCache>
                <c:formatCode>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mooth val="0"/>
        </c:ser>
        <c:dLbls>
          <c:showLegendKey val="0"/>
          <c:showVal val="0"/>
          <c:showCatName val="0"/>
          <c:showSerName val="0"/>
          <c:showPercent val="0"/>
          <c:showBubbleSize val="0"/>
        </c:dLbls>
        <c:marker val="1"/>
        <c:smooth val="0"/>
        <c:axId val="887700480"/>
        <c:axId val="887710464"/>
      </c:lineChart>
      <c:catAx>
        <c:axId val="887697408"/>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87698944"/>
        <c:crossesAt val="-0.1"/>
        <c:auto val="1"/>
        <c:lblAlgn val="ctr"/>
        <c:lblOffset val="100"/>
        <c:tickLblSkip val="1"/>
        <c:tickMarkSkip val="1"/>
        <c:noMultiLvlLbl val="0"/>
      </c:catAx>
      <c:valAx>
        <c:axId val="887698944"/>
        <c:scaling>
          <c:orientation val="minMax"/>
        </c:scaling>
        <c:delete val="0"/>
        <c:axPos val="l"/>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7697408"/>
        <c:crosses val="autoZero"/>
        <c:crossBetween val="midCat"/>
      </c:valAx>
      <c:catAx>
        <c:axId val="887700480"/>
        <c:scaling>
          <c:orientation val="minMax"/>
        </c:scaling>
        <c:delete val="1"/>
        <c:axPos val="b"/>
        <c:majorTickMark val="out"/>
        <c:minorTickMark val="none"/>
        <c:tickLblPos val="nextTo"/>
        <c:crossAx val="887710464"/>
        <c:crosses val="autoZero"/>
        <c:auto val="1"/>
        <c:lblAlgn val="ctr"/>
        <c:lblOffset val="100"/>
        <c:noMultiLvlLbl val="0"/>
      </c:catAx>
      <c:valAx>
        <c:axId val="887710464"/>
        <c:scaling>
          <c:orientation val="minMax"/>
          <c:min val="-9"/>
        </c:scaling>
        <c:delete val="0"/>
        <c:axPos val="r"/>
        <c:title>
          <c:tx>
            <c:rich>
              <a:bodyPr rot="0" vert="horz"/>
              <a:lstStyle/>
              <a:p>
                <a:pPr algn="ctr" rtl="0">
                  <a:defRPr sz="900"/>
                </a:pPr>
                <a:r>
                  <a:rPr lang="en-US" sz="900" b="0" i="0" baseline="0">
                    <a:solidFill>
                      <a:schemeClr val="bg1">
                        <a:lumMod val="50000"/>
                      </a:schemeClr>
                    </a:solidFill>
                    <a:effectLst/>
                  </a:rPr>
                  <a:t>US$ cents/lb</a:t>
                </a:r>
                <a:endParaRPr lang="en-US" sz="900">
                  <a:solidFill>
                    <a:schemeClr val="bg1">
                      <a:lumMod val="50000"/>
                    </a:schemeClr>
                  </a:solidFill>
                  <a:effectLst/>
                </a:endParaRPr>
              </a:p>
            </c:rich>
          </c:tx>
          <c:layout>
            <c:manualLayout>
              <c:xMode val="edge"/>
              <c:yMode val="edge"/>
              <c:x val="0.78354756189772434"/>
              <c:y val="1.4047672219187813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7700480"/>
        <c:crosses val="max"/>
        <c:crossBetween val="between"/>
        <c:majorUnit val="5"/>
      </c:valAx>
      <c:spPr>
        <a:noFill/>
        <a:ln w="25400">
          <a:noFill/>
        </a:ln>
      </c:spPr>
    </c:plotArea>
    <c:legend>
      <c:legendPos val="r"/>
      <c:legendEntry>
        <c:idx val="3"/>
        <c:delete val="1"/>
      </c:legendEntry>
      <c:layout>
        <c:manualLayout>
          <c:xMode val="edge"/>
          <c:yMode val="edge"/>
          <c:x val="0.29817768746648604"/>
          <c:y val="0.67094261365477459"/>
          <c:w val="0.62848231490712747"/>
          <c:h val="0.14422566346589077"/>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90636783609596"/>
          <c:y val="4.7619047619047616E-2"/>
          <c:w val="0.81621729336108184"/>
          <c:h val="0.8127009322325528"/>
        </c:manualLayout>
      </c:layout>
      <c:lineChart>
        <c:grouping val="standard"/>
        <c:varyColors val="0"/>
        <c:ser>
          <c:idx val="4"/>
          <c:order val="0"/>
          <c:tx>
            <c:strRef>
              <c:f>ChartSupport!$A$305</c:f>
              <c:strCache>
                <c:ptCount val="1"/>
                <c:pt idx="0">
                  <c:v>Operating CF</c:v>
                </c:pt>
              </c:strCache>
            </c:strRef>
          </c:tx>
          <c:spPr>
            <a:ln w="25400">
              <a:solidFill>
                <a:schemeClr val="accent1"/>
              </a:solidFill>
              <a:prstDash val="solid"/>
            </a:ln>
          </c:spPr>
          <c:marker>
            <c:symbol val="none"/>
          </c:marker>
          <c:cat>
            <c:strRef>
              <c:f>ChartSupport!$C$4:$W$4</c:f>
              <c:strCache>
                <c:ptCount val="2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2018E</c:v>
                </c:pt>
                <c:pt idx="14">
                  <c:v>2019E</c:v>
                </c:pt>
                <c:pt idx="15">
                  <c:v>2020E</c:v>
                </c:pt>
                <c:pt idx="16">
                  <c:v>2021E</c:v>
                </c:pt>
                <c:pt idx="17">
                  <c:v>2022E</c:v>
                </c:pt>
                <c:pt idx="18">
                  <c:v>2023E</c:v>
                </c:pt>
                <c:pt idx="19">
                  <c:v>2024E</c:v>
                </c:pt>
                <c:pt idx="20">
                  <c:v>2025E</c:v>
                </c:pt>
              </c:strCache>
            </c:strRef>
          </c:cat>
          <c:val>
            <c:numRef>
              <c:f>ChartSupport!$C$305:$W$305</c:f>
              <c:numCache>
                <c:formatCode>#,##0</c:formatCode>
                <c:ptCount val="21"/>
                <c:pt idx="0">
                  <c:v>99.736999999999966</c:v>
                </c:pt>
                <c:pt idx="1">
                  <c:v>246.33299999999997</c:v>
                </c:pt>
                <c:pt idx="2">
                  <c:v>499.52099999999973</c:v>
                </c:pt>
                <c:pt idx="3">
                  <c:v>112.02500000000012</c:v>
                </c:pt>
                <c:pt idx="4">
                  <c:v>34.098999999999876</c:v>
                </c:pt>
                <c:pt idx="5">
                  <c:v>558.69499999999971</c:v>
                </c:pt>
                <c:pt idx="6">
                  <c:v>274.33179200000006</c:v>
                </c:pt>
                <c:pt idx="7">
                  <c:v>468.57283200000018</c:v>
                </c:pt>
                <c:pt idx="8">
                  <c:v>352.6637759999997</c:v>
                </c:pt>
                <c:pt idx="9">
                  <c:v>554.72020799999984</c:v>
                </c:pt>
                <c:pt idx="10">
                  <c:v>690.92073999999991</c:v>
                </c:pt>
                <c:pt idx="11">
                  <c:v>933.81365200000016</c:v>
                </c:pt>
                <c:pt idx="12">
                  <c:v>895.50100000000009</c:v>
                </c:pt>
                <c:pt idx="13">
                  <c:v>1462.7154812483714</c:v>
                </c:pt>
                <c:pt idx="14">
                  <c:v>1566.0753335003888</c:v>
                </c:pt>
                <c:pt idx="15">
                  <c:v>1764.9494537625233</c:v>
                </c:pt>
                <c:pt idx="16">
                  <c:v>2090.7103215652078</c:v>
                </c:pt>
                <c:pt idx="17">
                  <c:v>2266.896740735735</c:v>
                </c:pt>
                <c:pt idx="18">
                  <c:v>2064.0264030851886</c:v>
                </c:pt>
                <c:pt idx="19">
                  <c:v>1734.8443438208317</c:v>
                </c:pt>
                <c:pt idx="20">
                  <c:v>2042.5382694421899</c:v>
                </c:pt>
              </c:numCache>
            </c:numRef>
          </c:val>
          <c:smooth val="0"/>
        </c:ser>
        <c:ser>
          <c:idx val="9"/>
          <c:order val="1"/>
          <c:tx>
            <c:strRef>
              <c:f>ChartSupport!$A$307</c:f>
              <c:strCache>
                <c:ptCount val="1"/>
                <c:pt idx="0">
                  <c:v>FCF</c:v>
                </c:pt>
              </c:strCache>
            </c:strRef>
          </c:tx>
          <c:spPr>
            <a:ln w="25400">
              <a:solidFill>
                <a:schemeClr val="accent3"/>
              </a:solidFill>
              <a:prstDash val="solid"/>
            </a:ln>
          </c:spPr>
          <c:marker>
            <c:symbol val="none"/>
          </c:marker>
          <c:cat>
            <c:strRef>
              <c:f>ChartSupport!$C$4:$W$4</c:f>
              <c:strCache>
                <c:ptCount val="2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2018E</c:v>
                </c:pt>
                <c:pt idx="14">
                  <c:v>2019E</c:v>
                </c:pt>
                <c:pt idx="15">
                  <c:v>2020E</c:v>
                </c:pt>
                <c:pt idx="16">
                  <c:v>2021E</c:v>
                </c:pt>
                <c:pt idx="17">
                  <c:v>2022E</c:v>
                </c:pt>
                <c:pt idx="18">
                  <c:v>2023E</c:v>
                </c:pt>
                <c:pt idx="19">
                  <c:v>2024E</c:v>
                </c:pt>
                <c:pt idx="20">
                  <c:v>2025E</c:v>
                </c:pt>
              </c:strCache>
            </c:strRef>
          </c:cat>
          <c:val>
            <c:numRef>
              <c:f>ChartSupport!$C$307:$W$307</c:f>
              <c:numCache>
                <c:formatCode>#,##0</c:formatCode>
                <c:ptCount val="21"/>
                <c:pt idx="1">
                  <c:v>165.12500000000006</c:v>
                </c:pt>
                <c:pt idx="2">
                  <c:v>-432.71500000000026</c:v>
                </c:pt>
                <c:pt idx="3">
                  <c:v>-407.16099999999994</c:v>
                </c:pt>
                <c:pt idx="4">
                  <c:v>-423.19200000000018</c:v>
                </c:pt>
                <c:pt idx="5">
                  <c:v>224.34899999999971</c:v>
                </c:pt>
                <c:pt idx="6">
                  <c:v>-179.83720799999992</c:v>
                </c:pt>
                <c:pt idx="7">
                  <c:v>-162.49316799999986</c:v>
                </c:pt>
                <c:pt idx="8">
                  <c:v>-327.17722400000019</c:v>
                </c:pt>
                <c:pt idx="9">
                  <c:v>-103.72379200000012</c:v>
                </c:pt>
                <c:pt idx="10">
                  <c:v>-121.10826000000009</c:v>
                </c:pt>
                <c:pt idx="11">
                  <c:v>92.999652000000083</c:v>
                </c:pt>
                <c:pt idx="12">
                  <c:v>-81.478999999999928</c:v>
                </c:pt>
                <c:pt idx="13">
                  <c:v>471.8031977745145</c:v>
                </c:pt>
                <c:pt idx="14">
                  <c:v>543.82937490024051</c:v>
                </c:pt>
                <c:pt idx="15">
                  <c:v>541.14360858351824</c:v>
                </c:pt>
                <c:pt idx="16">
                  <c:v>707.29050047404962</c:v>
                </c:pt>
                <c:pt idx="17">
                  <c:v>795.16555246071607</c:v>
                </c:pt>
                <c:pt idx="18">
                  <c:v>647.01852965942794</c:v>
                </c:pt>
                <c:pt idx="19">
                  <c:v>342.18480006594859</c:v>
                </c:pt>
                <c:pt idx="20">
                  <c:v>504.42451934925953</c:v>
                </c:pt>
              </c:numCache>
            </c:numRef>
          </c:val>
          <c:smooth val="0"/>
        </c:ser>
        <c:ser>
          <c:idx val="0"/>
          <c:order val="3"/>
          <c:tx>
            <c:v>Zero Line</c:v>
          </c:tx>
          <c:spPr>
            <a:ln w="12700">
              <a:solidFill>
                <a:schemeClr val="bg1">
                  <a:lumMod val="50000"/>
                </a:schemeClr>
              </a:solidFill>
            </a:ln>
          </c:spPr>
          <c:marker>
            <c:symbol val="none"/>
          </c:marker>
          <c:cat>
            <c:strRef>
              <c:f>ChartSupport!$C$4:$W$4</c:f>
              <c:strCache>
                <c:ptCount val="2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2018E</c:v>
                </c:pt>
                <c:pt idx="14">
                  <c:v>2019E</c:v>
                </c:pt>
                <c:pt idx="15">
                  <c:v>2020E</c:v>
                </c:pt>
                <c:pt idx="16">
                  <c:v>2021E</c:v>
                </c:pt>
                <c:pt idx="17">
                  <c:v>2022E</c:v>
                </c:pt>
                <c:pt idx="18">
                  <c:v>2023E</c:v>
                </c:pt>
                <c:pt idx="19">
                  <c:v>2024E</c:v>
                </c:pt>
                <c:pt idx="20">
                  <c:v>2025E</c:v>
                </c:pt>
              </c:strCache>
            </c:strRef>
          </c:cat>
          <c:val>
            <c:numRef>
              <c:f>ChartSupport!$B$421:$W$421</c:f>
              <c:numCache>
                <c:formatCode>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mooth val="0"/>
        </c:ser>
        <c:dLbls>
          <c:showLegendKey val="0"/>
          <c:showVal val="0"/>
          <c:showCatName val="0"/>
          <c:showSerName val="0"/>
          <c:showPercent val="0"/>
          <c:showBubbleSize val="0"/>
        </c:dLbls>
        <c:marker val="1"/>
        <c:smooth val="0"/>
        <c:axId val="884483200"/>
        <c:axId val="884484736"/>
      </c:lineChart>
      <c:lineChart>
        <c:grouping val="standard"/>
        <c:varyColors val="0"/>
        <c:ser>
          <c:idx val="6"/>
          <c:order val="2"/>
          <c:tx>
            <c:strRef>
              <c:f>ChartSupport!$A$293</c:f>
              <c:strCache>
                <c:ptCount val="1"/>
                <c:pt idx="0">
                  <c:v>Sugar Nybot prices (US$ cents/lb)</c:v>
                </c:pt>
              </c:strCache>
            </c:strRef>
          </c:tx>
          <c:spPr>
            <a:ln w="15875">
              <a:solidFill>
                <a:srgbClr val="FF0000"/>
              </a:solidFill>
              <a:prstDash val="sysDash"/>
            </a:ln>
          </c:spPr>
          <c:marker>
            <c:symbol val="none"/>
          </c:marker>
          <c:cat>
            <c:strRef>
              <c:f>ChartSupport!$B$4:$W$4</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ChartSupport!$C$293:$W$293</c:f>
              <c:numCache>
                <c:formatCode>#,##0.0</c:formatCode>
                <c:ptCount val="21"/>
                <c:pt idx="0">
                  <c:v>#N/A</c:v>
                </c:pt>
                <c:pt idx="1">
                  <c:v>13.545</c:v>
                </c:pt>
                <c:pt idx="2">
                  <c:v>10.401666666666666</c:v>
                </c:pt>
                <c:pt idx="3">
                  <c:v>12.4</c:v>
                </c:pt>
                <c:pt idx="4">
                  <c:v>18.787500000000001</c:v>
                </c:pt>
                <c:pt idx="5">
                  <c:v>23.440833333333334</c:v>
                </c:pt>
                <c:pt idx="6">
                  <c:v>25.258333333333336</c:v>
                </c:pt>
                <c:pt idx="7">
                  <c:v>20.410833333333333</c:v>
                </c:pt>
                <c:pt idx="8">
                  <c:v>17.066666666666666</c:v>
                </c:pt>
                <c:pt idx="9">
                  <c:v>15.978333333333333</c:v>
                </c:pt>
                <c:pt idx="10">
                  <c:v>13.149166666666668</c:v>
                </c:pt>
                <c:pt idx="11">
                  <c:v>19.252499999999998</c:v>
                </c:pt>
                <c:pt idx="12">
                  <c:v>17.805000000000003</c:v>
                </c:pt>
                <c:pt idx="13">
                  <c:v>16.244658605325153</c:v>
                </c:pt>
                <c:pt idx="14">
                  <c:v>16.31531880717511</c:v>
                </c:pt>
                <c:pt idx="15">
                  <c:v>16.498655235130911</c:v>
                </c:pt>
                <c:pt idx="16">
                  <c:v>19.747444770453257</c:v>
                </c:pt>
                <c:pt idx="17">
                  <c:v>20.93514679550681</c:v>
                </c:pt>
                <c:pt idx="18">
                  <c:v>17.432162450241776</c:v>
                </c:pt>
                <c:pt idx="19">
                  <c:v>15.017906650666538</c:v>
                </c:pt>
                <c:pt idx="20">
                  <c:v>17.055276269110166</c:v>
                </c:pt>
              </c:numCache>
            </c:numRef>
          </c:val>
          <c:smooth val="0"/>
        </c:ser>
        <c:dLbls>
          <c:showLegendKey val="0"/>
          <c:showVal val="0"/>
          <c:showCatName val="0"/>
          <c:showSerName val="0"/>
          <c:showPercent val="0"/>
          <c:showBubbleSize val="0"/>
        </c:dLbls>
        <c:marker val="1"/>
        <c:smooth val="0"/>
        <c:axId val="884491008"/>
        <c:axId val="884492544"/>
      </c:lineChart>
      <c:catAx>
        <c:axId val="884483200"/>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a:pPr>
            <a:endParaRPr lang="en-US"/>
          </a:p>
        </c:txPr>
        <c:crossAx val="884484736"/>
        <c:crossesAt val="-1000"/>
        <c:auto val="1"/>
        <c:lblAlgn val="ctr"/>
        <c:lblOffset val="100"/>
        <c:tickLblSkip val="1"/>
        <c:tickMarkSkip val="1"/>
        <c:noMultiLvlLbl val="0"/>
      </c:catAx>
      <c:valAx>
        <c:axId val="884484736"/>
        <c:scaling>
          <c:orientation val="minMax"/>
        </c:scaling>
        <c:delete val="0"/>
        <c:axPos val="l"/>
        <c:title>
          <c:tx>
            <c:rich>
              <a:bodyPr rot="0" vert="horz"/>
              <a:lstStyle/>
              <a:p>
                <a:pPr algn="ctr" rtl="0">
                  <a:defRPr/>
                </a:pPr>
                <a:r>
                  <a:rPr lang="en-US"/>
                  <a:t>R$ mn</a:t>
                </a:r>
              </a:p>
            </c:rich>
          </c:tx>
          <c:layout>
            <c:manualLayout>
              <c:xMode val="edge"/>
              <c:yMode val="edge"/>
              <c:x val="0.14135619879168498"/>
              <c:y val="2.2590357393660387E-2"/>
            </c:manualLayout>
          </c:layout>
          <c:overlay val="0"/>
        </c:title>
        <c:numFmt formatCode="#,##0" sourceLinked="1"/>
        <c:majorTickMark val="out"/>
        <c:minorTickMark val="none"/>
        <c:tickLblPos val="nextTo"/>
        <c:spPr>
          <a:ln w="3175">
            <a:solidFill>
              <a:srgbClr val="808080"/>
            </a:solidFill>
            <a:prstDash val="solid"/>
          </a:ln>
        </c:spPr>
        <c:txPr>
          <a:bodyPr rot="0" vert="horz"/>
          <a:lstStyle/>
          <a:p>
            <a:pPr>
              <a:defRPr/>
            </a:pPr>
            <a:endParaRPr lang="en-US"/>
          </a:p>
        </c:txPr>
        <c:crossAx val="884483200"/>
        <c:crosses val="autoZero"/>
        <c:crossBetween val="midCat"/>
      </c:valAx>
      <c:catAx>
        <c:axId val="884491008"/>
        <c:scaling>
          <c:orientation val="minMax"/>
        </c:scaling>
        <c:delete val="1"/>
        <c:axPos val="b"/>
        <c:majorTickMark val="out"/>
        <c:minorTickMark val="none"/>
        <c:tickLblPos val="nextTo"/>
        <c:crossAx val="884492544"/>
        <c:crosses val="autoZero"/>
        <c:auto val="1"/>
        <c:lblAlgn val="ctr"/>
        <c:lblOffset val="100"/>
        <c:noMultiLvlLbl val="0"/>
      </c:catAx>
      <c:valAx>
        <c:axId val="884492544"/>
        <c:scaling>
          <c:orientation val="minMax"/>
          <c:min val="-11.4"/>
        </c:scaling>
        <c:delete val="0"/>
        <c:axPos val="r"/>
        <c:title>
          <c:tx>
            <c:rich>
              <a:bodyPr rot="0" vert="horz"/>
              <a:lstStyle/>
              <a:p>
                <a:pPr algn="ctr" rtl="0">
                  <a:defRPr/>
                </a:pPr>
                <a:r>
                  <a:rPr lang="en-US"/>
                  <a:t>US$ cents/lb</a:t>
                </a:r>
              </a:p>
            </c:rich>
          </c:tx>
          <c:layout>
            <c:manualLayout>
              <c:xMode val="edge"/>
              <c:yMode val="edge"/>
              <c:x val="0.76344086021505375"/>
              <c:y val="1.233677566005182E-3"/>
            </c:manualLayout>
          </c:layout>
          <c:overlay val="0"/>
        </c:title>
        <c:numFmt formatCode="#,##0" sourceLinked="0"/>
        <c:majorTickMark val="cross"/>
        <c:minorTickMark val="none"/>
        <c:tickLblPos val="nextTo"/>
        <c:spPr>
          <a:ln w="12700">
            <a:solidFill>
              <a:schemeClr val="bg1">
                <a:lumMod val="65000"/>
              </a:schemeClr>
            </a:solidFill>
            <a:prstDash val="solid"/>
          </a:ln>
        </c:spPr>
        <c:txPr>
          <a:bodyPr rot="0" vert="horz"/>
          <a:lstStyle/>
          <a:p>
            <a:pPr>
              <a:defRPr/>
            </a:pPr>
            <a:endParaRPr lang="en-US"/>
          </a:p>
        </c:txPr>
        <c:crossAx val="884491008"/>
        <c:crosses val="max"/>
        <c:crossBetween val="between"/>
      </c:valAx>
      <c:spPr>
        <a:noFill/>
        <a:ln w="25400">
          <a:noFill/>
        </a:ln>
      </c:spPr>
    </c:plotArea>
    <c:legend>
      <c:legendPos val="r"/>
      <c:legendEntry>
        <c:idx val="2"/>
        <c:delete val="1"/>
      </c:legendEntry>
      <c:layout>
        <c:manualLayout>
          <c:xMode val="edge"/>
          <c:yMode val="edge"/>
          <c:x val="0.3052211869742697"/>
          <c:y val="0.71944206974128233"/>
          <c:w val="0.59739485394514369"/>
          <c:h val="0.1298622857328019"/>
        </c:manualLayout>
      </c:layout>
      <c:overlay val="0"/>
      <c:spPr>
        <a:noFill/>
        <a:ln w="25400">
          <a:noFill/>
        </a:ln>
      </c:spPr>
      <c:txPr>
        <a:bodyPr/>
        <a:lstStyle/>
        <a:p>
          <a:pPr>
            <a:defRPr sz="800"/>
          </a:pPr>
          <a:endParaRPr lang="en-US"/>
        </a:p>
      </c:txPr>
    </c:legend>
    <c:plotVisOnly val="1"/>
    <c:dispBlanksAs val="gap"/>
    <c:showDLblsOverMax val="0"/>
  </c:chart>
  <c:spPr>
    <a:solidFill>
      <a:srgbClr val="FFFFFF"/>
    </a:solid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081095704570978"/>
          <c:y val="4.7619195248001144E-2"/>
          <c:w val="0.81891999963048934"/>
          <c:h val="0.77116393161135233"/>
        </c:manualLayout>
      </c:layout>
      <c:lineChart>
        <c:grouping val="standard"/>
        <c:varyColors val="0"/>
        <c:ser>
          <c:idx val="4"/>
          <c:order val="0"/>
          <c:tx>
            <c:strRef>
              <c:f>ChartSupport!$A$311</c:f>
              <c:strCache>
                <c:ptCount val="1"/>
                <c:pt idx="0">
                  <c:v>Gross Margin </c:v>
                </c:pt>
              </c:strCache>
            </c:strRef>
          </c:tx>
          <c:spPr>
            <a:ln w="25400">
              <a:solidFill>
                <a:schemeClr val="accent1"/>
              </a:solidFill>
              <a:prstDash val="solid"/>
            </a:ln>
          </c:spPr>
          <c:marker>
            <c:symbol val="none"/>
          </c:marker>
          <c:cat>
            <c:strRef>
              <c:f>ChartSupport!$B$292:$W$292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ChartSupport!$B$311:$W$311</c:f>
              <c:numCache>
                <c:formatCode>0%</c:formatCode>
                <c:ptCount val="22"/>
                <c:pt idx="0">
                  <c:v>0.42901930501930496</c:v>
                </c:pt>
                <c:pt idx="1">
                  <c:v>0.45188213514347425</c:v>
                </c:pt>
                <c:pt idx="2">
                  <c:v>0.53905339211061087</c:v>
                </c:pt>
                <c:pt idx="3">
                  <c:v>0.64128284638195254</c:v>
                </c:pt>
                <c:pt idx="4">
                  <c:v>0.39309817242637779</c:v>
                </c:pt>
                <c:pt idx="5">
                  <c:v>0.43890641402917963</c:v>
                </c:pt>
                <c:pt idx="6">
                  <c:v>0.46948328637370834</c:v>
                </c:pt>
                <c:pt idx="7">
                  <c:v>0.56345808739270486</c:v>
                </c:pt>
                <c:pt idx="8">
                  <c:v>0.53268787628292824</c:v>
                </c:pt>
                <c:pt idx="9">
                  <c:v>0.52275887784199437</c:v>
                </c:pt>
                <c:pt idx="10">
                  <c:v>0.49640511439425056</c:v>
                </c:pt>
                <c:pt idx="11">
                  <c:v>0.55098741507043369</c:v>
                </c:pt>
                <c:pt idx="12">
                  <c:v>0.54622368215051886</c:v>
                </c:pt>
                <c:pt idx="13">
                  <c:v>0.5217521034792576</c:v>
                </c:pt>
                <c:pt idx="14">
                  <c:v>0.56041021645547784</c:v>
                </c:pt>
                <c:pt idx="15">
                  <c:v>0.55246694900654114</c:v>
                </c:pt>
                <c:pt idx="16">
                  <c:v>0.55795395334408959</c:v>
                </c:pt>
                <c:pt idx="17">
                  <c:v>0.56238646826180971</c:v>
                </c:pt>
                <c:pt idx="18">
                  <c:v>0.56083064606104605</c:v>
                </c:pt>
                <c:pt idx="19">
                  <c:v>0.54505166187927745</c:v>
                </c:pt>
                <c:pt idx="20">
                  <c:v>0.5344833642692528</c:v>
                </c:pt>
                <c:pt idx="21">
                  <c:v>0.58967040581556651</c:v>
                </c:pt>
              </c:numCache>
            </c:numRef>
          </c:val>
          <c:smooth val="0"/>
        </c:ser>
        <c:ser>
          <c:idx val="9"/>
          <c:order val="1"/>
          <c:tx>
            <c:strRef>
              <c:f>ChartSupport!$A$312</c:f>
              <c:strCache>
                <c:ptCount val="1"/>
                <c:pt idx="0">
                  <c:v>EBIT margin</c:v>
                </c:pt>
              </c:strCache>
            </c:strRef>
          </c:tx>
          <c:spPr>
            <a:ln w="25400">
              <a:solidFill>
                <a:schemeClr val="accent3"/>
              </a:solidFill>
              <a:prstDash val="solid"/>
            </a:ln>
          </c:spPr>
          <c:marker>
            <c:symbol val="none"/>
          </c:marker>
          <c:cat>
            <c:strRef>
              <c:f>ChartSupport!$B$292:$W$292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ChartSupport!$B$312:$W$312</c:f>
              <c:numCache>
                <c:formatCode>0.0%</c:formatCode>
                <c:ptCount val="22"/>
                <c:pt idx="0">
                  <c:v>4.1567567567567479E-2</c:v>
                </c:pt>
                <c:pt idx="1">
                  <c:v>0.13191916075285401</c:v>
                </c:pt>
                <c:pt idx="2">
                  <c:v>0.29069876810284867</c:v>
                </c:pt>
                <c:pt idx="3">
                  <c:v>0.3029338069560103</c:v>
                </c:pt>
                <c:pt idx="4">
                  <c:v>-8.8207798770388132E-2</c:v>
                </c:pt>
                <c:pt idx="5">
                  <c:v>5.2519036262190948E-2</c:v>
                </c:pt>
                <c:pt idx="6">
                  <c:v>0.10505152600470202</c:v>
                </c:pt>
                <c:pt idx="7">
                  <c:v>0.18205706749197692</c:v>
                </c:pt>
                <c:pt idx="8">
                  <c:v>0.16899026327917552</c:v>
                </c:pt>
                <c:pt idx="9">
                  <c:v>0.12152534757985384</c:v>
                </c:pt>
                <c:pt idx="10">
                  <c:v>0.15363368480846382</c:v>
                </c:pt>
                <c:pt idx="11">
                  <c:v>0.22909629522588093</c:v>
                </c:pt>
                <c:pt idx="12">
                  <c:v>0.1877454508522651</c:v>
                </c:pt>
                <c:pt idx="13">
                  <c:v>0.23526965095531563</c:v>
                </c:pt>
                <c:pt idx="14">
                  <c:v>0.22478883880160416</c:v>
                </c:pt>
                <c:pt idx="15">
                  <c:v>0.21443445977918613</c:v>
                </c:pt>
                <c:pt idx="16">
                  <c:v>0.22186954792198774</c:v>
                </c:pt>
                <c:pt idx="17">
                  <c:v>0.23271325364125833</c:v>
                </c:pt>
                <c:pt idx="18">
                  <c:v>0.23230905309093788</c:v>
                </c:pt>
                <c:pt idx="19">
                  <c:v>0.20880229259788669</c:v>
                </c:pt>
                <c:pt idx="20">
                  <c:v>0.19174431709373665</c:v>
                </c:pt>
                <c:pt idx="21">
                  <c:v>0.25200605188534425</c:v>
                </c:pt>
              </c:numCache>
            </c:numRef>
          </c:val>
          <c:smooth val="0"/>
        </c:ser>
        <c:dLbls>
          <c:showLegendKey val="0"/>
          <c:showVal val="0"/>
          <c:showCatName val="0"/>
          <c:showSerName val="0"/>
          <c:showPercent val="0"/>
          <c:showBubbleSize val="0"/>
        </c:dLbls>
        <c:marker val="1"/>
        <c:smooth val="0"/>
        <c:axId val="884528256"/>
        <c:axId val="884529792"/>
      </c:lineChart>
      <c:lineChart>
        <c:grouping val="standard"/>
        <c:varyColors val="0"/>
        <c:ser>
          <c:idx val="6"/>
          <c:order val="2"/>
          <c:tx>
            <c:strRef>
              <c:f>ChartSupport!$A$293</c:f>
              <c:strCache>
                <c:ptCount val="1"/>
                <c:pt idx="0">
                  <c:v>Sugar Nybot prices (US$ cents/lb)</c:v>
                </c:pt>
              </c:strCache>
            </c:strRef>
          </c:tx>
          <c:spPr>
            <a:ln w="15875">
              <a:solidFill>
                <a:srgbClr val="FF0000"/>
              </a:solidFill>
              <a:prstDash val="sysDash"/>
            </a:ln>
          </c:spPr>
          <c:marker>
            <c:symbol val="none"/>
          </c:marker>
          <c:val>
            <c:numRef>
              <c:f>ChartSupport!$B$293:$W$293</c:f>
              <c:numCache>
                <c:formatCode>#,##0.0</c:formatCode>
                <c:ptCount val="22"/>
                <c:pt idx="0">
                  <c:v>#N/A</c:v>
                </c:pt>
                <c:pt idx="1">
                  <c:v>#N/A</c:v>
                </c:pt>
                <c:pt idx="2">
                  <c:v>13.545</c:v>
                </c:pt>
                <c:pt idx="3">
                  <c:v>10.401666666666666</c:v>
                </c:pt>
                <c:pt idx="4">
                  <c:v>12.4</c:v>
                </c:pt>
                <c:pt idx="5">
                  <c:v>18.787500000000001</c:v>
                </c:pt>
                <c:pt idx="6">
                  <c:v>23.440833333333334</c:v>
                </c:pt>
                <c:pt idx="7">
                  <c:v>25.258333333333336</c:v>
                </c:pt>
                <c:pt idx="8">
                  <c:v>20.410833333333333</c:v>
                </c:pt>
                <c:pt idx="9">
                  <c:v>17.066666666666666</c:v>
                </c:pt>
                <c:pt idx="10">
                  <c:v>15.978333333333333</c:v>
                </c:pt>
                <c:pt idx="11">
                  <c:v>13.149166666666668</c:v>
                </c:pt>
                <c:pt idx="12">
                  <c:v>19.252499999999998</c:v>
                </c:pt>
                <c:pt idx="13">
                  <c:v>17.805000000000003</c:v>
                </c:pt>
                <c:pt idx="14">
                  <c:v>16.244658605325153</c:v>
                </c:pt>
                <c:pt idx="15">
                  <c:v>16.31531880717511</c:v>
                </c:pt>
                <c:pt idx="16">
                  <c:v>16.498655235130911</c:v>
                </c:pt>
                <c:pt idx="17">
                  <c:v>19.747444770453257</c:v>
                </c:pt>
                <c:pt idx="18">
                  <c:v>20.93514679550681</c:v>
                </c:pt>
                <c:pt idx="19">
                  <c:v>17.432162450241776</c:v>
                </c:pt>
                <c:pt idx="20">
                  <c:v>15.017906650666538</c:v>
                </c:pt>
                <c:pt idx="21">
                  <c:v>17.055276269110166</c:v>
                </c:pt>
              </c:numCache>
            </c:numRef>
          </c:val>
          <c:smooth val="0"/>
        </c:ser>
        <c:dLbls>
          <c:showLegendKey val="0"/>
          <c:showVal val="0"/>
          <c:showCatName val="0"/>
          <c:showSerName val="0"/>
          <c:showPercent val="0"/>
          <c:showBubbleSize val="0"/>
        </c:dLbls>
        <c:marker val="1"/>
        <c:smooth val="0"/>
        <c:axId val="884539776"/>
        <c:axId val="884541312"/>
      </c:lineChart>
      <c:catAx>
        <c:axId val="884528256"/>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84529792"/>
        <c:crosses val="autoZero"/>
        <c:auto val="1"/>
        <c:lblAlgn val="ctr"/>
        <c:lblOffset val="100"/>
        <c:tickLblSkip val="1"/>
        <c:tickMarkSkip val="1"/>
        <c:noMultiLvlLbl val="0"/>
      </c:catAx>
      <c:valAx>
        <c:axId val="884529792"/>
        <c:scaling>
          <c:orientation val="minMax"/>
        </c:scaling>
        <c:delete val="0"/>
        <c:axPos val="l"/>
        <c:numFmt formatCode="0%" sourceLinked="1"/>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4528256"/>
        <c:crosses val="autoZero"/>
        <c:crossBetween val="between"/>
      </c:valAx>
      <c:catAx>
        <c:axId val="884539776"/>
        <c:scaling>
          <c:orientation val="minMax"/>
        </c:scaling>
        <c:delete val="1"/>
        <c:axPos val="b"/>
        <c:majorTickMark val="out"/>
        <c:minorTickMark val="none"/>
        <c:tickLblPos val="nextTo"/>
        <c:crossAx val="884541312"/>
        <c:crosses val="autoZero"/>
        <c:auto val="1"/>
        <c:lblAlgn val="ctr"/>
        <c:lblOffset val="100"/>
        <c:noMultiLvlLbl val="0"/>
      </c:catAx>
      <c:valAx>
        <c:axId val="884541312"/>
        <c:scaling>
          <c:orientation val="minMax"/>
          <c:max val="32"/>
          <c:min val="-9"/>
        </c:scaling>
        <c:delete val="0"/>
        <c:axPos val="r"/>
        <c:title>
          <c:tx>
            <c:rich>
              <a:bodyPr rot="0" vert="horz"/>
              <a:lstStyle/>
              <a:p>
                <a:pPr algn="ctr" rtl="0">
                  <a:defRPr sz="900"/>
                </a:pPr>
                <a:r>
                  <a:rPr lang="en-US" sz="900" b="0" i="0" baseline="0">
                    <a:effectLst/>
                  </a:rPr>
                  <a:t>US$cents/lb</a:t>
                </a:r>
                <a:endParaRPr lang="en-US" sz="900">
                  <a:effectLst/>
                </a:endParaRPr>
              </a:p>
            </c:rich>
          </c:tx>
          <c:layout>
            <c:manualLayout>
              <c:xMode val="edge"/>
              <c:yMode val="edge"/>
              <c:x val="0.71198568872987478"/>
              <c:y val="1.3694736756036335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4539776"/>
        <c:crosses val="max"/>
        <c:crossBetween val="between"/>
      </c:valAx>
      <c:spPr>
        <a:noFill/>
        <a:ln w="25400">
          <a:noFill/>
        </a:ln>
      </c:spPr>
    </c:plotArea>
    <c:legend>
      <c:legendPos val="r"/>
      <c:layout>
        <c:manualLayout>
          <c:xMode val="edge"/>
          <c:yMode val="edge"/>
          <c:x val="0.32534560857435418"/>
          <c:y val="0.67824762645410064"/>
          <c:w val="0.59542067527784426"/>
          <c:h val="0.11451735199766695"/>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166814319227198"/>
          <c:y val="4.7619195248001144E-2"/>
          <c:w val="0.7719112383679313"/>
          <c:h val="0.77947130440470647"/>
        </c:manualLayout>
      </c:layout>
      <c:areaChart>
        <c:grouping val="standard"/>
        <c:varyColors val="0"/>
        <c:ser>
          <c:idx val="4"/>
          <c:order val="0"/>
          <c:tx>
            <c:strRef>
              <c:f>ChartSupport!$A$302</c:f>
              <c:strCache>
                <c:ptCount val="1"/>
                <c:pt idx="0">
                  <c:v>Gross Profit</c:v>
                </c:pt>
              </c:strCache>
            </c:strRef>
          </c:tx>
          <c:spPr>
            <a:solidFill>
              <a:schemeClr val="accent3"/>
            </a:solidFill>
          </c:spPr>
          <c:cat>
            <c:strRef>
              <c:f>ChartSupport!$B$292:$W$292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ChartSupport!$B$302:$W$302</c:f>
              <c:numCache>
                <c:formatCode>#,##0</c:formatCode>
                <c:ptCount val="22"/>
                <c:pt idx="0">
                  <c:v>222.23199999999997</c:v>
                </c:pt>
                <c:pt idx="1">
                  <c:v>292.90999999999997</c:v>
                </c:pt>
                <c:pt idx="2">
                  <c:v>435.56699999999995</c:v>
                </c:pt>
                <c:pt idx="3">
                  <c:v>530.04399999999987</c:v>
                </c:pt>
                <c:pt idx="4">
                  <c:v>280.0510000000001</c:v>
                </c:pt>
                <c:pt idx="5">
                  <c:v>339.90799999999996</c:v>
                </c:pt>
                <c:pt idx="6">
                  <c:v>555.53299999999979</c:v>
                </c:pt>
                <c:pt idx="7">
                  <c:v>729.69399999999973</c:v>
                </c:pt>
                <c:pt idx="8">
                  <c:v>728.17900000000009</c:v>
                </c:pt>
                <c:pt idx="9">
                  <c:v>855.20999999999981</c:v>
                </c:pt>
                <c:pt idx="10">
                  <c:v>978.75699999999995</c:v>
                </c:pt>
                <c:pt idx="11">
                  <c:v>1281.1349999999998</c:v>
                </c:pt>
                <c:pt idx="12">
                  <c:v>1489.7589999999998</c:v>
                </c:pt>
                <c:pt idx="13">
                  <c:v>1566.7600000000002</c:v>
                </c:pt>
                <c:pt idx="14">
                  <c:v>2049.2862985723186</c:v>
                </c:pt>
                <c:pt idx="15">
                  <c:v>2089.4829464816457</c:v>
                </c:pt>
                <c:pt idx="16">
                  <c:v>2279.1219106965364</c:v>
                </c:pt>
                <c:pt idx="17">
                  <c:v>2643.8263839532992</c:v>
                </c:pt>
                <c:pt idx="18">
                  <c:v>2821.6505909302637</c:v>
                </c:pt>
                <c:pt idx="19">
                  <c:v>2609.7928698680221</c:v>
                </c:pt>
                <c:pt idx="20">
                  <c:v>2493.6600146793753</c:v>
                </c:pt>
                <c:pt idx="21">
                  <c:v>3078.6976537738378</c:v>
                </c:pt>
              </c:numCache>
            </c:numRef>
          </c:val>
        </c:ser>
        <c:ser>
          <c:idx val="9"/>
          <c:order val="1"/>
          <c:tx>
            <c:strRef>
              <c:f>ChartSupport!$A$303</c:f>
              <c:strCache>
                <c:ptCount val="1"/>
                <c:pt idx="0">
                  <c:v>EBITDA</c:v>
                </c:pt>
              </c:strCache>
            </c:strRef>
          </c:tx>
          <c:spPr>
            <a:solidFill>
              <a:schemeClr val="accent2"/>
            </a:solidFill>
          </c:spPr>
          <c:cat>
            <c:strRef>
              <c:f>ChartSupport!$B$292:$W$292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ChartSupport!$B$303:$W$303</c:f>
              <c:numCache>
                <c:formatCode>#,##0</c:formatCode>
                <c:ptCount val="22"/>
                <c:pt idx="0">
                  <c:v>91.93199999999996</c:v>
                </c:pt>
                <c:pt idx="1">
                  <c:v>163.10999999999996</c:v>
                </c:pt>
                <c:pt idx="2">
                  <c:v>322.19099999999997</c:v>
                </c:pt>
                <c:pt idx="3">
                  <c:v>390.47699999999986</c:v>
                </c:pt>
                <c:pt idx="4">
                  <c:v>128.3730000000001</c:v>
                </c:pt>
                <c:pt idx="5">
                  <c:v>243.17899999999995</c:v>
                </c:pt>
                <c:pt idx="6">
                  <c:v>401.32199999999978</c:v>
                </c:pt>
                <c:pt idx="7">
                  <c:v>566.1239999999998</c:v>
                </c:pt>
                <c:pt idx="8">
                  <c:v>582.6350000000001</c:v>
                </c:pt>
                <c:pt idx="9">
                  <c:v>651.75999999999976</c:v>
                </c:pt>
                <c:pt idx="10">
                  <c:v>751.20299999999997</c:v>
                </c:pt>
                <c:pt idx="11">
                  <c:v>1131.7149999999997</c:v>
                </c:pt>
                <c:pt idx="12">
                  <c:v>1235.8139999999999</c:v>
                </c:pt>
                <c:pt idx="13">
                  <c:v>1444.3980000000001</c:v>
                </c:pt>
                <c:pt idx="14">
                  <c:v>1759.0220528034631</c:v>
                </c:pt>
                <c:pt idx="15">
                  <c:v>1780.1509011492542</c:v>
                </c:pt>
                <c:pt idx="16">
                  <c:v>1952.9908721268353</c:v>
                </c:pt>
                <c:pt idx="17">
                  <c:v>2298.6292562952813</c:v>
                </c:pt>
                <c:pt idx="18">
                  <c:v>2458.0074493075854</c:v>
                </c:pt>
                <c:pt idx="19">
                  <c:v>2226.7144313496665</c:v>
                </c:pt>
                <c:pt idx="20">
                  <c:v>2090.1126866537361</c:v>
                </c:pt>
                <c:pt idx="21">
                  <c:v>2653.5978609798112</c:v>
                </c:pt>
              </c:numCache>
            </c:numRef>
          </c:val>
        </c:ser>
        <c:ser>
          <c:idx val="0"/>
          <c:order val="2"/>
          <c:tx>
            <c:strRef>
              <c:f>ChartSupport!$A$304</c:f>
              <c:strCache>
                <c:ptCount val="1"/>
                <c:pt idx="0">
                  <c:v>EBIT</c:v>
                </c:pt>
              </c:strCache>
            </c:strRef>
          </c:tx>
          <c:cat>
            <c:strRef>
              <c:f>ChartSupport!$B$292:$W$292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ChartSupport!$B$304:$W$304</c:f>
              <c:numCache>
                <c:formatCode>#,##0</c:formatCode>
                <c:ptCount val="22"/>
                <c:pt idx="0">
                  <c:v>21.531999999999954</c:v>
                </c:pt>
                <c:pt idx="1">
                  <c:v>85.509999999999962</c:v>
                </c:pt>
                <c:pt idx="2">
                  <c:v>234.89099999999996</c:v>
                </c:pt>
                <c:pt idx="3">
                  <c:v>250.38599999999985</c:v>
                </c:pt>
                <c:pt idx="4">
                  <c:v>-62.840999999999923</c:v>
                </c:pt>
                <c:pt idx="5">
                  <c:v>40.672999999999945</c:v>
                </c:pt>
                <c:pt idx="6">
                  <c:v>124.30599999999981</c:v>
                </c:pt>
                <c:pt idx="7">
                  <c:v>235.76899999999983</c:v>
                </c:pt>
                <c:pt idx="8">
                  <c:v>231.00800000000015</c:v>
                </c:pt>
                <c:pt idx="9">
                  <c:v>198.80999999999977</c:v>
                </c:pt>
                <c:pt idx="10">
                  <c:v>302.91800000000001</c:v>
                </c:pt>
                <c:pt idx="11">
                  <c:v>532.68599999999969</c:v>
                </c:pt>
                <c:pt idx="12">
                  <c:v>512.05299999999988</c:v>
                </c:pt>
                <c:pt idx="13">
                  <c:v>706.48700000000008</c:v>
                </c:pt>
                <c:pt idx="14">
                  <c:v>821.99908906319183</c:v>
                </c:pt>
                <c:pt idx="15">
                  <c:v>811.01167708280195</c:v>
                </c:pt>
                <c:pt idx="16">
                  <c:v>906.28938993016277</c:v>
                </c:pt>
                <c:pt idx="17">
                  <c:v>1094.004700671343</c:v>
                </c:pt>
                <c:pt idx="18">
                  <c:v>1168.7930777968661</c:v>
                </c:pt>
                <c:pt idx="19">
                  <c:v>999.77813581046735</c:v>
                </c:pt>
                <c:pt idx="20">
                  <c:v>894.59311279477424</c:v>
                </c:pt>
                <c:pt idx="21">
                  <c:v>1315.7357619179606</c:v>
                </c:pt>
              </c:numCache>
            </c:numRef>
          </c:val>
        </c:ser>
        <c:dLbls>
          <c:showLegendKey val="0"/>
          <c:showVal val="0"/>
          <c:showCatName val="0"/>
          <c:showSerName val="0"/>
          <c:showPercent val="0"/>
          <c:showBubbleSize val="0"/>
        </c:dLbls>
        <c:axId val="884587904"/>
        <c:axId val="884589696"/>
      </c:areaChart>
      <c:lineChart>
        <c:grouping val="standard"/>
        <c:varyColors val="0"/>
        <c:ser>
          <c:idx val="1"/>
          <c:order val="4"/>
          <c:tx>
            <c:v>zeroline</c:v>
          </c:tx>
          <c:spPr>
            <a:ln w="3175">
              <a:solidFill>
                <a:schemeClr val="bg1">
                  <a:lumMod val="50000"/>
                </a:schemeClr>
              </a:solidFill>
            </a:ln>
          </c:spPr>
          <c:marker>
            <c:symbol val="none"/>
          </c:marker>
          <c:val>
            <c:numRef>
              <c:f>ChartSupport!$B$421:$W$421</c:f>
              <c:numCache>
                <c:formatCode>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mooth val="0"/>
        </c:ser>
        <c:dLbls>
          <c:showLegendKey val="0"/>
          <c:showVal val="0"/>
          <c:showCatName val="0"/>
          <c:showSerName val="0"/>
          <c:showPercent val="0"/>
          <c:showBubbleSize val="0"/>
        </c:dLbls>
        <c:marker val="1"/>
        <c:smooth val="0"/>
        <c:axId val="884587904"/>
        <c:axId val="884589696"/>
      </c:lineChart>
      <c:lineChart>
        <c:grouping val="standard"/>
        <c:varyColors val="0"/>
        <c:ser>
          <c:idx val="6"/>
          <c:order val="3"/>
          <c:tx>
            <c:strRef>
              <c:f>ChartSupport!$A$293</c:f>
              <c:strCache>
                <c:ptCount val="1"/>
                <c:pt idx="0">
                  <c:v>Sugar Nybot prices (US$ cents/lb)</c:v>
                </c:pt>
              </c:strCache>
            </c:strRef>
          </c:tx>
          <c:spPr>
            <a:ln w="6350">
              <a:solidFill>
                <a:srgbClr val="FF0000"/>
              </a:solidFill>
              <a:prstDash val="sysDash"/>
            </a:ln>
          </c:spPr>
          <c:marker>
            <c:symbol val="none"/>
          </c:marker>
          <c:val>
            <c:numRef>
              <c:f>ChartSupport!$B$293:$W$293</c:f>
              <c:numCache>
                <c:formatCode>#,##0.0</c:formatCode>
                <c:ptCount val="22"/>
                <c:pt idx="0">
                  <c:v>#N/A</c:v>
                </c:pt>
                <c:pt idx="1">
                  <c:v>#N/A</c:v>
                </c:pt>
                <c:pt idx="2">
                  <c:v>13.545</c:v>
                </c:pt>
                <c:pt idx="3">
                  <c:v>10.401666666666666</c:v>
                </c:pt>
                <c:pt idx="4">
                  <c:v>12.4</c:v>
                </c:pt>
                <c:pt idx="5">
                  <c:v>18.787500000000001</c:v>
                </c:pt>
                <c:pt idx="6">
                  <c:v>23.440833333333334</c:v>
                </c:pt>
                <c:pt idx="7">
                  <c:v>25.258333333333336</c:v>
                </c:pt>
                <c:pt idx="8">
                  <c:v>20.410833333333333</c:v>
                </c:pt>
                <c:pt idx="9">
                  <c:v>17.066666666666666</c:v>
                </c:pt>
                <c:pt idx="10">
                  <c:v>15.978333333333333</c:v>
                </c:pt>
                <c:pt idx="11">
                  <c:v>13.149166666666668</c:v>
                </c:pt>
                <c:pt idx="12">
                  <c:v>19.252499999999998</c:v>
                </c:pt>
                <c:pt idx="13">
                  <c:v>17.805000000000003</c:v>
                </c:pt>
                <c:pt idx="14">
                  <c:v>16.244658605325153</c:v>
                </c:pt>
                <c:pt idx="15">
                  <c:v>16.31531880717511</c:v>
                </c:pt>
                <c:pt idx="16">
                  <c:v>16.498655235130911</c:v>
                </c:pt>
                <c:pt idx="17">
                  <c:v>19.747444770453257</c:v>
                </c:pt>
                <c:pt idx="18">
                  <c:v>20.93514679550681</c:v>
                </c:pt>
                <c:pt idx="19">
                  <c:v>17.432162450241776</c:v>
                </c:pt>
                <c:pt idx="20">
                  <c:v>15.017906650666538</c:v>
                </c:pt>
                <c:pt idx="21">
                  <c:v>17.055276269110166</c:v>
                </c:pt>
              </c:numCache>
            </c:numRef>
          </c:val>
          <c:smooth val="0"/>
        </c:ser>
        <c:dLbls>
          <c:showLegendKey val="0"/>
          <c:showVal val="0"/>
          <c:showCatName val="0"/>
          <c:showSerName val="0"/>
          <c:showPercent val="0"/>
          <c:showBubbleSize val="0"/>
        </c:dLbls>
        <c:marker val="1"/>
        <c:smooth val="0"/>
        <c:axId val="884591616"/>
        <c:axId val="884601600"/>
      </c:lineChart>
      <c:catAx>
        <c:axId val="884587904"/>
        <c:scaling>
          <c:orientation val="minMax"/>
        </c:scaling>
        <c:delete val="0"/>
        <c:axPos val="b"/>
        <c:numFmt formatCode="General" sourceLinked="1"/>
        <c:majorTickMark val="out"/>
        <c:minorTickMark val="none"/>
        <c:tickLblPos val="low"/>
        <c:txPr>
          <a:bodyPr rot="-5400000" vert="horz"/>
          <a:lstStyle/>
          <a:p>
            <a:pPr>
              <a:defRPr sz="900"/>
            </a:pPr>
            <a:endParaRPr lang="en-US"/>
          </a:p>
        </c:txPr>
        <c:crossAx val="884589696"/>
        <c:crossesAt val="-500"/>
        <c:auto val="1"/>
        <c:lblAlgn val="ctr"/>
        <c:lblOffset val="100"/>
        <c:tickLblSkip val="1"/>
        <c:tickMarkSkip val="1"/>
        <c:noMultiLvlLbl val="0"/>
      </c:catAx>
      <c:valAx>
        <c:axId val="884589696"/>
        <c:scaling>
          <c:orientation val="minMax"/>
        </c:scaling>
        <c:delete val="0"/>
        <c:axPos val="l"/>
        <c:title>
          <c:tx>
            <c:rich>
              <a:bodyPr rot="0" vert="horz"/>
              <a:lstStyle/>
              <a:p>
                <a:pPr>
                  <a:defRPr sz="900" b="0"/>
                </a:pPr>
                <a:r>
                  <a:rPr lang="en-US" sz="900" b="0"/>
                  <a:t>R$ mn</a:t>
                </a:r>
              </a:p>
            </c:rich>
          </c:tx>
          <c:layout>
            <c:manualLayout>
              <c:xMode val="edge"/>
              <c:yMode val="edge"/>
              <c:x val="0.15527784228043881"/>
              <c:y val="1.8319014806424099E-2"/>
            </c:manualLayout>
          </c:layout>
          <c:overlay val="0"/>
        </c:title>
        <c:numFmt formatCode="#,##0" sourceLinked="1"/>
        <c:majorTickMark val="out"/>
        <c:minorTickMark val="none"/>
        <c:tickLblPos val="nextTo"/>
        <c:txPr>
          <a:bodyPr rot="0" vert="horz"/>
          <a:lstStyle/>
          <a:p>
            <a:pPr>
              <a:defRPr sz="900"/>
            </a:pPr>
            <a:endParaRPr lang="en-US"/>
          </a:p>
        </c:txPr>
        <c:crossAx val="884587904"/>
        <c:crosses val="autoZero"/>
        <c:crossBetween val="midCat"/>
      </c:valAx>
      <c:catAx>
        <c:axId val="884591616"/>
        <c:scaling>
          <c:orientation val="minMax"/>
        </c:scaling>
        <c:delete val="1"/>
        <c:axPos val="b"/>
        <c:majorTickMark val="out"/>
        <c:minorTickMark val="none"/>
        <c:tickLblPos val="nextTo"/>
        <c:crossAx val="884601600"/>
        <c:crosses val="autoZero"/>
        <c:auto val="1"/>
        <c:lblAlgn val="ctr"/>
        <c:lblOffset val="100"/>
        <c:noMultiLvlLbl val="0"/>
      </c:catAx>
      <c:valAx>
        <c:axId val="884601600"/>
        <c:scaling>
          <c:orientation val="minMax"/>
          <c:max val="28"/>
          <c:min val="-6"/>
        </c:scaling>
        <c:delete val="0"/>
        <c:axPos val="r"/>
        <c:title>
          <c:tx>
            <c:rich>
              <a:bodyPr rot="0" vert="horz"/>
              <a:lstStyle/>
              <a:p>
                <a:pPr>
                  <a:defRPr sz="900" b="0"/>
                </a:pPr>
                <a:r>
                  <a:rPr lang="en-US" sz="900" b="0"/>
                  <a:t>US$cents/lb</a:t>
                </a:r>
              </a:p>
            </c:rich>
          </c:tx>
          <c:layout>
            <c:manualLayout>
              <c:xMode val="edge"/>
              <c:yMode val="edge"/>
              <c:x val="0.73279714030384269"/>
              <c:y val="1.7848494469452164E-2"/>
            </c:manualLayout>
          </c:layout>
          <c:overlay val="0"/>
        </c:title>
        <c:numFmt formatCode="#,##0" sourceLinked="0"/>
        <c:majorTickMark val="cross"/>
        <c:minorTickMark val="none"/>
        <c:tickLblPos val="nextTo"/>
        <c:txPr>
          <a:bodyPr rot="0" vert="horz"/>
          <a:lstStyle/>
          <a:p>
            <a:pPr>
              <a:defRPr sz="900"/>
            </a:pPr>
            <a:endParaRPr lang="en-US"/>
          </a:p>
        </c:txPr>
        <c:crossAx val="884591616"/>
        <c:crosses val="max"/>
        <c:crossBetween val="midCat"/>
      </c:valAx>
    </c:plotArea>
    <c:legend>
      <c:legendPos val="r"/>
      <c:legendEntry>
        <c:idx val="3"/>
        <c:delete val="1"/>
      </c:legendEntry>
      <c:layout>
        <c:manualLayout>
          <c:xMode val="edge"/>
          <c:yMode val="edge"/>
          <c:x val="0.14747975051505657"/>
          <c:y val="9.5656709577969415E-2"/>
          <c:w val="0.60338828960052915"/>
          <c:h val="0.22113120119244353"/>
        </c:manualLayout>
      </c:layout>
      <c:overlay val="0"/>
      <c:txPr>
        <a:bodyPr/>
        <a:lstStyle/>
        <a:p>
          <a:pPr>
            <a:defRPr sz="800"/>
          </a:pPr>
          <a:endParaRPr lang="en-US"/>
        </a:p>
      </c:txPr>
    </c:legend>
    <c:plotVisOnly val="1"/>
    <c:dispBlanksAs val="gap"/>
    <c:showDLblsOverMax val="0"/>
  </c:chart>
  <c:spPr>
    <a:ln>
      <a:noFill/>
    </a:ln>
  </c:spPr>
  <c:txPr>
    <a:bodyPr/>
    <a:lstStyle/>
    <a:p>
      <a:pPr>
        <a:defRPr>
          <a:solidFill>
            <a:schemeClr val="bg1">
              <a:lumMod val="50000"/>
            </a:schemeClr>
          </a:solidFill>
          <a:latin typeface="Arial" panose="020B0604020202020204" pitchFamily="34" charset="0"/>
          <a:cs typeface="Arial" panose="020B0604020202020204" pitchFamily="34" charset="0"/>
        </a:defRPr>
      </a:pPr>
      <a:endParaRPr lang="en-US"/>
    </a:p>
  </c:txPr>
  <c:printSettings>
    <c:headerFooter alignWithMargins="0"/>
    <c:pageMargins b="1" l="0.75" r="0.75" t="1" header="0.5" footer="0.5"/>
    <c:pageSetup paperSize="0" orientation="portrait" horizontalDpi="0" verticalDpi="0" copies="0"/>
  </c:printSettings>
  <c:userShapes r:id="rId1"/>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320754716981132"/>
          <c:y val="4.7169956177390976E-2"/>
          <c:w val="0.84905660377358494"/>
          <c:h val="0.81551593786625731"/>
        </c:manualLayout>
      </c:layout>
      <c:areaChart>
        <c:grouping val="stacked"/>
        <c:varyColors val="0"/>
        <c:ser>
          <c:idx val="0"/>
          <c:order val="0"/>
          <c:tx>
            <c:strRef>
              <c:f>Financials!$A$37</c:f>
              <c:strCache>
                <c:ptCount val="1"/>
                <c:pt idx="0">
                  <c:v>Sugar</c:v>
                </c:pt>
              </c:strCache>
            </c:strRef>
          </c:tx>
          <c:cat>
            <c:numRef>
              <c:f>Financials!$G$35:$W$35</c:f>
              <c:numCache>
                <c:formatCode>General</c:formatCode>
                <c:ptCount val="17"/>
                <c:pt idx="0">
                  <c:v>2009</c:v>
                </c:pt>
                <c:pt idx="1">
                  <c:v>2010</c:v>
                </c:pt>
                <c:pt idx="2">
                  <c:v>2011</c:v>
                </c:pt>
                <c:pt idx="3">
                  <c:v>2012</c:v>
                </c:pt>
                <c:pt idx="4">
                  <c:v>2013</c:v>
                </c:pt>
                <c:pt idx="5">
                  <c:v>2014</c:v>
                </c:pt>
                <c:pt idx="6">
                  <c:v>2015</c:v>
                </c:pt>
                <c:pt idx="7">
                  <c:v>2016</c:v>
                </c:pt>
                <c:pt idx="8">
                  <c:v>2017</c:v>
                </c:pt>
                <c:pt idx="9" formatCode="General&quot;E&quot;">
                  <c:v>2018</c:v>
                </c:pt>
                <c:pt idx="10" formatCode="General&quot;E&quot;">
                  <c:v>2019</c:v>
                </c:pt>
                <c:pt idx="11" formatCode="General&quot;E&quot;">
                  <c:v>2020</c:v>
                </c:pt>
                <c:pt idx="12" formatCode="General&quot;E&quot;">
                  <c:v>2021</c:v>
                </c:pt>
                <c:pt idx="13" formatCode="General&quot;E&quot;">
                  <c:v>2022</c:v>
                </c:pt>
                <c:pt idx="14" formatCode="General&quot;E&quot;">
                  <c:v>2023</c:v>
                </c:pt>
                <c:pt idx="15" formatCode="General&quot;E&quot;">
                  <c:v>2024</c:v>
                </c:pt>
                <c:pt idx="16" formatCode="General&quot;E&quot;">
                  <c:v>2025</c:v>
                </c:pt>
              </c:numCache>
            </c:numRef>
          </c:cat>
          <c:val>
            <c:numRef>
              <c:f>Financials!$G$37:$W$37</c:f>
              <c:numCache>
                <c:formatCode>_(* #,##0_);_(* \(#,##0\);_(* "-"_);_(@_)</c:formatCode>
                <c:ptCount val="17"/>
                <c:pt idx="0">
                  <c:v>229.102</c:v>
                </c:pt>
                <c:pt idx="1">
                  <c:v>582.25300000000004</c:v>
                </c:pt>
                <c:pt idx="2">
                  <c:v>702.17499999999995</c:v>
                </c:pt>
                <c:pt idx="3">
                  <c:v>766.68700000000001</c:v>
                </c:pt>
                <c:pt idx="4">
                  <c:v>950.32600000000002</c:v>
                </c:pt>
                <c:pt idx="5">
                  <c:v>884.274</c:v>
                </c:pt>
                <c:pt idx="6">
                  <c:v>1089.1469999999999</c:v>
                </c:pt>
                <c:pt idx="7">
                  <c:v>1258.73</c:v>
                </c:pt>
                <c:pt idx="8">
                  <c:v>1644.63</c:v>
                </c:pt>
                <c:pt idx="9">
                  <c:v>1964.0391383325343</c:v>
                </c:pt>
                <c:pt idx="10">
                  <c:v>1777.9307125647576</c:v>
                </c:pt>
                <c:pt idx="11">
                  <c:v>1886.329158677735</c:v>
                </c:pt>
                <c:pt idx="12">
                  <c:v>2337.0932331010231</c:v>
                </c:pt>
                <c:pt idx="13">
                  <c:v>2545.985218926261</c:v>
                </c:pt>
                <c:pt idx="14">
                  <c:v>2178.3972873266416</c:v>
                </c:pt>
                <c:pt idx="15">
                  <c:v>1928.3817042516089</c:v>
                </c:pt>
                <c:pt idx="16">
                  <c:v>2250.2563740321998</c:v>
                </c:pt>
              </c:numCache>
            </c:numRef>
          </c:val>
        </c:ser>
        <c:ser>
          <c:idx val="1"/>
          <c:order val="1"/>
          <c:tx>
            <c:strRef>
              <c:f>Financials!$A$38</c:f>
              <c:strCache>
                <c:ptCount val="1"/>
                <c:pt idx="0">
                  <c:v>Ethanol</c:v>
                </c:pt>
              </c:strCache>
            </c:strRef>
          </c:tx>
          <c:cat>
            <c:numRef>
              <c:f>Financials!$G$35:$W$35</c:f>
              <c:numCache>
                <c:formatCode>General</c:formatCode>
                <c:ptCount val="17"/>
                <c:pt idx="0">
                  <c:v>2009</c:v>
                </c:pt>
                <c:pt idx="1">
                  <c:v>2010</c:v>
                </c:pt>
                <c:pt idx="2">
                  <c:v>2011</c:v>
                </c:pt>
                <c:pt idx="3">
                  <c:v>2012</c:v>
                </c:pt>
                <c:pt idx="4">
                  <c:v>2013</c:v>
                </c:pt>
                <c:pt idx="5">
                  <c:v>2014</c:v>
                </c:pt>
                <c:pt idx="6">
                  <c:v>2015</c:v>
                </c:pt>
                <c:pt idx="7">
                  <c:v>2016</c:v>
                </c:pt>
                <c:pt idx="8">
                  <c:v>2017</c:v>
                </c:pt>
                <c:pt idx="9" formatCode="General&quot;E&quot;">
                  <c:v>2018</c:v>
                </c:pt>
                <c:pt idx="10" formatCode="General&quot;E&quot;">
                  <c:v>2019</c:v>
                </c:pt>
                <c:pt idx="11" formatCode="General&quot;E&quot;">
                  <c:v>2020</c:v>
                </c:pt>
                <c:pt idx="12" formatCode="General&quot;E&quot;">
                  <c:v>2021</c:v>
                </c:pt>
                <c:pt idx="13" formatCode="General&quot;E&quot;">
                  <c:v>2022</c:v>
                </c:pt>
                <c:pt idx="14" formatCode="General&quot;E&quot;">
                  <c:v>2023</c:v>
                </c:pt>
                <c:pt idx="15" formatCode="General&quot;E&quot;">
                  <c:v>2024</c:v>
                </c:pt>
                <c:pt idx="16" formatCode="General&quot;E&quot;">
                  <c:v>2025</c:v>
                </c:pt>
              </c:numCache>
            </c:numRef>
          </c:cat>
          <c:val>
            <c:numRef>
              <c:f>Financials!$G$38:$W$38</c:f>
              <c:numCache>
                <c:formatCode>_(* #,##0_);_(* \(#,##0\);_(* "-"_);_(@_)</c:formatCode>
                <c:ptCount val="17"/>
                <c:pt idx="0">
                  <c:v>481.524</c:v>
                </c:pt>
                <c:pt idx="1">
                  <c:v>522.83799999999997</c:v>
                </c:pt>
                <c:pt idx="2">
                  <c:v>520.95900000000006</c:v>
                </c:pt>
                <c:pt idx="3">
                  <c:v>505.07</c:v>
                </c:pt>
                <c:pt idx="4">
                  <c:v>546.16599999999994</c:v>
                </c:pt>
                <c:pt idx="5">
                  <c:v>841.13300000000004</c:v>
                </c:pt>
                <c:pt idx="6">
                  <c:v>962.45299999999997</c:v>
                </c:pt>
                <c:pt idx="7">
                  <c:v>1301.662</c:v>
                </c:pt>
                <c:pt idx="8">
                  <c:v>1238.877</c:v>
                </c:pt>
                <c:pt idx="9">
                  <c:v>1487.6537955628992</c:v>
                </c:pt>
                <c:pt idx="10">
                  <c:v>1726.1524818358384</c:v>
                </c:pt>
                <c:pt idx="11">
                  <c:v>1893.594377638283</c:v>
                </c:pt>
                <c:pt idx="12">
                  <c:v>2034.2241783676059</c:v>
                </c:pt>
                <c:pt idx="13">
                  <c:v>2131.1404245326653</c:v>
                </c:pt>
                <c:pt idx="14">
                  <c:v>2232.676993814548</c:v>
                </c:pt>
                <c:pt idx="15">
                  <c:v>2339.0510030185833</c:v>
                </c:pt>
                <c:pt idx="16">
                  <c:v>2554.2030595068245</c:v>
                </c:pt>
              </c:numCache>
            </c:numRef>
          </c:val>
        </c:ser>
        <c:ser>
          <c:idx val="2"/>
          <c:order val="2"/>
          <c:tx>
            <c:strRef>
              <c:f>Financials!$A$39</c:f>
              <c:strCache>
                <c:ptCount val="1"/>
                <c:pt idx="0">
                  <c:v>Energy</c:v>
                </c:pt>
              </c:strCache>
            </c:strRef>
          </c:tx>
          <c:cat>
            <c:numRef>
              <c:f>Financials!$G$35:$W$35</c:f>
              <c:numCache>
                <c:formatCode>General</c:formatCode>
                <c:ptCount val="17"/>
                <c:pt idx="0">
                  <c:v>2009</c:v>
                </c:pt>
                <c:pt idx="1">
                  <c:v>2010</c:v>
                </c:pt>
                <c:pt idx="2">
                  <c:v>2011</c:v>
                </c:pt>
                <c:pt idx="3">
                  <c:v>2012</c:v>
                </c:pt>
                <c:pt idx="4">
                  <c:v>2013</c:v>
                </c:pt>
                <c:pt idx="5">
                  <c:v>2014</c:v>
                </c:pt>
                <c:pt idx="6">
                  <c:v>2015</c:v>
                </c:pt>
                <c:pt idx="7">
                  <c:v>2016</c:v>
                </c:pt>
                <c:pt idx="8">
                  <c:v>2017</c:v>
                </c:pt>
                <c:pt idx="9" formatCode="General&quot;E&quot;">
                  <c:v>2018</c:v>
                </c:pt>
                <c:pt idx="10" formatCode="General&quot;E&quot;">
                  <c:v>2019</c:v>
                </c:pt>
                <c:pt idx="11" formatCode="General&quot;E&quot;">
                  <c:v>2020</c:v>
                </c:pt>
                <c:pt idx="12" formatCode="General&quot;E&quot;">
                  <c:v>2021</c:v>
                </c:pt>
                <c:pt idx="13" formatCode="General&quot;E&quot;">
                  <c:v>2022</c:v>
                </c:pt>
                <c:pt idx="14" formatCode="General&quot;E&quot;">
                  <c:v>2023</c:v>
                </c:pt>
                <c:pt idx="15" formatCode="General&quot;E&quot;">
                  <c:v>2024</c:v>
                </c:pt>
                <c:pt idx="16" formatCode="General&quot;E&quot;">
                  <c:v>2025</c:v>
                </c:pt>
              </c:numCache>
            </c:numRef>
          </c:cat>
          <c:val>
            <c:numRef>
              <c:f>Financials!$G$39:$W$39</c:f>
              <c:numCache>
                <c:formatCode>_(* #,##0_);_(* \(#,##0\);_(* "-"_);_(@_)</c:formatCode>
                <c:ptCount val="17"/>
                <c:pt idx="0">
                  <c:v>16.445</c:v>
                </c:pt>
                <c:pt idx="1">
                  <c:v>22.300999999999998</c:v>
                </c:pt>
                <c:pt idx="2">
                  <c:v>23.946000000000002</c:v>
                </c:pt>
                <c:pt idx="3">
                  <c:v>27.593</c:v>
                </c:pt>
                <c:pt idx="4">
                  <c:v>44.408000000000001</c:v>
                </c:pt>
                <c:pt idx="5">
                  <c:v>77.272999999999996</c:v>
                </c:pt>
                <c:pt idx="6">
                  <c:v>189.114</c:v>
                </c:pt>
                <c:pt idx="7">
                  <c:v>185.57300000000001</c:v>
                </c:pt>
                <c:pt idx="8">
                  <c:v>152.089</c:v>
                </c:pt>
                <c:pt idx="9">
                  <c:v>165.15</c:v>
                </c:pt>
                <c:pt idx="10">
                  <c:v>163.50000000000003</c:v>
                </c:pt>
                <c:pt idx="11">
                  <c:v>172.02674999999999</c:v>
                </c:pt>
                <c:pt idx="12">
                  <c:v>180.9924</c:v>
                </c:pt>
                <c:pt idx="13">
                  <c:v>190.421061912</c:v>
                </c:pt>
                <c:pt idx="14">
                  <c:v>200.33811978585598</c:v>
                </c:pt>
                <c:pt idx="15">
                  <c:v>210.77029507674968</c:v>
                </c:pt>
                <c:pt idx="16">
                  <c:v>221.74571519333659</c:v>
                </c:pt>
              </c:numCache>
            </c:numRef>
          </c:val>
        </c:ser>
        <c:ser>
          <c:idx val="4"/>
          <c:order val="3"/>
          <c:tx>
            <c:strRef>
              <c:f>Financials!$A$40</c:f>
              <c:strCache>
                <c:ptCount val="1"/>
                <c:pt idx="0">
                  <c:v>Other</c:v>
                </c:pt>
              </c:strCache>
            </c:strRef>
          </c:tx>
          <c:cat>
            <c:numRef>
              <c:f>Financials!$G$35:$W$35</c:f>
              <c:numCache>
                <c:formatCode>General</c:formatCode>
                <c:ptCount val="17"/>
                <c:pt idx="0">
                  <c:v>2009</c:v>
                </c:pt>
                <c:pt idx="1">
                  <c:v>2010</c:v>
                </c:pt>
                <c:pt idx="2">
                  <c:v>2011</c:v>
                </c:pt>
                <c:pt idx="3">
                  <c:v>2012</c:v>
                </c:pt>
                <c:pt idx="4">
                  <c:v>2013</c:v>
                </c:pt>
                <c:pt idx="5">
                  <c:v>2014</c:v>
                </c:pt>
                <c:pt idx="6">
                  <c:v>2015</c:v>
                </c:pt>
                <c:pt idx="7">
                  <c:v>2016</c:v>
                </c:pt>
                <c:pt idx="8">
                  <c:v>2017</c:v>
                </c:pt>
                <c:pt idx="9" formatCode="General&quot;E&quot;">
                  <c:v>2018</c:v>
                </c:pt>
                <c:pt idx="10" formatCode="General&quot;E&quot;">
                  <c:v>2019</c:v>
                </c:pt>
                <c:pt idx="11" formatCode="General&quot;E&quot;">
                  <c:v>2020</c:v>
                </c:pt>
                <c:pt idx="12" formatCode="General&quot;E&quot;">
                  <c:v>2021</c:v>
                </c:pt>
                <c:pt idx="13" formatCode="General&quot;E&quot;">
                  <c:v>2022</c:v>
                </c:pt>
                <c:pt idx="14" formatCode="General&quot;E&quot;">
                  <c:v>2023</c:v>
                </c:pt>
                <c:pt idx="15" formatCode="General&quot;E&quot;">
                  <c:v>2024</c:v>
                </c:pt>
                <c:pt idx="16" formatCode="General&quot;E&quot;">
                  <c:v>2025</c:v>
                </c:pt>
              </c:numCache>
            </c:numRef>
          </c:cat>
          <c:val>
            <c:numRef>
              <c:f>Financials!$G$40:$W$40</c:f>
              <c:numCache>
                <c:formatCode>_(* #,##0_);_(* \(#,##0\);_(* "-"_);_(@_)</c:formatCode>
                <c:ptCount val="17"/>
                <c:pt idx="0">
                  <c:v>47.372</c:v>
                </c:pt>
                <c:pt idx="1">
                  <c:v>55.895000000000003</c:v>
                </c:pt>
                <c:pt idx="2">
                  <c:v>47.965000000000003</c:v>
                </c:pt>
                <c:pt idx="3">
                  <c:v>67.64</c:v>
                </c:pt>
                <c:pt idx="4">
                  <c:v>95.054000000000002</c:v>
                </c:pt>
                <c:pt idx="5">
                  <c:v>168.49199999999999</c:v>
                </c:pt>
                <c:pt idx="6">
                  <c:v>84.448000000000008</c:v>
                </c:pt>
                <c:pt idx="7">
                  <c:v>-18.586000000000006</c:v>
                </c:pt>
                <c:pt idx="8">
                  <c:v>-32.714000000000013</c:v>
                </c:pt>
                <c:pt idx="9">
                  <c:v>39.918199999999999</c:v>
                </c:pt>
                <c:pt idx="10">
                  <c:v>114.51264</c:v>
                </c:pt>
                <c:pt idx="11">
                  <c:v>132.83466239999998</c:v>
                </c:pt>
                <c:pt idx="12">
                  <c:v>148.77482188799999</c:v>
                </c:pt>
                <c:pt idx="13">
                  <c:v>163.65230407680002</c:v>
                </c:pt>
                <c:pt idx="14">
                  <c:v>176.744488402944</c:v>
                </c:pt>
                <c:pt idx="15">
                  <c:v>187.34915770712064</c:v>
                </c:pt>
                <c:pt idx="16">
                  <c:v>194.84312401540546</c:v>
                </c:pt>
              </c:numCache>
            </c:numRef>
          </c:val>
        </c:ser>
        <c:dLbls>
          <c:showLegendKey val="0"/>
          <c:showVal val="0"/>
          <c:showCatName val="0"/>
          <c:showSerName val="0"/>
          <c:showPercent val="0"/>
          <c:showBubbleSize val="0"/>
        </c:dLbls>
        <c:axId val="884643712"/>
        <c:axId val="884645248"/>
      </c:areaChart>
      <c:catAx>
        <c:axId val="884643712"/>
        <c:scaling>
          <c:orientation val="minMax"/>
        </c:scaling>
        <c:delete val="0"/>
        <c:axPos val="b"/>
        <c:numFmt formatCode="General" sourceLinked="1"/>
        <c:majorTickMark val="out"/>
        <c:minorTickMark val="none"/>
        <c:tickLblPos val="low"/>
        <c:txPr>
          <a:bodyPr rot="-5400000" vert="horz"/>
          <a:lstStyle/>
          <a:p>
            <a:pPr>
              <a:defRPr sz="900">
                <a:solidFill>
                  <a:schemeClr val="bg1">
                    <a:lumMod val="50000"/>
                  </a:schemeClr>
                </a:solidFill>
              </a:defRPr>
            </a:pPr>
            <a:endParaRPr lang="en-US"/>
          </a:p>
        </c:txPr>
        <c:crossAx val="884645248"/>
        <c:crosses val="autoZero"/>
        <c:auto val="1"/>
        <c:lblAlgn val="ctr"/>
        <c:lblOffset val="100"/>
        <c:tickLblSkip val="1"/>
        <c:tickMarkSkip val="1"/>
        <c:noMultiLvlLbl val="0"/>
      </c:catAx>
      <c:valAx>
        <c:axId val="884645248"/>
        <c:scaling>
          <c:orientation val="minMax"/>
        </c:scaling>
        <c:delete val="0"/>
        <c:axPos val="l"/>
        <c:numFmt formatCode="_(* #,##0_);_(* \(#,##0\);_(* &quot;-&quot;_);_(@_)" sourceLinked="1"/>
        <c:majorTickMark val="out"/>
        <c:minorTickMark val="none"/>
        <c:tickLblPos val="nextTo"/>
        <c:txPr>
          <a:bodyPr rot="0" vert="horz"/>
          <a:lstStyle/>
          <a:p>
            <a:pPr>
              <a:defRPr sz="900">
                <a:solidFill>
                  <a:schemeClr val="bg1">
                    <a:lumMod val="50000"/>
                  </a:schemeClr>
                </a:solidFill>
              </a:defRPr>
            </a:pPr>
            <a:endParaRPr lang="en-US"/>
          </a:p>
        </c:txPr>
        <c:crossAx val="884643712"/>
        <c:crosses val="autoZero"/>
        <c:crossBetween val="midCat"/>
      </c:valAx>
    </c:plotArea>
    <c:legend>
      <c:legendPos val="r"/>
      <c:layout>
        <c:manualLayout>
          <c:xMode val="edge"/>
          <c:yMode val="edge"/>
          <c:x val="0.25701069738516502"/>
          <c:y val="2.5003556621067041E-2"/>
          <c:w val="0.68114717596072127"/>
          <c:h val="8.2848903146365963E-2"/>
        </c:manualLayout>
      </c:layout>
      <c:overlay val="0"/>
      <c:txPr>
        <a:bodyPr/>
        <a:lstStyle/>
        <a:p>
          <a:pPr>
            <a:defRPr sz="800">
              <a:solidFill>
                <a:schemeClr val="bg1">
                  <a:lumMod val="50000"/>
                </a:schemeClr>
              </a:solidFill>
            </a:defRPr>
          </a:pPr>
          <a:endParaRPr lang="en-US"/>
        </a:p>
      </c:txPr>
    </c:legend>
    <c:plotVisOnly val="0"/>
    <c:dispBlanksAs val="zero"/>
    <c:showDLblsOverMax val="0"/>
  </c:chart>
  <c:spPr>
    <a:ln>
      <a:noFill/>
    </a:ln>
  </c:spPr>
  <c:txPr>
    <a:bodyPr/>
    <a:lstStyle/>
    <a:p>
      <a:pPr>
        <a:defRPr>
          <a:latin typeface="Arial" panose="020B0604020202020204" pitchFamily="34" charset="0"/>
          <a:cs typeface="Arial" panose="020B0604020202020204" pitchFamily="34" charset="0"/>
        </a:defRPr>
      </a:pPr>
      <a:endParaRPr lang="en-US"/>
    </a:p>
  </c:txPr>
  <c:printSettings>
    <c:headerFooter alignWithMargins="0"/>
    <c:pageMargins b="1" l="0.75" r="0.75" t="1" header="0.5" footer="0.5"/>
    <c:pageSetup paperSize="0" orientation="portrait" horizontalDpi="0" verticalDpi="0" copies="0"/>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824797843665768"/>
          <c:y val="0.12863640008339081"/>
          <c:w val="0.81401617250673852"/>
          <c:h val="0.69841012235995958"/>
        </c:manualLayout>
      </c:layout>
      <c:areaChart>
        <c:grouping val="percentStacked"/>
        <c:varyColors val="0"/>
        <c:ser>
          <c:idx val="0"/>
          <c:order val="0"/>
          <c:tx>
            <c:strRef>
              <c:f>Financials!$A$37</c:f>
              <c:strCache>
                <c:ptCount val="1"/>
                <c:pt idx="0">
                  <c:v>Sugar</c:v>
                </c:pt>
              </c:strCache>
            </c:strRef>
          </c:tx>
          <c:cat>
            <c:numRef>
              <c:f>Financials!$G$35:$W$35</c:f>
              <c:numCache>
                <c:formatCode>General</c:formatCode>
                <c:ptCount val="17"/>
                <c:pt idx="0">
                  <c:v>2009</c:v>
                </c:pt>
                <c:pt idx="1">
                  <c:v>2010</c:v>
                </c:pt>
                <c:pt idx="2">
                  <c:v>2011</c:v>
                </c:pt>
                <c:pt idx="3">
                  <c:v>2012</c:v>
                </c:pt>
                <c:pt idx="4">
                  <c:v>2013</c:v>
                </c:pt>
                <c:pt idx="5">
                  <c:v>2014</c:v>
                </c:pt>
                <c:pt idx="6">
                  <c:v>2015</c:v>
                </c:pt>
                <c:pt idx="7">
                  <c:v>2016</c:v>
                </c:pt>
                <c:pt idx="8">
                  <c:v>2017</c:v>
                </c:pt>
                <c:pt idx="9" formatCode="General&quot;E&quot;">
                  <c:v>2018</c:v>
                </c:pt>
                <c:pt idx="10" formatCode="General&quot;E&quot;">
                  <c:v>2019</c:v>
                </c:pt>
                <c:pt idx="11" formatCode="General&quot;E&quot;">
                  <c:v>2020</c:v>
                </c:pt>
                <c:pt idx="12" formatCode="General&quot;E&quot;">
                  <c:v>2021</c:v>
                </c:pt>
                <c:pt idx="13" formatCode="General&quot;E&quot;">
                  <c:v>2022</c:v>
                </c:pt>
                <c:pt idx="14" formatCode="General&quot;E&quot;">
                  <c:v>2023</c:v>
                </c:pt>
                <c:pt idx="15" formatCode="General&quot;E&quot;">
                  <c:v>2024</c:v>
                </c:pt>
                <c:pt idx="16" formatCode="General&quot;E&quot;">
                  <c:v>2025</c:v>
                </c:pt>
              </c:numCache>
            </c:numRef>
          </c:cat>
          <c:val>
            <c:numRef>
              <c:f>Financials!$G$37:$W$37</c:f>
              <c:numCache>
                <c:formatCode>_(* #,##0_);_(* \(#,##0\);_(* "-"_);_(@_)</c:formatCode>
                <c:ptCount val="17"/>
                <c:pt idx="0">
                  <c:v>229.102</c:v>
                </c:pt>
                <c:pt idx="1">
                  <c:v>582.25300000000004</c:v>
                </c:pt>
                <c:pt idx="2">
                  <c:v>702.17499999999995</c:v>
                </c:pt>
                <c:pt idx="3">
                  <c:v>766.68700000000001</c:v>
                </c:pt>
                <c:pt idx="4">
                  <c:v>950.32600000000002</c:v>
                </c:pt>
                <c:pt idx="5">
                  <c:v>884.274</c:v>
                </c:pt>
                <c:pt idx="6">
                  <c:v>1089.1469999999999</c:v>
                </c:pt>
                <c:pt idx="7">
                  <c:v>1258.73</c:v>
                </c:pt>
                <c:pt idx="8">
                  <c:v>1644.63</c:v>
                </c:pt>
                <c:pt idx="9">
                  <c:v>1964.0391383325343</c:v>
                </c:pt>
                <c:pt idx="10">
                  <c:v>1777.9307125647576</c:v>
                </c:pt>
                <c:pt idx="11">
                  <c:v>1886.329158677735</c:v>
                </c:pt>
                <c:pt idx="12">
                  <c:v>2337.0932331010231</c:v>
                </c:pt>
                <c:pt idx="13">
                  <c:v>2545.985218926261</c:v>
                </c:pt>
                <c:pt idx="14">
                  <c:v>2178.3972873266416</c:v>
                </c:pt>
                <c:pt idx="15">
                  <c:v>1928.3817042516089</c:v>
                </c:pt>
                <c:pt idx="16">
                  <c:v>2250.2563740321998</c:v>
                </c:pt>
              </c:numCache>
            </c:numRef>
          </c:val>
        </c:ser>
        <c:ser>
          <c:idx val="1"/>
          <c:order val="1"/>
          <c:tx>
            <c:strRef>
              <c:f>Financials!$A$38</c:f>
              <c:strCache>
                <c:ptCount val="1"/>
                <c:pt idx="0">
                  <c:v>Ethanol</c:v>
                </c:pt>
              </c:strCache>
            </c:strRef>
          </c:tx>
          <c:cat>
            <c:numRef>
              <c:f>Financials!$G$35:$W$35</c:f>
              <c:numCache>
                <c:formatCode>General</c:formatCode>
                <c:ptCount val="17"/>
                <c:pt idx="0">
                  <c:v>2009</c:v>
                </c:pt>
                <c:pt idx="1">
                  <c:v>2010</c:v>
                </c:pt>
                <c:pt idx="2">
                  <c:v>2011</c:v>
                </c:pt>
                <c:pt idx="3">
                  <c:v>2012</c:v>
                </c:pt>
                <c:pt idx="4">
                  <c:v>2013</c:v>
                </c:pt>
                <c:pt idx="5">
                  <c:v>2014</c:v>
                </c:pt>
                <c:pt idx="6">
                  <c:v>2015</c:v>
                </c:pt>
                <c:pt idx="7">
                  <c:v>2016</c:v>
                </c:pt>
                <c:pt idx="8">
                  <c:v>2017</c:v>
                </c:pt>
                <c:pt idx="9" formatCode="General&quot;E&quot;">
                  <c:v>2018</c:v>
                </c:pt>
                <c:pt idx="10" formatCode="General&quot;E&quot;">
                  <c:v>2019</c:v>
                </c:pt>
                <c:pt idx="11" formatCode="General&quot;E&quot;">
                  <c:v>2020</c:v>
                </c:pt>
                <c:pt idx="12" formatCode="General&quot;E&quot;">
                  <c:v>2021</c:v>
                </c:pt>
                <c:pt idx="13" formatCode="General&quot;E&quot;">
                  <c:v>2022</c:v>
                </c:pt>
                <c:pt idx="14" formatCode="General&quot;E&quot;">
                  <c:v>2023</c:v>
                </c:pt>
                <c:pt idx="15" formatCode="General&quot;E&quot;">
                  <c:v>2024</c:v>
                </c:pt>
                <c:pt idx="16" formatCode="General&quot;E&quot;">
                  <c:v>2025</c:v>
                </c:pt>
              </c:numCache>
            </c:numRef>
          </c:cat>
          <c:val>
            <c:numRef>
              <c:f>Financials!$G$38:$W$38</c:f>
              <c:numCache>
                <c:formatCode>_(* #,##0_);_(* \(#,##0\);_(* "-"_);_(@_)</c:formatCode>
                <c:ptCount val="17"/>
                <c:pt idx="0">
                  <c:v>481.524</c:v>
                </c:pt>
                <c:pt idx="1">
                  <c:v>522.83799999999997</c:v>
                </c:pt>
                <c:pt idx="2">
                  <c:v>520.95900000000006</c:v>
                </c:pt>
                <c:pt idx="3">
                  <c:v>505.07</c:v>
                </c:pt>
                <c:pt idx="4">
                  <c:v>546.16599999999994</c:v>
                </c:pt>
                <c:pt idx="5">
                  <c:v>841.13300000000004</c:v>
                </c:pt>
                <c:pt idx="6">
                  <c:v>962.45299999999997</c:v>
                </c:pt>
                <c:pt idx="7">
                  <c:v>1301.662</c:v>
                </c:pt>
                <c:pt idx="8">
                  <c:v>1238.877</c:v>
                </c:pt>
                <c:pt idx="9">
                  <c:v>1487.6537955628992</c:v>
                </c:pt>
                <c:pt idx="10">
                  <c:v>1726.1524818358384</c:v>
                </c:pt>
                <c:pt idx="11">
                  <c:v>1893.594377638283</c:v>
                </c:pt>
                <c:pt idx="12">
                  <c:v>2034.2241783676059</c:v>
                </c:pt>
                <c:pt idx="13">
                  <c:v>2131.1404245326653</c:v>
                </c:pt>
                <c:pt idx="14">
                  <c:v>2232.676993814548</c:v>
                </c:pt>
                <c:pt idx="15">
                  <c:v>2339.0510030185833</c:v>
                </c:pt>
                <c:pt idx="16">
                  <c:v>2554.2030595068245</c:v>
                </c:pt>
              </c:numCache>
            </c:numRef>
          </c:val>
        </c:ser>
        <c:ser>
          <c:idx val="2"/>
          <c:order val="2"/>
          <c:tx>
            <c:strRef>
              <c:f>Financials!$A$39</c:f>
              <c:strCache>
                <c:ptCount val="1"/>
                <c:pt idx="0">
                  <c:v>Energy</c:v>
                </c:pt>
              </c:strCache>
            </c:strRef>
          </c:tx>
          <c:cat>
            <c:numRef>
              <c:f>Financials!$G$35:$W$35</c:f>
              <c:numCache>
                <c:formatCode>General</c:formatCode>
                <c:ptCount val="17"/>
                <c:pt idx="0">
                  <c:v>2009</c:v>
                </c:pt>
                <c:pt idx="1">
                  <c:v>2010</c:v>
                </c:pt>
                <c:pt idx="2">
                  <c:v>2011</c:v>
                </c:pt>
                <c:pt idx="3">
                  <c:v>2012</c:v>
                </c:pt>
                <c:pt idx="4">
                  <c:v>2013</c:v>
                </c:pt>
                <c:pt idx="5">
                  <c:v>2014</c:v>
                </c:pt>
                <c:pt idx="6">
                  <c:v>2015</c:v>
                </c:pt>
                <c:pt idx="7">
                  <c:v>2016</c:v>
                </c:pt>
                <c:pt idx="8">
                  <c:v>2017</c:v>
                </c:pt>
                <c:pt idx="9" formatCode="General&quot;E&quot;">
                  <c:v>2018</c:v>
                </c:pt>
                <c:pt idx="10" formatCode="General&quot;E&quot;">
                  <c:v>2019</c:v>
                </c:pt>
                <c:pt idx="11" formatCode="General&quot;E&quot;">
                  <c:v>2020</c:v>
                </c:pt>
                <c:pt idx="12" formatCode="General&quot;E&quot;">
                  <c:v>2021</c:v>
                </c:pt>
                <c:pt idx="13" formatCode="General&quot;E&quot;">
                  <c:v>2022</c:v>
                </c:pt>
                <c:pt idx="14" formatCode="General&quot;E&quot;">
                  <c:v>2023</c:v>
                </c:pt>
                <c:pt idx="15" formatCode="General&quot;E&quot;">
                  <c:v>2024</c:v>
                </c:pt>
                <c:pt idx="16" formatCode="General&quot;E&quot;">
                  <c:v>2025</c:v>
                </c:pt>
              </c:numCache>
            </c:numRef>
          </c:cat>
          <c:val>
            <c:numRef>
              <c:f>Financials!$G$39:$W$39</c:f>
              <c:numCache>
                <c:formatCode>_(* #,##0_);_(* \(#,##0\);_(* "-"_);_(@_)</c:formatCode>
                <c:ptCount val="17"/>
                <c:pt idx="0">
                  <c:v>16.445</c:v>
                </c:pt>
                <c:pt idx="1">
                  <c:v>22.300999999999998</c:v>
                </c:pt>
                <c:pt idx="2">
                  <c:v>23.946000000000002</c:v>
                </c:pt>
                <c:pt idx="3">
                  <c:v>27.593</c:v>
                </c:pt>
                <c:pt idx="4">
                  <c:v>44.408000000000001</c:v>
                </c:pt>
                <c:pt idx="5">
                  <c:v>77.272999999999996</c:v>
                </c:pt>
                <c:pt idx="6">
                  <c:v>189.114</c:v>
                </c:pt>
                <c:pt idx="7">
                  <c:v>185.57300000000001</c:v>
                </c:pt>
                <c:pt idx="8">
                  <c:v>152.089</c:v>
                </c:pt>
                <c:pt idx="9">
                  <c:v>165.15</c:v>
                </c:pt>
                <c:pt idx="10">
                  <c:v>163.50000000000003</c:v>
                </c:pt>
                <c:pt idx="11">
                  <c:v>172.02674999999999</c:v>
                </c:pt>
                <c:pt idx="12">
                  <c:v>180.9924</c:v>
                </c:pt>
                <c:pt idx="13">
                  <c:v>190.421061912</c:v>
                </c:pt>
                <c:pt idx="14">
                  <c:v>200.33811978585598</c:v>
                </c:pt>
                <c:pt idx="15">
                  <c:v>210.77029507674968</c:v>
                </c:pt>
                <c:pt idx="16">
                  <c:v>221.74571519333659</c:v>
                </c:pt>
              </c:numCache>
            </c:numRef>
          </c:val>
        </c:ser>
        <c:ser>
          <c:idx val="4"/>
          <c:order val="3"/>
          <c:tx>
            <c:strRef>
              <c:f>Financials!$A$40</c:f>
              <c:strCache>
                <c:ptCount val="1"/>
                <c:pt idx="0">
                  <c:v>Other</c:v>
                </c:pt>
              </c:strCache>
            </c:strRef>
          </c:tx>
          <c:cat>
            <c:numRef>
              <c:f>Financials!$G$35:$W$35</c:f>
              <c:numCache>
                <c:formatCode>General</c:formatCode>
                <c:ptCount val="17"/>
                <c:pt idx="0">
                  <c:v>2009</c:v>
                </c:pt>
                <c:pt idx="1">
                  <c:v>2010</c:v>
                </c:pt>
                <c:pt idx="2">
                  <c:v>2011</c:v>
                </c:pt>
                <c:pt idx="3">
                  <c:v>2012</c:v>
                </c:pt>
                <c:pt idx="4">
                  <c:v>2013</c:v>
                </c:pt>
                <c:pt idx="5">
                  <c:v>2014</c:v>
                </c:pt>
                <c:pt idx="6">
                  <c:v>2015</c:v>
                </c:pt>
                <c:pt idx="7">
                  <c:v>2016</c:v>
                </c:pt>
                <c:pt idx="8">
                  <c:v>2017</c:v>
                </c:pt>
                <c:pt idx="9" formatCode="General&quot;E&quot;">
                  <c:v>2018</c:v>
                </c:pt>
                <c:pt idx="10" formatCode="General&quot;E&quot;">
                  <c:v>2019</c:v>
                </c:pt>
                <c:pt idx="11" formatCode="General&quot;E&quot;">
                  <c:v>2020</c:v>
                </c:pt>
                <c:pt idx="12" formatCode="General&quot;E&quot;">
                  <c:v>2021</c:v>
                </c:pt>
                <c:pt idx="13" formatCode="General&quot;E&quot;">
                  <c:v>2022</c:v>
                </c:pt>
                <c:pt idx="14" formatCode="General&quot;E&quot;">
                  <c:v>2023</c:v>
                </c:pt>
                <c:pt idx="15" formatCode="General&quot;E&quot;">
                  <c:v>2024</c:v>
                </c:pt>
                <c:pt idx="16" formatCode="General&quot;E&quot;">
                  <c:v>2025</c:v>
                </c:pt>
              </c:numCache>
            </c:numRef>
          </c:cat>
          <c:val>
            <c:numRef>
              <c:f>Financials!$G$40:$W$40</c:f>
              <c:numCache>
                <c:formatCode>_(* #,##0_);_(* \(#,##0\);_(* "-"_);_(@_)</c:formatCode>
                <c:ptCount val="17"/>
                <c:pt idx="0">
                  <c:v>47.372</c:v>
                </c:pt>
                <c:pt idx="1">
                  <c:v>55.895000000000003</c:v>
                </c:pt>
                <c:pt idx="2">
                  <c:v>47.965000000000003</c:v>
                </c:pt>
                <c:pt idx="3">
                  <c:v>67.64</c:v>
                </c:pt>
                <c:pt idx="4">
                  <c:v>95.054000000000002</c:v>
                </c:pt>
                <c:pt idx="5">
                  <c:v>168.49199999999999</c:v>
                </c:pt>
                <c:pt idx="6">
                  <c:v>84.448000000000008</c:v>
                </c:pt>
                <c:pt idx="7">
                  <c:v>-18.586000000000006</c:v>
                </c:pt>
                <c:pt idx="8">
                  <c:v>-32.714000000000013</c:v>
                </c:pt>
                <c:pt idx="9">
                  <c:v>39.918199999999999</c:v>
                </c:pt>
                <c:pt idx="10">
                  <c:v>114.51264</c:v>
                </c:pt>
                <c:pt idx="11">
                  <c:v>132.83466239999998</c:v>
                </c:pt>
                <c:pt idx="12">
                  <c:v>148.77482188799999</c:v>
                </c:pt>
                <c:pt idx="13">
                  <c:v>163.65230407680002</c:v>
                </c:pt>
                <c:pt idx="14">
                  <c:v>176.744488402944</c:v>
                </c:pt>
                <c:pt idx="15">
                  <c:v>187.34915770712064</c:v>
                </c:pt>
                <c:pt idx="16">
                  <c:v>194.84312401540546</c:v>
                </c:pt>
              </c:numCache>
            </c:numRef>
          </c:val>
        </c:ser>
        <c:dLbls>
          <c:showLegendKey val="0"/>
          <c:showVal val="0"/>
          <c:showCatName val="0"/>
          <c:showSerName val="0"/>
          <c:showPercent val="0"/>
          <c:showBubbleSize val="0"/>
        </c:dLbls>
        <c:axId val="888092160"/>
        <c:axId val="888093696"/>
      </c:areaChart>
      <c:catAx>
        <c:axId val="888092160"/>
        <c:scaling>
          <c:orientation val="minMax"/>
        </c:scaling>
        <c:delete val="0"/>
        <c:axPos val="b"/>
        <c:numFmt formatCode="General" sourceLinked="1"/>
        <c:majorTickMark val="out"/>
        <c:minorTickMark val="none"/>
        <c:tickLblPos val="low"/>
        <c:txPr>
          <a:bodyPr rot="-5400000" vert="horz"/>
          <a:lstStyle/>
          <a:p>
            <a:pPr>
              <a:defRPr sz="900">
                <a:solidFill>
                  <a:schemeClr val="bg1">
                    <a:lumMod val="50000"/>
                  </a:schemeClr>
                </a:solidFill>
              </a:defRPr>
            </a:pPr>
            <a:endParaRPr lang="en-US"/>
          </a:p>
        </c:txPr>
        <c:crossAx val="888093696"/>
        <c:crosses val="autoZero"/>
        <c:auto val="1"/>
        <c:lblAlgn val="ctr"/>
        <c:lblOffset val="100"/>
        <c:tickLblSkip val="1"/>
        <c:tickMarkSkip val="1"/>
        <c:noMultiLvlLbl val="0"/>
      </c:catAx>
      <c:valAx>
        <c:axId val="888093696"/>
        <c:scaling>
          <c:orientation val="minMax"/>
        </c:scaling>
        <c:delete val="0"/>
        <c:axPos val="l"/>
        <c:majorGridlines/>
        <c:numFmt formatCode="0%" sourceLinked="1"/>
        <c:majorTickMark val="out"/>
        <c:minorTickMark val="none"/>
        <c:tickLblPos val="nextTo"/>
        <c:txPr>
          <a:bodyPr rot="0" vert="horz"/>
          <a:lstStyle/>
          <a:p>
            <a:pPr>
              <a:defRPr sz="900">
                <a:solidFill>
                  <a:schemeClr val="bg1">
                    <a:lumMod val="50000"/>
                  </a:schemeClr>
                </a:solidFill>
              </a:defRPr>
            </a:pPr>
            <a:endParaRPr lang="en-US"/>
          </a:p>
        </c:txPr>
        <c:crossAx val="888092160"/>
        <c:crosses val="autoZero"/>
        <c:crossBetween val="midCat"/>
      </c:valAx>
    </c:plotArea>
    <c:legend>
      <c:legendPos val="r"/>
      <c:layout>
        <c:manualLayout>
          <c:xMode val="edge"/>
          <c:yMode val="edge"/>
          <c:x val="0.11314095121487829"/>
          <c:y val="2.8027647256923856E-2"/>
          <c:w val="0.77732199024719761"/>
          <c:h val="7.3345093574097533E-2"/>
        </c:manualLayout>
      </c:layout>
      <c:overlay val="0"/>
      <c:txPr>
        <a:bodyPr/>
        <a:lstStyle/>
        <a:p>
          <a:pPr>
            <a:defRPr sz="800">
              <a:solidFill>
                <a:schemeClr val="bg1">
                  <a:lumMod val="50000"/>
                </a:schemeClr>
              </a:solidFill>
            </a:defRPr>
          </a:pPr>
          <a:endParaRPr lang="en-US"/>
        </a:p>
      </c:txPr>
    </c:legend>
    <c:plotVisOnly val="0"/>
    <c:dispBlanksAs val="zero"/>
    <c:showDLblsOverMax val="0"/>
  </c:chart>
  <c:spPr>
    <a:ln>
      <a:noFill/>
    </a:ln>
  </c:spPr>
  <c:txPr>
    <a:bodyPr/>
    <a:lstStyle/>
    <a:p>
      <a:pPr>
        <a:defRPr>
          <a:latin typeface="Arial" panose="020B0604020202020204" pitchFamily="34" charset="0"/>
          <a:cs typeface="Arial" panose="020B0604020202020204" pitchFamily="34" charset="0"/>
        </a:defRPr>
      </a:pPr>
      <a:endParaRPr lang="en-US"/>
    </a:p>
  </c:txPr>
  <c:printSettings>
    <c:headerFooter alignWithMargins="0"/>
    <c:pageMargins b="1" l="0.75" r="0.75" t="1" header="0.5" footer="0.5"/>
    <c:pageSetup paperSize="0" orientation="portrait" horizontalDpi="0" verticalDpi="0" copies="0"/>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496083550913843E-2"/>
          <c:y val="4.7169956177390976E-2"/>
          <c:w val="0.835509138381201"/>
          <c:h val="0.81446790999628416"/>
        </c:manualLayout>
      </c:layout>
      <c:areaChart>
        <c:grouping val="standard"/>
        <c:varyColors val="0"/>
        <c:ser>
          <c:idx val="4"/>
          <c:order val="0"/>
          <c:tx>
            <c:v>Bull-Bear Scenario</c:v>
          </c:tx>
          <c:spPr>
            <a:solidFill>
              <a:schemeClr val="bg1">
                <a:lumMod val="85000"/>
              </a:schemeClr>
            </a:solidFill>
            <a:ln w="12700">
              <a:noFill/>
              <a:prstDash val="solid"/>
            </a:ln>
          </c:spPr>
          <c:cat>
            <c:strRef>
              <c:f>ChartSupport!$B$37:$W$37</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ChartSupport!$B$110:$W$110</c:f>
              <c:numCache>
                <c:formatCode>0.0%</c:formatCode>
                <c:ptCount val="22"/>
                <c:pt idx="0" formatCode="#,##0.0">
                  <c:v>#N/A</c:v>
                </c:pt>
                <c:pt idx="1">
                  <c:v>4.0399902683557441E-2</c:v>
                </c:pt>
                <c:pt idx="2">
                  <c:v>0.18952681471194455</c:v>
                </c:pt>
                <c:pt idx="3">
                  <c:v>0.21236795516004561</c:v>
                </c:pt>
                <c:pt idx="4">
                  <c:v>-2.9059771030873208E-2</c:v>
                </c:pt>
                <c:pt idx="5">
                  <c:v>-4.4029746500411762E-2</c:v>
                </c:pt>
                <c:pt idx="6">
                  <c:v>6.1547189609424513E-2</c:v>
                </c:pt>
                <c:pt idx="7">
                  <c:v>7.4521666856081262E-2</c:v>
                </c:pt>
                <c:pt idx="8">
                  <c:v>6.4814843254876381E-2</c:v>
                </c:pt>
                <c:pt idx="9">
                  <c:v>3.6028534401694109E-2</c:v>
                </c:pt>
                <c:pt idx="10">
                  <c:v>6.4267784179600579E-2</c:v>
                </c:pt>
                <c:pt idx="11">
                  <c:v>0.15281567203865967</c:v>
                </c:pt>
                <c:pt idx="12">
                  <c:v>7.6233761517687681E-2</c:v>
                </c:pt>
                <c:pt idx="13">
                  <c:v>0.10726529199572134</c:v>
                </c:pt>
                <c:pt idx="14">
                  <c:v>0.19612920603389325</c:v>
                </c:pt>
                <c:pt idx="15">
                  <c:v>0.25281153947301399</c:v>
                </c:pt>
                <c:pt idx="16">
                  <c:v>0.28426848955399059</c:v>
                </c:pt>
                <c:pt idx="17">
                  <c:v>0.29241263130066514</c:v>
                </c:pt>
                <c:pt idx="18">
                  <c:v>0.25138505491931773</c:v>
                </c:pt>
                <c:pt idx="19">
                  <c:v>0.22222816795704231</c:v>
                </c:pt>
                <c:pt idx="20">
                  <c:v>0.23834736089458766</c:v>
                </c:pt>
                <c:pt idx="21">
                  <c:v>0.26321977351841541</c:v>
                </c:pt>
              </c:numCache>
            </c:numRef>
          </c:val>
        </c:ser>
        <c:ser>
          <c:idx val="3"/>
          <c:order val="1"/>
          <c:tx>
            <c:v>Bear Scenario</c:v>
          </c:tx>
          <c:spPr>
            <a:solidFill>
              <a:srgbClr val="FFFFFF"/>
            </a:solidFill>
            <a:ln w="12700">
              <a:noFill/>
              <a:prstDash val="solid"/>
            </a:ln>
          </c:spPr>
          <c:cat>
            <c:strRef>
              <c:f>ChartSupport!$B$37:$W$37</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ChartSupport!$B$108:$W$108</c:f>
              <c:numCache>
                <c:formatCode>0.0%</c:formatCode>
                <c:ptCount val="22"/>
                <c:pt idx="0" formatCode="#,##0.0">
                  <c:v>#N/A</c:v>
                </c:pt>
                <c:pt idx="1">
                  <c:v>4.0399902683557441E-2</c:v>
                </c:pt>
                <c:pt idx="2">
                  <c:v>0.18952681471194455</c:v>
                </c:pt>
                <c:pt idx="3">
                  <c:v>0.21236795516004561</c:v>
                </c:pt>
                <c:pt idx="4">
                  <c:v>-2.9059771030873208E-2</c:v>
                </c:pt>
                <c:pt idx="5">
                  <c:v>-4.4029746500411762E-2</c:v>
                </c:pt>
                <c:pt idx="6">
                  <c:v>6.1547189609424513E-2</c:v>
                </c:pt>
                <c:pt idx="7">
                  <c:v>7.4521666856081262E-2</c:v>
                </c:pt>
                <c:pt idx="8">
                  <c:v>6.4814843254876381E-2</c:v>
                </c:pt>
                <c:pt idx="9">
                  <c:v>3.6028534401694109E-2</c:v>
                </c:pt>
                <c:pt idx="10">
                  <c:v>6.4267784179600579E-2</c:v>
                </c:pt>
                <c:pt idx="11">
                  <c:v>0.15281567203865967</c:v>
                </c:pt>
                <c:pt idx="12">
                  <c:v>7.6233761517687681E-2</c:v>
                </c:pt>
                <c:pt idx="13">
                  <c:v>0.10726529199572134</c:v>
                </c:pt>
                <c:pt idx="14">
                  <c:v>0.12265280350895423</c:v>
                </c:pt>
                <c:pt idx="15">
                  <c:v>8.5873714227586037E-2</c:v>
                </c:pt>
                <c:pt idx="16">
                  <c:v>0.12671707780060831</c:v>
                </c:pt>
                <c:pt idx="17">
                  <c:v>0.14908313981029275</c:v>
                </c:pt>
                <c:pt idx="18">
                  <c:v>0.11402469886816295</c:v>
                </c:pt>
                <c:pt idx="19">
                  <c:v>7.8191940398683782E-2</c:v>
                </c:pt>
                <c:pt idx="20">
                  <c:v>7.4604516476437552E-2</c:v>
                </c:pt>
                <c:pt idx="21">
                  <c:v>9.7573506589162487E-2</c:v>
                </c:pt>
              </c:numCache>
            </c:numRef>
          </c:val>
        </c:ser>
        <c:dLbls>
          <c:showLegendKey val="0"/>
          <c:showVal val="0"/>
          <c:showCatName val="0"/>
          <c:showSerName val="0"/>
          <c:showPercent val="0"/>
          <c:showBubbleSize val="0"/>
        </c:dLbls>
        <c:axId val="888157696"/>
        <c:axId val="888159232"/>
      </c:areaChart>
      <c:lineChart>
        <c:grouping val="standard"/>
        <c:varyColors val="0"/>
        <c:ser>
          <c:idx val="2"/>
          <c:order val="2"/>
          <c:tx>
            <c:v>Base Scenario</c:v>
          </c:tx>
          <c:spPr>
            <a:ln w="25400">
              <a:solidFill>
                <a:schemeClr val="accent1"/>
              </a:solidFill>
              <a:prstDash val="solid"/>
            </a:ln>
          </c:spPr>
          <c:marker>
            <c:symbol val="none"/>
          </c:marker>
          <c:cat>
            <c:strRef>
              <c:f>ChartSupport!$B$37:$W$37</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ChartSupport!$B$109:$W$109</c:f>
              <c:numCache>
                <c:formatCode>0.0%</c:formatCode>
                <c:ptCount val="22"/>
                <c:pt idx="0" formatCode="#,##0.0">
                  <c:v>#N/A</c:v>
                </c:pt>
                <c:pt idx="1">
                  <c:v>4.0399902683557441E-2</c:v>
                </c:pt>
                <c:pt idx="2">
                  <c:v>0.18952681471194455</c:v>
                </c:pt>
                <c:pt idx="3">
                  <c:v>0.21236795516004561</c:v>
                </c:pt>
                <c:pt idx="4">
                  <c:v>-2.9059771030873208E-2</c:v>
                </c:pt>
                <c:pt idx="5">
                  <c:v>-4.4029746500411762E-2</c:v>
                </c:pt>
                <c:pt idx="6">
                  <c:v>6.1547189609424513E-2</c:v>
                </c:pt>
                <c:pt idx="7">
                  <c:v>7.4521666856081262E-2</c:v>
                </c:pt>
                <c:pt idx="8">
                  <c:v>6.4814843254876381E-2</c:v>
                </c:pt>
                <c:pt idx="9">
                  <c:v>3.6028534401694109E-2</c:v>
                </c:pt>
                <c:pt idx="10">
                  <c:v>6.4267784179600579E-2</c:v>
                </c:pt>
                <c:pt idx="11">
                  <c:v>0.15281567203865967</c:v>
                </c:pt>
                <c:pt idx="12">
                  <c:v>7.6233761517687681E-2</c:v>
                </c:pt>
                <c:pt idx="13">
                  <c:v>0.10726529199572134</c:v>
                </c:pt>
                <c:pt idx="14">
                  <c:v>0.1536152599865698</c:v>
                </c:pt>
                <c:pt idx="15">
                  <c:v>0.16796228854269005</c:v>
                </c:pt>
                <c:pt idx="16">
                  <c:v>0.18327249842198215</c:v>
                </c:pt>
                <c:pt idx="17">
                  <c:v>0.20764017164641008</c:v>
                </c:pt>
                <c:pt idx="18">
                  <c:v>0.20741899524148216</c:v>
                </c:pt>
                <c:pt idx="19">
                  <c:v>0.16145871555437435</c:v>
                </c:pt>
                <c:pt idx="20">
                  <c:v>0.13558882832496355</c:v>
                </c:pt>
                <c:pt idx="21">
                  <c:v>0.17722014303754671</c:v>
                </c:pt>
              </c:numCache>
            </c:numRef>
          </c:val>
          <c:smooth val="0"/>
        </c:ser>
        <c:dLbls>
          <c:showLegendKey val="0"/>
          <c:showVal val="0"/>
          <c:showCatName val="0"/>
          <c:showSerName val="0"/>
          <c:showPercent val="0"/>
          <c:showBubbleSize val="0"/>
        </c:dLbls>
        <c:marker val="1"/>
        <c:smooth val="0"/>
        <c:axId val="888157696"/>
        <c:axId val="888159232"/>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ChartSupport!$B$37:$W$37</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ChartSupport!$B$179:$W$179</c:f>
              <c:numCache>
                <c:formatCode>#,##0.0</c:formatCode>
                <c:ptCount val="22"/>
                <c:pt idx="0">
                  <c:v>#N/A</c:v>
                </c:pt>
                <c:pt idx="1">
                  <c:v>#N/A</c:v>
                </c:pt>
                <c:pt idx="2" formatCode="0">
                  <c:v>13.545</c:v>
                </c:pt>
                <c:pt idx="3" formatCode="0">
                  <c:v>10.401666666666666</c:v>
                </c:pt>
                <c:pt idx="4" formatCode="0">
                  <c:v>12.4</c:v>
                </c:pt>
                <c:pt idx="5" formatCode="0">
                  <c:v>18.787500000000001</c:v>
                </c:pt>
                <c:pt idx="6" formatCode="0">
                  <c:v>23.440833333333334</c:v>
                </c:pt>
                <c:pt idx="7" formatCode="0">
                  <c:v>25.258333333333336</c:v>
                </c:pt>
                <c:pt idx="8" formatCode="0">
                  <c:v>20.410833333333333</c:v>
                </c:pt>
                <c:pt idx="9" formatCode="0">
                  <c:v>17.066666666666666</c:v>
                </c:pt>
                <c:pt idx="10" formatCode="0">
                  <c:v>15.978333333333333</c:v>
                </c:pt>
                <c:pt idx="11" formatCode="0">
                  <c:v>13.149166666666668</c:v>
                </c:pt>
                <c:pt idx="12" formatCode="0">
                  <c:v>19.252499999999998</c:v>
                </c:pt>
                <c:pt idx="13" formatCode="0">
                  <c:v>17.805000000000003</c:v>
                </c:pt>
                <c:pt idx="14" formatCode="0">
                  <c:v>16.244658605325153</c:v>
                </c:pt>
                <c:pt idx="15" formatCode="0">
                  <c:v>16.31531880717511</c:v>
                </c:pt>
                <c:pt idx="16" formatCode="0">
                  <c:v>16.498655235130911</c:v>
                </c:pt>
                <c:pt idx="17" formatCode="0">
                  <c:v>19.747444770453257</c:v>
                </c:pt>
                <c:pt idx="18" formatCode="0">
                  <c:v>20.93514679550681</c:v>
                </c:pt>
                <c:pt idx="19" formatCode="0">
                  <c:v>17.432162450241776</c:v>
                </c:pt>
                <c:pt idx="20" formatCode="0">
                  <c:v>15.017906650666538</c:v>
                </c:pt>
                <c:pt idx="21" formatCode="0">
                  <c:v>17.055276269110166</c:v>
                </c:pt>
              </c:numCache>
            </c:numRef>
          </c:val>
          <c:smooth val="0"/>
        </c:ser>
        <c:ser>
          <c:idx val="1"/>
          <c:order val="4"/>
          <c:tx>
            <c:v>zeroline</c:v>
          </c:tx>
          <c:spPr>
            <a:ln w="3175">
              <a:solidFill>
                <a:schemeClr val="bg1">
                  <a:lumMod val="50000"/>
                </a:schemeClr>
              </a:solidFill>
            </a:ln>
          </c:spPr>
          <c:marker>
            <c:symbol val="none"/>
          </c:marker>
          <c:val>
            <c:numRef>
              <c:f>ChartSupport!$B$421:$W$421</c:f>
              <c:numCache>
                <c:formatCode>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mooth val="0"/>
        </c:ser>
        <c:dLbls>
          <c:showLegendKey val="0"/>
          <c:showVal val="0"/>
          <c:showCatName val="0"/>
          <c:showSerName val="0"/>
          <c:showPercent val="0"/>
          <c:showBubbleSize val="0"/>
        </c:dLbls>
        <c:marker val="1"/>
        <c:smooth val="0"/>
        <c:axId val="888173696"/>
        <c:axId val="888175232"/>
      </c:lineChart>
      <c:catAx>
        <c:axId val="888157696"/>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88159232"/>
        <c:crossesAt val="0"/>
        <c:auto val="1"/>
        <c:lblAlgn val="ctr"/>
        <c:lblOffset val="100"/>
        <c:tickLblSkip val="1"/>
        <c:tickMarkSkip val="1"/>
        <c:noMultiLvlLbl val="0"/>
      </c:catAx>
      <c:valAx>
        <c:axId val="888159232"/>
        <c:scaling>
          <c:orientation val="minMax"/>
          <c:min val="-0.1"/>
        </c:scaling>
        <c:delete val="0"/>
        <c:axPos val="r"/>
        <c:title>
          <c:tx>
            <c:rich>
              <a:bodyPr rot="0" vert="horz"/>
              <a:lstStyle/>
              <a:p>
                <a:pPr marL="0" marR="0" indent="0" algn="ctr" defTabSz="914400" rtl="0" eaLnBrk="1" fontAlgn="auto" latinLnBrk="0" hangingPunct="1">
                  <a:lnSpc>
                    <a:spcPct val="100000"/>
                  </a:lnSpc>
                  <a:spcBef>
                    <a:spcPts val="0"/>
                  </a:spcBef>
                  <a:spcAft>
                    <a:spcPts val="0"/>
                  </a:spcAft>
                  <a:buClrTx/>
                  <a:buSzTx/>
                  <a:buFontTx/>
                  <a:buNone/>
                  <a:tabLst/>
                  <a:defRPr sz="900" b="0" i="0" u="none" strike="noStrike" kern="1200" baseline="0">
                    <a:solidFill>
                      <a:srgbClr val="808080"/>
                    </a:solidFill>
                    <a:latin typeface="Arial"/>
                    <a:ea typeface="Arial"/>
                    <a:cs typeface="Arial"/>
                  </a:defRPr>
                </a:pPr>
                <a:r>
                  <a:rPr lang="en-US" sz="900" b="0" i="0" baseline="0">
                    <a:effectLst/>
                  </a:rPr>
                  <a:t>US$ cents/lb</a:t>
                </a:r>
                <a:endParaRPr lang="en-US" sz="900">
                  <a:effectLst/>
                </a:endParaRPr>
              </a:p>
            </c:rich>
          </c:tx>
          <c:layout>
            <c:manualLayout>
              <c:xMode val="edge"/>
              <c:yMode val="edge"/>
              <c:x val="8.4002627288217238E-2"/>
              <c:y val="2.2029202376245012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8157696"/>
        <c:crosses val="max"/>
        <c:crossBetween val="midCat"/>
      </c:valAx>
      <c:catAx>
        <c:axId val="888173696"/>
        <c:scaling>
          <c:orientation val="minMax"/>
        </c:scaling>
        <c:delete val="1"/>
        <c:axPos val="b"/>
        <c:majorTickMark val="out"/>
        <c:minorTickMark val="none"/>
        <c:tickLblPos val="nextTo"/>
        <c:crossAx val="888175232"/>
        <c:crossesAt val="0"/>
        <c:auto val="1"/>
        <c:lblAlgn val="ctr"/>
        <c:lblOffset val="100"/>
        <c:noMultiLvlLbl val="0"/>
      </c:catAx>
      <c:valAx>
        <c:axId val="888175232"/>
        <c:scaling>
          <c:orientation val="minMax"/>
          <c:max val="30"/>
          <c:min val="0"/>
        </c:scaling>
        <c:delete val="0"/>
        <c:axPos val="l"/>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8173696"/>
        <c:crosses val="autoZero"/>
        <c:crossBetween val="midCat"/>
      </c:valAx>
      <c:spPr>
        <a:noFill/>
        <a:ln w="25400">
          <a:noFill/>
        </a:ln>
      </c:spPr>
    </c:plotArea>
    <c:legend>
      <c:legendPos val="r"/>
      <c:legendEntry>
        <c:idx val="1"/>
        <c:delete val="1"/>
      </c:legendEntry>
      <c:legendEntry>
        <c:idx val="4"/>
        <c:delete val="1"/>
      </c:legendEntry>
      <c:layout>
        <c:manualLayout>
          <c:xMode val="edge"/>
          <c:yMode val="edge"/>
          <c:x val="0.27221540703638464"/>
          <c:y val="0.69297908516152462"/>
          <c:w val="0.59827961320372047"/>
          <c:h val="0.15160185733836182"/>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62163695845249"/>
          <c:y val="5.079380826453455E-2"/>
          <c:w val="0.80270376201404403"/>
          <c:h val="0.78730402810028555"/>
        </c:manualLayout>
      </c:layout>
      <c:lineChart>
        <c:grouping val="standard"/>
        <c:varyColors val="0"/>
        <c:ser>
          <c:idx val="4"/>
          <c:order val="0"/>
          <c:tx>
            <c:strRef>
              <c:f>ChartSupport!$A$314</c:f>
              <c:strCache>
                <c:ptCount val="1"/>
                <c:pt idx="0">
                  <c:v>ROE</c:v>
                </c:pt>
              </c:strCache>
            </c:strRef>
          </c:tx>
          <c:spPr>
            <a:ln w="25400">
              <a:solidFill>
                <a:schemeClr val="accent1"/>
              </a:solidFill>
              <a:prstDash val="solid"/>
            </a:ln>
          </c:spPr>
          <c:marker>
            <c:symbol val="none"/>
          </c:marker>
          <c:cat>
            <c:strRef>
              <c:f>ChartSupport!$B$292:$W$292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ChartSupport!$B$314:$W$314</c:f>
              <c:numCache>
                <c:formatCode>0%</c:formatCode>
                <c:ptCount val="22"/>
                <c:pt idx="0" formatCode="#,##0.0">
                  <c:v>#N/A</c:v>
                </c:pt>
                <c:pt idx="1">
                  <c:v>4.0399902683557441E-2</c:v>
                </c:pt>
                <c:pt idx="2">
                  <c:v>0.18952681471194455</c:v>
                </c:pt>
                <c:pt idx="3">
                  <c:v>0.21236795516004561</c:v>
                </c:pt>
                <c:pt idx="4">
                  <c:v>-2.9059771030873208E-2</c:v>
                </c:pt>
                <c:pt idx="5">
                  <c:v>-4.4029746500411762E-2</c:v>
                </c:pt>
                <c:pt idx="6">
                  <c:v>6.1547189609424513E-2</c:v>
                </c:pt>
                <c:pt idx="7">
                  <c:v>7.4521666856081262E-2</c:v>
                </c:pt>
                <c:pt idx="8">
                  <c:v>6.4814843254876381E-2</c:v>
                </c:pt>
                <c:pt idx="9">
                  <c:v>3.6028534401694109E-2</c:v>
                </c:pt>
                <c:pt idx="10">
                  <c:v>6.4267784179600579E-2</c:v>
                </c:pt>
                <c:pt idx="11">
                  <c:v>0.15281567203865967</c:v>
                </c:pt>
                <c:pt idx="12">
                  <c:v>7.6233761517687681E-2</c:v>
                </c:pt>
                <c:pt idx="13">
                  <c:v>0.10726529199572134</c:v>
                </c:pt>
                <c:pt idx="14">
                  <c:v>0.1536152599865698</c:v>
                </c:pt>
                <c:pt idx="15">
                  <c:v>0.16796228854269005</c:v>
                </c:pt>
                <c:pt idx="16">
                  <c:v>0.18327249842198215</c:v>
                </c:pt>
                <c:pt idx="17">
                  <c:v>0.20764017164641008</c:v>
                </c:pt>
                <c:pt idx="18">
                  <c:v>0.20741899524148216</c:v>
                </c:pt>
                <c:pt idx="19">
                  <c:v>0.16145871555437435</c:v>
                </c:pt>
                <c:pt idx="20">
                  <c:v>0.13558882832496355</c:v>
                </c:pt>
                <c:pt idx="21">
                  <c:v>0.17722014303754671</c:v>
                </c:pt>
              </c:numCache>
            </c:numRef>
          </c:val>
          <c:smooth val="0"/>
        </c:ser>
        <c:ser>
          <c:idx val="9"/>
          <c:order val="1"/>
          <c:tx>
            <c:strRef>
              <c:f>ChartSupport!$A$315</c:f>
              <c:strCache>
                <c:ptCount val="1"/>
                <c:pt idx="0">
                  <c:v>ROCE</c:v>
                </c:pt>
              </c:strCache>
            </c:strRef>
          </c:tx>
          <c:spPr>
            <a:ln w="15875">
              <a:solidFill>
                <a:schemeClr val="accent3"/>
              </a:solidFill>
              <a:prstDash val="solid"/>
            </a:ln>
          </c:spPr>
          <c:marker>
            <c:symbol val="none"/>
          </c:marker>
          <c:cat>
            <c:strRef>
              <c:f>ChartSupport!$B$292:$W$292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ChartSupport!$B$315:$W$315</c:f>
              <c:numCache>
                <c:formatCode>0%</c:formatCode>
                <c:ptCount val="22"/>
                <c:pt idx="0" formatCode="#,##0.0">
                  <c:v>#N/A</c:v>
                </c:pt>
                <c:pt idx="1">
                  <c:v>4.9597239822901505E-2</c:v>
                </c:pt>
                <c:pt idx="2">
                  <c:v>0.13414572857799245</c:v>
                </c:pt>
                <c:pt idx="3">
                  <c:v>0.10421085489537274</c:v>
                </c:pt>
                <c:pt idx="4">
                  <c:v>0</c:v>
                </c:pt>
                <c:pt idx="5">
                  <c:v>1.089235211389904E-2</c:v>
                </c:pt>
                <c:pt idx="6">
                  <c:v>2.9418368219598305E-2</c:v>
                </c:pt>
                <c:pt idx="7">
                  <c:v>5.6018699835137992E-2</c:v>
                </c:pt>
                <c:pt idx="8">
                  <c:v>5.1141831150253898E-2</c:v>
                </c:pt>
                <c:pt idx="9">
                  <c:v>3.5685402364574716E-2</c:v>
                </c:pt>
                <c:pt idx="10">
                  <c:v>4.7785048179808179E-2</c:v>
                </c:pt>
                <c:pt idx="11">
                  <c:v>6.6871600763110439E-2</c:v>
                </c:pt>
                <c:pt idx="12">
                  <c:v>5.3213869602196151E-2</c:v>
                </c:pt>
                <c:pt idx="13">
                  <c:v>6.8597832675230827E-2</c:v>
                </c:pt>
                <c:pt idx="14">
                  <c:v>7.7162616768305353E-2</c:v>
                </c:pt>
                <c:pt idx="15">
                  <c:v>7.5577160545731756E-2</c:v>
                </c:pt>
                <c:pt idx="16">
                  <c:v>8.1633133523451515E-2</c:v>
                </c:pt>
                <c:pt idx="17">
                  <c:v>9.5628853366744565E-2</c:v>
                </c:pt>
                <c:pt idx="18">
                  <c:v>9.8886206931128137E-2</c:v>
                </c:pt>
                <c:pt idx="19">
                  <c:v>8.3211253622587397E-2</c:v>
                </c:pt>
                <c:pt idx="20">
                  <c:v>7.4456733680659207E-2</c:v>
                </c:pt>
                <c:pt idx="21">
                  <c:v>0.10950831815951925</c:v>
                </c:pt>
              </c:numCache>
            </c:numRef>
          </c:val>
          <c:smooth val="0"/>
        </c:ser>
        <c:dLbls>
          <c:showLegendKey val="0"/>
          <c:showVal val="0"/>
          <c:showCatName val="0"/>
          <c:showSerName val="0"/>
          <c:showPercent val="0"/>
          <c:showBubbleSize val="0"/>
        </c:dLbls>
        <c:marker val="1"/>
        <c:smooth val="0"/>
        <c:axId val="888304768"/>
        <c:axId val="888306304"/>
      </c:lineChart>
      <c:lineChart>
        <c:grouping val="standard"/>
        <c:varyColors val="0"/>
        <c:ser>
          <c:idx val="6"/>
          <c:order val="2"/>
          <c:tx>
            <c:strRef>
              <c:f>ChartSupport!$A$293</c:f>
              <c:strCache>
                <c:ptCount val="1"/>
                <c:pt idx="0">
                  <c:v>Sugar Nybot prices (US$ cents/lb)</c:v>
                </c:pt>
              </c:strCache>
            </c:strRef>
          </c:tx>
          <c:spPr>
            <a:ln w="15875">
              <a:solidFill>
                <a:srgbClr val="FF0000"/>
              </a:solidFill>
              <a:prstDash val="sysDash"/>
            </a:ln>
          </c:spPr>
          <c:marker>
            <c:symbol val="none"/>
          </c:marker>
          <c:val>
            <c:numRef>
              <c:f>ChartSupport!$B$293:$W$293</c:f>
              <c:numCache>
                <c:formatCode>#,##0.0</c:formatCode>
                <c:ptCount val="22"/>
                <c:pt idx="0">
                  <c:v>#N/A</c:v>
                </c:pt>
                <c:pt idx="1">
                  <c:v>#N/A</c:v>
                </c:pt>
                <c:pt idx="2">
                  <c:v>13.545</c:v>
                </c:pt>
                <c:pt idx="3">
                  <c:v>10.401666666666666</c:v>
                </c:pt>
                <c:pt idx="4">
                  <c:v>12.4</c:v>
                </c:pt>
                <c:pt idx="5">
                  <c:v>18.787500000000001</c:v>
                </c:pt>
                <c:pt idx="6">
                  <c:v>23.440833333333334</c:v>
                </c:pt>
                <c:pt idx="7">
                  <c:v>25.258333333333336</c:v>
                </c:pt>
                <c:pt idx="8">
                  <c:v>20.410833333333333</c:v>
                </c:pt>
                <c:pt idx="9">
                  <c:v>17.066666666666666</c:v>
                </c:pt>
                <c:pt idx="10">
                  <c:v>15.978333333333333</c:v>
                </c:pt>
                <c:pt idx="11">
                  <c:v>13.149166666666668</c:v>
                </c:pt>
                <c:pt idx="12">
                  <c:v>19.252499999999998</c:v>
                </c:pt>
                <c:pt idx="13">
                  <c:v>17.805000000000003</c:v>
                </c:pt>
                <c:pt idx="14">
                  <c:v>16.244658605325153</c:v>
                </c:pt>
                <c:pt idx="15">
                  <c:v>16.31531880717511</c:v>
                </c:pt>
                <c:pt idx="16">
                  <c:v>16.498655235130911</c:v>
                </c:pt>
                <c:pt idx="17">
                  <c:v>19.747444770453257</c:v>
                </c:pt>
                <c:pt idx="18">
                  <c:v>20.93514679550681</c:v>
                </c:pt>
                <c:pt idx="19">
                  <c:v>17.432162450241776</c:v>
                </c:pt>
                <c:pt idx="20">
                  <c:v>15.017906650666538</c:v>
                </c:pt>
                <c:pt idx="21">
                  <c:v>17.055276269110166</c:v>
                </c:pt>
              </c:numCache>
            </c:numRef>
          </c:val>
          <c:smooth val="0"/>
        </c:ser>
        <c:dLbls>
          <c:showLegendKey val="0"/>
          <c:showVal val="0"/>
          <c:showCatName val="0"/>
          <c:showSerName val="0"/>
          <c:showPercent val="0"/>
          <c:showBubbleSize val="0"/>
        </c:dLbls>
        <c:marker val="1"/>
        <c:smooth val="0"/>
        <c:axId val="888312192"/>
        <c:axId val="888313728"/>
      </c:lineChart>
      <c:catAx>
        <c:axId val="888304768"/>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88306304"/>
        <c:crosses val="autoZero"/>
        <c:auto val="1"/>
        <c:lblAlgn val="ctr"/>
        <c:lblOffset val="100"/>
        <c:tickLblSkip val="2"/>
        <c:tickMarkSkip val="1"/>
        <c:noMultiLvlLbl val="0"/>
      </c:catAx>
      <c:valAx>
        <c:axId val="888306304"/>
        <c:scaling>
          <c:orientation val="minMax"/>
        </c:scaling>
        <c:delete val="0"/>
        <c:axPos val="l"/>
        <c:numFmt formatCode="#,##0.0" sourceLinked="1"/>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8304768"/>
        <c:crosses val="autoZero"/>
        <c:crossBetween val="midCat"/>
      </c:valAx>
      <c:catAx>
        <c:axId val="888312192"/>
        <c:scaling>
          <c:orientation val="minMax"/>
        </c:scaling>
        <c:delete val="1"/>
        <c:axPos val="b"/>
        <c:majorTickMark val="out"/>
        <c:minorTickMark val="none"/>
        <c:tickLblPos val="nextTo"/>
        <c:crossAx val="888313728"/>
        <c:crosses val="autoZero"/>
        <c:auto val="1"/>
        <c:lblAlgn val="ctr"/>
        <c:lblOffset val="100"/>
        <c:noMultiLvlLbl val="0"/>
      </c:catAx>
      <c:valAx>
        <c:axId val="888313728"/>
        <c:scaling>
          <c:orientation val="minMax"/>
        </c:scaling>
        <c:delete val="0"/>
        <c:axPos val="r"/>
        <c:title>
          <c:tx>
            <c:rich>
              <a:bodyPr rot="0" vert="horz"/>
              <a:lstStyle/>
              <a:p>
                <a:pPr marL="0" marR="0" indent="0" algn="ctr" defTabSz="914400" rtl="0" eaLnBrk="1" fontAlgn="auto" latinLnBrk="0" hangingPunct="1">
                  <a:lnSpc>
                    <a:spcPct val="100000"/>
                  </a:lnSpc>
                  <a:spcBef>
                    <a:spcPts val="0"/>
                  </a:spcBef>
                  <a:spcAft>
                    <a:spcPts val="0"/>
                  </a:spcAft>
                  <a:buClrTx/>
                  <a:buSzTx/>
                  <a:buFontTx/>
                  <a:buNone/>
                  <a:tabLst/>
                  <a:defRPr sz="900" b="0" i="0" u="none" strike="noStrike" kern="1200" baseline="0">
                    <a:solidFill>
                      <a:srgbClr val="808080"/>
                    </a:solidFill>
                    <a:latin typeface="Arial"/>
                    <a:ea typeface="Arial"/>
                    <a:cs typeface="Arial"/>
                  </a:defRPr>
                </a:pPr>
                <a:r>
                  <a:rPr lang="en-US" sz="900" b="0" i="0" baseline="0">
                    <a:effectLst/>
                  </a:rPr>
                  <a:t>US$ cents/lb</a:t>
                </a:r>
                <a:endParaRPr lang="en-US" sz="900">
                  <a:effectLst/>
                </a:endParaRPr>
              </a:p>
            </c:rich>
          </c:tx>
          <c:layout>
            <c:manualLayout>
              <c:xMode val="edge"/>
              <c:yMode val="edge"/>
              <c:x val="0.76923738125695229"/>
              <c:y val="1.3812243887607861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8312192"/>
        <c:crosses val="max"/>
        <c:crossBetween val="between"/>
      </c:valAx>
      <c:spPr>
        <a:noFill/>
        <a:ln w="25400">
          <a:noFill/>
        </a:ln>
      </c:spPr>
    </c:plotArea>
    <c:legend>
      <c:legendPos val="r"/>
      <c:layout>
        <c:manualLayout>
          <c:xMode val="edge"/>
          <c:yMode val="edge"/>
          <c:x val="0.33047921429176191"/>
          <c:y val="0.6629030167525356"/>
          <c:w val="0.57855816770667534"/>
          <c:h val="0.15018585293660724"/>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496083550913843E-2"/>
          <c:y val="4.7169956177390976E-2"/>
          <c:w val="0.835509138381201"/>
          <c:h val="0.81446790999628416"/>
        </c:manualLayout>
      </c:layout>
      <c:areaChart>
        <c:grouping val="standard"/>
        <c:varyColors val="0"/>
        <c:ser>
          <c:idx val="4"/>
          <c:order val="0"/>
          <c:tx>
            <c:v>Bull-Bear Scenario</c:v>
          </c:tx>
          <c:spPr>
            <a:solidFill>
              <a:schemeClr val="bg1">
                <a:lumMod val="85000"/>
              </a:schemeClr>
            </a:solidFill>
            <a:ln w="12700">
              <a:noFill/>
              <a:prstDash val="solid"/>
            </a:ln>
          </c:spPr>
          <c:cat>
            <c:strRef>
              <c:f>ChartSupport!$C$37:$W$37</c:f>
              <c:strCache>
                <c:ptCount val="2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2018E</c:v>
                </c:pt>
                <c:pt idx="14">
                  <c:v>2019E</c:v>
                </c:pt>
                <c:pt idx="15">
                  <c:v>2020E</c:v>
                </c:pt>
                <c:pt idx="16">
                  <c:v>2021E</c:v>
                </c:pt>
                <c:pt idx="17">
                  <c:v>2022E</c:v>
                </c:pt>
                <c:pt idx="18">
                  <c:v>2023E</c:v>
                </c:pt>
                <c:pt idx="19">
                  <c:v>2024E</c:v>
                </c:pt>
                <c:pt idx="20">
                  <c:v>2025E</c:v>
                </c:pt>
              </c:strCache>
            </c:strRef>
          </c:cat>
          <c:val>
            <c:numRef>
              <c:f>ChartSupport!$C$115:$W$115</c:f>
              <c:numCache>
                <c:formatCode>0.0%</c:formatCode>
                <c:ptCount val="21"/>
                <c:pt idx="0">
                  <c:v>4.9597239822901505E-2</c:v>
                </c:pt>
                <c:pt idx="1">
                  <c:v>0.13414572857799245</c:v>
                </c:pt>
                <c:pt idx="2">
                  <c:v>0.10421085489537274</c:v>
                </c:pt>
                <c:pt idx="3">
                  <c:v>-1.9702142982009414E-2</c:v>
                </c:pt>
                <c:pt idx="4">
                  <c:v>1.089235211389904E-2</c:v>
                </c:pt>
                <c:pt idx="5">
                  <c:v>2.9418368219598305E-2</c:v>
                </c:pt>
                <c:pt idx="6">
                  <c:v>5.6018699835137992E-2</c:v>
                </c:pt>
                <c:pt idx="7">
                  <c:v>5.1141831150253898E-2</c:v>
                </c:pt>
                <c:pt idx="8">
                  <c:v>3.5685402364574716E-2</c:v>
                </c:pt>
                <c:pt idx="9">
                  <c:v>4.7785048179808179E-2</c:v>
                </c:pt>
                <c:pt idx="10">
                  <c:v>6.6871600763110439E-2</c:v>
                </c:pt>
                <c:pt idx="11">
                  <c:v>5.3213869602196151E-2</c:v>
                </c:pt>
                <c:pt idx="12">
                  <c:v>6.8597832675230827E-2</c:v>
                </c:pt>
                <c:pt idx="13">
                  <c:v>9.272232873191591E-2</c:v>
                </c:pt>
                <c:pt idx="14">
                  <c:v>0.10377399939850371</c:v>
                </c:pt>
                <c:pt idx="15">
                  <c:v>0.11776965694000836</c:v>
                </c:pt>
                <c:pt idx="16">
                  <c:v>0.12805965640798209</c:v>
                </c:pt>
                <c:pt idx="17">
                  <c:v>0.11527222332309332</c:v>
                </c:pt>
                <c:pt idx="18">
                  <c:v>0.10772540310496014</c:v>
                </c:pt>
                <c:pt idx="19">
                  <c:v>0.11912245691082914</c:v>
                </c:pt>
                <c:pt idx="20">
                  <c:v>0.15454431759663589</c:v>
                </c:pt>
              </c:numCache>
            </c:numRef>
          </c:val>
        </c:ser>
        <c:ser>
          <c:idx val="3"/>
          <c:order val="1"/>
          <c:tx>
            <c:v>Bear Scenario</c:v>
          </c:tx>
          <c:spPr>
            <a:solidFill>
              <a:srgbClr val="FFFFFF"/>
            </a:solidFill>
            <a:ln w="12700">
              <a:noFill/>
              <a:prstDash val="solid"/>
            </a:ln>
          </c:spPr>
          <c:cat>
            <c:strRef>
              <c:f>ChartSupport!$C$37:$W$37</c:f>
              <c:strCache>
                <c:ptCount val="2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2018E</c:v>
                </c:pt>
                <c:pt idx="14">
                  <c:v>2019E</c:v>
                </c:pt>
                <c:pt idx="15">
                  <c:v>2020E</c:v>
                </c:pt>
                <c:pt idx="16">
                  <c:v>2021E</c:v>
                </c:pt>
                <c:pt idx="17">
                  <c:v>2022E</c:v>
                </c:pt>
                <c:pt idx="18">
                  <c:v>2023E</c:v>
                </c:pt>
                <c:pt idx="19">
                  <c:v>2024E</c:v>
                </c:pt>
                <c:pt idx="20">
                  <c:v>2025E</c:v>
                </c:pt>
              </c:strCache>
            </c:strRef>
          </c:cat>
          <c:val>
            <c:numRef>
              <c:f>ChartSupport!$C$113:$W$113</c:f>
              <c:numCache>
                <c:formatCode>0.0%</c:formatCode>
                <c:ptCount val="21"/>
                <c:pt idx="0">
                  <c:v>4.9597239822901505E-2</c:v>
                </c:pt>
                <c:pt idx="1">
                  <c:v>0.13414572857799245</c:v>
                </c:pt>
                <c:pt idx="2">
                  <c:v>0.10421085489537274</c:v>
                </c:pt>
                <c:pt idx="3">
                  <c:v>-1.9702142982009414E-2</c:v>
                </c:pt>
                <c:pt idx="4">
                  <c:v>1.089235211389904E-2</c:v>
                </c:pt>
                <c:pt idx="5">
                  <c:v>2.9418368219598305E-2</c:v>
                </c:pt>
                <c:pt idx="6">
                  <c:v>5.6018699835137992E-2</c:v>
                </c:pt>
                <c:pt idx="7">
                  <c:v>5.1141831150253898E-2</c:v>
                </c:pt>
                <c:pt idx="8">
                  <c:v>3.5685402364574716E-2</c:v>
                </c:pt>
                <c:pt idx="9">
                  <c:v>4.7785048179808179E-2</c:v>
                </c:pt>
                <c:pt idx="10">
                  <c:v>6.6871600763110439E-2</c:v>
                </c:pt>
                <c:pt idx="11">
                  <c:v>5.3213869602196151E-2</c:v>
                </c:pt>
                <c:pt idx="12">
                  <c:v>6.8597832675230827E-2</c:v>
                </c:pt>
                <c:pt idx="13">
                  <c:v>6.5625763216305227E-2</c:v>
                </c:pt>
                <c:pt idx="14">
                  <c:v>4.8025007967697715E-2</c:v>
                </c:pt>
                <c:pt idx="15">
                  <c:v>6.2341156922054511E-2</c:v>
                </c:pt>
                <c:pt idx="16">
                  <c:v>7.3866138231477627E-2</c:v>
                </c:pt>
                <c:pt idx="17">
                  <c:v>6.2811078040890811E-2</c:v>
                </c:pt>
                <c:pt idx="18">
                  <c:v>5.0543325477949284E-2</c:v>
                </c:pt>
                <c:pt idx="19">
                  <c:v>5.2174897136060321E-2</c:v>
                </c:pt>
                <c:pt idx="20">
                  <c:v>7.1983753814196555E-2</c:v>
                </c:pt>
              </c:numCache>
            </c:numRef>
          </c:val>
        </c:ser>
        <c:dLbls>
          <c:showLegendKey val="0"/>
          <c:showVal val="0"/>
          <c:showCatName val="0"/>
          <c:showSerName val="0"/>
          <c:showPercent val="0"/>
          <c:showBubbleSize val="0"/>
        </c:dLbls>
        <c:axId val="888219904"/>
        <c:axId val="888225792"/>
      </c:areaChart>
      <c:lineChart>
        <c:grouping val="standard"/>
        <c:varyColors val="0"/>
        <c:ser>
          <c:idx val="2"/>
          <c:order val="2"/>
          <c:tx>
            <c:v>Base Scenario</c:v>
          </c:tx>
          <c:spPr>
            <a:ln w="25400">
              <a:solidFill>
                <a:schemeClr val="accent1"/>
              </a:solidFill>
              <a:prstDash val="solid"/>
            </a:ln>
          </c:spPr>
          <c:marker>
            <c:symbol val="none"/>
          </c:marker>
          <c:cat>
            <c:strRef>
              <c:f>ChartSupport!$C$37:$W$37</c:f>
              <c:strCache>
                <c:ptCount val="2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2018E</c:v>
                </c:pt>
                <c:pt idx="14">
                  <c:v>2019E</c:v>
                </c:pt>
                <c:pt idx="15">
                  <c:v>2020E</c:v>
                </c:pt>
                <c:pt idx="16">
                  <c:v>2021E</c:v>
                </c:pt>
                <c:pt idx="17">
                  <c:v>2022E</c:v>
                </c:pt>
                <c:pt idx="18">
                  <c:v>2023E</c:v>
                </c:pt>
                <c:pt idx="19">
                  <c:v>2024E</c:v>
                </c:pt>
                <c:pt idx="20">
                  <c:v>2025E</c:v>
                </c:pt>
              </c:strCache>
            </c:strRef>
          </c:cat>
          <c:val>
            <c:numRef>
              <c:f>ChartSupport!$C$114:$W$114</c:f>
              <c:numCache>
                <c:formatCode>0.0%</c:formatCode>
                <c:ptCount val="21"/>
                <c:pt idx="0">
                  <c:v>4.9597239822901505E-2</c:v>
                </c:pt>
                <c:pt idx="1">
                  <c:v>0.13414572857799245</c:v>
                </c:pt>
                <c:pt idx="2">
                  <c:v>0.10421085489537274</c:v>
                </c:pt>
                <c:pt idx="3">
                  <c:v>-1.9702142982009414E-2</c:v>
                </c:pt>
                <c:pt idx="4">
                  <c:v>1.089235211389904E-2</c:v>
                </c:pt>
                <c:pt idx="5">
                  <c:v>2.9418368219598305E-2</c:v>
                </c:pt>
                <c:pt idx="6">
                  <c:v>5.6018699835137992E-2</c:v>
                </c:pt>
                <c:pt idx="7">
                  <c:v>5.1141831150253898E-2</c:v>
                </c:pt>
                <c:pt idx="8">
                  <c:v>3.5685402364574716E-2</c:v>
                </c:pt>
                <c:pt idx="9">
                  <c:v>4.7785048179808179E-2</c:v>
                </c:pt>
                <c:pt idx="10">
                  <c:v>6.6871600763110439E-2</c:v>
                </c:pt>
                <c:pt idx="11">
                  <c:v>5.3213869602196151E-2</c:v>
                </c:pt>
                <c:pt idx="12">
                  <c:v>6.8597832675230827E-2</c:v>
                </c:pt>
                <c:pt idx="13">
                  <c:v>7.7162616768305353E-2</c:v>
                </c:pt>
                <c:pt idx="14">
                  <c:v>7.5577160545731756E-2</c:v>
                </c:pt>
                <c:pt idx="15">
                  <c:v>8.1633133523451515E-2</c:v>
                </c:pt>
                <c:pt idx="16">
                  <c:v>9.5628853366744565E-2</c:v>
                </c:pt>
                <c:pt idx="17">
                  <c:v>9.8886206931128137E-2</c:v>
                </c:pt>
                <c:pt idx="18">
                  <c:v>8.3211253622587397E-2</c:v>
                </c:pt>
                <c:pt idx="19">
                  <c:v>7.4456733680659207E-2</c:v>
                </c:pt>
                <c:pt idx="20">
                  <c:v>0.10950831815951925</c:v>
                </c:pt>
              </c:numCache>
            </c:numRef>
          </c:val>
          <c:smooth val="0"/>
        </c:ser>
        <c:dLbls>
          <c:showLegendKey val="0"/>
          <c:showVal val="0"/>
          <c:showCatName val="0"/>
          <c:showSerName val="0"/>
          <c:showPercent val="0"/>
          <c:showBubbleSize val="0"/>
        </c:dLbls>
        <c:marker val="1"/>
        <c:smooth val="0"/>
        <c:axId val="888219904"/>
        <c:axId val="888225792"/>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ChartSupport!$C$37:$W$37</c:f>
              <c:strCache>
                <c:ptCount val="2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2018E</c:v>
                </c:pt>
                <c:pt idx="14">
                  <c:v>2019E</c:v>
                </c:pt>
                <c:pt idx="15">
                  <c:v>2020E</c:v>
                </c:pt>
                <c:pt idx="16">
                  <c:v>2021E</c:v>
                </c:pt>
                <c:pt idx="17">
                  <c:v>2022E</c:v>
                </c:pt>
                <c:pt idx="18">
                  <c:v>2023E</c:v>
                </c:pt>
                <c:pt idx="19">
                  <c:v>2024E</c:v>
                </c:pt>
                <c:pt idx="20">
                  <c:v>2025E</c:v>
                </c:pt>
              </c:strCache>
            </c:strRef>
          </c:cat>
          <c:val>
            <c:numRef>
              <c:f>ChartSupport!$C$179:$W$179</c:f>
              <c:numCache>
                <c:formatCode>0</c:formatCode>
                <c:ptCount val="21"/>
                <c:pt idx="0" formatCode="#,##0.0">
                  <c:v>#N/A</c:v>
                </c:pt>
                <c:pt idx="1">
                  <c:v>13.545</c:v>
                </c:pt>
                <c:pt idx="2">
                  <c:v>10.401666666666666</c:v>
                </c:pt>
                <c:pt idx="3">
                  <c:v>12.4</c:v>
                </c:pt>
                <c:pt idx="4">
                  <c:v>18.787500000000001</c:v>
                </c:pt>
                <c:pt idx="5">
                  <c:v>23.440833333333334</c:v>
                </c:pt>
                <c:pt idx="6">
                  <c:v>25.258333333333336</c:v>
                </c:pt>
                <c:pt idx="7">
                  <c:v>20.410833333333333</c:v>
                </c:pt>
                <c:pt idx="8">
                  <c:v>17.066666666666666</c:v>
                </c:pt>
                <c:pt idx="9">
                  <c:v>15.978333333333333</c:v>
                </c:pt>
                <c:pt idx="10">
                  <c:v>13.149166666666668</c:v>
                </c:pt>
                <c:pt idx="11">
                  <c:v>19.252499999999998</c:v>
                </c:pt>
                <c:pt idx="12">
                  <c:v>17.805000000000003</c:v>
                </c:pt>
                <c:pt idx="13">
                  <c:v>16.244658605325153</c:v>
                </c:pt>
                <c:pt idx="14">
                  <c:v>16.31531880717511</c:v>
                </c:pt>
                <c:pt idx="15">
                  <c:v>16.498655235130911</c:v>
                </c:pt>
                <c:pt idx="16">
                  <c:v>19.747444770453257</c:v>
                </c:pt>
                <c:pt idx="17">
                  <c:v>20.93514679550681</c:v>
                </c:pt>
                <c:pt idx="18">
                  <c:v>17.432162450241776</c:v>
                </c:pt>
                <c:pt idx="19">
                  <c:v>15.017906650666538</c:v>
                </c:pt>
                <c:pt idx="20">
                  <c:v>17.055276269110166</c:v>
                </c:pt>
              </c:numCache>
            </c:numRef>
          </c:val>
          <c:smooth val="0"/>
        </c:ser>
        <c:dLbls>
          <c:showLegendKey val="0"/>
          <c:showVal val="0"/>
          <c:showCatName val="0"/>
          <c:showSerName val="0"/>
          <c:showPercent val="0"/>
          <c:showBubbleSize val="0"/>
        </c:dLbls>
        <c:marker val="1"/>
        <c:smooth val="0"/>
        <c:axId val="888227712"/>
        <c:axId val="888229248"/>
      </c:lineChart>
      <c:catAx>
        <c:axId val="888219904"/>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a:pPr>
            <a:endParaRPr lang="en-US"/>
          </a:p>
        </c:txPr>
        <c:crossAx val="888225792"/>
        <c:crossesAt val="-5.000000000000001E-2"/>
        <c:auto val="1"/>
        <c:lblAlgn val="ctr"/>
        <c:lblOffset val="100"/>
        <c:tickLblSkip val="1"/>
        <c:tickMarkSkip val="1"/>
        <c:noMultiLvlLbl val="0"/>
      </c:catAx>
      <c:valAx>
        <c:axId val="888225792"/>
        <c:scaling>
          <c:orientation val="minMax"/>
        </c:scaling>
        <c:delete val="0"/>
        <c:axPos val="r"/>
        <c:title>
          <c:tx>
            <c:rich>
              <a:bodyPr rot="0" vert="horz"/>
              <a:lstStyle/>
              <a:p>
                <a:pPr algn="ctr" rtl="0">
                  <a:defRPr/>
                </a:pPr>
                <a:r>
                  <a:rPr lang="en-US"/>
                  <a:t>US$ cents/lb</a:t>
                </a:r>
              </a:p>
            </c:rich>
          </c:tx>
          <c:layout>
            <c:manualLayout>
              <c:xMode val="edge"/>
              <c:yMode val="edge"/>
              <c:x val="8.8544885454563627E-2"/>
              <c:y val="2.2144796642369662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88219904"/>
        <c:crosses val="max"/>
        <c:crossBetween val="midCat"/>
      </c:valAx>
      <c:catAx>
        <c:axId val="888227712"/>
        <c:scaling>
          <c:orientation val="minMax"/>
        </c:scaling>
        <c:delete val="1"/>
        <c:axPos val="b"/>
        <c:majorTickMark val="out"/>
        <c:minorTickMark val="none"/>
        <c:tickLblPos val="nextTo"/>
        <c:crossAx val="888229248"/>
        <c:crosses val="autoZero"/>
        <c:auto val="1"/>
        <c:lblAlgn val="ctr"/>
        <c:lblOffset val="100"/>
        <c:noMultiLvlLbl val="0"/>
      </c:catAx>
      <c:valAx>
        <c:axId val="888229248"/>
        <c:scaling>
          <c:orientation val="minMax"/>
          <c:max val="28"/>
          <c:min val="0"/>
        </c:scaling>
        <c:delete val="0"/>
        <c:axPos val="l"/>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888227712"/>
        <c:crosses val="autoZero"/>
        <c:crossBetween val="midCat"/>
      </c:valAx>
      <c:spPr>
        <a:noFill/>
        <a:ln w="25400">
          <a:noFill/>
        </a:ln>
      </c:spPr>
    </c:plotArea>
    <c:legend>
      <c:legendPos val="r"/>
      <c:legendEntry>
        <c:idx val="1"/>
        <c:delete val="1"/>
      </c:legendEntry>
      <c:layout>
        <c:manualLayout>
          <c:xMode val="edge"/>
          <c:yMode val="edge"/>
          <c:x val="0.22600228832295749"/>
          <c:y val="0.67023565244234273"/>
          <c:w val="0.60072533787014426"/>
          <c:h val="0.14559133995397838"/>
        </c:manualLayout>
      </c:layout>
      <c:overlay val="0"/>
      <c:spPr>
        <a:no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496083550913843E-2"/>
          <c:y val="4.7169956177390976E-2"/>
          <c:w val="0.84073107049608353"/>
          <c:h val="0.81446790999628416"/>
        </c:manualLayout>
      </c:layout>
      <c:areaChart>
        <c:grouping val="standard"/>
        <c:varyColors val="0"/>
        <c:ser>
          <c:idx val="4"/>
          <c:order val="0"/>
          <c:tx>
            <c:v>Bull-Bear Scenario</c:v>
          </c:tx>
          <c:spPr>
            <a:solidFill>
              <a:schemeClr val="bg1">
                <a:lumMod val="85000"/>
              </a:schemeClr>
            </a:solidFill>
            <a:ln w="12700">
              <a:noFill/>
              <a:prstDash val="solid"/>
            </a:ln>
          </c:spPr>
          <c:cat>
            <c:strRef>
              <c:f>ChartSupport!$B$37:$W$37</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ChartSupport!$B$120:$W$120</c:f>
              <c:numCache>
                <c:formatCode>0.0%</c:formatCode>
                <c:ptCount val="22"/>
                <c:pt idx="0">
                  <c:v>-1.1315517281668529E-2</c:v>
                </c:pt>
                <c:pt idx="1">
                  <c:v>2.2279606503034077E-2</c:v>
                </c:pt>
                <c:pt idx="2">
                  <c:v>0.10479716364449325</c:v>
                </c:pt>
                <c:pt idx="3">
                  <c:v>7.520679731479421E-2</c:v>
                </c:pt>
                <c:pt idx="4">
                  <c:v>-1.6729621894910632E-2</c:v>
                </c:pt>
                <c:pt idx="5">
                  <c:v>-2.1169814522201152E-2</c:v>
                </c:pt>
                <c:pt idx="6">
                  <c:v>2.342049790289678E-2</c:v>
                </c:pt>
                <c:pt idx="7">
                  <c:v>3.6099275989951406E-2</c:v>
                </c:pt>
                <c:pt idx="8">
                  <c:v>2.6448001500678827E-2</c:v>
                </c:pt>
                <c:pt idx="9">
                  <c:v>1.295023824355356E-2</c:v>
                </c:pt>
                <c:pt idx="10">
                  <c:v>2.3172525824539207E-2</c:v>
                </c:pt>
                <c:pt idx="11">
                  <c:v>4.1637572857024317E-2</c:v>
                </c:pt>
                <c:pt idx="12">
                  <c:v>2.5714871466903221E-2</c:v>
                </c:pt>
                <c:pt idx="13">
                  <c:v>3.2662622497202747E-2</c:v>
                </c:pt>
                <c:pt idx="14">
                  <c:v>7.4650413526042708E-2</c:v>
                </c:pt>
                <c:pt idx="15">
                  <c:v>9.5936954633528831E-2</c:v>
                </c:pt>
                <c:pt idx="16">
                  <c:v>0.11702166708762712</c:v>
                </c:pt>
                <c:pt idx="17">
                  <c:v>0.12544942455011751</c:v>
                </c:pt>
                <c:pt idx="18">
                  <c:v>0.11346009225969012</c:v>
                </c:pt>
                <c:pt idx="19">
                  <c:v>0.10799972931827148</c:v>
                </c:pt>
                <c:pt idx="20">
                  <c:v>0.11576370924073577</c:v>
                </c:pt>
                <c:pt idx="21">
                  <c:v>0.12757668701513583</c:v>
                </c:pt>
              </c:numCache>
            </c:numRef>
          </c:val>
        </c:ser>
        <c:ser>
          <c:idx val="3"/>
          <c:order val="1"/>
          <c:tx>
            <c:v>Bear Scenario</c:v>
          </c:tx>
          <c:spPr>
            <a:solidFill>
              <a:srgbClr val="FFFFFF"/>
            </a:solidFill>
            <a:ln w="12700">
              <a:noFill/>
              <a:prstDash val="solid"/>
            </a:ln>
          </c:spPr>
          <c:cat>
            <c:strRef>
              <c:f>ChartSupport!$B$37:$W$37</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ChartSupport!$B$118:$W$118</c:f>
              <c:numCache>
                <c:formatCode>0.0%</c:formatCode>
                <c:ptCount val="22"/>
                <c:pt idx="0">
                  <c:v>-1.1315517281668529E-2</c:v>
                </c:pt>
                <c:pt idx="1">
                  <c:v>2.2279606503034077E-2</c:v>
                </c:pt>
                <c:pt idx="2">
                  <c:v>0.10479716364449325</c:v>
                </c:pt>
                <c:pt idx="3">
                  <c:v>7.520679731479421E-2</c:v>
                </c:pt>
                <c:pt idx="4">
                  <c:v>-1.6729621894910632E-2</c:v>
                </c:pt>
                <c:pt idx="5">
                  <c:v>-2.1169814522201152E-2</c:v>
                </c:pt>
                <c:pt idx="6">
                  <c:v>2.342049790289678E-2</c:v>
                </c:pt>
                <c:pt idx="7">
                  <c:v>3.6099275989951406E-2</c:v>
                </c:pt>
                <c:pt idx="8">
                  <c:v>2.6448001500678827E-2</c:v>
                </c:pt>
                <c:pt idx="9">
                  <c:v>1.295023824355356E-2</c:v>
                </c:pt>
                <c:pt idx="10">
                  <c:v>2.3172525824539207E-2</c:v>
                </c:pt>
                <c:pt idx="11">
                  <c:v>4.1637572857024317E-2</c:v>
                </c:pt>
                <c:pt idx="12">
                  <c:v>2.5714871466903221E-2</c:v>
                </c:pt>
                <c:pt idx="13">
                  <c:v>3.2662622497202747E-2</c:v>
                </c:pt>
                <c:pt idx="14">
                  <c:v>4.8180125514613537E-2</c:v>
                </c:pt>
                <c:pt idx="15">
                  <c:v>3.3039564987421839E-2</c:v>
                </c:pt>
                <c:pt idx="16">
                  <c:v>4.9936456273775374E-2</c:v>
                </c:pt>
                <c:pt idx="17">
                  <c:v>5.9689357451989486E-2</c:v>
                </c:pt>
                <c:pt idx="18">
                  <c:v>4.7072893854665558E-2</c:v>
                </c:pt>
                <c:pt idx="19">
                  <c:v>3.3441500756900354E-2</c:v>
                </c:pt>
                <c:pt idx="20">
                  <c:v>3.1894197701770301E-2</c:v>
                </c:pt>
                <c:pt idx="21">
                  <c:v>4.1674433953336844E-2</c:v>
                </c:pt>
              </c:numCache>
            </c:numRef>
          </c:val>
        </c:ser>
        <c:dLbls>
          <c:showLegendKey val="0"/>
          <c:showVal val="0"/>
          <c:showCatName val="0"/>
          <c:showSerName val="0"/>
          <c:showPercent val="0"/>
          <c:showBubbleSize val="0"/>
        </c:dLbls>
        <c:axId val="887825536"/>
        <c:axId val="887827072"/>
      </c:areaChart>
      <c:lineChart>
        <c:grouping val="standard"/>
        <c:varyColors val="0"/>
        <c:ser>
          <c:idx val="2"/>
          <c:order val="2"/>
          <c:tx>
            <c:v>Base Scenario</c:v>
          </c:tx>
          <c:spPr>
            <a:ln w="25400">
              <a:solidFill>
                <a:schemeClr val="accent1"/>
              </a:solidFill>
              <a:prstDash val="solid"/>
            </a:ln>
          </c:spPr>
          <c:marker>
            <c:symbol val="none"/>
          </c:marker>
          <c:cat>
            <c:strRef>
              <c:f>ChartSupport!$B$37:$W$37</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ChartSupport!$B$119:$W$119</c:f>
              <c:numCache>
                <c:formatCode>0.0%</c:formatCode>
                <c:ptCount val="22"/>
                <c:pt idx="0">
                  <c:v>-1.1315517281668529E-2</c:v>
                </c:pt>
                <c:pt idx="1">
                  <c:v>2.2279606503034077E-2</c:v>
                </c:pt>
                <c:pt idx="2">
                  <c:v>0.10479716364449325</c:v>
                </c:pt>
                <c:pt idx="3">
                  <c:v>7.520679731479421E-2</c:v>
                </c:pt>
                <c:pt idx="4">
                  <c:v>-1.6729621894910632E-2</c:v>
                </c:pt>
                <c:pt idx="5">
                  <c:v>-2.1169814522201152E-2</c:v>
                </c:pt>
                <c:pt idx="6">
                  <c:v>2.342049790289678E-2</c:v>
                </c:pt>
                <c:pt idx="7">
                  <c:v>3.6099275989951406E-2</c:v>
                </c:pt>
                <c:pt idx="8">
                  <c:v>2.6448001500678827E-2</c:v>
                </c:pt>
                <c:pt idx="9">
                  <c:v>1.295023824355356E-2</c:v>
                </c:pt>
                <c:pt idx="10">
                  <c:v>2.3172525824539207E-2</c:v>
                </c:pt>
                <c:pt idx="11">
                  <c:v>4.1637572857024317E-2</c:v>
                </c:pt>
                <c:pt idx="12">
                  <c:v>2.5714871466903221E-2</c:v>
                </c:pt>
                <c:pt idx="13">
                  <c:v>3.2662622497202747E-2</c:v>
                </c:pt>
                <c:pt idx="14">
                  <c:v>5.9457713171503661E-2</c:v>
                </c:pt>
                <c:pt idx="15">
                  <c:v>6.4037975073793746E-2</c:v>
                </c:pt>
                <c:pt idx="16">
                  <c:v>7.3990697147582843E-2</c:v>
                </c:pt>
                <c:pt idx="17">
                  <c:v>8.5854145814168475E-2</c:v>
                </c:pt>
                <c:pt idx="18">
                  <c:v>8.8580188255014222E-2</c:v>
                </c:pt>
                <c:pt idx="19">
                  <c:v>7.3389822618002851E-2</c:v>
                </c:pt>
                <c:pt idx="20">
                  <c:v>6.1741736629978804E-2</c:v>
                </c:pt>
                <c:pt idx="21">
                  <c:v>8.0532406244892621E-2</c:v>
                </c:pt>
              </c:numCache>
            </c:numRef>
          </c:val>
          <c:smooth val="0"/>
        </c:ser>
        <c:dLbls>
          <c:showLegendKey val="0"/>
          <c:showVal val="0"/>
          <c:showCatName val="0"/>
          <c:showSerName val="0"/>
          <c:showPercent val="0"/>
          <c:showBubbleSize val="0"/>
        </c:dLbls>
        <c:marker val="1"/>
        <c:smooth val="0"/>
        <c:axId val="887825536"/>
        <c:axId val="887827072"/>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ChartSupport!$B$37:$W$37</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ChartSupport!$B$179:$W$179</c:f>
              <c:numCache>
                <c:formatCode>#,##0.0</c:formatCode>
                <c:ptCount val="22"/>
                <c:pt idx="0">
                  <c:v>#N/A</c:v>
                </c:pt>
                <c:pt idx="1">
                  <c:v>#N/A</c:v>
                </c:pt>
                <c:pt idx="2" formatCode="0">
                  <c:v>13.545</c:v>
                </c:pt>
                <c:pt idx="3" formatCode="0">
                  <c:v>10.401666666666666</c:v>
                </c:pt>
                <c:pt idx="4" formatCode="0">
                  <c:v>12.4</c:v>
                </c:pt>
                <c:pt idx="5" formatCode="0">
                  <c:v>18.787500000000001</c:v>
                </c:pt>
                <c:pt idx="6" formatCode="0">
                  <c:v>23.440833333333334</c:v>
                </c:pt>
                <c:pt idx="7" formatCode="0">
                  <c:v>25.258333333333336</c:v>
                </c:pt>
                <c:pt idx="8" formatCode="0">
                  <c:v>20.410833333333333</c:v>
                </c:pt>
                <c:pt idx="9" formatCode="0">
                  <c:v>17.066666666666666</c:v>
                </c:pt>
                <c:pt idx="10" formatCode="0">
                  <c:v>15.978333333333333</c:v>
                </c:pt>
                <c:pt idx="11" formatCode="0">
                  <c:v>13.149166666666668</c:v>
                </c:pt>
                <c:pt idx="12" formatCode="0">
                  <c:v>19.252499999999998</c:v>
                </c:pt>
                <c:pt idx="13" formatCode="0">
                  <c:v>17.805000000000003</c:v>
                </c:pt>
                <c:pt idx="14" formatCode="0">
                  <c:v>16.244658605325153</c:v>
                </c:pt>
                <c:pt idx="15" formatCode="0">
                  <c:v>16.31531880717511</c:v>
                </c:pt>
                <c:pt idx="16" formatCode="0">
                  <c:v>16.498655235130911</c:v>
                </c:pt>
                <c:pt idx="17" formatCode="0">
                  <c:v>19.747444770453257</c:v>
                </c:pt>
                <c:pt idx="18" formatCode="0">
                  <c:v>20.93514679550681</c:v>
                </c:pt>
                <c:pt idx="19" formatCode="0">
                  <c:v>17.432162450241776</c:v>
                </c:pt>
                <c:pt idx="20" formatCode="0">
                  <c:v>15.017906650666538</c:v>
                </c:pt>
                <c:pt idx="21" formatCode="0">
                  <c:v>17.055276269110166</c:v>
                </c:pt>
              </c:numCache>
            </c:numRef>
          </c:val>
          <c:smooth val="0"/>
        </c:ser>
        <c:ser>
          <c:idx val="1"/>
          <c:order val="4"/>
          <c:tx>
            <c:v>zeroline</c:v>
          </c:tx>
          <c:spPr>
            <a:ln w="3175">
              <a:solidFill>
                <a:schemeClr val="bg1">
                  <a:lumMod val="50000"/>
                </a:schemeClr>
              </a:solidFill>
            </a:ln>
          </c:spPr>
          <c:marker>
            <c:symbol val="none"/>
          </c:marker>
          <c:val>
            <c:numRef>
              <c:f>ChartSupport!$B$421:$W$421</c:f>
              <c:numCache>
                <c:formatCode>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mooth val="0"/>
        </c:ser>
        <c:dLbls>
          <c:showLegendKey val="0"/>
          <c:showVal val="0"/>
          <c:showCatName val="0"/>
          <c:showSerName val="0"/>
          <c:showPercent val="0"/>
          <c:showBubbleSize val="0"/>
        </c:dLbls>
        <c:marker val="1"/>
        <c:smooth val="0"/>
        <c:axId val="887837440"/>
        <c:axId val="887838976"/>
      </c:lineChart>
      <c:catAx>
        <c:axId val="887825536"/>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87827072"/>
        <c:crossesAt val="0"/>
        <c:auto val="1"/>
        <c:lblAlgn val="ctr"/>
        <c:lblOffset val="100"/>
        <c:tickLblSkip val="1"/>
        <c:tickMarkSkip val="1"/>
        <c:noMultiLvlLbl val="0"/>
      </c:catAx>
      <c:valAx>
        <c:axId val="887827072"/>
        <c:scaling>
          <c:orientation val="minMax"/>
          <c:min val="-3.0000000000000006E-2"/>
        </c:scaling>
        <c:delete val="0"/>
        <c:axPos val="r"/>
        <c:title>
          <c:tx>
            <c:rich>
              <a:bodyPr rot="0" vert="horz"/>
              <a:lstStyle/>
              <a:p>
                <a:pPr algn="ctr" rtl="0">
                  <a:defRPr sz="900"/>
                </a:pPr>
                <a:r>
                  <a:rPr lang="en-US" sz="900" b="0" i="0" baseline="0">
                    <a:effectLst/>
                  </a:rPr>
                  <a:t>US$ cents/lb</a:t>
                </a:r>
                <a:endParaRPr lang="en-US" sz="900">
                  <a:effectLst/>
                </a:endParaRPr>
              </a:p>
            </c:rich>
          </c:tx>
          <c:layout>
            <c:manualLayout>
              <c:xMode val="edge"/>
              <c:yMode val="edge"/>
              <c:x val="7.9566798299712665E-2"/>
              <c:y val="3.0721424814258002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7825536"/>
        <c:crosses val="max"/>
        <c:crossBetween val="midCat"/>
      </c:valAx>
      <c:catAx>
        <c:axId val="887837440"/>
        <c:scaling>
          <c:orientation val="minMax"/>
        </c:scaling>
        <c:delete val="1"/>
        <c:axPos val="b"/>
        <c:majorTickMark val="out"/>
        <c:minorTickMark val="none"/>
        <c:tickLblPos val="nextTo"/>
        <c:crossAx val="887838976"/>
        <c:crossesAt val="0"/>
        <c:auto val="1"/>
        <c:lblAlgn val="ctr"/>
        <c:lblOffset val="100"/>
        <c:noMultiLvlLbl val="0"/>
      </c:catAx>
      <c:valAx>
        <c:axId val="887838976"/>
        <c:scaling>
          <c:orientation val="minMax"/>
          <c:max val="30"/>
          <c:min val="-7"/>
        </c:scaling>
        <c:delete val="0"/>
        <c:axPos val="l"/>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7837440"/>
        <c:crosses val="autoZero"/>
        <c:crossBetween val="midCat"/>
      </c:valAx>
      <c:spPr>
        <a:noFill/>
        <a:ln w="25400">
          <a:noFill/>
        </a:ln>
      </c:spPr>
    </c:plotArea>
    <c:legend>
      <c:legendPos val="r"/>
      <c:legendEntry>
        <c:idx val="1"/>
        <c:delete val="1"/>
      </c:legendEntry>
      <c:legendEntry>
        <c:idx val="4"/>
        <c:delete val="1"/>
      </c:legendEntry>
      <c:layout>
        <c:manualLayout>
          <c:xMode val="edge"/>
          <c:yMode val="edge"/>
          <c:x val="0.22964856455966667"/>
          <c:y val="4.0811276901404715E-2"/>
          <c:w val="0.65246974087904741"/>
          <c:h val="0.14727945808685161"/>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496083550913843E-2"/>
          <c:y val="4.7169956177390976E-2"/>
          <c:w val="0.8433420365535248"/>
          <c:h val="0.81446790999628416"/>
        </c:manualLayout>
      </c:layout>
      <c:areaChart>
        <c:grouping val="standard"/>
        <c:varyColors val="0"/>
        <c:ser>
          <c:idx val="4"/>
          <c:order val="0"/>
          <c:tx>
            <c:v>Bull-Bear Scenario</c:v>
          </c:tx>
          <c:spPr>
            <a:solidFill>
              <a:schemeClr val="bg1">
                <a:lumMod val="85000"/>
              </a:schemeClr>
            </a:solidFill>
            <a:ln w="12700">
              <a:noFill/>
              <a:prstDash val="solid"/>
            </a:ln>
          </c:spPr>
          <c:cat>
            <c:strRef>
              <c:f>ChartSupport!$B$57:$W$57</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ChartSupport!$B$60:$W$60</c:f>
              <c:numCache>
                <c:formatCode>#,##0.0</c:formatCode>
                <c:ptCount val="22"/>
                <c:pt idx="0">
                  <c:v>-6.133666666666681E-2</c:v>
                </c:pt>
                <c:pt idx="1">
                  <c:v>0.11900666666666654</c:v>
                </c:pt>
                <c:pt idx="2">
                  <c:v>0.57500666666666655</c:v>
                </c:pt>
                <c:pt idx="3">
                  <c:v>0.58633038348082556</c:v>
                </c:pt>
                <c:pt idx="4">
                  <c:v>-0.14393510324483755</c:v>
                </c:pt>
                <c:pt idx="5">
                  <c:v>-0.21225223948042304</c:v>
                </c:pt>
                <c:pt idx="6">
                  <c:v>0.28965423544596103</c:v>
                </c:pt>
                <c:pt idx="7">
                  <c:v>0.42025441324579155</c:v>
                </c:pt>
                <c:pt idx="8">
                  <c:v>0.37440819959605326</c:v>
                </c:pt>
                <c:pt idx="9">
                  <c:v>0.2164039857490776</c:v>
                </c:pt>
                <c:pt idx="10">
                  <c:v>0.4000592671615476</c:v>
                </c:pt>
                <c:pt idx="11">
                  <c:v>0.93696615275562545</c:v>
                </c:pt>
                <c:pt idx="12">
                  <c:v>0.5872511086376565</c:v>
                </c:pt>
                <c:pt idx="13">
                  <c:v>0.83975874033822517</c:v>
                </c:pt>
                <c:pt idx="14">
                  <c:v>1.891009534045043</c:v>
                </c:pt>
                <c:pt idx="15">
                  <c:v>2.4332087866801673</c:v>
                </c:pt>
                <c:pt idx="16">
                  <c:v>3.0818114978533719</c:v>
                </c:pt>
                <c:pt idx="17">
                  <c:v>3.4404519486714347</c:v>
                </c:pt>
                <c:pt idx="18">
                  <c:v>3.2171954786138639</c:v>
                </c:pt>
                <c:pt idx="19">
                  <c:v>3.0585346086566685</c:v>
                </c:pt>
                <c:pt idx="20">
                  <c:v>3.2803836654901244</c:v>
                </c:pt>
                <c:pt idx="21">
                  <c:v>3.6227036130922277</c:v>
                </c:pt>
              </c:numCache>
            </c:numRef>
          </c:val>
        </c:ser>
        <c:ser>
          <c:idx val="3"/>
          <c:order val="1"/>
          <c:tx>
            <c:v>Bear Scenario</c:v>
          </c:tx>
          <c:spPr>
            <a:solidFill>
              <a:srgbClr val="FFFFFF"/>
            </a:solidFill>
            <a:ln w="12700">
              <a:noFill/>
              <a:prstDash val="solid"/>
            </a:ln>
          </c:spPr>
          <c:cat>
            <c:strRef>
              <c:f>ChartSupport!$B$57:$W$57</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ChartSupport!$B$58:$W$58</c:f>
              <c:numCache>
                <c:formatCode>#,##0.0</c:formatCode>
                <c:ptCount val="22"/>
                <c:pt idx="0">
                  <c:v>-6.133666666666681E-2</c:v>
                </c:pt>
                <c:pt idx="1">
                  <c:v>0.11900666666666654</c:v>
                </c:pt>
                <c:pt idx="2">
                  <c:v>0.57500666666666655</c:v>
                </c:pt>
                <c:pt idx="3">
                  <c:v>0.58633038348082556</c:v>
                </c:pt>
                <c:pt idx="4">
                  <c:v>-0.14393510324483755</c:v>
                </c:pt>
                <c:pt idx="5">
                  <c:v>-0.21225223948042304</c:v>
                </c:pt>
                <c:pt idx="6">
                  <c:v>0.28965423544596103</c:v>
                </c:pt>
                <c:pt idx="7">
                  <c:v>0.42025441324579155</c:v>
                </c:pt>
                <c:pt idx="8">
                  <c:v>0.37440819959605326</c:v>
                </c:pt>
                <c:pt idx="9">
                  <c:v>0.2164039857490776</c:v>
                </c:pt>
                <c:pt idx="10">
                  <c:v>0.4000592671615476</c:v>
                </c:pt>
                <c:pt idx="11">
                  <c:v>0.93696615275562545</c:v>
                </c:pt>
                <c:pt idx="12">
                  <c:v>0.5872511086376565</c:v>
                </c:pt>
                <c:pt idx="13">
                  <c:v>0.83975874033822517</c:v>
                </c:pt>
                <c:pt idx="14">
                  <c:v>1.1825756372699761</c:v>
                </c:pt>
                <c:pt idx="15">
                  <c:v>0.79105139836793703</c:v>
                </c:pt>
                <c:pt idx="16">
                  <c:v>1.2174121165563496</c:v>
                </c:pt>
                <c:pt idx="17">
                  <c:v>1.486738823676053</c:v>
                </c:pt>
                <c:pt idx="18">
                  <c:v>1.1879743094232205</c:v>
                </c:pt>
                <c:pt idx="19">
                  <c:v>0.84251521113807826</c:v>
                </c:pt>
                <c:pt idx="20">
                  <c:v>0.80386085356769166</c:v>
                </c:pt>
                <c:pt idx="21">
                  <c:v>1.0513508564475362</c:v>
                </c:pt>
              </c:numCache>
            </c:numRef>
          </c:val>
        </c:ser>
        <c:dLbls>
          <c:showLegendKey val="0"/>
          <c:showVal val="0"/>
          <c:showCatName val="0"/>
          <c:showSerName val="0"/>
          <c:showPercent val="0"/>
          <c:showBubbleSize val="0"/>
        </c:dLbls>
        <c:axId val="887881728"/>
        <c:axId val="887883264"/>
      </c:areaChart>
      <c:lineChart>
        <c:grouping val="standard"/>
        <c:varyColors val="0"/>
        <c:ser>
          <c:idx val="2"/>
          <c:order val="2"/>
          <c:tx>
            <c:v>Base Scenario</c:v>
          </c:tx>
          <c:spPr>
            <a:ln w="25400">
              <a:solidFill>
                <a:schemeClr val="accent1"/>
              </a:solidFill>
              <a:prstDash val="solid"/>
            </a:ln>
          </c:spPr>
          <c:marker>
            <c:symbol val="none"/>
          </c:marker>
          <c:cat>
            <c:strRef>
              <c:f>ChartSupport!$B$57:$W$57</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ChartSupport!$B$59:$W$59</c:f>
              <c:numCache>
                <c:formatCode>#,##0.0</c:formatCode>
                <c:ptCount val="22"/>
                <c:pt idx="0">
                  <c:v>-6.133666666666681E-2</c:v>
                </c:pt>
                <c:pt idx="1">
                  <c:v>0.11900666666666654</c:v>
                </c:pt>
                <c:pt idx="2">
                  <c:v>0.57500666666666655</c:v>
                </c:pt>
                <c:pt idx="3">
                  <c:v>0.58633038348082556</c:v>
                </c:pt>
                <c:pt idx="4">
                  <c:v>-0.14393510324483755</c:v>
                </c:pt>
                <c:pt idx="5">
                  <c:v>-0.21225223948042304</c:v>
                </c:pt>
                <c:pt idx="6">
                  <c:v>0.28965423544596103</c:v>
                </c:pt>
                <c:pt idx="7">
                  <c:v>0.42025441324579155</c:v>
                </c:pt>
                <c:pt idx="8">
                  <c:v>0.37440819959605326</c:v>
                </c:pt>
                <c:pt idx="9">
                  <c:v>0.2164039857490776</c:v>
                </c:pt>
                <c:pt idx="10">
                  <c:v>0.4000592671615476</c:v>
                </c:pt>
                <c:pt idx="11">
                  <c:v>0.93696615275562545</c:v>
                </c:pt>
                <c:pt idx="12">
                  <c:v>0.5872511086376565</c:v>
                </c:pt>
                <c:pt idx="13">
                  <c:v>0.83975874033822517</c:v>
                </c:pt>
                <c:pt idx="14">
                  <c:v>1.4811048649185479</c:v>
                </c:pt>
                <c:pt idx="15">
                  <c:v>1.5764518198367707</c:v>
                </c:pt>
                <c:pt idx="16">
                  <c:v>1.8646097330913265</c:v>
                </c:pt>
                <c:pt idx="17">
                  <c:v>2.2286761856205777</c:v>
                </c:pt>
                <c:pt idx="18">
                  <c:v>2.3649831527464777</c:v>
                </c:pt>
                <c:pt idx="19">
                  <c:v>1.9555000102384512</c:v>
                </c:pt>
                <c:pt idx="20">
                  <c:v>1.642178028403759</c:v>
                </c:pt>
                <c:pt idx="21">
                  <c:v>2.1463938340799791</c:v>
                </c:pt>
              </c:numCache>
            </c:numRef>
          </c:val>
          <c:smooth val="0"/>
        </c:ser>
        <c:dLbls>
          <c:showLegendKey val="0"/>
          <c:showVal val="0"/>
          <c:showCatName val="0"/>
          <c:showSerName val="0"/>
          <c:showPercent val="0"/>
          <c:showBubbleSize val="0"/>
        </c:dLbls>
        <c:marker val="1"/>
        <c:smooth val="0"/>
        <c:axId val="887881728"/>
        <c:axId val="887883264"/>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ChartSupport!$D$292:$W$292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ChartSupport!$B$179:$W$179</c:f>
              <c:numCache>
                <c:formatCode>#,##0.0</c:formatCode>
                <c:ptCount val="22"/>
                <c:pt idx="0">
                  <c:v>#N/A</c:v>
                </c:pt>
                <c:pt idx="1">
                  <c:v>#N/A</c:v>
                </c:pt>
                <c:pt idx="2" formatCode="0">
                  <c:v>13.545</c:v>
                </c:pt>
                <c:pt idx="3" formatCode="0">
                  <c:v>10.401666666666666</c:v>
                </c:pt>
                <c:pt idx="4" formatCode="0">
                  <c:v>12.4</c:v>
                </c:pt>
                <c:pt idx="5" formatCode="0">
                  <c:v>18.787500000000001</c:v>
                </c:pt>
                <c:pt idx="6" formatCode="0">
                  <c:v>23.440833333333334</c:v>
                </c:pt>
                <c:pt idx="7" formatCode="0">
                  <c:v>25.258333333333336</c:v>
                </c:pt>
                <c:pt idx="8" formatCode="0">
                  <c:v>20.410833333333333</c:v>
                </c:pt>
                <c:pt idx="9" formatCode="0">
                  <c:v>17.066666666666666</c:v>
                </c:pt>
                <c:pt idx="10" formatCode="0">
                  <c:v>15.978333333333333</c:v>
                </c:pt>
                <c:pt idx="11" formatCode="0">
                  <c:v>13.149166666666668</c:v>
                </c:pt>
                <c:pt idx="12" formatCode="0">
                  <c:v>19.252499999999998</c:v>
                </c:pt>
                <c:pt idx="13" formatCode="0">
                  <c:v>17.805000000000003</c:v>
                </c:pt>
                <c:pt idx="14" formatCode="0">
                  <c:v>16.244658605325153</c:v>
                </c:pt>
                <c:pt idx="15" formatCode="0">
                  <c:v>16.31531880717511</c:v>
                </c:pt>
                <c:pt idx="16" formatCode="0">
                  <c:v>16.498655235130911</c:v>
                </c:pt>
                <c:pt idx="17" formatCode="0">
                  <c:v>19.747444770453257</c:v>
                </c:pt>
                <c:pt idx="18" formatCode="0">
                  <c:v>20.93514679550681</c:v>
                </c:pt>
                <c:pt idx="19" formatCode="0">
                  <c:v>17.432162450241776</c:v>
                </c:pt>
                <c:pt idx="20" formatCode="0">
                  <c:v>15.017906650666538</c:v>
                </c:pt>
                <c:pt idx="21" formatCode="0">
                  <c:v>17.055276269110166</c:v>
                </c:pt>
              </c:numCache>
            </c:numRef>
          </c:val>
          <c:smooth val="0"/>
        </c:ser>
        <c:ser>
          <c:idx val="1"/>
          <c:order val="4"/>
          <c:tx>
            <c:v>zeroline</c:v>
          </c:tx>
          <c:spPr>
            <a:ln w="3175">
              <a:solidFill>
                <a:schemeClr val="bg1">
                  <a:lumMod val="50000"/>
                </a:schemeClr>
              </a:solidFill>
            </a:ln>
          </c:spPr>
          <c:marker>
            <c:symbol val="none"/>
          </c:marker>
          <c:cat>
            <c:strRef>
              <c:f>ChartSupport!$D$292:$W$292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ChartSupport!$D$421:$W$421</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dLbls>
          <c:showLegendKey val="0"/>
          <c:showVal val="0"/>
          <c:showCatName val="0"/>
          <c:showSerName val="0"/>
          <c:showPercent val="0"/>
          <c:showBubbleSize val="0"/>
        </c:dLbls>
        <c:marker val="1"/>
        <c:smooth val="0"/>
        <c:axId val="887885184"/>
        <c:axId val="887907456"/>
      </c:lineChart>
      <c:catAx>
        <c:axId val="887881728"/>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87883264"/>
        <c:crosses val="autoZero"/>
        <c:auto val="1"/>
        <c:lblAlgn val="ctr"/>
        <c:lblOffset val="100"/>
        <c:tickLblSkip val="1"/>
        <c:tickMarkSkip val="1"/>
        <c:noMultiLvlLbl val="0"/>
      </c:catAx>
      <c:valAx>
        <c:axId val="887883264"/>
        <c:scaling>
          <c:orientation val="minMax"/>
        </c:scaling>
        <c:delete val="0"/>
        <c:axPos val="r"/>
        <c:title>
          <c:tx>
            <c:rich>
              <a:bodyPr rot="0" vert="horz"/>
              <a:lstStyle/>
              <a:p>
                <a:pPr marL="0" marR="0" indent="0" algn="ctr" defTabSz="914400" rtl="0" eaLnBrk="1" fontAlgn="auto" latinLnBrk="0" hangingPunct="1">
                  <a:lnSpc>
                    <a:spcPct val="100000"/>
                  </a:lnSpc>
                  <a:spcBef>
                    <a:spcPts val="0"/>
                  </a:spcBef>
                  <a:spcAft>
                    <a:spcPts val="0"/>
                  </a:spcAft>
                  <a:buClrTx/>
                  <a:buSzTx/>
                  <a:buFontTx/>
                  <a:buNone/>
                  <a:tabLst/>
                  <a:defRPr sz="900" b="0" i="0" u="none" strike="noStrike" kern="1200" baseline="0">
                    <a:solidFill>
                      <a:srgbClr val="808080"/>
                    </a:solidFill>
                    <a:latin typeface="Arial"/>
                    <a:ea typeface="Arial"/>
                    <a:cs typeface="Arial"/>
                  </a:defRPr>
                </a:pPr>
                <a:r>
                  <a:rPr lang="en-US" sz="900" b="0" i="0" baseline="0">
                    <a:effectLst/>
                  </a:rPr>
                  <a:t>US$ cents/lb</a:t>
                </a:r>
                <a:endParaRPr lang="en-US" sz="900"/>
              </a:p>
            </c:rich>
          </c:tx>
          <c:layout>
            <c:manualLayout>
              <c:xMode val="edge"/>
              <c:yMode val="edge"/>
              <c:x val="9.0195155939804358E-2"/>
              <c:y val="1.7683257719581635E-2"/>
            </c:manualLayout>
          </c:layout>
          <c:overlay val="0"/>
        </c:title>
        <c:numFmt formatCode="#,##0.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7881728"/>
        <c:crosses val="max"/>
        <c:crossBetween val="midCat"/>
      </c:valAx>
      <c:catAx>
        <c:axId val="887885184"/>
        <c:scaling>
          <c:orientation val="minMax"/>
        </c:scaling>
        <c:delete val="1"/>
        <c:axPos val="b"/>
        <c:majorTickMark val="out"/>
        <c:minorTickMark val="none"/>
        <c:tickLblPos val="nextTo"/>
        <c:crossAx val="887907456"/>
        <c:crosses val="autoZero"/>
        <c:auto val="1"/>
        <c:lblAlgn val="ctr"/>
        <c:lblOffset val="100"/>
        <c:noMultiLvlLbl val="0"/>
      </c:catAx>
      <c:valAx>
        <c:axId val="887907456"/>
        <c:scaling>
          <c:orientation val="minMax"/>
          <c:max val="32"/>
          <c:min val="-4"/>
        </c:scaling>
        <c:delete val="0"/>
        <c:axPos val="l"/>
        <c:title>
          <c:tx>
            <c:rich>
              <a:bodyPr rot="0" vert="horz"/>
              <a:lstStyle/>
              <a:p>
                <a:pPr algn="ctr" rtl="0">
                  <a:defRPr sz="900"/>
                </a:pPr>
                <a:r>
                  <a:rPr lang="en-US" sz="900"/>
                  <a:t>R$</a:t>
                </a:r>
              </a:p>
            </c:rich>
          </c:tx>
          <c:layout>
            <c:manualLayout>
              <c:xMode val="edge"/>
              <c:yMode val="edge"/>
              <c:x val="0.81207070247086521"/>
              <c:y val="1.7105952638330861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7885184"/>
        <c:crosses val="autoZero"/>
        <c:crossBetween val="midCat"/>
      </c:valAx>
      <c:spPr>
        <a:noFill/>
        <a:ln w="25400">
          <a:noFill/>
        </a:ln>
      </c:spPr>
    </c:plotArea>
    <c:legend>
      <c:legendPos val="r"/>
      <c:legendEntry>
        <c:idx val="1"/>
        <c:delete val="1"/>
      </c:legendEntry>
      <c:legendEntry>
        <c:idx val="4"/>
        <c:delete val="1"/>
      </c:legendEntry>
      <c:layout>
        <c:manualLayout>
          <c:xMode val="edge"/>
          <c:yMode val="edge"/>
          <c:x val="0.12019632549172576"/>
          <c:y val="1.5670574525335736E-2"/>
          <c:w val="0.80046471557218102"/>
          <c:h val="0.13665593213762797"/>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415817524862026E-2"/>
          <c:y val="4.6109453445658533E-2"/>
          <c:w val="0.79359424854501881"/>
          <c:h val="0.81446790999628416"/>
        </c:manualLayout>
      </c:layout>
      <c:areaChart>
        <c:grouping val="standard"/>
        <c:varyColors val="0"/>
        <c:ser>
          <c:idx val="4"/>
          <c:order val="0"/>
          <c:tx>
            <c:v>Bull-Bear Scenario</c:v>
          </c:tx>
          <c:spPr>
            <a:solidFill>
              <a:schemeClr val="bg1">
                <a:lumMod val="85000"/>
              </a:schemeClr>
            </a:solidFill>
            <a:ln w="12700">
              <a:noFill/>
              <a:prstDash val="solid"/>
            </a:ln>
          </c:spPr>
          <c:cat>
            <c:strRef>
              <c:f>ChartSupport!$B$52:$W$52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ChartSupport!$B$55:$W$55</c:f>
              <c:numCache>
                <c:formatCode>#,##0</c:formatCode>
                <c:ptCount val="22"/>
                <c:pt idx="0">
                  <c:v>-18.401000000000042</c:v>
                </c:pt>
                <c:pt idx="1">
                  <c:v>35.701999999999963</c:v>
                </c:pt>
                <c:pt idx="2">
                  <c:v>172.50199999999998</c:v>
                </c:pt>
                <c:pt idx="3">
                  <c:v>198.76599999999985</c:v>
                </c:pt>
                <c:pt idx="4">
                  <c:v>-48.793999999999926</c:v>
                </c:pt>
                <c:pt idx="5">
                  <c:v>-71.86500000000008</c:v>
                </c:pt>
                <c:pt idx="6">
                  <c:v>98.071999999999832</c:v>
                </c:pt>
                <c:pt idx="7">
                  <c:v>142.29099999999985</c:v>
                </c:pt>
                <c:pt idx="8">
                  <c:v>126.61100000000016</c:v>
                </c:pt>
                <c:pt idx="9">
                  <c:v>72.949999999999804</c:v>
                </c:pt>
                <c:pt idx="10">
                  <c:v>135.00200000000004</c:v>
                </c:pt>
                <c:pt idx="11">
                  <c:v>317.23799999999966</c:v>
                </c:pt>
                <c:pt idx="12">
                  <c:v>199.43399999999997</c:v>
                </c:pt>
                <c:pt idx="13">
                  <c:v>283.88800000000009</c:v>
                </c:pt>
                <c:pt idx="14">
                  <c:v>667.49044947926961</c:v>
                </c:pt>
                <c:pt idx="15">
                  <c:v>884.3932327223489</c:v>
                </c:pt>
                <c:pt idx="16">
                  <c:v>1120.1394833634986</c:v>
                </c:pt>
                <c:pt idx="17">
                  <c:v>1250.4937667362549</c:v>
                </c:pt>
                <c:pt idx="18">
                  <c:v>1169.3472114709386</c:v>
                </c:pt>
                <c:pt idx="19">
                  <c:v>1111.6790818570255</c:v>
                </c:pt>
                <c:pt idx="20">
                  <c:v>1192.3140876252887</c:v>
                </c:pt>
                <c:pt idx="21">
                  <c:v>1316.7363923376724</c:v>
                </c:pt>
              </c:numCache>
            </c:numRef>
          </c:val>
        </c:ser>
        <c:ser>
          <c:idx val="3"/>
          <c:order val="1"/>
          <c:tx>
            <c:v>Bear Scenario</c:v>
          </c:tx>
          <c:spPr>
            <a:solidFill>
              <a:srgbClr val="FFFFFF"/>
            </a:solidFill>
            <a:ln w="12700">
              <a:noFill/>
              <a:prstDash val="solid"/>
            </a:ln>
          </c:spPr>
          <c:cat>
            <c:strRef>
              <c:f>ChartSupport!$B$52:$W$52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ChartSupport!$B$53:$W$53</c:f>
              <c:numCache>
                <c:formatCode>#,##0</c:formatCode>
                <c:ptCount val="22"/>
                <c:pt idx="0">
                  <c:v>-18.401000000000042</c:v>
                </c:pt>
                <c:pt idx="1">
                  <c:v>35.701999999999963</c:v>
                </c:pt>
                <c:pt idx="2">
                  <c:v>172.50199999999998</c:v>
                </c:pt>
                <c:pt idx="3">
                  <c:v>198.76599999999985</c:v>
                </c:pt>
                <c:pt idx="4">
                  <c:v>-48.793999999999926</c:v>
                </c:pt>
                <c:pt idx="5">
                  <c:v>-71.86500000000008</c:v>
                </c:pt>
                <c:pt idx="6">
                  <c:v>98.071999999999832</c:v>
                </c:pt>
                <c:pt idx="7">
                  <c:v>142.29099999999985</c:v>
                </c:pt>
                <c:pt idx="8">
                  <c:v>126.61100000000016</c:v>
                </c:pt>
                <c:pt idx="9">
                  <c:v>72.949999999999804</c:v>
                </c:pt>
                <c:pt idx="10">
                  <c:v>135.00200000000004</c:v>
                </c:pt>
                <c:pt idx="11">
                  <c:v>317.23799999999966</c:v>
                </c:pt>
                <c:pt idx="12">
                  <c:v>199.43399999999997</c:v>
                </c:pt>
                <c:pt idx="13">
                  <c:v>283.88800000000009</c:v>
                </c:pt>
                <c:pt idx="14">
                  <c:v>417.42673923809411</c:v>
                </c:pt>
                <c:pt idx="15">
                  <c:v>287.52177259999075</c:v>
                </c:pt>
                <c:pt idx="16">
                  <c:v>442.49019780403654</c:v>
                </c:pt>
                <c:pt idx="17">
                  <c:v>540.38180434103401</c:v>
                </c:pt>
                <c:pt idx="18">
                  <c:v>431.79050053299136</c:v>
                </c:pt>
                <c:pt idx="19">
                  <c:v>306.22721538531863</c:v>
                </c:pt>
                <c:pt idx="20">
                  <c:v>292.17759809081502</c:v>
                </c:pt>
                <c:pt idx="21">
                  <c:v>382.13226409052299</c:v>
                </c:pt>
              </c:numCache>
            </c:numRef>
          </c:val>
        </c:ser>
        <c:dLbls>
          <c:showLegendKey val="0"/>
          <c:showVal val="0"/>
          <c:showCatName val="0"/>
          <c:showSerName val="0"/>
          <c:showPercent val="0"/>
          <c:showBubbleSize val="0"/>
        </c:dLbls>
        <c:axId val="887940992"/>
        <c:axId val="887942528"/>
      </c:areaChart>
      <c:lineChart>
        <c:grouping val="standard"/>
        <c:varyColors val="0"/>
        <c:ser>
          <c:idx val="2"/>
          <c:order val="2"/>
          <c:tx>
            <c:v>Base Scenario</c:v>
          </c:tx>
          <c:spPr>
            <a:ln w="25400">
              <a:solidFill>
                <a:schemeClr val="accent1"/>
              </a:solidFill>
              <a:prstDash val="solid"/>
            </a:ln>
          </c:spPr>
          <c:marker>
            <c:symbol val="none"/>
          </c:marker>
          <c:cat>
            <c:strRef>
              <c:f>ChartSupport!$B$52:$W$52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ChartSupport!$B$54:$W$54</c:f>
              <c:numCache>
                <c:formatCode>#,##0</c:formatCode>
                <c:ptCount val="22"/>
                <c:pt idx="0">
                  <c:v>-18.401000000000042</c:v>
                </c:pt>
                <c:pt idx="1">
                  <c:v>35.701999999999963</c:v>
                </c:pt>
                <c:pt idx="2">
                  <c:v>172.50199999999998</c:v>
                </c:pt>
                <c:pt idx="3">
                  <c:v>198.76599999999985</c:v>
                </c:pt>
                <c:pt idx="4">
                  <c:v>-48.793999999999926</c:v>
                </c:pt>
                <c:pt idx="5">
                  <c:v>-71.86500000000008</c:v>
                </c:pt>
                <c:pt idx="6">
                  <c:v>98.071999999999832</c:v>
                </c:pt>
                <c:pt idx="7">
                  <c:v>142.29099999999985</c:v>
                </c:pt>
                <c:pt idx="8">
                  <c:v>126.61100000000016</c:v>
                </c:pt>
                <c:pt idx="9">
                  <c:v>72.949999999999804</c:v>
                </c:pt>
                <c:pt idx="10">
                  <c:v>135.00200000000004</c:v>
                </c:pt>
                <c:pt idx="11">
                  <c:v>317.23799999999966</c:v>
                </c:pt>
                <c:pt idx="12">
                  <c:v>199.43399999999997</c:v>
                </c:pt>
                <c:pt idx="13">
                  <c:v>283.88800000000009</c:v>
                </c:pt>
                <c:pt idx="14">
                  <c:v>522.80188661749276</c:v>
                </c:pt>
                <c:pt idx="15">
                  <c:v>572.98959662179311</c:v>
                </c:pt>
                <c:pt idx="16">
                  <c:v>677.72574167962398</c:v>
                </c:pt>
                <c:pt idx="17">
                  <c:v>810.05220237657215</c:v>
                </c:pt>
                <c:pt idx="18">
                  <c:v>859.59540637902387</c:v>
                </c:pt>
                <c:pt idx="19">
                  <c:v>710.7614377814981</c:v>
                </c:pt>
                <c:pt idx="20">
                  <c:v>596.87896213261342</c:v>
                </c:pt>
                <c:pt idx="21">
                  <c:v>780.14521072285834</c:v>
                </c:pt>
              </c:numCache>
            </c:numRef>
          </c:val>
          <c:smooth val="0"/>
        </c:ser>
        <c:dLbls>
          <c:showLegendKey val="0"/>
          <c:showVal val="0"/>
          <c:showCatName val="0"/>
          <c:showSerName val="0"/>
          <c:showPercent val="0"/>
          <c:showBubbleSize val="0"/>
        </c:dLbls>
        <c:marker val="1"/>
        <c:smooth val="0"/>
        <c:axId val="887940992"/>
        <c:axId val="887942528"/>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ChartSupport!$D$292:$W$292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ChartSupport!$B$179:$W$179</c:f>
              <c:numCache>
                <c:formatCode>#,##0.0</c:formatCode>
                <c:ptCount val="22"/>
                <c:pt idx="0">
                  <c:v>#N/A</c:v>
                </c:pt>
                <c:pt idx="1">
                  <c:v>#N/A</c:v>
                </c:pt>
                <c:pt idx="2" formatCode="0">
                  <c:v>13.545</c:v>
                </c:pt>
                <c:pt idx="3" formatCode="0">
                  <c:v>10.401666666666666</c:v>
                </c:pt>
                <c:pt idx="4" formatCode="0">
                  <c:v>12.4</c:v>
                </c:pt>
                <c:pt idx="5" formatCode="0">
                  <c:v>18.787500000000001</c:v>
                </c:pt>
                <c:pt idx="6" formatCode="0">
                  <c:v>23.440833333333334</c:v>
                </c:pt>
                <c:pt idx="7" formatCode="0">
                  <c:v>25.258333333333336</c:v>
                </c:pt>
                <c:pt idx="8" formatCode="0">
                  <c:v>20.410833333333333</c:v>
                </c:pt>
                <c:pt idx="9" formatCode="0">
                  <c:v>17.066666666666666</c:v>
                </c:pt>
                <c:pt idx="10" formatCode="0">
                  <c:v>15.978333333333333</c:v>
                </c:pt>
                <c:pt idx="11" formatCode="0">
                  <c:v>13.149166666666668</c:v>
                </c:pt>
                <c:pt idx="12" formatCode="0">
                  <c:v>19.252499999999998</c:v>
                </c:pt>
                <c:pt idx="13" formatCode="0">
                  <c:v>17.805000000000003</c:v>
                </c:pt>
                <c:pt idx="14" formatCode="0">
                  <c:v>16.244658605325153</c:v>
                </c:pt>
                <c:pt idx="15" formatCode="0">
                  <c:v>16.31531880717511</c:v>
                </c:pt>
                <c:pt idx="16" formatCode="0">
                  <c:v>16.498655235130911</c:v>
                </c:pt>
                <c:pt idx="17" formatCode="0">
                  <c:v>19.747444770453257</c:v>
                </c:pt>
                <c:pt idx="18" formatCode="0">
                  <c:v>20.93514679550681</c:v>
                </c:pt>
                <c:pt idx="19" formatCode="0">
                  <c:v>17.432162450241776</c:v>
                </c:pt>
                <c:pt idx="20" formatCode="0">
                  <c:v>15.017906650666538</c:v>
                </c:pt>
                <c:pt idx="21" formatCode="0">
                  <c:v>17.055276269110166</c:v>
                </c:pt>
              </c:numCache>
            </c:numRef>
          </c:val>
          <c:smooth val="0"/>
        </c:ser>
        <c:dLbls>
          <c:showLegendKey val="0"/>
          <c:showVal val="0"/>
          <c:showCatName val="0"/>
          <c:showSerName val="0"/>
          <c:showPercent val="0"/>
          <c:showBubbleSize val="0"/>
        </c:dLbls>
        <c:marker val="1"/>
        <c:smooth val="0"/>
        <c:axId val="887961088"/>
        <c:axId val="887962624"/>
      </c:lineChart>
      <c:catAx>
        <c:axId val="887940992"/>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87942528"/>
        <c:crosses val="autoZero"/>
        <c:auto val="1"/>
        <c:lblAlgn val="ctr"/>
        <c:lblOffset val="100"/>
        <c:tickLblSkip val="1"/>
        <c:tickMarkSkip val="1"/>
        <c:noMultiLvlLbl val="0"/>
      </c:catAx>
      <c:valAx>
        <c:axId val="887942528"/>
        <c:scaling>
          <c:orientation val="minMax"/>
        </c:scaling>
        <c:delete val="0"/>
        <c:axPos val="r"/>
        <c:title>
          <c:tx>
            <c:rich>
              <a:bodyPr rot="0" vert="horz"/>
              <a:lstStyle/>
              <a:p>
                <a:pPr algn="ctr" rtl="0">
                  <a:defRPr sz="900"/>
                </a:pPr>
                <a:r>
                  <a:rPr lang="en-US" sz="900" b="0" i="0" baseline="0">
                    <a:effectLst/>
                  </a:rPr>
                  <a:t>US$cents/lb</a:t>
                </a:r>
                <a:endParaRPr lang="en-US" sz="900">
                  <a:effectLst/>
                </a:endParaRPr>
              </a:p>
            </c:rich>
          </c:tx>
          <c:layout>
            <c:manualLayout>
              <c:xMode val="edge"/>
              <c:yMode val="edge"/>
              <c:x val="0.10755822041679419"/>
              <c:y val="1.7683159975373446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7940992"/>
        <c:crosses val="max"/>
        <c:crossBetween val="midCat"/>
      </c:valAx>
      <c:catAx>
        <c:axId val="887961088"/>
        <c:scaling>
          <c:orientation val="minMax"/>
        </c:scaling>
        <c:delete val="1"/>
        <c:axPos val="b"/>
        <c:majorTickMark val="out"/>
        <c:minorTickMark val="none"/>
        <c:tickLblPos val="nextTo"/>
        <c:crossAx val="887962624"/>
        <c:crosses val="autoZero"/>
        <c:auto val="1"/>
        <c:lblAlgn val="ctr"/>
        <c:lblOffset val="100"/>
        <c:noMultiLvlLbl val="0"/>
      </c:catAx>
      <c:valAx>
        <c:axId val="887962624"/>
        <c:scaling>
          <c:orientation val="minMax"/>
          <c:max val="32"/>
          <c:min val="-4"/>
        </c:scaling>
        <c:delete val="0"/>
        <c:axPos val="l"/>
        <c:title>
          <c:tx>
            <c:rich>
              <a:bodyPr rot="0" vert="horz"/>
              <a:lstStyle/>
              <a:p>
                <a:pPr algn="ctr" rtl="0">
                  <a:defRPr sz="900"/>
                </a:pPr>
                <a:r>
                  <a:rPr lang="en-US" sz="900"/>
                  <a:t>R$ mn</a:t>
                </a:r>
              </a:p>
            </c:rich>
          </c:tx>
          <c:layout>
            <c:manualLayout>
              <c:xMode val="edge"/>
              <c:yMode val="edge"/>
              <c:x val="0.76325612951629529"/>
              <c:y val="1.7683257719581635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7961088"/>
        <c:crosses val="autoZero"/>
        <c:crossBetween val="midCat"/>
      </c:valAx>
      <c:spPr>
        <a:noFill/>
        <a:ln w="25400">
          <a:noFill/>
        </a:ln>
      </c:spPr>
    </c:plotArea>
    <c:legend>
      <c:legendPos val="r"/>
      <c:legendEntry>
        <c:idx val="1"/>
        <c:delete val="1"/>
      </c:legendEntry>
      <c:layout>
        <c:manualLayout>
          <c:xMode val="edge"/>
          <c:yMode val="edge"/>
          <c:x val="0.2533670047789745"/>
          <c:y val="3.1132176291325725E-2"/>
          <c:w val="0.50089406578512552"/>
          <c:h val="0.17321391254864404"/>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61182438234186"/>
          <c:y val="4.8231511254019289E-2"/>
          <c:w val="0.82414909405013037"/>
          <c:h val="0.81028938906752412"/>
        </c:manualLayout>
      </c:layout>
      <c:lineChart>
        <c:grouping val="standard"/>
        <c:varyColors val="0"/>
        <c:ser>
          <c:idx val="2"/>
          <c:order val="0"/>
          <c:tx>
            <c:v>EPS Growth</c:v>
          </c:tx>
          <c:spPr>
            <a:ln w="25400">
              <a:solidFill>
                <a:schemeClr val="accent1"/>
              </a:solidFill>
              <a:prstDash val="solid"/>
            </a:ln>
          </c:spPr>
          <c:marker>
            <c:symbol val="none"/>
          </c:marker>
          <c:cat>
            <c:strRef>
              <c:f>ChartSupport!$C$62:$W$62</c:f>
              <c:strCache>
                <c:ptCount val="2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2018E</c:v>
                </c:pt>
                <c:pt idx="14">
                  <c:v>2019E</c:v>
                </c:pt>
                <c:pt idx="15">
                  <c:v>2020E</c:v>
                </c:pt>
                <c:pt idx="16">
                  <c:v>2021E</c:v>
                </c:pt>
                <c:pt idx="17">
                  <c:v>2022E</c:v>
                </c:pt>
                <c:pt idx="18">
                  <c:v>2023E</c:v>
                </c:pt>
                <c:pt idx="19">
                  <c:v>2024E</c:v>
                </c:pt>
                <c:pt idx="20">
                  <c:v>2025E</c:v>
                </c:pt>
              </c:strCache>
            </c:strRef>
          </c:cat>
          <c:val>
            <c:numRef>
              <c:f>ChartSupport!$C$64:$W$64</c:f>
              <c:numCache>
                <c:formatCode>0%</c:formatCode>
                <c:ptCount val="21"/>
                <c:pt idx="0">
                  <c:v>0</c:v>
                </c:pt>
                <c:pt idx="1">
                  <c:v>3.8317181110301988</c:v>
                </c:pt>
                <c:pt idx="2">
                  <c:v>1.9693192219497169E-2</c:v>
                </c:pt>
                <c:pt idx="3">
                  <c:v>0</c:v>
                </c:pt>
                <c:pt idx="4">
                  <c:v>0</c:v>
                </c:pt>
                <c:pt idx="5">
                  <c:v>0</c:v>
                </c:pt>
                <c:pt idx="6">
                  <c:v>0.45088302471653585</c:v>
                </c:pt>
                <c:pt idx="7">
                  <c:v>-0.10909156978424039</c:v>
                </c:pt>
                <c:pt idx="8">
                  <c:v>-0.42201055964438128</c:v>
                </c:pt>
                <c:pt idx="9">
                  <c:v>0.84866866373441008</c:v>
                </c:pt>
                <c:pt idx="10">
                  <c:v>1.3420683625290697</c:v>
                </c:pt>
                <c:pt idx="11">
                  <c:v>-0.37324191817330221</c:v>
                </c:pt>
                <c:pt idx="12">
                  <c:v>0.42998238400324595</c:v>
                </c:pt>
                <c:pt idx="13" formatCode="0.0%">
                  <c:v>0.76372664406209223</c:v>
                </c:pt>
                <c:pt idx="14" formatCode="0.0%">
                  <c:v>6.4375559878716793E-2</c:v>
                </c:pt>
                <c:pt idx="15" formatCode="0.0%">
                  <c:v>0.18278891218152937</c:v>
                </c:pt>
                <c:pt idx="16" formatCode="0.0%">
                  <c:v>0.19525075197675146</c:v>
                </c:pt>
                <c:pt idx="17" formatCode="0.0%">
                  <c:v>6.1160507751351512E-2</c:v>
                </c:pt>
                <c:pt idx="18" formatCode="0.0%">
                  <c:v>-0.17314421121033774</c:v>
                </c:pt>
                <c:pt idx="19" formatCode="0.0%">
                  <c:v>-0.16022601902031497</c:v>
                </c:pt>
                <c:pt idx="20" formatCode="0.0%">
                  <c:v>0.30704089139856006</c:v>
                </c:pt>
              </c:numCache>
            </c:numRef>
          </c:val>
          <c:smooth val="0"/>
        </c:ser>
        <c:ser>
          <c:idx val="1"/>
          <c:order val="2"/>
          <c:tx>
            <c:v>zeroline</c:v>
          </c:tx>
          <c:spPr>
            <a:ln w="3175">
              <a:solidFill>
                <a:schemeClr val="bg1">
                  <a:lumMod val="50000"/>
                </a:schemeClr>
              </a:solidFill>
            </a:ln>
          </c:spPr>
          <c:marker>
            <c:symbol val="none"/>
          </c:marker>
          <c:val>
            <c:numRef>
              <c:f>ChartSupport!$C$421:$W$421</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ser>
        <c:dLbls>
          <c:showLegendKey val="0"/>
          <c:showVal val="0"/>
          <c:showCatName val="0"/>
          <c:showSerName val="0"/>
          <c:showPercent val="0"/>
          <c:showBubbleSize val="0"/>
        </c:dLbls>
        <c:marker val="1"/>
        <c:smooth val="0"/>
        <c:axId val="888604928"/>
        <c:axId val="888610816"/>
      </c:lineChart>
      <c:lineChart>
        <c:grouping val="standard"/>
        <c:varyColors val="0"/>
        <c:ser>
          <c:idx val="0"/>
          <c:order val="1"/>
          <c:tx>
            <c:strRef>
              <c:f>ChartSupport!$A$179</c:f>
              <c:strCache>
                <c:ptCount val="1"/>
                <c:pt idx="0">
                  <c:v>Sugar Prices NY11 (US$c/lb)</c:v>
                </c:pt>
              </c:strCache>
            </c:strRef>
          </c:tx>
          <c:spPr>
            <a:ln w="15875">
              <a:solidFill>
                <a:srgbClr val="FF0000"/>
              </a:solidFill>
              <a:prstDash val="sysDash"/>
            </a:ln>
          </c:spPr>
          <c:marker>
            <c:symbol val="none"/>
          </c:marker>
          <c:cat>
            <c:strRef>
              <c:f>ChartSupport!$C$62:$W$62</c:f>
              <c:strCache>
                <c:ptCount val="2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2018E</c:v>
                </c:pt>
                <c:pt idx="14">
                  <c:v>2019E</c:v>
                </c:pt>
                <c:pt idx="15">
                  <c:v>2020E</c:v>
                </c:pt>
                <c:pt idx="16">
                  <c:v>2021E</c:v>
                </c:pt>
                <c:pt idx="17">
                  <c:v>2022E</c:v>
                </c:pt>
                <c:pt idx="18">
                  <c:v>2023E</c:v>
                </c:pt>
                <c:pt idx="19">
                  <c:v>2024E</c:v>
                </c:pt>
                <c:pt idx="20">
                  <c:v>2025E</c:v>
                </c:pt>
              </c:strCache>
            </c:strRef>
          </c:cat>
          <c:val>
            <c:numRef>
              <c:f>ChartSupport!$C$179:$W$179</c:f>
              <c:numCache>
                <c:formatCode>0</c:formatCode>
                <c:ptCount val="21"/>
                <c:pt idx="0" formatCode="#,##0.0">
                  <c:v>#N/A</c:v>
                </c:pt>
                <c:pt idx="1">
                  <c:v>13.545</c:v>
                </c:pt>
                <c:pt idx="2">
                  <c:v>10.401666666666666</c:v>
                </c:pt>
                <c:pt idx="3">
                  <c:v>12.4</c:v>
                </c:pt>
                <c:pt idx="4">
                  <c:v>18.787500000000001</c:v>
                </c:pt>
                <c:pt idx="5">
                  <c:v>23.440833333333334</c:v>
                </c:pt>
                <c:pt idx="6">
                  <c:v>25.258333333333336</c:v>
                </c:pt>
                <c:pt idx="7">
                  <c:v>20.410833333333333</c:v>
                </c:pt>
                <c:pt idx="8">
                  <c:v>17.066666666666666</c:v>
                </c:pt>
                <c:pt idx="9">
                  <c:v>15.978333333333333</c:v>
                </c:pt>
                <c:pt idx="10">
                  <c:v>13.149166666666668</c:v>
                </c:pt>
                <c:pt idx="11">
                  <c:v>19.252499999999998</c:v>
                </c:pt>
                <c:pt idx="12">
                  <c:v>17.805000000000003</c:v>
                </c:pt>
                <c:pt idx="13">
                  <c:v>16.244658605325153</c:v>
                </c:pt>
                <c:pt idx="14">
                  <c:v>16.31531880717511</c:v>
                </c:pt>
                <c:pt idx="15">
                  <c:v>16.498655235130911</c:v>
                </c:pt>
                <c:pt idx="16">
                  <c:v>19.747444770453257</c:v>
                </c:pt>
                <c:pt idx="17">
                  <c:v>20.93514679550681</c:v>
                </c:pt>
                <c:pt idx="18">
                  <c:v>17.432162450241776</c:v>
                </c:pt>
                <c:pt idx="19">
                  <c:v>15.017906650666538</c:v>
                </c:pt>
                <c:pt idx="20">
                  <c:v>17.055276269110166</c:v>
                </c:pt>
              </c:numCache>
            </c:numRef>
          </c:val>
          <c:smooth val="0"/>
        </c:ser>
        <c:dLbls>
          <c:showLegendKey val="0"/>
          <c:showVal val="0"/>
          <c:showCatName val="0"/>
          <c:showSerName val="0"/>
          <c:showPercent val="0"/>
          <c:showBubbleSize val="0"/>
        </c:dLbls>
        <c:marker val="1"/>
        <c:smooth val="0"/>
        <c:axId val="888612352"/>
        <c:axId val="888613888"/>
      </c:lineChart>
      <c:catAx>
        <c:axId val="888604928"/>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88610816"/>
        <c:crossesAt val="-15"/>
        <c:auto val="1"/>
        <c:lblAlgn val="ctr"/>
        <c:lblOffset val="100"/>
        <c:tickLblSkip val="1"/>
        <c:tickMarkSkip val="1"/>
        <c:noMultiLvlLbl val="0"/>
      </c:catAx>
      <c:valAx>
        <c:axId val="888610816"/>
        <c:scaling>
          <c:orientation val="minMax"/>
          <c:max val="1.5"/>
        </c:scaling>
        <c:delete val="0"/>
        <c:axPos val="l"/>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8604928"/>
        <c:crosses val="autoZero"/>
        <c:crossBetween val="midCat"/>
      </c:valAx>
      <c:catAx>
        <c:axId val="888612352"/>
        <c:scaling>
          <c:orientation val="minMax"/>
        </c:scaling>
        <c:delete val="1"/>
        <c:axPos val="b"/>
        <c:majorTickMark val="out"/>
        <c:minorTickMark val="none"/>
        <c:tickLblPos val="nextTo"/>
        <c:crossAx val="888613888"/>
        <c:crosses val="autoZero"/>
        <c:auto val="1"/>
        <c:lblAlgn val="ctr"/>
        <c:lblOffset val="100"/>
        <c:noMultiLvlLbl val="0"/>
      </c:catAx>
      <c:valAx>
        <c:axId val="888613888"/>
        <c:scaling>
          <c:orientation val="minMax"/>
          <c:min val="-15"/>
        </c:scaling>
        <c:delete val="0"/>
        <c:axPos val="r"/>
        <c:title>
          <c:tx>
            <c:rich>
              <a:bodyPr rot="0" vert="horz"/>
              <a:lstStyle/>
              <a:p>
                <a:pPr marL="0" marR="0" indent="0" algn="ctr" defTabSz="914400" rtl="0" eaLnBrk="1" fontAlgn="auto" latinLnBrk="0" hangingPunct="1">
                  <a:lnSpc>
                    <a:spcPct val="100000"/>
                  </a:lnSpc>
                  <a:spcBef>
                    <a:spcPts val="0"/>
                  </a:spcBef>
                  <a:spcAft>
                    <a:spcPts val="0"/>
                  </a:spcAft>
                  <a:buClrTx/>
                  <a:buSzTx/>
                  <a:buFontTx/>
                  <a:buNone/>
                  <a:tabLst/>
                  <a:defRPr sz="900" b="0" i="0" u="none" strike="noStrike" kern="1200" baseline="0">
                    <a:solidFill>
                      <a:srgbClr val="808080"/>
                    </a:solidFill>
                    <a:latin typeface="Arial"/>
                    <a:ea typeface="Arial"/>
                    <a:cs typeface="Arial"/>
                  </a:defRPr>
                </a:pPr>
                <a:r>
                  <a:rPr lang="en-US" sz="900" b="0" i="0" baseline="0">
                    <a:effectLst/>
                  </a:rPr>
                  <a:t>US$ cents/lb</a:t>
                </a:r>
                <a:endParaRPr lang="en-US" sz="900">
                  <a:effectLst/>
                </a:endParaRPr>
              </a:p>
            </c:rich>
          </c:tx>
          <c:layout>
            <c:manualLayout>
              <c:xMode val="edge"/>
              <c:yMode val="edge"/>
              <c:x val="0.75886524822695034"/>
              <c:y val="1.3867541005323858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8612352"/>
        <c:crosses val="max"/>
        <c:crossBetween val="between"/>
      </c:valAx>
      <c:spPr>
        <a:noFill/>
        <a:ln w="25400">
          <a:noFill/>
        </a:ln>
      </c:spPr>
    </c:plotArea>
    <c:legend>
      <c:legendPos val="r"/>
      <c:legendEntry>
        <c:idx val="1"/>
        <c:delete val="1"/>
      </c:legendEntry>
      <c:layout>
        <c:manualLayout>
          <c:xMode val="edge"/>
          <c:yMode val="edge"/>
          <c:x val="0.17469088363954505"/>
          <c:y val="0.71326837270341203"/>
          <c:w val="0.57121287839020118"/>
          <c:h val="9.5555446194225721E-2"/>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4722478867024"/>
          <c:y val="4.8231511254019289E-2"/>
          <c:w val="0.77967897182729562"/>
          <c:h val="0.77664058554194926"/>
        </c:manualLayout>
      </c:layout>
      <c:areaChart>
        <c:grouping val="standard"/>
        <c:varyColors val="0"/>
        <c:ser>
          <c:idx val="4"/>
          <c:order val="0"/>
          <c:tx>
            <c:v>Bull-Bear Scenario</c:v>
          </c:tx>
          <c:spPr>
            <a:solidFill>
              <a:schemeClr val="bg1">
                <a:lumMod val="85000"/>
              </a:schemeClr>
            </a:solidFill>
            <a:ln w="12700">
              <a:noFill/>
              <a:prstDash val="solid"/>
            </a:ln>
          </c:spPr>
          <c:cat>
            <c:strRef>
              <c:f>ChartSupport!$D$87:$W$87</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ChartSupport!$D$90:$W$90</c:f>
              <c:numCache>
                <c:formatCode>0.0%</c:formatCode>
                <c:ptCount val="20"/>
                <c:pt idx="0">
                  <c:v>0.10050221404862728</c:v>
                </c:pt>
                <c:pt idx="1">
                  <c:v>1.1278817524200369</c:v>
                </c:pt>
                <c:pt idx="2">
                  <c:v>0.72876393138878748</c:v>
                </c:pt>
                <c:pt idx="3">
                  <c:v>0.590477284964807</c:v>
                </c:pt>
                <c:pt idx="4">
                  <c:v>0.28255721778166903</c:v>
                </c:pt>
                <c:pt idx="5">
                  <c:v>0.35070206976219825</c:v>
                </c:pt>
                <c:pt idx="6">
                  <c:v>0.46164639097579357</c:v>
                </c:pt>
                <c:pt idx="7">
                  <c:v>0.41556216399595342</c:v>
                </c:pt>
                <c:pt idx="8">
                  <c:v>0.33394904878555959</c:v>
                </c:pt>
                <c:pt idx="9">
                  <c:v>0.34923545112125526</c:v>
                </c:pt>
                <c:pt idx="10">
                  <c:v>0.30828645377118474</c:v>
                </c:pt>
                <c:pt idx="11">
                  <c:v>0.32534744955013217</c:v>
                </c:pt>
                <c:pt idx="12">
                  <c:v>0.25928255373406578</c:v>
                </c:pt>
                <c:pt idx="13">
                  <c:v>0.25791477493231729</c:v>
                </c:pt>
                <c:pt idx="14">
                  <c:v>0.28069278221185273</c:v>
                </c:pt>
                <c:pt idx="15">
                  <c:v>0.27806447089949649</c:v>
                </c:pt>
                <c:pt idx="16">
                  <c:v>0.28001532392050144</c:v>
                </c:pt>
                <c:pt idx="17">
                  <c:v>0.28206930582426215</c:v>
                </c:pt>
                <c:pt idx="18">
                  <c:v>0.28028775948130613</c:v>
                </c:pt>
                <c:pt idx="19">
                  <c:v>0.27754254396817291</c:v>
                </c:pt>
              </c:numCache>
            </c:numRef>
          </c:val>
        </c:ser>
        <c:ser>
          <c:idx val="3"/>
          <c:order val="1"/>
          <c:tx>
            <c:v>Bear Scenario</c:v>
          </c:tx>
          <c:spPr>
            <a:solidFill>
              <a:schemeClr val="bg1"/>
            </a:solidFill>
            <a:ln w="12700">
              <a:noFill/>
              <a:prstDash val="solid"/>
            </a:ln>
          </c:spPr>
          <c:cat>
            <c:strRef>
              <c:f>ChartSupport!$D$87:$W$87</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ChartSupport!$D$88:$W$88</c:f>
              <c:numCache>
                <c:formatCode>0.0%</c:formatCode>
                <c:ptCount val="20"/>
                <c:pt idx="0">
                  <c:v>0.10050221404862728</c:v>
                </c:pt>
                <c:pt idx="1">
                  <c:v>1.1278817524200369</c:v>
                </c:pt>
                <c:pt idx="2">
                  <c:v>0.72876393138878748</c:v>
                </c:pt>
                <c:pt idx="3">
                  <c:v>0.590477284964807</c:v>
                </c:pt>
                <c:pt idx="4">
                  <c:v>0.28255721778166903</c:v>
                </c:pt>
                <c:pt idx="5">
                  <c:v>0.35070206976219825</c:v>
                </c:pt>
                <c:pt idx="6">
                  <c:v>0.46164639097579357</c:v>
                </c:pt>
                <c:pt idx="7">
                  <c:v>0.41556216399595342</c:v>
                </c:pt>
                <c:pt idx="8">
                  <c:v>0.33394904878555959</c:v>
                </c:pt>
                <c:pt idx="9">
                  <c:v>0.34923545112125526</c:v>
                </c:pt>
                <c:pt idx="10">
                  <c:v>0.30828645377118474</c:v>
                </c:pt>
                <c:pt idx="11">
                  <c:v>0.32534744955013217</c:v>
                </c:pt>
                <c:pt idx="12">
                  <c:v>0.28293091801867515</c:v>
                </c:pt>
                <c:pt idx="13">
                  <c:v>0.28387341525531784</c:v>
                </c:pt>
                <c:pt idx="14">
                  <c:v>0.28043212153545116</c:v>
                </c:pt>
                <c:pt idx="15">
                  <c:v>0.31131257600397588</c:v>
                </c:pt>
                <c:pt idx="16">
                  <c:v>0.31370852502023844</c:v>
                </c:pt>
                <c:pt idx="17">
                  <c:v>0.31758065180387302</c:v>
                </c:pt>
                <c:pt idx="18">
                  <c:v>0.31535357983327295</c:v>
                </c:pt>
                <c:pt idx="19">
                  <c:v>0.31336640845896546</c:v>
                </c:pt>
              </c:numCache>
            </c:numRef>
          </c:val>
        </c:ser>
        <c:dLbls>
          <c:showLegendKey val="0"/>
          <c:showVal val="0"/>
          <c:showCatName val="0"/>
          <c:showSerName val="0"/>
          <c:showPercent val="0"/>
          <c:showBubbleSize val="0"/>
        </c:dLbls>
        <c:axId val="888654848"/>
        <c:axId val="888406784"/>
      </c:areaChart>
      <c:lineChart>
        <c:grouping val="standard"/>
        <c:varyColors val="0"/>
        <c:ser>
          <c:idx val="2"/>
          <c:order val="2"/>
          <c:tx>
            <c:v>Base Scenario</c:v>
          </c:tx>
          <c:spPr>
            <a:ln w="25400">
              <a:solidFill>
                <a:schemeClr val="accent1"/>
              </a:solidFill>
              <a:prstDash val="solid"/>
            </a:ln>
          </c:spPr>
          <c:marker>
            <c:symbol val="none"/>
          </c:marker>
          <c:cat>
            <c:strRef>
              <c:f>ChartSupport!$D$87:$W$87</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ChartSupport!$D$89:$W$89</c:f>
              <c:numCache>
                <c:formatCode>0.0%</c:formatCode>
                <c:ptCount val="20"/>
                <c:pt idx="0">
                  <c:v>0.10050221404862728</c:v>
                </c:pt>
                <c:pt idx="1">
                  <c:v>1.1278817524200369</c:v>
                </c:pt>
                <c:pt idx="2">
                  <c:v>0.72876393138878748</c:v>
                </c:pt>
                <c:pt idx="3">
                  <c:v>0.590477284964807</c:v>
                </c:pt>
                <c:pt idx="4">
                  <c:v>0.28255721778166903</c:v>
                </c:pt>
                <c:pt idx="5">
                  <c:v>0.35070206976219825</c:v>
                </c:pt>
                <c:pt idx="6">
                  <c:v>0.46164639097579357</c:v>
                </c:pt>
                <c:pt idx="7">
                  <c:v>0.41556216399595342</c:v>
                </c:pt>
                <c:pt idx="8">
                  <c:v>0.33394904878555959</c:v>
                </c:pt>
                <c:pt idx="9">
                  <c:v>0.34923545112125526</c:v>
                </c:pt>
                <c:pt idx="10">
                  <c:v>0.30828645377118474</c:v>
                </c:pt>
                <c:pt idx="11">
                  <c:v>0.32534744955013217</c:v>
                </c:pt>
                <c:pt idx="12">
                  <c:v>0.27098086180386327</c:v>
                </c:pt>
                <c:pt idx="13">
                  <c:v>0.27028557798619574</c:v>
                </c:pt>
                <c:pt idx="14">
                  <c:v>0.29960104645501284</c:v>
                </c:pt>
                <c:pt idx="15">
                  <c:v>0.29427673164509283</c:v>
                </c:pt>
                <c:pt idx="16">
                  <c:v>0.29252096478619921</c:v>
                </c:pt>
                <c:pt idx="17">
                  <c:v>0.29594015112233379</c:v>
                </c:pt>
                <c:pt idx="18">
                  <c:v>0.29849833331168785</c:v>
                </c:pt>
                <c:pt idx="19">
                  <c:v>0.2945986456630561</c:v>
                </c:pt>
              </c:numCache>
            </c:numRef>
          </c:val>
          <c:smooth val="0"/>
        </c:ser>
        <c:dLbls>
          <c:showLegendKey val="0"/>
          <c:showVal val="0"/>
          <c:showCatName val="0"/>
          <c:showSerName val="0"/>
          <c:showPercent val="0"/>
          <c:showBubbleSize val="0"/>
        </c:dLbls>
        <c:marker val="1"/>
        <c:smooth val="0"/>
        <c:axId val="888654848"/>
        <c:axId val="888406784"/>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ChartSupport!$D$87:$W$87</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ChartSupport!$D$179:$W$179</c:f>
              <c:numCache>
                <c:formatCode>0</c:formatCode>
                <c:ptCount val="20"/>
                <c:pt idx="0">
                  <c:v>13.545</c:v>
                </c:pt>
                <c:pt idx="1">
                  <c:v>10.401666666666666</c:v>
                </c:pt>
                <c:pt idx="2">
                  <c:v>12.4</c:v>
                </c:pt>
                <c:pt idx="3">
                  <c:v>18.787500000000001</c:v>
                </c:pt>
                <c:pt idx="4">
                  <c:v>23.440833333333334</c:v>
                </c:pt>
                <c:pt idx="5">
                  <c:v>25.258333333333336</c:v>
                </c:pt>
                <c:pt idx="6">
                  <c:v>20.410833333333333</c:v>
                </c:pt>
                <c:pt idx="7">
                  <c:v>17.066666666666666</c:v>
                </c:pt>
                <c:pt idx="8">
                  <c:v>15.978333333333333</c:v>
                </c:pt>
                <c:pt idx="9">
                  <c:v>13.149166666666668</c:v>
                </c:pt>
                <c:pt idx="10">
                  <c:v>19.252499999999998</c:v>
                </c:pt>
                <c:pt idx="11">
                  <c:v>17.805000000000003</c:v>
                </c:pt>
                <c:pt idx="12">
                  <c:v>16.244658605325153</c:v>
                </c:pt>
                <c:pt idx="13">
                  <c:v>16.31531880717511</c:v>
                </c:pt>
                <c:pt idx="14">
                  <c:v>16.498655235130911</c:v>
                </c:pt>
                <c:pt idx="15">
                  <c:v>19.747444770453257</c:v>
                </c:pt>
                <c:pt idx="16">
                  <c:v>20.93514679550681</c:v>
                </c:pt>
                <c:pt idx="17">
                  <c:v>17.432162450241776</c:v>
                </c:pt>
                <c:pt idx="18">
                  <c:v>15.017906650666538</c:v>
                </c:pt>
                <c:pt idx="19">
                  <c:v>17.055276269110166</c:v>
                </c:pt>
              </c:numCache>
            </c:numRef>
          </c:val>
          <c:smooth val="0"/>
        </c:ser>
        <c:dLbls>
          <c:showLegendKey val="0"/>
          <c:showVal val="0"/>
          <c:showCatName val="0"/>
          <c:showSerName val="0"/>
          <c:showPercent val="0"/>
          <c:showBubbleSize val="0"/>
        </c:dLbls>
        <c:marker val="1"/>
        <c:smooth val="0"/>
        <c:axId val="888408320"/>
        <c:axId val="888414208"/>
      </c:lineChart>
      <c:catAx>
        <c:axId val="888654848"/>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88406784"/>
        <c:crosses val="autoZero"/>
        <c:auto val="1"/>
        <c:lblAlgn val="ctr"/>
        <c:lblOffset val="100"/>
        <c:tickLblSkip val="1"/>
        <c:tickMarkSkip val="1"/>
        <c:noMultiLvlLbl val="0"/>
      </c:catAx>
      <c:valAx>
        <c:axId val="888406784"/>
        <c:scaling>
          <c:orientation val="minMax"/>
        </c:scaling>
        <c:delete val="0"/>
        <c:axPos val="l"/>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8654848"/>
        <c:crosses val="autoZero"/>
        <c:crossBetween val="midCat"/>
      </c:valAx>
      <c:catAx>
        <c:axId val="888408320"/>
        <c:scaling>
          <c:orientation val="minMax"/>
        </c:scaling>
        <c:delete val="1"/>
        <c:axPos val="b"/>
        <c:majorTickMark val="out"/>
        <c:minorTickMark val="none"/>
        <c:tickLblPos val="nextTo"/>
        <c:crossAx val="888414208"/>
        <c:crosses val="autoZero"/>
        <c:auto val="1"/>
        <c:lblAlgn val="ctr"/>
        <c:lblOffset val="100"/>
        <c:noMultiLvlLbl val="0"/>
      </c:catAx>
      <c:valAx>
        <c:axId val="888414208"/>
        <c:scaling>
          <c:orientation val="minMax"/>
        </c:scaling>
        <c:delete val="0"/>
        <c:axPos val="r"/>
        <c:title>
          <c:tx>
            <c:rich>
              <a:bodyPr rot="0" vert="horz"/>
              <a:lstStyle/>
              <a:p>
                <a:pPr algn="ctr" rtl="0">
                  <a:defRPr sz="900"/>
                </a:pPr>
                <a:r>
                  <a:rPr lang="en-US" sz="900" b="0" i="0" baseline="0">
                    <a:effectLst/>
                  </a:rPr>
                  <a:t>US$ cents/lb</a:t>
                </a:r>
                <a:endParaRPr lang="en-US" sz="900">
                  <a:effectLst/>
                </a:endParaRPr>
              </a:p>
            </c:rich>
          </c:tx>
          <c:layout>
            <c:manualLayout>
              <c:xMode val="edge"/>
              <c:yMode val="edge"/>
              <c:x val="0.76595744680851063"/>
              <c:y val="9.6614421620010403E-3"/>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8408320"/>
        <c:crosses val="max"/>
        <c:crossBetween val="between"/>
      </c:valAx>
      <c:spPr>
        <a:noFill/>
        <a:ln w="25400">
          <a:noFill/>
        </a:ln>
      </c:spPr>
    </c:plotArea>
    <c:legend>
      <c:legendPos val="r"/>
      <c:legendEntry>
        <c:idx val="1"/>
        <c:delete val="1"/>
      </c:legendEntry>
      <c:layout>
        <c:manualLayout>
          <c:xMode val="edge"/>
          <c:yMode val="edge"/>
          <c:x val="0.16166228138059124"/>
          <c:y val="1.2679868247658422E-2"/>
          <c:w val="0.56539509688948453"/>
          <c:h val="0.17238249004363415"/>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solidFill>
      <a:schemeClr val="bg1"/>
    </a:solid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13331051009928"/>
          <c:y val="4.7169956177390976E-2"/>
          <c:w val="0.77268990071893184"/>
          <c:h val="0.78154596416188715"/>
        </c:manualLayout>
      </c:layout>
      <c:areaChart>
        <c:grouping val="standard"/>
        <c:varyColors val="0"/>
        <c:ser>
          <c:idx val="4"/>
          <c:order val="0"/>
          <c:tx>
            <c:v>Bull-Bear Scenario</c:v>
          </c:tx>
          <c:spPr>
            <a:solidFill>
              <a:schemeClr val="bg1">
                <a:lumMod val="85000"/>
              </a:schemeClr>
            </a:solidFill>
            <a:ln w="12700">
              <a:noFill/>
              <a:prstDash val="solid"/>
            </a:ln>
          </c:spPr>
          <c:cat>
            <c:strRef>
              <c:f>ChartSupport!$D$82:$W$82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ChartSupport!$D$85:$W$85</c:f>
              <c:numCache>
                <c:formatCode>#,##0</c:formatCode>
                <c:ptCount val="20"/>
                <c:pt idx="0">
                  <c:v>81.207999999999899</c:v>
                </c:pt>
                <c:pt idx="1">
                  <c:v>932.23599999999999</c:v>
                </c:pt>
                <c:pt idx="2">
                  <c:v>519.18600000000004</c:v>
                </c:pt>
                <c:pt idx="3">
                  <c:v>457.29100000000005</c:v>
                </c:pt>
                <c:pt idx="4">
                  <c:v>334.346</c:v>
                </c:pt>
                <c:pt idx="5">
                  <c:v>454.16899999999998</c:v>
                </c:pt>
                <c:pt idx="6">
                  <c:v>631.06600000000003</c:v>
                </c:pt>
                <c:pt idx="7">
                  <c:v>679.84099999999989</c:v>
                </c:pt>
                <c:pt idx="8">
                  <c:v>658.44399999999996</c:v>
                </c:pt>
                <c:pt idx="9">
                  <c:v>812.029</c:v>
                </c:pt>
                <c:pt idx="10">
                  <c:v>840.81400000000008</c:v>
                </c:pt>
                <c:pt idx="11">
                  <c:v>976.98</c:v>
                </c:pt>
                <c:pt idx="12">
                  <c:v>1031.7756240955787</c:v>
                </c:pt>
                <c:pt idx="13">
                  <c:v>1104.6924443580826</c:v>
                </c:pt>
                <c:pt idx="14">
                  <c:v>1354.2223303022959</c:v>
                </c:pt>
                <c:pt idx="15">
                  <c:v>1472.6140367817911</c:v>
                </c:pt>
                <c:pt idx="16">
                  <c:v>1449.0909372697647</c:v>
                </c:pt>
                <c:pt idx="17">
                  <c:v>1426.9061507460974</c:v>
                </c:pt>
                <c:pt idx="18">
                  <c:v>1522.2512177036142</c:v>
                </c:pt>
                <c:pt idx="19">
                  <c:v>1663.7762264217374</c:v>
                </c:pt>
              </c:numCache>
            </c:numRef>
          </c:val>
        </c:ser>
        <c:ser>
          <c:idx val="3"/>
          <c:order val="1"/>
          <c:tx>
            <c:v>Bear Scenario</c:v>
          </c:tx>
          <c:spPr>
            <a:solidFill>
              <a:srgbClr val="FFFFFF"/>
            </a:solidFill>
            <a:ln w="12700">
              <a:noFill/>
              <a:prstDash val="solid"/>
            </a:ln>
          </c:spPr>
          <c:cat>
            <c:strRef>
              <c:f>ChartSupport!$D$82:$W$82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ChartSupport!$D$83:$W$83</c:f>
              <c:numCache>
                <c:formatCode>#,##0</c:formatCode>
                <c:ptCount val="20"/>
                <c:pt idx="0">
                  <c:v>81.207999999999899</c:v>
                </c:pt>
                <c:pt idx="1">
                  <c:v>932.23599999999999</c:v>
                </c:pt>
                <c:pt idx="2">
                  <c:v>519.18600000000004</c:v>
                </c:pt>
                <c:pt idx="3">
                  <c:v>457.29100000000005</c:v>
                </c:pt>
                <c:pt idx="4">
                  <c:v>334.346</c:v>
                </c:pt>
                <c:pt idx="5">
                  <c:v>454.16899999999998</c:v>
                </c:pt>
                <c:pt idx="6">
                  <c:v>631.06600000000003</c:v>
                </c:pt>
                <c:pt idx="7">
                  <c:v>679.84099999999989</c:v>
                </c:pt>
                <c:pt idx="8">
                  <c:v>658.44399999999996</c:v>
                </c:pt>
                <c:pt idx="9">
                  <c:v>812.029</c:v>
                </c:pt>
                <c:pt idx="10">
                  <c:v>840.81400000000008</c:v>
                </c:pt>
                <c:pt idx="11">
                  <c:v>976.98</c:v>
                </c:pt>
                <c:pt idx="12">
                  <c:v>946.50360554132044</c:v>
                </c:pt>
                <c:pt idx="13">
                  <c:v>912.16515099217929</c:v>
                </c:pt>
                <c:pt idx="14">
                  <c:v>1052.8769060962318</c:v>
                </c:pt>
                <c:pt idx="15">
                  <c:v>1342.5102757597542</c:v>
                </c:pt>
                <c:pt idx="16">
                  <c:v>1329.646552004768</c:v>
                </c:pt>
                <c:pt idx="17">
                  <c:v>1292.1675239075191</c:v>
                </c:pt>
                <c:pt idx="18">
                  <c:v>1374.2285964003338</c:v>
                </c:pt>
                <c:pt idx="19">
                  <c:v>1458.9203885729355</c:v>
                </c:pt>
              </c:numCache>
            </c:numRef>
          </c:val>
        </c:ser>
        <c:dLbls>
          <c:showLegendKey val="0"/>
          <c:showVal val="0"/>
          <c:showCatName val="0"/>
          <c:showSerName val="0"/>
          <c:showPercent val="0"/>
          <c:showBubbleSize val="0"/>
        </c:dLbls>
        <c:axId val="888467456"/>
        <c:axId val="888468992"/>
      </c:areaChart>
      <c:lineChart>
        <c:grouping val="standard"/>
        <c:varyColors val="0"/>
        <c:ser>
          <c:idx val="2"/>
          <c:order val="2"/>
          <c:tx>
            <c:v>Base Scenario</c:v>
          </c:tx>
          <c:spPr>
            <a:ln w="25400">
              <a:solidFill>
                <a:schemeClr val="accent1"/>
              </a:solidFill>
              <a:prstDash val="solid"/>
            </a:ln>
          </c:spPr>
          <c:marker>
            <c:symbol val="none"/>
          </c:marker>
          <c:cat>
            <c:strRef>
              <c:f>ChartSupport!$B$82:$W$82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ChartSupport!$D$84:$W$84</c:f>
              <c:numCache>
                <c:formatCode>#,##0</c:formatCode>
                <c:ptCount val="20"/>
                <c:pt idx="0">
                  <c:v>81.207999999999899</c:v>
                </c:pt>
                <c:pt idx="1">
                  <c:v>932.23599999999999</c:v>
                </c:pt>
                <c:pt idx="2">
                  <c:v>519.18600000000004</c:v>
                </c:pt>
                <c:pt idx="3">
                  <c:v>457.29100000000005</c:v>
                </c:pt>
                <c:pt idx="4">
                  <c:v>334.346</c:v>
                </c:pt>
                <c:pt idx="5">
                  <c:v>454.16899999999998</c:v>
                </c:pt>
                <c:pt idx="6">
                  <c:v>631.06600000000003</c:v>
                </c:pt>
                <c:pt idx="7">
                  <c:v>679.84099999999989</c:v>
                </c:pt>
                <c:pt idx="8">
                  <c:v>658.44399999999996</c:v>
                </c:pt>
                <c:pt idx="9">
                  <c:v>812.029</c:v>
                </c:pt>
                <c:pt idx="10">
                  <c:v>840.81400000000008</c:v>
                </c:pt>
                <c:pt idx="11">
                  <c:v>976.98</c:v>
                </c:pt>
                <c:pt idx="12">
                  <c:v>990.91228347385686</c:v>
                </c:pt>
                <c:pt idx="13">
                  <c:v>1022.2459586001482</c:v>
                </c:pt>
                <c:pt idx="14">
                  <c:v>1223.805845179005</c:v>
                </c:pt>
                <c:pt idx="15">
                  <c:v>1383.4198210911582</c:v>
                </c:pt>
                <c:pt idx="16">
                  <c:v>1471.7311882750189</c:v>
                </c:pt>
                <c:pt idx="17">
                  <c:v>1417.0078734257606</c:v>
                </c:pt>
                <c:pt idx="18">
                  <c:v>1392.6595437548831</c:v>
                </c:pt>
                <c:pt idx="19">
                  <c:v>1538.1137500929303</c:v>
                </c:pt>
              </c:numCache>
            </c:numRef>
          </c:val>
          <c:smooth val="0"/>
        </c:ser>
        <c:dLbls>
          <c:showLegendKey val="0"/>
          <c:showVal val="0"/>
          <c:showCatName val="0"/>
          <c:showSerName val="0"/>
          <c:showPercent val="0"/>
          <c:showBubbleSize val="0"/>
        </c:dLbls>
        <c:marker val="1"/>
        <c:smooth val="0"/>
        <c:axId val="888467456"/>
        <c:axId val="888468992"/>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ChartSupport!$D$82:$W$82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ChartSupport!$D$179:$W$179</c:f>
              <c:numCache>
                <c:formatCode>0</c:formatCode>
                <c:ptCount val="20"/>
                <c:pt idx="0">
                  <c:v>13.545</c:v>
                </c:pt>
                <c:pt idx="1">
                  <c:v>10.401666666666666</c:v>
                </c:pt>
                <c:pt idx="2">
                  <c:v>12.4</c:v>
                </c:pt>
                <c:pt idx="3">
                  <c:v>18.787500000000001</c:v>
                </c:pt>
                <c:pt idx="4">
                  <c:v>23.440833333333334</c:v>
                </c:pt>
                <c:pt idx="5">
                  <c:v>25.258333333333336</c:v>
                </c:pt>
                <c:pt idx="6">
                  <c:v>20.410833333333333</c:v>
                </c:pt>
                <c:pt idx="7">
                  <c:v>17.066666666666666</c:v>
                </c:pt>
                <c:pt idx="8">
                  <c:v>15.978333333333333</c:v>
                </c:pt>
                <c:pt idx="9">
                  <c:v>13.149166666666668</c:v>
                </c:pt>
                <c:pt idx="10">
                  <c:v>19.252499999999998</c:v>
                </c:pt>
                <c:pt idx="11">
                  <c:v>17.805000000000003</c:v>
                </c:pt>
                <c:pt idx="12">
                  <c:v>16.244658605325153</c:v>
                </c:pt>
                <c:pt idx="13">
                  <c:v>16.31531880717511</c:v>
                </c:pt>
                <c:pt idx="14">
                  <c:v>16.498655235130911</c:v>
                </c:pt>
                <c:pt idx="15">
                  <c:v>19.747444770453257</c:v>
                </c:pt>
                <c:pt idx="16">
                  <c:v>20.93514679550681</c:v>
                </c:pt>
                <c:pt idx="17">
                  <c:v>17.432162450241776</c:v>
                </c:pt>
                <c:pt idx="18">
                  <c:v>15.017906650666538</c:v>
                </c:pt>
                <c:pt idx="19">
                  <c:v>17.055276269110166</c:v>
                </c:pt>
              </c:numCache>
            </c:numRef>
          </c:val>
          <c:smooth val="0"/>
        </c:ser>
        <c:dLbls>
          <c:showLegendKey val="0"/>
          <c:showVal val="0"/>
          <c:showCatName val="0"/>
          <c:showSerName val="0"/>
          <c:showPercent val="0"/>
          <c:showBubbleSize val="0"/>
        </c:dLbls>
        <c:marker val="1"/>
        <c:smooth val="0"/>
        <c:axId val="888470912"/>
        <c:axId val="888476800"/>
      </c:lineChart>
      <c:catAx>
        <c:axId val="888467456"/>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88468992"/>
        <c:crossesAt val="-600"/>
        <c:auto val="1"/>
        <c:lblAlgn val="ctr"/>
        <c:lblOffset val="100"/>
        <c:tickLblSkip val="1"/>
        <c:tickMarkSkip val="1"/>
        <c:noMultiLvlLbl val="0"/>
      </c:catAx>
      <c:valAx>
        <c:axId val="888468992"/>
        <c:scaling>
          <c:orientation val="minMax"/>
        </c:scaling>
        <c:delete val="0"/>
        <c:axPos val="r"/>
        <c:title>
          <c:tx>
            <c:rich>
              <a:bodyPr rot="0" vert="horz"/>
              <a:lstStyle/>
              <a:p>
                <a:pPr algn="ctr" rtl="0">
                  <a:defRPr sz="900"/>
                </a:pPr>
                <a:r>
                  <a:rPr lang="en-US" sz="900" b="0" i="0" baseline="0">
                    <a:effectLst/>
                  </a:rPr>
                  <a:t>US$ cents/lb</a:t>
                </a:r>
                <a:endParaRPr lang="en-US" sz="900">
                  <a:effectLst/>
                </a:endParaRPr>
              </a:p>
            </c:rich>
          </c:tx>
          <c:layout>
            <c:manualLayout>
              <c:xMode val="edge"/>
              <c:yMode val="edge"/>
              <c:x val="0.12522541125030334"/>
              <c:y val="1.3914285019482798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8467456"/>
        <c:crosses val="max"/>
        <c:crossBetween val="midCat"/>
      </c:valAx>
      <c:catAx>
        <c:axId val="888470912"/>
        <c:scaling>
          <c:orientation val="minMax"/>
        </c:scaling>
        <c:delete val="1"/>
        <c:axPos val="b"/>
        <c:majorTickMark val="out"/>
        <c:minorTickMark val="none"/>
        <c:tickLblPos val="nextTo"/>
        <c:crossAx val="888476800"/>
        <c:crosses val="autoZero"/>
        <c:auto val="1"/>
        <c:lblAlgn val="ctr"/>
        <c:lblOffset val="100"/>
        <c:noMultiLvlLbl val="0"/>
      </c:catAx>
      <c:valAx>
        <c:axId val="888476800"/>
        <c:scaling>
          <c:orientation val="minMax"/>
        </c:scaling>
        <c:delete val="0"/>
        <c:axPos val="l"/>
        <c:title>
          <c:tx>
            <c:rich>
              <a:bodyPr rot="0" vert="horz"/>
              <a:lstStyle/>
              <a:p>
                <a:pPr algn="ctr" rtl="0">
                  <a:defRPr sz="900"/>
                </a:pPr>
                <a:r>
                  <a:rPr lang="en-US" sz="900"/>
                  <a:t>R$ mn</a:t>
                </a:r>
              </a:p>
            </c:rich>
          </c:tx>
          <c:layout>
            <c:manualLayout>
              <c:xMode val="edge"/>
              <c:yMode val="edge"/>
              <c:x val="0.7420513314291185"/>
              <c:y val="2.179834696868195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8470912"/>
        <c:crosses val="autoZero"/>
        <c:crossBetween val="midCat"/>
      </c:valAx>
      <c:spPr>
        <a:noFill/>
        <a:ln w="25400">
          <a:noFill/>
        </a:ln>
      </c:spPr>
    </c:plotArea>
    <c:legend>
      <c:legendPos val="r"/>
      <c:legendEntry>
        <c:idx val="1"/>
        <c:delete val="1"/>
      </c:legendEntry>
      <c:layout>
        <c:manualLayout>
          <c:xMode val="edge"/>
          <c:yMode val="edge"/>
          <c:x val="0.33752691020728931"/>
          <c:y val="0.63157075951429087"/>
          <c:w val="0.51868687093564037"/>
          <c:h val="0.17221908582181944"/>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userShapes r:id="rId1"/>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8521088"/>
        <c:axId val="888522624"/>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8524160"/>
        <c:axId val="888534144"/>
      </c:lineChart>
      <c:catAx>
        <c:axId val="888521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88522624"/>
        <c:crosses val="autoZero"/>
        <c:auto val="1"/>
        <c:lblAlgn val="ctr"/>
        <c:lblOffset val="100"/>
        <c:tickLblSkip val="1"/>
        <c:tickMarkSkip val="1"/>
        <c:noMultiLvlLbl val="0"/>
      </c:catAx>
      <c:valAx>
        <c:axId val="88852262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8521088"/>
        <c:crosses val="autoZero"/>
        <c:crossBetween val="between"/>
      </c:valAx>
      <c:catAx>
        <c:axId val="888524160"/>
        <c:scaling>
          <c:orientation val="minMax"/>
        </c:scaling>
        <c:delete val="1"/>
        <c:axPos val="b"/>
        <c:numFmt formatCode="General" sourceLinked="1"/>
        <c:majorTickMark val="out"/>
        <c:minorTickMark val="none"/>
        <c:tickLblPos val="nextTo"/>
        <c:crossAx val="888534144"/>
        <c:crosses val="autoZero"/>
        <c:auto val="1"/>
        <c:lblAlgn val="ctr"/>
        <c:lblOffset val="100"/>
        <c:noMultiLvlLbl val="0"/>
      </c:catAx>
      <c:valAx>
        <c:axId val="888534144"/>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852416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9019008"/>
        <c:axId val="889024896"/>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9026432"/>
        <c:axId val="889027968"/>
      </c:lineChart>
      <c:catAx>
        <c:axId val="889019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89024896"/>
        <c:crosses val="autoZero"/>
        <c:auto val="1"/>
        <c:lblAlgn val="ctr"/>
        <c:lblOffset val="100"/>
        <c:tickLblSkip val="1"/>
        <c:tickMarkSkip val="1"/>
        <c:noMultiLvlLbl val="0"/>
      </c:catAx>
      <c:valAx>
        <c:axId val="889024896"/>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9019008"/>
        <c:crosses val="autoZero"/>
        <c:crossBetween val="between"/>
      </c:valAx>
      <c:catAx>
        <c:axId val="889026432"/>
        <c:scaling>
          <c:orientation val="minMax"/>
        </c:scaling>
        <c:delete val="1"/>
        <c:axPos val="b"/>
        <c:numFmt formatCode="General" sourceLinked="1"/>
        <c:majorTickMark val="out"/>
        <c:minorTickMark val="none"/>
        <c:tickLblPos val="nextTo"/>
        <c:crossAx val="889027968"/>
        <c:crosses val="autoZero"/>
        <c:auto val="1"/>
        <c:lblAlgn val="ctr"/>
        <c:lblOffset val="100"/>
        <c:noMultiLvlLbl val="0"/>
      </c:catAx>
      <c:valAx>
        <c:axId val="889027968"/>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9026432"/>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title>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0647168"/>
        <c:axId val="888197888"/>
      </c:lineChart>
      <c:catAx>
        <c:axId val="880647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888197888"/>
        <c:crosses val="autoZero"/>
        <c:auto val="1"/>
        <c:lblAlgn val="ctr"/>
        <c:lblOffset val="100"/>
        <c:tickLblSkip val="1"/>
        <c:tickMarkSkip val="1"/>
        <c:noMultiLvlLbl val="0"/>
      </c:catAx>
      <c:valAx>
        <c:axId val="888197888"/>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880647168"/>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title>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9045376"/>
        <c:axId val="889046912"/>
      </c:lineChart>
      <c:catAx>
        <c:axId val="889045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889046912"/>
        <c:crosses val="autoZero"/>
        <c:auto val="1"/>
        <c:lblAlgn val="ctr"/>
        <c:lblOffset val="100"/>
        <c:tickLblSkip val="1"/>
        <c:tickMarkSkip val="1"/>
        <c:noMultiLvlLbl val="0"/>
      </c:catAx>
      <c:valAx>
        <c:axId val="889046912"/>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889045376"/>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000013196807957"/>
          <c:y val="4.7619195248001144E-2"/>
          <c:w val="0.82973082470811965"/>
          <c:h val="0.8127009322325528"/>
        </c:manualLayout>
      </c:layout>
      <c:lineChart>
        <c:grouping val="standard"/>
        <c:varyColors val="0"/>
        <c:ser>
          <c:idx val="4"/>
          <c:order val="0"/>
          <c:tx>
            <c:strRef>
              <c:f>ChartSupport!$A$306</c:f>
              <c:strCache>
                <c:ptCount val="1"/>
                <c:pt idx="0">
                  <c:v>Working Capital Change</c:v>
                </c:pt>
              </c:strCache>
            </c:strRef>
          </c:tx>
          <c:spPr>
            <a:ln w="25400">
              <a:solidFill>
                <a:schemeClr val="accent1"/>
              </a:solidFill>
              <a:prstDash val="solid"/>
            </a:ln>
          </c:spPr>
          <c:marker>
            <c:symbol val="none"/>
          </c:marker>
          <c:cat>
            <c:strRef>
              <c:f>ChartSupport!$C$292:$W$292</c:f>
              <c:strCache>
                <c:ptCount val="2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2018E</c:v>
                </c:pt>
                <c:pt idx="14">
                  <c:v>2019E</c:v>
                </c:pt>
                <c:pt idx="15">
                  <c:v>2020E</c:v>
                </c:pt>
                <c:pt idx="16">
                  <c:v>2021E</c:v>
                </c:pt>
                <c:pt idx="17">
                  <c:v>2022E</c:v>
                </c:pt>
                <c:pt idx="18">
                  <c:v>2023E</c:v>
                </c:pt>
                <c:pt idx="19">
                  <c:v>2024E</c:v>
                </c:pt>
                <c:pt idx="20">
                  <c:v>2025E</c:v>
                </c:pt>
              </c:strCache>
            </c:strRef>
          </c:cat>
          <c:val>
            <c:numRef>
              <c:f>ChartSupport!$C$306:$W$306</c:f>
              <c:numCache>
                <c:formatCode>#,##0</c:formatCode>
                <c:ptCount val="21"/>
                <c:pt idx="0">
                  <c:v>-13.564999999999998</c:v>
                </c:pt>
                <c:pt idx="1">
                  <c:v>-13.468999999999994</c:v>
                </c:pt>
                <c:pt idx="2">
                  <c:v>160.66399999999987</c:v>
                </c:pt>
                <c:pt idx="3">
                  <c:v>-30.394999999999982</c:v>
                </c:pt>
                <c:pt idx="4">
                  <c:v>-96.54200000000003</c:v>
                </c:pt>
                <c:pt idx="5">
                  <c:v>183.60699999999991</c:v>
                </c:pt>
                <c:pt idx="6">
                  <c:v>-198.31420799999978</c:v>
                </c:pt>
                <c:pt idx="7">
                  <c:v>-9.6651679999999658</c:v>
                </c:pt>
                <c:pt idx="8">
                  <c:v>-173.23622400000005</c:v>
                </c:pt>
                <c:pt idx="9">
                  <c:v>-28.566792000000191</c:v>
                </c:pt>
                <c:pt idx="10">
                  <c:v>-225.34625999999969</c:v>
                </c:pt>
                <c:pt idx="11">
                  <c:v>10.618652000000225</c:v>
                </c:pt>
                <c:pt idx="12">
                  <c:v>-126.29800000000012</c:v>
                </c:pt>
                <c:pt idx="13">
                  <c:v>2.8906308906073264</c:v>
                </c:pt>
                <c:pt idx="14">
                  <c:v>23.946512812143283</c:v>
                </c:pt>
                <c:pt idx="15">
                  <c:v>40.522229886226796</c:v>
                </c:pt>
                <c:pt idx="16">
                  <c:v>76.033563564697488</c:v>
                </c:pt>
                <c:pt idx="17">
                  <c:v>118.08696284599205</c:v>
                </c:pt>
                <c:pt idx="18">
                  <c:v>126.32866976449145</c:v>
                </c:pt>
                <c:pt idx="19">
                  <c:v>-57.55419217074359</c:v>
                </c:pt>
                <c:pt idx="20">
                  <c:v>-75.469040342519065</c:v>
                </c:pt>
              </c:numCache>
            </c:numRef>
          </c:val>
          <c:smooth val="0"/>
        </c:ser>
        <c:ser>
          <c:idx val="0"/>
          <c:order val="2"/>
          <c:tx>
            <c:v>zeroline</c:v>
          </c:tx>
          <c:spPr>
            <a:ln w="3175">
              <a:solidFill>
                <a:schemeClr val="bg1">
                  <a:lumMod val="50000"/>
                </a:schemeClr>
              </a:solidFill>
            </a:ln>
          </c:spPr>
          <c:marker>
            <c:symbol val="none"/>
          </c:marker>
          <c:val>
            <c:numRef>
              <c:f>ChartSupport!$C$421:$W$421</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ser>
        <c:dLbls>
          <c:showLegendKey val="0"/>
          <c:showVal val="0"/>
          <c:showCatName val="0"/>
          <c:showSerName val="0"/>
          <c:showPercent val="0"/>
          <c:showBubbleSize val="0"/>
        </c:dLbls>
        <c:marker val="1"/>
        <c:smooth val="0"/>
        <c:axId val="889103872"/>
        <c:axId val="889105408"/>
      </c:lineChart>
      <c:lineChart>
        <c:grouping val="standard"/>
        <c:varyColors val="0"/>
        <c:ser>
          <c:idx val="6"/>
          <c:order val="1"/>
          <c:tx>
            <c:strRef>
              <c:f>ChartSupport!$A$293</c:f>
              <c:strCache>
                <c:ptCount val="1"/>
                <c:pt idx="0">
                  <c:v>Sugar Nybot prices (US$ cents/lb)</c:v>
                </c:pt>
              </c:strCache>
            </c:strRef>
          </c:tx>
          <c:spPr>
            <a:ln w="15875">
              <a:solidFill>
                <a:srgbClr val="FF0000"/>
              </a:solidFill>
              <a:prstDash val="sysDash"/>
            </a:ln>
          </c:spPr>
          <c:marker>
            <c:symbol val="none"/>
          </c:marker>
          <c:val>
            <c:numRef>
              <c:f>ChartSupport!$C$293:$W$293</c:f>
              <c:numCache>
                <c:formatCode>#,##0.0</c:formatCode>
                <c:ptCount val="21"/>
                <c:pt idx="0">
                  <c:v>#N/A</c:v>
                </c:pt>
                <c:pt idx="1">
                  <c:v>13.545</c:v>
                </c:pt>
                <c:pt idx="2">
                  <c:v>10.401666666666666</c:v>
                </c:pt>
                <c:pt idx="3">
                  <c:v>12.4</c:v>
                </c:pt>
                <c:pt idx="4">
                  <c:v>18.787500000000001</c:v>
                </c:pt>
                <c:pt idx="5">
                  <c:v>23.440833333333334</c:v>
                </c:pt>
                <c:pt idx="6">
                  <c:v>25.258333333333336</c:v>
                </c:pt>
                <c:pt idx="7">
                  <c:v>20.410833333333333</c:v>
                </c:pt>
                <c:pt idx="8">
                  <c:v>17.066666666666666</c:v>
                </c:pt>
                <c:pt idx="9">
                  <c:v>15.978333333333333</c:v>
                </c:pt>
                <c:pt idx="10">
                  <c:v>13.149166666666668</c:v>
                </c:pt>
                <c:pt idx="11">
                  <c:v>19.252499999999998</c:v>
                </c:pt>
                <c:pt idx="12">
                  <c:v>17.805000000000003</c:v>
                </c:pt>
                <c:pt idx="13">
                  <c:v>16.244658605325153</c:v>
                </c:pt>
                <c:pt idx="14">
                  <c:v>16.31531880717511</c:v>
                </c:pt>
                <c:pt idx="15">
                  <c:v>16.498655235130911</c:v>
                </c:pt>
                <c:pt idx="16">
                  <c:v>19.747444770453257</c:v>
                </c:pt>
                <c:pt idx="17">
                  <c:v>20.93514679550681</c:v>
                </c:pt>
                <c:pt idx="18">
                  <c:v>17.432162450241776</c:v>
                </c:pt>
                <c:pt idx="19">
                  <c:v>15.017906650666538</c:v>
                </c:pt>
                <c:pt idx="20">
                  <c:v>17.055276269110166</c:v>
                </c:pt>
              </c:numCache>
            </c:numRef>
          </c:val>
          <c:smooth val="0"/>
        </c:ser>
        <c:dLbls>
          <c:showLegendKey val="0"/>
          <c:showVal val="0"/>
          <c:showCatName val="0"/>
          <c:showSerName val="0"/>
          <c:showPercent val="0"/>
          <c:showBubbleSize val="0"/>
        </c:dLbls>
        <c:marker val="1"/>
        <c:smooth val="0"/>
        <c:axId val="889111680"/>
        <c:axId val="889113216"/>
      </c:lineChart>
      <c:catAx>
        <c:axId val="889103872"/>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89105408"/>
        <c:crossesAt val="-1250"/>
        <c:auto val="1"/>
        <c:lblAlgn val="ctr"/>
        <c:lblOffset val="100"/>
        <c:tickLblSkip val="1"/>
        <c:tickMarkSkip val="1"/>
        <c:noMultiLvlLbl val="0"/>
      </c:catAx>
      <c:valAx>
        <c:axId val="889105408"/>
        <c:scaling>
          <c:orientation val="minMax"/>
          <c:max val="1750"/>
        </c:scaling>
        <c:delete val="0"/>
        <c:axPos val="l"/>
        <c:title>
          <c:tx>
            <c:rich>
              <a:bodyPr rot="0" vert="horz"/>
              <a:lstStyle/>
              <a:p>
                <a:pPr algn="ctr" rtl="0">
                  <a:defRPr sz="900"/>
                </a:pPr>
                <a:r>
                  <a:rPr lang="en-US" sz="900"/>
                  <a:t>R$ mn</a:t>
                </a:r>
              </a:p>
            </c:rich>
          </c:tx>
          <c:layout>
            <c:manualLayout>
              <c:xMode val="edge"/>
              <c:yMode val="edge"/>
              <c:x val="0.13835090590218341"/>
              <c:y val="2.2213301585643153E-2"/>
            </c:manualLayout>
          </c:layout>
          <c:overlay val="0"/>
        </c:title>
        <c:numFmt formatCode="#,##0" sourceLinked="1"/>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9103872"/>
        <c:crosses val="autoZero"/>
        <c:crossBetween val="midCat"/>
      </c:valAx>
      <c:catAx>
        <c:axId val="889111680"/>
        <c:scaling>
          <c:orientation val="minMax"/>
        </c:scaling>
        <c:delete val="1"/>
        <c:axPos val="b"/>
        <c:majorTickMark val="out"/>
        <c:minorTickMark val="none"/>
        <c:tickLblPos val="nextTo"/>
        <c:crossAx val="889113216"/>
        <c:crosses val="autoZero"/>
        <c:auto val="1"/>
        <c:lblAlgn val="ctr"/>
        <c:lblOffset val="100"/>
        <c:noMultiLvlLbl val="0"/>
      </c:catAx>
      <c:valAx>
        <c:axId val="889113216"/>
        <c:scaling>
          <c:orientation val="minMax"/>
          <c:max val="28"/>
          <c:min val="-22"/>
        </c:scaling>
        <c:delete val="0"/>
        <c:axPos val="r"/>
        <c:title>
          <c:tx>
            <c:rich>
              <a:bodyPr rot="0" vert="horz"/>
              <a:lstStyle/>
              <a:p>
                <a:pPr algn="ctr" rtl="0">
                  <a:defRPr sz="900"/>
                </a:pPr>
                <a:r>
                  <a:rPr lang="en-US" sz="900" b="0" i="0" baseline="0">
                    <a:effectLst/>
                  </a:rPr>
                  <a:t>US$ cents/lb</a:t>
                </a:r>
                <a:endParaRPr lang="en-US" sz="900">
                  <a:effectLst/>
                </a:endParaRPr>
              </a:p>
            </c:rich>
          </c:tx>
          <c:layout>
            <c:manualLayout>
              <c:xMode val="edge"/>
              <c:yMode val="edge"/>
              <c:x val="0.77338413147447493"/>
              <c:y val="1.3459437716425904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9111680"/>
        <c:crosses val="max"/>
        <c:crossBetween val="between"/>
      </c:valAx>
      <c:spPr>
        <a:noFill/>
        <a:ln w="25400">
          <a:noFill/>
        </a:ln>
      </c:spPr>
    </c:plotArea>
    <c:legend>
      <c:legendPos val="r"/>
      <c:legendEntry>
        <c:idx val="1"/>
        <c:delete val="1"/>
      </c:legendEntry>
      <c:layout>
        <c:manualLayout>
          <c:xMode val="edge"/>
          <c:yMode val="edge"/>
          <c:x val="0.13420217067461163"/>
          <c:y val="0.70408217491332103"/>
          <c:w val="0.78205111173232833"/>
          <c:h val="0.14276542190102323"/>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496083550913843E-2"/>
          <c:y val="4.7169956177390976E-2"/>
          <c:w val="0.82245430809399478"/>
          <c:h val="0.81446790999628416"/>
        </c:manualLayout>
      </c:layout>
      <c:areaChart>
        <c:grouping val="standard"/>
        <c:varyColors val="0"/>
        <c:ser>
          <c:idx val="4"/>
          <c:order val="0"/>
          <c:tx>
            <c:v>Bull-Bear Scenario</c:v>
          </c:tx>
          <c:spPr>
            <a:solidFill>
              <a:schemeClr val="bg1">
                <a:lumMod val="85000"/>
              </a:schemeClr>
            </a:solidFill>
            <a:ln w="12700">
              <a:noFill/>
              <a:prstDash val="solid"/>
            </a:ln>
          </c:spPr>
          <c:cat>
            <c:strRef>
              <c:f>ChartSupport!$B$92:$W$92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ChartSupport!$B$95:$W$95</c:f>
              <c:numCache>
                <c:formatCode>#,##0</c:formatCode>
                <c:ptCount val="22"/>
                <c:pt idx="0">
                  <c:v>69.432000000000016</c:v>
                </c:pt>
                <c:pt idx="1">
                  <c:v>119.465</c:v>
                </c:pt>
                <c:pt idx="2">
                  <c:v>140.70099999999999</c:v>
                </c:pt>
                <c:pt idx="3">
                  <c:v>133.89699999999999</c:v>
                </c:pt>
                <c:pt idx="4">
                  <c:v>168.72899999999998</c:v>
                </c:pt>
                <c:pt idx="5">
                  <c:v>270.33589999999998</c:v>
                </c:pt>
                <c:pt idx="6">
                  <c:v>16.206849999999996</c:v>
                </c:pt>
                <c:pt idx="7">
                  <c:v>95.288999999999959</c:v>
                </c:pt>
                <c:pt idx="8">
                  <c:v>44.109499999999997</c:v>
                </c:pt>
                <c:pt idx="9">
                  <c:v>98.373750000000001</c:v>
                </c:pt>
                <c:pt idx="10">
                  <c:v>102.71949999999998</c:v>
                </c:pt>
                <c:pt idx="11">
                  <c:v>50.075100000000077</c:v>
                </c:pt>
                <c:pt idx="12">
                  <c:v>104.51290000000006</c:v>
                </c:pt>
                <c:pt idx="13">
                  <c:v>175.51204999999993</c:v>
                </c:pt>
                <c:pt idx="14">
                  <c:v>233.98594570360791</c:v>
                </c:pt>
                <c:pt idx="15">
                  <c:v>316.04273816692097</c:v>
                </c:pt>
                <c:pt idx="16">
                  <c:v>412.0906515302753</c:v>
                </c:pt>
                <c:pt idx="17">
                  <c:v>517.15203282941127</c:v>
                </c:pt>
                <c:pt idx="18">
                  <c:v>576.04170955539144</c:v>
                </c:pt>
                <c:pt idx="19">
                  <c:v>631.46019082132239</c:v>
                </c:pt>
                <c:pt idx="20">
                  <c:v>737.07245894918378</c:v>
                </c:pt>
                <c:pt idx="21">
                  <c:v>842.75279592056268</c:v>
                </c:pt>
              </c:numCache>
            </c:numRef>
          </c:val>
        </c:ser>
        <c:ser>
          <c:idx val="3"/>
          <c:order val="1"/>
          <c:tx>
            <c:v>Bear Scenario"</c:v>
          </c:tx>
          <c:spPr>
            <a:solidFill>
              <a:schemeClr val="bg1"/>
            </a:solidFill>
            <a:ln w="12700">
              <a:noFill/>
              <a:prstDash val="solid"/>
            </a:ln>
          </c:spPr>
          <c:cat>
            <c:strRef>
              <c:f>ChartSupport!$B$92:$W$92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ChartSupport!$B$93:$W$93</c:f>
              <c:numCache>
                <c:formatCode>#,##0</c:formatCode>
                <c:ptCount val="22"/>
                <c:pt idx="0">
                  <c:v>69.432000000000016</c:v>
                </c:pt>
                <c:pt idx="1">
                  <c:v>119.465</c:v>
                </c:pt>
                <c:pt idx="2">
                  <c:v>140.70099999999999</c:v>
                </c:pt>
                <c:pt idx="3">
                  <c:v>133.89699999999999</c:v>
                </c:pt>
                <c:pt idx="4">
                  <c:v>168.72899999999998</c:v>
                </c:pt>
                <c:pt idx="5">
                  <c:v>270.33589999999998</c:v>
                </c:pt>
                <c:pt idx="6">
                  <c:v>16.206849999999996</c:v>
                </c:pt>
                <c:pt idx="7">
                  <c:v>95.288999999999959</c:v>
                </c:pt>
                <c:pt idx="8">
                  <c:v>44.109499999999997</c:v>
                </c:pt>
                <c:pt idx="9">
                  <c:v>98.373750000000001</c:v>
                </c:pt>
                <c:pt idx="10">
                  <c:v>102.71949999999998</c:v>
                </c:pt>
                <c:pt idx="11">
                  <c:v>50.075100000000077</c:v>
                </c:pt>
                <c:pt idx="12">
                  <c:v>104.51290000000006</c:v>
                </c:pt>
                <c:pt idx="13">
                  <c:v>175.51204999999993</c:v>
                </c:pt>
                <c:pt idx="14">
                  <c:v>209.94233812901484</c:v>
                </c:pt>
                <c:pt idx="15">
                  <c:v>261.31733556187248</c:v>
                </c:pt>
                <c:pt idx="16">
                  <c:v>354.51752859941087</c:v>
                </c:pt>
                <c:pt idx="17">
                  <c:v>470.2605782916375</c:v>
                </c:pt>
                <c:pt idx="18">
                  <c:v>532.90966798665784</c:v>
                </c:pt>
                <c:pt idx="19">
                  <c:v>583.93338630650987</c:v>
                </c:pt>
                <c:pt idx="20">
                  <c:v>690.53956559389587</c:v>
                </c:pt>
                <c:pt idx="21">
                  <c:v>780.34435341512813</c:v>
                </c:pt>
              </c:numCache>
            </c:numRef>
          </c:val>
        </c:ser>
        <c:dLbls>
          <c:showLegendKey val="0"/>
          <c:showVal val="0"/>
          <c:showCatName val="0"/>
          <c:showSerName val="0"/>
          <c:showPercent val="0"/>
          <c:showBubbleSize val="0"/>
        </c:dLbls>
        <c:axId val="889150464"/>
        <c:axId val="889160448"/>
      </c:areaChart>
      <c:lineChart>
        <c:grouping val="standard"/>
        <c:varyColors val="0"/>
        <c:ser>
          <c:idx val="2"/>
          <c:order val="2"/>
          <c:tx>
            <c:v>Base Scenario</c:v>
          </c:tx>
          <c:spPr>
            <a:ln w="25400">
              <a:solidFill>
                <a:schemeClr val="accent1"/>
              </a:solidFill>
              <a:prstDash val="solid"/>
            </a:ln>
          </c:spPr>
          <c:marker>
            <c:symbol val="none"/>
          </c:marker>
          <c:cat>
            <c:strRef>
              <c:f>ChartSupport!$B$92:$W$92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ChartSupport!$B$94:$W$94</c:f>
              <c:numCache>
                <c:formatCode>#,##0</c:formatCode>
                <c:ptCount val="22"/>
                <c:pt idx="0">
                  <c:v>69.432000000000016</c:v>
                </c:pt>
                <c:pt idx="1">
                  <c:v>119.465</c:v>
                </c:pt>
                <c:pt idx="2">
                  <c:v>140.70099999999999</c:v>
                </c:pt>
                <c:pt idx="3">
                  <c:v>133.89699999999999</c:v>
                </c:pt>
                <c:pt idx="4">
                  <c:v>168.72899999999998</c:v>
                </c:pt>
                <c:pt idx="5">
                  <c:v>270.33589999999998</c:v>
                </c:pt>
                <c:pt idx="6">
                  <c:v>16.206849999999996</c:v>
                </c:pt>
                <c:pt idx="7">
                  <c:v>95.288999999999959</c:v>
                </c:pt>
                <c:pt idx="8">
                  <c:v>44.109499999999997</c:v>
                </c:pt>
                <c:pt idx="9">
                  <c:v>98.373750000000001</c:v>
                </c:pt>
                <c:pt idx="10">
                  <c:v>102.71949999999998</c:v>
                </c:pt>
                <c:pt idx="11">
                  <c:v>50.075100000000077</c:v>
                </c:pt>
                <c:pt idx="12">
                  <c:v>104.51290000000006</c:v>
                </c:pt>
                <c:pt idx="13">
                  <c:v>175.51204999999993</c:v>
                </c:pt>
                <c:pt idx="14">
                  <c:v>225.10748691859089</c:v>
                </c:pt>
                <c:pt idx="15">
                  <c:v>293.04684425910023</c:v>
                </c:pt>
                <c:pt idx="16">
                  <c:v>368.92843378789894</c:v>
                </c:pt>
                <c:pt idx="17">
                  <c:v>489.62416096609593</c:v>
                </c:pt>
                <c:pt idx="18">
                  <c:v>593.67640730986193</c:v>
                </c:pt>
                <c:pt idx="19">
                  <c:v>644.36240579541288</c:v>
                </c:pt>
                <c:pt idx="20">
                  <c:v>699.78636150236025</c:v>
                </c:pt>
                <c:pt idx="21">
                  <c:v>807.03020747956475</c:v>
                </c:pt>
              </c:numCache>
            </c:numRef>
          </c:val>
          <c:smooth val="0"/>
        </c:ser>
        <c:dLbls>
          <c:showLegendKey val="0"/>
          <c:showVal val="0"/>
          <c:showCatName val="0"/>
          <c:showSerName val="0"/>
          <c:showPercent val="0"/>
          <c:showBubbleSize val="0"/>
        </c:dLbls>
        <c:marker val="1"/>
        <c:smooth val="0"/>
        <c:axId val="889150464"/>
        <c:axId val="889160448"/>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ChartSupport!$B$92:$W$92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ChartSupport!$B$179:$W$179</c:f>
              <c:numCache>
                <c:formatCode>#,##0.0</c:formatCode>
                <c:ptCount val="22"/>
                <c:pt idx="0">
                  <c:v>#N/A</c:v>
                </c:pt>
                <c:pt idx="1">
                  <c:v>#N/A</c:v>
                </c:pt>
                <c:pt idx="2" formatCode="0">
                  <c:v>13.545</c:v>
                </c:pt>
                <c:pt idx="3" formatCode="0">
                  <c:v>10.401666666666666</c:v>
                </c:pt>
                <c:pt idx="4" formatCode="0">
                  <c:v>12.4</c:v>
                </c:pt>
                <c:pt idx="5" formatCode="0">
                  <c:v>18.787500000000001</c:v>
                </c:pt>
                <c:pt idx="6" formatCode="0">
                  <c:v>23.440833333333334</c:v>
                </c:pt>
                <c:pt idx="7" formatCode="0">
                  <c:v>25.258333333333336</c:v>
                </c:pt>
                <c:pt idx="8" formatCode="0">
                  <c:v>20.410833333333333</c:v>
                </c:pt>
                <c:pt idx="9" formatCode="0">
                  <c:v>17.066666666666666</c:v>
                </c:pt>
                <c:pt idx="10" formatCode="0">
                  <c:v>15.978333333333333</c:v>
                </c:pt>
                <c:pt idx="11" formatCode="0">
                  <c:v>13.149166666666668</c:v>
                </c:pt>
                <c:pt idx="12" formatCode="0">
                  <c:v>19.252499999999998</c:v>
                </c:pt>
                <c:pt idx="13" formatCode="0">
                  <c:v>17.805000000000003</c:v>
                </c:pt>
                <c:pt idx="14" formatCode="0">
                  <c:v>16.244658605325153</c:v>
                </c:pt>
                <c:pt idx="15" formatCode="0">
                  <c:v>16.31531880717511</c:v>
                </c:pt>
                <c:pt idx="16" formatCode="0">
                  <c:v>16.498655235130911</c:v>
                </c:pt>
                <c:pt idx="17" formatCode="0">
                  <c:v>19.747444770453257</c:v>
                </c:pt>
                <c:pt idx="18" formatCode="0">
                  <c:v>20.93514679550681</c:v>
                </c:pt>
                <c:pt idx="19" formatCode="0">
                  <c:v>17.432162450241776</c:v>
                </c:pt>
                <c:pt idx="20" formatCode="0">
                  <c:v>15.017906650666538</c:v>
                </c:pt>
                <c:pt idx="21" formatCode="0">
                  <c:v>17.055276269110166</c:v>
                </c:pt>
              </c:numCache>
            </c:numRef>
          </c:val>
          <c:smooth val="0"/>
        </c:ser>
        <c:dLbls>
          <c:showLegendKey val="0"/>
          <c:showVal val="0"/>
          <c:showCatName val="0"/>
          <c:showSerName val="0"/>
          <c:showPercent val="0"/>
          <c:showBubbleSize val="0"/>
        </c:dLbls>
        <c:marker val="1"/>
        <c:smooth val="0"/>
        <c:axId val="889162368"/>
        <c:axId val="889176448"/>
      </c:lineChart>
      <c:catAx>
        <c:axId val="889150464"/>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89160448"/>
        <c:crosses val="autoZero"/>
        <c:auto val="1"/>
        <c:lblAlgn val="ctr"/>
        <c:lblOffset val="100"/>
        <c:tickLblSkip val="1"/>
        <c:tickMarkSkip val="1"/>
        <c:noMultiLvlLbl val="0"/>
      </c:catAx>
      <c:valAx>
        <c:axId val="889160448"/>
        <c:scaling>
          <c:orientation val="minMax"/>
        </c:scaling>
        <c:delete val="0"/>
        <c:axPos val="r"/>
        <c:title>
          <c:tx>
            <c:rich>
              <a:bodyPr rot="0" vert="horz"/>
              <a:lstStyle/>
              <a:p>
                <a:pPr marL="0" marR="0" indent="0" algn="ctr" defTabSz="914400" rtl="0" eaLnBrk="1" fontAlgn="auto" latinLnBrk="0" hangingPunct="1">
                  <a:lnSpc>
                    <a:spcPct val="100000"/>
                  </a:lnSpc>
                  <a:spcBef>
                    <a:spcPts val="0"/>
                  </a:spcBef>
                  <a:spcAft>
                    <a:spcPts val="0"/>
                  </a:spcAft>
                  <a:buClrTx/>
                  <a:buSzTx/>
                  <a:buFontTx/>
                  <a:buNone/>
                  <a:tabLst/>
                  <a:defRPr sz="900" b="0" i="0" u="none" strike="noStrike" kern="1200" baseline="0">
                    <a:solidFill>
                      <a:srgbClr val="808080"/>
                    </a:solidFill>
                    <a:latin typeface="Arial"/>
                    <a:ea typeface="Arial"/>
                    <a:cs typeface="Arial"/>
                  </a:defRPr>
                </a:pPr>
                <a:r>
                  <a:rPr lang="en-US" sz="900" b="0" i="0" baseline="0">
                    <a:effectLst/>
                  </a:rPr>
                  <a:t>US$ cents/lb</a:t>
                </a:r>
                <a:endParaRPr lang="en-US" sz="900">
                  <a:effectLst/>
                </a:endParaRPr>
              </a:p>
            </c:rich>
          </c:tx>
          <c:layout>
            <c:manualLayout>
              <c:xMode val="edge"/>
              <c:yMode val="edge"/>
              <c:x val="8.6647045101197265E-2"/>
              <c:y val="1.7683257719581635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9150464"/>
        <c:crosses val="max"/>
        <c:crossBetween val="midCat"/>
      </c:valAx>
      <c:catAx>
        <c:axId val="889162368"/>
        <c:scaling>
          <c:orientation val="minMax"/>
        </c:scaling>
        <c:delete val="1"/>
        <c:axPos val="b"/>
        <c:majorTickMark val="out"/>
        <c:minorTickMark val="none"/>
        <c:tickLblPos val="nextTo"/>
        <c:crossAx val="889176448"/>
        <c:crosses val="autoZero"/>
        <c:auto val="1"/>
        <c:lblAlgn val="ctr"/>
        <c:lblOffset val="100"/>
        <c:noMultiLvlLbl val="0"/>
      </c:catAx>
      <c:valAx>
        <c:axId val="889176448"/>
        <c:scaling>
          <c:orientation val="minMax"/>
        </c:scaling>
        <c:delete val="0"/>
        <c:axPos val="l"/>
        <c:title>
          <c:tx>
            <c:rich>
              <a:bodyPr rot="0" vert="horz"/>
              <a:lstStyle/>
              <a:p>
                <a:pPr algn="ctr" rtl="0">
                  <a:defRPr sz="900"/>
                </a:pPr>
                <a:r>
                  <a:rPr lang="en-US" sz="900"/>
                  <a:t>R$ mn</a:t>
                </a:r>
              </a:p>
            </c:rich>
          </c:tx>
          <c:layout>
            <c:manualLayout>
              <c:xMode val="edge"/>
              <c:yMode val="edge"/>
              <c:x val="0.75886524822695034"/>
              <c:y val="1.7683159975373446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9162368"/>
        <c:crosses val="autoZero"/>
        <c:crossBetween val="midCat"/>
      </c:valAx>
      <c:spPr>
        <a:noFill/>
        <a:ln w="25400">
          <a:noFill/>
        </a:ln>
      </c:spPr>
    </c:plotArea>
    <c:legend>
      <c:legendPos val="b"/>
      <c:legendEntry>
        <c:idx val="1"/>
        <c:delete val="1"/>
      </c:legendEntry>
      <c:layout>
        <c:manualLayout>
          <c:xMode val="edge"/>
          <c:yMode val="edge"/>
          <c:x val="0.25177028871391077"/>
          <c:y val="5.63879056402352E-3"/>
          <c:w val="0.54424644388227617"/>
          <c:h val="0.15728286257795757"/>
        </c:manualLayout>
      </c:layout>
      <c:overlay val="0"/>
      <c:txPr>
        <a:bodyPr/>
        <a:lstStyle/>
        <a:p>
          <a:pPr>
            <a:defRPr sz="800"/>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8673792"/>
        <c:axId val="888675328"/>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8677120"/>
        <c:axId val="888678656"/>
      </c:lineChart>
      <c:catAx>
        <c:axId val="888673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88675328"/>
        <c:crosses val="autoZero"/>
        <c:auto val="1"/>
        <c:lblAlgn val="ctr"/>
        <c:lblOffset val="100"/>
        <c:tickLblSkip val="1"/>
        <c:tickMarkSkip val="1"/>
        <c:noMultiLvlLbl val="0"/>
      </c:catAx>
      <c:valAx>
        <c:axId val="888675328"/>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8673792"/>
        <c:crosses val="autoZero"/>
        <c:crossBetween val="between"/>
      </c:valAx>
      <c:catAx>
        <c:axId val="888677120"/>
        <c:scaling>
          <c:orientation val="minMax"/>
        </c:scaling>
        <c:delete val="1"/>
        <c:axPos val="b"/>
        <c:numFmt formatCode="General" sourceLinked="1"/>
        <c:majorTickMark val="out"/>
        <c:minorTickMark val="none"/>
        <c:tickLblPos val="nextTo"/>
        <c:crossAx val="888678656"/>
        <c:crosses val="autoZero"/>
        <c:auto val="1"/>
        <c:lblAlgn val="ctr"/>
        <c:lblOffset val="100"/>
        <c:noMultiLvlLbl val="0"/>
      </c:catAx>
      <c:valAx>
        <c:axId val="888678656"/>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867712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8803328"/>
        <c:axId val="888804864"/>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8806400"/>
        <c:axId val="888816384"/>
      </c:lineChart>
      <c:catAx>
        <c:axId val="888803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88804864"/>
        <c:crosses val="autoZero"/>
        <c:auto val="1"/>
        <c:lblAlgn val="ctr"/>
        <c:lblOffset val="100"/>
        <c:tickLblSkip val="1"/>
        <c:tickMarkSkip val="1"/>
        <c:noMultiLvlLbl val="0"/>
      </c:catAx>
      <c:valAx>
        <c:axId val="88880486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8803328"/>
        <c:crosses val="autoZero"/>
        <c:crossBetween val="between"/>
      </c:valAx>
      <c:catAx>
        <c:axId val="888806400"/>
        <c:scaling>
          <c:orientation val="minMax"/>
        </c:scaling>
        <c:delete val="1"/>
        <c:axPos val="b"/>
        <c:numFmt formatCode="General" sourceLinked="1"/>
        <c:majorTickMark val="out"/>
        <c:minorTickMark val="none"/>
        <c:tickLblPos val="nextTo"/>
        <c:crossAx val="888816384"/>
        <c:crosses val="autoZero"/>
        <c:auto val="1"/>
        <c:lblAlgn val="ctr"/>
        <c:lblOffset val="100"/>
        <c:noMultiLvlLbl val="0"/>
      </c:catAx>
      <c:valAx>
        <c:axId val="888816384"/>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880640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8842112"/>
        <c:axId val="888843648"/>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8849536"/>
        <c:axId val="888851072"/>
      </c:lineChart>
      <c:catAx>
        <c:axId val="888842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88843648"/>
        <c:crosses val="autoZero"/>
        <c:auto val="1"/>
        <c:lblAlgn val="ctr"/>
        <c:lblOffset val="100"/>
        <c:tickLblSkip val="1"/>
        <c:tickMarkSkip val="1"/>
        <c:noMultiLvlLbl val="0"/>
      </c:catAx>
      <c:valAx>
        <c:axId val="888843648"/>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8842112"/>
        <c:crosses val="autoZero"/>
        <c:crossBetween val="between"/>
      </c:valAx>
      <c:catAx>
        <c:axId val="888849536"/>
        <c:scaling>
          <c:orientation val="minMax"/>
        </c:scaling>
        <c:delete val="1"/>
        <c:axPos val="b"/>
        <c:numFmt formatCode="General" sourceLinked="1"/>
        <c:majorTickMark val="out"/>
        <c:minorTickMark val="none"/>
        <c:tickLblPos val="nextTo"/>
        <c:crossAx val="888851072"/>
        <c:crosses val="autoZero"/>
        <c:auto val="1"/>
        <c:lblAlgn val="ctr"/>
        <c:lblOffset val="100"/>
        <c:noMultiLvlLbl val="0"/>
      </c:catAx>
      <c:valAx>
        <c:axId val="888851072"/>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8849536"/>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9479552"/>
        <c:axId val="889481088"/>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9482624"/>
        <c:axId val="889484416"/>
      </c:lineChart>
      <c:catAx>
        <c:axId val="889479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89481088"/>
        <c:crosses val="autoZero"/>
        <c:auto val="1"/>
        <c:lblAlgn val="ctr"/>
        <c:lblOffset val="100"/>
        <c:tickLblSkip val="1"/>
        <c:tickMarkSkip val="1"/>
        <c:noMultiLvlLbl val="0"/>
      </c:catAx>
      <c:valAx>
        <c:axId val="889481088"/>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9479552"/>
        <c:crosses val="autoZero"/>
        <c:crossBetween val="between"/>
      </c:valAx>
      <c:catAx>
        <c:axId val="889482624"/>
        <c:scaling>
          <c:orientation val="minMax"/>
        </c:scaling>
        <c:delete val="1"/>
        <c:axPos val="b"/>
        <c:numFmt formatCode="General" sourceLinked="1"/>
        <c:majorTickMark val="out"/>
        <c:minorTickMark val="none"/>
        <c:tickLblPos val="nextTo"/>
        <c:crossAx val="889484416"/>
        <c:crosses val="autoZero"/>
        <c:auto val="1"/>
        <c:lblAlgn val="ctr"/>
        <c:lblOffset val="100"/>
        <c:noMultiLvlLbl val="0"/>
      </c:catAx>
      <c:valAx>
        <c:axId val="889484416"/>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9482624"/>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title>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9508608"/>
        <c:axId val="889510144"/>
      </c:lineChart>
      <c:catAx>
        <c:axId val="889508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889510144"/>
        <c:crosses val="autoZero"/>
        <c:auto val="1"/>
        <c:lblAlgn val="ctr"/>
        <c:lblOffset val="100"/>
        <c:tickLblSkip val="1"/>
        <c:tickMarkSkip val="1"/>
        <c:noMultiLvlLbl val="0"/>
      </c:catAx>
      <c:valAx>
        <c:axId val="88951014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889508608"/>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title>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8878976"/>
        <c:axId val="888880512"/>
      </c:lineChart>
      <c:catAx>
        <c:axId val="888878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888880512"/>
        <c:crosses val="autoZero"/>
        <c:auto val="1"/>
        <c:lblAlgn val="ctr"/>
        <c:lblOffset val="100"/>
        <c:tickLblSkip val="1"/>
        <c:tickMarkSkip val="1"/>
        <c:noMultiLvlLbl val="0"/>
      </c:catAx>
      <c:valAx>
        <c:axId val="888880512"/>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888878976"/>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2454270003366"/>
          <c:y val="4.0275872213714009E-2"/>
          <c:w val="0.78648752439759873"/>
          <c:h val="0.8127009322325528"/>
        </c:manualLayout>
      </c:layout>
      <c:lineChart>
        <c:grouping val="standard"/>
        <c:varyColors val="0"/>
        <c:ser>
          <c:idx val="4"/>
          <c:order val="0"/>
          <c:tx>
            <c:strRef>
              <c:f>ChartSupport!$A$306</c:f>
              <c:strCache>
                <c:ptCount val="1"/>
                <c:pt idx="0">
                  <c:v>Working Capital Change</c:v>
                </c:pt>
              </c:strCache>
            </c:strRef>
          </c:tx>
          <c:spPr>
            <a:ln w="25400">
              <a:solidFill>
                <a:schemeClr val="accent1"/>
              </a:solidFill>
              <a:prstDash val="solid"/>
            </a:ln>
          </c:spPr>
          <c:marker>
            <c:symbol val="none"/>
          </c:marker>
          <c:cat>
            <c:strRef>
              <c:f>ChartSupport!$F$292:$W$292</c:f>
              <c:strCache>
                <c:ptCount val="18"/>
                <c:pt idx="0">
                  <c:v>2008</c:v>
                </c:pt>
                <c:pt idx="1">
                  <c:v>2009</c:v>
                </c:pt>
                <c:pt idx="2">
                  <c:v>2010</c:v>
                </c:pt>
                <c:pt idx="3">
                  <c:v>2011</c:v>
                </c:pt>
                <c:pt idx="4">
                  <c:v>2012</c:v>
                </c:pt>
                <c:pt idx="5">
                  <c:v>2013</c:v>
                </c:pt>
                <c:pt idx="6">
                  <c:v>2014</c:v>
                </c:pt>
                <c:pt idx="7">
                  <c:v>2015</c:v>
                </c:pt>
                <c:pt idx="8">
                  <c:v>2016</c:v>
                </c:pt>
                <c:pt idx="9">
                  <c:v>2017</c:v>
                </c:pt>
                <c:pt idx="10">
                  <c:v>2018E</c:v>
                </c:pt>
                <c:pt idx="11">
                  <c:v>2019E</c:v>
                </c:pt>
                <c:pt idx="12">
                  <c:v>2020E</c:v>
                </c:pt>
                <c:pt idx="13">
                  <c:v>2021E</c:v>
                </c:pt>
                <c:pt idx="14">
                  <c:v>2022E</c:v>
                </c:pt>
                <c:pt idx="15">
                  <c:v>2023E</c:v>
                </c:pt>
                <c:pt idx="16">
                  <c:v>2024E</c:v>
                </c:pt>
                <c:pt idx="17">
                  <c:v>2025E</c:v>
                </c:pt>
              </c:strCache>
            </c:strRef>
          </c:cat>
          <c:val>
            <c:numRef>
              <c:f>ChartSupport!$F$306:$W$306</c:f>
              <c:numCache>
                <c:formatCode>#,##0</c:formatCode>
                <c:ptCount val="18"/>
                <c:pt idx="0">
                  <c:v>-30.394999999999982</c:v>
                </c:pt>
                <c:pt idx="1">
                  <c:v>-96.54200000000003</c:v>
                </c:pt>
                <c:pt idx="2">
                  <c:v>183.60699999999991</c:v>
                </c:pt>
                <c:pt idx="3">
                  <c:v>-198.31420799999978</c:v>
                </c:pt>
                <c:pt idx="4">
                  <c:v>-9.6651679999999658</c:v>
                </c:pt>
                <c:pt idx="5">
                  <c:v>-173.23622400000005</c:v>
                </c:pt>
                <c:pt idx="6">
                  <c:v>-28.566792000000191</c:v>
                </c:pt>
                <c:pt idx="7">
                  <c:v>-225.34625999999969</c:v>
                </c:pt>
                <c:pt idx="8">
                  <c:v>10.618652000000225</c:v>
                </c:pt>
                <c:pt idx="9">
                  <c:v>-126.29800000000012</c:v>
                </c:pt>
                <c:pt idx="10">
                  <c:v>2.8906308906073264</c:v>
                </c:pt>
                <c:pt idx="11">
                  <c:v>23.946512812143283</c:v>
                </c:pt>
                <c:pt idx="12">
                  <c:v>40.522229886226796</c:v>
                </c:pt>
                <c:pt idx="13">
                  <c:v>76.033563564697488</c:v>
                </c:pt>
                <c:pt idx="14">
                  <c:v>118.08696284599205</c:v>
                </c:pt>
                <c:pt idx="15">
                  <c:v>126.32866976449145</c:v>
                </c:pt>
                <c:pt idx="16">
                  <c:v>-57.55419217074359</c:v>
                </c:pt>
                <c:pt idx="17">
                  <c:v>-75.469040342519065</c:v>
                </c:pt>
              </c:numCache>
            </c:numRef>
          </c:val>
          <c:smooth val="0"/>
        </c:ser>
        <c:ser>
          <c:idx val="0"/>
          <c:order val="2"/>
          <c:tx>
            <c:v>zeroline</c:v>
          </c:tx>
          <c:spPr>
            <a:ln w="3175">
              <a:solidFill>
                <a:schemeClr val="bg1">
                  <a:lumMod val="50000"/>
                </a:schemeClr>
              </a:solidFill>
            </a:ln>
          </c:spPr>
          <c:marker>
            <c:symbol val="none"/>
          </c:marker>
          <c:val>
            <c:numRef>
              <c:f>ChartSupport!$F$421:$W$421</c:f>
              <c:numCache>
                <c:formatCode>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showLegendKey val="0"/>
          <c:showVal val="0"/>
          <c:showCatName val="0"/>
          <c:showSerName val="0"/>
          <c:showPercent val="0"/>
          <c:showBubbleSize val="0"/>
        </c:dLbls>
        <c:marker val="1"/>
        <c:smooth val="0"/>
        <c:axId val="888924032"/>
        <c:axId val="888925568"/>
      </c:lineChart>
      <c:lineChart>
        <c:grouping val="standard"/>
        <c:varyColors val="0"/>
        <c:ser>
          <c:idx val="6"/>
          <c:order val="1"/>
          <c:tx>
            <c:strRef>
              <c:f>ChartSupport!$A$313</c:f>
              <c:strCache>
                <c:ptCount val="1"/>
                <c:pt idx="0">
                  <c:v>Working Capital / sales</c:v>
                </c:pt>
              </c:strCache>
            </c:strRef>
          </c:tx>
          <c:spPr>
            <a:ln w="25400">
              <a:solidFill>
                <a:schemeClr val="accent3"/>
              </a:solidFill>
              <a:prstDash val="solid"/>
            </a:ln>
          </c:spPr>
          <c:marker>
            <c:symbol val="none"/>
          </c:marker>
          <c:val>
            <c:numRef>
              <c:f>ChartSupport!$F$313:$W$313</c:f>
              <c:numCache>
                <c:formatCode>0%</c:formatCode>
                <c:ptCount val="18"/>
                <c:pt idx="0">
                  <c:v>0.23683922405322699</c:v>
                </c:pt>
                <c:pt idx="1">
                  <c:v>0.34907139712025287</c:v>
                </c:pt>
                <c:pt idx="2">
                  <c:v>1.369647743656225E-2</c:v>
                </c:pt>
                <c:pt idx="3">
                  <c:v>7.3580648449299915E-2</c:v>
                </c:pt>
                <c:pt idx="4">
                  <c:v>3.2267609858155508E-2</c:v>
                </c:pt>
                <c:pt idx="5">
                  <c:v>6.0132308040257834E-2</c:v>
                </c:pt>
                <c:pt idx="6">
                  <c:v>5.2097185663060611E-2</c:v>
                </c:pt>
                <c:pt idx="7">
                  <c:v>2.1536176834130304E-2</c:v>
                </c:pt>
                <c:pt idx="8">
                  <c:v>3.8319903467761561E-2</c:v>
                </c:pt>
                <c:pt idx="9">
                  <c:v>5.844786774838303E-2</c:v>
                </c:pt>
                <c:pt idx="10">
                  <c:v>6.1559253852271976E-2</c:v>
                </c:pt>
                <c:pt idx="11">
                  <c:v>7.7482659639042079E-2</c:v>
                </c:pt>
                <c:pt idx="12">
                  <c:v>9.031771278531206E-2</c:v>
                </c:pt>
                <c:pt idx="13">
                  <c:v>0.10415131807922773</c:v>
                </c:pt>
                <c:pt idx="14">
                  <c:v>0.11799899113412919</c:v>
                </c:pt>
                <c:pt idx="15">
                  <c:v>0.13457420479084992</c:v>
                </c:pt>
                <c:pt idx="16">
                  <c:v>0.14999004137041977</c:v>
                </c:pt>
                <c:pt idx="17">
                  <c:v>0.15457244701069117</c:v>
                </c:pt>
              </c:numCache>
            </c:numRef>
          </c:val>
          <c:smooth val="0"/>
        </c:ser>
        <c:dLbls>
          <c:showLegendKey val="0"/>
          <c:showVal val="0"/>
          <c:showCatName val="0"/>
          <c:showSerName val="0"/>
          <c:showPercent val="0"/>
          <c:showBubbleSize val="0"/>
        </c:dLbls>
        <c:marker val="1"/>
        <c:smooth val="0"/>
        <c:axId val="888927744"/>
        <c:axId val="888929280"/>
      </c:lineChart>
      <c:catAx>
        <c:axId val="888924032"/>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88925568"/>
        <c:crossesAt val="-1250"/>
        <c:auto val="1"/>
        <c:lblAlgn val="ctr"/>
        <c:lblOffset val="100"/>
        <c:tickLblSkip val="1"/>
        <c:tickMarkSkip val="1"/>
        <c:noMultiLvlLbl val="0"/>
      </c:catAx>
      <c:valAx>
        <c:axId val="888925568"/>
        <c:scaling>
          <c:orientation val="minMax"/>
          <c:max val="1750"/>
        </c:scaling>
        <c:delete val="0"/>
        <c:axPos val="l"/>
        <c:title>
          <c:tx>
            <c:rich>
              <a:bodyPr rot="0" vert="horz"/>
              <a:lstStyle/>
              <a:p>
                <a:pPr algn="ctr" rtl="0">
                  <a:defRPr sz="900"/>
                </a:pPr>
                <a:r>
                  <a:rPr lang="en-US" sz="900"/>
                  <a:t>R$ mn</a:t>
                </a:r>
              </a:p>
            </c:rich>
          </c:tx>
          <c:layout>
            <c:manualLayout>
              <c:xMode val="edge"/>
              <c:yMode val="edge"/>
              <c:x val="0.14131744952823633"/>
              <c:y val="2.700020071432303E-2"/>
            </c:manualLayout>
          </c:layout>
          <c:overlay val="0"/>
        </c:title>
        <c:numFmt formatCode="#,##0" sourceLinked="1"/>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8924032"/>
        <c:crosses val="autoZero"/>
        <c:crossBetween val="midCat"/>
      </c:valAx>
      <c:catAx>
        <c:axId val="888927744"/>
        <c:scaling>
          <c:orientation val="minMax"/>
        </c:scaling>
        <c:delete val="1"/>
        <c:axPos val="b"/>
        <c:majorTickMark val="out"/>
        <c:minorTickMark val="none"/>
        <c:tickLblPos val="nextTo"/>
        <c:crossAx val="888929280"/>
        <c:crosses val="autoZero"/>
        <c:auto val="1"/>
        <c:lblAlgn val="ctr"/>
        <c:lblOffset val="100"/>
        <c:noMultiLvlLbl val="0"/>
      </c:catAx>
      <c:valAx>
        <c:axId val="888929280"/>
        <c:scaling>
          <c:orientation val="minMax"/>
          <c:min val="-0.4"/>
        </c:scaling>
        <c:delete val="0"/>
        <c:axPos val="r"/>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8927744"/>
        <c:crosses val="max"/>
        <c:crossBetween val="between"/>
      </c:valAx>
      <c:spPr>
        <a:noFill/>
        <a:ln w="25400">
          <a:noFill/>
        </a:ln>
      </c:spPr>
    </c:plotArea>
    <c:legend>
      <c:legendPos val="r"/>
      <c:legendEntry>
        <c:idx val="1"/>
        <c:delete val="1"/>
      </c:legendEntry>
      <c:layout>
        <c:manualLayout>
          <c:xMode val="edge"/>
          <c:yMode val="edge"/>
          <c:x val="0.28711297991358881"/>
          <c:y val="3.5817730040386055E-2"/>
          <c:w val="0.52111338292658171"/>
          <c:h val="0.11679692816175756"/>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286118166928537"/>
          <c:y val="4.8231511254019289E-2"/>
          <c:w val="0.81889973676318684"/>
          <c:h val="0.78865557555795096"/>
        </c:manualLayout>
      </c:layout>
      <c:areaChart>
        <c:grouping val="standard"/>
        <c:varyColors val="0"/>
        <c:ser>
          <c:idx val="3"/>
          <c:order val="0"/>
          <c:tx>
            <c:v>Bull-Bear Scenario</c:v>
          </c:tx>
          <c:spPr>
            <a:solidFill>
              <a:schemeClr val="bg1">
                <a:lumMod val="85000"/>
              </a:schemeClr>
            </a:solidFill>
            <a:ln w="12700">
              <a:noFill/>
              <a:prstDash val="solid"/>
            </a:ln>
          </c:spPr>
          <c:cat>
            <c:strRef>
              <c:f>ChartSupport!$B$102:$W$102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ChartSupport!$B$103:$W$103</c:f>
              <c:numCache>
                <c:formatCode>_(* #,##0.0_);_(* \(#,##0.0\);_(* "-"??_);_(@_)</c:formatCode>
                <c:ptCount val="22"/>
                <c:pt idx="0">
                  <c:v>0.23556350180770952</c:v>
                </c:pt>
                <c:pt idx="1">
                  <c:v>0.18730086181512948</c:v>
                </c:pt>
                <c:pt idx="2">
                  <c:v>0.14722351917995705</c:v>
                </c:pt>
                <c:pt idx="3">
                  <c:v>-2.6420298178859457E-2</c:v>
                </c:pt>
                <c:pt idx="4">
                  <c:v>0.31935003548607305</c:v>
                </c:pt>
                <c:pt idx="5">
                  <c:v>0.59782656308623461</c:v>
                </c:pt>
                <c:pt idx="6">
                  <c:v>0.40122793079049823</c:v>
                </c:pt>
                <c:pt idx="7">
                  <c:v>0.26383492387221219</c:v>
                </c:pt>
                <c:pt idx="8">
                  <c:v>0.41291861255324025</c:v>
                </c:pt>
                <c:pt idx="9">
                  <c:v>0.64154293714656208</c:v>
                </c:pt>
                <c:pt idx="10">
                  <c:v>0.74109661495063472</c:v>
                </c:pt>
                <c:pt idx="11">
                  <c:v>0.95068929335247132</c:v>
                </c:pt>
                <c:pt idx="12">
                  <c:v>1.027371375392627</c:v>
                </c:pt>
                <c:pt idx="13">
                  <c:v>0.74842447962577707</c:v>
                </c:pt>
                <c:pt idx="14">
                  <c:v>0.7081935586431849</c:v>
                </c:pt>
                <c:pt idx="15">
                  <c:v>0.66759316830628468</c:v>
                </c:pt>
                <c:pt idx="16">
                  <c:v>0.63158106518976276</c:v>
                </c:pt>
                <c:pt idx="17">
                  <c:v>0.61841470634971751</c:v>
                </c:pt>
                <c:pt idx="18">
                  <c:v>0.6171327484110819</c:v>
                </c:pt>
                <c:pt idx="19">
                  <c:v>0.67085672949317887</c:v>
                </c:pt>
                <c:pt idx="20">
                  <c:v>0.75913856005306701</c:v>
                </c:pt>
                <c:pt idx="21">
                  <c:v>0.84515003317548731</c:v>
                </c:pt>
              </c:numCache>
            </c:numRef>
          </c:val>
        </c:ser>
        <c:ser>
          <c:idx val="4"/>
          <c:order val="1"/>
          <c:tx>
            <c:v>Bear Scenario</c:v>
          </c:tx>
          <c:spPr>
            <a:solidFill>
              <a:schemeClr val="bg1"/>
            </a:solidFill>
            <a:ln w="12700">
              <a:noFill/>
              <a:prstDash val="solid"/>
            </a:ln>
          </c:spPr>
          <c:cat>
            <c:strRef>
              <c:f>ChartSupport!$B$102:$W$102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ChartSupport!$B$105:$W$105</c:f>
              <c:numCache>
                <c:formatCode>_(* #,##0.0_);_(* \(#,##0.0\);_(* "-"??_);_(@_)</c:formatCode>
                <c:ptCount val="22"/>
                <c:pt idx="0">
                  <c:v>0.23556350180770952</c:v>
                </c:pt>
                <c:pt idx="1">
                  <c:v>0.18730086181512948</c:v>
                </c:pt>
                <c:pt idx="2">
                  <c:v>0.14722351917995705</c:v>
                </c:pt>
                <c:pt idx="3">
                  <c:v>-2.6420298178859457E-2</c:v>
                </c:pt>
                <c:pt idx="4">
                  <c:v>0.31935003548607305</c:v>
                </c:pt>
                <c:pt idx="5">
                  <c:v>0.59782656308623461</c:v>
                </c:pt>
                <c:pt idx="6">
                  <c:v>0.40122793079049823</c:v>
                </c:pt>
                <c:pt idx="7">
                  <c:v>0.26383492387221219</c:v>
                </c:pt>
                <c:pt idx="8">
                  <c:v>0.41291861255324025</c:v>
                </c:pt>
                <c:pt idx="9">
                  <c:v>0.64154293714656208</c:v>
                </c:pt>
                <c:pt idx="10">
                  <c:v>0.74109661495063472</c:v>
                </c:pt>
                <c:pt idx="11">
                  <c:v>0.95068929335247132</c:v>
                </c:pt>
                <c:pt idx="12">
                  <c:v>1.027371375392627</c:v>
                </c:pt>
                <c:pt idx="13">
                  <c:v>0.74842447962577707</c:v>
                </c:pt>
                <c:pt idx="14">
                  <c:v>0.59603572146503458</c:v>
                </c:pt>
                <c:pt idx="15">
                  <c:v>0.40217602596432667</c:v>
                </c:pt>
                <c:pt idx="16">
                  <c:v>0.29656692234183002</c:v>
                </c:pt>
                <c:pt idx="17">
                  <c:v>0.17930084726106046</c:v>
                </c:pt>
                <c:pt idx="18">
                  <c:v>7.8541184374819564E-2</c:v>
                </c:pt>
                <c:pt idx="19">
                  <c:v>6.262992945773703E-2</c:v>
                </c:pt>
                <c:pt idx="20">
                  <c:v>0.10532499424522369</c:v>
                </c:pt>
                <c:pt idx="21">
                  <c:v>0.14554076818849404</c:v>
                </c:pt>
              </c:numCache>
            </c:numRef>
          </c:val>
        </c:ser>
        <c:dLbls>
          <c:showLegendKey val="0"/>
          <c:showVal val="0"/>
          <c:showCatName val="0"/>
          <c:showSerName val="0"/>
          <c:showPercent val="0"/>
          <c:showBubbleSize val="0"/>
        </c:dLbls>
        <c:axId val="889306496"/>
        <c:axId val="889316480"/>
      </c:areaChart>
      <c:lineChart>
        <c:grouping val="standard"/>
        <c:varyColors val="0"/>
        <c:ser>
          <c:idx val="2"/>
          <c:order val="2"/>
          <c:tx>
            <c:v>Base Scenario</c:v>
          </c:tx>
          <c:spPr>
            <a:ln w="25400">
              <a:solidFill>
                <a:schemeClr val="accent1"/>
              </a:solidFill>
              <a:prstDash val="solid"/>
            </a:ln>
          </c:spPr>
          <c:marker>
            <c:symbol val="none"/>
          </c:marker>
          <c:cat>
            <c:strRef>
              <c:f>ChartSupport!$B$102:$W$102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ChartSupport!$B$104:$W$104</c:f>
              <c:numCache>
                <c:formatCode>_(* #,##0.0_);_(* \(#,##0.0\);_(* "-"??_);_(@_)</c:formatCode>
                <c:ptCount val="22"/>
                <c:pt idx="0">
                  <c:v>0.23556350180770952</c:v>
                </c:pt>
                <c:pt idx="1">
                  <c:v>0.18730086181512948</c:v>
                </c:pt>
                <c:pt idx="2">
                  <c:v>0.14722351917995705</c:v>
                </c:pt>
                <c:pt idx="3">
                  <c:v>-2.6420298178859457E-2</c:v>
                </c:pt>
                <c:pt idx="4">
                  <c:v>0.31935003548607305</c:v>
                </c:pt>
                <c:pt idx="5">
                  <c:v>0.59782656308623461</c:v>
                </c:pt>
                <c:pt idx="6">
                  <c:v>0.40122793079049823</c:v>
                </c:pt>
                <c:pt idx="7">
                  <c:v>0.26383492387221219</c:v>
                </c:pt>
                <c:pt idx="8">
                  <c:v>0.41291861255324025</c:v>
                </c:pt>
                <c:pt idx="9">
                  <c:v>0.64154293714656208</c:v>
                </c:pt>
                <c:pt idx="10">
                  <c:v>0.74109661495063472</c:v>
                </c:pt>
                <c:pt idx="11">
                  <c:v>0.95068929335247132</c:v>
                </c:pt>
                <c:pt idx="12">
                  <c:v>1.027371375392627</c:v>
                </c:pt>
                <c:pt idx="13">
                  <c:v>0.74842447962577707</c:v>
                </c:pt>
                <c:pt idx="14">
                  <c:v>0.65971612678640335</c:v>
                </c:pt>
                <c:pt idx="15">
                  <c:v>0.53901566041779758</c:v>
                </c:pt>
                <c:pt idx="16">
                  <c:v>0.4938178647550448</c:v>
                </c:pt>
                <c:pt idx="17">
                  <c:v>0.43101768016223418</c:v>
                </c:pt>
                <c:pt idx="18">
                  <c:v>0.36182404803112467</c:v>
                </c:pt>
                <c:pt idx="19">
                  <c:v>0.37630407961980211</c:v>
                </c:pt>
                <c:pt idx="20">
                  <c:v>0.43416117495524625</c:v>
                </c:pt>
                <c:pt idx="21">
                  <c:v>0.49679472021326981</c:v>
                </c:pt>
              </c:numCache>
            </c:numRef>
          </c:val>
          <c:smooth val="0"/>
        </c:ser>
        <c:ser>
          <c:idx val="1"/>
          <c:order val="3"/>
          <c:tx>
            <c:v>zeroline</c:v>
          </c:tx>
          <c:spPr>
            <a:ln w="3175">
              <a:solidFill>
                <a:schemeClr val="bg1">
                  <a:lumMod val="50000"/>
                </a:schemeClr>
              </a:solidFill>
            </a:ln>
          </c:spPr>
          <c:marker>
            <c:symbol val="none"/>
          </c:marker>
          <c:val>
            <c:numRef>
              <c:f>ChartSupport!$B$421:$W$421</c:f>
              <c:numCache>
                <c:formatCode>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mooth val="0"/>
        </c:ser>
        <c:dLbls>
          <c:showLegendKey val="0"/>
          <c:showVal val="0"/>
          <c:showCatName val="0"/>
          <c:showSerName val="0"/>
          <c:showPercent val="0"/>
          <c:showBubbleSize val="0"/>
        </c:dLbls>
        <c:marker val="1"/>
        <c:smooth val="0"/>
        <c:axId val="889306496"/>
        <c:axId val="889316480"/>
      </c:lineChart>
      <c:catAx>
        <c:axId val="889306496"/>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89316480"/>
        <c:crossesAt val="-0.8"/>
        <c:auto val="1"/>
        <c:lblAlgn val="ctr"/>
        <c:lblOffset val="100"/>
        <c:tickLblSkip val="1"/>
        <c:tickMarkSkip val="1"/>
        <c:noMultiLvlLbl val="0"/>
      </c:catAx>
      <c:valAx>
        <c:axId val="889316480"/>
        <c:scaling>
          <c:orientation val="minMax"/>
        </c:scaling>
        <c:delete val="0"/>
        <c:axPos val="l"/>
        <c:title>
          <c:tx>
            <c:rich>
              <a:bodyPr rot="0" vert="horz"/>
              <a:lstStyle/>
              <a:p>
                <a:pPr>
                  <a:defRPr/>
                </a:pPr>
                <a:r>
                  <a:rPr lang="en-US"/>
                  <a:t>x times </a:t>
                </a:r>
              </a:p>
            </c:rich>
          </c:tx>
          <c:layout>
            <c:manualLayout>
              <c:xMode val="edge"/>
              <c:yMode val="edge"/>
              <c:x val="0.12473796608362074"/>
              <c:y val="3.4559193287986664E-2"/>
            </c:manualLayout>
          </c:layout>
          <c:overlay val="0"/>
        </c:title>
        <c:numFmt formatCode="#,##0.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9306496"/>
        <c:crosses val="autoZero"/>
        <c:crossBetween val="midCat"/>
      </c:valAx>
      <c:spPr>
        <a:noFill/>
        <a:ln w="25400">
          <a:noFill/>
        </a:ln>
      </c:spPr>
    </c:plotArea>
    <c:legend>
      <c:legendPos val="r"/>
      <c:legendEntry>
        <c:idx val="1"/>
        <c:delete val="1"/>
      </c:legendEntry>
      <c:legendEntry>
        <c:idx val="3"/>
        <c:delete val="1"/>
      </c:legendEntry>
      <c:layout>
        <c:manualLayout>
          <c:xMode val="edge"/>
          <c:yMode val="edge"/>
          <c:x val="0.20237324854706226"/>
          <c:y val="1.3573704130373307E-2"/>
          <c:w val="0.78203071725032058"/>
          <c:h val="0.11594082273147069"/>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496083550913843E-2"/>
          <c:y val="4.7169956177390976E-2"/>
          <c:w val="0.82245430809399478"/>
          <c:h val="0.81446790999628416"/>
        </c:manualLayout>
      </c:layout>
      <c:areaChart>
        <c:grouping val="standard"/>
        <c:varyColors val="0"/>
        <c:ser>
          <c:idx val="3"/>
          <c:order val="0"/>
          <c:tx>
            <c:v>Bull-Bear Scenario</c:v>
          </c:tx>
          <c:spPr>
            <a:solidFill>
              <a:schemeClr val="bg1">
                <a:lumMod val="85000"/>
              </a:schemeClr>
            </a:solidFill>
            <a:ln w="12700">
              <a:noFill/>
              <a:prstDash val="solid"/>
            </a:ln>
          </c:spPr>
          <c:cat>
            <c:strRef>
              <c:f>ChartSupport!$B$97:$W$97</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ChartSupport!$B$98:$W$98</c:f>
              <c:numCache>
                <c:formatCode>#,##0</c:formatCode>
                <c:ptCount val="22"/>
                <c:pt idx="0">
                  <c:v>208.17100000000002</c:v>
                </c:pt>
                <c:pt idx="1">
                  <c:v>170.476</c:v>
                </c:pt>
                <c:pt idx="2">
                  <c:v>137.79399999999998</c:v>
                </c:pt>
                <c:pt idx="3" formatCode="_(* #,##0_);_(* \(#,##0\);_(* &quot;-&quot;??_);_(@_)">
                  <c:v>-44.161000000000001</c:v>
                </c:pt>
                <c:pt idx="4" formatCode="_(* #,##0_);_(* \(#,##0\);_(* &quot;-&quot;??_);_(@_)">
                  <c:v>518.81000000000006</c:v>
                </c:pt>
                <c:pt idx="5" formatCode="_(* #,##0_);_(* \(#,##0\);_(* &quot;-&quot;??_);_(@_)">
                  <c:v>941.69699999999989</c:v>
                </c:pt>
                <c:pt idx="6" formatCode="_(* #,##0_);_(* \(#,##0\);_(* &quot;-&quot;??_);_(@_)">
                  <c:v>766.10100000000011</c:v>
                </c:pt>
                <c:pt idx="7" formatCode="_(* #,##0_);_(* \(#,##0\);_(* &quot;-&quot;??_);_(@_)">
                  <c:v>515.38200000000006</c:v>
                </c:pt>
                <c:pt idx="8" formatCode="_(* #,##0_);_(* \(#,##0\);_(* &quot;-&quot;??_);_(@_)">
                  <c:v>836.07099999999991</c:v>
                </c:pt>
                <c:pt idx="9" formatCode="_(* #,##0_);_(* \(#,##0\);_(* &quot;-&quot;??_);_(@_)">
                  <c:v>1347.636</c:v>
                </c:pt>
                <c:pt idx="10" formatCode="_(* #,##0_);_(* \(#,##0\);_(* &quot;-&quot;??_);_(@_)">
                  <c:v>1538.4810000000002</c:v>
                </c:pt>
                <c:pt idx="11" formatCode="_(* #,##0_);_(* \(#,##0\);_(* &quot;-&quot;??_);_(@_)">
                  <c:v>2487.0839999999998</c:v>
                </c:pt>
                <c:pt idx="12" formatCode="_(* #,##0_);_(* \(#,##0\);_(* &quot;-&quot;??_);_(@_)">
                  <c:v>2719.038</c:v>
                </c:pt>
                <c:pt idx="13" formatCode="_(* #,##0_);_(* \(#,##0\);_(* &quot;-&quot;??_);_(@_)">
                  <c:v>2547.1279999999997</c:v>
                </c:pt>
                <c:pt idx="14" formatCode="_(* #,##0_);_(* \(#,##0\);_(* &quot;-&quot;??_);_(@_)">
                  <c:v>2371.1687465309715</c:v>
                </c:pt>
                <c:pt idx="15" formatCode="_(* #,##0_);_(* \(#,##0\);_(* &quot;-&quot;??_);_(@_)">
                  <c:v>2331.2045876033712</c:v>
                </c:pt>
                <c:pt idx="16" formatCode="_(* #,##0_);_(* \(#,##0\);_(* &quot;-&quot;??_);_(@_)">
                  <c:v>2289.2925117432569</c:v>
                </c:pt>
                <c:pt idx="17" formatCode="_(* #,##0_);_(* \(#,##0\);_(* &quot;-&quot;??_);_(@_)">
                  <c:v>2341.82241428628</c:v>
                </c:pt>
                <c:pt idx="18" formatCode="_(* #,##0_);_(* \(#,##0\);_(* &quot;-&quot;??_);_(@_)">
                  <c:v>2416.9094935543408</c:v>
                </c:pt>
                <c:pt idx="19" formatCode="_(* #,##0_);_(* \(#,##0\);_(* &quot;-&quot;??_);_(@_)">
                  <c:v>2627.3115508802007</c:v>
                </c:pt>
                <c:pt idx="20" formatCode="_(* #,##0_);_(* \(#,##0\);_(* &quot;-&quot;??_);_(@_)">
                  <c:v>2973.0543346457785</c:v>
                </c:pt>
                <c:pt idx="21" formatCode="_(* #,##0_);_(* \(#,##0\);_(* &quot;-&quot;??_);_(@_)">
                  <c:v>3309.9055979751038</c:v>
                </c:pt>
              </c:numCache>
            </c:numRef>
          </c:val>
        </c:ser>
        <c:ser>
          <c:idx val="4"/>
          <c:order val="1"/>
          <c:tx>
            <c:v>Bear Scenario</c:v>
          </c:tx>
          <c:spPr>
            <a:solidFill>
              <a:schemeClr val="bg1"/>
            </a:solidFill>
            <a:ln w="12700">
              <a:noFill/>
              <a:prstDash val="solid"/>
            </a:ln>
          </c:spPr>
          <c:cat>
            <c:strRef>
              <c:f>ChartSupport!$B$97:$W$97</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ChartSupport!$B$100:$W$100</c:f>
              <c:numCache>
                <c:formatCode>#,##0</c:formatCode>
                <c:ptCount val="22"/>
                <c:pt idx="0">
                  <c:v>208.17100000000002</c:v>
                </c:pt>
                <c:pt idx="1">
                  <c:v>170.476</c:v>
                </c:pt>
                <c:pt idx="2">
                  <c:v>137.79399999999998</c:v>
                </c:pt>
                <c:pt idx="3" formatCode="_(* #,##0_);_(* \(#,##0\);_(* &quot;-&quot;??_);_(@_)">
                  <c:v>-44.161000000000001</c:v>
                </c:pt>
                <c:pt idx="4" formatCode="_(* #,##0_);_(* \(#,##0\);_(* &quot;-&quot;??_);_(@_)">
                  <c:v>518.81000000000006</c:v>
                </c:pt>
                <c:pt idx="5" formatCode="_(* #,##0_);_(* \(#,##0\);_(* &quot;-&quot;??_);_(@_)">
                  <c:v>941.69699999999989</c:v>
                </c:pt>
                <c:pt idx="6" formatCode="_(* #,##0_);_(* \(#,##0\);_(* &quot;-&quot;??_);_(@_)">
                  <c:v>766.10100000000011</c:v>
                </c:pt>
                <c:pt idx="7" formatCode="_(* #,##0_);_(* \(#,##0\);_(* &quot;-&quot;??_);_(@_)">
                  <c:v>515.38200000000006</c:v>
                </c:pt>
                <c:pt idx="8" formatCode="_(* #,##0_);_(* \(#,##0\);_(* &quot;-&quot;??_);_(@_)">
                  <c:v>836.07099999999991</c:v>
                </c:pt>
                <c:pt idx="9" formatCode="_(* #,##0_);_(* \(#,##0\);_(* &quot;-&quot;??_);_(@_)">
                  <c:v>1347.636</c:v>
                </c:pt>
                <c:pt idx="10" formatCode="_(* #,##0_);_(* \(#,##0\);_(* &quot;-&quot;??_);_(@_)">
                  <c:v>1538.4810000000002</c:v>
                </c:pt>
                <c:pt idx="11" formatCode="_(* #,##0_);_(* \(#,##0\);_(* &quot;-&quot;??_);_(@_)">
                  <c:v>2487.0839999999998</c:v>
                </c:pt>
                <c:pt idx="12" formatCode="_(* #,##0_);_(* \(#,##0\);_(* &quot;-&quot;??_);_(@_)">
                  <c:v>2719.038</c:v>
                </c:pt>
                <c:pt idx="13" formatCode="_(* #,##0_);_(* \(#,##0\);_(* &quot;-&quot;??_);_(@_)">
                  <c:v>2547.1279999999997</c:v>
                </c:pt>
                <c:pt idx="14" formatCode="_(* #,##0_);_(* \(#,##0\);_(* &quot;-&quot;??_);_(@_)">
                  <c:v>2085.0707986797697</c:v>
                </c:pt>
                <c:pt idx="15" formatCode="_(* #,##0_);_(* \(#,##0\);_(* &quot;-&quot;??_);_(@_)">
                  <c:v>1584.7456278100935</c:v>
                </c:pt>
                <c:pt idx="16" formatCode="_(* #,##0_);_(* \(#,##0\);_(* &quot;-&quot;??_);_(@_)">
                  <c:v>1268.259466627801</c:v>
                </c:pt>
                <c:pt idx="17" formatCode="_(* #,##0_);_(* \(#,##0\);_(* &quot;-&quot;??_);_(@_)">
                  <c:v>834.03902362608596</c:v>
                </c:pt>
                <c:pt idx="18" formatCode="_(* #,##0_);_(* \(#,##0\);_(* &quot;-&quot;??_);_(@_)">
                  <c:v>392.896150548479</c:v>
                </c:pt>
                <c:pt idx="19" formatCode="_(* #,##0_);_(* \(#,##0\);_(* &quot;-&quot;??_);_(@_)">
                  <c:v>313.30133851351411</c:v>
                </c:pt>
                <c:pt idx="20" formatCode="_(* #,##0_);_(* \(#,##0\);_(* &quot;-&quot;??_);_(@_)">
                  <c:v>526.88007094474324</c:v>
                </c:pt>
                <c:pt idx="21" formatCode="_(* #,##0_);_(* \(#,##0\);_(* &quot;-&quot;??_);_(@_)">
                  <c:v>728.05634425167409</c:v>
                </c:pt>
              </c:numCache>
            </c:numRef>
          </c:val>
        </c:ser>
        <c:dLbls>
          <c:showLegendKey val="0"/>
          <c:showVal val="0"/>
          <c:showCatName val="0"/>
          <c:showSerName val="0"/>
          <c:showPercent val="0"/>
          <c:showBubbleSize val="0"/>
        </c:dLbls>
        <c:axId val="889427072"/>
        <c:axId val="889428608"/>
      </c:areaChart>
      <c:lineChart>
        <c:grouping val="standard"/>
        <c:varyColors val="0"/>
        <c:ser>
          <c:idx val="2"/>
          <c:order val="2"/>
          <c:tx>
            <c:v>Base Scenario</c:v>
          </c:tx>
          <c:spPr>
            <a:ln w="25400">
              <a:solidFill>
                <a:schemeClr val="accent1"/>
              </a:solidFill>
              <a:prstDash val="solid"/>
            </a:ln>
          </c:spPr>
          <c:marker>
            <c:symbol val="none"/>
          </c:marker>
          <c:cat>
            <c:strRef>
              <c:f>ChartSupport!$B$97:$W$97</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ChartSupport!$B$99:$W$99</c:f>
              <c:numCache>
                <c:formatCode>#,##0</c:formatCode>
                <c:ptCount val="22"/>
                <c:pt idx="0">
                  <c:v>208.17100000000002</c:v>
                </c:pt>
                <c:pt idx="1">
                  <c:v>170.476</c:v>
                </c:pt>
                <c:pt idx="2">
                  <c:v>137.79399999999998</c:v>
                </c:pt>
                <c:pt idx="3" formatCode="_(* #,##0_);_(* \(#,##0\);_(* &quot;-&quot;??_);_(@_)">
                  <c:v>-44.161000000000001</c:v>
                </c:pt>
                <c:pt idx="4" formatCode="_(* #,##0_);_(* \(#,##0\);_(* &quot;-&quot;??_);_(@_)">
                  <c:v>518.81000000000006</c:v>
                </c:pt>
                <c:pt idx="5" formatCode="_(* #,##0_);_(* \(#,##0\);_(* &quot;-&quot;??_);_(@_)">
                  <c:v>941.69699999999989</c:v>
                </c:pt>
                <c:pt idx="6" formatCode="_(* #,##0_);_(* \(#,##0\);_(* &quot;-&quot;??_);_(@_)">
                  <c:v>766.10100000000011</c:v>
                </c:pt>
                <c:pt idx="7" formatCode="_(* #,##0_);_(* \(#,##0\);_(* &quot;-&quot;??_);_(@_)">
                  <c:v>515.38200000000006</c:v>
                </c:pt>
                <c:pt idx="8" formatCode="_(* #,##0_);_(* \(#,##0\);_(* &quot;-&quot;??_);_(@_)">
                  <c:v>836.07099999999991</c:v>
                </c:pt>
                <c:pt idx="9" formatCode="_(* #,##0_);_(* \(#,##0\);_(* &quot;-&quot;??_);_(@_)">
                  <c:v>1347.636</c:v>
                </c:pt>
                <c:pt idx="10" formatCode="_(* #,##0_);_(* \(#,##0\);_(* &quot;-&quot;??_);_(@_)">
                  <c:v>1538.4810000000002</c:v>
                </c:pt>
                <c:pt idx="11" formatCode="_(* #,##0_);_(* \(#,##0\);_(* &quot;-&quot;??_);_(@_)">
                  <c:v>2487.0839999999998</c:v>
                </c:pt>
                <c:pt idx="12" formatCode="_(* #,##0_);_(* \(#,##0\);_(* &quot;-&quot;??_);_(@_)">
                  <c:v>2719.038</c:v>
                </c:pt>
                <c:pt idx="13" formatCode="_(* #,##0_);_(* \(#,##0\);_(* &quot;-&quot;??_);_(@_)">
                  <c:v>2547.1279999999997</c:v>
                </c:pt>
                <c:pt idx="14" formatCode="_(* #,##0_);_(* \(#,##0\);_(* &quot;-&quot;??_);_(@_)">
                  <c:v>2250.5675568724828</c:v>
                </c:pt>
                <c:pt idx="15" formatCode="_(* #,##0_);_(* \(#,##0\);_(* &quot;-&quot;??_);_(@_)">
                  <c:v>1993.232980283138</c:v>
                </c:pt>
                <c:pt idx="16" formatCode="_(* #,##0_);_(* \(#,##0\);_(* &quot;-&quot;??_);_(@_)">
                  <c:v>1926.4973908753568</c:v>
                </c:pt>
                <c:pt idx="17" formatCode="_(* #,##0_);_(* \(#,##0\);_(* &quot;-&quot;??_);_(@_)">
                  <c:v>1786.2434320649077</c:v>
                </c:pt>
                <c:pt idx="18" formatCode="_(* #,##0_);_(* \(#,##0\);_(* &quot;-&quot;??_);_(@_)">
                  <c:v>1592.7946640695084</c:v>
                </c:pt>
                <c:pt idx="19" formatCode="_(* #,##0_);_(* \(#,##0\);_(* &quot;-&quot;??_);_(@_)">
                  <c:v>1656.537572191578</c:v>
                </c:pt>
                <c:pt idx="20" formatCode="_(* #,##0_);_(* \(#,##0\);_(* &quot;-&quot;??_);_(@_)">
                  <c:v>1911.2317342582433</c:v>
                </c:pt>
                <c:pt idx="21" formatCode="_(* #,##0_);_(* \(#,##0\);_(* &quot;-&quot;??_);_(@_)">
                  <c:v>2186.9524256318423</c:v>
                </c:pt>
              </c:numCache>
            </c:numRef>
          </c:val>
          <c:smooth val="0"/>
        </c:ser>
        <c:ser>
          <c:idx val="1"/>
          <c:order val="3"/>
          <c:tx>
            <c:v>zeroline</c:v>
          </c:tx>
          <c:spPr>
            <a:ln w="3175">
              <a:solidFill>
                <a:schemeClr val="bg1">
                  <a:lumMod val="50000"/>
                </a:schemeClr>
              </a:solidFill>
            </a:ln>
          </c:spPr>
          <c:marker>
            <c:symbol val="none"/>
          </c:marker>
          <c:cat>
            <c:strRef>
              <c:f>ChartSupport!$B$97:$W$97</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ChartSupport!$B$421:$W$421</c:f>
              <c:numCache>
                <c:formatCode>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mooth val="0"/>
        </c:ser>
        <c:dLbls>
          <c:showLegendKey val="0"/>
          <c:showVal val="0"/>
          <c:showCatName val="0"/>
          <c:showSerName val="0"/>
          <c:showPercent val="0"/>
          <c:showBubbleSize val="0"/>
        </c:dLbls>
        <c:marker val="1"/>
        <c:smooth val="0"/>
        <c:axId val="889427072"/>
        <c:axId val="889428608"/>
      </c:lineChart>
      <c:catAx>
        <c:axId val="889427072"/>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89428608"/>
        <c:crossesAt val="-5000"/>
        <c:auto val="1"/>
        <c:lblAlgn val="ctr"/>
        <c:lblOffset val="100"/>
        <c:tickLblSkip val="1"/>
        <c:tickMarkSkip val="1"/>
        <c:noMultiLvlLbl val="0"/>
      </c:catAx>
      <c:valAx>
        <c:axId val="889428608"/>
        <c:scaling>
          <c:orientation val="minMax"/>
        </c:scaling>
        <c:delete val="0"/>
        <c:axPos val="l"/>
        <c:title>
          <c:tx>
            <c:rich>
              <a:bodyPr rot="0" vert="horz"/>
              <a:lstStyle/>
              <a:p>
                <a:pPr marL="0" marR="0" indent="0" algn="ctr" defTabSz="914400" rtl="0" eaLnBrk="1" fontAlgn="auto" latinLnBrk="0" hangingPunct="1">
                  <a:lnSpc>
                    <a:spcPct val="100000"/>
                  </a:lnSpc>
                  <a:spcBef>
                    <a:spcPts val="0"/>
                  </a:spcBef>
                  <a:spcAft>
                    <a:spcPts val="0"/>
                  </a:spcAft>
                  <a:buClrTx/>
                  <a:buSzTx/>
                  <a:buFontTx/>
                  <a:buNone/>
                  <a:tabLst/>
                  <a:defRPr sz="900" b="0" i="0" u="none" strike="noStrike" kern="1200" baseline="0">
                    <a:solidFill>
                      <a:srgbClr val="808080"/>
                    </a:solidFill>
                    <a:latin typeface="Arial"/>
                    <a:ea typeface="Arial"/>
                    <a:cs typeface="Arial"/>
                  </a:defRPr>
                </a:pPr>
                <a:r>
                  <a:rPr lang="en-US" sz="900">
                    <a:effectLst/>
                  </a:rPr>
                  <a:t>R$ mn</a:t>
                </a:r>
              </a:p>
            </c:rich>
          </c:tx>
          <c:layout>
            <c:manualLayout>
              <c:xMode val="edge"/>
              <c:yMode val="edge"/>
              <c:x val="0.136555953017897"/>
              <c:y val="2.2199762215598964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9427072"/>
        <c:crosses val="autoZero"/>
        <c:crossBetween val="midCat"/>
      </c:valAx>
      <c:spPr>
        <a:noFill/>
        <a:ln w="25400">
          <a:noFill/>
        </a:ln>
      </c:spPr>
    </c:plotArea>
    <c:legend>
      <c:legendPos val="b"/>
      <c:legendEntry>
        <c:idx val="1"/>
        <c:delete val="1"/>
      </c:legendEntry>
      <c:legendEntry>
        <c:idx val="3"/>
        <c:delete val="1"/>
      </c:legendEntry>
      <c:layout>
        <c:manualLayout>
          <c:xMode val="edge"/>
          <c:yMode val="edge"/>
          <c:x val="0.24468914271629336"/>
          <c:y val="3.6096458253281026E-2"/>
          <c:w val="0.69336393968844767"/>
          <c:h val="0.1314114879842406"/>
        </c:manualLayout>
      </c:layout>
      <c:overlay val="0"/>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270283823748712"/>
          <c:y val="5.079380826453455E-2"/>
          <c:w val="0.81621729336108184"/>
          <c:h val="0.78730402810028555"/>
        </c:manualLayout>
      </c:layout>
      <c:lineChart>
        <c:grouping val="standard"/>
        <c:varyColors val="0"/>
        <c:ser>
          <c:idx val="4"/>
          <c:order val="0"/>
          <c:tx>
            <c:strRef>
              <c:f>ChartSupport!$A$319</c:f>
              <c:strCache>
                <c:ptCount val="1"/>
                <c:pt idx="0">
                  <c:v>Interest Coverage</c:v>
                </c:pt>
              </c:strCache>
            </c:strRef>
          </c:tx>
          <c:spPr>
            <a:ln w="25400">
              <a:solidFill>
                <a:schemeClr val="accent1"/>
              </a:solidFill>
              <a:prstDash val="solid"/>
            </a:ln>
          </c:spPr>
          <c:marker>
            <c:symbol val="none"/>
          </c:marker>
          <c:cat>
            <c:strRef>
              <c:f>ChartSupport!$B$292:$W$292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ChartSupport!$B$319:$W$319</c:f>
              <c:numCache>
                <c:formatCode>#,##0.0</c:formatCode>
                <c:ptCount val="22"/>
                <c:pt idx="0">
                  <c:v>0.5221777616102814</c:v>
                </c:pt>
                <c:pt idx="1">
                  <c:v>2.6668537924151683</c:v>
                </c:pt>
                <c:pt idx="2">
                  <c:v>7.0756694882067643</c:v>
                </c:pt>
                <c:pt idx="3">
                  <c:v>11.046278731195121</c:v>
                </c:pt>
                <c:pt idx="4">
                  <c:v>0</c:v>
                </c:pt>
                <c:pt idx="5">
                  <c:v>0.39751947379223329</c:v>
                </c:pt>
                <c:pt idx="6">
                  <c:v>1.6321905487204382</c:v>
                </c:pt>
                <c:pt idx="7">
                  <c:v>3.7941583521081403</c:v>
                </c:pt>
                <c:pt idx="8">
                  <c:v>5.4377854149992997</c:v>
                </c:pt>
                <c:pt idx="9">
                  <c:v>2.3421926910298989</c:v>
                </c:pt>
                <c:pt idx="10">
                  <c:v>2.6412814118549783</c:v>
                </c:pt>
                <c:pt idx="11">
                  <c:v>3.1602346952699034</c:v>
                </c:pt>
                <c:pt idx="12">
                  <c:v>2.6802462221338206</c:v>
                </c:pt>
                <c:pt idx="13">
                  <c:v>3.3480257421238209</c:v>
                </c:pt>
                <c:pt idx="14">
                  <c:v>4.494054136029046</c:v>
                </c:pt>
                <c:pt idx="15">
                  <c:v>5.3214960859678584</c:v>
                </c:pt>
                <c:pt idx="16">
                  <c:v>7.119639291935651</c:v>
                </c:pt>
                <c:pt idx="17">
                  <c:v>9.2682265302246023</c:v>
                </c:pt>
                <c:pt idx="18">
                  <c:v>10.866006384060212</c:v>
                </c:pt>
                <c:pt idx="19">
                  <c:v>9.989778216888503</c:v>
                </c:pt>
                <c:pt idx="20">
                  <c:v>7.4907967117086116</c:v>
                </c:pt>
                <c:pt idx="21">
                  <c:v>9.8411349017875658</c:v>
                </c:pt>
              </c:numCache>
            </c:numRef>
          </c:val>
          <c:smooth val="0"/>
        </c:ser>
        <c:dLbls>
          <c:showLegendKey val="0"/>
          <c:showVal val="0"/>
          <c:showCatName val="0"/>
          <c:showSerName val="0"/>
          <c:showPercent val="0"/>
          <c:showBubbleSize val="0"/>
        </c:dLbls>
        <c:marker val="1"/>
        <c:smooth val="0"/>
        <c:axId val="887989376"/>
        <c:axId val="888317440"/>
      </c:lineChart>
      <c:lineChart>
        <c:grouping val="standard"/>
        <c:varyColors val="0"/>
        <c:ser>
          <c:idx val="6"/>
          <c:order val="1"/>
          <c:tx>
            <c:strRef>
              <c:f>ChartSupport!$A$293</c:f>
              <c:strCache>
                <c:ptCount val="1"/>
                <c:pt idx="0">
                  <c:v>Sugar Nybot prices (US$ cents/lb)</c:v>
                </c:pt>
              </c:strCache>
            </c:strRef>
          </c:tx>
          <c:spPr>
            <a:ln w="15875">
              <a:solidFill>
                <a:srgbClr val="FF0000"/>
              </a:solidFill>
              <a:prstDash val="sysDash"/>
            </a:ln>
          </c:spPr>
          <c:marker>
            <c:symbol val="none"/>
          </c:marker>
          <c:val>
            <c:numRef>
              <c:f>ChartSupport!$B$293:$W$293</c:f>
              <c:numCache>
                <c:formatCode>#,##0.0</c:formatCode>
                <c:ptCount val="22"/>
                <c:pt idx="0">
                  <c:v>#N/A</c:v>
                </c:pt>
                <c:pt idx="1">
                  <c:v>#N/A</c:v>
                </c:pt>
                <c:pt idx="2">
                  <c:v>13.545</c:v>
                </c:pt>
                <c:pt idx="3">
                  <c:v>10.401666666666666</c:v>
                </c:pt>
                <c:pt idx="4">
                  <c:v>12.4</c:v>
                </c:pt>
                <c:pt idx="5">
                  <c:v>18.787500000000001</c:v>
                </c:pt>
                <c:pt idx="6">
                  <c:v>23.440833333333334</c:v>
                </c:pt>
                <c:pt idx="7">
                  <c:v>25.258333333333336</c:v>
                </c:pt>
                <c:pt idx="8">
                  <c:v>20.410833333333333</c:v>
                </c:pt>
                <c:pt idx="9">
                  <c:v>17.066666666666666</c:v>
                </c:pt>
                <c:pt idx="10">
                  <c:v>15.978333333333333</c:v>
                </c:pt>
                <c:pt idx="11">
                  <c:v>13.149166666666668</c:v>
                </c:pt>
                <c:pt idx="12">
                  <c:v>19.252499999999998</c:v>
                </c:pt>
                <c:pt idx="13">
                  <c:v>17.805000000000003</c:v>
                </c:pt>
                <c:pt idx="14">
                  <c:v>16.244658605325153</c:v>
                </c:pt>
                <c:pt idx="15">
                  <c:v>16.31531880717511</c:v>
                </c:pt>
                <c:pt idx="16">
                  <c:v>16.498655235130911</c:v>
                </c:pt>
                <c:pt idx="17">
                  <c:v>19.747444770453257</c:v>
                </c:pt>
                <c:pt idx="18">
                  <c:v>20.93514679550681</c:v>
                </c:pt>
                <c:pt idx="19">
                  <c:v>17.432162450241776</c:v>
                </c:pt>
                <c:pt idx="20">
                  <c:v>15.017906650666538</c:v>
                </c:pt>
                <c:pt idx="21">
                  <c:v>17.055276269110166</c:v>
                </c:pt>
              </c:numCache>
            </c:numRef>
          </c:val>
          <c:smooth val="0"/>
        </c:ser>
        <c:dLbls>
          <c:showLegendKey val="0"/>
          <c:showVal val="0"/>
          <c:showCatName val="0"/>
          <c:showSerName val="0"/>
          <c:showPercent val="0"/>
          <c:showBubbleSize val="0"/>
        </c:dLbls>
        <c:marker val="1"/>
        <c:smooth val="0"/>
        <c:axId val="889443456"/>
        <c:axId val="889444992"/>
      </c:lineChart>
      <c:catAx>
        <c:axId val="887989376"/>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88317440"/>
        <c:crossesAt val="-20"/>
        <c:auto val="1"/>
        <c:lblAlgn val="ctr"/>
        <c:lblOffset val="100"/>
        <c:tickLblSkip val="1"/>
        <c:tickMarkSkip val="1"/>
        <c:noMultiLvlLbl val="0"/>
      </c:catAx>
      <c:valAx>
        <c:axId val="888317440"/>
        <c:scaling>
          <c:orientation val="minMax"/>
        </c:scaling>
        <c:delete val="0"/>
        <c:axPos val="l"/>
        <c:title>
          <c:tx>
            <c:rich>
              <a:bodyPr rot="0" vert="horz"/>
              <a:lstStyle/>
              <a:p>
                <a:pPr algn="ctr" rtl="0">
                  <a:defRPr sz="900"/>
                </a:pPr>
                <a:r>
                  <a:rPr lang="en-US" sz="900"/>
                  <a:t>x times</a:t>
                </a:r>
              </a:p>
            </c:rich>
          </c:tx>
          <c:layout>
            <c:manualLayout>
              <c:xMode val="edge"/>
              <c:yMode val="edge"/>
              <c:x val="0.11626873253746507"/>
              <c:y val="2.2279738691969496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7989376"/>
        <c:crosses val="autoZero"/>
        <c:crossBetween val="midCat"/>
      </c:valAx>
      <c:catAx>
        <c:axId val="889443456"/>
        <c:scaling>
          <c:orientation val="minMax"/>
        </c:scaling>
        <c:delete val="1"/>
        <c:axPos val="b"/>
        <c:majorTickMark val="out"/>
        <c:minorTickMark val="none"/>
        <c:tickLblPos val="nextTo"/>
        <c:crossAx val="889444992"/>
        <c:crosses val="autoZero"/>
        <c:auto val="1"/>
        <c:lblAlgn val="ctr"/>
        <c:lblOffset val="100"/>
        <c:noMultiLvlLbl val="0"/>
      </c:catAx>
      <c:valAx>
        <c:axId val="889444992"/>
        <c:scaling>
          <c:orientation val="minMax"/>
        </c:scaling>
        <c:delete val="0"/>
        <c:axPos val="r"/>
        <c:title>
          <c:tx>
            <c:rich>
              <a:bodyPr rot="0" vert="horz"/>
              <a:lstStyle/>
              <a:p>
                <a:pPr algn="ctr" rtl="0">
                  <a:defRPr sz="900"/>
                </a:pPr>
                <a:r>
                  <a:rPr lang="en-US" sz="900" b="0" i="0" baseline="0">
                    <a:effectLst/>
                  </a:rPr>
                  <a:t>US$ cents/lb</a:t>
                </a:r>
                <a:endParaRPr lang="en-US" sz="900">
                  <a:effectLst/>
                </a:endParaRPr>
              </a:p>
            </c:rich>
          </c:tx>
          <c:layout>
            <c:manualLayout>
              <c:xMode val="edge"/>
              <c:yMode val="edge"/>
              <c:x val="0.75985663082437271"/>
              <c:y val="9.6614421620010438E-3"/>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sz="1000" b="0" i="0" u="none" strike="noStrike" baseline="0">
                <a:solidFill>
                  <a:srgbClr val="808080"/>
                </a:solidFill>
                <a:latin typeface="Arial"/>
                <a:ea typeface="Arial"/>
                <a:cs typeface="Arial"/>
              </a:defRPr>
            </a:pPr>
            <a:endParaRPr lang="en-US"/>
          </a:p>
        </c:txPr>
        <c:crossAx val="889443456"/>
        <c:crosses val="max"/>
        <c:crossBetween val="between"/>
      </c:valAx>
      <c:spPr>
        <a:noFill/>
        <a:ln w="25400">
          <a:noFill/>
        </a:ln>
      </c:spPr>
    </c:plotArea>
    <c:legend>
      <c:legendPos val="r"/>
      <c:layout>
        <c:manualLayout>
          <c:xMode val="edge"/>
          <c:yMode val="edge"/>
          <c:x val="0.29148743199552885"/>
          <c:y val="0.71506224101408544"/>
          <c:w val="0.62306202290751389"/>
          <c:h val="0.11421897021714732"/>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260068359464487"/>
          <c:y val="4.7468427778301431E-2"/>
          <c:w val="0.87667675084402075"/>
          <c:h val="0.81691390428048349"/>
        </c:manualLayout>
      </c:layout>
      <c:areaChart>
        <c:grouping val="stacked"/>
        <c:varyColors val="0"/>
        <c:ser>
          <c:idx val="0"/>
          <c:order val="0"/>
          <c:tx>
            <c:strRef>
              <c:f>ChartSupport!$A$82</c:f>
              <c:strCache>
                <c:ptCount val="1"/>
                <c:pt idx="0">
                  <c:v>CAPEX</c:v>
                </c:pt>
              </c:strCache>
            </c:strRef>
          </c:tx>
          <c:spPr>
            <a:ln w="25400">
              <a:solidFill>
                <a:schemeClr val="accent1"/>
              </a:solidFill>
              <a:prstDash val="solid"/>
            </a:ln>
          </c:spPr>
          <c:cat>
            <c:strRef>
              <c:f>ChartSupport!$B$82:$W$82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ChartSupport!$B$84:$W$84</c:f>
              <c:numCache>
                <c:formatCode>#,##0</c:formatCode>
                <c:ptCount val="22"/>
                <c:pt idx="2">
                  <c:v>81.207999999999899</c:v>
                </c:pt>
                <c:pt idx="3">
                  <c:v>932.23599999999999</c:v>
                </c:pt>
                <c:pt idx="4">
                  <c:v>519.18600000000004</c:v>
                </c:pt>
                <c:pt idx="5">
                  <c:v>457.29100000000005</c:v>
                </c:pt>
                <c:pt idx="6">
                  <c:v>334.346</c:v>
                </c:pt>
                <c:pt idx="7">
                  <c:v>454.16899999999998</c:v>
                </c:pt>
                <c:pt idx="8">
                  <c:v>631.06600000000003</c:v>
                </c:pt>
                <c:pt idx="9">
                  <c:v>679.84099999999989</c:v>
                </c:pt>
                <c:pt idx="10">
                  <c:v>658.44399999999996</c:v>
                </c:pt>
                <c:pt idx="11">
                  <c:v>812.029</c:v>
                </c:pt>
                <c:pt idx="12">
                  <c:v>840.81400000000008</c:v>
                </c:pt>
                <c:pt idx="13">
                  <c:v>976.98</c:v>
                </c:pt>
                <c:pt idx="14">
                  <c:v>990.91228347385686</c:v>
                </c:pt>
                <c:pt idx="15">
                  <c:v>1022.2459586001482</c:v>
                </c:pt>
                <c:pt idx="16">
                  <c:v>1223.805845179005</c:v>
                </c:pt>
                <c:pt idx="17">
                  <c:v>1383.4198210911582</c:v>
                </c:pt>
                <c:pt idx="18">
                  <c:v>1471.7311882750189</c:v>
                </c:pt>
                <c:pt idx="19">
                  <c:v>1417.0078734257606</c:v>
                </c:pt>
                <c:pt idx="20">
                  <c:v>1392.6595437548831</c:v>
                </c:pt>
                <c:pt idx="21">
                  <c:v>1538.1137500929303</c:v>
                </c:pt>
              </c:numCache>
            </c:numRef>
          </c:val>
        </c:ser>
        <c:dLbls>
          <c:showLegendKey val="0"/>
          <c:showVal val="0"/>
          <c:showCatName val="0"/>
          <c:showSerName val="0"/>
          <c:showPercent val="0"/>
          <c:showBubbleSize val="0"/>
        </c:dLbls>
        <c:axId val="889847808"/>
        <c:axId val="889849344"/>
      </c:areaChart>
      <c:lineChart>
        <c:grouping val="standard"/>
        <c:varyColors val="0"/>
        <c:ser>
          <c:idx val="4"/>
          <c:order val="1"/>
          <c:tx>
            <c:strRef>
              <c:f>ChartSupport!$A$97</c:f>
              <c:strCache>
                <c:ptCount val="1"/>
                <c:pt idx="0">
                  <c:v>Net Debt (Cash)</c:v>
                </c:pt>
              </c:strCache>
            </c:strRef>
          </c:tx>
          <c:spPr>
            <a:ln w="25400">
              <a:solidFill>
                <a:schemeClr val="accent2"/>
              </a:solidFill>
              <a:prstDash val="solid"/>
            </a:ln>
          </c:spPr>
          <c:marker>
            <c:symbol val="none"/>
          </c:marker>
          <c:cat>
            <c:strRef>
              <c:f>ChartSupport!$B$82:$W$82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ChartSupport!$B$99:$W$99</c:f>
              <c:numCache>
                <c:formatCode>#,##0</c:formatCode>
                <c:ptCount val="22"/>
                <c:pt idx="0">
                  <c:v>208.17100000000002</c:v>
                </c:pt>
                <c:pt idx="1">
                  <c:v>170.476</c:v>
                </c:pt>
                <c:pt idx="2">
                  <c:v>137.79399999999998</c:v>
                </c:pt>
                <c:pt idx="3" formatCode="_(* #,##0_);_(* \(#,##0\);_(* &quot;-&quot;??_);_(@_)">
                  <c:v>-44.161000000000001</c:v>
                </c:pt>
                <c:pt idx="4" formatCode="_(* #,##0_);_(* \(#,##0\);_(* &quot;-&quot;??_);_(@_)">
                  <c:v>518.81000000000006</c:v>
                </c:pt>
                <c:pt idx="5" formatCode="_(* #,##0_);_(* \(#,##0\);_(* &quot;-&quot;??_);_(@_)">
                  <c:v>941.69699999999989</c:v>
                </c:pt>
                <c:pt idx="6" formatCode="_(* #,##0_);_(* \(#,##0\);_(* &quot;-&quot;??_);_(@_)">
                  <c:v>766.10100000000011</c:v>
                </c:pt>
                <c:pt idx="7" formatCode="_(* #,##0_);_(* \(#,##0\);_(* &quot;-&quot;??_);_(@_)">
                  <c:v>515.38200000000006</c:v>
                </c:pt>
                <c:pt idx="8" formatCode="_(* #,##0_);_(* \(#,##0\);_(* &quot;-&quot;??_);_(@_)">
                  <c:v>836.07099999999991</c:v>
                </c:pt>
                <c:pt idx="9" formatCode="_(* #,##0_);_(* \(#,##0\);_(* &quot;-&quot;??_);_(@_)">
                  <c:v>1347.636</c:v>
                </c:pt>
                <c:pt idx="10" formatCode="_(* #,##0_);_(* \(#,##0\);_(* &quot;-&quot;??_);_(@_)">
                  <c:v>1538.4810000000002</c:v>
                </c:pt>
                <c:pt idx="11" formatCode="_(* #,##0_);_(* \(#,##0\);_(* &quot;-&quot;??_);_(@_)">
                  <c:v>2487.0839999999998</c:v>
                </c:pt>
                <c:pt idx="12" formatCode="_(* #,##0_);_(* \(#,##0\);_(* &quot;-&quot;??_);_(@_)">
                  <c:v>2719.038</c:v>
                </c:pt>
                <c:pt idx="13" formatCode="_(* #,##0_);_(* \(#,##0\);_(* &quot;-&quot;??_);_(@_)">
                  <c:v>2547.1279999999997</c:v>
                </c:pt>
                <c:pt idx="14" formatCode="_(* #,##0_);_(* \(#,##0\);_(* &quot;-&quot;??_);_(@_)">
                  <c:v>2250.5675568724828</c:v>
                </c:pt>
                <c:pt idx="15" formatCode="_(* #,##0_);_(* \(#,##0\);_(* &quot;-&quot;??_);_(@_)">
                  <c:v>1993.232980283138</c:v>
                </c:pt>
                <c:pt idx="16" formatCode="_(* #,##0_);_(* \(#,##0\);_(* &quot;-&quot;??_);_(@_)">
                  <c:v>1926.4973908753568</c:v>
                </c:pt>
                <c:pt idx="17" formatCode="_(* #,##0_);_(* \(#,##0\);_(* &quot;-&quot;??_);_(@_)">
                  <c:v>1786.2434320649077</c:v>
                </c:pt>
                <c:pt idx="18" formatCode="_(* #,##0_);_(* \(#,##0\);_(* &quot;-&quot;??_);_(@_)">
                  <c:v>1592.7946640695084</c:v>
                </c:pt>
                <c:pt idx="19" formatCode="_(* #,##0_);_(* \(#,##0\);_(* &quot;-&quot;??_);_(@_)">
                  <c:v>1656.537572191578</c:v>
                </c:pt>
                <c:pt idx="20" formatCode="_(* #,##0_);_(* \(#,##0\);_(* &quot;-&quot;??_);_(@_)">
                  <c:v>1911.2317342582433</c:v>
                </c:pt>
                <c:pt idx="21" formatCode="_(* #,##0_);_(* \(#,##0\);_(* &quot;-&quot;??_);_(@_)">
                  <c:v>2186.9524256318423</c:v>
                </c:pt>
              </c:numCache>
            </c:numRef>
          </c:val>
          <c:smooth val="0"/>
        </c:ser>
        <c:dLbls>
          <c:showLegendKey val="0"/>
          <c:showVal val="0"/>
          <c:showCatName val="0"/>
          <c:showSerName val="0"/>
          <c:showPercent val="0"/>
          <c:showBubbleSize val="0"/>
        </c:dLbls>
        <c:marker val="1"/>
        <c:smooth val="0"/>
        <c:axId val="889847808"/>
        <c:axId val="889849344"/>
      </c:lineChart>
      <c:catAx>
        <c:axId val="889847808"/>
        <c:scaling>
          <c:orientation val="minMax"/>
        </c:scaling>
        <c:delete val="0"/>
        <c:axPos val="b"/>
        <c:numFmt formatCode="0" sourceLinked="1"/>
        <c:majorTickMark val="out"/>
        <c:minorTickMark val="none"/>
        <c:tickLblPos val="nextTo"/>
        <c:txPr>
          <a:bodyPr rot="-5400000" vert="horz"/>
          <a:lstStyle/>
          <a:p>
            <a:pPr>
              <a:defRPr/>
            </a:pPr>
            <a:endParaRPr lang="en-US"/>
          </a:p>
        </c:txPr>
        <c:crossAx val="889849344"/>
        <c:crosses val="autoZero"/>
        <c:auto val="1"/>
        <c:lblAlgn val="ctr"/>
        <c:lblOffset val="100"/>
        <c:noMultiLvlLbl val="0"/>
      </c:catAx>
      <c:valAx>
        <c:axId val="889849344"/>
        <c:scaling>
          <c:orientation val="minMax"/>
        </c:scaling>
        <c:delete val="0"/>
        <c:axPos val="l"/>
        <c:title>
          <c:tx>
            <c:rich>
              <a:bodyPr rot="0" vert="horz"/>
              <a:lstStyle/>
              <a:p>
                <a:pPr>
                  <a:defRPr/>
                </a:pPr>
                <a:r>
                  <a:rPr lang="en-US"/>
                  <a:t>R$ mn</a:t>
                </a:r>
              </a:p>
            </c:rich>
          </c:tx>
          <c:layout>
            <c:manualLayout>
              <c:xMode val="edge"/>
              <c:yMode val="edge"/>
              <c:x val="0.13595228760405428"/>
              <c:y val="3.3960244816483867E-2"/>
            </c:manualLayout>
          </c:layout>
          <c:overlay val="0"/>
        </c:title>
        <c:numFmt formatCode="#,##0" sourceLinked="1"/>
        <c:majorTickMark val="out"/>
        <c:minorTickMark val="none"/>
        <c:tickLblPos val="nextTo"/>
        <c:txPr>
          <a:bodyPr rot="0" vert="horz"/>
          <a:lstStyle/>
          <a:p>
            <a:pPr>
              <a:defRPr/>
            </a:pPr>
            <a:endParaRPr lang="en-US"/>
          </a:p>
        </c:txPr>
        <c:crossAx val="889847808"/>
        <c:crosses val="autoZero"/>
        <c:crossBetween val="between"/>
      </c:valAx>
    </c:plotArea>
    <c:legend>
      <c:legendPos val="r"/>
      <c:layout>
        <c:manualLayout>
          <c:xMode val="edge"/>
          <c:yMode val="edge"/>
          <c:x val="0.27367708068749469"/>
          <c:y val="2.9224587667282336E-3"/>
          <c:w val="0.64550108655772864"/>
          <c:h val="0.13564790512297073"/>
        </c:manualLayout>
      </c:layout>
      <c:overlay val="0"/>
      <c:spPr>
        <a:noFill/>
      </c:spPr>
      <c:txPr>
        <a:bodyPr/>
        <a:lstStyle/>
        <a:p>
          <a:pPr>
            <a:defRPr sz="800"/>
          </a:pPr>
          <a:endParaRPr lang="en-US"/>
        </a:p>
      </c:txPr>
    </c:legend>
    <c:plotVisOnly val="1"/>
    <c:dispBlanksAs val="gap"/>
    <c:showDLblsOverMax val="0"/>
  </c:chart>
  <c:spPr>
    <a:ln>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273358878268559"/>
          <c:y val="0.19658615732904064"/>
          <c:w val="0.55355453562957035"/>
          <c:h val="0.62921246137131248"/>
        </c:manualLayout>
      </c:layout>
      <c:pieChart>
        <c:varyColors val="1"/>
        <c:ser>
          <c:idx val="1"/>
          <c:order val="0"/>
          <c:dPt>
            <c:idx val="0"/>
            <c:bubble3D val="0"/>
            <c:spPr>
              <a:solidFill>
                <a:schemeClr val="accent1"/>
              </a:solidFill>
            </c:spPr>
          </c:dPt>
          <c:dPt>
            <c:idx val="1"/>
            <c:bubble3D val="0"/>
            <c:spPr>
              <a:solidFill>
                <a:schemeClr val="tx2"/>
              </a:solidFill>
            </c:spPr>
          </c:dPt>
          <c:dPt>
            <c:idx val="2"/>
            <c:bubble3D val="0"/>
            <c:spPr>
              <a:solidFill>
                <a:schemeClr val="accent2">
                  <a:lumMod val="60000"/>
                  <a:lumOff val="40000"/>
                </a:schemeClr>
              </a:solidFill>
            </c:spPr>
          </c:dPt>
          <c:dLbls>
            <c:dLbl>
              <c:idx val="0"/>
              <c:layout>
                <c:manualLayout>
                  <c:x val="-0.24529705403970459"/>
                  <c:y val="-6.2572670615608658E-2"/>
                </c:manualLayout>
              </c:layout>
              <c:spPr/>
              <c:txPr>
                <a:bodyPr/>
                <a:lstStyle/>
                <a:p>
                  <a:pPr>
                    <a:defRPr sz="750" b="0">
                      <a:solidFill>
                        <a:schemeClr val="bg1"/>
                      </a:solidFill>
                    </a:defRPr>
                  </a:pPr>
                  <a:endParaRPr lang="en-US"/>
                </a:p>
              </c:txPr>
              <c:dLblPos val="bestFit"/>
              <c:showLegendKey val="0"/>
              <c:showVal val="0"/>
              <c:showCatName val="1"/>
              <c:showSerName val="0"/>
              <c:showPercent val="1"/>
              <c:showBubbleSize val="0"/>
            </c:dLbl>
            <c:dLbl>
              <c:idx val="1"/>
              <c:layout>
                <c:manualLayout>
                  <c:x val="-4.8174190050536692E-3"/>
                  <c:y val="-4.7794769885424526E-2"/>
                </c:manualLayout>
              </c:layout>
              <c:spPr/>
              <c:txPr>
                <a:bodyPr/>
                <a:lstStyle/>
                <a:p>
                  <a:pPr>
                    <a:defRPr sz="750"/>
                  </a:pPr>
                  <a:endParaRPr lang="en-US"/>
                </a:p>
              </c:txPr>
              <c:dLblPos val="bestFit"/>
              <c:showLegendKey val="0"/>
              <c:showVal val="0"/>
              <c:showCatName val="1"/>
              <c:showSerName val="0"/>
              <c:showPercent val="1"/>
              <c:showBubbleSize val="0"/>
            </c:dLbl>
            <c:dLbl>
              <c:idx val="2"/>
              <c:layout>
                <c:manualLayout>
                  <c:x val="0.15589290379488677"/>
                  <c:y val="3.6379979093836508E-2"/>
                </c:manualLayout>
              </c:layout>
              <c:spPr/>
              <c:txPr>
                <a:bodyPr/>
                <a:lstStyle/>
                <a:p>
                  <a:pPr>
                    <a:defRPr sz="800"/>
                  </a:pPr>
                  <a:endParaRPr lang="en-US"/>
                </a:p>
              </c:txPr>
              <c:dLblPos val="bestFit"/>
              <c:showLegendKey val="0"/>
              <c:showVal val="0"/>
              <c:showCatName val="1"/>
              <c:showSerName val="0"/>
              <c:showPercent val="1"/>
              <c:showBubbleSize val="0"/>
            </c:dLbl>
            <c:dLbl>
              <c:idx val="3"/>
              <c:layout>
                <c:manualLayout>
                  <c:x val="8.5576958191353983E-2"/>
                  <c:y val="4.4575565315168729E-2"/>
                </c:manualLayout>
              </c:layout>
              <c:dLblPos val="bestFit"/>
              <c:showLegendKey val="0"/>
              <c:showVal val="0"/>
              <c:showCatName val="1"/>
              <c:showSerName val="0"/>
              <c:showPercent val="1"/>
              <c:showBubbleSize val="0"/>
            </c:dLbl>
            <c:dLblPos val="outEnd"/>
            <c:showLegendKey val="0"/>
            <c:showVal val="0"/>
            <c:showCatName val="1"/>
            <c:showSerName val="0"/>
            <c:showPercent val="1"/>
            <c:showBubbleSize val="0"/>
            <c:showLeaderLines val="1"/>
          </c:dLbls>
          <c:cat>
            <c:strRef>
              <c:f>SOP!$A$9:$A$12</c:f>
              <c:strCache>
                <c:ptCount val="4"/>
                <c:pt idx="0">
                  <c:v>Sugar/Ethanol </c:v>
                </c:pt>
                <c:pt idx="1">
                  <c:v>Sugar/Ethanol Re rating</c:v>
                </c:pt>
                <c:pt idx="2">
                  <c:v>Cogeneration</c:v>
                </c:pt>
                <c:pt idx="3">
                  <c:v>Land Urban</c:v>
                </c:pt>
              </c:strCache>
            </c:strRef>
          </c:cat>
          <c:val>
            <c:numRef>
              <c:f>SOP!$G$9:$G$12</c:f>
              <c:numCache>
                <c:formatCode>0.0</c:formatCode>
                <c:ptCount val="4"/>
                <c:pt idx="0">
                  <c:v>15.253067316933979</c:v>
                </c:pt>
                <c:pt idx="1">
                  <c:v>1.0895048083524272</c:v>
                </c:pt>
                <c:pt idx="2">
                  <c:v>3.6456809101961012</c:v>
                </c:pt>
                <c:pt idx="3">
                  <c:v>1.8571104687825462</c:v>
                </c:pt>
              </c:numCache>
            </c:numRef>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ln>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866323373737328E-2"/>
          <c:y val="4.5731775396245289E-2"/>
          <c:w val="0.86089459505873489"/>
          <c:h val="0.82012317210599883"/>
        </c:manualLayout>
      </c:layout>
      <c:areaChart>
        <c:grouping val="standard"/>
        <c:varyColors val="0"/>
        <c:ser>
          <c:idx val="4"/>
          <c:order val="0"/>
          <c:tx>
            <c:v>Bull-Bear Scenario</c:v>
          </c:tx>
          <c:spPr>
            <a:solidFill>
              <a:schemeClr val="bg1">
                <a:lumMod val="85000"/>
              </a:schemeClr>
            </a:solidFill>
            <a:ln w="12700">
              <a:noFill/>
              <a:prstDash val="solid"/>
            </a:ln>
          </c:spPr>
          <c:cat>
            <c:strRef>
              <c:f>ChartSupport!$H$122:$W$122</c:f>
              <c:strCache>
                <c:ptCount val="16"/>
                <c:pt idx="0">
                  <c:v>2010</c:v>
                </c:pt>
                <c:pt idx="1">
                  <c:v>2011</c:v>
                </c:pt>
                <c:pt idx="2">
                  <c:v>2012</c:v>
                </c:pt>
                <c:pt idx="3">
                  <c:v>2013</c:v>
                </c:pt>
                <c:pt idx="4">
                  <c:v>2014</c:v>
                </c:pt>
                <c:pt idx="5">
                  <c:v>2015</c:v>
                </c:pt>
                <c:pt idx="6">
                  <c:v>2016</c:v>
                </c:pt>
                <c:pt idx="7">
                  <c:v>2017</c:v>
                </c:pt>
                <c:pt idx="8">
                  <c:v>2018E</c:v>
                </c:pt>
                <c:pt idx="9">
                  <c:v>2019E</c:v>
                </c:pt>
                <c:pt idx="10">
                  <c:v>2020E</c:v>
                </c:pt>
                <c:pt idx="11">
                  <c:v>2021E</c:v>
                </c:pt>
                <c:pt idx="12">
                  <c:v>2022E</c:v>
                </c:pt>
                <c:pt idx="13">
                  <c:v>2023E</c:v>
                </c:pt>
                <c:pt idx="14">
                  <c:v>2024E</c:v>
                </c:pt>
                <c:pt idx="15">
                  <c:v>2025E</c:v>
                </c:pt>
              </c:strCache>
            </c:strRef>
          </c:cat>
          <c:val>
            <c:numRef>
              <c:f>ChartSupport!$H$125:$W$125</c:f>
              <c:numCache>
                <c:formatCode>#,##0</c:formatCode>
                <c:ptCount val="16"/>
                <c:pt idx="0">
                  <c:v>17.123864915572263</c:v>
                </c:pt>
                <c:pt idx="1">
                  <c:v>18.845727136642534</c:v>
                </c:pt>
                <c:pt idx="2">
                  <c:v>19.577562692025154</c:v>
                </c:pt>
                <c:pt idx="3">
                  <c:v>41.126784098697854</c:v>
                </c:pt>
                <c:pt idx="4">
                  <c:v>24.496370424141858</c:v>
                </c:pt>
                <c:pt idx="5">
                  <c:v>13.180838991545793</c:v>
                </c:pt>
                <c:pt idx="6">
                  <c:v>26.717701796082917</c:v>
                </c:pt>
                <c:pt idx="7">
                  <c:v>20.255817752071238</c:v>
                </c:pt>
                <c:pt idx="8">
                  <c:v>14.278087716588356</c:v>
                </c:pt>
                <c:pt idx="9">
                  <c:v>11.096458367158203</c:v>
                </c:pt>
                <c:pt idx="10">
                  <c:v>8.7610809482691536</c:v>
                </c:pt>
                <c:pt idx="11">
                  <c:v>7.8478061611720298</c:v>
                </c:pt>
                <c:pt idx="12">
                  <c:v>8.392402693426952</c:v>
                </c:pt>
                <c:pt idx="13">
                  <c:v>8.827756901485122</c:v>
                </c:pt>
                <c:pt idx="14">
                  <c:v>8.2307445571205502</c:v>
                </c:pt>
                <c:pt idx="15">
                  <c:v>7.4529972317977284</c:v>
                </c:pt>
              </c:numCache>
            </c:numRef>
          </c:val>
        </c:ser>
        <c:ser>
          <c:idx val="3"/>
          <c:order val="1"/>
          <c:tx>
            <c:v>Bear Scenario</c:v>
          </c:tx>
          <c:spPr>
            <a:solidFill>
              <a:schemeClr val="bg1"/>
            </a:solidFill>
            <a:ln w="12700">
              <a:noFill/>
              <a:prstDash val="solid"/>
            </a:ln>
          </c:spPr>
          <c:cat>
            <c:strRef>
              <c:f>ChartSupport!$H$122:$W$122</c:f>
              <c:strCache>
                <c:ptCount val="16"/>
                <c:pt idx="0">
                  <c:v>2010</c:v>
                </c:pt>
                <c:pt idx="1">
                  <c:v>2011</c:v>
                </c:pt>
                <c:pt idx="2">
                  <c:v>2012</c:v>
                </c:pt>
                <c:pt idx="3">
                  <c:v>2013</c:v>
                </c:pt>
                <c:pt idx="4">
                  <c:v>2014</c:v>
                </c:pt>
                <c:pt idx="5">
                  <c:v>2015</c:v>
                </c:pt>
                <c:pt idx="6">
                  <c:v>2016</c:v>
                </c:pt>
                <c:pt idx="7">
                  <c:v>2017</c:v>
                </c:pt>
                <c:pt idx="8">
                  <c:v>2018E</c:v>
                </c:pt>
                <c:pt idx="9">
                  <c:v>2019E</c:v>
                </c:pt>
                <c:pt idx="10">
                  <c:v>2020E</c:v>
                </c:pt>
                <c:pt idx="11">
                  <c:v>2021E</c:v>
                </c:pt>
                <c:pt idx="12">
                  <c:v>2022E</c:v>
                </c:pt>
                <c:pt idx="13">
                  <c:v>2023E</c:v>
                </c:pt>
                <c:pt idx="14">
                  <c:v>2024E</c:v>
                </c:pt>
                <c:pt idx="15">
                  <c:v>2025E</c:v>
                </c:pt>
              </c:strCache>
            </c:strRef>
          </c:cat>
          <c:val>
            <c:numRef>
              <c:f>ChartSupport!$H$123:$W$123</c:f>
              <c:numCache>
                <c:formatCode>#,##0</c:formatCode>
                <c:ptCount val="16"/>
                <c:pt idx="0">
                  <c:v>17.123864915572263</c:v>
                </c:pt>
                <c:pt idx="1">
                  <c:v>18.845727136642534</c:v>
                </c:pt>
                <c:pt idx="2">
                  <c:v>19.577562692025154</c:v>
                </c:pt>
                <c:pt idx="3">
                  <c:v>41.126784098697854</c:v>
                </c:pt>
                <c:pt idx="4">
                  <c:v>24.496370424141858</c:v>
                </c:pt>
                <c:pt idx="5">
                  <c:v>13.180838991545793</c:v>
                </c:pt>
                <c:pt idx="6">
                  <c:v>26.717701796082917</c:v>
                </c:pt>
                <c:pt idx="7">
                  <c:v>20.255817752071238</c:v>
                </c:pt>
                <c:pt idx="8">
                  <c:v>11.077515540774948</c:v>
                </c:pt>
                <c:pt idx="9">
                  <c:v>16.560238724092205</c:v>
                </c:pt>
                <c:pt idx="10">
                  <c:v>10.76053032645634</c:v>
                </c:pt>
                <c:pt idx="11">
                  <c:v>8.8112315299666726</c:v>
                </c:pt>
                <c:pt idx="12">
                  <c:v>11.027174490297057</c:v>
                </c:pt>
                <c:pt idx="13">
                  <c:v>15.548680696582776</c:v>
                </c:pt>
                <c:pt idx="14">
                  <c:v>16.296352710621047</c:v>
                </c:pt>
                <c:pt idx="15">
                  <c:v>12.460160107030557</c:v>
                </c:pt>
              </c:numCache>
            </c:numRef>
          </c:val>
        </c:ser>
        <c:dLbls>
          <c:showLegendKey val="0"/>
          <c:showVal val="0"/>
          <c:showCatName val="0"/>
          <c:showSerName val="0"/>
          <c:showPercent val="0"/>
          <c:showBubbleSize val="0"/>
        </c:dLbls>
        <c:axId val="889599104"/>
        <c:axId val="889600640"/>
      </c:areaChart>
      <c:lineChart>
        <c:grouping val="standard"/>
        <c:varyColors val="0"/>
        <c:ser>
          <c:idx val="2"/>
          <c:order val="2"/>
          <c:tx>
            <c:v>Base Scenario</c:v>
          </c:tx>
          <c:spPr>
            <a:ln w="25400">
              <a:solidFill>
                <a:schemeClr val="accent1"/>
              </a:solidFill>
              <a:prstDash val="solid"/>
            </a:ln>
          </c:spPr>
          <c:marker>
            <c:symbol val="none"/>
          </c:marker>
          <c:cat>
            <c:strRef>
              <c:f>ChartSupport!$H$122:$W$122</c:f>
              <c:strCache>
                <c:ptCount val="16"/>
                <c:pt idx="0">
                  <c:v>2010</c:v>
                </c:pt>
                <c:pt idx="1">
                  <c:v>2011</c:v>
                </c:pt>
                <c:pt idx="2">
                  <c:v>2012</c:v>
                </c:pt>
                <c:pt idx="3">
                  <c:v>2013</c:v>
                </c:pt>
                <c:pt idx="4">
                  <c:v>2014</c:v>
                </c:pt>
                <c:pt idx="5">
                  <c:v>2015</c:v>
                </c:pt>
                <c:pt idx="6">
                  <c:v>2016</c:v>
                </c:pt>
                <c:pt idx="7">
                  <c:v>2017</c:v>
                </c:pt>
                <c:pt idx="8">
                  <c:v>2018E</c:v>
                </c:pt>
                <c:pt idx="9">
                  <c:v>2019E</c:v>
                </c:pt>
                <c:pt idx="10">
                  <c:v>2020E</c:v>
                </c:pt>
                <c:pt idx="11">
                  <c:v>2021E</c:v>
                </c:pt>
                <c:pt idx="12">
                  <c:v>2022E</c:v>
                </c:pt>
                <c:pt idx="13">
                  <c:v>2023E</c:v>
                </c:pt>
                <c:pt idx="14">
                  <c:v>2024E</c:v>
                </c:pt>
                <c:pt idx="15">
                  <c:v>2025E</c:v>
                </c:pt>
              </c:strCache>
            </c:strRef>
          </c:cat>
          <c:val>
            <c:numRef>
              <c:f>ChartSupport!$H$124:$W$124</c:f>
              <c:numCache>
                <c:formatCode>#,##0</c:formatCode>
                <c:ptCount val="16"/>
                <c:pt idx="0">
                  <c:v>17.123864915572263</c:v>
                </c:pt>
                <c:pt idx="1">
                  <c:v>18.845727136642534</c:v>
                </c:pt>
                <c:pt idx="2">
                  <c:v>19.577562692025154</c:v>
                </c:pt>
                <c:pt idx="3">
                  <c:v>41.126784098697854</c:v>
                </c:pt>
                <c:pt idx="4">
                  <c:v>24.496370424141858</c:v>
                </c:pt>
                <c:pt idx="5">
                  <c:v>13.180838991545793</c:v>
                </c:pt>
                <c:pt idx="6">
                  <c:v>26.717701796082917</c:v>
                </c:pt>
                <c:pt idx="7">
                  <c:v>20.255817752071238</c:v>
                </c:pt>
                <c:pt idx="8">
                  <c:v>11.072814888702633</c:v>
                </c:pt>
                <c:pt idx="9">
                  <c:v>10.403108927044844</c:v>
                </c:pt>
                <c:pt idx="10">
                  <c:v>8.7954061962395365</c:v>
                </c:pt>
                <c:pt idx="11">
                  <c:v>7.3586284565756239</c:v>
                </c:pt>
                <c:pt idx="12">
                  <c:v>6.9345102864494077</c:v>
                </c:pt>
                <c:pt idx="13">
                  <c:v>8.3866018481893043</c:v>
                </c:pt>
                <c:pt idx="14">
                  <c:v>9.9867369532042982</c:v>
                </c:pt>
                <c:pt idx="15">
                  <c:v>7.64072265751249</c:v>
                </c:pt>
              </c:numCache>
            </c:numRef>
          </c:val>
          <c:smooth val="0"/>
        </c:ser>
        <c:dLbls>
          <c:showLegendKey val="0"/>
          <c:showVal val="0"/>
          <c:showCatName val="0"/>
          <c:showSerName val="0"/>
          <c:showPercent val="0"/>
          <c:showBubbleSize val="0"/>
        </c:dLbls>
        <c:marker val="1"/>
        <c:smooth val="0"/>
        <c:axId val="889599104"/>
        <c:axId val="889600640"/>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ChartSupport!$H$122:$W$122</c:f>
              <c:strCache>
                <c:ptCount val="16"/>
                <c:pt idx="0">
                  <c:v>2010</c:v>
                </c:pt>
                <c:pt idx="1">
                  <c:v>2011</c:v>
                </c:pt>
                <c:pt idx="2">
                  <c:v>2012</c:v>
                </c:pt>
                <c:pt idx="3">
                  <c:v>2013</c:v>
                </c:pt>
                <c:pt idx="4">
                  <c:v>2014</c:v>
                </c:pt>
                <c:pt idx="5">
                  <c:v>2015</c:v>
                </c:pt>
                <c:pt idx="6">
                  <c:v>2016</c:v>
                </c:pt>
                <c:pt idx="7">
                  <c:v>2017</c:v>
                </c:pt>
                <c:pt idx="8">
                  <c:v>2018E</c:v>
                </c:pt>
                <c:pt idx="9">
                  <c:v>2019E</c:v>
                </c:pt>
                <c:pt idx="10">
                  <c:v>2020E</c:v>
                </c:pt>
                <c:pt idx="11">
                  <c:v>2021E</c:v>
                </c:pt>
                <c:pt idx="12">
                  <c:v>2022E</c:v>
                </c:pt>
                <c:pt idx="13">
                  <c:v>2023E</c:v>
                </c:pt>
                <c:pt idx="14">
                  <c:v>2024E</c:v>
                </c:pt>
                <c:pt idx="15">
                  <c:v>2025E</c:v>
                </c:pt>
              </c:strCache>
            </c:strRef>
          </c:cat>
          <c:val>
            <c:numRef>
              <c:f>ChartSupport!$H$179:$W$179</c:f>
              <c:numCache>
                <c:formatCode>0</c:formatCode>
                <c:ptCount val="16"/>
                <c:pt idx="0">
                  <c:v>23.440833333333334</c:v>
                </c:pt>
                <c:pt idx="1">
                  <c:v>25.258333333333336</c:v>
                </c:pt>
                <c:pt idx="2">
                  <c:v>20.410833333333333</c:v>
                </c:pt>
                <c:pt idx="3">
                  <c:v>17.066666666666666</c:v>
                </c:pt>
                <c:pt idx="4">
                  <c:v>15.978333333333333</c:v>
                </c:pt>
                <c:pt idx="5">
                  <c:v>13.149166666666668</c:v>
                </c:pt>
                <c:pt idx="6">
                  <c:v>19.252499999999998</c:v>
                </c:pt>
                <c:pt idx="7">
                  <c:v>17.805000000000003</c:v>
                </c:pt>
                <c:pt idx="8">
                  <c:v>16.244658605325153</c:v>
                </c:pt>
                <c:pt idx="9">
                  <c:v>16.31531880717511</c:v>
                </c:pt>
                <c:pt idx="10">
                  <c:v>16.498655235130911</c:v>
                </c:pt>
                <c:pt idx="11">
                  <c:v>19.747444770453257</c:v>
                </c:pt>
                <c:pt idx="12">
                  <c:v>20.93514679550681</c:v>
                </c:pt>
                <c:pt idx="13">
                  <c:v>17.432162450241776</c:v>
                </c:pt>
                <c:pt idx="14">
                  <c:v>15.017906650666538</c:v>
                </c:pt>
                <c:pt idx="15">
                  <c:v>17.055276269110166</c:v>
                </c:pt>
              </c:numCache>
            </c:numRef>
          </c:val>
          <c:smooth val="0"/>
        </c:ser>
        <c:dLbls>
          <c:showLegendKey val="0"/>
          <c:showVal val="0"/>
          <c:showCatName val="0"/>
          <c:showSerName val="0"/>
          <c:showPercent val="0"/>
          <c:showBubbleSize val="0"/>
        </c:dLbls>
        <c:marker val="1"/>
        <c:smooth val="0"/>
        <c:axId val="889611008"/>
        <c:axId val="889612544"/>
      </c:lineChart>
      <c:catAx>
        <c:axId val="889599104"/>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89600640"/>
        <c:crosses val="autoZero"/>
        <c:auto val="1"/>
        <c:lblAlgn val="ctr"/>
        <c:lblOffset val="100"/>
        <c:tickLblSkip val="1"/>
        <c:tickMarkSkip val="1"/>
        <c:noMultiLvlLbl val="0"/>
      </c:catAx>
      <c:valAx>
        <c:axId val="889600640"/>
        <c:scaling>
          <c:orientation val="minMax"/>
          <c:max val="50"/>
        </c:scaling>
        <c:delete val="0"/>
        <c:axPos val="l"/>
        <c:title>
          <c:tx>
            <c:rich>
              <a:bodyPr rot="0" vert="horz"/>
              <a:lstStyle/>
              <a:p>
                <a:pPr algn="ctr" rtl="0">
                  <a:defRPr sz="900"/>
                </a:pPr>
                <a:r>
                  <a:rPr lang="en-US" sz="900"/>
                  <a:t>x</a:t>
                </a:r>
                <a:r>
                  <a:rPr lang="en-US" sz="900" baseline="0"/>
                  <a:t> times</a:t>
                </a:r>
                <a:endParaRPr lang="en-US" sz="900"/>
              </a:p>
            </c:rich>
          </c:tx>
          <c:layout>
            <c:manualLayout>
              <c:xMode val="edge"/>
              <c:yMode val="edge"/>
              <c:x val="9.0209066840349544E-2"/>
              <c:y val="2.5314585444938833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9599104"/>
        <c:crosses val="autoZero"/>
        <c:crossBetween val="between"/>
      </c:valAx>
      <c:catAx>
        <c:axId val="889611008"/>
        <c:scaling>
          <c:orientation val="minMax"/>
        </c:scaling>
        <c:delete val="1"/>
        <c:axPos val="b"/>
        <c:majorTickMark val="out"/>
        <c:minorTickMark val="none"/>
        <c:tickLblPos val="nextTo"/>
        <c:crossAx val="889612544"/>
        <c:crosses val="autoZero"/>
        <c:auto val="1"/>
        <c:lblAlgn val="ctr"/>
        <c:lblOffset val="100"/>
        <c:noMultiLvlLbl val="0"/>
      </c:catAx>
      <c:valAx>
        <c:axId val="889612544"/>
        <c:scaling>
          <c:orientation val="minMax"/>
        </c:scaling>
        <c:delete val="0"/>
        <c:axPos val="r"/>
        <c:title>
          <c:tx>
            <c:rich>
              <a:bodyPr rot="0" vert="horz"/>
              <a:lstStyle/>
              <a:p>
                <a:pPr marL="0" marR="0" indent="0" algn="ctr" defTabSz="914400" rtl="0" eaLnBrk="1" fontAlgn="auto" latinLnBrk="0" hangingPunct="1">
                  <a:lnSpc>
                    <a:spcPct val="100000"/>
                  </a:lnSpc>
                  <a:spcBef>
                    <a:spcPts val="0"/>
                  </a:spcBef>
                  <a:spcAft>
                    <a:spcPts val="0"/>
                  </a:spcAft>
                  <a:buClrTx/>
                  <a:buSzTx/>
                  <a:buFontTx/>
                  <a:buNone/>
                  <a:tabLst/>
                  <a:defRPr sz="900" b="0" i="0" u="none" strike="noStrike" kern="1200" baseline="0">
                    <a:solidFill>
                      <a:srgbClr val="808080"/>
                    </a:solidFill>
                    <a:latin typeface="Arial"/>
                    <a:ea typeface="Arial"/>
                    <a:cs typeface="Arial"/>
                  </a:defRPr>
                </a:pPr>
                <a:r>
                  <a:rPr lang="en-US" sz="900" b="0" i="0" baseline="0">
                    <a:effectLst/>
                  </a:rPr>
                  <a:t>US$ cents/lb</a:t>
                </a:r>
                <a:endParaRPr lang="en-US" sz="900">
                  <a:effectLst/>
                </a:endParaRPr>
              </a:p>
            </c:rich>
          </c:tx>
          <c:layout>
            <c:manualLayout>
              <c:xMode val="edge"/>
              <c:yMode val="edge"/>
              <c:x val="0.77304964539007093"/>
              <c:y val="1.7274403513631149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9611008"/>
        <c:crosses val="max"/>
        <c:crossBetween val="between"/>
      </c:valAx>
      <c:spPr>
        <a:noFill/>
        <a:ln w="25400">
          <a:noFill/>
        </a:ln>
      </c:spPr>
    </c:plotArea>
    <c:legend>
      <c:legendPos val="r"/>
      <c:legendEntry>
        <c:idx val="1"/>
        <c:delete val="1"/>
      </c:legendEntry>
      <c:layout>
        <c:manualLayout>
          <c:xMode val="edge"/>
          <c:yMode val="edge"/>
          <c:x val="0.19014940071840364"/>
          <c:y val="4.0268671261920512E-2"/>
          <c:w val="0.56399843636566704"/>
          <c:h val="0.14487587544019309"/>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236246709539835"/>
          <c:y val="4.5731775396245289E-2"/>
          <c:w val="0.82939845133707379"/>
          <c:h val="0.82012317210599883"/>
        </c:manualLayout>
      </c:layout>
      <c:areaChart>
        <c:grouping val="standard"/>
        <c:varyColors val="0"/>
        <c:ser>
          <c:idx val="3"/>
          <c:order val="0"/>
          <c:tx>
            <c:v>Bull-Bear Scenario</c:v>
          </c:tx>
          <c:spPr>
            <a:solidFill>
              <a:schemeClr val="bg1">
                <a:lumMod val="85000"/>
              </a:schemeClr>
            </a:solidFill>
            <a:ln w="12700">
              <a:noFill/>
              <a:prstDash val="solid"/>
            </a:ln>
          </c:spPr>
          <c:cat>
            <c:strRef>
              <c:f>ChartSupport!$F$127:$W$127</c:f>
              <c:strCache>
                <c:ptCount val="18"/>
                <c:pt idx="0">
                  <c:v>2008</c:v>
                </c:pt>
                <c:pt idx="1">
                  <c:v>2009</c:v>
                </c:pt>
                <c:pt idx="2">
                  <c:v>2010</c:v>
                </c:pt>
                <c:pt idx="3">
                  <c:v>2011</c:v>
                </c:pt>
                <c:pt idx="4">
                  <c:v>2012</c:v>
                </c:pt>
                <c:pt idx="5">
                  <c:v>2013</c:v>
                </c:pt>
                <c:pt idx="6">
                  <c:v>2014</c:v>
                </c:pt>
                <c:pt idx="7">
                  <c:v>2015</c:v>
                </c:pt>
                <c:pt idx="8">
                  <c:v>2016</c:v>
                </c:pt>
                <c:pt idx="9">
                  <c:v>2017</c:v>
                </c:pt>
                <c:pt idx="10">
                  <c:v>2018E</c:v>
                </c:pt>
                <c:pt idx="11">
                  <c:v>2019E</c:v>
                </c:pt>
                <c:pt idx="12">
                  <c:v>2020E</c:v>
                </c:pt>
                <c:pt idx="13">
                  <c:v>2021E</c:v>
                </c:pt>
                <c:pt idx="14">
                  <c:v>2022E</c:v>
                </c:pt>
                <c:pt idx="15">
                  <c:v>2023E</c:v>
                </c:pt>
                <c:pt idx="16">
                  <c:v>2024E</c:v>
                </c:pt>
                <c:pt idx="17">
                  <c:v>2025E</c:v>
                </c:pt>
              </c:strCache>
            </c:strRef>
          </c:cat>
          <c:val>
            <c:numRef>
              <c:f>ChartSupport!$F$128:$W$128</c:f>
              <c:numCache>
                <c:formatCode>#,##0.0</c:formatCode>
                <c:ptCount val="18"/>
                <c:pt idx="0">
                  <c:v>66.87115670740728</c:v>
                </c:pt>
                <c:pt idx="1">
                  <c:v>8.7788131787695498</c:v>
                </c:pt>
                <c:pt idx="2">
                  <c:v>6.0935425418990281</c:v>
                </c:pt>
                <c:pt idx="3">
                  <c:v>5.6471009178201266</c:v>
                </c:pt>
                <c:pt idx="4">
                  <c:v>5.6893351583753109</c:v>
                </c:pt>
                <c:pt idx="5">
                  <c:v>6.6709139867435887</c:v>
                </c:pt>
                <c:pt idx="6">
                  <c:v>6.450373600744407</c:v>
                </c:pt>
                <c:pt idx="7">
                  <c:v>5.8924260966762843</c:v>
                </c:pt>
                <c:pt idx="8">
                  <c:v>6.5118667857784436</c:v>
                </c:pt>
                <c:pt idx="9">
                  <c:v>3.9811628027731976</c:v>
                </c:pt>
                <c:pt idx="10">
                  <c:v>2.977146789800885</c:v>
                </c:pt>
                <c:pt idx="11">
                  <c:v>3.5828711317980497</c:v>
                </c:pt>
                <c:pt idx="12">
                  <c:v>2.918640198139189</c:v>
                </c:pt>
                <c:pt idx="13">
                  <c:v>2.4869155304493975</c:v>
                </c:pt>
                <c:pt idx="14">
                  <c:v>2.6624533778241908</c:v>
                </c:pt>
                <c:pt idx="15">
                  <c:v>2.9525023332051408</c:v>
                </c:pt>
                <c:pt idx="16">
                  <c:v>2.7924292063630483</c:v>
                </c:pt>
                <c:pt idx="17">
                  <c:v>2.3749221352225236</c:v>
                </c:pt>
              </c:numCache>
            </c:numRef>
          </c:val>
        </c:ser>
        <c:ser>
          <c:idx val="4"/>
          <c:order val="1"/>
          <c:tx>
            <c:v>Bear Scenario</c:v>
          </c:tx>
          <c:spPr>
            <a:solidFill>
              <a:schemeClr val="bg1"/>
            </a:solidFill>
            <a:ln w="12700">
              <a:noFill/>
              <a:prstDash val="solid"/>
            </a:ln>
          </c:spPr>
          <c:cat>
            <c:strRef>
              <c:f>ChartSupport!$F$127:$W$127</c:f>
              <c:strCache>
                <c:ptCount val="18"/>
                <c:pt idx="0">
                  <c:v>2008</c:v>
                </c:pt>
                <c:pt idx="1">
                  <c:v>2009</c:v>
                </c:pt>
                <c:pt idx="2">
                  <c:v>2010</c:v>
                </c:pt>
                <c:pt idx="3">
                  <c:v>2011</c:v>
                </c:pt>
                <c:pt idx="4">
                  <c:v>2012</c:v>
                </c:pt>
                <c:pt idx="5">
                  <c:v>2013</c:v>
                </c:pt>
                <c:pt idx="6">
                  <c:v>2014</c:v>
                </c:pt>
                <c:pt idx="7">
                  <c:v>2015</c:v>
                </c:pt>
                <c:pt idx="8">
                  <c:v>2016</c:v>
                </c:pt>
                <c:pt idx="9">
                  <c:v>2017</c:v>
                </c:pt>
                <c:pt idx="10">
                  <c:v>2018E</c:v>
                </c:pt>
                <c:pt idx="11">
                  <c:v>2019E</c:v>
                </c:pt>
                <c:pt idx="12">
                  <c:v>2020E</c:v>
                </c:pt>
                <c:pt idx="13">
                  <c:v>2021E</c:v>
                </c:pt>
                <c:pt idx="14">
                  <c:v>2022E</c:v>
                </c:pt>
                <c:pt idx="15">
                  <c:v>2023E</c:v>
                </c:pt>
                <c:pt idx="16">
                  <c:v>2024E</c:v>
                </c:pt>
                <c:pt idx="17">
                  <c:v>2025E</c:v>
                </c:pt>
              </c:strCache>
            </c:strRef>
          </c:cat>
          <c:val>
            <c:numRef>
              <c:f>ChartSupport!$F$130:$W$130</c:f>
              <c:numCache>
                <c:formatCode>#,##0.0</c:formatCode>
                <c:ptCount val="18"/>
                <c:pt idx="0">
                  <c:v>66.87115670740728</c:v>
                </c:pt>
                <c:pt idx="1">
                  <c:v>8.7788131787695498</c:v>
                </c:pt>
                <c:pt idx="2">
                  <c:v>6.0935425418990281</c:v>
                </c:pt>
                <c:pt idx="3">
                  <c:v>5.6471009178201266</c:v>
                </c:pt>
                <c:pt idx="4">
                  <c:v>5.6893351583753109</c:v>
                </c:pt>
                <c:pt idx="5">
                  <c:v>6.6709139867435887</c:v>
                </c:pt>
                <c:pt idx="6">
                  <c:v>6.450373600744407</c:v>
                </c:pt>
                <c:pt idx="7">
                  <c:v>5.8924260966762843</c:v>
                </c:pt>
                <c:pt idx="8">
                  <c:v>6.5118667857784436</c:v>
                </c:pt>
                <c:pt idx="9">
                  <c:v>3.9811628027731976</c:v>
                </c:pt>
                <c:pt idx="10">
                  <c:v>4.7332093423229544</c:v>
                </c:pt>
                <c:pt idx="11">
                  <c:v>4.3869297314755773</c:v>
                </c:pt>
                <c:pt idx="12">
                  <c:v>3.7761308668867501</c:v>
                </c:pt>
                <c:pt idx="13">
                  <c:v>3.3750535343707044</c:v>
                </c:pt>
                <c:pt idx="14">
                  <c:v>3.5234020698658659</c:v>
                </c:pt>
                <c:pt idx="15">
                  <c:v>3.6501471333851252</c:v>
                </c:pt>
                <c:pt idx="16">
                  <c:v>3.3479178839501675</c:v>
                </c:pt>
                <c:pt idx="17">
                  <c:v>2.7773097024212201</c:v>
                </c:pt>
              </c:numCache>
            </c:numRef>
          </c:val>
        </c:ser>
        <c:dLbls>
          <c:showLegendKey val="0"/>
          <c:showVal val="0"/>
          <c:showCatName val="0"/>
          <c:showSerName val="0"/>
          <c:showPercent val="0"/>
          <c:showBubbleSize val="0"/>
        </c:dLbls>
        <c:axId val="889653888"/>
        <c:axId val="889667968"/>
      </c:areaChart>
      <c:lineChart>
        <c:grouping val="standard"/>
        <c:varyColors val="0"/>
        <c:ser>
          <c:idx val="2"/>
          <c:order val="2"/>
          <c:tx>
            <c:v>Base Scenario</c:v>
          </c:tx>
          <c:spPr>
            <a:ln w="25400">
              <a:solidFill>
                <a:schemeClr val="accent1"/>
              </a:solidFill>
              <a:prstDash val="solid"/>
            </a:ln>
          </c:spPr>
          <c:marker>
            <c:symbol val="none"/>
          </c:marker>
          <c:cat>
            <c:strRef>
              <c:f>ChartSupport!$F$127:$W$127</c:f>
              <c:strCache>
                <c:ptCount val="18"/>
                <c:pt idx="0">
                  <c:v>2008</c:v>
                </c:pt>
                <c:pt idx="1">
                  <c:v>2009</c:v>
                </c:pt>
                <c:pt idx="2">
                  <c:v>2010</c:v>
                </c:pt>
                <c:pt idx="3">
                  <c:v>2011</c:v>
                </c:pt>
                <c:pt idx="4">
                  <c:v>2012</c:v>
                </c:pt>
                <c:pt idx="5">
                  <c:v>2013</c:v>
                </c:pt>
                <c:pt idx="6">
                  <c:v>2014</c:v>
                </c:pt>
                <c:pt idx="7">
                  <c:v>2015</c:v>
                </c:pt>
                <c:pt idx="8">
                  <c:v>2016</c:v>
                </c:pt>
                <c:pt idx="9">
                  <c:v>2017</c:v>
                </c:pt>
                <c:pt idx="10">
                  <c:v>2018E</c:v>
                </c:pt>
                <c:pt idx="11">
                  <c:v>2019E</c:v>
                </c:pt>
                <c:pt idx="12">
                  <c:v>2020E</c:v>
                </c:pt>
                <c:pt idx="13">
                  <c:v>2021E</c:v>
                </c:pt>
                <c:pt idx="14">
                  <c:v>2022E</c:v>
                </c:pt>
                <c:pt idx="15">
                  <c:v>2023E</c:v>
                </c:pt>
                <c:pt idx="16">
                  <c:v>2024E</c:v>
                </c:pt>
                <c:pt idx="17">
                  <c:v>2025E</c:v>
                </c:pt>
              </c:strCache>
            </c:strRef>
          </c:cat>
          <c:val>
            <c:numRef>
              <c:f>ChartSupport!$F$129:$W$129</c:f>
              <c:numCache>
                <c:formatCode>#,##0.0</c:formatCode>
                <c:ptCount val="18"/>
                <c:pt idx="0">
                  <c:v>66.87115670740728</c:v>
                </c:pt>
                <c:pt idx="1">
                  <c:v>8.7788131787695498</c:v>
                </c:pt>
                <c:pt idx="2">
                  <c:v>6.0935425418990281</c:v>
                </c:pt>
                <c:pt idx="3">
                  <c:v>5.6471009178201266</c:v>
                </c:pt>
                <c:pt idx="4">
                  <c:v>5.6893351583753109</c:v>
                </c:pt>
                <c:pt idx="5">
                  <c:v>6.6709139867435887</c:v>
                </c:pt>
                <c:pt idx="6">
                  <c:v>6.450373600744407</c:v>
                </c:pt>
                <c:pt idx="7">
                  <c:v>5.8924260966762843</c:v>
                </c:pt>
                <c:pt idx="8">
                  <c:v>6.5118667857784436</c:v>
                </c:pt>
                <c:pt idx="9">
                  <c:v>3.9811628027731976</c:v>
                </c:pt>
                <c:pt idx="10">
                  <c:v>3.2909698344906406</c:v>
                </c:pt>
                <c:pt idx="11">
                  <c:v>3.3485212876457258</c:v>
                </c:pt>
                <c:pt idx="12">
                  <c:v>3.0521766756792483</c:v>
                </c:pt>
                <c:pt idx="13">
                  <c:v>2.5932294959680386</c:v>
                </c:pt>
                <c:pt idx="14">
                  <c:v>2.4250834509875725</c:v>
                </c:pt>
                <c:pt idx="15">
                  <c:v>2.6769814322831542</c:v>
                </c:pt>
                <c:pt idx="16">
                  <c:v>2.8519386661698798</c:v>
                </c:pt>
                <c:pt idx="17">
                  <c:v>2.2463362951004995</c:v>
                </c:pt>
              </c:numCache>
            </c:numRef>
          </c:val>
          <c:smooth val="0"/>
        </c:ser>
        <c:dLbls>
          <c:showLegendKey val="0"/>
          <c:showVal val="0"/>
          <c:showCatName val="0"/>
          <c:showSerName val="0"/>
          <c:showPercent val="0"/>
          <c:showBubbleSize val="0"/>
        </c:dLbls>
        <c:marker val="1"/>
        <c:smooth val="0"/>
        <c:axId val="889653888"/>
        <c:axId val="889667968"/>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ChartSupport!$F$127:$W$127</c:f>
              <c:strCache>
                <c:ptCount val="18"/>
                <c:pt idx="0">
                  <c:v>2008</c:v>
                </c:pt>
                <c:pt idx="1">
                  <c:v>2009</c:v>
                </c:pt>
                <c:pt idx="2">
                  <c:v>2010</c:v>
                </c:pt>
                <c:pt idx="3">
                  <c:v>2011</c:v>
                </c:pt>
                <c:pt idx="4">
                  <c:v>2012</c:v>
                </c:pt>
                <c:pt idx="5">
                  <c:v>2013</c:v>
                </c:pt>
                <c:pt idx="6">
                  <c:v>2014</c:v>
                </c:pt>
                <c:pt idx="7">
                  <c:v>2015</c:v>
                </c:pt>
                <c:pt idx="8">
                  <c:v>2016</c:v>
                </c:pt>
                <c:pt idx="9">
                  <c:v>2017</c:v>
                </c:pt>
                <c:pt idx="10">
                  <c:v>2018E</c:v>
                </c:pt>
                <c:pt idx="11">
                  <c:v>2019E</c:v>
                </c:pt>
                <c:pt idx="12">
                  <c:v>2020E</c:v>
                </c:pt>
                <c:pt idx="13">
                  <c:v>2021E</c:v>
                </c:pt>
                <c:pt idx="14">
                  <c:v>2022E</c:v>
                </c:pt>
                <c:pt idx="15">
                  <c:v>2023E</c:v>
                </c:pt>
                <c:pt idx="16">
                  <c:v>2024E</c:v>
                </c:pt>
                <c:pt idx="17">
                  <c:v>2025E</c:v>
                </c:pt>
              </c:strCache>
            </c:strRef>
          </c:cat>
          <c:val>
            <c:numRef>
              <c:f>ChartSupport!$F$179:$W$179</c:f>
              <c:numCache>
                <c:formatCode>0</c:formatCode>
                <c:ptCount val="18"/>
                <c:pt idx="0">
                  <c:v>12.4</c:v>
                </c:pt>
                <c:pt idx="1">
                  <c:v>18.787500000000001</c:v>
                </c:pt>
                <c:pt idx="2">
                  <c:v>23.440833333333334</c:v>
                </c:pt>
                <c:pt idx="3">
                  <c:v>25.258333333333336</c:v>
                </c:pt>
                <c:pt idx="4">
                  <c:v>20.410833333333333</c:v>
                </c:pt>
                <c:pt idx="5">
                  <c:v>17.066666666666666</c:v>
                </c:pt>
                <c:pt idx="6">
                  <c:v>15.978333333333333</c:v>
                </c:pt>
                <c:pt idx="7">
                  <c:v>13.149166666666668</c:v>
                </c:pt>
                <c:pt idx="8">
                  <c:v>19.252499999999998</c:v>
                </c:pt>
                <c:pt idx="9">
                  <c:v>17.805000000000003</c:v>
                </c:pt>
                <c:pt idx="10">
                  <c:v>16.244658605325153</c:v>
                </c:pt>
                <c:pt idx="11">
                  <c:v>16.31531880717511</c:v>
                </c:pt>
                <c:pt idx="12">
                  <c:v>16.498655235130911</c:v>
                </c:pt>
                <c:pt idx="13">
                  <c:v>19.747444770453257</c:v>
                </c:pt>
                <c:pt idx="14">
                  <c:v>20.93514679550681</c:v>
                </c:pt>
                <c:pt idx="15">
                  <c:v>17.432162450241776</c:v>
                </c:pt>
                <c:pt idx="16">
                  <c:v>15.017906650666538</c:v>
                </c:pt>
                <c:pt idx="17">
                  <c:v>17.055276269110166</c:v>
                </c:pt>
              </c:numCache>
            </c:numRef>
          </c:val>
          <c:smooth val="0"/>
        </c:ser>
        <c:dLbls>
          <c:showLegendKey val="0"/>
          <c:showVal val="0"/>
          <c:showCatName val="0"/>
          <c:showSerName val="0"/>
          <c:showPercent val="0"/>
          <c:showBubbleSize val="0"/>
        </c:dLbls>
        <c:marker val="1"/>
        <c:smooth val="0"/>
        <c:axId val="889669888"/>
        <c:axId val="889671680"/>
      </c:lineChart>
      <c:catAx>
        <c:axId val="889653888"/>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89667968"/>
        <c:crosses val="autoZero"/>
        <c:auto val="1"/>
        <c:lblAlgn val="ctr"/>
        <c:lblOffset val="100"/>
        <c:tickLblSkip val="1"/>
        <c:tickMarkSkip val="1"/>
        <c:noMultiLvlLbl val="0"/>
      </c:catAx>
      <c:valAx>
        <c:axId val="889667968"/>
        <c:scaling>
          <c:orientation val="minMax"/>
          <c:max val="20"/>
        </c:scaling>
        <c:delete val="0"/>
        <c:axPos val="l"/>
        <c:title>
          <c:tx>
            <c:rich>
              <a:bodyPr rot="0" vert="horz"/>
              <a:lstStyle/>
              <a:p>
                <a:pPr algn="ctr" rtl="0">
                  <a:defRPr sz="900"/>
                </a:pPr>
                <a:r>
                  <a:rPr lang="en-US" sz="900" b="0" i="0" u="none" strike="noStrike" baseline="0">
                    <a:effectLst/>
                  </a:rPr>
                  <a:t>x times</a:t>
                </a:r>
                <a:endParaRPr lang="en-US" sz="900"/>
              </a:p>
            </c:rich>
          </c:tx>
          <c:layout>
            <c:manualLayout>
              <c:xMode val="edge"/>
              <c:yMode val="edge"/>
              <c:x val="0.11155696229883728"/>
              <c:y val="2.5494126507792463E-2"/>
            </c:manualLayout>
          </c:layout>
          <c:overlay val="0"/>
        </c:title>
        <c:numFmt formatCode="_(* #,##0_);_(* \(#,##0\);_(* &quot;-&quot;??_);_(@_)"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9653888"/>
        <c:crosses val="autoZero"/>
        <c:crossBetween val="between"/>
      </c:valAx>
      <c:catAx>
        <c:axId val="889669888"/>
        <c:scaling>
          <c:orientation val="minMax"/>
        </c:scaling>
        <c:delete val="1"/>
        <c:axPos val="b"/>
        <c:majorTickMark val="out"/>
        <c:minorTickMark val="none"/>
        <c:tickLblPos val="nextTo"/>
        <c:crossAx val="889671680"/>
        <c:crosses val="autoZero"/>
        <c:auto val="1"/>
        <c:lblAlgn val="ctr"/>
        <c:lblOffset val="100"/>
        <c:noMultiLvlLbl val="0"/>
      </c:catAx>
      <c:valAx>
        <c:axId val="889671680"/>
        <c:scaling>
          <c:orientation val="minMax"/>
        </c:scaling>
        <c:delete val="0"/>
        <c:axPos val="r"/>
        <c:title>
          <c:tx>
            <c:rich>
              <a:bodyPr rot="0" vert="horz"/>
              <a:lstStyle/>
              <a:p>
                <a:pPr algn="ctr" rtl="0">
                  <a:defRPr sz="900"/>
                </a:pPr>
                <a:r>
                  <a:rPr lang="en-US" sz="900" b="0" i="0" baseline="0">
                    <a:effectLst/>
                  </a:rPr>
                  <a:t>US$ cents/lb</a:t>
                </a:r>
                <a:endParaRPr lang="en-US" sz="900">
                  <a:effectLst/>
                </a:endParaRPr>
              </a:p>
            </c:rich>
          </c:tx>
          <c:layout>
            <c:manualLayout>
              <c:xMode val="edge"/>
              <c:yMode val="edge"/>
              <c:x val="0.77305550239635468"/>
              <c:y val="2.1799540682414697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9669888"/>
        <c:crosses val="max"/>
        <c:crossBetween val="between"/>
      </c:valAx>
      <c:spPr>
        <a:noFill/>
        <a:ln w="25400">
          <a:noFill/>
        </a:ln>
      </c:spPr>
    </c:plotArea>
    <c:legend>
      <c:legendPos val="r"/>
      <c:legendEntry>
        <c:idx val="1"/>
        <c:delete val="1"/>
      </c:legendEntry>
      <c:layout>
        <c:manualLayout>
          <c:xMode val="edge"/>
          <c:yMode val="edge"/>
          <c:x val="0.22211321489637492"/>
          <c:y val="3.9926663121715403E-2"/>
          <c:w val="0.57638353716423751"/>
          <c:h val="0.1676113360323887"/>
        </c:manualLayout>
      </c:layout>
      <c:overlay val="0"/>
      <c:txPr>
        <a:bodyPr/>
        <a:lstStyle/>
        <a:p>
          <a:pPr>
            <a:defRPr sz="800"/>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400193328760866"/>
          <c:y val="4.2563976377952756E-2"/>
          <c:w val="0.82414909405013037"/>
          <c:h val="0.82012317210599883"/>
        </c:manualLayout>
      </c:layout>
      <c:areaChart>
        <c:grouping val="standard"/>
        <c:varyColors val="0"/>
        <c:ser>
          <c:idx val="3"/>
          <c:order val="0"/>
          <c:tx>
            <c:v>Bull-Bear Scenario</c:v>
          </c:tx>
          <c:spPr>
            <a:solidFill>
              <a:schemeClr val="bg1">
                <a:lumMod val="85000"/>
              </a:schemeClr>
            </a:solidFill>
            <a:ln w="12700">
              <a:noFill/>
              <a:prstDash val="solid"/>
            </a:ln>
          </c:spPr>
          <c:cat>
            <c:strRef>
              <c:f>ChartSupport!$F$132:$W$132</c:f>
              <c:strCache>
                <c:ptCount val="18"/>
                <c:pt idx="0">
                  <c:v>2008</c:v>
                </c:pt>
                <c:pt idx="1">
                  <c:v>2009</c:v>
                </c:pt>
                <c:pt idx="2">
                  <c:v>2010</c:v>
                </c:pt>
                <c:pt idx="3">
                  <c:v>2011</c:v>
                </c:pt>
                <c:pt idx="4">
                  <c:v>2012</c:v>
                </c:pt>
                <c:pt idx="5">
                  <c:v>2013</c:v>
                </c:pt>
                <c:pt idx="6">
                  <c:v>2014</c:v>
                </c:pt>
                <c:pt idx="7">
                  <c:v>2015</c:v>
                </c:pt>
                <c:pt idx="8">
                  <c:v>2016</c:v>
                </c:pt>
                <c:pt idx="9">
                  <c:v>2017</c:v>
                </c:pt>
                <c:pt idx="10">
                  <c:v>2018E</c:v>
                </c:pt>
                <c:pt idx="11">
                  <c:v>2019E</c:v>
                </c:pt>
                <c:pt idx="12">
                  <c:v>2020E</c:v>
                </c:pt>
                <c:pt idx="13">
                  <c:v>2021E</c:v>
                </c:pt>
                <c:pt idx="14">
                  <c:v>2022E</c:v>
                </c:pt>
                <c:pt idx="15">
                  <c:v>2023E</c:v>
                </c:pt>
                <c:pt idx="16">
                  <c:v>2024E</c:v>
                </c:pt>
                <c:pt idx="17">
                  <c:v>2025E</c:v>
                </c:pt>
              </c:strCache>
            </c:strRef>
          </c:cat>
          <c:val>
            <c:numRef>
              <c:f>ChartSupport!$F$133:$W$133</c:f>
              <c:numCache>
                <c:formatCode>#,##0</c:formatCode>
                <c:ptCount val="18"/>
                <c:pt idx="0">
                  <c:v>628.50358939163448</c:v>
                </c:pt>
                <c:pt idx="1">
                  <c:v>133.07778816993252</c:v>
                </c:pt>
                <c:pt idx="2">
                  <c:v>141.56653608728857</c:v>
                </c:pt>
                <c:pt idx="3">
                  <c:v>183.03003343064401</c:v>
                </c:pt>
                <c:pt idx="4">
                  <c:v>234.16569041859208</c:v>
                </c:pt>
                <c:pt idx="5">
                  <c:v>252.43510842841943</c:v>
                </c:pt>
                <c:pt idx="6">
                  <c:v>232.47359880392881</c:v>
                </c:pt>
                <c:pt idx="7">
                  <c:v>266.52190458495249</c:v>
                </c:pt>
                <c:pt idx="8">
                  <c:v>300.6553362336</c:v>
                </c:pt>
                <c:pt idx="9">
                  <c:v>312.96141878840632</c:v>
                </c:pt>
                <c:pt idx="10">
                  <c:v>293.1000444426021</c:v>
                </c:pt>
                <c:pt idx="11">
                  <c:v>285.31851823607104</c:v>
                </c:pt>
                <c:pt idx="12">
                  <c:v>278.97113947376016</c:v>
                </c:pt>
                <c:pt idx="13">
                  <c:v>273.22643789456311</c:v>
                </c:pt>
                <c:pt idx="14">
                  <c:v>271.10656227580591</c:v>
                </c:pt>
                <c:pt idx="15">
                  <c:v>272.94981169425517</c:v>
                </c:pt>
                <c:pt idx="16">
                  <c:v>278.56790049990508</c:v>
                </c:pt>
                <c:pt idx="17">
                  <c:v>283.68520080370939</c:v>
                </c:pt>
              </c:numCache>
            </c:numRef>
          </c:val>
        </c:ser>
        <c:ser>
          <c:idx val="4"/>
          <c:order val="1"/>
          <c:tx>
            <c:v>Bear Scenario</c:v>
          </c:tx>
          <c:spPr>
            <a:solidFill>
              <a:schemeClr val="bg1"/>
            </a:solidFill>
            <a:ln w="12700">
              <a:noFill/>
              <a:prstDash val="solid"/>
            </a:ln>
          </c:spPr>
          <c:cat>
            <c:strRef>
              <c:f>ChartSupport!$F$132:$W$132</c:f>
              <c:strCache>
                <c:ptCount val="18"/>
                <c:pt idx="0">
                  <c:v>2008</c:v>
                </c:pt>
                <c:pt idx="1">
                  <c:v>2009</c:v>
                </c:pt>
                <c:pt idx="2">
                  <c:v>2010</c:v>
                </c:pt>
                <c:pt idx="3">
                  <c:v>2011</c:v>
                </c:pt>
                <c:pt idx="4">
                  <c:v>2012</c:v>
                </c:pt>
                <c:pt idx="5">
                  <c:v>2013</c:v>
                </c:pt>
                <c:pt idx="6">
                  <c:v>2014</c:v>
                </c:pt>
                <c:pt idx="7">
                  <c:v>2015</c:v>
                </c:pt>
                <c:pt idx="8">
                  <c:v>2016</c:v>
                </c:pt>
                <c:pt idx="9">
                  <c:v>2017</c:v>
                </c:pt>
                <c:pt idx="10">
                  <c:v>2018E</c:v>
                </c:pt>
                <c:pt idx="11">
                  <c:v>2019E</c:v>
                </c:pt>
                <c:pt idx="12">
                  <c:v>2020E</c:v>
                </c:pt>
                <c:pt idx="13">
                  <c:v>2021E</c:v>
                </c:pt>
                <c:pt idx="14">
                  <c:v>2022E</c:v>
                </c:pt>
                <c:pt idx="15">
                  <c:v>2023E</c:v>
                </c:pt>
                <c:pt idx="16">
                  <c:v>2024E</c:v>
                </c:pt>
                <c:pt idx="17">
                  <c:v>2025E</c:v>
                </c:pt>
              </c:strCache>
            </c:strRef>
          </c:cat>
          <c:val>
            <c:numRef>
              <c:f>ChartSupport!$F$135:$W$135</c:f>
              <c:numCache>
                <c:formatCode>#,##0</c:formatCode>
                <c:ptCount val="18"/>
                <c:pt idx="0">
                  <c:v>628.50358939163448</c:v>
                </c:pt>
                <c:pt idx="1">
                  <c:v>133.07778816993252</c:v>
                </c:pt>
                <c:pt idx="2">
                  <c:v>141.56653608728857</c:v>
                </c:pt>
                <c:pt idx="3">
                  <c:v>183.03003343064401</c:v>
                </c:pt>
                <c:pt idx="4">
                  <c:v>234.16569041859208</c:v>
                </c:pt>
                <c:pt idx="5">
                  <c:v>252.43510842841943</c:v>
                </c:pt>
                <c:pt idx="6">
                  <c:v>232.47359880392881</c:v>
                </c:pt>
                <c:pt idx="7">
                  <c:v>266.52190458495249</c:v>
                </c:pt>
                <c:pt idx="8">
                  <c:v>300.6553362336</c:v>
                </c:pt>
                <c:pt idx="9">
                  <c:v>358.91268593833138</c:v>
                </c:pt>
                <c:pt idx="10">
                  <c:v>320.88456781690581</c:v>
                </c:pt>
                <c:pt idx="11">
                  <c:v>294.65638740758334</c:v>
                </c:pt>
                <c:pt idx="12">
                  <c:v>277.82706539907338</c:v>
                </c:pt>
                <c:pt idx="13">
                  <c:v>255.01361189452925</c:v>
                </c:pt>
                <c:pt idx="14">
                  <c:v>234.98190804149388</c:v>
                </c:pt>
                <c:pt idx="15">
                  <c:v>227.42801046000415</c:v>
                </c:pt>
                <c:pt idx="16">
                  <c:v>229.41075223737406</c:v>
                </c:pt>
                <c:pt idx="17">
                  <c:v>230.82194941336721</c:v>
                </c:pt>
              </c:numCache>
            </c:numRef>
          </c:val>
        </c:ser>
        <c:dLbls>
          <c:showLegendKey val="0"/>
          <c:showVal val="0"/>
          <c:showCatName val="0"/>
          <c:showSerName val="0"/>
          <c:showPercent val="0"/>
          <c:showBubbleSize val="0"/>
        </c:dLbls>
        <c:axId val="889717120"/>
        <c:axId val="889718656"/>
      </c:areaChart>
      <c:lineChart>
        <c:grouping val="standard"/>
        <c:varyColors val="0"/>
        <c:ser>
          <c:idx val="2"/>
          <c:order val="2"/>
          <c:tx>
            <c:v>Base Scenario</c:v>
          </c:tx>
          <c:spPr>
            <a:ln w="25400">
              <a:solidFill>
                <a:schemeClr val="accent1"/>
              </a:solidFill>
              <a:prstDash val="solid"/>
            </a:ln>
          </c:spPr>
          <c:marker>
            <c:symbol val="none"/>
          </c:marker>
          <c:cat>
            <c:strRef>
              <c:f>ChartSupport!$F$132:$W$132</c:f>
              <c:strCache>
                <c:ptCount val="18"/>
                <c:pt idx="0">
                  <c:v>2008</c:v>
                </c:pt>
                <c:pt idx="1">
                  <c:v>2009</c:v>
                </c:pt>
                <c:pt idx="2">
                  <c:v>2010</c:v>
                </c:pt>
                <c:pt idx="3">
                  <c:v>2011</c:v>
                </c:pt>
                <c:pt idx="4">
                  <c:v>2012</c:v>
                </c:pt>
                <c:pt idx="5">
                  <c:v>2013</c:v>
                </c:pt>
                <c:pt idx="6">
                  <c:v>2014</c:v>
                </c:pt>
                <c:pt idx="7">
                  <c:v>2015</c:v>
                </c:pt>
                <c:pt idx="8">
                  <c:v>2016</c:v>
                </c:pt>
                <c:pt idx="9">
                  <c:v>2017</c:v>
                </c:pt>
                <c:pt idx="10">
                  <c:v>2018E</c:v>
                </c:pt>
                <c:pt idx="11">
                  <c:v>2019E</c:v>
                </c:pt>
                <c:pt idx="12">
                  <c:v>2020E</c:v>
                </c:pt>
                <c:pt idx="13">
                  <c:v>2021E</c:v>
                </c:pt>
                <c:pt idx="14">
                  <c:v>2022E</c:v>
                </c:pt>
                <c:pt idx="15">
                  <c:v>2023E</c:v>
                </c:pt>
                <c:pt idx="16">
                  <c:v>2024E</c:v>
                </c:pt>
                <c:pt idx="17">
                  <c:v>2025E</c:v>
                </c:pt>
              </c:strCache>
            </c:strRef>
          </c:cat>
          <c:val>
            <c:numRef>
              <c:f>ChartSupport!$F$134:$W$134</c:f>
              <c:numCache>
                <c:formatCode>#,##0</c:formatCode>
                <c:ptCount val="18"/>
                <c:pt idx="0">
                  <c:v>628.50358939163448</c:v>
                </c:pt>
                <c:pt idx="1">
                  <c:v>133.07778816993252</c:v>
                </c:pt>
                <c:pt idx="2">
                  <c:v>141.56653608728857</c:v>
                </c:pt>
                <c:pt idx="3">
                  <c:v>183.03003343064401</c:v>
                </c:pt>
                <c:pt idx="4">
                  <c:v>234.16569041859208</c:v>
                </c:pt>
                <c:pt idx="5">
                  <c:v>252.43510842841943</c:v>
                </c:pt>
                <c:pt idx="6">
                  <c:v>232.47359880392881</c:v>
                </c:pt>
                <c:pt idx="7">
                  <c:v>266.52190458495249</c:v>
                </c:pt>
                <c:pt idx="8">
                  <c:v>300.6553362336</c:v>
                </c:pt>
                <c:pt idx="9">
                  <c:v>321.94334175212663</c:v>
                </c:pt>
                <c:pt idx="10">
                  <c:v>293.38421428004693</c:v>
                </c:pt>
                <c:pt idx="11">
                  <c:v>277.35673544152144</c:v>
                </c:pt>
                <c:pt idx="12">
                  <c:v>269.82799260597517</c:v>
                </c:pt>
                <c:pt idx="13">
                  <c:v>257.70367276934741</c:v>
                </c:pt>
                <c:pt idx="14">
                  <c:v>247.36809187387254</c:v>
                </c:pt>
                <c:pt idx="15">
                  <c:v>244.86473157450789</c:v>
                </c:pt>
                <c:pt idx="16">
                  <c:v>247.87694513334853</c:v>
                </c:pt>
                <c:pt idx="17">
                  <c:v>251.30147722739827</c:v>
                </c:pt>
              </c:numCache>
            </c:numRef>
          </c:val>
          <c:smooth val="0"/>
        </c:ser>
        <c:dLbls>
          <c:showLegendKey val="0"/>
          <c:showVal val="0"/>
          <c:showCatName val="0"/>
          <c:showSerName val="0"/>
          <c:showPercent val="0"/>
          <c:showBubbleSize val="0"/>
        </c:dLbls>
        <c:marker val="1"/>
        <c:smooth val="0"/>
        <c:axId val="889717120"/>
        <c:axId val="889718656"/>
      </c:lineChart>
      <c:lineChart>
        <c:grouping val="standard"/>
        <c:varyColors val="0"/>
        <c:ser>
          <c:idx val="0"/>
          <c:order val="3"/>
          <c:tx>
            <c:strRef>
              <c:f>ChartSupport!$A$162</c:f>
              <c:strCache>
                <c:ptCount val="1"/>
                <c:pt idx="0">
                  <c:v>Sugar Prices (R$/ton)</c:v>
                </c:pt>
              </c:strCache>
            </c:strRef>
          </c:tx>
          <c:spPr>
            <a:ln w="15875">
              <a:solidFill>
                <a:srgbClr val="FF0000"/>
              </a:solidFill>
              <a:prstDash val="sysDash"/>
            </a:ln>
          </c:spPr>
          <c:marker>
            <c:symbol val="none"/>
          </c:marker>
          <c:cat>
            <c:strRef>
              <c:f>ChartSupport!$F$132:$W$132</c:f>
              <c:strCache>
                <c:ptCount val="18"/>
                <c:pt idx="0">
                  <c:v>2008</c:v>
                </c:pt>
                <c:pt idx="1">
                  <c:v>2009</c:v>
                </c:pt>
                <c:pt idx="2">
                  <c:v>2010</c:v>
                </c:pt>
                <c:pt idx="3">
                  <c:v>2011</c:v>
                </c:pt>
                <c:pt idx="4">
                  <c:v>2012</c:v>
                </c:pt>
                <c:pt idx="5">
                  <c:v>2013</c:v>
                </c:pt>
                <c:pt idx="6">
                  <c:v>2014</c:v>
                </c:pt>
                <c:pt idx="7">
                  <c:v>2015</c:v>
                </c:pt>
                <c:pt idx="8">
                  <c:v>2016</c:v>
                </c:pt>
                <c:pt idx="9">
                  <c:v>2017</c:v>
                </c:pt>
                <c:pt idx="10">
                  <c:v>2018E</c:v>
                </c:pt>
                <c:pt idx="11">
                  <c:v>2019E</c:v>
                </c:pt>
                <c:pt idx="12">
                  <c:v>2020E</c:v>
                </c:pt>
                <c:pt idx="13">
                  <c:v>2021E</c:v>
                </c:pt>
                <c:pt idx="14">
                  <c:v>2022E</c:v>
                </c:pt>
                <c:pt idx="15">
                  <c:v>2023E</c:v>
                </c:pt>
                <c:pt idx="16">
                  <c:v>2024E</c:v>
                </c:pt>
                <c:pt idx="17">
                  <c:v>2025E</c:v>
                </c:pt>
              </c:strCache>
            </c:strRef>
          </c:cat>
          <c:val>
            <c:numRef>
              <c:f>ChartSupport!$F$164:$W$164</c:f>
              <c:numCache>
                <c:formatCode>#,##0</c:formatCode>
                <c:ptCount val="18"/>
                <c:pt idx="0">
                  <c:v>452.08478127006822</c:v>
                </c:pt>
                <c:pt idx="1">
                  <c:v>548.48455829542741</c:v>
                </c:pt>
                <c:pt idx="2">
                  <c:v>711.1921338707707</c:v>
                </c:pt>
                <c:pt idx="3">
                  <c:v>839.72135852666827</c:v>
                </c:pt>
                <c:pt idx="4">
                  <c:v>928.64219961240303</c:v>
                </c:pt>
                <c:pt idx="5">
                  <c:v>973.49518541282532</c:v>
                </c:pt>
                <c:pt idx="6">
                  <c:v>892.12469733656167</c:v>
                </c:pt>
                <c:pt idx="7">
                  <c:v>925.27992523999671</c:v>
                </c:pt>
                <c:pt idx="8">
                  <c:v>1048.068276436303</c:v>
                </c:pt>
                <c:pt idx="9">
                  <c:v>1251.9068280429321</c:v>
                </c:pt>
                <c:pt idx="10">
                  <c:v>1407.8772144231391</c:v>
                </c:pt>
                <c:pt idx="11">
                  <c:v>1203.2894278945732</c:v>
                </c:pt>
                <c:pt idx="12">
                  <c:v>1245.1088064177579</c:v>
                </c:pt>
                <c:pt idx="13">
                  <c:v>1490.2861498423542</c:v>
                </c:pt>
                <c:pt idx="14">
                  <c:v>1586.8475041008783</c:v>
                </c:pt>
                <c:pt idx="15">
                  <c:v>1327.0967708404357</c:v>
                </c:pt>
                <c:pt idx="16">
                  <c:v>1148.2717115571372</c:v>
                </c:pt>
                <c:pt idx="17">
                  <c:v>1309.6939589258038</c:v>
                </c:pt>
              </c:numCache>
            </c:numRef>
          </c:val>
          <c:smooth val="0"/>
        </c:ser>
        <c:dLbls>
          <c:showLegendKey val="0"/>
          <c:showVal val="0"/>
          <c:showCatName val="0"/>
          <c:showSerName val="0"/>
          <c:showPercent val="0"/>
          <c:showBubbleSize val="0"/>
        </c:dLbls>
        <c:marker val="1"/>
        <c:smooth val="0"/>
        <c:axId val="889720832"/>
        <c:axId val="889722368"/>
      </c:lineChart>
      <c:catAx>
        <c:axId val="889717120"/>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a:pPr>
            <a:endParaRPr lang="en-US"/>
          </a:p>
        </c:txPr>
        <c:crossAx val="889718656"/>
        <c:crosses val="autoZero"/>
        <c:auto val="1"/>
        <c:lblAlgn val="ctr"/>
        <c:lblOffset val="100"/>
        <c:tickLblSkip val="1"/>
        <c:tickMarkSkip val="1"/>
        <c:noMultiLvlLbl val="0"/>
      </c:catAx>
      <c:valAx>
        <c:axId val="889718656"/>
        <c:scaling>
          <c:orientation val="minMax"/>
        </c:scaling>
        <c:delete val="0"/>
        <c:axPos val="l"/>
        <c:title>
          <c:tx>
            <c:rich>
              <a:bodyPr rot="0" vert="horz"/>
              <a:lstStyle/>
              <a:p>
                <a:pPr algn="ctr" rtl="0">
                  <a:defRPr/>
                </a:pPr>
                <a:r>
                  <a:rPr lang="en-US"/>
                  <a:t>R$/ton</a:t>
                </a:r>
              </a:p>
            </c:rich>
          </c:tx>
          <c:layout>
            <c:manualLayout>
              <c:xMode val="edge"/>
              <c:yMode val="edge"/>
              <c:x val="0.13276232758139275"/>
              <c:y val="2.1445376008160922E-2"/>
            </c:manualLayout>
          </c:layout>
          <c:overlay val="0"/>
        </c:title>
        <c:numFmt formatCode="_(* #,##0_);_(* \(#,##0\);_(* &quot;-&quot;??_);_(@_)" sourceLinked="0"/>
        <c:majorTickMark val="out"/>
        <c:minorTickMark val="none"/>
        <c:tickLblPos val="nextTo"/>
        <c:spPr>
          <a:ln w="3175">
            <a:solidFill>
              <a:srgbClr val="808080"/>
            </a:solidFill>
            <a:prstDash val="solid"/>
          </a:ln>
        </c:spPr>
        <c:txPr>
          <a:bodyPr rot="0" vert="horz"/>
          <a:lstStyle/>
          <a:p>
            <a:pPr>
              <a:defRPr/>
            </a:pPr>
            <a:endParaRPr lang="en-US"/>
          </a:p>
        </c:txPr>
        <c:crossAx val="889717120"/>
        <c:crosses val="autoZero"/>
        <c:crossBetween val="between"/>
      </c:valAx>
      <c:catAx>
        <c:axId val="889720832"/>
        <c:scaling>
          <c:orientation val="minMax"/>
        </c:scaling>
        <c:delete val="1"/>
        <c:axPos val="b"/>
        <c:majorTickMark val="out"/>
        <c:minorTickMark val="none"/>
        <c:tickLblPos val="nextTo"/>
        <c:crossAx val="889722368"/>
        <c:crosses val="autoZero"/>
        <c:auto val="1"/>
        <c:lblAlgn val="ctr"/>
        <c:lblOffset val="100"/>
        <c:noMultiLvlLbl val="0"/>
      </c:catAx>
      <c:valAx>
        <c:axId val="889722368"/>
        <c:scaling>
          <c:orientation val="minMax"/>
        </c:scaling>
        <c:delete val="0"/>
        <c:axPos val="r"/>
        <c:title>
          <c:tx>
            <c:rich>
              <a:bodyPr rot="0" vert="horz"/>
              <a:lstStyle/>
              <a:p>
                <a:pPr algn="ctr" rtl="0">
                  <a:defRPr/>
                </a:pPr>
                <a:r>
                  <a:rPr lang="en-US"/>
                  <a:t>R$/ton</a:t>
                </a:r>
              </a:p>
            </c:rich>
          </c:tx>
          <c:layout>
            <c:manualLayout>
              <c:xMode val="edge"/>
              <c:yMode val="edge"/>
              <c:x val="0.76595744680851063"/>
              <c:y val="1.7396793012209508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889720832"/>
        <c:crosses val="max"/>
        <c:crossBetween val="between"/>
      </c:valAx>
      <c:spPr>
        <a:noFill/>
        <a:ln w="25400">
          <a:noFill/>
        </a:ln>
      </c:spPr>
    </c:plotArea>
    <c:legend>
      <c:legendPos val="r"/>
      <c:legendEntry>
        <c:idx val="1"/>
        <c:delete val="1"/>
      </c:legendEntry>
      <c:layout>
        <c:manualLayout>
          <c:xMode val="edge"/>
          <c:yMode val="edge"/>
          <c:x val="0.21860759405074365"/>
          <c:y val="0.687742772323371"/>
          <c:w val="0.55509492525971571"/>
          <c:h val="0.15546558704453442"/>
        </c:manualLayout>
      </c:layout>
      <c:overlay val="0"/>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23298031142334"/>
          <c:y val="4.4025269711948464E-2"/>
          <c:w val="0.83464780862401733"/>
          <c:h val="0.81028938906752412"/>
        </c:manualLayout>
      </c:layout>
      <c:areaChart>
        <c:grouping val="standard"/>
        <c:varyColors val="0"/>
        <c:ser>
          <c:idx val="4"/>
          <c:order val="0"/>
          <c:tx>
            <c:v>Bull-Bear Scenario</c:v>
          </c:tx>
          <c:spPr>
            <a:solidFill>
              <a:schemeClr val="bg1">
                <a:lumMod val="85000"/>
              </a:schemeClr>
            </a:solidFill>
            <a:ln w="12700">
              <a:noFill/>
              <a:prstDash val="solid"/>
            </a:ln>
          </c:spPr>
          <c:cat>
            <c:strRef>
              <c:f>ChartSupport!$F$147:$W$147</c:f>
              <c:strCache>
                <c:ptCount val="18"/>
                <c:pt idx="0">
                  <c:v>2008</c:v>
                </c:pt>
                <c:pt idx="1">
                  <c:v>2009</c:v>
                </c:pt>
                <c:pt idx="2">
                  <c:v>2010</c:v>
                </c:pt>
                <c:pt idx="3">
                  <c:v>2011</c:v>
                </c:pt>
                <c:pt idx="4">
                  <c:v>2012</c:v>
                </c:pt>
                <c:pt idx="5">
                  <c:v>2013</c:v>
                </c:pt>
                <c:pt idx="6">
                  <c:v>2014</c:v>
                </c:pt>
                <c:pt idx="7">
                  <c:v>2015</c:v>
                </c:pt>
                <c:pt idx="8">
                  <c:v>2016</c:v>
                </c:pt>
                <c:pt idx="9">
                  <c:v>2017</c:v>
                </c:pt>
                <c:pt idx="10">
                  <c:v>2018E</c:v>
                </c:pt>
                <c:pt idx="11">
                  <c:v>2019E</c:v>
                </c:pt>
                <c:pt idx="12">
                  <c:v>2020E</c:v>
                </c:pt>
                <c:pt idx="13">
                  <c:v>2021E</c:v>
                </c:pt>
                <c:pt idx="14">
                  <c:v>2022E</c:v>
                </c:pt>
                <c:pt idx="15">
                  <c:v>2023E</c:v>
                </c:pt>
                <c:pt idx="16">
                  <c:v>2024E</c:v>
                </c:pt>
                <c:pt idx="17">
                  <c:v>2025E</c:v>
                </c:pt>
              </c:strCache>
            </c:strRef>
          </c:cat>
          <c:val>
            <c:numRef>
              <c:f>ChartSupport!$F$150:$W$150</c:f>
              <c:numCache>
                <c:formatCode>0%</c:formatCode>
                <c:ptCount val="18"/>
                <c:pt idx="0">
                  <c:v>-5.0124410060523476E-2</c:v>
                </c:pt>
                <c:pt idx="1">
                  <c:v>-0.3513558341438609</c:v>
                </c:pt>
                <c:pt idx="2">
                  <c:v>0.11052347863815346</c:v>
                </c:pt>
                <c:pt idx="3">
                  <c:v>-5.848953319027117E-2</c:v>
                </c:pt>
                <c:pt idx="4">
                  <c:v>-7.6565741831541384E-2</c:v>
                </c:pt>
                <c:pt idx="5">
                  <c:v>-0.10377552768251461</c:v>
                </c:pt>
                <c:pt idx="6">
                  <c:v>-2.9081970415405452E-2</c:v>
                </c:pt>
                <c:pt idx="7">
                  <c:v>-3.5030146147412948E-2</c:v>
                </c:pt>
                <c:pt idx="8">
                  <c:v>5.4159347937359957E-2</c:v>
                </c:pt>
                <c:pt idx="9">
                  <c:v>-5.3719894536635518E-3</c:v>
                </c:pt>
                <c:pt idx="10" formatCode="0.0%">
                  <c:v>7.1802875093175053E-2</c:v>
                </c:pt>
                <c:pt idx="11" formatCode="0.0%">
                  <c:v>9.6042089334543113E-2</c:v>
                </c:pt>
                <c:pt idx="12" formatCode="0.0%">
                  <c:v>0.1121484606799536</c:v>
                </c:pt>
                <c:pt idx="13" formatCode="0.0%">
                  <c:v>0.13344355973690719</c:v>
                </c:pt>
                <c:pt idx="14" formatCode="0.0%">
                  <c:v>0.12836081818745049</c:v>
                </c:pt>
                <c:pt idx="15" formatCode="0.0%">
                  <c:v>0.12138969654508444</c:v>
                </c:pt>
                <c:pt idx="16" formatCode="0.0%">
                  <c:v>9.9732218068504408E-2</c:v>
                </c:pt>
                <c:pt idx="17" formatCode="0.0%">
                  <c:v>0.1136745336410586</c:v>
                </c:pt>
              </c:numCache>
            </c:numRef>
          </c:val>
        </c:ser>
        <c:ser>
          <c:idx val="3"/>
          <c:order val="1"/>
          <c:tx>
            <c:v>Bear Scenario</c:v>
          </c:tx>
          <c:spPr>
            <a:solidFill>
              <a:schemeClr val="bg1"/>
            </a:solidFill>
            <a:ln w="12700">
              <a:noFill/>
              <a:prstDash val="solid"/>
            </a:ln>
          </c:spPr>
          <c:cat>
            <c:strRef>
              <c:f>ChartSupport!$F$147:$W$147</c:f>
              <c:strCache>
                <c:ptCount val="18"/>
                <c:pt idx="0">
                  <c:v>2008</c:v>
                </c:pt>
                <c:pt idx="1">
                  <c:v>2009</c:v>
                </c:pt>
                <c:pt idx="2">
                  <c:v>2010</c:v>
                </c:pt>
                <c:pt idx="3">
                  <c:v>2011</c:v>
                </c:pt>
                <c:pt idx="4">
                  <c:v>2012</c:v>
                </c:pt>
                <c:pt idx="5">
                  <c:v>2013</c:v>
                </c:pt>
                <c:pt idx="6">
                  <c:v>2014</c:v>
                </c:pt>
                <c:pt idx="7">
                  <c:v>2015</c:v>
                </c:pt>
                <c:pt idx="8">
                  <c:v>2016</c:v>
                </c:pt>
                <c:pt idx="9">
                  <c:v>2017</c:v>
                </c:pt>
                <c:pt idx="10">
                  <c:v>2018E</c:v>
                </c:pt>
                <c:pt idx="11">
                  <c:v>2019E</c:v>
                </c:pt>
                <c:pt idx="12">
                  <c:v>2020E</c:v>
                </c:pt>
                <c:pt idx="13">
                  <c:v>2021E</c:v>
                </c:pt>
                <c:pt idx="14">
                  <c:v>2022E</c:v>
                </c:pt>
                <c:pt idx="15">
                  <c:v>2023E</c:v>
                </c:pt>
                <c:pt idx="16">
                  <c:v>2024E</c:v>
                </c:pt>
                <c:pt idx="17">
                  <c:v>2025E</c:v>
                </c:pt>
              </c:strCache>
            </c:strRef>
          </c:cat>
          <c:val>
            <c:numRef>
              <c:f>ChartSupport!$F$148:$W$148</c:f>
              <c:numCache>
                <c:formatCode>0%</c:formatCode>
                <c:ptCount val="18"/>
                <c:pt idx="0">
                  <c:v>-5.0124410060523476E-2</c:v>
                </c:pt>
                <c:pt idx="1">
                  <c:v>-0.3513558341438609</c:v>
                </c:pt>
                <c:pt idx="2">
                  <c:v>0.11052347863815346</c:v>
                </c:pt>
                <c:pt idx="3">
                  <c:v>-5.848953319027117E-2</c:v>
                </c:pt>
                <c:pt idx="4">
                  <c:v>-7.6565741831541384E-2</c:v>
                </c:pt>
                <c:pt idx="5">
                  <c:v>-0.10377552768251461</c:v>
                </c:pt>
                <c:pt idx="6">
                  <c:v>-2.9081970415405452E-2</c:v>
                </c:pt>
                <c:pt idx="7">
                  <c:v>-3.5030146147412948E-2</c:v>
                </c:pt>
                <c:pt idx="8">
                  <c:v>5.4159347937359957E-2</c:v>
                </c:pt>
                <c:pt idx="9">
                  <c:v>-5.3719894536635518E-3</c:v>
                </c:pt>
                <c:pt idx="10" formatCode="0.0%">
                  <c:v>6.4487380620212614E-2</c:v>
                </c:pt>
                <c:pt idx="11" formatCode="0.0%">
                  <c:v>3.8586113075455425E-2</c:v>
                </c:pt>
                <c:pt idx="12" formatCode="0.0%">
                  <c:v>7.3854970870353628E-2</c:v>
                </c:pt>
                <c:pt idx="13" formatCode="0.0%">
                  <c:v>6.8411677947431179E-2</c:v>
                </c:pt>
                <c:pt idx="14" formatCode="0.0%">
                  <c:v>4.7709681676386916E-2</c:v>
                </c:pt>
                <c:pt idx="15" formatCode="0.0%">
                  <c:v>2.0125293096405161E-2</c:v>
                </c:pt>
                <c:pt idx="16" formatCode="0.0%">
                  <c:v>-1.1249812505386834E-2</c:v>
                </c:pt>
                <c:pt idx="17" formatCode="0.0%">
                  <c:v>9.5099599152469877E-3</c:v>
                </c:pt>
              </c:numCache>
            </c:numRef>
          </c:val>
        </c:ser>
        <c:dLbls>
          <c:showLegendKey val="0"/>
          <c:showVal val="0"/>
          <c:showCatName val="0"/>
          <c:showSerName val="0"/>
          <c:showPercent val="0"/>
          <c:showBubbleSize val="0"/>
        </c:dLbls>
        <c:axId val="889772672"/>
        <c:axId val="890315136"/>
      </c:areaChart>
      <c:lineChart>
        <c:grouping val="standard"/>
        <c:varyColors val="0"/>
        <c:ser>
          <c:idx val="2"/>
          <c:order val="2"/>
          <c:tx>
            <c:v>Base Scenario</c:v>
          </c:tx>
          <c:spPr>
            <a:ln w="25400">
              <a:solidFill>
                <a:schemeClr val="accent1"/>
              </a:solidFill>
              <a:prstDash val="solid"/>
            </a:ln>
          </c:spPr>
          <c:marker>
            <c:symbol val="none"/>
          </c:marker>
          <c:cat>
            <c:strRef>
              <c:f>ChartSupport!$F$147:$W$147</c:f>
              <c:strCache>
                <c:ptCount val="18"/>
                <c:pt idx="0">
                  <c:v>2008</c:v>
                </c:pt>
                <c:pt idx="1">
                  <c:v>2009</c:v>
                </c:pt>
                <c:pt idx="2">
                  <c:v>2010</c:v>
                </c:pt>
                <c:pt idx="3">
                  <c:v>2011</c:v>
                </c:pt>
                <c:pt idx="4">
                  <c:v>2012</c:v>
                </c:pt>
                <c:pt idx="5">
                  <c:v>2013</c:v>
                </c:pt>
                <c:pt idx="6">
                  <c:v>2014</c:v>
                </c:pt>
                <c:pt idx="7">
                  <c:v>2015</c:v>
                </c:pt>
                <c:pt idx="8">
                  <c:v>2016</c:v>
                </c:pt>
                <c:pt idx="9">
                  <c:v>2017</c:v>
                </c:pt>
                <c:pt idx="10">
                  <c:v>2018E</c:v>
                </c:pt>
                <c:pt idx="11">
                  <c:v>2019E</c:v>
                </c:pt>
                <c:pt idx="12">
                  <c:v>2020E</c:v>
                </c:pt>
                <c:pt idx="13">
                  <c:v>2021E</c:v>
                </c:pt>
                <c:pt idx="14">
                  <c:v>2022E</c:v>
                </c:pt>
                <c:pt idx="15">
                  <c:v>2023E</c:v>
                </c:pt>
                <c:pt idx="16">
                  <c:v>2024E</c:v>
                </c:pt>
                <c:pt idx="17">
                  <c:v>2025E</c:v>
                </c:pt>
              </c:strCache>
            </c:strRef>
          </c:cat>
          <c:val>
            <c:numRef>
              <c:f>ChartSupport!$F$149:$W$149</c:f>
              <c:numCache>
                <c:formatCode>0%</c:formatCode>
                <c:ptCount val="18"/>
                <c:pt idx="0">
                  <c:v>-5.0124410060523476E-2</c:v>
                </c:pt>
                <c:pt idx="1">
                  <c:v>-0.3513558341438609</c:v>
                </c:pt>
                <c:pt idx="2">
                  <c:v>0.11052347863815346</c:v>
                </c:pt>
                <c:pt idx="3">
                  <c:v>-5.848953319027117E-2</c:v>
                </c:pt>
                <c:pt idx="4">
                  <c:v>-7.6565741831541384E-2</c:v>
                </c:pt>
                <c:pt idx="5">
                  <c:v>-0.10377552768251461</c:v>
                </c:pt>
                <c:pt idx="6">
                  <c:v>-2.9081970415405452E-2</c:v>
                </c:pt>
                <c:pt idx="7">
                  <c:v>-3.5030146147412948E-2</c:v>
                </c:pt>
                <c:pt idx="8">
                  <c:v>5.4159347937359957E-2</c:v>
                </c:pt>
                <c:pt idx="9">
                  <c:v>-5.3719894536635518E-3</c:v>
                </c:pt>
                <c:pt idx="10" formatCode="0.0%">
                  <c:v>7.9625682315585686E-2</c:v>
                </c:pt>
                <c:pt idx="11" formatCode="0.0%">
                  <c:v>9.1233173022466557E-2</c:v>
                </c:pt>
                <c:pt idx="12" formatCode="0.0%">
                  <c:v>9.0782607101645554E-2</c:v>
                </c:pt>
                <c:pt idx="13" formatCode="0.0%">
                  <c:v>0.11865551878056044</c:v>
                </c:pt>
                <c:pt idx="14" formatCode="0.0%">
                  <c:v>0.1333974952023535</c:v>
                </c:pt>
                <c:pt idx="15" formatCode="0.0%">
                  <c:v>0.10854425338092265</c:v>
                </c:pt>
                <c:pt idx="16" formatCode="0.0%">
                  <c:v>5.7405146744420529E-2</c:v>
                </c:pt>
                <c:pt idx="17" formatCode="0.0%">
                  <c:v>8.4622588581220778E-2</c:v>
                </c:pt>
              </c:numCache>
            </c:numRef>
          </c:val>
          <c:smooth val="0"/>
        </c:ser>
        <c:ser>
          <c:idx val="1"/>
          <c:order val="4"/>
          <c:tx>
            <c:v>zeroline</c:v>
          </c:tx>
          <c:spPr>
            <a:ln w="3175">
              <a:solidFill>
                <a:schemeClr val="bg1">
                  <a:lumMod val="50000"/>
                </a:schemeClr>
              </a:solidFill>
            </a:ln>
          </c:spPr>
          <c:marker>
            <c:symbol val="none"/>
          </c:marker>
          <c:val>
            <c:numRef>
              <c:f>ChartSupport!$F$421:$W$421</c:f>
              <c:numCache>
                <c:formatCode>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showLegendKey val="0"/>
          <c:showVal val="0"/>
          <c:showCatName val="0"/>
          <c:showSerName val="0"/>
          <c:showPercent val="0"/>
          <c:showBubbleSize val="0"/>
        </c:dLbls>
        <c:marker val="1"/>
        <c:smooth val="0"/>
        <c:axId val="889772672"/>
        <c:axId val="890315136"/>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ChartSupport!$F$147:$W$147</c:f>
              <c:strCache>
                <c:ptCount val="18"/>
                <c:pt idx="0">
                  <c:v>2008</c:v>
                </c:pt>
                <c:pt idx="1">
                  <c:v>2009</c:v>
                </c:pt>
                <c:pt idx="2">
                  <c:v>2010</c:v>
                </c:pt>
                <c:pt idx="3">
                  <c:v>2011</c:v>
                </c:pt>
                <c:pt idx="4">
                  <c:v>2012</c:v>
                </c:pt>
                <c:pt idx="5">
                  <c:v>2013</c:v>
                </c:pt>
                <c:pt idx="6">
                  <c:v>2014</c:v>
                </c:pt>
                <c:pt idx="7">
                  <c:v>2015</c:v>
                </c:pt>
                <c:pt idx="8">
                  <c:v>2016</c:v>
                </c:pt>
                <c:pt idx="9">
                  <c:v>2017</c:v>
                </c:pt>
                <c:pt idx="10">
                  <c:v>2018E</c:v>
                </c:pt>
                <c:pt idx="11">
                  <c:v>2019E</c:v>
                </c:pt>
                <c:pt idx="12">
                  <c:v>2020E</c:v>
                </c:pt>
                <c:pt idx="13">
                  <c:v>2021E</c:v>
                </c:pt>
                <c:pt idx="14">
                  <c:v>2022E</c:v>
                </c:pt>
                <c:pt idx="15">
                  <c:v>2023E</c:v>
                </c:pt>
                <c:pt idx="16">
                  <c:v>2024E</c:v>
                </c:pt>
                <c:pt idx="17">
                  <c:v>2025E</c:v>
                </c:pt>
              </c:strCache>
            </c:strRef>
          </c:cat>
          <c:val>
            <c:numRef>
              <c:f>ChartSupport!$F$179:$W$179</c:f>
              <c:numCache>
                <c:formatCode>0</c:formatCode>
                <c:ptCount val="18"/>
                <c:pt idx="0">
                  <c:v>12.4</c:v>
                </c:pt>
                <c:pt idx="1">
                  <c:v>18.787500000000001</c:v>
                </c:pt>
                <c:pt idx="2">
                  <c:v>23.440833333333334</c:v>
                </c:pt>
                <c:pt idx="3">
                  <c:v>25.258333333333336</c:v>
                </c:pt>
                <c:pt idx="4">
                  <c:v>20.410833333333333</c:v>
                </c:pt>
                <c:pt idx="5">
                  <c:v>17.066666666666666</c:v>
                </c:pt>
                <c:pt idx="6">
                  <c:v>15.978333333333333</c:v>
                </c:pt>
                <c:pt idx="7">
                  <c:v>13.149166666666668</c:v>
                </c:pt>
                <c:pt idx="8">
                  <c:v>19.252499999999998</c:v>
                </c:pt>
                <c:pt idx="9">
                  <c:v>17.805000000000003</c:v>
                </c:pt>
                <c:pt idx="10">
                  <c:v>16.244658605325153</c:v>
                </c:pt>
                <c:pt idx="11">
                  <c:v>16.31531880717511</c:v>
                </c:pt>
                <c:pt idx="12">
                  <c:v>16.498655235130911</c:v>
                </c:pt>
                <c:pt idx="13">
                  <c:v>19.747444770453257</c:v>
                </c:pt>
                <c:pt idx="14">
                  <c:v>20.93514679550681</c:v>
                </c:pt>
                <c:pt idx="15">
                  <c:v>17.432162450241776</c:v>
                </c:pt>
                <c:pt idx="16">
                  <c:v>15.017906650666538</c:v>
                </c:pt>
                <c:pt idx="17">
                  <c:v>17.055276269110166</c:v>
                </c:pt>
              </c:numCache>
            </c:numRef>
          </c:val>
          <c:smooth val="0"/>
        </c:ser>
        <c:dLbls>
          <c:showLegendKey val="0"/>
          <c:showVal val="0"/>
          <c:showCatName val="0"/>
          <c:showSerName val="0"/>
          <c:showPercent val="0"/>
          <c:showBubbleSize val="0"/>
        </c:dLbls>
        <c:marker val="1"/>
        <c:smooth val="0"/>
        <c:axId val="890316672"/>
        <c:axId val="890318208"/>
      </c:lineChart>
      <c:catAx>
        <c:axId val="889772672"/>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a:pPr>
            <a:endParaRPr lang="en-US"/>
          </a:p>
        </c:txPr>
        <c:crossAx val="890315136"/>
        <c:crossesAt val="-0.4"/>
        <c:auto val="1"/>
        <c:lblAlgn val="ctr"/>
        <c:lblOffset val="100"/>
        <c:tickLblSkip val="1"/>
        <c:tickMarkSkip val="1"/>
        <c:noMultiLvlLbl val="0"/>
      </c:catAx>
      <c:valAx>
        <c:axId val="890315136"/>
        <c:scaling>
          <c:orientation val="minMax"/>
          <c:min val="-0.4"/>
        </c:scaling>
        <c:delete val="0"/>
        <c:axPos val="l"/>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89772672"/>
        <c:crosses val="autoZero"/>
        <c:crossBetween val="midCat"/>
      </c:valAx>
      <c:catAx>
        <c:axId val="890316672"/>
        <c:scaling>
          <c:orientation val="minMax"/>
        </c:scaling>
        <c:delete val="1"/>
        <c:axPos val="b"/>
        <c:majorTickMark val="out"/>
        <c:minorTickMark val="none"/>
        <c:tickLblPos val="nextTo"/>
        <c:crossAx val="890318208"/>
        <c:crosses val="autoZero"/>
        <c:auto val="1"/>
        <c:lblAlgn val="ctr"/>
        <c:lblOffset val="100"/>
        <c:noMultiLvlLbl val="0"/>
      </c:catAx>
      <c:valAx>
        <c:axId val="890318208"/>
        <c:scaling>
          <c:orientation val="minMax"/>
          <c:max val="30"/>
          <c:min val="-40"/>
        </c:scaling>
        <c:delete val="0"/>
        <c:axPos val="r"/>
        <c:title>
          <c:tx>
            <c:rich>
              <a:bodyPr rot="0" vert="horz"/>
              <a:lstStyle/>
              <a:p>
                <a:pPr algn="ctr" rtl="0">
                  <a:defRPr/>
                </a:pPr>
                <a:r>
                  <a:rPr lang="en-US"/>
                  <a:t>US$ cents/lb</a:t>
                </a:r>
              </a:p>
            </c:rich>
          </c:tx>
          <c:layout>
            <c:manualLayout>
              <c:xMode val="edge"/>
              <c:yMode val="edge"/>
              <c:x val="0.74752920035938908"/>
              <c:y val="8.4121976866456359E-3"/>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890316672"/>
        <c:crosses val="max"/>
        <c:crossBetween val="between"/>
      </c:valAx>
      <c:spPr>
        <a:noFill/>
        <a:ln w="25400">
          <a:noFill/>
        </a:ln>
      </c:spPr>
    </c:plotArea>
    <c:legend>
      <c:legendPos val="r"/>
      <c:legendEntry>
        <c:idx val="1"/>
        <c:delete val="1"/>
      </c:legendEntry>
      <c:legendEntry>
        <c:idx val="3"/>
        <c:delete val="1"/>
      </c:legendEntry>
      <c:layout>
        <c:manualLayout>
          <c:xMode val="edge"/>
          <c:yMode val="edge"/>
          <c:x val="0.31603319855288359"/>
          <c:y val="0.67286089238845148"/>
          <c:w val="0.60639795701213028"/>
          <c:h val="0.16189193970554844"/>
        </c:manualLayout>
      </c:layout>
      <c:overlay val="0"/>
      <c:spPr>
        <a:no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8740359304152574E-2"/>
          <c:y val="4.5731775396245289E-2"/>
          <c:w val="0.85302055912831964"/>
          <c:h val="0.82012317210599883"/>
        </c:manualLayout>
      </c:layout>
      <c:areaChart>
        <c:grouping val="standard"/>
        <c:varyColors val="0"/>
        <c:ser>
          <c:idx val="3"/>
          <c:order val="0"/>
          <c:tx>
            <c:v>Bull-Bear Scenario</c:v>
          </c:tx>
          <c:spPr>
            <a:solidFill>
              <a:schemeClr val="bg1">
                <a:lumMod val="85000"/>
              </a:schemeClr>
            </a:solidFill>
            <a:ln w="12700">
              <a:noFill/>
              <a:prstDash val="solid"/>
            </a:ln>
          </c:spPr>
          <c:cat>
            <c:strRef>
              <c:f>ChartSupport!$F$142:$W$142</c:f>
              <c:strCache>
                <c:ptCount val="18"/>
                <c:pt idx="0">
                  <c:v>2008</c:v>
                </c:pt>
                <c:pt idx="1">
                  <c:v>2009</c:v>
                </c:pt>
                <c:pt idx="2">
                  <c:v>2010</c:v>
                </c:pt>
                <c:pt idx="3">
                  <c:v>2011</c:v>
                </c:pt>
                <c:pt idx="4">
                  <c:v>2012</c:v>
                </c:pt>
                <c:pt idx="5">
                  <c:v>2013</c:v>
                </c:pt>
                <c:pt idx="6">
                  <c:v>2014</c:v>
                </c:pt>
                <c:pt idx="7">
                  <c:v>2015</c:v>
                </c:pt>
                <c:pt idx="8">
                  <c:v>2016</c:v>
                </c:pt>
                <c:pt idx="9">
                  <c:v>2017</c:v>
                </c:pt>
                <c:pt idx="10">
                  <c:v>2018E</c:v>
                </c:pt>
                <c:pt idx="11">
                  <c:v>2019E</c:v>
                </c:pt>
                <c:pt idx="12">
                  <c:v>2020E</c:v>
                </c:pt>
                <c:pt idx="13">
                  <c:v>2021E</c:v>
                </c:pt>
                <c:pt idx="14">
                  <c:v>2022E</c:v>
                </c:pt>
                <c:pt idx="15">
                  <c:v>2023E</c:v>
                </c:pt>
                <c:pt idx="16">
                  <c:v>2024E</c:v>
                </c:pt>
                <c:pt idx="17">
                  <c:v>2025E</c:v>
                </c:pt>
              </c:strCache>
            </c:strRef>
          </c:cat>
          <c:val>
            <c:numRef>
              <c:f>ChartSupport!$F$143:$W$143</c:f>
              <c:numCache>
                <c:formatCode>#,##0.0</c:formatCode>
                <c:ptCount val="18"/>
                <c:pt idx="0">
                  <c:v>4.9600666264101321</c:v>
                </c:pt>
                <c:pt idx="1">
                  <c:v>0.74586228043278302</c:v>
                </c:pt>
                <c:pt idx="2">
                  <c:v>0.87953262584771807</c:v>
                </c:pt>
                <c:pt idx="3">
                  <c:v>1.3727560501396008</c:v>
                </c:pt>
                <c:pt idx="4">
                  <c:v>1.2241971439916555</c:v>
                </c:pt>
                <c:pt idx="5">
                  <c:v>1.4282465104300308</c:v>
                </c:pt>
                <c:pt idx="6">
                  <c:v>1.5930324978612223</c:v>
                </c:pt>
                <c:pt idx="7">
                  <c:v>1.5983666432856729</c:v>
                </c:pt>
                <c:pt idx="8">
                  <c:v>2.0133092193484692</c:v>
                </c:pt>
                <c:pt idx="9">
                  <c:v>1.6896394079898456</c:v>
                </c:pt>
                <c:pt idx="10">
                  <c:v>1.9398070318912974</c:v>
                </c:pt>
                <c:pt idx="11">
                  <c:v>1.9152047523759017</c:v>
                </c:pt>
                <c:pt idx="12">
                  <c:v>1.8450644015792852</c:v>
                </c:pt>
                <c:pt idx="13">
                  <c:v>1.766076722689939</c:v>
                </c:pt>
                <c:pt idx="14">
                  <c:v>1.7076620281320336</c:v>
                </c:pt>
                <c:pt idx="15">
                  <c:v>1.7076620281320336</c:v>
                </c:pt>
                <c:pt idx="16">
                  <c:v>1.7076620281320336</c:v>
                </c:pt>
                <c:pt idx="17">
                  <c:v>1.7076620281320336</c:v>
                </c:pt>
              </c:numCache>
            </c:numRef>
          </c:val>
        </c:ser>
        <c:ser>
          <c:idx val="4"/>
          <c:order val="1"/>
          <c:tx>
            <c:v>Bear Scenario</c:v>
          </c:tx>
          <c:spPr>
            <a:solidFill>
              <a:schemeClr val="bg1"/>
            </a:solidFill>
            <a:ln w="12700">
              <a:noFill/>
              <a:prstDash val="solid"/>
            </a:ln>
          </c:spPr>
          <c:cat>
            <c:strRef>
              <c:f>ChartSupport!$F$142:$W$142</c:f>
              <c:strCache>
                <c:ptCount val="18"/>
                <c:pt idx="0">
                  <c:v>2008</c:v>
                </c:pt>
                <c:pt idx="1">
                  <c:v>2009</c:v>
                </c:pt>
                <c:pt idx="2">
                  <c:v>2010</c:v>
                </c:pt>
                <c:pt idx="3">
                  <c:v>2011</c:v>
                </c:pt>
                <c:pt idx="4">
                  <c:v>2012</c:v>
                </c:pt>
                <c:pt idx="5">
                  <c:v>2013</c:v>
                </c:pt>
                <c:pt idx="6">
                  <c:v>2014</c:v>
                </c:pt>
                <c:pt idx="7">
                  <c:v>2015</c:v>
                </c:pt>
                <c:pt idx="8">
                  <c:v>2016</c:v>
                </c:pt>
                <c:pt idx="9">
                  <c:v>2017</c:v>
                </c:pt>
                <c:pt idx="10">
                  <c:v>2018E</c:v>
                </c:pt>
                <c:pt idx="11">
                  <c:v>2019E</c:v>
                </c:pt>
                <c:pt idx="12">
                  <c:v>2020E</c:v>
                </c:pt>
                <c:pt idx="13">
                  <c:v>2021E</c:v>
                </c:pt>
                <c:pt idx="14">
                  <c:v>2022E</c:v>
                </c:pt>
                <c:pt idx="15">
                  <c:v>2023E</c:v>
                </c:pt>
                <c:pt idx="16">
                  <c:v>2024E</c:v>
                </c:pt>
                <c:pt idx="17">
                  <c:v>2025E</c:v>
                </c:pt>
              </c:strCache>
            </c:strRef>
          </c:cat>
          <c:val>
            <c:numRef>
              <c:f>ChartSupport!$F$145:$W$145</c:f>
              <c:numCache>
                <c:formatCode>#,##0.0</c:formatCode>
                <c:ptCount val="18"/>
                <c:pt idx="0">
                  <c:v>4.9600666264101321</c:v>
                </c:pt>
                <c:pt idx="1">
                  <c:v>0.74586228043278302</c:v>
                </c:pt>
                <c:pt idx="2">
                  <c:v>0.87953262584771807</c:v>
                </c:pt>
                <c:pt idx="3">
                  <c:v>1.3727560501396008</c:v>
                </c:pt>
                <c:pt idx="4">
                  <c:v>1.2241971439916555</c:v>
                </c:pt>
                <c:pt idx="5">
                  <c:v>1.4282465104300308</c:v>
                </c:pt>
                <c:pt idx="6">
                  <c:v>1.5930324978612223</c:v>
                </c:pt>
                <c:pt idx="7">
                  <c:v>1.5983666432856729</c:v>
                </c:pt>
                <c:pt idx="8">
                  <c:v>2.0133092193484692</c:v>
                </c:pt>
                <c:pt idx="9">
                  <c:v>1.6896394079898456</c:v>
                </c:pt>
                <c:pt idx="10">
                  <c:v>1.8566092145686051</c:v>
                </c:pt>
                <c:pt idx="11">
                  <c:v>1.6972285637281217</c:v>
                </c:pt>
                <c:pt idx="12">
                  <c:v>1.5638615919440881</c:v>
                </c:pt>
                <c:pt idx="13">
                  <c:v>1.4377377852706719</c:v>
                </c:pt>
                <c:pt idx="14">
                  <c:v>1.336913744728391</c:v>
                </c:pt>
                <c:pt idx="15">
                  <c:v>1.336913744728391</c:v>
                </c:pt>
                <c:pt idx="16">
                  <c:v>1.336913744728391</c:v>
                </c:pt>
                <c:pt idx="17">
                  <c:v>1.336913744728391</c:v>
                </c:pt>
              </c:numCache>
            </c:numRef>
          </c:val>
        </c:ser>
        <c:dLbls>
          <c:showLegendKey val="0"/>
          <c:showVal val="0"/>
          <c:showCatName val="0"/>
          <c:showSerName val="0"/>
          <c:showPercent val="0"/>
          <c:showBubbleSize val="0"/>
        </c:dLbls>
        <c:axId val="890360192"/>
        <c:axId val="890361728"/>
      </c:areaChart>
      <c:lineChart>
        <c:grouping val="standard"/>
        <c:varyColors val="0"/>
        <c:ser>
          <c:idx val="2"/>
          <c:order val="2"/>
          <c:tx>
            <c:v>Base Scenario</c:v>
          </c:tx>
          <c:spPr>
            <a:ln w="25400">
              <a:solidFill>
                <a:schemeClr val="accent1"/>
              </a:solidFill>
              <a:prstDash val="solid"/>
            </a:ln>
          </c:spPr>
          <c:marker>
            <c:symbol val="none"/>
          </c:marker>
          <c:cat>
            <c:strRef>
              <c:f>ChartSupport!$F$142:$W$142</c:f>
              <c:strCache>
                <c:ptCount val="18"/>
                <c:pt idx="0">
                  <c:v>2008</c:v>
                </c:pt>
                <c:pt idx="1">
                  <c:v>2009</c:v>
                </c:pt>
                <c:pt idx="2">
                  <c:v>2010</c:v>
                </c:pt>
                <c:pt idx="3">
                  <c:v>2011</c:v>
                </c:pt>
                <c:pt idx="4">
                  <c:v>2012</c:v>
                </c:pt>
                <c:pt idx="5">
                  <c:v>2013</c:v>
                </c:pt>
                <c:pt idx="6">
                  <c:v>2014</c:v>
                </c:pt>
                <c:pt idx="7">
                  <c:v>2015</c:v>
                </c:pt>
                <c:pt idx="8">
                  <c:v>2016</c:v>
                </c:pt>
                <c:pt idx="9">
                  <c:v>2017</c:v>
                </c:pt>
                <c:pt idx="10">
                  <c:v>2018E</c:v>
                </c:pt>
                <c:pt idx="11">
                  <c:v>2019E</c:v>
                </c:pt>
                <c:pt idx="12">
                  <c:v>2020E</c:v>
                </c:pt>
                <c:pt idx="13">
                  <c:v>2021E</c:v>
                </c:pt>
                <c:pt idx="14">
                  <c:v>2022E</c:v>
                </c:pt>
                <c:pt idx="15">
                  <c:v>2023E</c:v>
                </c:pt>
                <c:pt idx="16">
                  <c:v>2024E</c:v>
                </c:pt>
                <c:pt idx="17">
                  <c:v>2025E</c:v>
                </c:pt>
              </c:strCache>
            </c:strRef>
          </c:cat>
          <c:val>
            <c:numRef>
              <c:f>ChartSupport!$F$144:$W$144</c:f>
              <c:numCache>
                <c:formatCode>#,##0.0</c:formatCode>
                <c:ptCount val="18"/>
                <c:pt idx="0">
                  <c:v>4.9600666264101321</c:v>
                </c:pt>
                <c:pt idx="1">
                  <c:v>0.74586228043278302</c:v>
                </c:pt>
                <c:pt idx="2">
                  <c:v>0.87953262584771807</c:v>
                </c:pt>
                <c:pt idx="3">
                  <c:v>1.3727560501396008</c:v>
                </c:pt>
                <c:pt idx="4">
                  <c:v>1.2241971439916555</c:v>
                </c:pt>
                <c:pt idx="5">
                  <c:v>1.4282465104300308</c:v>
                </c:pt>
                <c:pt idx="6">
                  <c:v>1.5930324978612223</c:v>
                </c:pt>
                <c:pt idx="7">
                  <c:v>1.5983666432856729</c:v>
                </c:pt>
                <c:pt idx="8">
                  <c:v>2.0133092193484692</c:v>
                </c:pt>
                <c:pt idx="9">
                  <c:v>1.6896394079898456</c:v>
                </c:pt>
                <c:pt idx="10">
                  <c:v>1.9038558625009177</c:v>
                </c:pt>
                <c:pt idx="11">
                  <c:v>1.8085354868006116</c:v>
                </c:pt>
                <c:pt idx="12">
                  <c:v>1.7142813016548972</c:v>
                </c:pt>
                <c:pt idx="13">
                  <c:v>1.6137570635533502</c:v>
                </c:pt>
                <c:pt idx="14">
                  <c:v>1.5192223891044287</c:v>
                </c:pt>
                <c:pt idx="15">
                  <c:v>1.5192223891044287</c:v>
                </c:pt>
                <c:pt idx="16">
                  <c:v>1.519222389104429</c:v>
                </c:pt>
                <c:pt idx="17">
                  <c:v>1.519222389104429</c:v>
                </c:pt>
              </c:numCache>
            </c:numRef>
          </c:val>
          <c:smooth val="0"/>
        </c:ser>
        <c:dLbls>
          <c:showLegendKey val="0"/>
          <c:showVal val="0"/>
          <c:showCatName val="0"/>
          <c:showSerName val="0"/>
          <c:showPercent val="0"/>
          <c:showBubbleSize val="0"/>
        </c:dLbls>
        <c:marker val="1"/>
        <c:smooth val="0"/>
        <c:axId val="890360192"/>
        <c:axId val="890361728"/>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ChartSupport!$F$142:$W$142</c:f>
              <c:strCache>
                <c:ptCount val="18"/>
                <c:pt idx="0">
                  <c:v>2008</c:v>
                </c:pt>
                <c:pt idx="1">
                  <c:v>2009</c:v>
                </c:pt>
                <c:pt idx="2">
                  <c:v>2010</c:v>
                </c:pt>
                <c:pt idx="3">
                  <c:v>2011</c:v>
                </c:pt>
                <c:pt idx="4">
                  <c:v>2012</c:v>
                </c:pt>
                <c:pt idx="5">
                  <c:v>2013</c:v>
                </c:pt>
                <c:pt idx="6">
                  <c:v>2014</c:v>
                </c:pt>
                <c:pt idx="7">
                  <c:v>2015</c:v>
                </c:pt>
                <c:pt idx="8">
                  <c:v>2016</c:v>
                </c:pt>
                <c:pt idx="9">
                  <c:v>2017</c:v>
                </c:pt>
                <c:pt idx="10">
                  <c:v>2018E</c:v>
                </c:pt>
                <c:pt idx="11">
                  <c:v>2019E</c:v>
                </c:pt>
                <c:pt idx="12">
                  <c:v>2020E</c:v>
                </c:pt>
                <c:pt idx="13">
                  <c:v>2021E</c:v>
                </c:pt>
                <c:pt idx="14">
                  <c:v>2022E</c:v>
                </c:pt>
                <c:pt idx="15">
                  <c:v>2023E</c:v>
                </c:pt>
                <c:pt idx="16">
                  <c:v>2024E</c:v>
                </c:pt>
                <c:pt idx="17">
                  <c:v>2025E</c:v>
                </c:pt>
              </c:strCache>
            </c:strRef>
          </c:cat>
          <c:val>
            <c:numRef>
              <c:f>ChartSupport!$F$179:$W$179</c:f>
              <c:numCache>
                <c:formatCode>0</c:formatCode>
                <c:ptCount val="18"/>
                <c:pt idx="0">
                  <c:v>12.4</c:v>
                </c:pt>
                <c:pt idx="1">
                  <c:v>18.787500000000001</c:v>
                </c:pt>
                <c:pt idx="2">
                  <c:v>23.440833333333334</c:v>
                </c:pt>
                <c:pt idx="3">
                  <c:v>25.258333333333336</c:v>
                </c:pt>
                <c:pt idx="4">
                  <c:v>20.410833333333333</c:v>
                </c:pt>
                <c:pt idx="5">
                  <c:v>17.066666666666666</c:v>
                </c:pt>
                <c:pt idx="6">
                  <c:v>15.978333333333333</c:v>
                </c:pt>
                <c:pt idx="7">
                  <c:v>13.149166666666668</c:v>
                </c:pt>
                <c:pt idx="8">
                  <c:v>19.252499999999998</c:v>
                </c:pt>
                <c:pt idx="9">
                  <c:v>17.805000000000003</c:v>
                </c:pt>
                <c:pt idx="10">
                  <c:v>16.244658605325153</c:v>
                </c:pt>
                <c:pt idx="11">
                  <c:v>16.31531880717511</c:v>
                </c:pt>
                <c:pt idx="12">
                  <c:v>16.498655235130911</c:v>
                </c:pt>
                <c:pt idx="13">
                  <c:v>19.747444770453257</c:v>
                </c:pt>
                <c:pt idx="14">
                  <c:v>20.93514679550681</c:v>
                </c:pt>
                <c:pt idx="15">
                  <c:v>17.432162450241776</c:v>
                </c:pt>
                <c:pt idx="16">
                  <c:v>15.017906650666538</c:v>
                </c:pt>
                <c:pt idx="17">
                  <c:v>17.055276269110166</c:v>
                </c:pt>
              </c:numCache>
            </c:numRef>
          </c:val>
          <c:smooth val="0"/>
        </c:ser>
        <c:dLbls>
          <c:showLegendKey val="0"/>
          <c:showVal val="0"/>
          <c:showCatName val="0"/>
          <c:showSerName val="0"/>
          <c:showPercent val="0"/>
          <c:showBubbleSize val="0"/>
        </c:dLbls>
        <c:marker val="1"/>
        <c:smooth val="0"/>
        <c:axId val="890368000"/>
        <c:axId val="890369536"/>
      </c:lineChart>
      <c:catAx>
        <c:axId val="890360192"/>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90361728"/>
        <c:crosses val="autoZero"/>
        <c:auto val="1"/>
        <c:lblAlgn val="ctr"/>
        <c:lblOffset val="100"/>
        <c:tickLblSkip val="1"/>
        <c:tickMarkSkip val="1"/>
        <c:noMultiLvlLbl val="0"/>
      </c:catAx>
      <c:valAx>
        <c:axId val="890361728"/>
        <c:scaling>
          <c:orientation val="minMax"/>
        </c:scaling>
        <c:delete val="0"/>
        <c:axPos val="l"/>
        <c:title>
          <c:tx>
            <c:rich>
              <a:bodyPr rot="0" vert="horz"/>
              <a:lstStyle/>
              <a:p>
                <a:pPr algn="ctr" rtl="0">
                  <a:defRPr sz="900"/>
                </a:pPr>
                <a:r>
                  <a:rPr lang="en-US" sz="900" b="0" i="0" u="none" strike="noStrike" baseline="0">
                    <a:effectLst/>
                  </a:rPr>
                  <a:t>x times</a:t>
                </a:r>
                <a:endParaRPr lang="en-US" sz="900"/>
              </a:p>
            </c:rich>
          </c:tx>
          <c:layout>
            <c:manualLayout>
              <c:xMode val="edge"/>
              <c:yMode val="edge"/>
              <c:x val="0.10084743396437147"/>
              <c:y val="2.1445376008160922E-2"/>
            </c:manualLayout>
          </c:layout>
          <c:overlay val="0"/>
        </c:title>
        <c:numFmt formatCode="#,##0.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90360192"/>
        <c:crosses val="autoZero"/>
        <c:crossBetween val="midCat"/>
      </c:valAx>
      <c:catAx>
        <c:axId val="890368000"/>
        <c:scaling>
          <c:orientation val="minMax"/>
        </c:scaling>
        <c:delete val="1"/>
        <c:axPos val="b"/>
        <c:majorTickMark val="out"/>
        <c:minorTickMark val="none"/>
        <c:tickLblPos val="nextTo"/>
        <c:crossAx val="890369536"/>
        <c:crosses val="autoZero"/>
        <c:auto val="1"/>
        <c:lblAlgn val="ctr"/>
        <c:lblOffset val="100"/>
        <c:noMultiLvlLbl val="0"/>
      </c:catAx>
      <c:valAx>
        <c:axId val="890369536"/>
        <c:scaling>
          <c:orientation val="minMax"/>
        </c:scaling>
        <c:delete val="0"/>
        <c:axPos val="r"/>
        <c:title>
          <c:tx>
            <c:rich>
              <a:bodyPr rot="0" vert="horz"/>
              <a:lstStyle/>
              <a:p>
                <a:pPr marL="0" marR="0" indent="0" algn="ctr" defTabSz="914400" rtl="0" eaLnBrk="1" fontAlgn="auto" latinLnBrk="0" hangingPunct="1">
                  <a:lnSpc>
                    <a:spcPct val="100000"/>
                  </a:lnSpc>
                  <a:spcBef>
                    <a:spcPts val="0"/>
                  </a:spcBef>
                  <a:spcAft>
                    <a:spcPts val="0"/>
                  </a:spcAft>
                  <a:buClrTx/>
                  <a:buSzTx/>
                  <a:buFontTx/>
                  <a:buNone/>
                  <a:tabLst/>
                  <a:defRPr sz="900" b="0" i="0" u="none" strike="noStrike" kern="1200" baseline="0">
                    <a:solidFill>
                      <a:srgbClr val="808080"/>
                    </a:solidFill>
                    <a:latin typeface="Arial"/>
                    <a:ea typeface="Arial"/>
                    <a:cs typeface="Arial"/>
                  </a:defRPr>
                </a:pPr>
                <a:r>
                  <a:rPr lang="en-US" sz="900" b="0" i="0" baseline="0">
                    <a:effectLst/>
                  </a:rPr>
                  <a:t>US$ cents/lb</a:t>
                </a:r>
                <a:endParaRPr lang="en-US" sz="900">
                  <a:effectLst/>
                </a:endParaRPr>
              </a:p>
            </c:rich>
          </c:tx>
          <c:layout>
            <c:manualLayout>
              <c:xMode val="edge"/>
              <c:yMode val="edge"/>
              <c:x val="0.76241134751773054"/>
              <c:y val="9.2996270203066743E-3"/>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90368000"/>
        <c:crosses val="max"/>
        <c:crossBetween val="between"/>
      </c:valAx>
      <c:spPr>
        <a:noFill/>
        <a:ln w="25400">
          <a:noFill/>
        </a:ln>
      </c:spPr>
    </c:plotArea>
    <c:legend>
      <c:legendPos val="r"/>
      <c:legendEntry>
        <c:idx val="1"/>
        <c:delete val="1"/>
      </c:legendEntry>
      <c:layout>
        <c:manualLayout>
          <c:xMode val="edge"/>
          <c:yMode val="edge"/>
          <c:x val="0.25295034120734911"/>
          <c:y val="0.6980959008696388"/>
          <c:w val="0.63028368794326239"/>
          <c:h val="0.1601986037170455"/>
        </c:manualLayout>
      </c:layout>
      <c:overlay val="0"/>
      <c:txPr>
        <a:bodyPr/>
        <a:lstStyle/>
        <a:p>
          <a:pPr>
            <a:defRPr sz="800"/>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82573301331985"/>
          <c:y val="4.8231511254019289E-2"/>
          <c:w val="0.85039588048484782"/>
          <c:h val="0.81028938906752412"/>
        </c:manualLayout>
      </c:layout>
      <c:areaChart>
        <c:grouping val="standard"/>
        <c:varyColors val="0"/>
        <c:ser>
          <c:idx val="4"/>
          <c:order val="0"/>
          <c:tx>
            <c:v>Bull-Bear Scenario</c:v>
          </c:tx>
          <c:spPr>
            <a:solidFill>
              <a:schemeClr val="bg1">
                <a:lumMod val="85000"/>
              </a:schemeClr>
            </a:solidFill>
            <a:ln w="12700">
              <a:noFill/>
              <a:prstDash val="solid"/>
            </a:ln>
          </c:spPr>
          <c:cat>
            <c:strRef>
              <c:f>ChartSupport!$F$152:$W$152</c:f>
              <c:strCache>
                <c:ptCount val="18"/>
                <c:pt idx="0">
                  <c:v>2008</c:v>
                </c:pt>
                <c:pt idx="1">
                  <c:v>2009</c:v>
                </c:pt>
                <c:pt idx="2">
                  <c:v>2010</c:v>
                </c:pt>
                <c:pt idx="3">
                  <c:v>2011</c:v>
                </c:pt>
                <c:pt idx="4">
                  <c:v>2012</c:v>
                </c:pt>
                <c:pt idx="5">
                  <c:v>2013</c:v>
                </c:pt>
                <c:pt idx="6">
                  <c:v>2014</c:v>
                </c:pt>
                <c:pt idx="7">
                  <c:v>2015</c:v>
                </c:pt>
                <c:pt idx="8">
                  <c:v>2016</c:v>
                </c:pt>
                <c:pt idx="9">
                  <c:v>2017</c:v>
                </c:pt>
                <c:pt idx="10">
                  <c:v>2018E</c:v>
                </c:pt>
                <c:pt idx="11">
                  <c:v>2019E</c:v>
                </c:pt>
                <c:pt idx="12">
                  <c:v>2020E</c:v>
                </c:pt>
                <c:pt idx="13">
                  <c:v>2021E</c:v>
                </c:pt>
                <c:pt idx="14">
                  <c:v>2022E</c:v>
                </c:pt>
                <c:pt idx="15">
                  <c:v>2023E</c:v>
                </c:pt>
                <c:pt idx="16">
                  <c:v>2024E</c:v>
                </c:pt>
                <c:pt idx="17">
                  <c:v>2025E</c:v>
                </c:pt>
              </c:strCache>
            </c:strRef>
          </c:cat>
          <c:val>
            <c:numRef>
              <c:f>ChartSupport!$F$155:$W$155</c:f>
              <c:numCache>
                <c:formatCode>0%</c:formatCode>
                <c:ptCount val="18"/>
                <c:pt idx="0">
                  <c:v>0</c:v>
                </c:pt>
                <c:pt idx="1">
                  <c:v>0</c:v>
                </c:pt>
                <c:pt idx="2">
                  <c:v>5.5262096774193553E-2</c:v>
                </c:pt>
                <c:pt idx="3">
                  <c:v>3.3825757575757572E-2</c:v>
                </c:pt>
                <c:pt idx="4">
                  <c:v>4.3839427012278304E-2</c:v>
                </c:pt>
                <c:pt idx="5">
                  <c:v>3.003393258426966E-2</c:v>
                </c:pt>
                <c:pt idx="6">
                  <c:v>3.6683673469387751E-2</c:v>
                </c:pt>
                <c:pt idx="7">
                  <c:v>1.6289519419735474E-2</c:v>
                </c:pt>
                <c:pt idx="8">
                  <c:v>9.9974043305346618E-3</c:v>
                </c:pt>
                <c:pt idx="9">
                  <c:v>1.2169312169312168E-2</c:v>
                </c:pt>
                <c:pt idx="10" formatCode="0.0%">
                  <c:v>4.1287289774386546E-2</c:v>
                </c:pt>
                <c:pt idx="11" formatCode="0.0%">
                  <c:v>6.6119825546686786E-2</c:v>
                </c:pt>
                <c:pt idx="12" formatCode="0.0%">
                  <c:v>0.11724286695405227</c:v>
                </c:pt>
                <c:pt idx="13" formatCode="0.0%">
                  <c:v>0.13088680159732682</c:v>
                </c:pt>
                <c:pt idx="14" formatCode="0.0%">
                  <c:v>0.12239334616248815</c:v>
                </c:pt>
                <c:pt idx="15" formatCode="0.0%">
                  <c:v>0.16622476119593674</c:v>
                </c:pt>
                <c:pt idx="16" formatCode="0.0%">
                  <c:v>0.178281779085913</c:v>
                </c:pt>
                <c:pt idx="17" formatCode="0.0%">
                  <c:v>0.19688613013092437</c:v>
                </c:pt>
              </c:numCache>
            </c:numRef>
          </c:val>
        </c:ser>
        <c:ser>
          <c:idx val="3"/>
          <c:order val="1"/>
          <c:tx>
            <c:v>Bear Scenario</c:v>
          </c:tx>
          <c:spPr>
            <a:solidFill>
              <a:schemeClr val="bg1"/>
            </a:solidFill>
            <a:ln w="12700">
              <a:noFill/>
              <a:prstDash val="solid"/>
            </a:ln>
          </c:spPr>
          <c:cat>
            <c:strRef>
              <c:f>ChartSupport!$F$152:$W$152</c:f>
              <c:strCache>
                <c:ptCount val="18"/>
                <c:pt idx="0">
                  <c:v>2008</c:v>
                </c:pt>
                <c:pt idx="1">
                  <c:v>2009</c:v>
                </c:pt>
                <c:pt idx="2">
                  <c:v>2010</c:v>
                </c:pt>
                <c:pt idx="3">
                  <c:v>2011</c:v>
                </c:pt>
                <c:pt idx="4">
                  <c:v>2012</c:v>
                </c:pt>
                <c:pt idx="5">
                  <c:v>2013</c:v>
                </c:pt>
                <c:pt idx="6">
                  <c:v>2014</c:v>
                </c:pt>
                <c:pt idx="7">
                  <c:v>2015</c:v>
                </c:pt>
                <c:pt idx="8">
                  <c:v>2016</c:v>
                </c:pt>
                <c:pt idx="9">
                  <c:v>2017</c:v>
                </c:pt>
                <c:pt idx="10">
                  <c:v>2018E</c:v>
                </c:pt>
                <c:pt idx="11">
                  <c:v>2019E</c:v>
                </c:pt>
                <c:pt idx="12">
                  <c:v>2020E</c:v>
                </c:pt>
                <c:pt idx="13">
                  <c:v>2021E</c:v>
                </c:pt>
                <c:pt idx="14">
                  <c:v>2022E</c:v>
                </c:pt>
                <c:pt idx="15">
                  <c:v>2023E</c:v>
                </c:pt>
                <c:pt idx="16">
                  <c:v>2024E</c:v>
                </c:pt>
                <c:pt idx="17">
                  <c:v>2025E</c:v>
                </c:pt>
              </c:strCache>
            </c:strRef>
          </c:cat>
          <c:val>
            <c:numRef>
              <c:f>ChartSupport!$F$153:$W$153</c:f>
              <c:numCache>
                <c:formatCode>0%</c:formatCode>
                <c:ptCount val="18"/>
                <c:pt idx="0">
                  <c:v>0</c:v>
                </c:pt>
                <c:pt idx="1">
                  <c:v>0</c:v>
                </c:pt>
                <c:pt idx="2">
                  <c:v>5.5262096774193553E-2</c:v>
                </c:pt>
                <c:pt idx="3">
                  <c:v>3.3825757575757572E-2</c:v>
                </c:pt>
                <c:pt idx="4">
                  <c:v>4.3839427012278304E-2</c:v>
                </c:pt>
                <c:pt idx="5">
                  <c:v>3.003393258426966E-2</c:v>
                </c:pt>
                <c:pt idx="6">
                  <c:v>3.6683673469387751E-2</c:v>
                </c:pt>
                <c:pt idx="7">
                  <c:v>1.6289519419735474E-2</c:v>
                </c:pt>
                <c:pt idx="8">
                  <c:v>9.9974043305346618E-3</c:v>
                </c:pt>
                <c:pt idx="9">
                  <c:v>1.2169312169312168E-2</c:v>
                </c:pt>
                <c:pt idx="10" formatCode="0.0%">
                  <c:v>2.5819723347271256E-2</c:v>
                </c:pt>
                <c:pt idx="11" formatCode="0.0%">
                  <c:v>2.1495968921727285E-2</c:v>
                </c:pt>
                <c:pt idx="12" formatCode="0.0%">
                  <c:v>4.6314606493319768E-2</c:v>
                </c:pt>
                <c:pt idx="13" formatCode="0.0%">
                  <c:v>5.6560734561828516E-2</c:v>
                </c:pt>
                <c:pt idx="14" formatCode="0.0%">
                  <c:v>4.5194689552412598E-2</c:v>
                </c:pt>
                <c:pt idx="15" formatCode="0.0%">
                  <c:v>4.5788885101705916E-2</c:v>
                </c:pt>
                <c:pt idx="16" formatCode="0.0%">
                  <c:v>4.3688104113930239E-2</c:v>
                </c:pt>
                <c:pt idx="17" formatCode="0.0%">
                  <c:v>5.7138652134752665E-2</c:v>
                </c:pt>
              </c:numCache>
            </c:numRef>
          </c:val>
        </c:ser>
        <c:dLbls>
          <c:showLegendKey val="0"/>
          <c:showVal val="0"/>
          <c:showCatName val="0"/>
          <c:showSerName val="0"/>
          <c:showPercent val="0"/>
          <c:showBubbleSize val="0"/>
        </c:dLbls>
        <c:axId val="890419840"/>
        <c:axId val="890433920"/>
      </c:areaChart>
      <c:lineChart>
        <c:grouping val="standard"/>
        <c:varyColors val="0"/>
        <c:ser>
          <c:idx val="2"/>
          <c:order val="2"/>
          <c:tx>
            <c:v>Base Scenario</c:v>
          </c:tx>
          <c:spPr>
            <a:ln w="25400">
              <a:solidFill>
                <a:schemeClr val="accent1"/>
              </a:solidFill>
              <a:prstDash val="solid"/>
            </a:ln>
          </c:spPr>
          <c:marker>
            <c:symbol val="none"/>
          </c:marker>
          <c:cat>
            <c:strRef>
              <c:f>ChartSupport!$F$152:$W$152</c:f>
              <c:strCache>
                <c:ptCount val="18"/>
                <c:pt idx="0">
                  <c:v>2008</c:v>
                </c:pt>
                <c:pt idx="1">
                  <c:v>2009</c:v>
                </c:pt>
                <c:pt idx="2">
                  <c:v>2010</c:v>
                </c:pt>
                <c:pt idx="3">
                  <c:v>2011</c:v>
                </c:pt>
                <c:pt idx="4">
                  <c:v>2012</c:v>
                </c:pt>
                <c:pt idx="5">
                  <c:v>2013</c:v>
                </c:pt>
                <c:pt idx="6">
                  <c:v>2014</c:v>
                </c:pt>
                <c:pt idx="7">
                  <c:v>2015</c:v>
                </c:pt>
                <c:pt idx="8">
                  <c:v>2016</c:v>
                </c:pt>
                <c:pt idx="9">
                  <c:v>2017</c:v>
                </c:pt>
                <c:pt idx="10">
                  <c:v>2018E</c:v>
                </c:pt>
                <c:pt idx="11">
                  <c:v>2019E</c:v>
                </c:pt>
                <c:pt idx="12">
                  <c:v>2020E</c:v>
                </c:pt>
                <c:pt idx="13">
                  <c:v>2021E</c:v>
                </c:pt>
                <c:pt idx="14">
                  <c:v>2022E</c:v>
                </c:pt>
                <c:pt idx="15">
                  <c:v>2023E</c:v>
                </c:pt>
                <c:pt idx="16">
                  <c:v>2024E</c:v>
                </c:pt>
                <c:pt idx="17">
                  <c:v>2025E</c:v>
                </c:pt>
              </c:strCache>
            </c:strRef>
          </c:cat>
          <c:val>
            <c:numRef>
              <c:f>ChartSupport!$F$154:$W$154</c:f>
              <c:numCache>
                <c:formatCode>0%</c:formatCode>
                <c:ptCount val="18"/>
                <c:pt idx="0">
                  <c:v>0</c:v>
                </c:pt>
                <c:pt idx="1">
                  <c:v>0</c:v>
                </c:pt>
                <c:pt idx="2">
                  <c:v>5.5262096774193553E-2</c:v>
                </c:pt>
                <c:pt idx="3">
                  <c:v>3.3825757575757572E-2</c:v>
                </c:pt>
                <c:pt idx="4">
                  <c:v>4.3839427012278304E-2</c:v>
                </c:pt>
                <c:pt idx="5">
                  <c:v>3.003393258426966E-2</c:v>
                </c:pt>
                <c:pt idx="6">
                  <c:v>3.6683673469387751E-2</c:v>
                </c:pt>
                <c:pt idx="7">
                  <c:v>1.6289519419735474E-2</c:v>
                </c:pt>
                <c:pt idx="8">
                  <c:v>9.9974043305346618E-3</c:v>
                </c:pt>
                <c:pt idx="9">
                  <c:v>1.2169312169312168E-2</c:v>
                </c:pt>
                <c:pt idx="10" formatCode="0.0%">
                  <c:v>3.2337650679813618E-2</c:v>
                </c:pt>
                <c:pt idx="11" formatCode="0.0%">
                  <c:v>4.2838378638513981E-2</c:v>
                </c:pt>
                <c:pt idx="12" formatCode="0.0%">
                  <c:v>7.0936262977255776E-2</c:v>
                </c:pt>
                <c:pt idx="13" formatCode="0.0%">
                  <c:v>8.4786621665985565E-2</c:v>
                </c:pt>
                <c:pt idx="14" formatCode="0.0%">
                  <c:v>8.9972214497598985E-2</c:v>
                </c:pt>
                <c:pt idx="15" formatCode="0.0%">
                  <c:v>0.10627720912509271</c:v>
                </c:pt>
                <c:pt idx="16" formatCode="0.0%">
                  <c:v>8.9248834994389625E-2</c:v>
                </c:pt>
                <c:pt idx="17" formatCode="0.0%">
                  <c:v>0.11665187684735001</c:v>
                </c:pt>
              </c:numCache>
            </c:numRef>
          </c:val>
          <c:smooth val="0"/>
        </c:ser>
        <c:ser>
          <c:idx val="1"/>
          <c:order val="4"/>
          <c:tx>
            <c:strRef>
              <c:f>ChartSupport!$A$147</c:f>
              <c:strCache>
                <c:ptCount val="1"/>
                <c:pt idx="0">
                  <c:v>FCFE yield</c:v>
                </c:pt>
              </c:strCache>
            </c:strRef>
          </c:tx>
          <c:spPr>
            <a:ln w="6350">
              <a:solidFill>
                <a:srgbClr val="00B050"/>
              </a:solidFill>
              <a:prstDash val="dash"/>
            </a:ln>
          </c:spPr>
          <c:marker>
            <c:symbol val="none"/>
          </c:marker>
          <c:cat>
            <c:strRef>
              <c:f>ChartSupport!$F$152:$W$152</c:f>
              <c:strCache>
                <c:ptCount val="18"/>
                <c:pt idx="0">
                  <c:v>2008</c:v>
                </c:pt>
                <c:pt idx="1">
                  <c:v>2009</c:v>
                </c:pt>
                <c:pt idx="2">
                  <c:v>2010</c:v>
                </c:pt>
                <c:pt idx="3">
                  <c:v>2011</c:v>
                </c:pt>
                <c:pt idx="4">
                  <c:v>2012</c:v>
                </c:pt>
                <c:pt idx="5">
                  <c:v>2013</c:v>
                </c:pt>
                <c:pt idx="6">
                  <c:v>2014</c:v>
                </c:pt>
                <c:pt idx="7">
                  <c:v>2015</c:v>
                </c:pt>
                <c:pt idx="8">
                  <c:v>2016</c:v>
                </c:pt>
                <c:pt idx="9">
                  <c:v>2017</c:v>
                </c:pt>
                <c:pt idx="10">
                  <c:v>2018E</c:v>
                </c:pt>
                <c:pt idx="11">
                  <c:v>2019E</c:v>
                </c:pt>
                <c:pt idx="12">
                  <c:v>2020E</c:v>
                </c:pt>
                <c:pt idx="13">
                  <c:v>2021E</c:v>
                </c:pt>
                <c:pt idx="14">
                  <c:v>2022E</c:v>
                </c:pt>
                <c:pt idx="15">
                  <c:v>2023E</c:v>
                </c:pt>
                <c:pt idx="16">
                  <c:v>2024E</c:v>
                </c:pt>
                <c:pt idx="17">
                  <c:v>2025E</c:v>
                </c:pt>
              </c:strCache>
            </c:strRef>
          </c:cat>
          <c:val>
            <c:numRef>
              <c:f>ChartSupport!$F$149:$W$149</c:f>
              <c:numCache>
                <c:formatCode>0%</c:formatCode>
                <c:ptCount val="18"/>
                <c:pt idx="0">
                  <c:v>-5.0124410060523476E-2</c:v>
                </c:pt>
                <c:pt idx="1">
                  <c:v>-0.3513558341438609</c:v>
                </c:pt>
                <c:pt idx="2">
                  <c:v>0.11052347863815346</c:v>
                </c:pt>
                <c:pt idx="3">
                  <c:v>-5.848953319027117E-2</c:v>
                </c:pt>
                <c:pt idx="4">
                  <c:v>-7.6565741831541384E-2</c:v>
                </c:pt>
                <c:pt idx="5">
                  <c:v>-0.10377552768251461</c:v>
                </c:pt>
                <c:pt idx="6">
                  <c:v>-2.9081970415405452E-2</c:v>
                </c:pt>
                <c:pt idx="7">
                  <c:v>-3.5030146147412948E-2</c:v>
                </c:pt>
                <c:pt idx="8">
                  <c:v>5.4159347937359957E-2</c:v>
                </c:pt>
                <c:pt idx="9">
                  <c:v>-5.3719894536635518E-3</c:v>
                </c:pt>
                <c:pt idx="10" formatCode="0.0%">
                  <c:v>7.9625682315585686E-2</c:v>
                </c:pt>
                <c:pt idx="11" formatCode="0.0%">
                  <c:v>9.1233173022466557E-2</c:v>
                </c:pt>
                <c:pt idx="12" formatCode="0.0%">
                  <c:v>9.0782607101645554E-2</c:v>
                </c:pt>
                <c:pt idx="13" formatCode="0.0%">
                  <c:v>0.11865551878056044</c:v>
                </c:pt>
                <c:pt idx="14" formatCode="0.0%">
                  <c:v>0.1333974952023535</c:v>
                </c:pt>
                <c:pt idx="15" formatCode="0.0%">
                  <c:v>0.10854425338092265</c:v>
                </c:pt>
                <c:pt idx="16" formatCode="0.0%">
                  <c:v>5.7405146744420529E-2</c:v>
                </c:pt>
                <c:pt idx="17" formatCode="0.0%">
                  <c:v>8.4622588581220778E-2</c:v>
                </c:pt>
              </c:numCache>
            </c:numRef>
          </c:val>
          <c:smooth val="0"/>
        </c:ser>
        <c:dLbls>
          <c:showLegendKey val="0"/>
          <c:showVal val="0"/>
          <c:showCatName val="0"/>
          <c:showSerName val="0"/>
          <c:showPercent val="0"/>
          <c:showBubbleSize val="0"/>
        </c:dLbls>
        <c:marker val="1"/>
        <c:smooth val="0"/>
        <c:axId val="890419840"/>
        <c:axId val="890433920"/>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ChartSupport!$F$152:$W$152</c:f>
              <c:strCache>
                <c:ptCount val="18"/>
                <c:pt idx="0">
                  <c:v>2008</c:v>
                </c:pt>
                <c:pt idx="1">
                  <c:v>2009</c:v>
                </c:pt>
                <c:pt idx="2">
                  <c:v>2010</c:v>
                </c:pt>
                <c:pt idx="3">
                  <c:v>2011</c:v>
                </c:pt>
                <c:pt idx="4">
                  <c:v>2012</c:v>
                </c:pt>
                <c:pt idx="5">
                  <c:v>2013</c:v>
                </c:pt>
                <c:pt idx="6">
                  <c:v>2014</c:v>
                </c:pt>
                <c:pt idx="7">
                  <c:v>2015</c:v>
                </c:pt>
                <c:pt idx="8">
                  <c:v>2016</c:v>
                </c:pt>
                <c:pt idx="9">
                  <c:v>2017</c:v>
                </c:pt>
                <c:pt idx="10">
                  <c:v>2018E</c:v>
                </c:pt>
                <c:pt idx="11">
                  <c:v>2019E</c:v>
                </c:pt>
                <c:pt idx="12">
                  <c:v>2020E</c:v>
                </c:pt>
                <c:pt idx="13">
                  <c:v>2021E</c:v>
                </c:pt>
                <c:pt idx="14">
                  <c:v>2022E</c:v>
                </c:pt>
                <c:pt idx="15">
                  <c:v>2023E</c:v>
                </c:pt>
                <c:pt idx="16">
                  <c:v>2024E</c:v>
                </c:pt>
                <c:pt idx="17">
                  <c:v>2025E</c:v>
                </c:pt>
              </c:strCache>
            </c:strRef>
          </c:cat>
          <c:val>
            <c:numRef>
              <c:f>ChartSupport!$F$179:$W$179</c:f>
              <c:numCache>
                <c:formatCode>0</c:formatCode>
                <c:ptCount val="18"/>
                <c:pt idx="0">
                  <c:v>12.4</c:v>
                </c:pt>
                <c:pt idx="1">
                  <c:v>18.787500000000001</c:v>
                </c:pt>
                <c:pt idx="2">
                  <c:v>23.440833333333334</c:v>
                </c:pt>
                <c:pt idx="3">
                  <c:v>25.258333333333336</c:v>
                </c:pt>
                <c:pt idx="4">
                  <c:v>20.410833333333333</c:v>
                </c:pt>
                <c:pt idx="5">
                  <c:v>17.066666666666666</c:v>
                </c:pt>
                <c:pt idx="6">
                  <c:v>15.978333333333333</c:v>
                </c:pt>
                <c:pt idx="7">
                  <c:v>13.149166666666668</c:v>
                </c:pt>
                <c:pt idx="8">
                  <c:v>19.252499999999998</c:v>
                </c:pt>
                <c:pt idx="9">
                  <c:v>17.805000000000003</c:v>
                </c:pt>
                <c:pt idx="10">
                  <c:v>16.244658605325153</c:v>
                </c:pt>
                <c:pt idx="11">
                  <c:v>16.31531880717511</c:v>
                </c:pt>
                <c:pt idx="12">
                  <c:v>16.498655235130911</c:v>
                </c:pt>
                <c:pt idx="13">
                  <c:v>19.747444770453257</c:v>
                </c:pt>
                <c:pt idx="14">
                  <c:v>20.93514679550681</c:v>
                </c:pt>
                <c:pt idx="15">
                  <c:v>17.432162450241776</c:v>
                </c:pt>
                <c:pt idx="16">
                  <c:v>15.017906650666538</c:v>
                </c:pt>
                <c:pt idx="17">
                  <c:v>17.055276269110166</c:v>
                </c:pt>
              </c:numCache>
            </c:numRef>
          </c:val>
          <c:smooth val="0"/>
        </c:ser>
        <c:dLbls>
          <c:showLegendKey val="0"/>
          <c:showVal val="0"/>
          <c:showCatName val="0"/>
          <c:showSerName val="0"/>
          <c:showPercent val="0"/>
          <c:showBubbleSize val="0"/>
        </c:dLbls>
        <c:marker val="1"/>
        <c:smooth val="0"/>
        <c:axId val="890435456"/>
        <c:axId val="890436992"/>
      </c:lineChart>
      <c:catAx>
        <c:axId val="890419840"/>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a:pPr>
            <a:endParaRPr lang="en-US"/>
          </a:p>
        </c:txPr>
        <c:crossAx val="890433920"/>
        <c:crosses val="autoZero"/>
        <c:auto val="1"/>
        <c:lblAlgn val="ctr"/>
        <c:lblOffset val="100"/>
        <c:tickLblSkip val="1"/>
        <c:tickMarkSkip val="1"/>
        <c:noMultiLvlLbl val="0"/>
      </c:catAx>
      <c:valAx>
        <c:axId val="890433920"/>
        <c:scaling>
          <c:orientation val="minMax"/>
          <c:min val="-0.1"/>
        </c:scaling>
        <c:delete val="0"/>
        <c:axPos val="l"/>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0419840"/>
        <c:crosses val="autoZero"/>
        <c:crossBetween val="between"/>
      </c:valAx>
      <c:catAx>
        <c:axId val="890435456"/>
        <c:scaling>
          <c:orientation val="minMax"/>
        </c:scaling>
        <c:delete val="1"/>
        <c:axPos val="b"/>
        <c:majorTickMark val="out"/>
        <c:minorTickMark val="none"/>
        <c:tickLblPos val="nextTo"/>
        <c:crossAx val="890436992"/>
        <c:crosses val="autoZero"/>
        <c:auto val="1"/>
        <c:lblAlgn val="ctr"/>
        <c:lblOffset val="100"/>
        <c:noMultiLvlLbl val="0"/>
      </c:catAx>
      <c:valAx>
        <c:axId val="890436992"/>
        <c:scaling>
          <c:orientation val="minMax"/>
        </c:scaling>
        <c:delete val="0"/>
        <c:axPos val="r"/>
        <c:title>
          <c:tx>
            <c:rich>
              <a:bodyPr rot="0" vert="horz"/>
              <a:lstStyle/>
              <a:p>
                <a:pPr algn="ctr" rtl="0">
                  <a:defRPr/>
                </a:pPr>
                <a:r>
                  <a:rPr lang="en-US"/>
                  <a:t>US$ cents/lb</a:t>
                </a:r>
              </a:p>
            </c:rich>
          </c:tx>
          <c:layout>
            <c:manualLayout>
              <c:xMode val="edge"/>
              <c:yMode val="edge"/>
              <c:x val="0.7751231207643754"/>
              <c:y val="1.8194306085709887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890435456"/>
        <c:crosses val="max"/>
        <c:crossBetween val="between"/>
      </c:valAx>
      <c:spPr>
        <a:noFill/>
        <a:ln w="25400">
          <a:noFill/>
        </a:ln>
      </c:spPr>
    </c:plotArea>
    <c:legend>
      <c:legendPos val="r"/>
      <c:legendEntry>
        <c:idx val="1"/>
        <c:delete val="1"/>
      </c:legendEntry>
      <c:layout>
        <c:manualLayout>
          <c:xMode val="edge"/>
          <c:yMode val="edge"/>
          <c:x val="0.28743975184920068"/>
          <c:y val="3.2022685267235488E-3"/>
          <c:w val="0.53502800117899696"/>
          <c:h val="0.24765155159463587"/>
        </c:manualLayout>
      </c:layout>
      <c:overlay val="0"/>
      <c:spPr>
        <a:no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260068359464487"/>
          <c:y val="4.7468427778301431E-2"/>
          <c:w val="0.87667675084402075"/>
          <c:h val="0.79087201056389689"/>
        </c:manualLayout>
      </c:layout>
      <c:areaChart>
        <c:grouping val="stacked"/>
        <c:varyColors val="0"/>
        <c:ser>
          <c:idx val="1"/>
          <c:order val="0"/>
          <c:tx>
            <c:strRef>
              <c:f>ChartSupport!$A$334</c:f>
              <c:strCache>
                <c:ptCount val="1"/>
                <c:pt idx="0">
                  <c:v>Maintenance</c:v>
                </c:pt>
              </c:strCache>
            </c:strRef>
          </c:tx>
          <c:spPr>
            <a:solidFill>
              <a:schemeClr val="accent1"/>
            </a:solidFill>
          </c:spPr>
          <c:cat>
            <c:strRef>
              <c:f>ChartSupport!$D$333:$W$333</c:f>
              <c:strCache>
                <c:ptCount val="20"/>
                <c:pt idx="0">
                  <c:v>2006</c:v>
                </c:pt>
                <c:pt idx="1">
                  <c:v>2007</c:v>
                </c:pt>
                <c:pt idx="2">
                  <c:v>2008</c:v>
                </c:pt>
                <c:pt idx="3">
                  <c:v>2009</c:v>
                </c:pt>
                <c:pt idx="4">
                  <c:v>2010</c:v>
                </c:pt>
                <c:pt idx="5">
                  <c:v>2011</c:v>
                </c:pt>
                <c:pt idx="6">
                  <c:v>2012</c:v>
                </c:pt>
                <c:pt idx="7">
                  <c:v>2013</c:v>
                </c:pt>
                <c:pt idx="8">
                  <c:v>2014</c:v>
                </c:pt>
                <c:pt idx="9">
                  <c:v>2015</c:v>
                </c:pt>
                <c:pt idx="10">
                  <c:v>2016E</c:v>
                </c:pt>
                <c:pt idx="11">
                  <c:v>2017E</c:v>
                </c:pt>
                <c:pt idx="12">
                  <c:v>2018E</c:v>
                </c:pt>
                <c:pt idx="13">
                  <c:v>2019E</c:v>
                </c:pt>
                <c:pt idx="14">
                  <c:v>2020E</c:v>
                </c:pt>
                <c:pt idx="15">
                  <c:v>2021E</c:v>
                </c:pt>
                <c:pt idx="16">
                  <c:v>2022E</c:v>
                </c:pt>
                <c:pt idx="17">
                  <c:v>2023E</c:v>
                </c:pt>
                <c:pt idx="18">
                  <c:v>2024E</c:v>
                </c:pt>
                <c:pt idx="19">
                  <c:v>2025E</c:v>
                </c:pt>
              </c:strCache>
            </c:strRef>
          </c:cat>
          <c:val>
            <c:numRef>
              <c:f>ChartSupport!$D$334:$W$334</c:f>
              <c:numCache>
                <c:formatCode>#,##0</c:formatCode>
                <c:ptCount val="20"/>
                <c:pt idx="0">
                  <c:v>99.22</c:v>
                </c:pt>
                <c:pt idx="1">
                  <c:v>228.22500000000002</c:v>
                </c:pt>
                <c:pt idx="2">
                  <c:v>497.62399999999997</c:v>
                </c:pt>
                <c:pt idx="3" formatCode="_(* #,##0_);_(* \(#,##0\);_(* &quot;-&quot;??_);_(@_)">
                  <c:v>442.93899999999996</c:v>
                </c:pt>
                <c:pt idx="4" formatCode="_(* #,##0_);_(* \(#,##0\);_(* &quot;-&quot;??_);_(@_)">
                  <c:v>383.01799999999997</c:v>
                </c:pt>
                <c:pt idx="5" formatCode="_(* #,##0_);_(* \(#,##0\);_(* &quot;-&quot;??_);_(@_)">
                  <c:v>421.20400000000001</c:v>
                </c:pt>
                <c:pt idx="6" formatCode="_(* #,##0_);_(* \(#,##0\);_(* &quot;-&quot;??_);_(@_)">
                  <c:v>466.89099999999996</c:v>
                </c:pt>
                <c:pt idx="7" formatCode="_(* #,##0_);_(* \(#,##0\);_(* &quot;-&quot;??_);_(@_)">
                  <c:v>420.779</c:v>
                </c:pt>
                <c:pt idx="8" formatCode="_(* #,##0_);_(* \(#,##0\);_(* &quot;-&quot;??_);_(@_)">
                  <c:v>442.11</c:v>
                </c:pt>
                <c:pt idx="9" formatCode="_(* #,##0_);_(* \(#,##0\);_(* &quot;-&quot;??_);_(@_)">
                  <c:v>626.80200000000002</c:v>
                </c:pt>
                <c:pt idx="10" formatCode="_(* #,##0_);_(* \(#,##0\);_(* &quot;-&quot;??_);_(@_)">
                  <c:v>675.596</c:v>
                </c:pt>
                <c:pt idx="11" formatCode="_(* #,##0_);_(* \(#,##0\);_(* &quot;-&quot;??_);_(@_)">
                  <c:v>792.11199999999997</c:v>
                </c:pt>
                <c:pt idx="12" formatCode="_(* #,##0_);_(* \(#,##0\);_(* &quot;-&quot;??_);_(@_)">
                  <c:v>914.19028347385836</c:v>
                </c:pt>
                <c:pt idx="13" formatCode="_(* #,##0_);_(* \(#,##0\);_(* &quot;-&quot;??_);_(@_)">
                  <c:v>945.52395860014894</c:v>
                </c:pt>
                <c:pt idx="14" formatCode="_(* #,##0_);_(* \(#,##0\);_(* &quot;-&quot;??_);_(@_)">
                  <c:v>1021.1962371790045</c:v>
                </c:pt>
                <c:pt idx="15" formatCode="_(* #,##0_);_(* \(#,##0\);_(* &quot;-&quot;??_);_(@_)">
                  <c:v>1175.2711583391572</c:v>
                </c:pt>
                <c:pt idx="16" formatCode="_(* #,##0_);_(* \(#,##0\);_(* &quot;-&quot;??_);_(@_)">
                  <c:v>1257.7997523619317</c:v>
                </c:pt>
                <c:pt idx="17" formatCode="_(* #,##0_);_(* \(#,##0\);_(* &quot;-&quot;??_);_(@_)">
                  <c:v>1197.0392223324973</c:v>
                </c:pt>
                <c:pt idx="18" formatCode="_(* #,##0_);_(* \(#,##0\);_(* &quot;-&quot;??_);_(@_)">
                  <c:v>1166.3880400135158</c:v>
                </c:pt>
                <c:pt idx="19" formatCode="_(* #,##0_);_(* \(#,##0\);_(* &quot;-&quot;??_);_(@_)">
                  <c:v>1305.2620681869419</c:v>
                </c:pt>
              </c:numCache>
            </c:numRef>
          </c:val>
        </c:ser>
        <c:ser>
          <c:idx val="2"/>
          <c:order val="1"/>
          <c:tx>
            <c:strRef>
              <c:f>ChartSupport!$A$335</c:f>
              <c:strCache>
                <c:ptCount val="1"/>
                <c:pt idx="0">
                  <c:v>Operational Improvements</c:v>
                </c:pt>
              </c:strCache>
            </c:strRef>
          </c:tx>
          <c:spPr>
            <a:solidFill>
              <a:schemeClr val="accent2"/>
            </a:solidFill>
          </c:spPr>
          <c:cat>
            <c:strRef>
              <c:f>ChartSupport!$D$333:$W$333</c:f>
              <c:strCache>
                <c:ptCount val="20"/>
                <c:pt idx="0">
                  <c:v>2006</c:v>
                </c:pt>
                <c:pt idx="1">
                  <c:v>2007</c:v>
                </c:pt>
                <c:pt idx="2">
                  <c:v>2008</c:v>
                </c:pt>
                <c:pt idx="3">
                  <c:v>2009</c:v>
                </c:pt>
                <c:pt idx="4">
                  <c:v>2010</c:v>
                </c:pt>
                <c:pt idx="5">
                  <c:v>2011</c:v>
                </c:pt>
                <c:pt idx="6">
                  <c:v>2012</c:v>
                </c:pt>
                <c:pt idx="7">
                  <c:v>2013</c:v>
                </c:pt>
                <c:pt idx="8">
                  <c:v>2014</c:v>
                </c:pt>
                <c:pt idx="9">
                  <c:v>2015</c:v>
                </c:pt>
                <c:pt idx="10">
                  <c:v>2016E</c:v>
                </c:pt>
                <c:pt idx="11">
                  <c:v>2017E</c:v>
                </c:pt>
                <c:pt idx="12">
                  <c:v>2018E</c:v>
                </c:pt>
                <c:pt idx="13">
                  <c:v>2019E</c:v>
                </c:pt>
                <c:pt idx="14">
                  <c:v>2020E</c:v>
                </c:pt>
                <c:pt idx="15">
                  <c:v>2021E</c:v>
                </c:pt>
                <c:pt idx="16">
                  <c:v>2022E</c:v>
                </c:pt>
                <c:pt idx="17">
                  <c:v>2023E</c:v>
                </c:pt>
                <c:pt idx="18">
                  <c:v>2024E</c:v>
                </c:pt>
                <c:pt idx="19">
                  <c:v>2025E</c:v>
                </c:pt>
              </c:strCache>
            </c:strRef>
          </c:cat>
          <c:val>
            <c:numRef>
              <c:f>ChartSupport!$D$335:$W$335</c:f>
              <c:numCache>
                <c:formatCode>#,##0</c:formatCode>
                <c:ptCount val="20"/>
                <c:pt idx="0">
                  <c:v>0</c:v>
                </c:pt>
                <c:pt idx="1">
                  <c:v>0</c:v>
                </c:pt>
                <c:pt idx="2">
                  <c:v>0</c:v>
                </c:pt>
                <c:pt idx="3" formatCode="_(* #,##0_);_(* \(#,##0\);_(* &quot;-&quot;??_);_(@_)">
                  <c:v>0</c:v>
                </c:pt>
                <c:pt idx="4" formatCode="_(* #,##0_);_(* \(#,##0\);_(* &quot;-&quot;??_);_(@_)">
                  <c:v>0</c:v>
                </c:pt>
                <c:pt idx="5" formatCode="_(* #,##0_);_(* \(#,##0\);_(* &quot;-&quot;??_);_(@_)">
                  <c:v>0</c:v>
                </c:pt>
                <c:pt idx="6" formatCode="_(* #,##0_);_(* \(#,##0\);_(* &quot;-&quot;??_);_(@_)">
                  <c:v>0</c:v>
                </c:pt>
                <c:pt idx="7" formatCode="_(* #,##0_);_(* \(#,##0\);_(* &quot;-&quot;??_);_(@_)">
                  <c:v>32.942999999999998</c:v>
                </c:pt>
                <c:pt idx="8" formatCode="_(* #,##0_);_(* \(#,##0\);_(* &quot;-&quot;??_);_(@_)">
                  <c:v>44.298000000000002</c:v>
                </c:pt>
                <c:pt idx="9" formatCode="_(* #,##0_);_(* \(#,##0\);_(* &quot;-&quot;??_);_(@_)">
                  <c:v>60.195</c:v>
                </c:pt>
                <c:pt idx="10" formatCode="_(* #,##0_);_(* \(#,##0\);_(* &quot;-&quot;??_);_(@_)">
                  <c:v>74.545000000000002</c:v>
                </c:pt>
                <c:pt idx="11" formatCode="_(* #,##0_);_(* \(#,##0\);_(* &quot;-&quot;??_);_(@_)">
                  <c:v>76.971999999999994</c:v>
                </c:pt>
                <c:pt idx="12" formatCode="_(* #,##0_);_(* \(#,##0\);_(* &quot;-&quot;??_);_(@_)">
                  <c:v>76.971999999999994</c:v>
                </c:pt>
                <c:pt idx="13" formatCode="_(* #,##0_);_(* \(#,##0\);_(* &quot;-&quot;??_);_(@_)">
                  <c:v>76.971999999999994</c:v>
                </c:pt>
                <c:pt idx="14" formatCode="_(* #,##0_);_(* \(#,##0\);_(* &quot;-&quot;??_);_(@_)">
                  <c:v>76.971999999999994</c:v>
                </c:pt>
                <c:pt idx="15" formatCode="_(* #,##0_);_(* \(#,##0\);_(* &quot;-&quot;??_);_(@_)">
                  <c:v>76.971999999999994</c:v>
                </c:pt>
                <c:pt idx="16" formatCode="_(* #,##0_);_(* \(#,##0\);_(* &quot;-&quot;??_);_(@_)">
                  <c:v>76.971999999999994</c:v>
                </c:pt>
                <c:pt idx="17" formatCode="_(* #,##0_);_(* \(#,##0\);_(* &quot;-&quot;??_);_(@_)">
                  <c:v>76.971999999999994</c:v>
                </c:pt>
                <c:pt idx="18" formatCode="_(* #,##0_);_(* \(#,##0\);_(* &quot;-&quot;??_);_(@_)">
                  <c:v>76.971999999999994</c:v>
                </c:pt>
                <c:pt idx="19" formatCode="_(* #,##0_);_(* \(#,##0\);_(* &quot;-&quot;??_);_(@_)">
                  <c:v>76.971999999999994</c:v>
                </c:pt>
              </c:numCache>
            </c:numRef>
          </c:val>
        </c:ser>
        <c:ser>
          <c:idx val="3"/>
          <c:order val="2"/>
          <c:tx>
            <c:strRef>
              <c:f>ChartSupport!$A$336</c:f>
              <c:strCache>
                <c:ptCount val="1"/>
                <c:pt idx="0">
                  <c:v>Upgrading/Expansion</c:v>
                </c:pt>
              </c:strCache>
            </c:strRef>
          </c:tx>
          <c:spPr>
            <a:solidFill>
              <a:schemeClr val="bg2">
                <a:lumMod val="90000"/>
              </a:schemeClr>
            </a:solidFill>
          </c:spPr>
          <c:cat>
            <c:strRef>
              <c:f>ChartSupport!$D$333:$W$333</c:f>
              <c:strCache>
                <c:ptCount val="20"/>
                <c:pt idx="0">
                  <c:v>2006</c:v>
                </c:pt>
                <c:pt idx="1">
                  <c:v>2007</c:v>
                </c:pt>
                <c:pt idx="2">
                  <c:v>2008</c:v>
                </c:pt>
                <c:pt idx="3">
                  <c:v>2009</c:v>
                </c:pt>
                <c:pt idx="4">
                  <c:v>2010</c:v>
                </c:pt>
                <c:pt idx="5">
                  <c:v>2011</c:v>
                </c:pt>
                <c:pt idx="6">
                  <c:v>2012</c:v>
                </c:pt>
                <c:pt idx="7">
                  <c:v>2013</c:v>
                </c:pt>
                <c:pt idx="8">
                  <c:v>2014</c:v>
                </c:pt>
                <c:pt idx="9">
                  <c:v>2015</c:v>
                </c:pt>
                <c:pt idx="10">
                  <c:v>2016E</c:v>
                </c:pt>
                <c:pt idx="11">
                  <c:v>2017E</c:v>
                </c:pt>
                <c:pt idx="12">
                  <c:v>2018E</c:v>
                </c:pt>
                <c:pt idx="13">
                  <c:v>2019E</c:v>
                </c:pt>
                <c:pt idx="14">
                  <c:v>2020E</c:v>
                </c:pt>
                <c:pt idx="15">
                  <c:v>2021E</c:v>
                </c:pt>
                <c:pt idx="16">
                  <c:v>2022E</c:v>
                </c:pt>
                <c:pt idx="17">
                  <c:v>2023E</c:v>
                </c:pt>
                <c:pt idx="18">
                  <c:v>2024E</c:v>
                </c:pt>
                <c:pt idx="19">
                  <c:v>2025E</c:v>
                </c:pt>
              </c:strCache>
            </c:strRef>
          </c:cat>
          <c:val>
            <c:numRef>
              <c:f>ChartSupport!$D$336:$W$336</c:f>
              <c:numCache>
                <c:formatCode>#,##0</c:formatCode>
                <c:ptCount val="20"/>
                <c:pt idx="0">
                  <c:v>27.992000000000001</c:v>
                </c:pt>
                <c:pt idx="1">
                  <c:v>74.691000000000003</c:v>
                </c:pt>
                <c:pt idx="2">
                  <c:v>21.577000000000002</c:v>
                </c:pt>
                <c:pt idx="3" formatCode="_(* #,##0_);_(* \(#,##0\);_(* &quot;-&quot;??_);_(@_)">
                  <c:v>14.494</c:v>
                </c:pt>
                <c:pt idx="4" formatCode="_(* #,##0_);_(* \(#,##0\);_(* &quot;-&quot;??_);_(@_)">
                  <c:v>23.734999999999999</c:v>
                </c:pt>
                <c:pt idx="5" formatCode="_(* #,##0_);_(* \(#,##0\);_(* &quot;-&quot;??_);_(@_)">
                  <c:v>32.905000000000001</c:v>
                </c:pt>
                <c:pt idx="6" formatCode="_(* #,##0_);_(* \(#,##0\);_(* &quot;-&quot;??_);_(@_)">
                  <c:v>164.178</c:v>
                </c:pt>
                <c:pt idx="7" formatCode="_(* #,##0_);_(* \(#,##0\);_(* &quot;-&quot;??_);_(@_)">
                  <c:v>226.12</c:v>
                </c:pt>
                <c:pt idx="8" formatCode="_(* #,##0_);_(* \(#,##0\);_(* &quot;-&quot;??_);_(@_)">
                  <c:v>172.08099999999999</c:v>
                </c:pt>
                <c:pt idx="9" formatCode="_(* #,##0_);_(* \(#,##0\);_(* &quot;-&quot;??_);_(@_)">
                  <c:v>125.029</c:v>
                </c:pt>
                <c:pt idx="10" formatCode="_(* #,##0_);_(* \(#,##0\);_(* &quot;-&quot;??_);_(@_)">
                  <c:v>89.674999999999997</c:v>
                </c:pt>
                <c:pt idx="11" formatCode="_(* #,##0_);_(* \(#,##0\);_(* &quot;-&quot;??_);_(@_)">
                  <c:v>107.82599999999999</c:v>
                </c:pt>
                <c:pt idx="12" formatCode="_(* #,##0_);_(* \(#,##0\);_(* &quot;-&quot;??_);_(@_)">
                  <c:v>0</c:v>
                </c:pt>
                <c:pt idx="13" formatCode="_(* #,##0_);_(* \(#,##0\);_(* &quot;-&quot;??_);_(@_)">
                  <c:v>0</c:v>
                </c:pt>
                <c:pt idx="14" formatCode="_(* #,##0_);_(* \(#,##0\);_(* &quot;-&quot;??_);_(@_)">
                  <c:v>125.88760799999999</c:v>
                </c:pt>
                <c:pt idx="15" formatCode="_(* #,##0_);_(* \(#,##0\);_(* &quot;-&quot;??_);_(@_)">
                  <c:v>131.42666275199997</c:v>
                </c:pt>
                <c:pt idx="16" formatCode="_(* #,##0_);_(* \(#,##0\);_(* &quot;-&quot;??_);_(@_)">
                  <c:v>137.20943591308799</c:v>
                </c:pt>
                <c:pt idx="17" formatCode="_(* #,##0_);_(* \(#,##0\);_(* &quot;-&quot;??_);_(@_)">
                  <c:v>143.24665109326386</c:v>
                </c:pt>
                <c:pt idx="18" formatCode="_(* #,##0_);_(* \(#,##0\);_(* &quot;-&quot;??_);_(@_)">
                  <c:v>149.54950374136746</c:v>
                </c:pt>
                <c:pt idx="19" formatCode="_(* #,##0_);_(* \(#,##0\);_(* &quot;-&quot;??_);_(@_)">
                  <c:v>156.12968190598764</c:v>
                </c:pt>
              </c:numCache>
            </c:numRef>
          </c:val>
        </c:ser>
        <c:dLbls>
          <c:showLegendKey val="0"/>
          <c:showVal val="0"/>
          <c:showCatName val="0"/>
          <c:showSerName val="0"/>
          <c:showPercent val="0"/>
          <c:showBubbleSize val="0"/>
        </c:dLbls>
        <c:axId val="890467456"/>
        <c:axId val="890468992"/>
      </c:areaChart>
      <c:catAx>
        <c:axId val="890467456"/>
        <c:scaling>
          <c:orientation val="minMax"/>
        </c:scaling>
        <c:delete val="0"/>
        <c:axPos val="b"/>
        <c:numFmt formatCode="0" sourceLinked="1"/>
        <c:majorTickMark val="out"/>
        <c:minorTickMark val="none"/>
        <c:tickLblPos val="nextTo"/>
        <c:txPr>
          <a:bodyPr rot="-5400000" vert="horz"/>
          <a:lstStyle/>
          <a:p>
            <a:pPr>
              <a:defRPr/>
            </a:pPr>
            <a:endParaRPr lang="en-US"/>
          </a:p>
        </c:txPr>
        <c:crossAx val="890468992"/>
        <c:crosses val="autoZero"/>
        <c:auto val="1"/>
        <c:lblAlgn val="ctr"/>
        <c:lblOffset val="100"/>
        <c:noMultiLvlLbl val="0"/>
      </c:catAx>
      <c:valAx>
        <c:axId val="890468992"/>
        <c:scaling>
          <c:orientation val="minMax"/>
        </c:scaling>
        <c:delete val="0"/>
        <c:axPos val="l"/>
        <c:title>
          <c:tx>
            <c:rich>
              <a:bodyPr rot="0" vert="horz"/>
              <a:lstStyle/>
              <a:p>
                <a:pPr>
                  <a:defRPr/>
                </a:pPr>
                <a:r>
                  <a:rPr lang="en-US"/>
                  <a:t>R$ mn</a:t>
                </a:r>
              </a:p>
            </c:rich>
          </c:tx>
          <c:layout>
            <c:manualLayout>
              <c:xMode val="edge"/>
              <c:yMode val="edge"/>
              <c:x val="0.13930831464836241"/>
              <c:y val="2.9552610312719566E-2"/>
            </c:manualLayout>
          </c:layout>
          <c:overlay val="0"/>
        </c:title>
        <c:numFmt formatCode="#,##0_);\(#,##0\)" sourceLinked="0"/>
        <c:majorTickMark val="out"/>
        <c:minorTickMark val="none"/>
        <c:tickLblPos val="nextTo"/>
        <c:txPr>
          <a:bodyPr rot="0" vert="horz"/>
          <a:lstStyle/>
          <a:p>
            <a:pPr>
              <a:defRPr/>
            </a:pPr>
            <a:endParaRPr lang="en-US"/>
          </a:p>
        </c:txPr>
        <c:crossAx val="890467456"/>
        <c:crosses val="autoZero"/>
        <c:crossBetween val="midCat"/>
      </c:valAx>
    </c:plotArea>
    <c:legend>
      <c:legendPos val="r"/>
      <c:layout>
        <c:manualLayout>
          <c:xMode val="edge"/>
          <c:yMode val="edge"/>
          <c:x val="0.22320252444896413"/>
          <c:y val="2.7613718386136115E-2"/>
          <c:w val="0.53445261000811595"/>
          <c:h val="0.18864662553598036"/>
        </c:manualLayout>
      </c:layout>
      <c:overlay val="0"/>
      <c:spPr>
        <a:noFill/>
      </c:spPr>
      <c:txPr>
        <a:bodyPr/>
        <a:lstStyle/>
        <a:p>
          <a:pPr>
            <a:defRPr sz="800"/>
          </a:pPr>
          <a:endParaRPr lang="en-US"/>
        </a:p>
      </c:txPr>
    </c:legend>
    <c:plotVisOnly val="1"/>
    <c:dispBlanksAs val="gap"/>
    <c:showDLblsOverMax val="0"/>
  </c:chart>
  <c:spPr>
    <a:ln>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351366331511734"/>
          <c:y val="4.7619195248001144E-2"/>
          <c:w val="0.81621729336108184"/>
          <c:h val="0.8127009322325528"/>
        </c:manualLayout>
      </c:layout>
      <c:lineChart>
        <c:grouping val="standard"/>
        <c:varyColors val="0"/>
        <c:ser>
          <c:idx val="4"/>
          <c:order val="0"/>
          <c:tx>
            <c:strRef>
              <c:f>ChartSupport!$A$305</c:f>
              <c:strCache>
                <c:ptCount val="1"/>
                <c:pt idx="0">
                  <c:v>Operating CF</c:v>
                </c:pt>
              </c:strCache>
            </c:strRef>
          </c:tx>
          <c:spPr>
            <a:ln w="25400">
              <a:solidFill>
                <a:schemeClr val="accent1"/>
              </a:solidFill>
              <a:prstDash val="solid"/>
            </a:ln>
          </c:spPr>
          <c:marker>
            <c:symbol val="none"/>
          </c:marker>
          <c:cat>
            <c:strRef>
              <c:f>ChartSupport!$D$292:$W$292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ChartSupport!$D$305:$W$305</c:f>
              <c:numCache>
                <c:formatCode>#,##0</c:formatCode>
                <c:ptCount val="20"/>
                <c:pt idx="0">
                  <c:v>246.33299999999997</c:v>
                </c:pt>
                <c:pt idx="1">
                  <c:v>499.52099999999973</c:v>
                </c:pt>
                <c:pt idx="2">
                  <c:v>112.02500000000012</c:v>
                </c:pt>
                <c:pt idx="3">
                  <c:v>34.098999999999876</c:v>
                </c:pt>
                <c:pt idx="4">
                  <c:v>558.69499999999971</c:v>
                </c:pt>
                <c:pt idx="5">
                  <c:v>274.33179200000006</c:v>
                </c:pt>
                <c:pt idx="6">
                  <c:v>468.57283200000018</c:v>
                </c:pt>
                <c:pt idx="7">
                  <c:v>352.6637759999997</c:v>
                </c:pt>
                <c:pt idx="8">
                  <c:v>554.72020799999984</c:v>
                </c:pt>
                <c:pt idx="9">
                  <c:v>690.92073999999991</c:v>
                </c:pt>
                <c:pt idx="10">
                  <c:v>933.81365200000016</c:v>
                </c:pt>
                <c:pt idx="11">
                  <c:v>895.50100000000009</c:v>
                </c:pt>
                <c:pt idx="12">
                  <c:v>1462.7154812483714</c:v>
                </c:pt>
                <c:pt idx="13">
                  <c:v>1566.0753335003888</c:v>
                </c:pt>
                <c:pt idx="14">
                  <c:v>1764.9494537625233</c:v>
                </c:pt>
                <c:pt idx="15">
                  <c:v>2090.7103215652078</c:v>
                </c:pt>
                <c:pt idx="16">
                  <c:v>2266.896740735735</c:v>
                </c:pt>
                <c:pt idx="17">
                  <c:v>2064.0264030851886</c:v>
                </c:pt>
                <c:pt idx="18">
                  <c:v>1734.8443438208317</c:v>
                </c:pt>
                <c:pt idx="19">
                  <c:v>2042.5382694421899</c:v>
                </c:pt>
              </c:numCache>
            </c:numRef>
          </c:val>
          <c:smooth val="0"/>
        </c:ser>
        <c:ser>
          <c:idx val="9"/>
          <c:order val="1"/>
          <c:tx>
            <c:strRef>
              <c:f>ChartSupport!$A$307</c:f>
              <c:strCache>
                <c:ptCount val="1"/>
                <c:pt idx="0">
                  <c:v>FCF</c:v>
                </c:pt>
              </c:strCache>
            </c:strRef>
          </c:tx>
          <c:spPr>
            <a:ln w="15875">
              <a:solidFill>
                <a:schemeClr val="accent3"/>
              </a:solidFill>
              <a:prstDash val="solid"/>
            </a:ln>
          </c:spPr>
          <c:marker>
            <c:symbol val="none"/>
          </c:marker>
          <c:cat>
            <c:strRef>
              <c:f>ChartSupport!$D$292:$W$292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ChartSupport!$D$307:$W$307</c:f>
              <c:numCache>
                <c:formatCode>#,##0</c:formatCode>
                <c:ptCount val="20"/>
                <c:pt idx="0">
                  <c:v>165.12500000000006</c:v>
                </c:pt>
                <c:pt idx="1">
                  <c:v>-432.71500000000026</c:v>
                </c:pt>
                <c:pt idx="2">
                  <c:v>-407.16099999999994</c:v>
                </c:pt>
                <c:pt idx="3">
                  <c:v>-423.19200000000018</c:v>
                </c:pt>
                <c:pt idx="4">
                  <c:v>224.34899999999971</c:v>
                </c:pt>
                <c:pt idx="5">
                  <c:v>-179.83720799999992</c:v>
                </c:pt>
                <c:pt idx="6">
                  <c:v>-162.49316799999986</c:v>
                </c:pt>
                <c:pt idx="7">
                  <c:v>-327.17722400000019</c:v>
                </c:pt>
                <c:pt idx="8">
                  <c:v>-103.72379200000012</c:v>
                </c:pt>
                <c:pt idx="9">
                  <c:v>-121.10826000000009</c:v>
                </c:pt>
                <c:pt idx="10">
                  <c:v>92.999652000000083</c:v>
                </c:pt>
                <c:pt idx="11">
                  <c:v>-81.478999999999928</c:v>
                </c:pt>
                <c:pt idx="12">
                  <c:v>471.8031977745145</c:v>
                </c:pt>
                <c:pt idx="13">
                  <c:v>543.82937490024051</c:v>
                </c:pt>
                <c:pt idx="14">
                  <c:v>541.14360858351824</c:v>
                </c:pt>
                <c:pt idx="15">
                  <c:v>707.29050047404962</c:v>
                </c:pt>
                <c:pt idx="16">
                  <c:v>795.16555246071607</c:v>
                </c:pt>
                <c:pt idx="17">
                  <c:v>647.01852965942794</c:v>
                </c:pt>
                <c:pt idx="18">
                  <c:v>342.18480006594859</c:v>
                </c:pt>
                <c:pt idx="19">
                  <c:v>504.42451934925953</c:v>
                </c:pt>
              </c:numCache>
            </c:numRef>
          </c:val>
          <c:smooth val="0"/>
        </c:ser>
        <c:ser>
          <c:idx val="0"/>
          <c:order val="3"/>
          <c:tx>
            <c:v>zeroline</c:v>
          </c:tx>
          <c:spPr>
            <a:ln w="3175">
              <a:solidFill>
                <a:schemeClr val="bg1">
                  <a:lumMod val="50000"/>
                </a:schemeClr>
              </a:solidFill>
            </a:ln>
          </c:spPr>
          <c:marker>
            <c:symbol val="none"/>
          </c:marker>
          <c:cat>
            <c:strRef>
              <c:f>ChartSupport!$D$292:$W$292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ChartSupport!$D$421:$W$421</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dLbls>
          <c:showLegendKey val="0"/>
          <c:showVal val="0"/>
          <c:showCatName val="0"/>
          <c:showSerName val="0"/>
          <c:showPercent val="0"/>
          <c:showBubbleSize val="0"/>
        </c:dLbls>
        <c:marker val="1"/>
        <c:smooth val="0"/>
        <c:axId val="890525184"/>
        <c:axId val="890526720"/>
      </c:lineChart>
      <c:lineChart>
        <c:grouping val="standard"/>
        <c:varyColors val="0"/>
        <c:ser>
          <c:idx val="6"/>
          <c:order val="2"/>
          <c:tx>
            <c:strRef>
              <c:f>ChartSupport!$A$293</c:f>
              <c:strCache>
                <c:ptCount val="1"/>
                <c:pt idx="0">
                  <c:v>Sugar Nybot prices (US$ cents/lb)</c:v>
                </c:pt>
              </c:strCache>
            </c:strRef>
          </c:tx>
          <c:spPr>
            <a:ln w="15875">
              <a:solidFill>
                <a:srgbClr val="FF0000"/>
              </a:solidFill>
              <a:prstDash val="sysDash"/>
            </a:ln>
          </c:spPr>
          <c:marker>
            <c:symbol val="none"/>
          </c:marker>
          <c:val>
            <c:numRef>
              <c:f>ChartSupport!$D$293:$W$293</c:f>
              <c:numCache>
                <c:formatCode>#,##0.0</c:formatCode>
                <c:ptCount val="20"/>
                <c:pt idx="0">
                  <c:v>13.545</c:v>
                </c:pt>
                <c:pt idx="1">
                  <c:v>10.401666666666666</c:v>
                </c:pt>
                <c:pt idx="2">
                  <c:v>12.4</c:v>
                </c:pt>
                <c:pt idx="3">
                  <c:v>18.787500000000001</c:v>
                </c:pt>
                <c:pt idx="4">
                  <c:v>23.440833333333334</c:v>
                </c:pt>
                <c:pt idx="5">
                  <c:v>25.258333333333336</c:v>
                </c:pt>
                <c:pt idx="6">
                  <c:v>20.410833333333333</c:v>
                </c:pt>
                <c:pt idx="7">
                  <c:v>17.066666666666666</c:v>
                </c:pt>
                <c:pt idx="8">
                  <c:v>15.978333333333333</c:v>
                </c:pt>
                <c:pt idx="9">
                  <c:v>13.149166666666668</c:v>
                </c:pt>
                <c:pt idx="10">
                  <c:v>19.252499999999998</c:v>
                </c:pt>
                <c:pt idx="11">
                  <c:v>17.805000000000003</c:v>
                </c:pt>
                <c:pt idx="12">
                  <c:v>16.244658605325153</c:v>
                </c:pt>
                <c:pt idx="13">
                  <c:v>16.31531880717511</c:v>
                </c:pt>
                <c:pt idx="14">
                  <c:v>16.498655235130911</c:v>
                </c:pt>
                <c:pt idx="15">
                  <c:v>19.747444770453257</c:v>
                </c:pt>
                <c:pt idx="16">
                  <c:v>20.93514679550681</c:v>
                </c:pt>
                <c:pt idx="17">
                  <c:v>17.432162450241776</c:v>
                </c:pt>
                <c:pt idx="18">
                  <c:v>15.017906650666538</c:v>
                </c:pt>
                <c:pt idx="19">
                  <c:v>17.055276269110166</c:v>
                </c:pt>
              </c:numCache>
            </c:numRef>
          </c:val>
          <c:smooth val="0"/>
        </c:ser>
        <c:dLbls>
          <c:showLegendKey val="0"/>
          <c:showVal val="0"/>
          <c:showCatName val="0"/>
          <c:showSerName val="0"/>
          <c:showPercent val="0"/>
          <c:showBubbleSize val="0"/>
        </c:dLbls>
        <c:marker val="1"/>
        <c:smooth val="0"/>
        <c:axId val="890532992"/>
        <c:axId val="890534528"/>
      </c:lineChart>
      <c:catAx>
        <c:axId val="890525184"/>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90526720"/>
        <c:crossesAt val="-1000"/>
        <c:auto val="1"/>
        <c:lblAlgn val="ctr"/>
        <c:lblOffset val="100"/>
        <c:tickLblSkip val="1"/>
        <c:tickMarkSkip val="1"/>
        <c:noMultiLvlLbl val="0"/>
      </c:catAx>
      <c:valAx>
        <c:axId val="890526720"/>
        <c:scaling>
          <c:orientation val="minMax"/>
        </c:scaling>
        <c:delete val="0"/>
        <c:axPos val="l"/>
        <c:title>
          <c:tx>
            <c:rich>
              <a:bodyPr rot="0" vert="horz"/>
              <a:lstStyle/>
              <a:p>
                <a:pPr algn="ctr" rtl="0">
                  <a:defRPr sz="900"/>
                </a:pPr>
                <a:r>
                  <a:rPr lang="en-US" sz="900"/>
                  <a:t>R$ mn</a:t>
                </a:r>
              </a:p>
            </c:rich>
          </c:tx>
          <c:layout>
            <c:manualLayout>
              <c:xMode val="edge"/>
              <c:yMode val="edge"/>
              <c:x val="0.13776796341451361"/>
              <c:y val="1.3694866048005854E-2"/>
            </c:manualLayout>
          </c:layout>
          <c:overlay val="0"/>
        </c:title>
        <c:numFmt formatCode="#,##0" sourceLinked="1"/>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90525184"/>
        <c:crosses val="autoZero"/>
        <c:crossBetween val="midCat"/>
      </c:valAx>
      <c:catAx>
        <c:axId val="890532992"/>
        <c:scaling>
          <c:orientation val="minMax"/>
        </c:scaling>
        <c:delete val="1"/>
        <c:axPos val="b"/>
        <c:majorTickMark val="out"/>
        <c:minorTickMark val="none"/>
        <c:tickLblPos val="nextTo"/>
        <c:crossAx val="890534528"/>
        <c:crosses val="autoZero"/>
        <c:auto val="1"/>
        <c:lblAlgn val="ctr"/>
        <c:lblOffset val="100"/>
        <c:noMultiLvlLbl val="0"/>
      </c:catAx>
      <c:valAx>
        <c:axId val="890534528"/>
        <c:scaling>
          <c:orientation val="minMax"/>
          <c:max val="28"/>
          <c:min val="-11"/>
        </c:scaling>
        <c:delete val="0"/>
        <c:axPos val="r"/>
        <c:title>
          <c:tx>
            <c:rich>
              <a:bodyPr rot="0" vert="horz"/>
              <a:lstStyle/>
              <a:p>
                <a:pPr marL="0" marR="0" indent="0" algn="ctr" defTabSz="914400" rtl="0" eaLnBrk="1" fontAlgn="auto" latinLnBrk="0" hangingPunct="1">
                  <a:lnSpc>
                    <a:spcPct val="100000"/>
                  </a:lnSpc>
                  <a:spcBef>
                    <a:spcPts val="0"/>
                  </a:spcBef>
                  <a:spcAft>
                    <a:spcPts val="0"/>
                  </a:spcAft>
                  <a:buClrTx/>
                  <a:buSzTx/>
                  <a:buFontTx/>
                  <a:buNone/>
                  <a:tabLst/>
                  <a:defRPr sz="900" b="0" i="0" u="none" strike="noStrike" kern="1200" baseline="0">
                    <a:solidFill>
                      <a:srgbClr val="808080"/>
                    </a:solidFill>
                    <a:latin typeface="Arial"/>
                    <a:ea typeface="Arial"/>
                    <a:cs typeface="Arial"/>
                  </a:defRPr>
                </a:pPr>
                <a:r>
                  <a:rPr lang="en-US" sz="900" b="0" i="0" baseline="0">
                    <a:effectLst/>
                  </a:rPr>
                  <a:t>US$ cents/lb</a:t>
                </a:r>
                <a:endParaRPr lang="en-US" sz="900">
                  <a:effectLst/>
                </a:endParaRPr>
              </a:p>
            </c:rich>
          </c:tx>
          <c:layout>
            <c:manualLayout>
              <c:xMode val="edge"/>
              <c:yMode val="edge"/>
              <c:x val="0.77419354838709675"/>
              <c:y val="1.233677566005182E-3"/>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90532992"/>
        <c:crosses val="max"/>
        <c:crossBetween val="between"/>
      </c:valAx>
      <c:spPr>
        <a:noFill/>
        <a:ln w="25400">
          <a:noFill/>
        </a:ln>
      </c:spPr>
    </c:plotArea>
    <c:legend>
      <c:legendPos val="r"/>
      <c:legendEntry>
        <c:idx val="2"/>
        <c:delete val="1"/>
      </c:legendEntry>
      <c:layout>
        <c:manualLayout>
          <c:xMode val="edge"/>
          <c:yMode val="edge"/>
          <c:x val="0.1626509663805597"/>
          <c:y val="0.67825379853705325"/>
          <c:w val="0.74949558500367763"/>
          <c:h val="0.14178237816997277"/>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496083550913843E-2"/>
          <c:y val="4.7169956177390976E-2"/>
          <c:w val="0.82245430809399478"/>
          <c:h val="0.81446790999628416"/>
        </c:manualLayout>
      </c:layout>
      <c:areaChart>
        <c:grouping val="standard"/>
        <c:varyColors val="0"/>
        <c:ser>
          <c:idx val="4"/>
          <c:order val="0"/>
          <c:tx>
            <c:v>Bull-Bear Scenario</c:v>
          </c:tx>
          <c:spPr>
            <a:solidFill>
              <a:schemeClr val="bg1">
                <a:lumMod val="85000"/>
              </a:schemeClr>
            </a:solidFill>
            <a:ln w="12700">
              <a:noFill/>
              <a:prstDash val="solid"/>
            </a:ln>
          </c:spPr>
          <c:cat>
            <c:strRef>
              <c:f>ChartSupport!$C$67:$W$67</c:f>
              <c:strCache>
                <c:ptCount val="2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2018E</c:v>
                </c:pt>
                <c:pt idx="14">
                  <c:v>2019E</c:v>
                </c:pt>
                <c:pt idx="15">
                  <c:v>2020E</c:v>
                </c:pt>
                <c:pt idx="16">
                  <c:v>2021E</c:v>
                </c:pt>
                <c:pt idx="17">
                  <c:v>2022E</c:v>
                </c:pt>
                <c:pt idx="18">
                  <c:v>2023E</c:v>
                </c:pt>
                <c:pt idx="19">
                  <c:v>2024E</c:v>
                </c:pt>
                <c:pt idx="20">
                  <c:v>2025E</c:v>
                </c:pt>
              </c:strCache>
            </c:strRef>
          </c:cat>
          <c:val>
            <c:numRef>
              <c:f>ChartSupport!$C$70:$W$70</c:f>
              <c:numCache>
                <c:formatCode>#,##0</c:formatCode>
                <c:ptCount val="21"/>
                <c:pt idx="0">
                  <c:v>99.736999999999966</c:v>
                </c:pt>
                <c:pt idx="1">
                  <c:v>246.33299999999997</c:v>
                </c:pt>
                <c:pt idx="2">
                  <c:v>499.52099999999973</c:v>
                </c:pt>
                <c:pt idx="3">
                  <c:v>112.02500000000012</c:v>
                </c:pt>
                <c:pt idx="4">
                  <c:v>34.098999999999876</c:v>
                </c:pt>
                <c:pt idx="5">
                  <c:v>558.69499999999971</c:v>
                </c:pt>
                <c:pt idx="6">
                  <c:v>274.33179200000006</c:v>
                </c:pt>
                <c:pt idx="7">
                  <c:v>468.57283200000018</c:v>
                </c:pt>
                <c:pt idx="8">
                  <c:v>352.6637759999997</c:v>
                </c:pt>
                <c:pt idx="9">
                  <c:v>554.72020799999984</c:v>
                </c:pt>
                <c:pt idx="10">
                  <c:v>690.92073999999991</c:v>
                </c:pt>
                <c:pt idx="11">
                  <c:v>933.81365200000016</c:v>
                </c:pt>
                <c:pt idx="12">
                  <c:v>895.50100000000009</c:v>
                </c:pt>
                <c:pt idx="13">
                  <c:v>1726.9510052075168</c:v>
                </c:pt>
                <c:pt idx="14">
                  <c:v>2047.2142315889334</c:v>
                </c:pt>
                <c:pt idx="15">
                  <c:v>2454.8061298390376</c:v>
                </c:pt>
                <c:pt idx="16">
                  <c:v>2782.1801164988847</c:v>
                </c:pt>
                <c:pt idx="17">
                  <c:v>2708.7768583770289</c:v>
                </c:pt>
                <c:pt idx="18">
                  <c:v>2618.180044638088</c:v>
                </c:pt>
                <c:pt idx="19">
                  <c:v>2500.9865728976738</c:v>
                </c:pt>
                <c:pt idx="20">
                  <c:v>2779.3363454524788</c:v>
                </c:pt>
              </c:numCache>
            </c:numRef>
          </c:val>
        </c:ser>
        <c:ser>
          <c:idx val="3"/>
          <c:order val="1"/>
          <c:tx>
            <c:v>Bear Scenario</c:v>
          </c:tx>
          <c:spPr>
            <a:solidFill>
              <a:srgbClr val="FFFFFF"/>
            </a:solidFill>
            <a:ln w="12700">
              <a:noFill/>
              <a:prstDash val="solid"/>
            </a:ln>
          </c:spPr>
          <c:cat>
            <c:strRef>
              <c:f>ChartSupport!$C$67:$W$67</c:f>
              <c:strCache>
                <c:ptCount val="2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2018E</c:v>
                </c:pt>
                <c:pt idx="14">
                  <c:v>2019E</c:v>
                </c:pt>
                <c:pt idx="15">
                  <c:v>2020E</c:v>
                </c:pt>
                <c:pt idx="16">
                  <c:v>2021E</c:v>
                </c:pt>
                <c:pt idx="17">
                  <c:v>2022E</c:v>
                </c:pt>
                <c:pt idx="18">
                  <c:v>2023E</c:v>
                </c:pt>
                <c:pt idx="19">
                  <c:v>2024E</c:v>
                </c:pt>
                <c:pt idx="20">
                  <c:v>2025E</c:v>
                </c:pt>
              </c:strCache>
            </c:strRef>
          </c:cat>
          <c:val>
            <c:numRef>
              <c:f>ChartSupport!$C$68:$W$68</c:f>
              <c:numCache>
                <c:formatCode>#,##0</c:formatCode>
                <c:ptCount val="21"/>
                <c:pt idx="0">
                  <c:v>99.736999999999966</c:v>
                </c:pt>
                <c:pt idx="1">
                  <c:v>246.33299999999997</c:v>
                </c:pt>
                <c:pt idx="2">
                  <c:v>499.52099999999973</c:v>
                </c:pt>
                <c:pt idx="3">
                  <c:v>112.02500000000012</c:v>
                </c:pt>
                <c:pt idx="4">
                  <c:v>34.098999999999876</c:v>
                </c:pt>
                <c:pt idx="5">
                  <c:v>558.69499999999971</c:v>
                </c:pt>
                <c:pt idx="6">
                  <c:v>274.33179200000006</c:v>
                </c:pt>
                <c:pt idx="7">
                  <c:v>468.57283200000018</c:v>
                </c:pt>
                <c:pt idx="8">
                  <c:v>352.6637759999997</c:v>
                </c:pt>
                <c:pt idx="9">
                  <c:v>554.72020799999984</c:v>
                </c:pt>
                <c:pt idx="10">
                  <c:v>690.92073999999991</c:v>
                </c:pt>
                <c:pt idx="11">
                  <c:v>933.81365200000016</c:v>
                </c:pt>
                <c:pt idx="12">
                  <c:v>895.50100000000009</c:v>
                </c:pt>
                <c:pt idx="13">
                  <c:v>1255.5555547055869</c:v>
                </c:pt>
                <c:pt idx="14">
                  <c:v>1095.8901962197749</c:v>
                </c:pt>
                <c:pt idx="15">
                  <c:v>1404.5321204191721</c:v>
                </c:pt>
                <c:pt idx="16">
                  <c:v>1668.2476362554551</c:v>
                </c:pt>
                <c:pt idx="17">
                  <c:v>1556.8128231098012</c:v>
                </c:pt>
                <c:pt idx="18">
                  <c:v>1387.9926819669777</c:v>
                </c:pt>
                <c:pt idx="19">
                  <c:v>1320.6634107255709</c:v>
                </c:pt>
                <c:pt idx="20">
                  <c:v>1504.2013893341334</c:v>
                </c:pt>
              </c:numCache>
            </c:numRef>
          </c:val>
        </c:ser>
        <c:dLbls>
          <c:showLegendKey val="0"/>
          <c:showVal val="0"/>
          <c:showCatName val="0"/>
          <c:showSerName val="0"/>
          <c:showPercent val="0"/>
          <c:showBubbleSize val="0"/>
        </c:dLbls>
        <c:axId val="890651392"/>
        <c:axId val="890652928"/>
      </c:areaChart>
      <c:lineChart>
        <c:grouping val="standard"/>
        <c:varyColors val="0"/>
        <c:ser>
          <c:idx val="2"/>
          <c:order val="2"/>
          <c:tx>
            <c:v>Base Scenario</c:v>
          </c:tx>
          <c:spPr>
            <a:ln w="25400">
              <a:solidFill>
                <a:schemeClr val="accent1"/>
              </a:solidFill>
              <a:prstDash val="solid"/>
            </a:ln>
          </c:spPr>
          <c:marker>
            <c:symbol val="none"/>
          </c:marker>
          <c:cat>
            <c:strRef>
              <c:f>ChartSupport!$C$67:$W$67</c:f>
              <c:strCache>
                <c:ptCount val="2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2018E</c:v>
                </c:pt>
                <c:pt idx="14">
                  <c:v>2019E</c:v>
                </c:pt>
                <c:pt idx="15">
                  <c:v>2020E</c:v>
                </c:pt>
                <c:pt idx="16">
                  <c:v>2021E</c:v>
                </c:pt>
                <c:pt idx="17">
                  <c:v>2022E</c:v>
                </c:pt>
                <c:pt idx="18">
                  <c:v>2023E</c:v>
                </c:pt>
                <c:pt idx="19">
                  <c:v>2024E</c:v>
                </c:pt>
                <c:pt idx="20">
                  <c:v>2025E</c:v>
                </c:pt>
              </c:strCache>
            </c:strRef>
          </c:cat>
          <c:val>
            <c:numRef>
              <c:f>ChartSupport!$C$69:$W$69</c:f>
              <c:numCache>
                <c:formatCode>#,##0</c:formatCode>
                <c:ptCount val="21"/>
                <c:pt idx="0">
                  <c:v>99.736999999999966</c:v>
                </c:pt>
                <c:pt idx="1">
                  <c:v>246.33299999999997</c:v>
                </c:pt>
                <c:pt idx="2">
                  <c:v>499.52099999999973</c:v>
                </c:pt>
                <c:pt idx="3">
                  <c:v>112.02500000000012</c:v>
                </c:pt>
                <c:pt idx="4">
                  <c:v>34.098999999999876</c:v>
                </c:pt>
                <c:pt idx="5">
                  <c:v>558.69499999999971</c:v>
                </c:pt>
                <c:pt idx="6">
                  <c:v>274.33179200000006</c:v>
                </c:pt>
                <c:pt idx="7">
                  <c:v>468.57283200000018</c:v>
                </c:pt>
                <c:pt idx="8">
                  <c:v>352.6637759999997</c:v>
                </c:pt>
                <c:pt idx="9">
                  <c:v>554.72020799999984</c:v>
                </c:pt>
                <c:pt idx="10">
                  <c:v>690.92073999999991</c:v>
                </c:pt>
                <c:pt idx="11">
                  <c:v>933.81365200000016</c:v>
                </c:pt>
                <c:pt idx="12">
                  <c:v>895.50100000000009</c:v>
                </c:pt>
                <c:pt idx="13">
                  <c:v>1462.7154812483714</c:v>
                </c:pt>
                <c:pt idx="14">
                  <c:v>1566.0753335003888</c:v>
                </c:pt>
                <c:pt idx="15">
                  <c:v>1764.9494537625233</c:v>
                </c:pt>
                <c:pt idx="16">
                  <c:v>2090.7103215652078</c:v>
                </c:pt>
                <c:pt idx="17">
                  <c:v>2266.896740735735</c:v>
                </c:pt>
                <c:pt idx="18">
                  <c:v>2064.0264030851886</c:v>
                </c:pt>
                <c:pt idx="19">
                  <c:v>1734.8443438208317</c:v>
                </c:pt>
                <c:pt idx="20">
                  <c:v>2042.5382694421899</c:v>
                </c:pt>
              </c:numCache>
            </c:numRef>
          </c:val>
          <c:smooth val="0"/>
        </c:ser>
        <c:dLbls>
          <c:showLegendKey val="0"/>
          <c:showVal val="0"/>
          <c:showCatName val="0"/>
          <c:showSerName val="0"/>
          <c:showPercent val="0"/>
          <c:showBubbleSize val="0"/>
        </c:dLbls>
        <c:marker val="1"/>
        <c:smooth val="0"/>
        <c:axId val="890651392"/>
        <c:axId val="890652928"/>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ChartSupport!$C$67:$W$67</c:f>
              <c:strCache>
                <c:ptCount val="2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2018E</c:v>
                </c:pt>
                <c:pt idx="14">
                  <c:v>2019E</c:v>
                </c:pt>
                <c:pt idx="15">
                  <c:v>2020E</c:v>
                </c:pt>
                <c:pt idx="16">
                  <c:v>2021E</c:v>
                </c:pt>
                <c:pt idx="17">
                  <c:v>2022E</c:v>
                </c:pt>
                <c:pt idx="18">
                  <c:v>2023E</c:v>
                </c:pt>
                <c:pt idx="19">
                  <c:v>2024E</c:v>
                </c:pt>
                <c:pt idx="20">
                  <c:v>2025E</c:v>
                </c:pt>
              </c:strCache>
            </c:strRef>
          </c:cat>
          <c:val>
            <c:numRef>
              <c:f>ChartSupport!$C$179:$W$179</c:f>
              <c:numCache>
                <c:formatCode>0</c:formatCode>
                <c:ptCount val="21"/>
                <c:pt idx="0" formatCode="#,##0.0">
                  <c:v>#N/A</c:v>
                </c:pt>
                <c:pt idx="1">
                  <c:v>13.545</c:v>
                </c:pt>
                <c:pt idx="2">
                  <c:v>10.401666666666666</c:v>
                </c:pt>
                <c:pt idx="3">
                  <c:v>12.4</c:v>
                </c:pt>
                <c:pt idx="4">
                  <c:v>18.787500000000001</c:v>
                </c:pt>
                <c:pt idx="5">
                  <c:v>23.440833333333334</c:v>
                </c:pt>
                <c:pt idx="6">
                  <c:v>25.258333333333336</c:v>
                </c:pt>
                <c:pt idx="7">
                  <c:v>20.410833333333333</c:v>
                </c:pt>
                <c:pt idx="8">
                  <c:v>17.066666666666666</c:v>
                </c:pt>
                <c:pt idx="9">
                  <c:v>15.978333333333333</c:v>
                </c:pt>
                <c:pt idx="10">
                  <c:v>13.149166666666668</c:v>
                </c:pt>
                <c:pt idx="11">
                  <c:v>19.252499999999998</c:v>
                </c:pt>
                <c:pt idx="12">
                  <c:v>17.805000000000003</c:v>
                </c:pt>
                <c:pt idx="13">
                  <c:v>16.244658605325153</c:v>
                </c:pt>
                <c:pt idx="14">
                  <c:v>16.31531880717511</c:v>
                </c:pt>
                <c:pt idx="15">
                  <c:v>16.498655235130911</c:v>
                </c:pt>
                <c:pt idx="16">
                  <c:v>19.747444770453257</c:v>
                </c:pt>
                <c:pt idx="17">
                  <c:v>20.93514679550681</c:v>
                </c:pt>
                <c:pt idx="18">
                  <c:v>17.432162450241776</c:v>
                </c:pt>
                <c:pt idx="19">
                  <c:v>15.017906650666538</c:v>
                </c:pt>
                <c:pt idx="20">
                  <c:v>17.055276269110166</c:v>
                </c:pt>
              </c:numCache>
            </c:numRef>
          </c:val>
          <c:smooth val="0"/>
        </c:ser>
        <c:dLbls>
          <c:showLegendKey val="0"/>
          <c:showVal val="0"/>
          <c:showCatName val="0"/>
          <c:showSerName val="0"/>
          <c:showPercent val="0"/>
          <c:showBubbleSize val="0"/>
        </c:dLbls>
        <c:marker val="1"/>
        <c:smooth val="0"/>
        <c:axId val="890663296"/>
        <c:axId val="890664832"/>
      </c:lineChart>
      <c:catAx>
        <c:axId val="890651392"/>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90652928"/>
        <c:crosses val="autoZero"/>
        <c:auto val="1"/>
        <c:lblAlgn val="ctr"/>
        <c:lblOffset val="100"/>
        <c:tickLblSkip val="1"/>
        <c:tickMarkSkip val="1"/>
        <c:noMultiLvlLbl val="0"/>
      </c:catAx>
      <c:valAx>
        <c:axId val="890652928"/>
        <c:scaling>
          <c:orientation val="minMax"/>
        </c:scaling>
        <c:delete val="0"/>
        <c:axPos val="r"/>
        <c:title>
          <c:tx>
            <c:rich>
              <a:bodyPr rot="0" vert="horz"/>
              <a:lstStyle/>
              <a:p>
                <a:pPr marL="0" marR="0" indent="0" algn="ctr" defTabSz="914400" rtl="0" eaLnBrk="1" fontAlgn="auto" latinLnBrk="0" hangingPunct="1">
                  <a:lnSpc>
                    <a:spcPct val="100000"/>
                  </a:lnSpc>
                  <a:spcBef>
                    <a:spcPts val="0"/>
                  </a:spcBef>
                  <a:spcAft>
                    <a:spcPts val="0"/>
                  </a:spcAft>
                  <a:buClrTx/>
                  <a:buSzTx/>
                  <a:buFontTx/>
                  <a:buNone/>
                  <a:tabLst/>
                  <a:defRPr sz="900" b="0" i="0" u="none" strike="noStrike" kern="1200" baseline="0">
                    <a:solidFill>
                      <a:srgbClr val="808080"/>
                    </a:solidFill>
                    <a:latin typeface="Arial"/>
                    <a:ea typeface="Arial"/>
                    <a:cs typeface="Arial"/>
                  </a:defRPr>
                </a:pPr>
                <a:r>
                  <a:rPr lang="en-US" sz="900" b="0" i="0" baseline="0">
                    <a:effectLst/>
                  </a:rPr>
                  <a:t>US$ cents/lb</a:t>
                </a:r>
                <a:endParaRPr lang="en-US" sz="900">
                  <a:effectLst/>
                </a:endParaRPr>
              </a:p>
            </c:rich>
          </c:tx>
          <c:layout>
            <c:manualLayout>
              <c:xMode val="edge"/>
              <c:yMode val="edge"/>
              <c:x val="9.3755235382811192E-2"/>
              <c:y val="9.4527073004763325E-3"/>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90651392"/>
        <c:crosses val="max"/>
        <c:crossBetween val="midCat"/>
      </c:valAx>
      <c:catAx>
        <c:axId val="890663296"/>
        <c:scaling>
          <c:orientation val="minMax"/>
        </c:scaling>
        <c:delete val="1"/>
        <c:axPos val="b"/>
        <c:majorTickMark val="out"/>
        <c:minorTickMark val="none"/>
        <c:tickLblPos val="nextTo"/>
        <c:crossAx val="890664832"/>
        <c:crosses val="autoZero"/>
        <c:auto val="1"/>
        <c:lblAlgn val="ctr"/>
        <c:lblOffset val="100"/>
        <c:noMultiLvlLbl val="0"/>
      </c:catAx>
      <c:valAx>
        <c:axId val="890664832"/>
        <c:scaling>
          <c:orientation val="minMax"/>
        </c:scaling>
        <c:delete val="0"/>
        <c:axPos val="l"/>
        <c:title>
          <c:tx>
            <c:rich>
              <a:bodyPr rot="0" vert="horz"/>
              <a:lstStyle/>
              <a:p>
                <a:pPr algn="ctr" rtl="0">
                  <a:defRPr sz="900"/>
                </a:pPr>
                <a:r>
                  <a:rPr lang="en-US" sz="900"/>
                  <a:t>R$ mn</a:t>
                </a:r>
              </a:p>
            </c:rich>
          </c:tx>
          <c:layout>
            <c:manualLayout>
              <c:xMode val="edge"/>
              <c:yMode val="edge"/>
              <c:x val="0.73404255319148937"/>
              <c:y val="1.7683159975373446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90663296"/>
        <c:crosses val="autoZero"/>
        <c:crossBetween val="midCat"/>
      </c:valAx>
      <c:spPr>
        <a:noFill/>
        <a:ln w="25400">
          <a:noFill/>
        </a:ln>
      </c:spPr>
    </c:plotArea>
    <c:legend>
      <c:legendPos val="r"/>
      <c:legendEntry>
        <c:idx val="1"/>
        <c:delete val="1"/>
      </c:legendEntry>
      <c:layout>
        <c:manualLayout>
          <c:xMode val="edge"/>
          <c:yMode val="edge"/>
          <c:x val="0.40891072615923008"/>
          <c:y val="0.71478202017200676"/>
          <c:w val="0.48810778652668407"/>
          <c:h val="0.14651825929166262"/>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496083550913843E-2"/>
          <c:y val="4.7169956177390976E-2"/>
          <c:w val="0.835509138381201"/>
          <c:h val="0.81446790999628416"/>
        </c:manualLayout>
      </c:layout>
      <c:areaChart>
        <c:grouping val="standard"/>
        <c:varyColors val="0"/>
        <c:ser>
          <c:idx val="4"/>
          <c:order val="0"/>
          <c:tx>
            <c:v>Bull-Bear Scenario</c:v>
          </c:tx>
          <c:spPr>
            <a:solidFill>
              <a:schemeClr val="bg1">
                <a:lumMod val="85000"/>
              </a:schemeClr>
            </a:solidFill>
            <a:ln w="12700">
              <a:noFill/>
              <a:prstDash val="solid"/>
            </a:ln>
          </c:spPr>
          <c:cat>
            <c:strRef>
              <c:f>ChartSupport!$C$72:$W$72</c:f>
              <c:strCache>
                <c:ptCount val="2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2018E</c:v>
                </c:pt>
                <c:pt idx="14">
                  <c:v>2019E</c:v>
                </c:pt>
                <c:pt idx="15">
                  <c:v>2020E</c:v>
                </c:pt>
                <c:pt idx="16">
                  <c:v>2021E</c:v>
                </c:pt>
                <c:pt idx="17">
                  <c:v>2022E</c:v>
                </c:pt>
                <c:pt idx="18">
                  <c:v>2023E</c:v>
                </c:pt>
                <c:pt idx="19">
                  <c:v>2024E</c:v>
                </c:pt>
                <c:pt idx="20">
                  <c:v>2025E</c:v>
                </c:pt>
              </c:strCache>
            </c:strRef>
          </c:cat>
          <c:val>
            <c:numRef>
              <c:f>ChartSupport!$C$75:$W$75</c:f>
              <c:numCache>
                <c:formatCode>0%</c:formatCode>
                <c:ptCount val="21"/>
                <c:pt idx="0">
                  <c:v>0.15386763344646712</c:v>
                </c:pt>
                <c:pt idx="1">
                  <c:v>0.30485927363363868</c:v>
                </c:pt>
                <c:pt idx="2">
                  <c:v>0.60435407005372999</c:v>
                </c:pt>
                <c:pt idx="3">
                  <c:v>0.15724572583588348</c:v>
                </c:pt>
                <c:pt idx="4">
                  <c:v>4.4030354719456273E-2</c:v>
                </c:pt>
                <c:pt idx="5">
                  <c:v>0.47215550593854722</c:v>
                </c:pt>
                <c:pt idx="6">
                  <c:v>0.21183464141315872</c:v>
                </c:pt>
                <c:pt idx="7">
                  <c:v>0.34277707371670618</c:v>
                </c:pt>
                <c:pt idx="8">
                  <c:v>0.21557058476547319</c:v>
                </c:pt>
                <c:pt idx="9">
                  <c:v>0.28134250718926396</c:v>
                </c:pt>
                <c:pt idx="10">
                  <c:v>0.29714950614193764</c:v>
                </c:pt>
                <c:pt idx="11">
                  <c:v>0.34238499746459888</c:v>
                </c:pt>
                <c:pt idx="12">
                  <c:v>0.29821384922884087</c:v>
                </c:pt>
                <c:pt idx="13">
                  <c:v>0.43397833438478073</c:v>
                </c:pt>
                <c:pt idx="14">
                  <c:v>0.47796723918512191</c:v>
                </c:pt>
                <c:pt idx="15">
                  <c:v>0.5088133218283426</c:v>
                </c:pt>
                <c:pt idx="16">
                  <c:v>0.52534161886166786</c:v>
                </c:pt>
                <c:pt idx="17">
                  <c:v>0.52343093861030665</c:v>
                </c:pt>
                <c:pt idx="18">
                  <c:v>0.51755907515560973</c:v>
                </c:pt>
                <c:pt idx="19">
                  <c:v>0.46049949893802933</c:v>
                </c:pt>
                <c:pt idx="20">
                  <c:v>0.46363451262859523</c:v>
                </c:pt>
              </c:numCache>
            </c:numRef>
          </c:val>
        </c:ser>
        <c:ser>
          <c:idx val="3"/>
          <c:order val="1"/>
          <c:tx>
            <c:v>Bear Scenario</c:v>
          </c:tx>
          <c:spPr>
            <a:solidFill>
              <a:srgbClr val="FFFFFF"/>
            </a:solidFill>
            <a:ln w="12700">
              <a:noFill/>
              <a:prstDash val="solid"/>
            </a:ln>
          </c:spPr>
          <c:cat>
            <c:strRef>
              <c:f>ChartSupport!$C$72:$W$72</c:f>
              <c:strCache>
                <c:ptCount val="2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2018E</c:v>
                </c:pt>
                <c:pt idx="14">
                  <c:v>2019E</c:v>
                </c:pt>
                <c:pt idx="15">
                  <c:v>2020E</c:v>
                </c:pt>
                <c:pt idx="16">
                  <c:v>2021E</c:v>
                </c:pt>
                <c:pt idx="17">
                  <c:v>2022E</c:v>
                </c:pt>
                <c:pt idx="18">
                  <c:v>2023E</c:v>
                </c:pt>
                <c:pt idx="19">
                  <c:v>2024E</c:v>
                </c:pt>
                <c:pt idx="20">
                  <c:v>2025E</c:v>
                </c:pt>
              </c:strCache>
            </c:strRef>
          </c:cat>
          <c:val>
            <c:numRef>
              <c:f>ChartSupport!$C$73:$W$73</c:f>
              <c:numCache>
                <c:formatCode>0%</c:formatCode>
                <c:ptCount val="21"/>
                <c:pt idx="0">
                  <c:v>0.15386763344646712</c:v>
                </c:pt>
                <c:pt idx="1">
                  <c:v>0.30485927363363868</c:v>
                </c:pt>
                <c:pt idx="2">
                  <c:v>0.60435407005372999</c:v>
                </c:pt>
                <c:pt idx="3">
                  <c:v>0.15724572583588348</c:v>
                </c:pt>
                <c:pt idx="4">
                  <c:v>4.4030354719456273E-2</c:v>
                </c:pt>
                <c:pt idx="5">
                  <c:v>0.47215550593854722</c:v>
                </c:pt>
                <c:pt idx="6">
                  <c:v>0.21183464141315872</c:v>
                </c:pt>
                <c:pt idx="7">
                  <c:v>0.34277707371670618</c:v>
                </c:pt>
                <c:pt idx="8">
                  <c:v>0.21557058476547319</c:v>
                </c:pt>
                <c:pt idx="9">
                  <c:v>0.28134250718926396</c:v>
                </c:pt>
                <c:pt idx="10">
                  <c:v>0.29714950614193764</c:v>
                </c:pt>
                <c:pt idx="11">
                  <c:v>0.34238499746459888</c:v>
                </c:pt>
                <c:pt idx="12">
                  <c:v>0.29821384922884087</c:v>
                </c:pt>
                <c:pt idx="13">
                  <c:v>0.37531339937488539</c:v>
                </c:pt>
                <c:pt idx="14">
                  <c:v>0.34105018417700456</c:v>
                </c:pt>
                <c:pt idx="15">
                  <c:v>0.37409493931651905</c:v>
                </c:pt>
                <c:pt idx="16">
                  <c:v>0.3868472952740124</c:v>
                </c:pt>
                <c:pt idx="17">
                  <c:v>0.36730471999044284</c:v>
                </c:pt>
                <c:pt idx="18">
                  <c:v>0.34113194495486082</c:v>
                </c:pt>
                <c:pt idx="19">
                  <c:v>0.30306161246975172</c:v>
                </c:pt>
                <c:pt idx="20">
                  <c:v>0.32309246663945601</c:v>
                </c:pt>
              </c:numCache>
            </c:numRef>
          </c:val>
        </c:ser>
        <c:dLbls>
          <c:showLegendKey val="0"/>
          <c:showVal val="0"/>
          <c:showCatName val="0"/>
          <c:showSerName val="0"/>
          <c:showPercent val="0"/>
          <c:showBubbleSize val="0"/>
        </c:dLbls>
        <c:axId val="880695552"/>
        <c:axId val="880705536"/>
      </c:areaChart>
      <c:lineChart>
        <c:grouping val="standard"/>
        <c:varyColors val="0"/>
        <c:ser>
          <c:idx val="2"/>
          <c:order val="2"/>
          <c:tx>
            <c:v>Base Scenario</c:v>
          </c:tx>
          <c:spPr>
            <a:ln w="25400">
              <a:solidFill>
                <a:schemeClr val="accent1"/>
              </a:solidFill>
              <a:prstDash val="solid"/>
            </a:ln>
          </c:spPr>
          <c:marker>
            <c:symbol val="none"/>
          </c:marker>
          <c:cat>
            <c:strRef>
              <c:f>ChartSupport!$C$72:$W$72</c:f>
              <c:strCache>
                <c:ptCount val="2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2018E</c:v>
                </c:pt>
                <c:pt idx="14">
                  <c:v>2019E</c:v>
                </c:pt>
                <c:pt idx="15">
                  <c:v>2020E</c:v>
                </c:pt>
                <c:pt idx="16">
                  <c:v>2021E</c:v>
                </c:pt>
                <c:pt idx="17">
                  <c:v>2022E</c:v>
                </c:pt>
                <c:pt idx="18">
                  <c:v>2023E</c:v>
                </c:pt>
                <c:pt idx="19">
                  <c:v>2024E</c:v>
                </c:pt>
                <c:pt idx="20">
                  <c:v>2025E</c:v>
                </c:pt>
              </c:strCache>
            </c:strRef>
          </c:cat>
          <c:val>
            <c:numRef>
              <c:f>ChartSupport!$C$74:$W$74</c:f>
              <c:numCache>
                <c:formatCode>0%</c:formatCode>
                <c:ptCount val="21"/>
                <c:pt idx="0">
                  <c:v>0.15386763344646712</c:v>
                </c:pt>
                <c:pt idx="1">
                  <c:v>0.30485927363363868</c:v>
                </c:pt>
                <c:pt idx="2">
                  <c:v>0.60435407005372999</c:v>
                </c:pt>
                <c:pt idx="3">
                  <c:v>0.15724572583588348</c:v>
                </c:pt>
                <c:pt idx="4">
                  <c:v>4.4030354719456273E-2</c:v>
                </c:pt>
                <c:pt idx="5">
                  <c:v>0.47215550593854722</c:v>
                </c:pt>
                <c:pt idx="6">
                  <c:v>0.21183464141315872</c:v>
                </c:pt>
                <c:pt idx="7">
                  <c:v>0.34277707371670618</c:v>
                </c:pt>
                <c:pt idx="8">
                  <c:v>0.21557058476547319</c:v>
                </c:pt>
                <c:pt idx="9">
                  <c:v>0.28134250718926396</c:v>
                </c:pt>
                <c:pt idx="10">
                  <c:v>0.29714950614193764</c:v>
                </c:pt>
                <c:pt idx="11">
                  <c:v>0.34238499746459888</c:v>
                </c:pt>
                <c:pt idx="12">
                  <c:v>0.29821384922884087</c:v>
                </c:pt>
                <c:pt idx="13">
                  <c:v>0.40000301569880947</c:v>
                </c:pt>
                <c:pt idx="14">
                  <c:v>0.41407605784494556</c:v>
                </c:pt>
                <c:pt idx="15">
                  <c:v>0.4320789162517123</c:v>
                </c:pt>
                <c:pt idx="16">
                  <c:v>0.44472935176076939</c:v>
                </c:pt>
                <c:pt idx="17">
                  <c:v>0.45056789375234263</c:v>
                </c:pt>
                <c:pt idx="18">
                  <c:v>0.43106908373965364</c:v>
                </c:pt>
                <c:pt idx="19">
                  <c:v>0.37184116355495395</c:v>
                </c:pt>
                <c:pt idx="20">
                  <c:v>0.39121229353568682</c:v>
                </c:pt>
              </c:numCache>
            </c:numRef>
          </c:val>
          <c:smooth val="0"/>
        </c:ser>
        <c:dLbls>
          <c:showLegendKey val="0"/>
          <c:showVal val="0"/>
          <c:showCatName val="0"/>
          <c:showSerName val="0"/>
          <c:showPercent val="0"/>
          <c:showBubbleSize val="0"/>
        </c:dLbls>
        <c:marker val="1"/>
        <c:smooth val="0"/>
        <c:axId val="880695552"/>
        <c:axId val="880705536"/>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ChartSupport!$C$72:$W$72</c:f>
              <c:strCache>
                <c:ptCount val="2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2018E</c:v>
                </c:pt>
                <c:pt idx="14">
                  <c:v>2019E</c:v>
                </c:pt>
                <c:pt idx="15">
                  <c:v>2020E</c:v>
                </c:pt>
                <c:pt idx="16">
                  <c:v>2021E</c:v>
                </c:pt>
                <c:pt idx="17">
                  <c:v>2022E</c:v>
                </c:pt>
                <c:pt idx="18">
                  <c:v>2023E</c:v>
                </c:pt>
                <c:pt idx="19">
                  <c:v>2024E</c:v>
                </c:pt>
                <c:pt idx="20">
                  <c:v>2025E</c:v>
                </c:pt>
              </c:strCache>
            </c:strRef>
          </c:cat>
          <c:val>
            <c:numRef>
              <c:f>ChartSupport!$C$179:$W$179</c:f>
              <c:numCache>
                <c:formatCode>0</c:formatCode>
                <c:ptCount val="21"/>
                <c:pt idx="0" formatCode="#,##0.0">
                  <c:v>#N/A</c:v>
                </c:pt>
                <c:pt idx="1">
                  <c:v>13.545</c:v>
                </c:pt>
                <c:pt idx="2">
                  <c:v>10.401666666666666</c:v>
                </c:pt>
                <c:pt idx="3">
                  <c:v>12.4</c:v>
                </c:pt>
                <c:pt idx="4">
                  <c:v>18.787500000000001</c:v>
                </c:pt>
                <c:pt idx="5">
                  <c:v>23.440833333333334</c:v>
                </c:pt>
                <c:pt idx="6">
                  <c:v>25.258333333333336</c:v>
                </c:pt>
                <c:pt idx="7">
                  <c:v>20.410833333333333</c:v>
                </c:pt>
                <c:pt idx="8">
                  <c:v>17.066666666666666</c:v>
                </c:pt>
                <c:pt idx="9">
                  <c:v>15.978333333333333</c:v>
                </c:pt>
                <c:pt idx="10">
                  <c:v>13.149166666666668</c:v>
                </c:pt>
                <c:pt idx="11">
                  <c:v>19.252499999999998</c:v>
                </c:pt>
                <c:pt idx="12">
                  <c:v>17.805000000000003</c:v>
                </c:pt>
                <c:pt idx="13">
                  <c:v>16.244658605325153</c:v>
                </c:pt>
                <c:pt idx="14">
                  <c:v>16.31531880717511</c:v>
                </c:pt>
                <c:pt idx="15">
                  <c:v>16.498655235130911</c:v>
                </c:pt>
                <c:pt idx="16">
                  <c:v>19.747444770453257</c:v>
                </c:pt>
                <c:pt idx="17">
                  <c:v>20.93514679550681</c:v>
                </c:pt>
                <c:pt idx="18">
                  <c:v>17.432162450241776</c:v>
                </c:pt>
                <c:pt idx="19">
                  <c:v>15.017906650666538</c:v>
                </c:pt>
                <c:pt idx="20">
                  <c:v>17.055276269110166</c:v>
                </c:pt>
              </c:numCache>
            </c:numRef>
          </c:val>
          <c:smooth val="0"/>
        </c:ser>
        <c:dLbls>
          <c:showLegendKey val="0"/>
          <c:showVal val="0"/>
          <c:showCatName val="0"/>
          <c:showSerName val="0"/>
          <c:showPercent val="0"/>
          <c:showBubbleSize val="0"/>
        </c:dLbls>
        <c:marker val="1"/>
        <c:smooth val="0"/>
        <c:axId val="880707456"/>
        <c:axId val="880708992"/>
      </c:lineChart>
      <c:catAx>
        <c:axId val="880695552"/>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80705536"/>
        <c:crosses val="autoZero"/>
        <c:auto val="1"/>
        <c:lblAlgn val="ctr"/>
        <c:lblOffset val="100"/>
        <c:tickLblSkip val="1"/>
        <c:tickMarkSkip val="1"/>
        <c:noMultiLvlLbl val="0"/>
      </c:catAx>
      <c:valAx>
        <c:axId val="880705536"/>
        <c:scaling>
          <c:orientation val="minMax"/>
        </c:scaling>
        <c:delete val="0"/>
        <c:axPos val="r"/>
        <c:title>
          <c:tx>
            <c:rich>
              <a:bodyPr rot="0" vert="horz"/>
              <a:lstStyle/>
              <a:p>
                <a:pPr marL="0" marR="0" indent="0" algn="ctr" defTabSz="914400" rtl="0" eaLnBrk="1" fontAlgn="auto" latinLnBrk="0" hangingPunct="1">
                  <a:lnSpc>
                    <a:spcPct val="100000"/>
                  </a:lnSpc>
                  <a:spcBef>
                    <a:spcPts val="0"/>
                  </a:spcBef>
                  <a:spcAft>
                    <a:spcPts val="0"/>
                  </a:spcAft>
                  <a:buClrTx/>
                  <a:buSzTx/>
                  <a:buFontTx/>
                  <a:buNone/>
                  <a:tabLst/>
                  <a:defRPr sz="900" b="0" i="0" u="none" strike="noStrike" kern="1200" baseline="0">
                    <a:solidFill>
                      <a:srgbClr val="808080"/>
                    </a:solidFill>
                    <a:latin typeface="Arial"/>
                    <a:ea typeface="Arial"/>
                    <a:cs typeface="Arial"/>
                  </a:defRPr>
                </a:pPr>
                <a:r>
                  <a:rPr lang="en-US" sz="900" b="0" i="0" baseline="0">
                    <a:effectLst/>
                  </a:rPr>
                  <a:t>US$ cents/lb</a:t>
                </a:r>
                <a:endParaRPr lang="en-US" sz="900">
                  <a:effectLst/>
                </a:endParaRPr>
              </a:p>
            </c:rich>
          </c:tx>
          <c:layout>
            <c:manualLayout>
              <c:xMode val="edge"/>
              <c:yMode val="edge"/>
              <c:x val="9.8347585584060052E-2"/>
              <c:y val="9.4527073004763273E-3"/>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0695552"/>
        <c:crosses val="max"/>
        <c:crossBetween val="midCat"/>
      </c:valAx>
      <c:catAx>
        <c:axId val="880707456"/>
        <c:scaling>
          <c:orientation val="minMax"/>
        </c:scaling>
        <c:delete val="1"/>
        <c:axPos val="b"/>
        <c:majorTickMark val="out"/>
        <c:minorTickMark val="none"/>
        <c:tickLblPos val="nextTo"/>
        <c:crossAx val="880708992"/>
        <c:crosses val="autoZero"/>
        <c:auto val="1"/>
        <c:lblAlgn val="ctr"/>
        <c:lblOffset val="100"/>
        <c:noMultiLvlLbl val="0"/>
      </c:catAx>
      <c:valAx>
        <c:axId val="880708992"/>
        <c:scaling>
          <c:orientation val="minMax"/>
        </c:scaling>
        <c:delete val="0"/>
        <c:axPos val="l"/>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80707456"/>
        <c:crosses val="autoZero"/>
        <c:crossBetween val="midCat"/>
      </c:valAx>
      <c:spPr>
        <a:noFill/>
        <a:ln w="25400">
          <a:noFill/>
        </a:ln>
      </c:spPr>
    </c:plotArea>
    <c:legend>
      <c:legendPos val="r"/>
      <c:legendEntry>
        <c:idx val="1"/>
        <c:delete val="1"/>
      </c:legendEntry>
      <c:layout>
        <c:manualLayout>
          <c:xMode val="edge"/>
          <c:yMode val="edge"/>
          <c:x val="0.30101011466630839"/>
          <c:y val="2.0571023288187874E-2"/>
          <c:w val="0.56321959755030626"/>
          <c:h val="0.15835149661465642"/>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0734208"/>
        <c:axId val="880735744"/>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0737280"/>
        <c:axId val="890700544"/>
      </c:lineChart>
      <c:catAx>
        <c:axId val="880734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80735744"/>
        <c:crosses val="autoZero"/>
        <c:auto val="1"/>
        <c:lblAlgn val="ctr"/>
        <c:lblOffset val="100"/>
        <c:tickLblSkip val="1"/>
        <c:tickMarkSkip val="1"/>
        <c:noMultiLvlLbl val="0"/>
      </c:catAx>
      <c:valAx>
        <c:axId val="88073574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0734208"/>
        <c:crosses val="autoZero"/>
        <c:crossBetween val="between"/>
      </c:valAx>
      <c:catAx>
        <c:axId val="880737280"/>
        <c:scaling>
          <c:orientation val="minMax"/>
        </c:scaling>
        <c:delete val="1"/>
        <c:axPos val="b"/>
        <c:numFmt formatCode="General" sourceLinked="1"/>
        <c:majorTickMark val="out"/>
        <c:minorTickMark val="none"/>
        <c:tickLblPos val="nextTo"/>
        <c:crossAx val="890700544"/>
        <c:crosses val="autoZero"/>
        <c:auto val="1"/>
        <c:lblAlgn val="ctr"/>
        <c:lblOffset val="100"/>
        <c:noMultiLvlLbl val="0"/>
      </c:catAx>
      <c:valAx>
        <c:axId val="890700544"/>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073728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0738944"/>
        <c:axId val="890740736"/>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0742272"/>
        <c:axId val="890743808"/>
      </c:lineChart>
      <c:catAx>
        <c:axId val="890738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0740736"/>
        <c:crosses val="autoZero"/>
        <c:auto val="1"/>
        <c:lblAlgn val="ctr"/>
        <c:lblOffset val="100"/>
        <c:tickLblSkip val="1"/>
        <c:tickMarkSkip val="1"/>
        <c:noMultiLvlLbl val="0"/>
      </c:catAx>
      <c:valAx>
        <c:axId val="890740736"/>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0738944"/>
        <c:crosses val="autoZero"/>
        <c:crossBetween val="between"/>
      </c:valAx>
      <c:catAx>
        <c:axId val="890742272"/>
        <c:scaling>
          <c:orientation val="minMax"/>
        </c:scaling>
        <c:delete val="1"/>
        <c:axPos val="b"/>
        <c:numFmt formatCode="General" sourceLinked="1"/>
        <c:majorTickMark val="out"/>
        <c:minorTickMark val="none"/>
        <c:tickLblPos val="nextTo"/>
        <c:crossAx val="890743808"/>
        <c:crosses val="autoZero"/>
        <c:auto val="1"/>
        <c:lblAlgn val="ctr"/>
        <c:lblOffset val="100"/>
        <c:noMultiLvlLbl val="0"/>
      </c:catAx>
      <c:valAx>
        <c:axId val="890743808"/>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0742272"/>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0794752"/>
        <c:axId val="890796288"/>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0798080"/>
        <c:axId val="890799616"/>
      </c:lineChart>
      <c:catAx>
        <c:axId val="890794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0796288"/>
        <c:crosses val="autoZero"/>
        <c:auto val="1"/>
        <c:lblAlgn val="ctr"/>
        <c:lblOffset val="100"/>
        <c:tickLblSkip val="1"/>
        <c:tickMarkSkip val="1"/>
        <c:noMultiLvlLbl val="0"/>
      </c:catAx>
      <c:valAx>
        <c:axId val="890796288"/>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0794752"/>
        <c:crosses val="autoZero"/>
        <c:crossBetween val="between"/>
      </c:valAx>
      <c:catAx>
        <c:axId val="890798080"/>
        <c:scaling>
          <c:orientation val="minMax"/>
        </c:scaling>
        <c:delete val="1"/>
        <c:axPos val="b"/>
        <c:numFmt formatCode="General" sourceLinked="1"/>
        <c:majorTickMark val="out"/>
        <c:minorTickMark val="none"/>
        <c:tickLblPos val="nextTo"/>
        <c:crossAx val="890799616"/>
        <c:crosses val="autoZero"/>
        <c:auto val="1"/>
        <c:lblAlgn val="ctr"/>
        <c:lblOffset val="100"/>
        <c:noMultiLvlLbl val="0"/>
      </c:catAx>
      <c:valAx>
        <c:axId val="890799616"/>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079808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0829824"/>
        <c:axId val="890897152"/>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0898688"/>
        <c:axId val="890900480"/>
      </c:lineChart>
      <c:catAx>
        <c:axId val="89082982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0897152"/>
        <c:crosses val="autoZero"/>
        <c:auto val="1"/>
        <c:lblAlgn val="ctr"/>
        <c:lblOffset val="100"/>
        <c:tickLblSkip val="1"/>
        <c:tickMarkSkip val="1"/>
        <c:noMultiLvlLbl val="0"/>
      </c:catAx>
      <c:valAx>
        <c:axId val="890897152"/>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0829824"/>
        <c:crosses val="autoZero"/>
        <c:crossBetween val="between"/>
      </c:valAx>
      <c:catAx>
        <c:axId val="890898688"/>
        <c:scaling>
          <c:orientation val="minMax"/>
        </c:scaling>
        <c:delete val="1"/>
        <c:axPos val="b"/>
        <c:numFmt formatCode="General" sourceLinked="1"/>
        <c:majorTickMark val="out"/>
        <c:minorTickMark val="none"/>
        <c:tickLblPos val="nextTo"/>
        <c:crossAx val="890900480"/>
        <c:crosses val="autoZero"/>
        <c:auto val="1"/>
        <c:lblAlgn val="ctr"/>
        <c:lblOffset val="100"/>
        <c:noMultiLvlLbl val="0"/>
      </c:catAx>
      <c:valAx>
        <c:axId val="890900480"/>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0898688"/>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0930688"/>
        <c:axId val="890932224"/>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0950400"/>
        <c:axId val="890951936"/>
      </c:lineChart>
      <c:catAx>
        <c:axId val="890930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0932224"/>
        <c:crosses val="autoZero"/>
        <c:auto val="1"/>
        <c:lblAlgn val="ctr"/>
        <c:lblOffset val="100"/>
        <c:tickLblSkip val="1"/>
        <c:tickMarkSkip val="1"/>
        <c:noMultiLvlLbl val="0"/>
      </c:catAx>
      <c:valAx>
        <c:axId val="89093222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0930688"/>
        <c:crosses val="autoZero"/>
        <c:crossBetween val="between"/>
      </c:valAx>
      <c:catAx>
        <c:axId val="890950400"/>
        <c:scaling>
          <c:orientation val="minMax"/>
        </c:scaling>
        <c:delete val="1"/>
        <c:axPos val="b"/>
        <c:numFmt formatCode="General" sourceLinked="1"/>
        <c:majorTickMark val="out"/>
        <c:minorTickMark val="none"/>
        <c:tickLblPos val="nextTo"/>
        <c:crossAx val="890951936"/>
        <c:crosses val="autoZero"/>
        <c:auto val="1"/>
        <c:lblAlgn val="ctr"/>
        <c:lblOffset val="100"/>
        <c:noMultiLvlLbl val="0"/>
      </c:catAx>
      <c:valAx>
        <c:axId val="890951936"/>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095040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1039744"/>
        <c:axId val="891041280"/>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1042816"/>
        <c:axId val="891048704"/>
      </c:lineChart>
      <c:catAx>
        <c:axId val="89103974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1041280"/>
        <c:crosses val="autoZero"/>
        <c:auto val="1"/>
        <c:lblAlgn val="ctr"/>
        <c:lblOffset val="100"/>
        <c:tickLblSkip val="1"/>
        <c:tickMarkSkip val="1"/>
        <c:noMultiLvlLbl val="0"/>
      </c:catAx>
      <c:valAx>
        <c:axId val="891041280"/>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1039744"/>
        <c:crosses val="autoZero"/>
        <c:crossBetween val="between"/>
      </c:valAx>
      <c:catAx>
        <c:axId val="891042816"/>
        <c:scaling>
          <c:orientation val="minMax"/>
        </c:scaling>
        <c:delete val="1"/>
        <c:axPos val="b"/>
        <c:numFmt formatCode="General" sourceLinked="1"/>
        <c:majorTickMark val="out"/>
        <c:minorTickMark val="none"/>
        <c:tickLblPos val="nextTo"/>
        <c:crossAx val="891048704"/>
        <c:crosses val="autoZero"/>
        <c:auto val="1"/>
        <c:lblAlgn val="ctr"/>
        <c:lblOffset val="100"/>
        <c:noMultiLvlLbl val="0"/>
      </c:catAx>
      <c:valAx>
        <c:axId val="891048704"/>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1042816"/>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023509460781214E-2"/>
          <c:y val="4.7468427778301431E-2"/>
          <c:w val="0.85984676176682795"/>
          <c:h val="0.66977847769028875"/>
        </c:manualLayout>
      </c:layout>
      <c:barChart>
        <c:barDir val="col"/>
        <c:grouping val="stacked"/>
        <c:varyColors val="0"/>
        <c:ser>
          <c:idx val="4"/>
          <c:order val="0"/>
          <c:spPr>
            <a:solidFill>
              <a:schemeClr val="accent1"/>
            </a:solidFill>
          </c:spPr>
          <c:invertIfNegative val="0"/>
          <c:dPt>
            <c:idx val="1"/>
            <c:invertIfNegative val="0"/>
            <c:bubble3D val="0"/>
            <c:spPr>
              <a:noFill/>
            </c:spPr>
          </c:dPt>
          <c:dPt>
            <c:idx val="2"/>
            <c:invertIfNegative val="0"/>
            <c:bubble3D val="0"/>
            <c:spPr>
              <a:noFill/>
            </c:spPr>
          </c:dPt>
          <c:dPt>
            <c:idx val="3"/>
            <c:invertIfNegative val="0"/>
            <c:bubble3D val="0"/>
            <c:spPr>
              <a:noFill/>
            </c:spPr>
          </c:dPt>
          <c:dLbls>
            <c:dLbl>
              <c:idx val="0"/>
              <c:showLegendKey val="0"/>
              <c:showVal val="1"/>
              <c:showCatName val="0"/>
              <c:showSerName val="0"/>
              <c:showPercent val="0"/>
              <c:showBubbleSize val="0"/>
            </c:dLbl>
            <c:dLbl>
              <c:idx val="4"/>
              <c:showLegendKey val="0"/>
              <c:showVal val="1"/>
              <c:showCatName val="0"/>
              <c:showSerName val="0"/>
              <c:showPercent val="0"/>
              <c:showBubbleSize val="0"/>
            </c:dLbl>
            <c:numFmt formatCode="#,##0.0" sourceLinked="0"/>
            <c:txPr>
              <a:bodyPr/>
              <a:lstStyle/>
              <a:p>
                <a:pPr>
                  <a:defRPr b="1">
                    <a:solidFill>
                      <a:sysClr val="windowText" lastClr="000000"/>
                    </a:solidFill>
                  </a:defRPr>
                </a:pPr>
                <a:endParaRPr lang="en-US"/>
              </a:p>
            </c:txPr>
            <c:showLegendKey val="0"/>
            <c:showVal val="0"/>
            <c:showCatName val="0"/>
            <c:showSerName val="0"/>
            <c:showPercent val="0"/>
            <c:showBubbleSize val="0"/>
          </c:dLbls>
          <c:cat>
            <c:strRef>
              <c:f>ChartSupport!$A$381:$A$385</c:f>
              <c:strCache>
                <c:ptCount val="5"/>
                <c:pt idx="0">
                  <c:v>2017/18</c:v>
                </c:pt>
                <c:pt idx="1">
                  <c:v>Nova Fronteira incorporation</c:v>
                </c:pt>
                <c:pt idx="2">
                  <c:v>Santa Cruz expansion</c:v>
                </c:pt>
                <c:pt idx="3">
                  <c:v>Other</c:v>
                </c:pt>
                <c:pt idx="4">
                  <c:v>2018/19</c:v>
                </c:pt>
              </c:strCache>
            </c:strRef>
          </c:cat>
          <c:val>
            <c:numRef>
              <c:f>ChartSupport!$B$381:$B$385</c:f>
              <c:numCache>
                <c:formatCode>_(* #,##0_);_(* \(#,##0\);_(* "-"??_);_(@_)</c:formatCode>
                <c:ptCount val="5"/>
                <c:pt idx="0">
                  <c:v>24000</c:v>
                </c:pt>
                <c:pt idx="1">
                  <c:v>24000</c:v>
                </c:pt>
                <c:pt idx="2">
                  <c:v>24000</c:v>
                </c:pt>
                <c:pt idx="3">
                  <c:v>24000</c:v>
                </c:pt>
                <c:pt idx="4">
                  <c:v>24000</c:v>
                </c:pt>
              </c:numCache>
            </c:numRef>
          </c:val>
        </c:ser>
        <c:ser>
          <c:idx val="0"/>
          <c:order val="1"/>
          <c:spPr>
            <a:solidFill>
              <a:schemeClr val="accent2"/>
            </a:solidFill>
          </c:spPr>
          <c:invertIfNegative val="0"/>
          <c:dLbls>
            <c:numFmt formatCode="#,##0.0" sourceLinked="0"/>
            <c:txPr>
              <a:bodyPr/>
              <a:lstStyle/>
              <a:p>
                <a:pPr>
                  <a:defRPr b="1">
                    <a:solidFill>
                      <a:sysClr val="windowText" lastClr="000000"/>
                    </a:solidFill>
                  </a:defRPr>
                </a:pPr>
                <a:endParaRPr lang="en-US"/>
              </a:p>
            </c:txPr>
            <c:showLegendKey val="0"/>
            <c:showVal val="1"/>
            <c:showCatName val="0"/>
            <c:showSerName val="0"/>
            <c:showPercent val="0"/>
            <c:showBubbleSize val="0"/>
            <c:showLeaderLines val="0"/>
          </c:dLbls>
          <c:cat>
            <c:strRef>
              <c:f>ChartSupport!$A$381:$A$385</c:f>
              <c:strCache>
                <c:ptCount val="5"/>
                <c:pt idx="0">
                  <c:v>2017/18</c:v>
                </c:pt>
                <c:pt idx="1">
                  <c:v>Nova Fronteira incorporation</c:v>
                </c:pt>
                <c:pt idx="2">
                  <c:v>Santa Cruz expansion</c:v>
                </c:pt>
                <c:pt idx="3">
                  <c:v>Other</c:v>
                </c:pt>
                <c:pt idx="4">
                  <c:v>2018/19</c:v>
                </c:pt>
              </c:strCache>
            </c:strRef>
          </c:cat>
          <c:val>
            <c:numRef>
              <c:f>ChartSupport!$C$381:$C$385</c:f>
              <c:numCache>
                <c:formatCode>_(* #,##0_);_(* \(#,##0\);_(* "-"??_);_(@_)</c:formatCode>
                <c:ptCount val="5"/>
                <c:pt idx="1">
                  <c:v>0</c:v>
                </c:pt>
                <c:pt idx="2">
                  <c:v>0</c:v>
                </c:pt>
                <c:pt idx="3">
                  <c:v>0</c:v>
                </c:pt>
              </c:numCache>
            </c:numRef>
          </c:val>
        </c:ser>
        <c:dLbls>
          <c:showLegendKey val="0"/>
          <c:showVal val="0"/>
          <c:showCatName val="0"/>
          <c:showSerName val="0"/>
          <c:showPercent val="0"/>
          <c:showBubbleSize val="0"/>
        </c:dLbls>
        <c:gapWidth val="40"/>
        <c:overlap val="100"/>
        <c:axId val="891082624"/>
        <c:axId val="891089664"/>
      </c:barChart>
      <c:catAx>
        <c:axId val="891082624"/>
        <c:scaling>
          <c:orientation val="minMax"/>
        </c:scaling>
        <c:delete val="0"/>
        <c:axPos val="b"/>
        <c:numFmt formatCode="General" sourceLinked="1"/>
        <c:majorTickMark val="out"/>
        <c:minorTickMark val="none"/>
        <c:tickLblPos val="nextTo"/>
        <c:txPr>
          <a:bodyPr rot="-5400000" vert="horz"/>
          <a:lstStyle/>
          <a:p>
            <a:pPr>
              <a:defRPr sz="900" b="0" i="0" u="none" strike="noStrike" baseline="0">
                <a:solidFill>
                  <a:srgbClr val="808080"/>
                </a:solidFill>
                <a:latin typeface="Arial"/>
                <a:ea typeface="Arial"/>
                <a:cs typeface="Arial"/>
              </a:defRPr>
            </a:pPr>
            <a:endParaRPr lang="en-US"/>
          </a:p>
        </c:txPr>
        <c:crossAx val="891089664"/>
        <c:crosses val="autoZero"/>
        <c:auto val="1"/>
        <c:lblAlgn val="ctr"/>
        <c:lblOffset val="100"/>
        <c:tickLblSkip val="1"/>
        <c:tickMarkSkip val="1"/>
        <c:noMultiLvlLbl val="0"/>
      </c:catAx>
      <c:valAx>
        <c:axId val="891089664"/>
        <c:scaling>
          <c:orientation val="minMax"/>
          <c:max val="25000"/>
          <c:min val="0"/>
        </c:scaling>
        <c:delete val="0"/>
        <c:axPos val="l"/>
        <c:title>
          <c:tx>
            <c:rich>
              <a:bodyPr rot="0" vert="horz"/>
              <a:lstStyle/>
              <a:p>
                <a:pPr>
                  <a:defRPr sz="900"/>
                </a:pPr>
                <a:r>
                  <a:rPr lang="en-US" sz="900"/>
                  <a:t>Tn mn</a:t>
                </a:r>
              </a:p>
            </c:rich>
          </c:tx>
          <c:layout>
            <c:manualLayout>
              <c:xMode val="edge"/>
              <c:yMode val="edge"/>
              <c:x val="9.6226317576014936E-2"/>
              <c:y val="3.2042735269101917E-2"/>
            </c:manualLayout>
          </c:layout>
          <c:overlay val="0"/>
        </c:title>
        <c:numFmt formatCode="#,##0" sourceLinked="0"/>
        <c:majorTickMark val="out"/>
        <c:minorTickMark val="none"/>
        <c:tickLblPos val="nextTo"/>
        <c:txPr>
          <a:bodyPr rot="0" vert="horz"/>
          <a:lstStyle/>
          <a:p>
            <a:pPr>
              <a:defRPr sz="900" b="0" i="0" u="none" strike="noStrike" baseline="0">
                <a:solidFill>
                  <a:srgbClr val="808080"/>
                </a:solidFill>
                <a:latin typeface="Arial"/>
                <a:ea typeface="Arial"/>
                <a:cs typeface="Arial"/>
              </a:defRPr>
            </a:pPr>
            <a:endParaRPr lang="en-US"/>
          </a:p>
        </c:txPr>
        <c:crossAx val="891082624"/>
        <c:crosses val="autoZero"/>
        <c:crossBetween val="between"/>
        <c:dispUnits>
          <c:builtInUnit val="thousands"/>
          <c:dispUnitsLbl/>
        </c:dispUnits>
      </c:valAx>
    </c:plotArea>
    <c:plotVisOnly val="0"/>
    <c:dispBlanksAs val="gap"/>
    <c:showDLblsOverMax val="0"/>
  </c:chart>
  <c:spPr>
    <a:ln>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1001472"/>
        <c:axId val="891007360"/>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1008896"/>
        <c:axId val="891010432"/>
      </c:lineChart>
      <c:catAx>
        <c:axId val="891001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1007360"/>
        <c:crosses val="autoZero"/>
        <c:auto val="1"/>
        <c:lblAlgn val="ctr"/>
        <c:lblOffset val="100"/>
        <c:tickLblSkip val="1"/>
        <c:tickMarkSkip val="1"/>
        <c:noMultiLvlLbl val="0"/>
      </c:catAx>
      <c:valAx>
        <c:axId val="891007360"/>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1001472"/>
        <c:crosses val="autoZero"/>
        <c:crossBetween val="between"/>
      </c:valAx>
      <c:catAx>
        <c:axId val="891008896"/>
        <c:scaling>
          <c:orientation val="minMax"/>
        </c:scaling>
        <c:delete val="1"/>
        <c:axPos val="b"/>
        <c:numFmt formatCode="General" sourceLinked="1"/>
        <c:majorTickMark val="out"/>
        <c:minorTickMark val="none"/>
        <c:tickLblPos val="nextTo"/>
        <c:crossAx val="891010432"/>
        <c:crosses val="autoZero"/>
        <c:auto val="1"/>
        <c:lblAlgn val="ctr"/>
        <c:lblOffset val="100"/>
        <c:noMultiLvlLbl val="0"/>
      </c:catAx>
      <c:valAx>
        <c:axId val="891010432"/>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1008896"/>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1245696"/>
        <c:axId val="891247232"/>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1261312"/>
        <c:axId val="891262848"/>
      </c:lineChart>
      <c:catAx>
        <c:axId val="891245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1247232"/>
        <c:crosses val="autoZero"/>
        <c:auto val="1"/>
        <c:lblAlgn val="ctr"/>
        <c:lblOffset val="100"/>
        <c:tickLblSkip val="1"/>
        <c:tickMarkSkip val="1"/>
        <c:noMultiLvlLbl val="0"/>
      </c:catAx>
      <c:valAx>
        <c:axId val="891247232"/>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1245696"/>
        <c:crosses val="autoZero"/>
        <c:crossBetween val="between"/>
      </c:valAx>
      <c:catAx>
        <c:axId val="891261312"/>
        <c:scaling>
          <c:orientation val="minMax"/>
        </c:scaling>
        <c:delete val="1"/>
        <c:axPos val="b"/>
        <c:numFmt formatCode="General" sourceLinked="1"/>
        <c:majorTickMark val="out"/>
        <c:minorTickMark val="none"/>
        <c:tickLblPos val="nextTo"/>
        <c:crossAx val="891262848"/>
        <c:crosses val="autoZero"/>
        <c:auto val="1"/>
        <c:lblAlgn val="ctr"/>
        <c:lblOffset val="100"/>
        <c:noMultiLvlLbl val="0"/>
      </c:catAx>
      <c:valAx>
        <c:axId val="891262848"/>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1261312"/>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7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1284864"/>
        <c:axId val="891286656"/>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1288192"/>
        <c:axId val="891163008"/>
      </c:lineChart>
      <c:catAx>
        <c:axId val="89128486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1286656"/>
        <c:crosses val="autoZero"/>
        <c:auto val="1"/>
        <c:lblAlgn val="ctr"/>
        <c:lblOffset val="100"/>
        <c:tickLblSkip val="1"/>
        <c:tickMarkSkip val="1"/>
        <c:noMultiLvlLbl val="0"/>
      </c:catAx>
      <c:valAx>
        <c:axId val="891286656"/>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1284864"/>
        <c:crosses val="autoZero"/>
        <c:crossBetween val="between"/>
      </c:valAx>
      <c:catAx>
        <c:axId val="891288192"/>
        <c:scaling>
          <c:orientation val="minMax"/>
        </c:scaling>
        <c:delete val="1"/>
        <c:axPos val="b"/>
        <c:numFmt formatCode="General" sourceLinked="1"/>
        <c:majorTickMark val="out"/>
        <c:minorTickMark val="none"/>
        <c:tickLblPos val="nextTo"/>
        <c:crossAx val="891163008"/>
        <c:crosses val="autoZero"/>
        <c:auto val="1"/>
        <c:lblAlgn val="ctr"/>
        <c:lblOffset val="100"/>
        <c:noMultiLvlLbl val="0"/>
      </c:catAx>
      <c:valAx>
        <c:axId val="891163008"/>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1288192"/>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7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1193216"/>
        <c:axId val="891194752"/>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1204736"/>
        <c:axId val="891206272"/>
      </c:lineChart>
      <c:catAx>
        <c:axId val="891193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1194752"/>
        <c:crosses val="autoZero"/>
        <c:auto val="1"/>
        <c:lblAlgn val="ctr"/>
        <c:lblOffset val="100"/>
        <c:tickLblSkip val="1"/>
        <c:tickMarkSkip val="1"/>
        <c:noMultiLvlLbl val="0"/>
      </c:catAx>
      <c:valAx>
        <c:axId val="891194752"/>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1193216"/>
        <c:crosses val="autoZero"/>
        <c:crossBetween val="between"/>
      </c:valAx>
      <c:catAx>
        <c:axId val="891204736"/>
        <c:scaling>
          <c:orientation val="minMax"/>
        </c:scaling>
        <c:delete val="1"/>
        <c:axPos val="b"/>
        <c:numFmt formatCode="General" sourceLinked="1"/>
        <c:majorTickMark val="out"/>
        <c:minorTickMark val="none"/>
        <c:tickLblPos val="nextTo"/>
        <c:crossAx val="891206272"/>
        <c:crosses val="autoZero"/>
        <c:auto val="1"/>
        <c:lblAlgn val="ctr"/>
        <c:lblOffset val="100"/>
        <c:noMultiLvlLbl val="0"/>
      </c:catAx>
      <c:valAx>
        <c:axId val="891206272"/>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1204736"/>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7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1294080"/>
        <c:axId val="891295616"/>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1297152"/>
        <c:axId val="891307136"/>
      </c:lineChart>
      <c:catAx>
        <c:axId val="891294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1295616"/>
        <c:crosses val="autoZero"/>
        <c:auto val="1"/>
        <c:lblAlgn val="ctr"/>
        <c:lblOffset val="100"/>
        <c:tickLblSkip val="1"/>
        <c:tickMarkSkip val="1"/>
        <c:noMultiLvlLbl val="0"/>
      </c:catAx>
      <c:valAx>
        <c:axId val="891295616"/>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1294080"/>
        <c:crosses val="autoZero"/>
        <c:crossBetween val="between"/>
      </c:valAx>
      <c:catAx>
        <c:axId val="891297152"/>
        <c:scaling>
          <c:orientation val="minMax"/>
        </c:scaling>
        <c:delete val="1"/>
        <c:axPos val="b"/>
        <c:numFmt formatCode="General" sourceLinked="1"/>
        <c:majorTickMark val="out"/>
        <c:minorTickMark val="none"/>
        <c:tickLblPos val="nextTo"/>
        <c:crossAx val="891307136"/>
        <c:crosses val="autoZero"/>
        <c:auto val="1"/>
        <c:lblAlgn val="ctr"/>
        <c:lblOffset val="100"/>
        <c:noMultiLvlLbl val="0"/>
      </c:catAx>
      <c:valAx>
        <c:axId val="891307136"/>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1297152"/>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7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1333248"/>
        <c:axId val="891351424"/>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1352960"/>
        <c:axId val="891354496"/>
      </c:lineChart>
      <c:catAx>
        <c:axId val="89133324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1351424"/>
        <c:crosses val="autoZero"/>
        <c:auto val="1"/>
        <c:lblAlgn val="ctr"/>
        <c:lblOffset val="100"/>
        <c:tickLblSkip val="1"/>
        <c:tickMarkSkip val="1"/>
        <c:noMultiLvlLbl val="0"/>
      </c:catAx>
      <c:valAx>
        <c:axId val="89135142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1333248"/>
        <c:crosses val="autoZero"/>
        <c:crossBetween val="between"/>
      </c:valAx>
      <c:catAx>
        <c:axId val="891352960"/>
        <c:scaling>
          <c:orientation val="minMax"/>
        </c:scaling>
        <c:delete val="1"/>
        <c:axPos val="b"/>
        <c:numFmt formatCode="General" sourceLinked="1"/>
        <c:majorTickMark val="out"/>
        <c:minorTickMark val="none"/>
        <c:tickLblPos val="nextTo"/>
        <c:crossAx val="891354496"/>
        <c:crosses val="autoZero"/>
        <c:auto val="1"/>
        <c:lblAlgn val="ctr"/>
        <c:lblOffset val="100"/>
        <c:noMultiLvlLbl val="0"/>
      </c:catAx>
      <c:valAx>
        <c:axId val="891354496"/>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135296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8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528165225166022"/>
          <c:y val="4.7468427778301431E-2"/>
          <c:w val="0.84718609561685188"/>
          <c:h val="0.81329239593489777"/>
        </c:manualLayout>
      </c:layout>
      <c:areaChart>
        <c:grouping val="stacked"/>
        <c:varyColors val="0"/>
        <c:ser>
          <c:idx val="2"/>
          <c:order val="0"/>
          <c:tx>
            <c:strRef>
              <c:f>ChartSupport!$A$297</c:f>
              <c:strCache>
                <c:ptCount val="1"/>
                <c:pt idx="0">
                  <c:v>Sugar</c:v>
                </c:pt>
              </c:strCache>
            </c:strRef>
          </c:tx>
          <c:spPr>
            <a:solidFill>
              <a:schemeClr val="accent1"/>
            </a:solidFill>
          </c:spPr>
          <c:cat>
            <c:strRef>
              <c:f>ChartSupport!$B$4:$W$4</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ChartSupport!$D$297:$W$297</c:f>
              <c:numCache>
                <c:formatCode>0%</c:formatCode>
                <c:ptCount val="20"/>
                <c:pt idx="0">
                  <c:v>0.4276852678359338</c:v>
                </c:pt>
                <c:pt idx="1">
                  <c:v>0.50519321281368457</c:v>
                </c:pt>
                <c:pt idx="2">
                  <c:v>0.40447370691386925</c:v>
                </c:pt>
                <c:pt idx="3">
                  <c:v>0.28880521854426672</c:v>
                </c:pt>
                <c:pt idx="4">
                  <c:v>0.44983986789117447</c:v>
                </c:pt>
                <c:pt idx="5">
                  <c:v>0.49178107921508046</c:v>
                </c:pt>
                <c:pt idx="6">
                  <c:v>0.56000000000000005</c:v>
                </c:pt>
                <c:pt idx="7">
                  <c:v>0.56999999999999995</c:v>
                </c:pt>
                <c:pt idx="8">
                  <c:v>0.48</c:v>
                </c:pt>
                <c:pt idx="9">
                  <c:v>0.49</c:v>
                </c:pt>
                <c:pt idx="10">
                  <c:v>0.5</c:v>
                </c:pt>
                <c:pt idx="11">
                  <c:v>0.63</c:v>
                </c:pt>
                <c:pt idx="12">
                  <c:v>0.49</c:v>
                </c:pt>
                <c:pt idx="13">
                  <c:v>0.49</c:v>
                </c:pt>
                <c:pt idx="14">
                  <c:v>0.49</c:v>
                </c:pt>
                <c:pt idx="15">
                  <c:v>0.49</c:v>
                </c:pt>
                <c:pt idx="16">
                  <c:v>0.49</c:v>
                </c:pt>
                <c:pt idx="17">
                  <c:v>0.49</c:v>
                </c:pt>
                <c:pt idx="18">
                  <c:v>0.49</c:v>
                </c:pt>
                <c:pt idx="19">
                  <c:v>0.49</c:v>
                </c:pt>
              </c:numCache>
            </c:numRef>
          </c:val>
        </c:ser>
        <c:ser>
          <c:idx val="3"/>
          <c:order val="1"/>
          <c:tx>
            <c:strRef>
              <c:f>ChartSupport!$A$298</c:f>
              <c:strCache>
                <c:ptCount val="1"/>
                <c:pt idx="0">
                  <c:v>Ethanol</c:v>
                </c:pt>
              </c:strCache>
            </c:strRef>
          </c:tx>
          <c:spPr>
            <a:solidFill>
              <a:schemeClr val="accent2"/>
            </a:solidFill>
          </c:spPr>
          <c:cat>
            <c:strRef>
              <c:f>ChartSupport!$B$4:$W$4</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ChartSupport!$D$298:$W$298</c:f>
              <c:numCache>
                <c:formatCode>0%</c:formatCode>
                <c:ptCount val="20"/>
                <c:pt idx="0">
                  <c:v>0.57231473216406625</c:v>
                </c:pt>
                <c:pt idx="1">
                  <c:v>0.49480678718631554</c:v>
                </c:pt>
                <c:pt idx="2">
                  <c:v>0.5955262930861307</c:v>
                </c:pt>
                <c:pt idx="3">
                  <c:v>0.71119478145573334</c:v>
                </c:pt>
                <c:pt idx="4">
                  <c:v>0.55016013210882564</c:v>
                </c:pt>
                <c:pt idx="5">
                  <c:v>0.50821892078491948</c:v>
                </c:pt>
                <c:pt idx="6">
                  <c:v>0.44</c:v>
                </c:pt>
                <c:pt idx="7">
                  <c:v>0.43</c:v>
                </c:pt>
                <c:pt idx="8">
                  <c:v>0.52</c:v>
                </c:pt>
                <c:pt idx="9">
                  <c:v>0.51</c:v>
                </c:pt>
                <c:pt idx="10">
                  <c:v>0.5</c:v>
                </c:pt>
                <c:pt idx="11">
                  <c:v>0.37</c:v>
                </c:pt>
                <c:pt idx="12">
                  <c:v>0.51</c:v>
                </c:pt>
                <c:pt idx="13">
                  <c:v>0.51</c:v>
                </c:pt>
                <c:pt idx="14">
                  <c:v>0.51</c:v>
                </c:pt>
                <c:pt idx="15">
                  <c:v>0.51</c:v>
                </c:pt>
                <c:pt idx="16">
                  <c:v>0.51</c:v>
                </c:pt>
                <c:pt idx="17">
                  <c:v>0.51</c:v>
                </c:pt>
                <c:pt idx="18">
                  <c:v>0.51</c:v>
                </c:pt>
                <c:pt idx="19">
                  <c:v>0.51</c:v>
                </c:pt>
              </c:numCache>
            </c:numRef>
          </c:val>
        </c:ser>
        <c:dLbls>
          <c:showLegendKey val="0"/>
          <c:showVal val="0"/>
          <c:showCatName val="0"/>
          <c:showSerName val="0"/>
          <c:showPercent val="0"/>
          <c:showBubbleSize val="0"/>
        </c:dLbls>
        <c:axId val="891392000"/>
        <c:axId val="891393536"/>
      </c:areaChart>
      <c:catAx>
        <c:axId val="891392000"/>
        <c:scaling>
          <c:orientation val="minMax"/>
        </c:scaling>
        <c:delete val="0"/>
        <c:axPos val="b"/>
        <c:numFmt formatCode="General" sourceLinked="1"/>
        <c:majorTickMark val="out"/>
        <c:minorTickMark val="none"/>
        <c:tickLblPos val="low"/>
        <c:txPr>
          <a:bodyPr rot="-5400000" vert="horz"/>
          <a:lstStyle/>
          <a:p>
            <a:pPr>
              <a:defRPr sz="900" b="0" i="0" u="none" strike="noStrike" baseline="0">
                <a:solidFill>
                  <a:srgbClr val="808080"/>
                </a:solidFill>
                <a:latin typeface="Arial"/>
                <a:ea typeface="Arial"/>
                <a:cs typeface="Arial"/>
              </a:defRPr>
            </a:pPr>
            <a:endParaRPr lang="en-US"/>
          </a:p>
        </c:txPr>
        <c:crossAx val="891393536"/>
        <c:crosses val="autoZero"/>
        <c:auto val="1"/>
        <c:lblAlgn val="ctr"/>
        <c:lblOffset val="100"/>
        <c:tickLblSkip val="1"/>
        <c:tickMarkSkip val="1"/>
        <c:noMultiLvlLbl val="0"/>
      </c:catAx>
      <c:valAx>
        <c:axId val="891393536"/>
        <c:scaling>
          <c:orientation val="minMax"/>
          <c:max val="1"/>
        </c:scaling>
        <c:delete val="0"/>
        <c:axPos val="l"/>
        <c:majorGridlines/>
        <c:numFmt formatCode="0%" sourceLinked="0"/>
        <c:majorTickMark val="out"/>
        <c:minorTickMark val="none"/>
        <c:tickLblPos val="nextTo"/>
        <c:txPr>
          <a:bodyPr rot="0" vert="horz"/>
          <a:lstStyle/>
          <a:p>
            <a:pPr>
              <a:defRPr sz="900" b="0" i="0" u="none" strike="noStrike" baseline="0">
                <a:solidFill>
                  <a:srgbClr val="808080"/>
                </a:solidFill>
                <a:latin typeface="Arial"/>
                <a:ea typeface="Arial"/>
                <a:cs typeface="Arial"/>
              </a:defRPr>
            </a:pPr>
            <a:endParaRPr lang="en-US"/>
          </a:p>
        </c:txPr>
        <c:crossAx val="891392000"/>
        <c:crosses val="autoZero"/>
        <c:crossBetween val="midCat"/>
      </c:valAx>
    </c:plotArea>
    <c:legend>
      <c:legendPos val="b"/>
      <c:layout>
        <c:manualLayout>
          <c:xMode val="edge"/>
          <c:yMode val="edge"/>
          <c:x val="0.3082710729748715"/>
          <c:y val="0.13768685243001849"/>
          <c:w val="0.48944881889763781"/>
          <c:h val="7.8111548556430432E-2"/>
        </c:manualLayout>
      </c:layout>
      <c:overlay val="0"/>
      <c:spPr>
        <a:solidFill>
          <a:sysClr val="window" lastClr="FFFFFF"/>
        </a:solidFill>
      </c:spPr>
      <c:txPr>
        <a:bodyPr/>
        <a:lstStyle/>
        <a:p>
          <a:pPr>
            <a:defRPr sz="1000" b="0" i="0" u="none" strike="noStrike" baseline="0">
              <a:solidFill>
                <a:srgbClr val="808080"/>
              </a:solidFill>
              <a:latin typeface="Arial"/>
              <a:ea typeface="Arial"/>
              <a:cs typeface="Arial"/>
            </a:defRPr>
          </a:pPr>
          <a:endParaRPr lang="en-US"/>
        </a:p>
      </c:txPr>
    </c:legend>
    <c:plotVisOnly val="1"/>
    <c:dispBlanksAs val="zero"/>
    <c:showDLblsOverMax val="0"/>
  </c:chart>
  <c:spPr>
    <a:ln>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8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0939947780678853E-2"/>
          <c:y val="5.0314619922550374E-2"/>
          <c:w val="0.81201044386422971"/>
          <c:h val="0.77542096432186014"/>
        </c:manualLayout>
      </c:layout>
      <c:areaChart>
        <c:grouping val="stacked"/>
        <c:varyColors val="0"/>
        <c:ser>
          <c:idx val="4"/>
          <c:order val="0"/>
          <c:tx>
            <c:strRef>
              <c:f>ChartSupport!$A$325</c:f>
              <c:strCache>
                <c:ptCount val="1"/>
                <c:pt idx="0">
                  <c:v> - Total Volume (Tn mn)</c:v>
                </c:pt>
              </c:strCache>
            </c:strRef>
          </c:tx>
          <c:spPr>
            <a:solidFill>
              <a:schemeClr val="bg1">
                <a:lumMod val="85000"/>
              </a:schemeClr>
            </a:solidFill>
            <a:ln w="12700">
              <a:noFill/>
              <a:prstDash val="solid"/>
            </a:ln>
          </c:spPr>
          <c:cat>
            <c:strRef>
              <c:f>ChartSupport!$D$4:$W$4</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ChartSupport!$D$325:$W$325</c:f>
              <c:numCache>
                <c:formatCode>#,##0.0</c:formatCode>
                <c:ptCount val="20"/>
                <c:pt idx="0">
                  <c:v>629.76800000000003</c:v>
                </c:pt>
                <c:pt idx="1">
                  <c:v>676.34199999999998</c:v>
                </c:pt>
                <c:pt idx="2">
                  <c:v>605.74699999999996</c:v>
                </c:pt>
                <c:pt idx="3">
                  <c:v>417.7</c:v>
                </c:pt>
                <c:pt idx="4">
                  <c:v>818.7</c:v>
                </c:pt>
                <c:pt idx="5">
                  <c:v>836.2</c:v>
                </c:pt>
                <c:pt idx="6">
                  <c:v>825.6</c:v>
                </c:pt>
                <c:pt idx="7">
                  <c:v>976.19999999999993</c:v>
                </c:pt>
                <c:pt idx="8">
                  <c:v>991.2</c:v>
                </c:pt>
                <c:pt idx="9">
                  <c:v>1177.0999999999999</c:v>
                </c:pt>
                <c:pt idx="10">
                  <c:v>1201</c:v>
                </c:pt>
                <c:pt idx="11">
                  <c:v>1313.7</c:v>
                </c:pt>
                <c:pt idx="12">
                  <c:v>1395.035815774088</c:v>
                </c:pt>
                <c:pt idx="13">
                  <c:v>1477.5586582487051</c:v>
                </c:pt>
                <c:pt idx="14">
                  <c:v>1514.9914199906761</c:v>
                </c:pt>
                <c:pt idx="15">
                  <c:v>1568.2177770680119</c:v>
                </c:pt>
                <c:pt idx="16">
                  <c:v>1604.4296709965454</c:v>
                </c:pt>
                <c:pt idx="17">
                  <c:v>1641.4758404898287</c:v>
                </c:pt>
                <c:pt idx="18">
                  <c:v>1679.3775243636262</c:v>
                </c:pt>
                <c:pt idx="19">
                  <c:v>1718.1543510194051</c:v>
                </c:pt>
              </c:numCache>
            </c:numRef>
          </c:val>
        </c:ser>
        <c:dLbls>
          <c:showLegendKey val="0"/>
          <c:showVal val="0"/>
          <c:showCatName val="0"/>
          <c:showSerName val="0"/>
          <c:showPercent val="0"/>
          <c:showBubbleSize val="0"/>
        </c:dLbls>
        <c:axId val="891509376"/>
        <c:axId val="891511168"/>
      </c:areaChart>
      <c:lineChart>
        <c:grouping val="standard"/>
        <c:varyColors val="0"/>
        <c:ser>
          <c:idx val="1"/>
          <c:order val="1"/>
          <c:tx>
            <c:strRef>
              <c:f>ChartSupport!$A$326</c:f>
              <c:strCache>
                <c:ptCount val="1"/>
                <c:pt idx="0">
                  <c:v>% Exports</c:v>
                </c:pt>
              </c:strCache>
            </c:strRef>
          </c:tx>
          <c:spPr>
            <a:ln w="25400">
              <a:solidFill>
                <a:schemeClr val="accent1"/>
              </a:solidFill>
              <a:prstDash val="solid"/>
            </a:ln>
          </c:spPr>
          <c:marker>
            <c:symbol val="none"/>
          </c:marker>
          <c:cat>
            <c:strRef>
              <c:f>ChartSupport!$D$4:$W$4</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ChartSupport!$D$326:$W$326</c:f>
              <c:numCache>
                <c:formatCode>0%</c:formatCode>
                <c:ptCount val="20"/>
                <c:pt idx="0">
                  <c:v>0.67055169522744873</c:v>
                </c:pt>
                <c:pt idx="1">
                  <c:v>0.70873463425308492</c:v>
                </c:pt>
                <c:pt idx="2">
                  <c:v>0.66949733139412992</c:v>
                </c:pt>
                <c:pt idx="3">
                  <c:v>0.88747905195116117</c:v>
                </c:pt>
                <c:pt idx="4">
                  <c:v>0.92402589471112739</c:v>
                </c:pt>
                <c:pt idx="5">
                  <c:v>0.93231284381726853</c:v>
                </c:pt>
                <c:pt idx="6">
                  <c:v>0.92599321705426352</c:v>
                </c:pt>
                <c:pt idx="7">
                  <c:v>0.9314689612784266</c:v>
                </c:pt>
                <c:pt idx="8">
                  <c:v>0.92877320419693299</c:v>
                </c:pt>
                <c:pt idx="9">
                  <c:v>0.91750913261405154</c:v>
                </c:pt>
                <c:pt idx="10">
                  <c:v>0.91923397169025811</c:v>
                </c:pt>
                <c:pt idx="11">
                  <c:v>0.89518154829869834</c:v>
                </c:pt>
                <c:pt idx="12">
                  <c:v>0.91064203284489875</c:v>
                </c:pt>
                <c:pt idx="13">
                  <c:v>0.91064203284489875</c:v>
                </c:pt>
                <c:pt idx="14">
                  <c:v>0.91064203284489864</c:v>
                </c:pt>
                <c:pt idx="15">
                  <c:v>0.91064203284489875</c:v>
                </c:pt>
                <c:pt idx="16">
                  <c:v>0.91064203284489875</c:v>
                </c:pt>
                <c:pt idx="17">
                  <c:v>0.91064203284489875</c:v>
                </c:pt>
                <c:pt idx="18">
                  <c:v>0.91064203284489875</c:v>
                </c:pt>
                <c:pt idx="19">
                  <c:v>0.91064203284489875</c:v>
                </c:pt>
              </c:numCache>
            </c:numRef>
          </c:val>
          <c:smooth val="0"/>
        </c:ser>
        <c:dLbls>
          <c:showLegendKey val="0"/>
          <c:showVal val="0"/>
          <c:showCatName val="0"/>
          <c:showSerName val="0"/>
          <c:showPercent val="0"/>
          <c:showBubbleSize val="0"/>
        </c:dLbls>
        <c:marker val="1"/>
        <c:smooth val="0"/>
        <c:axId val="891501568"/>
        <c:axId val="891507456"/>
      </c:lineChart>
      <c:catAx>
        <c:axId val="891501568"/>
        <c:scaling>
          <c:orientation val="minMax"/>
        </c:scaling>
        <c:delete val="0"/>
        <c:axPos val="b"/>
        <c:numFmt formatCode="0" sourceLinked="1"/>
        <c:majorTickMark val="out"/>
        <c:minorTickMark val="out"/>
        <c:tickLblPos val="nextTo"/>
        <c:spPr>
          <a:ln w="3175">
            <a:solidFill>
              <a:srgbClr val="808080"/>
            </a:solidFill>
            <a:prstDash val="solid"/>
          </a:ln>
        </c:spPr>
        <c:txPr>
          <a:bodyPr rot="-5400000" vert="horz"/>
          <a:lstStyle/>
          <a:p>
            <a:pPr>
              <a:defRPr/>
            </a:pPr>
            <a:endParaRPr lang="en-US"/>
          </a:p>
        </c:txPr>
        <c:crossAx val="891507456"/>
        <c:crosses val="autoZero"/>
        <c:auto val="1"/>
        <c:lblAlgn val="ctr"/>
        <c:lblOffset val="100"/>
        <c:tickLblSkip val="1"/>
        <c:tickMarkSkip val="1"/>
        <c:noMultiLvlLbl val="0"/>
      </c:catAx>
      <c:valAx>
        <c:axId val="891507456"/>
        <c:scaling>
          <c:orientation val="minMax"/>
        </c:scaling>
        <c:delete val="0"/>
        <c:axPos val="r"/>
        <c:title>
          <c:tx>
            <c:rich>
              <a:bodyPr rot="0" vert="horz"/>
              <a:lstStyle/>
              <a:p>
                <a:pPr>
                  <a:defRPr/>
                </a:pPr>
                <a:r>
                  <a:rPr lang="en-US"/>
                  <a:t>Tons mn</a:t>
                </a:r>
              </a:p>
            </c:rich>
          </c:tx>
          <c:layout>
            <c:manualLayout>
              <c:xMode val="edge"/>
              <c:yMode val="edge"/>
              <c:x val="0.13564135838598423"/>
              <c:y val="2.8583097453295087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1501568"/>
        <c:crosses val="max"/>
        <c:crossBetween val="midCat"/>
      </c:valAx>
      <c:catAx>
        <c:axId val="891509376"/>
        <c:scaling>
          <c:orientation val="minMax"/>
        </c:scaling>
        <c:delete val="1"/>
        <c:axPos val="b"/>
        <c:numFmt formatCode="0" sourceLinked="1"/>
        <c:majorTickMark val="out"/>
        <c:minorTickMark val="none"/>
        <c:tickLblPos val="nextTo"/>
        <c:crossAx val="891511168"/>
        <c:crosses val="autoZero"/>
        <c:auto val="1"/>
        <c:lblAlgn val="ctr"/>
        <c:lblOffset val="100"/>
        <c:noMultiLvlLbl val="0"/>
      </c:catAx>
      <c:valAx>
        <c:axId val="891511168"/>
        <c:scaling>
          <c:orientation val="minMax"/>
        </c:scaling>
        <c:delete val="0"/>
        <c:axPos val="l"/>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891509376"/>
        <c:crosses val="autoZero"/>
        <c:crossBetween val="midCat"/>
      </c:valAx>
      <c:spPr>
        <a:noFill/>
        <a:ln w="25400">
          <a:noFill/>
        </a:ln>
      </c:spPr>
    </c:plotArea>
    <c:legend>
      <c:legendPos val="r"/>
      <c:layout>
        <c:manualLayout>
          <c:xMode val="edge"/>
          <c:yMode val="edge"/>
          <c:x val="0.36977478037489575"/>
          <c:y val="0.58071594491316936"/>
          <c:w val="0.4595300787401575"/>
          <c:h val="0.15877288858078556"/>
        </c:manualLayout>
      </c:layout>
      <c:overlay val="0"/>
      <c:spPr>
        <a:solidFill>
          <a:sysClr val="window" lastClr="FFFFFF"/>
        </a:solid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userShapes r:id="rId1"/>
</c:chartSpace>
</file>

<file path=xl/charts/chart8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8328981723237601E-2"/>
          <c:y val="4.7169956177390976E-2"/>
          <c:w val="0.82767624020887731"/>
          <c:h val="0.81446790999628416"/>
        </c:manualLayout>
      </c:layout>
      <c:areaChart>
        <c:grouping val="stacked"/>
        <c:varyColors val="0"/>
        <c:ser>
          <c:idx val="4"/>
          <c:order val="0"/>
          <c:tx>
            <c:strRef>
              <c:f>ChartSupport!$A$329</c:f>
              <c:strCache>
                <c:ptCount val="1"/>
                <c:pt idx="0">
                  <c:v> - Total Volume (cbm mn)</c:v>
                </c:pt>
              </c:strCache>
            </c:strRef>
          </c:tx>
          <c:spPr>
            <a:solidFill>
              <a:schemeClr val="bg1">
                <a:lumMod val="85000"/>
              </a:schemeClr>
            </a:solidFill>
            <a:ln w="12700">
              <a:noFill/>
              <a:prstDash val="solid"/>
            </a:ln>
          </c:spPr>
          <c:cat>
            <c:strRef>
              <c:f>ChartSupport!$D$4:$W$4</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ChartSupport!$D$329:$W$329</c:f>
              <c:numCache>
                <c:formatCode>#,##0.0</c:formatCode>
                <c:ptCount val="20"/>
                <c:pt idx="0">
                  <c:v>505.26600000000002</c:v>
                </c:pt>
                <c:pt idx="1">
                  <c:v>400.36199999999997</c:v>
                </c:pt>
                <c:pt idx="2">
                  <c:v>537.84699999999998</c:v>
                </c:pt>
                <c:pt idx="3">
                  <c:v>625.69999999999993</c:v>
                </c:pt>
                <c:pt idx="4">
                  <c:v>609.4</c:v>
                </c:pt>
                <c:pt idx="5">
                  <c:v>523.70000000000005</c:v>
                </c:pt>
                <c:pt idx="6">
                  <c:v>401.40000000000003</c:v>
                </c:pt>
                <c:pt idx="7">
                  <c:v>450.8</c:v>
                </c:pt>
                <c:pt idx="8">
                  <c:v>638.6</c:v>
                </c:pt>
                <c:pt idx="9">
                  <c:v>713.39999999999986</c:v>
                </c:pt>
                <c:pt idx="10">
                  <c:v>795.00000000000011</c:v>
                </c:pt>
                <c:pt idx="11">
                  <c:v>698.4</c:v>
                </c:pt>
                <c:pt idx="12">
                  <c:v>879.55627833581912</c:v>
                </c:pt>
                <c:pt idx="13">
                  <c:v>937.54041027191488</c:v>
                </c:pt>
                <c:pt idx="14">
                  <c:v>960.82114211459702</c:v>
                </c:pt>
                <c:pt idx="15">
                  <c:v>994.61259887007463</c:v>
                </c:pt>
                <c:pt idx="16">
                  <c:v>1017.5769355600827</c:v>
                </c:pt>
                <c:pt idx="17">
                  <c:v>1041.0728680958862</c:v>
                </c:pt>
                <c:pt idx="18">
                  <c:v>1065.1112357398565</c:v>
                </c:pt>
                <c:pt idx="19">
                  <c:v>1089.7046544504815</c:v>
                </c:pt>
              </c:numCache>
            </c:numRef>
          </c:val>
        </c:ser>
        <c:dLbls>
          <c:showLegendKey val="0"/>
          <c:showVal val="0"/>
          <c:showCatName val="0"/>
          <c:showSerName val="0"/>
          <c:showPercent val="0"/>
          <c:showBubbleSize val="0"/>
        </c:dLbls>
        <c:axId val="891557376"/>
        <c:axId val="891558912"/>
      </c:areaChart>
      <c:lineChart>
        <c:grouping val="standard"/>
        <c:varyColors val="0"/>
        <c:ser>
          <c:idx val="1"/>
          <c:order val="1"/>
          <c:tx>
            <c:strRef>
              <c:f>ChartSupport!$A$330</c:f>
              <c:strCache>
                <c:ptCount val="1"/>
                <c:pt idx="0">
                  <c:v>% Exports</c:v>
                </c:pt>
              </c:strCache>
            </c:strRef>
          </c:tx>
          <c:spPr>
            <a:ln w="25400">
              <a:solidFill>
                <a:schemeClr val="accent1"/>
              </a:solidFill>
              <a:prstDash val="solid"/>
            </a:ln>
          </c:spPr>
          <c:marker>
            <c:symbol val="none"/>
          </c:marker>
          <c:cat>
            <c:strRef>
              <c:f>ChartSupport!$D$4:$W$4</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ChartSupport!$D$330:$W$330</c:f>
              <c:numCache>
                <c:formatCode>0%</c:formatCode>
                <c:ptCount val="20"/>
                <c:pt idx="0">
                  <c:v>0.17739171050496172</c:v>
                </c:pt>
                <c:pt idx="1">
                  <c:v>0.30257367082790082</c:v>
                </c:pt>
                <c:pt idx="2">
                  <c:v>0.26400630662623387</c:v>
                </c:pt>
                <c:pt idx="3">
                  <c:v>8.9819402269458212E-2</c:v>
                </c:pt>
                <c:pt idx="4">
                  <c:v>0.14243518214637349</c:v>
                </c:pt>
                <c:pt idx="5">
                  <c:v>9.9866335688371194E-2</c:v>
                </c:pt>
                <c:pt idx="6">
                  <c:v>0.13602391629297458</c:v>
                </c:pt>
                <c:pt idx="7">
                  <c:v>0.20629991126885536</c:v>
                </c:pt>
                <c:pt idx="8">
                  <c:v>0.26980895709364233</c:v>
                </c:pt>
                <c:pt idx="9">
                  <c:v>0.12643678160919541</c:v>
                </c:pt>
                <c:pt idx="10">
                  <c:v>0.17408805031446539</c:v>
                </c:pt>
                <c:pt idx="11">
                  <c:v>9.8797250859106539E-2</c:v>
                </c:pt>
                <c:pt idx="12">
                  <c:v>0.13309733143461588</c:v>
                </c:pt>
                <c:pt idx="13">
                  <c:v>0.13309733143461588</c:v>
                </c:pt>
                <c:pt idx="14">
                  <c:v>0.13309733143461588</c:v>
                </c:pt>
                <c:pt idx="15">
                  <c:v>0.13309733143461591</c:v>
                </c:pt>
                <c:pt idx="16">
                  <c:v>0.13309733143461588</c:v>
                </c:pt>
                <c:pt idx="17">
                  <c:v>0.13309733143461586</c:v>
                </c:pt>
                <c:pt idx="18">
                  <c:v>0.13309733143461586</c:v>
                </c:pt>
                <c:pt idx="19">
                  <c:v>0.13309733143461588</c:v>
                </c:pt>
              </c:numCache>
            </c:numRef>
          </c:val>
          <c:smooth val="0"/>
        </c:ser>
        <c:dLbls>
          <c:showLegendKey val="0"/>
          <c:showVal val="0"/>
          <c:showCatName val="0"/>
          <c:showSerName val="0"/>
          <c:showPercent val="0"/>
          <c:showBubbleSize val="0"/>
        </c:dLbls>
        <c:marker val="1"/>
        <c:smooth val="0"/>
        <c:axId val="891549952"/>
        <c:axId val="891555840"/>
      </c:lineChart>
      <c:catAx>
        <c:axId val="891549952"/>
        <c:scaling>
          <c:orientation val="minMax"/>
        </c:scaling>
        <c:delete val="0"/>
        <c:axPos val="b"/>
        <c:numFmt formatCode="0" sourceLinked="1"/>
        <c:majorTickMark val="out"/>
        <c:minorTickMark val="none"/>
        <c:tickLblPos val="low"/>
        <c:spPr>
          <a:ln w="3175">
            <a:solidFill>
              <a:srgbClr val="808080"/>
            </a:solidFill>
            <a:prstDash val="solid"/>
          </a:ln>
        </c:spPr>
        <c:txPr>
          <a:bodyPr rot="-5400000" vert="horz"/>
          <a:lstStyle/>
          <a:p>
            <a:pPr>
              <a:defRPr/>
            </a:pPr>
            <a:endParaRPr lang="en-US"/>
          </a:p>
        </c:txPr>
        <c:crossAx val="891555840"/>
        <c:crosses val="autoZero"/>
        <c:auto val="1"/>
        <c:lblAlgn val="ctr"/>
        <c:lblOffset val="100"/>
        <c:tickLblSkip val="1"/>
        <c:tickMarkSkip val="1"/>
        <c:noMultiLvlLbl val="0"/>
      </c:catAx>
      <c:valAx>
        <c:axId val="891555840"/>
        <c:scaling>
          <c:orientation val="minMax"/>
        </c:scaling>
        <c:delete val="0"/>
        <c:axPos val="r"/>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1549952"/>
        <c:crosses val="max"/>
        <c:crossBetween val="midCat"/>
      </c:valAx>
      <c:catAx>
        <c:axId val="891557376"/>
        <c:scaling>
          <c:orientation val="minMax"/>
        </c:scaling>
        <c:delete val="1"/>
        <c:axPos val="b"/>
        <c:numFmt formatCode="0" sourceLinked="1"/>
        <c:majorTickMark val="out"/>
        <c:minorTickMark val="none"/>
        <c:tickLblPos val="nextTo"/>
        <c:crossAx val="891558912"/>
        <c:crosses val="autoZero"/>
        <c:auto val="1"/>
        <c:lblAlgn val="ctr"/>
        <c:lblOffset val="100"/>
        <c:noMultiLvlLbl val="0"/>
      </c:catAx>
      <c:valAx>
        <c:axId val="891558912"/>
        <c:scaling>
          <c:orientation val="minMax"/>
        </c:scaling>
        <c:delete val="0"/>
        <c:axPos val="l"/>
        <c:title>
          <c:tx>
            <c:rich>
              <a:bodyPr rot="0" vert="horz"/>
              <a:lstStyle/>
              <a:p>
                <a:pPr>
                  <a:defRPr/>
                </a:pPr>
                <a:r>
                  <a:rPr lang="en-US"/>
                  <a:t>cbm mn</a:t>
                </a:r>
              </a:p>
            </c:rich>
          </c:tx>
          <c:layout>
            <c:manualLayout>
              <c:xMode val="edge"/>
              <c:yMode val="edge"/>
              <c:x val="0.12525259781825079"/>
              <c:y val="1.996166336870895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891557376"/>
        <c:crosses val="autoZero"/>
        <c:crossBetween val="midCat"/>
      </c:valAx>
      <c:spPr>
        <a:noFill/>
        <a:ln w="25400">
          <a:noFill/>
        </a:ln>
      </c:spPr>
    </c:plotArea>
    <c:legend>
      <c:legendPos val="r"/>
      <c:layout>
        <c:manualLayout>
          <c:xMode val="edge"/>
          <c:yMode val="edge"/>
          <c:x val="0.35690091674736002"/>
          <c:y val="0.65724534533204026"/>
          <c:w val="0.50391657042869631"/>
          <c:h val="0.14173655900187848"/>
        </c:manualLayout>
      </c:layout>
      <c:overlay val="0"/>
      <c:spPr>
        <a:solidFill>
          <a:sysClr val="window" lastClr="FFFFFF"/>
        </a:solid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userShapes r:id="rId1"/>
</c:chartSpace>
</file>

<file path=xl/charts/chart8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1602432"/>
        <c:axId val="891603968"/>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1609856"/>
        <c:axId val="891611392"/>
      </c:lineChart>
      <c:catAx>
        <c:axId val="891602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1603968"/>
        <c:crosses val="autoZero"/>
        <c:auto val="1"/>
        <c:lblAlgn val="ctr"/>
        <c:lblOffset val="100"/>
        <c:tickLblSkip val="1"/>
        <c:tickMarkSkip val="1"/>
        <c:noMultiLvlLbl val="0"/>
      </c:catAx>
      <c:valAx>
        <c:axId val="891603968"/>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1602432"/>
        <c:crosses val="autoZero"/>
        <c:crossBetween val="between"/>
      </c:valAx>
      <c:catAx>
        <c:axId val="891609856"/>
        <c:scaling>
          <c:orientation val="minMax"/>
        </c:scaling>
        <c:delete val="1"/>
        <c:axPos val="b"/>
        <c:numFmt formatCode="General" sourceLinked="1"/>
        <c:majorTickMark val="out"/>
        <c:minorTickMark val="none"/>
        <c:tickLblPos val="nextTo"/>
        <c:crossAx val="891611392"/>
        <c:crosses val="autoZero"/>
        <c:auto val="1"/>
        <c:lblAlgn val="ctr"/>
        <c:lblOffset val="100"/>
        <c:noMultiLvlLbl val="0"/>
      </c:catAx>
      <c:valAx>
        <c:axId val="891611392"/>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1609856"/>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8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1711488"/>
        <c:axId val="891713024"/>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1714560"/>
        <c:axId val="891720448"/>
      </c:lineChart>
      <c:catAx>
        <c:axId val="89171148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1713024"/>
        <c:crosses val="autoZero"/>
        <c:auto val="1"/>
        <c:lblAlgn val="ctr"/>
        <c:lblOffset val="100"/>
        <c:tickLblSkip val="1"/>
        <c:tickMarkSkip val="1"/>
        <c:noMultiLvlLbl val="0"/>
      </c:catAx>
      <c:valAx>
        <c:axId val="89171302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1711488"/>
        <c:crosses val="autoZero"/>
        <c:crossBetween val="between"/>
      </c:valAx>
      <c:catAx>
        <c:axId val="891714560"/>
        <c:scaling>
          <c:orientation val="minMax"/>
        </c:scaling>
        <c:delete val="1"/>
        <c:axPos val="b"/>
        <c:numFmt formatCode="General" sourceLinked="1"/>
        <c:majorTickMark val="out"/>
        <c:minorTickMark val="none"/>
        <c:tickLblPos val="nextTo"/>
        <c:crossAx val="891720448"/>
        <c:crosses val="autoZero"/>
        <c:auto val="1"/>
        <c:lblAlgn val="ctr"/>
        <c:lblOffset val="100"/>
        <c:noMultiLvlLbl val="0"/>
      </c:catAx>
      <c:valAx>
        <c:axId val="891720448"/>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171456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8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1750656"/>
        <c:axId val="891756544"/>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1758080"/>
        <c:axId val="891759616"/>
      </c:lineChart>
      <c:catAx>
        <c:axId val="891750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1756544"/>
        <c:crosses val="autoZero"/>
        <c:auto val="1"/>
        <c:lblAlgn val="ctr"/>
        <c:lblOffset val="100"/>
        <c:tickLblSkip val="1"/>
        <c:tickMarkSkip val="1"/>
        <c:noMultiLvlLbl val="0"/>
      </c:catAx>
      <c:valAx>
        <c:axId val="89175654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1750656"/>
        <c:crosses val="autoZero"/>
        <c:crossBetween val="between"/>
      </c:valAx>
      <c:catAx>
        <c:axId val="891758080"/>
        <c:scaling>
          <c:orientation val="minMax"/>
        </c:scaling>
        <c:delete val="1"/>
        <c:axPos val="b"/>
        <c:numFmt formatCode="General" sourceLinked="1"/>
        <c:majorTickMark val="out"/>
        <c:minorTickMark val="none"/>
        <c:tickLblPos val="nextTo"/>
        <c:crossAx val="891759616"/>
        <c:crosses val="autoZero"/>
        <c:auto val="1"/>
        <c:lblAlgn val="ctr"/>
        <c:lblOffset val="100"/>
        <c:noMultiLvlLbl val="0"/>
      </c:catAx>
      <c:valAx>
        <c:axId val="891759616"/>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175808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8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1790080"/>
        <c:axId val="891791616"/>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1793408"/>
        <c:axId val="891794944"/>
      </c:lineChart>
      <c:catAx>
        <c:axId val="891790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1791616"/>
        <c:crosses val="autoZero"/>
        <c:auto val="1"/>
        <c:lblAlgn val="ctr"/>
        <c:lblOffset val="100"/>
        <c:tickLblSkip val="1"/>
        <c:tickMarkSkip val="1"/>
        <c:noMultiLvlLbl val="0"/>
      </c:catAx>
      <c:valAx>
        <c:axId val="891791616"/>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1790080"/>
        <c:crosses val="autoZero"/>
        <c:crossBetween val="between"/>
      </c:valAx>
      <c:catAx>
        <c:axId val="891793408"/>
        <c:scaling>
          <c:orientation val="minMax"/>
        </c:scaling>
        <c:delete val="1"/>
        <c:axPos val="b"/>
        <c:numFmt formatCode="General" sourceLinked="1"/>
        <c:majorTickMark val="out"/>
        <c:minorTickMark val="none"/>
        <c:tickLblPos val="nextTo"/>
        <c:crossAx val="891794944"/>
        <c:crosses val="autoZero"/>
        <c:auto val="1"/>
        <c:lblAlgn val="ctr"/>
        <c:lblOffset val="100"/>
        <c:noMultiLvlLbl val="0"/>
      </c:catAx>
      <c:valAx>
        <c:axId val="891794944"/>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1793408"/>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8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1894784"/>
        <c:axId val="891904768"/>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1906304"/>
        <c:axId val="891912192"/>
      </c:lineChart>
      <c:catAx>
        <c:axId val="89189478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1904768"/>
        <c:crosses val="autoZero"/>
        <c:auto val="1"/>
        <c:lblAlgn val="ctr"/>
        <c:lblOffset val="100"/>
        <c:tickLblSkip val="1"/>
        <c:tickMarkSkip val="1"/>
        <c:noMultiLvlLbl val="0"/>
      </c:catAx>
      <c:valAx>
        <c:axId val="891904768"/>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1894784"/>
        <c:crosses val="autoZero"/>
        <c:crossBetween val="between"/>
      </c:valAx>
      <c:catAx>
        <c:axId val="891906304"/>
        <c:scaling>
          <c:orientation val="minMax"/>
        </c:scaling>
        <c:delete val="1"/>
        <c:axPos val="b"/>
        <c:numFmt formatCode="General" sourceLinked="1"/>
        <c:majorTickMark val="out"/>
        <c:minorTickMark val="none"/>
        <c:tickLblPos val="nextTo"/>
        <c:crossAx val="891912192"/>
        <c:crosses val="autoZero"/>
        <c:auto val="1"/>
        <c:lblAlgn val="ctr"/>
        <c:lblOffset val="100"/>
        <c:noMultiLvlLbl val="0"/>
      </c:catAx>
      <c:valAx>
        <c:axId val="891912192"/>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1906304"/>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8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1815424"/>
        <c:axId val="891816960"/>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1822848"/>
        <c:axId val="891824384"/>
      </c:lineChart>
      <c:catAx>
        <c:axId val="891815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1816960"/>
        <c:crosses val="autoZero"/>
        <c:auto val="1"/>
        <c:lblAlgn val="ctr"/>
        <c:lblOffset val="100"/>
        <c:tickLblSkip val="1"/>
        <c:tickMarkSkip val="1"/>
        <c:noMultiLvlLbl val="0"/>
      </c:catAx>
      <c:valAx>
        <c:axId val="891816960"/>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1815424"/>
        <c:crosses val="autoZero"/>
        <c:crossBetween val="between"/>
      </c:valAx>
      <c:catAx>
        <c:axId val="891822848"/>
        <c:scaling>
          <c:orientation val="minMax"/>
        </c:scaling>
        <c:delete val="1"/>
        <c:axPos val="b"/>
        <c:numFmt formatCode="General" sourceLinked="1"/>
        <c:majorTickMark val="out"/>
        <c:minorTickMark val="none"/>
        <c:tickLblPos val="nextTo"/>
        <c:crossAx val="891824384"/>
        <c:crosses val="autoZero"/>
        <c:auto val="1"/>
        <c:lblAlgn val="ctr"/>
        <c:lblOffset val="100"/>
        <c:noMultiLvlLbl val="0"/>
      </c:catAx>
      <c:valAx>
        <c:axId val="891824384"/>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1822848"/>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8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79906952689382"/>
          <c:y val="9.4563225289174768E-2"/>
          <c:w val="0.87320093047310621"/>
          <c:h val="0.79432853856436514"/>
        </c:manualLayout>
      </c:layout>
      <c:barChart>
        <c:barDir val="col"/>
        <c:grouping val="stacked"/>
        <c:varyColors val="0"/>
        <c:ser>
          <c:idx val="2"/>
          <c:order val="0"/>
          <c:tx>
            <c:strRef>
              <c:f>ChartSupport!$A$352</c:f>
              <c:strCache>
                <c:ptCount val="1"/>
                <c:pt idx="0">
                  <c:v>Brazil</c:v>
                </c:pt>
              </c:strCache>
            </c:strRef>
          </c:tx>
          <c:invertIfNegative val="0"/>
          <c:dPt>
            <c:idx val="0"/>
            <c:invertIfNegative val="0"/>
            <c:bubble3D val="0"/>
            <c:spPr>
              <a:solidFill>
                <a:schemeClr val="accent3"/>
              </a:solidFill>
            </c:spPr>
          </c:dPt>
          <c:dPt>
            <c:idx val="1"/>
            <c:invertIfNegative val="0"/>
            <c:bubble3D val="0"/>
            <c:spPr>
              <a:solidFill>
                <a:schemeClr val="accent3"/>
              </a:solidFill>
            </c:spPr>
          </c:dPt>
          <c:dLbls>
            <c:numFmt formatCode="0%" sourceLinked="0"/>
            <c:showLegendKey val="0"/>
            <c:showVal val="1"/>
            <c:showCatName val="0"/>
            <c:showSerName val="0"/>
            <c:showPercent val="0"/>
            <c:showBubbleSize val="0"/>
            <c:showLeaderLines val="0"/>
          </c:dLbls>
          <c:cat>
            <c:strRef>
              <c:f>ChartSupport!$B$351:$C$351</c:f>
              <c:strCache>
                <c:ptCount val="2"/>
                <c:pt idx="0">
                  <c:v>Sugar</c:v>
                </c:pt>
                <c:pt idx="1">
                  <c:v>Ethanol</c:v>
                </c:pt>
              </c:strCache>
            </c:strRef>
          </c:cat>
          <c:val>
            <c:numRef>
              <c:f>ChartSupport!$B$352:$C$352</c:f>
              <c:numCache>
                <c:formatCode>0%</c:formatCode>
                <c:ptCount val="2"/>
                <c:pt idx="0">
                  <c:v>8.9357967155101248E-2</c:v>
                </c:pt>
                <c:pt idx="1">
                  <c:v>0.86690266856538412</c:v>
                </c:pt>
              </c:numCache>
            </c:numRef>
          </c:val>
        </c:ser>
        <c:ser>
          <c:idx val="3"/>
          <c:order val="1"/>
          <c:tx>
            <c:strRef>
              <c:f>ChartSupport!$A$353</c:f>
              <c:strCache>
                <c:ptCount val="1"/>
                <c:pt idx="0">
                  <c:v>Export</c:v>
                </c:pt>
              </c:strCache>
            </c:strRef>
          </c:tx>
          <c:invertIfNegative val="0"/>
          <c:dPt>
            <c:idx val="0"/>
            <c:invertIfNegative val="0"/>
            <c:bubble3D val="0"/>
            <c:spPr>
              <a:solidFill>
                <a:schemeClr val="bg2"/>
              </a:solidFill>
            </c:spPr>
          </c:dPt>
          <c:dPt>
            <c:idx val="1"/>
            <c:invertIfNegative val="0"/>
            <c:bubble3D val="0"/>
            <c:spPr>
              <a:solidFill>
                <a:schemeClr val="bg2"/>
              </a:solidFill>
            </c:spPr>
          </c:dPt>
          <c:dLbls>
            <c:numFmt formatCode="0%" sourceLinked="0"/>
            <c:showLegendKey val="0"/>
            <c:showVal val="1"/>
            <c:showCatName val="0"/>
            <c:showSerName val="0"/>
            <c:showPercent val="0"/>
            <c:showBubbleSize val="0"/>
            <c:showLeaderLines val="0"/>
          </c:dLbls>
          <c:cat>
            <c:strRef>
              <c:f>ChartSupport!$B$351:$C$351</c:f>
              <c:strCache>
                <c:ptCount val="2"/>
                <c:pt idx="0">
                  <c:v>Sugar</c:v>
                </c:pt>
                <c:pt idx="1">
                  <c:v>Ethanol</c:v>
                </c:pt>
              </c:strCache>
            </c:strRef>
          </c:cat>
          <c:val>
            <c:numRef>
              <c:f>ChartSupport!$B$353:$C$353</c:f>
              <c:numCache>
                <c:formatCode>0%</c:formatCode>
                <c:ptCount val="2"/>
                <c:pt idx="0">
                  <c:v>0.91064203284489875</c:v>
                </c:pt>
                <c:pt idx="1">
                  <c:v>0.13309733143461588</c:v>
                </c:pt>
              </c:numCache>
            </c:numRef>
          </c:val>
        </c:ser>
        <c:dLbls>
          <c:showLegendKey val="0"/>
          <c:showVal val="0"/>
          <c:showCatName val="0"/>
          <c:showSerName val="0"/>
          <c:showPercent val="0"/>
          <c:showBubbleSize val="0"/>
        </c:dLbls>
        <c:gapWidth val="40"/>
        <c:overlap val="100"/>
        <c:axId val="891864192"/>
        <c:axId val="891865728"/>
      </c:barChart>
      <c:catAx>
        <c:axId val="891864192"/>
        <c:scaling>
          <c:orientation val="minMax"/>
        </c:scaling>
        <c:delete val="0"/>
        <c:axPos val="b"/>
        <c:numFmt formatCode="General" sourceLinked="1"/>
        <c:majorTickMark val="out"/>
        <c:minorTickMark val="none"/>
        <c:tickLblPos val="nextTo"/>
        <c:txPr>
          <a:bodyPr rot="0" vert="horz"/>
          <a:lstStyle/>
          <a:p>
            <a:pPr>
              <a:defRPr/>
            </a:pPr>
            <a:endParaRPr lang="en-US"/>
          </a:p>
        </c:txPr>
        <c:crossAx val="891865728"/>
        <c:crosses val="autoZero"/>
        <c:auto val="1"/>
        <c:lblAlgn val="ctr"/>
        <c:lblOffset val="100"/>
        <c:tickLblSkip val="1"/>
        <c:tickMarkSkip val="1"/>
        <c:noMultiLvlLbl val="0"/>
      </c:catAx>
      <c:valAx>
        <c:axId val="891865728"/>
        <c:scaling>
          <c:orientation val="minMax"/>
          <c:max val="1"/>
        </c:scaling>
        <c:delete val="0"/>
        <c:axPos val="l"/>
        <c:numFmt formatCode="0%" sourceLinked="0"/>
        <c:majorTickMark val="out"/>
        <c:minorTickMark val="none"/>
        <c:tickLblPos val="nextTo"/>
        <c:txPr>
          <a:bodyPr rot="0" vert="horz"/>
          <a:lstStyle/>
          <a:p>
            <a:pPr>
              <a:defRPr/>
            </a:pPr>
            <a:endParaRPr lang="en-US"/>
          </a:p>
        </c:txPr>
        <c:crossAx val="891864192"/>
        <c:crosses val="autoZero"/>
        <c:crossBetween val="between"/>
      </c:valAx>
      <c:spPr>
        <a:ln>
          <a:noFill/>
        </a:ln>
      </c:spPr>
    </c:plotArea>
    <c:legend>
      <c:legendPos val="t"/>
      <c:layout>
        <c:manualLayout>
          <c:xMode val="edge"/>
          <c:yMode val="edge"/>
          <c:x val="0.14271265597906208"/>
          <c:y val="8.5352846651849772E-3"/>
          <c:w val="0.72689725293475771"/>
          <c:h val="6.5489155820022432E-2"/>
        </c:manualLayout>
      </c:layout>
      <c:overlay val="0"/>
      <c:txPr>
        <a:bodyPr/>
        <a:lstStyle/>
        <a:p>
          <a:pPr>
            <a:defRPr sz="800"/>
          </a:pPr>
          <a:endParaRPr lang="en-US"/>
        </a:p>
      </c:txPr>
    </c:legend>
    <c:plotVisOnly val="1"/>
    <c:dispBlanksAs val="gap"/>
    <c:showDLblsOverMax val="0"/>
  </c:chart>
  <c:spPr>
    <a:ln>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9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2039168"/>
        <c:axId val="892040704"/>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2042240"/>
        <c:axId val="892052224"/>
      </c:lineChart>
      <c:catAx>
        <c:axId val="892039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2040704"/>
        <c:crosses val="autoZero"/>
        <c:auto val="1"/>
        <c:lblAlgn val="ctr"/>
        <c:lblOffset val="100"/>
        <c:tickLblSkip val="1"/>
        <c:tickMarkSkip val="1"/>
        <c:noMultiLvlLbl val="0"/>
      </c:catAx>
      <c:valAx>
        <c:axId val="89204070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2039168"/>
        <c:crosses val="autoZero"/>
        <c:crossBetween val="between"/>
      </c:valAx>
      <c:catAx>
        <c:axId val="892042240"/>
        <c:scaling>
          <c:orientation val="minMax"/>
        </c:scaling>
        <c:delete val="1"/>
        <c:axPos val="b"/>
        <c:numFmt formatCode="General" sourceLinked="1"/>
        <c:majorTickMark val="out"/>
        <c:minorTickMark val="none"/>
        <c:tickLblPos val="nextTo"/>
        <c:crossAx val="892052224"/>
        <c:crosses val="autoZero"/>
        <c:auto val="1"/>
        <c:lblAlgn val="ctr"/>
        <c:lblOffset val="100"/>
        <c:noMultiLvlLbl val="0"/>
      </c:catAx>
      <c:valAx>
        <c:axId val="892052224"/>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204224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9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2070144"/>
        <c:axId val="892534784"/>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2536320"/>
        <c:axId val="892537856"/>
      </c:lineChart>
      <c:catAx>
        <c:axId val="892070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2534784"/>
        <c:crosses val="autoZero"/>
        <c:auto val="1"/>
        <c:lblAlgn val="ctr"/>
        <c:lblOffset val="100"/>
        <c:tickLblSkip val="1"/>
        <c:tickMarkSkip val="1"/>
        <c:noMultiLvlLbl val="0"/>
      </c:catAx>
      <c:valAx>
        <c:axId val="89253478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2070144"/>
        <c:crosses val="autoZero"/>
        <c:crossBetween val="between"/>
      </c:valAx>
      <c:catAx>
        <c:axId val="892536320"/>
        <c:scaling>
          <c:orientation val="minMax"/>
        </c:scaling>
        <c:delete val="1"/>
        <c:axPos val="b"/>
        <c:numFmt formatCode="General" sourceLinked="1"/>
        <c:majorTickMark val="out"/>
        <c:minorTickMark val="none"/>
        <c:tickLblPos val="nextTo"/>
        <c:crossAx val="892537856"/>
        <c:crosses val="autoZero"/>
        <c:auto val="1"/>
        <c:lblAlgn val="ctr"/>
        <c:lblOffset val="100"/>
        <c:noMultiLvlLbl val="0"/>
      </c:catAx>
      <c:valAx>
        <c:axId val="892537856"/>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253632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9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2564224"/>
        <c:axId val="892565760"/>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2575744"/>
        <c:axId val="892577280"/>
      </c:lineChart>
      <c:catAx>
        <c:axId val="892564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2565760"/>
        <c:crosses val="autoZero"/>
        <c:auto val="1"/>
        <c:lblAlgn val="ctr"/>
        <c:lblOffset val="100"/>
        <c:tickLblSkip val="1"/>
        <c:tickMarkSkip val="1"/>
        <c:noMultiLvlLbl val="0"/>
      </c:catAx>
      <c:valAx>
        <c:axId val="892565760"/>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2564224"/>
        <c:crosses val="autoZero"/>
        <c:crossBetween val="between"/>
      </c:valAx>
      <c:catAx>
        <c:axId val="892575744"/>
        <c:scaling>
          <c:orientation val="minMax"/>
        </c:scaling>
        <c:delete val="1"/>
        <c:axPos val="b"/>
        <c:numFmt formatCode="General" sourceLinked="1"/>
        <c:majorTickMark val="out"/>
        <c:minorTickMark val="none"/>
        <c:tickLblPos val="nextTo"/>
        <c:crossAx val="892577280"/>
        <c:crosses val="autoZero"/>
        <c:auto val="1"/>
        <c:lblAlgn val="ctr"/>
        <c:lblOffset val="100"/>
        <c:noMultiLvlLbl val="0"/>
      </c:catAx>
      <c:valAx>
        <c:axId val="892577280"/>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2575744"/>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9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2619776"/>
        <c:axId val="892625664"/>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2627200"/>
        <c:axId val="892628992"/>
      </c:lineChart>
      <c:catAx>
        <c:axId val="892619776"/>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2625664"/>
        <c:crosses val="autoZero"/>
        <c:auto val="1"/>
        <c:lblAlgn val="ctr"/>
        <c:lblOffset val="100"/>
        <c:tickLblSkip val="1"/>
        <c:tickMarkSkip val="1"/>
        <c:noMultiLvlLbl val="0"/>
      </c:catAx>
      <c:valAx>
        <c:axId val="89262566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2619776"/>
        <c:crosses val="autoZero"/>
        <c:crossBetween val="between"/>
      </c:valAx>
      <c:catAx>
        <c:axId val="892627200"/>
        <c:scaling>
          <c:orientation val="minMax"/>
        </c:scaling>
        <c:delete val="1"/>
        <c:axPos val="b"/>
        <c:numFmt formatCode="General" sourceLinked="1"/>
        <c:majorTickMark val="out"/>
        <c:minorTickMark val="none"/>
        <c:tickLblPos val="nextTo"/>
        <c:crossAx val="892628992"/>
        <c:crosses val="autoZero"/>
        <c:auto val="1"/>
        <c:lblAlgn val="ctr"/>
        <c:lblOffset val="100"/>
        <c:noMultiLvlLbl val="0"/>
      </c:catAx>
      <c:valAx>
        <c:axId val="892628992"/>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262720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9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2659200"/>
        <c:axId val="892660736"/>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0114816"/>
        <c:axId val="890116352"/>
      </c:lineChart>
      <c:catAx>
        <c:axId val="89265920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2660736"/>
        <c:crosses val="autoZero"/>
        <c:auto val="1"/>
        <c:lblAlgn val="ctr"/>
        <c:lblOffset val="100"/>
        <c:tickLblSkip val="1"/>
        <c:tickMarkSkip val="1"/>
        <c:noMultiLvlLbl val="0"/>
      </c:catAx>
      <c:valAx>
        <c:axId val="892660736"/>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2659200"/>
        <c:crosses val="autoZero"/>
        <c:crossBetween val="between"/>
      </c:valAx>
      <c:catAx>
        <c:axId val="890114816"/>
        <c:scaling>
          <c:orientation val="minMax"/>
        </c:scaling>
        <c:delete val="1"/>
        <c:axPos val="b"/>
        <c:numFmt formatCode="General" sourceLinked="1"/>
        <c:majorTickMark val="out"/>
        <c:minorTickMark val="none"/>
        <c:tickLblPos val="nextTo"/>
        <c:crossAx val="890116352"/>
        <c:crosses val="autoZero"/>
        <c:auto val="1"/>
        <c:lblAlgn val="ctr"/>
        <c:lblOffset val="100"/>
        <c:noMultiLvlLbl val="0"/>
      </c:catAx>
      <c:valAx>
        <c:axId val="890116352"/>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0114816"/>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9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0150912"/>
        <c:axId val="890152448"/>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0153984"/>
        <c:axId val="890155776"/>
      </c:lineChart>
      <c:catAx>
        <c:axId val="890150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0152448"/>
        <c:crosses val="autoZero"/>
        <c:auto val="1"/>
        <c:lblAlgn val="ctr"/>
        <c:lblOffset val="100"/>
        <c:tickLblSkip val="1"/>
        <c:tickMarkSkip val="1"/>
        <c:noMultiLvlLbl val="0"/>
      </c:catAx>
      <c:valAx>
        <c:axId val="890152448"/>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0150912"/>
        <c:crosses val="autoZero"/>
        <c:crossBetween val="between"/>
      </c:valAx>
      <c:catAx>
        <c:axId val="890153984"/>
        <c:scaling>
          <c:orientation val="minMax"/>
        </c:scaling>
        <c:delete val="1"/>
        <c:axPos val="b"/>
        <c:numFmt formatCode="General" sourceLinked="1"/>
        <c:majorTickMark val="out"/>
        <c:minorTickMark val="none"/>
        <c:tickLblPos val="nextTo"/>
        <c:crossAx val="890155776"/>
        <c:crosses val="autoZero"/>
        <c:auto val="1"/>
        <c:lblAlgn val="ctr"/>
        <c:lblOffset val="100"/>
        <c:noMultiLvlLbl val="0"/>
      </c:catAx>
      <c:valAx>
        <c:axId val="890155776"/>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0153984"/>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9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0259712"/>
        <c:axId val="890269696"/>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0271232"/>
        <c:axId val="890272768"/>
      </c:lineChart>
      <c:catAx>
        <c:axId val="890259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0269696"/>
        <c:crosses val="autoZero"/>
        <c:auto val="1"/>
        <c:lblAlgn val="ctr"/>
        <c:lblOffset val="100"/>
        <c:tickLblSkip val="1"/>
        <c:tickMarkSkip val="1"/>
        <c:noMultiLvlLbl val="0"/>
      </c:catAx>
      <c:valAx>
        <c:axId val="890269696"/>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0259712"/>
        <c:crosses val="autoZero"/>
        <c:crossBetween val="between"/>
      </c:valAx>
      <c:catAx>
        <c:axId val="890271232"/>
        <c:scaling>
          <c:orientation val="minMax"/>
        </c:scaling>
        <c:delete val="1"/>
        <c:axPos val="b"/>
        <c:numFmt formatCode="General" sourceLinked="1"/>
        <c:majorTickMark val="out"/>
        <c:minorTickMark val="none"/>
        <c:tickLblPos val="nextTo"/>
        <c:crossAx val="890272768"/>
        <c:crosses val="autoZero"/>
        <c:auto val="1"/>
        <c:lblAlgn val="ctr"/>
        <c:lblOffset val="100"/>
        <c:noMultiLvlLbl val="0"/>
      </c:catAx>
      <c:valAx>
        <c:axId val="890272768"/>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0271232"/>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9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0290944"/>
        <c:axId val="890292480"/>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0302464"/>
        <c:axId val="890304000"/>
      </c:lineChart>
      <c:catAx>
        <c:axId val="890290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0292480"/>
        <c:crosses val="autoZero"/>
        <c:auto val="1"/>
        <c:lblAlgn val="ctr"/>
        <c:lblOffset val="100"/>
        <c:tickLblSkip val="1"/>
        <c:tickMarkSkip val="1"/>
        <c:noMultiLvlLbl val="0"/>
      </c:catAx>
      <c:valAx>
        <c:axId val="890292480"/>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0290944"/>
        <c:crosses val="autoZero"/>
        <c:crossBetween val="between"/>
      </c:valAx>
      <c:catAx>
        <c:axId val="890302464"/>
        <c:scaling>
          <c:orientation val="minMax"/>
        </c:scaling>
        <c:delete val="1"/>
        <c:axPos val="b"/>
        <c:numFmt formatCode="General" sourceLinked="1"/>
        <c:majorTickMark val="out"/>
        <c:minorTickMark val="none"/>
        <c:tickLblPos val="nextTo"/>
        <c:crossAx val="890304000"/>
        <c:crosses val="autoZero"/>
        <c:auto val="1"/>
        <c:lblAlgn val="ctr"/>
        <c:lblOffset val="100"/>
        <c:noMultiLvlLbl val="0"/>
      </c:catAx>
      <c:valAx>
        <c:axId val="890304000"/>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0302464"/>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9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0203136"/>
        <c:axId val="890209024"/>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0210560"/>
        <c:axId val="890224640"/>
      </c:lineChart>
      <c:catAx>
        <c:axId val="890203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0209024"/>
        <c:crosses val="autoZero"/>
        <c:auto val="1"/>
        <c:lblAlgn val="ctr"/>
        <c:lblOffset val="100"/>
        <c:tickLblSkip val="1"/>
        <c:tickMarkSkip val="1"/>
        <c:noMultiLvlLbl val="0"/>
      </c:catAx>
      <c:valAx>
        <c:axId val="89020902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0203136"/>
        <c:crosses val="autoZero"/>
        <c:crossBetween val="between"/>
      </c:valAx>
      <c:catAx>
        <c:axId val="890210560"/>
        <c:scaling>
          <c:orientation val="minMax"/>
        </c:scaling>
        <c:delete val="1"/>
        <c:axPos val="b"/>
        <c:numFmt formatCode="General" sourceLinked="1"/>
        <c:majorTickMark val="out"/>
        <c:minorTickMark val="none"/>
        <c:tickLblPos val="nextTo"/>
        <c:crossAx val="890224640"/>
        <c:crosses val="autoZero"/>
        <c:auto val="1"/>
        <c:lblAlgn val="ctr"/>
        <c:lblOffset val="100"/>
        <c:noMultiLvlLbl val="0"/>
      </c:catAx>
      <c:valAx>
        <c:axId val="890224640"/>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021056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9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2741120"/>
        <c:axId val="892742656"/>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2748544"/>
        <c:axId val="892750080"/>
      </c:lineChart>
      <c:catAx>
        <c:axId val="892741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2742656"/>
        <c:crosses val="autoZero"/>
        <c:auto val="1"/>
        <c:lblAlgn val="ctr"/>
        <c:lblOffset val="100"/>
        <c:tickLblSkip val="1"/>
        <c:tickMarkSkip val="1"/>
        <c:noMultiLvlLbl val="0"/>
      </c:catAx>
      <c:valAx>
        <c:axId val="892742656"/>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2741120"/>
        <c:crosses val="autoZero"/>
        <c:crossBetween val="between"/>
      </c:valAx>
      <c:catAx>
        <c:axId val="892748544"/>
        <c:scaling>
          <c:orientation val="minMax"/>
        </c:scaling>
        <c:delete val="1"/>
        <c:axPos val="b"/>
        <c:numFmt formatCode="General" sourceLinked="1"/>
        <c:majorTickMark val="out"/>
        <c:minorTickMark val="none"/>
        <c:tickLblPos val="nextTo"/>
        <c:crossAx val="892750080"/>
        <c:crosses val="autoZero"/>
        <c:auto val="1"/>
        <c:lblAlgn val="ctr"/>
        <c:lblOffset val="100"/>
        <c:noMultiLvlLbl val="0"/>
      </c:catAx>
      <c:valAx>
        <c:axId val="892750080"/>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2748544"/>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0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2792832"/>
        <c:axId val="892794368"/>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2795904"/>
        <c:axId val="892797696"/>
      </c:lineChart>
      <c:catAx>
        <c:axId val="892792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2794368"/>
        <c:crosses val="autoZero"/>
        <c:auto val="1"/>
        <c:lblAlgn val="ctr"/>
        <c:lblOffset val="100"/>
        <c:tickLblSkip val="1"/>
        <c:tickMarkSkip val="1"/>
        <c:noMultiLvlLbl val="0"/>
      </c:catAx>
      <c:valAx>
        <c:axId val="892794368"/>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2792832"/>
        <c:crosses val="autoZero"/>
        <c:crossBetween val="between"/>
      </c:valAx>
      <c:catAx>
        <c:axId val="892795904"/>
        <c:scaling>
          <c:orientation val="minMax"/>
        </c:scaling>
        <c:delete val="1"/>
        <c:axPos val="b"/>
        <c:numFmt formatCode="General" sourceLinked="1"/>
        <c:majorTickMark val="out"/>
        <c:minorTickMark val="none"/>
        <c:tickLblPos val="nextTo"/>
        <c:crossAx val="892797696"/>
        <c:crosses val="autoZero"/>
        <c:auto val="1"/>
        <c:lblAlgn val="ctr"/>
        <c:lblOffset val="100"/>
        <c:noMultiLvlLbl val="0"/>
      </c:catAx>
      <c:valAx>
        <c:axId val="892797696"/>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2795904"/>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0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2819712"/>
        <c:axId val="892825600"/>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2827136"/>
        <c:axId val="892828672"/>
      </c:lineChart>
      <c:catAx>
        <c:axId val="892819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2825600"/>
        <c:crosses val="autoZero"/>
        <c:auto val="1"/>
        <c:lblAlgn val="ctr"/>
        <c:lblOffset val="100"/>
        <c:tickLblSkip val="1"/>
        <c:tickMarkSkip val="1"/>
        <c:noMultiLvlLbl val="0"/>
      </c:catAx>
      <c:valAx>
        <c:axId val="892825600"/>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2819712"/>
        <c:crosses val="autoZero"/>
        <c:crossBetween val="between"/>
      </c:valAx>
      <c:catAx>
        <c:axId val="892827136"/>
        <c:scaling>
          <c:orientation val="minMax"/>
        </c:scaling>
        <c:delete val="1"/>
        <c:axPos val="b"/>
        <c:numFmt formatCode="General" sourceLinked="1"/>
        <c:majorTickMark val="out"/>
        <c:minorTickMark val="none"/>
        <c:tickLblPos val="nextTo"/>
        <c:crossAx val="892828672"/>
        <c:crosses val="autoZero"/>
        <c:auto val="1"/>
        <c:lblAlgn val="ctr"/>
        <c:lblOffset val="100"/>
        <c:noMultiLvlLbl val="0"/>
      </c:catAx>
      <c:valAx>
        <c:axId val="892828672"/>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2827136"/>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0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267065898879634E-2"/>
          <c:y val="4.7318611987381701E-2"/>
          <c:w val="0.88220008052816246"/>
          <c:h val="0.79764868400737832"/>
        </c:manualLayout>
      </c:layout>
      <c:lineChart>
        <c:grouping val="standard"/>
        <c:varyColors val="0"/>
        <c:ser>
          <c:idx val="2"/>
          <c:order val="0"/>
          <c:tx>
            <c:strRef>
              <c:f>ChartSupport!$A$363</c:f>
              <c:strCache>
                <c:ptCount val="1"/>
                <c:pt idx="0">
                  <c:v>Net income</c:v>
                </c:pt>
              </c:strCache>
            </c:strRef>
          </c:tx>
          <c:spPr>
            <a:ln w="25400">
              <a:solidFill>
                <a:schemeClr val="accent1"/>
              </a:solidFill>
              <a:prstDash val="solid"/>
            </a:ln>
          </c:spPr>
          <c:marker>
            <c:symbol val="none"/>
          </c:marke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ChartSupport!$B$363:$BY$363</c:f>
              <c:numCache>
                <c:formatCode>#,##0_);\(#,##0\)</c:formatCode>
                <c:ptCount val="48"/>
                <c:pt idx="0">
                  <c:v>18.748999999999992</c:v>
                </c:pt>
                <c:pt idx="1">
                  <c:v>30.741999999999987</c:v>
                </c:pt>
                <c:pt idx="2">
                  <c:v>15.652999999999995</c:v>
                </c:pt>
                <c:pt idx="3">
                  <c:v>-0.6180000000000021</c:v>
                </c:pt>
                <c:pt idx="4">
                  <c:v>-11.591999999999969</c:v>
                </c:pt>
                <c:pt idx="5">
                  <c:v>-32.139999999999993</c:v>
                </c:pt>
                <c:pt idx="6">
                  <c:v>-5.7770000000000055</c:v>
                </c:pt>
                <c:pt idx="7">
                  <c:v>0.71500000000000119</c:v>
                </c:pt>
                <c:pt idx="8">
                  <c:v>-26.230000000000004</c:v>
                </c:pt>
                <c:pt idx="9">
                  <c:v>-42.428000000000011</c:v>
                </c:pt>
                <c:pt idx="10">
                  <c:v>-36.36099999999999</c:v>
                </c:pt>
                <c:pt idx="11">
                  <c:v>33.153999999999975</c:v>
                </c:pt>
                <c:pt idx="12">
                  <c:v>28.906999999999982</c:v>
                </c:pt>
                <c:pt idx="13">
                  <c:v>20.249000000000006</c:v>
                </c:pt>
                <c:pt idx="14">
                  <c:v>23.139999999999976</c:v>
                </c:pt>
                <c:pt idx="15">
                  <c:v>25.776000000000014</c:v>
                </c:pt>
                <c:pt idx="16">
                  <c:v>19.071999999999953</c:v>
                </c:pt>
                <c:pt idx="17">
                  <c:v>41.676000000000016</c:v>
                </c:pt>
                <c:pt idx="18">
                  <c:v>69.664999999999978</c:v>
                </c:pt>
                <c:pt idx="19">
                  <c:v>11.877999999999936</c:v>
                </c:pt>
                <c:pt idx="20">
                  <c:v>37.964000000000034</c:v>
                </c:pt>
                <c:pt idx="21">
                  <c:v>48.666999999999959</c:v>
                </c:pt>
                <c:pt idx="22">
                  <c:v>55.455999999999996</c:v>
                </c:pt>
                <c:pt idx="23">
                  <c:v>-15.475999999999981</c:v>
                </c:pt>
                <c:pt idx="24">
                  <c:v>2.3780000000000019</c:v>
                </c:pt>
                <c:pt idx="25">
                  <c:v>50.523000000000017</c:v>
                </c:pt>
                <c:pt idx="26">
                  <c:v>7.31000000000002</c:v>
                </c:pt>
                <c:pt idx="27">
                  <c:v>12.738999999999947</c:v>
                </c:pt>
                <c:pt idx="28">
                  <c:v>34.728999999999999</c:v>
                </c:pt>
                <c:pt idx="29">
                  <c:v>60.887000000000022</c:v>
                </c:pt>
                <c:pt idx="30">
                  <c:v>32.958000000000027</c:v>
                </c:pt>
                <c:pt idx="31">
                  <c:v>6.4279999999999688</c:v>
                </c:pt>
                <c:pt idx="32">
                  <c:v>60.726000000000028</c:v>
                </c:pt>
                <c:pt idx="33">
                  <c:v>115.22200000000002</c:v>
                </c:pt>
                <c:pt idx="34">
                  <c:v>53.539999999999978</c:v>
                </c:pt>
                <c:pt idx="35">
                  <c:v>56.570000000000114</c:v>
                </c:pt>
                <c:pt idx="36">
                  <c:v>33.073000000000008</c:v>
                </c:pt>
                <c:pt idx="37">
                  <c:v>21.053999999999956</c:v>
                </c:pt>
                <c:pt idx="38">
                  <c:v>76.019999999999982</c:v>
                </c:pt>
                <c:pt idx="39">
                  <c:v>69.325999999999937</c:v>
                </c:pt>
                <c:pt idx="40">
                  <c:v>39.669000000000047</c:v>
                </c:pt>
                <c:pt idx="41">
                  <c:v>68.912999999999982</c:v>
                </c:pt>
                <c:pt idx="42">
                  <c:v>55.863999999999962</c:v>
                </c:pt>
                <c:pt idx="43">
                  <c:v>119.44100000000003</c:v>
                </c:pt>
                <c:pt idx="44">
                  <c:v>116.87300000000002</c:v>
                </c:pt>
                <c:pt idx="45">
                  <c:v>167.97690711466393</c:v>
                </c:pt>
                <c:pt idx="46">
                  <c:v>108.13490503887017</c:v>
                </c:pt>
                <c:pt idx="47">
                  <c:v>129.81707446395905</c:v>
                </c:pt>
              </c:numCache>
            </c:numRef>
          </c:val>
          <c:smooth val="0"/>
        </c:ser>
        <c:ser>
          <c:idx val="4"/>
          <c:order val="4"/>
          <c:tx>
            <c:v>zeroline</c:v>
          </c:tx>
          <c:spPr>
            <a:ln w="3175">
              <a:solidFill>
                <a:schemeClr val="bg1">
                  <a:lumMod val="50000"/>
                </a:schemeClr>
              </a:solidFill>
            </a:ln>
          </c:spPr>
          <c:marker>
            <c:symbol val="none"/>
          </c:marker>
          <c:val>
            <c:numRef>
              <c:f>ChartSupport!$B$421:$BY$421</c:f>
              <c:numCache>
                <c:formatCode>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892891136"/>
        <c:axId val="892892672"/>
      </c:lineChart>
      <c:scatterChart>
        <c:scatterStyle val="lineMarker"/>
        <c:varyColors val="0"/>
        <c:ser>
          <c:idx val="0"/>
          <c:order val="1"/>
          <c:tx>
            <c:v>Line1</c:v>
          </c:tx>
          <c:spPr>
            <a:ln w="25400">
              <a:solidFill>
                <a:srgbClr val="FF0000"/>
              </a:solidFill>
            </a:ln>
          </c:spPr>
          <c:marker>
            <c:symbol val="none"/>
          </c:marker>
          <c:xVal>
            <c:numRef>
              <c:f>ChartSupport!$U$428:$V$428</c:f>
              <c:numCache>
                <c:formatCode>General</c:formatCode>
                <c:ptCount val="2"/>
                <c:pt idx="0">
                  <c:v>38</c:v>
                </c:pt>
                <c:pt idx="1">
                  <c:v>38</c:v>
                </c:pt>
              </c:numCache>
            </c:numRef>
          </c:xVal>
          <c:yVal>
            <c:numRef>
              <c:f>ChartSupport!$U$431:$V$431</c:f>
              <c:numCache>
                <c:formatCode>General</c:formatCode>
                <c:ptCount val="2"/>
                <c:pt idx="0">
                  <c:v>0</c:v>
                </c:pt>
                <c:pt idx="1">
                  <c:v>10000</c:v>
                </c:pt>
              </c:numCache>
            </c:numRef>
          </c:yVal>
          <c:smooth val="0"/>
        </c:ser>
        <c:ser>
          <c:idx val="1"/>
          <c:order val="2"/>
          <c:tx>
            <c:v>Line2</c:v>
          </c:tx>
          <c:spPr>
            <a:ln w="25400">
              <a:solidFill>
                <a:srgbClr val="FF0000"/>
              </a:solidFill>
            </a:ln>
          </c:spPr>
          <c:marker>
            <c:symbol val="none"/>
          </c:marker>
          <c:xVal>
            <c:numRef>
              <c:f>ChartSupport!$U$429:$V$429</c:f>
              <c:numCache>
                <c:formatCode>General</c:formatCode>
                <c:ptCount val="2"/>
                <c:pt idx="0">
                  <c:v>42</c:v>
                </c:pt>
                <c:pt idx="1">
                  <c:v>42</c:v>
                </c:pt>
              </c:numCache>
            </c:numRef>
          </c:xVal>
          <c:yVal>
            <c:numRef>
              <c:f>ChartSupport!$U$431:$V$431</c:f>
              <c:numCache>
                <c:formatCode>General</c:formatCode>
                <c:ptCount val="2"/>
                <c:pt idx="0">
                  <c:v>0</c:v>
                </c:pt>
                <c:pt idx="1">
                  <c:v>10000</c:v>
                </c:pt>
              </c:numCache>
            </c:numRef>
          </c:yVal>
          <c:smooth val="0"/>
        </c:ser>
        <c:ser>
          <c:idx val="3"/>
          <c:order val="3"/>
          <c:tx>
            <c:v>Line3</c:v>
          </c:tx>
          <c:spPr>
            <a:ln w="25400">
              <a:solidFill>
                <a:srgbClr val="FF0000"/>
              </a:solidFill>
              <a:prstDash val="dash"/>
            </a:ln>
          </c:spPr>
          <c:marker>
            <c:symbol val="none"/>
          </c:marker>
          <c:xVal>
            <c:numRef>
              <c:f>ChartSupport!$U$430:$V$430</c:f>
              <c:numCache>
                <c:formatCode>General</c:formatCode>
                <c:ptCount val="2"/>
                <c:pt idx="0">
                  <c:v>46</c:v>
                </c:pt>
                <c:pt idx="1">
                  <c:v>46</c:v>
                </c:pt>
              </c:numCache>
            </c:numRef>
          </c:xVal>
          <c:yVal>
            <c:numRef>
              <c:f>ChartSupport!$U$431:$V$431</c:f>
              <c:numCache>
                <c:formatCode>General</c:formatCode>
                <c:ptCount val="2"/>
                <c:pt idx="0">
                  <c:v>0</c:v>
                </c:pt>
                <c:pt idx="1">
                  <c:v>10000</c:v>
                </c:pt>
              </c:numCache>
            </c:numRef>
          </c:yVal>
          <c:smooth val="0"/>
        </c:ser>
        <c:dLbls>
          <c:showLegendKey val="0"/>
          <c:showVal val="0"/>
          <c:showCatName val="0"/>
          <c:showSerName val="0"/>
          <c:showPercent val="0"/>
          <c:showBubbleSize val="0"/>
        </c:dLbls>
        <c:axId val="892894592"/>
        <c:axId val="892900480"/>
      </c:scatterChart>
      <c:catAx>
        <c:axId val="892891136"/>
        <c:scaling>
          <c:orientation val="minMax"/>
        </c:scaling>
        <c:delete val="0"/>
        <c:axPos val="b"/>
        <c:numFmt formatCode="m/d/yyyy" sourceLinked="0"/>
        <c:majorTickMark val="out"/>
        <c:minorTickMark val="none"/>
        <c:tickLblPos val="low"/>
        <c:spPr>
          <a:ln w="3175">
            <a:solidFill>
              <a:srgbClr val="808080"/>
            </a:solidFill>
            <a:prstDash val="solid"/>
          </a:ln>
        </c:spPr>
        <c:txPr>
          <a:bodyPr rot="-5400000" vert="horz"/>
          <a:lstStyle/>
          <a:p>
            <a:pPr>
              <a:defRPr/>
            </a:pPr>
            <a:endParaRPr lang="en-US"/>
          </a:p>
        </c:txPr>
        <c:crossAx val="892892672"/>
        <c:crossesAt val="-100"/>
        <c:auto val="1"/>
        <c:lblAlgn val="ctr"/>
        <c:lblOffset val="100"/>
        <c:tickLblSkip val="2"/>
        <c:tickMarkSkip val="1"/>
        <c:noMultiLvlLbl val="0"/>
      </c:catAx>
      <c:valAx>
        <c:axId val="892892672"/>
        <c:scaling>
          <c:orientation val="minMax"/>
        </c:scaling>
        <c:delete val="0"/>
        <c:axPos val="l"/>
        <c:title>
          <c:tx>
            <c:rich>
              <a:bodyPr rot="0" vert="horz"/>
              <a:lstStyle/>
              <a:p>
                <a:pPr>
                  <a:defRPr/>
                </a:pPr>
                <a:r>
                  <a:rPr lang="en-US"/>
                  <a:t>R$ mn</a:t>
                </a:r>
              </a:p>
            </c:rich>
          </c:tx>
          <c:layout>
            <c:manualLayout>
              <c:xMode val="edge"/>
              <c:yMode val="edge"/>
              <c:x val="0.11404610841508181"/>
              <c:y val="3.559958178797254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2891136"/>
        <c:crosses val="autoZero"/>
        <c:crossBetween val="midCat"/>
      </c:valAx>
      <c:valAx>
        <c:axId val="892894592"/>
        <c:scaling>
          <c:orientation val="minMax"/>
        </c:scaling>
        <c:delete val="1"/>
        <c:axPos val="b"/>
        <c:numFmt formatCode="General" sourceLinked="1"/>
        <c:majorTickMark val="out"/>
        <c:minorTickMark val="none"/>
        <c:tickLblPos val="nextTo"/>
        <c:crossAx val="892900480"/>
        <c:crosses val="autoZero"/>
        <c:crossBetween val="midCat"/>
      </c:valAx>
      <c:valAx>
        <c:axId val="892900480"/>
        <c:scaling>
          <c:orientation val="minMax"/>
          <c:max val="10000"/>
        </c:scaling>
        <c:delete val="0"/>
        <c:axPos val="l"/>
        <c:numFmt formatCode="General" sourceLinked="1"/>
        <c:majorTickMark val="none"/>
        <c:minorTickMark val="none"/>
        <c:tickLblPos val="none"/>
        <c:spPr>
          <a:ln>
            <a:noFill/>
          </a:ln>
        </c:spPr>
        <c:crossAx val="892894592"/>
        <c:crosses val="autoZero"/>
        <c:crossBetween val="midCat"/>
      </c:valAx>
      <c:spPr>
        <a:noFill/>
        <a:ln w="25400">
          <a:noFill/>
        </a:ln>
      </c:spPr>
    </c:plotArea>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0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682642202593321E-2"/>
          <c:y val="4.7318611987381701E-2"/>
          <c:w val="0.87566363793722601"/>
          <c:h val="0.79495268138801267"/>
        </c:manualLayout>
      </c:layout>
      <c:lineChart>
        <c:grouping val="standard"/>
        <c:varyColors val="0"/>
        <c:ser>
          <c:idx val="2"/>
          <c:order val="0"/>
          <c:tx>
            <c:strRef>
              <c:f>ChartSupport!$A$356</c:f>
              <c:strCache>
                <c:ptCount val="1"/>
                <c:pt idx="0">
                  <c:v>Gross revenues</c:v>
                </c:pt>
              </c:strCache>
            </c:strRef>
          </c:tx>
          <c:spPr>
            <a:ln w="25400">
              <a:solidFill>
                <a:schemeClr val="accent1"/>
              </a:solidFill>
              <a:prstDash val="solid"/>
            </a:ln>
          </c:spPr>
          <c:marker>
            <c:symbol val="none"/>
          </c:marke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ChartSupport!$B$356:$BY$356</c:f>
              <c:numCache>
                <c:formatCode>#,##0_);\(#,##0\)</c:formatCode>
                <c:ptCount val="48"/>
                <c:pt idx="0">
                  <c:v>218.71</c:v>
                </c:pt>
                <c:pt idx="1">
                  <c:v>280.84399999999999</c:v>
                </c:pt>
                <c:pt idx="2">
                  <c:v>205.83799999999999</c:v>
                </c:pt>
                <c:pt idx="3">
                  <c:v>201.43299999999999</c:v>
                </c:pt>
                <c:pt idx="4">
                  <c:v>189.80500000000001</c:v>
                </c:pt>
                <c:pt idx="5">
                  <c:v>195.21899999999999</c:v>
                </c:pt>
                <c:pt idx="6">
                  <c:v>145.16399999999999</c:v>
                </c:pt>
                <c:pt idx="7">
                  <c:v>257.23599999999999</c:v>
                </c:pt>
                <c:pt idx="8">
                  <c:v>103.41</c:v>
                </c:pt>
                <c:pt idx="9">
                  <c:v>217.268</c:v>
                </c:pt>
                <c:pt idx="10">
                  <c:v>246.76599999999999</c:v>
                </c:pt>
                <c:pt idx="11">
                  <c:v>300.185</c:v>
                </c:pt>
                <c:pt idx="12">
                  <c:v>241.26499999999999</c:v>
                </c:pt>
                <c:pt idx="13">
                  <c:v>308.15199999999999</c:v>
                </c:pt>
                <c:pt idx="14">
                  <c:v>353.399</c:v>
                </c:pt>
                <c:pt idx="15">
                  <c:v>379.33300000000003</c:v>
                </c:pt>
                <c:pt idx="16">
                  <c:v>304.16399999999999</c:v>
                </c:pt>
                <c:pt idx="17">
                  <c:v>357.35399999999998</c:v>
                </c:pt>
                <c:pt idx="18">
                  <c:v>417.64499999999998</c:v>
                </c:pt>
                <c:pt idx="19">
                  <c:v>305.2</c:v>
                </c:pt>
                <c:pt idx="20">
                  <c:v>348.47</c:v>
                </c:pt>
                <c:pt idx="21">
                  <c:v>416.73899999999998</c:v>
                </c:pt>
                <c:pt idx="22">
                  <c:v>402.35599999999999</c:v>
                </c:pt>
                <c:pt idx="23">
                  <c:v>279.70100000000002</c:v>
                </c:pt>
                <c:pt idx="24">
                  <c:v>307.87200000000001</c:v>
                </c:pt>
                <c:pt idx="25">
                  <c:v>564.05399999999997</c:v>
                </c:pt>
                <c:pt idx="26">
                  <c:v>416.351</c:v>
                </c:pt>
                <c:pt idx="27">
                  <c:v>420.28899999999999</c:v>
                </c:pt>
                <c:pt idx="28">
                  <c:v>512.27700000000004</c:v>
                </c:pt>
                <c:pt idx="29">
                  <c:v>631.75900000000001</c:v>
                </c:pt>
                <c:pt idx="30">
                  <c:v>444.44499999999999</c:v>
                </c:pt>
                <c:pt idx="31">
                  <c:v>459.19400000000002</c:v>
                </c:pt>
                <c:pt idx="32">
                  <c:v>522.49300000000005</c:v>
                </c:pt>
                <c:pt idx="33">
                  <c:v>529.85599999999999</c:v>
                </c:pt>
                <c:pt idx="34">
                  <c:v>608.12099999999998</c:v>
                </c:pt>
                <c:pt idx="35">
                  <c:v>738.27</c:v>
                </c:pt>
                <c:pt idx="36">
                  <c:v>472.04399999999998</c:v>
                </c:pt>
                <c:pt idx="37">
                  <c:v>680.53399999999999</c:v>
                </c:pt>
                <c:pt idx="38">
                  <c:v>840.99599999999998</c:v>
                </c:pt>
                <c:pt idx="39">
                  <c:v>844.08900000000006</c:v>
                </c:pt>
                <c:pt idx="40">
                  <c:v>667.88900000000001</c:v>
                </c:pt>
                <c:pt idx="41">
                  <c:v>754.53800000000001</c:v>
                </c:pt>
                <c:pt idx="42">
                  <c:v>766.66300000000001</c:v>
                </c:pt>
                <c:pt idx="43">
                  <c:v>941.06700000000001</c:v>
                </c:pt>
                <c:pt idx="44">
                  <c:v>932.529</c:v>
                </c:pt>
                <c:pt idx="45">
                  <c:v>1052.3148068497242</c:v>
                </c:pt>
                <c:pt idx="46">
                  <c:v>1018.9274659041116</c:v>
                </c:pt>
                <c:pt idx="47">
                  <c:v>1193.9863399786234</c:v>
                </c:pt>
              </c:numCache>
            </c:numRef>
          </c:val>
          <c:smooth val="0"/>
        </c:ser>
        <c:dLbls>
          <c:showLegendKey val="0"/>
          <c:showVal val="0"/>
          <c:showCatName val="0"/>
          <c:showSerName val="0"/>
          <c:showPercent val="0"/>
          <c:showBubbleSize val="0"/>
        </c:dLbls>
        <c:marker val="1"/>
        <c:smooth val="0"/>
        <c:axId val="893411712"/>
        <c:axId val="893413248"/>
      </c:lineChart>
      <c:scatterChart>
        <c:scatterStyle val="lineMarker"/>
        <c:varyColors val="0"/>
        <c:ser>
          <c:idx val="4"/>
          <c:order val="1"/>
          <c:tx>
            <c:v>Line1</c:v>
          </c:tx>
          <c:spPr>
            <a:ln>
              <a:solidFill>
                <a:srgbClr val="FF0000"/>
              </a:solidFill>
            </a:ln>
          </c:spPr>
          <c:marker>
            <c:symbol val="none"/>
          </c:marker>
          <c:xVal>
            <c:numRef>
              <c:f>ChartSupport!$U$428:$V$428</c:f>
              <c:numCache>
                <c:formatCode>General</c:formatCode>
                <c:ptCount val="2"/>
                <c:pt idx="0">
                  <c:v>38</c:v>
                </c:pt>
                <c:pt idx="1">
                  <c:v>38</c:v>
                </c:pt>
              </c:numCache>
            </c:numRef>
          </c:xVal>
          <c:yVal>
            <c:numRef>
              <c:f>ChartSupport!$U$431:$V$431</c:f>
              <c:numCache>
                <c:formatCode>General</c:formatCode>
                <c:ptCount val="2"/>
                <c:pt idx="0">
                  <c:v>0</c:v>
                </c:pt>
                <c:pt idx="1">
                  <c:v>10000</c:v>
                </c:pt>
              </c:numCache>
            </c:numRef>
          </c:yVal>
          <c:smooth val="0"/>
        </c:ser>
        <c:ser>
          <c:idx val="5"/>
          <c:order val="2"/>
          <c:tx>
            <c:v>Line2</c:v>
          </c:tx>
          <c:spPr>
            <a:ln>
              <a:solidFill>
                <a:srgbClr val="FF0000"/>
              </a:solidFill>
            </a:ln>
          </c:spPr>
          <c:marker>
            <c:symbol val="none"/>
          </c:marker>
          <c:xVal>
            <c:numRef>
              <c:f>ChartSupport!$U$429:$V$429</c:f>
              <c:numCache>
                <c:formatCode>General</c:formatCode>
                <c:ptCount val="2"/>
                <c:pt idx="0">
                  <c:v>42</c:v>
                </c:pt>
                <c:pt idx="1">
                  <c:v>42</c:v>
                </c:pt>
              </c:numCache>
            </c:numRef>
          </c:xVal>
          <c:yVal>
            <c:numRef>
              <c:f>ChartSupport!$U$431:$V$431</c:f>
              <c:numCache>
                <c:formatCode>General</c:formatCode>
                <c:ptCount val="2"/>
                <c:pt idx="0">
                  <c:v>0</c:v>
                </c:pt>
                <c:pt idx="1">
                  <c:v>10000</c:v>
                </c:pt>
              </c:numCache>
            </c:numRef>
          </c:yVal>
          <c:smooth val="0"/>
        </c:ser>
        <c:ser>
          <c:idx val="6"/>
          <c:order val="3"/>
          <c:tx>
            <c:v>Line3</c:v>
          </c:tx>
          <c:spPr>
            <a:ln>
              <a:solidFill>
                <a:srgbClr val="FF0000"/>
              </a:solidFill>
              <a:prstDash val="dash"/>
            </a:ln>
          </c:spPr>
          <c:marker>
            <c:symbol val="none"/>
          </c:marker>
          <c:xVal>
            <c:numRef>
              <c:f>ChartSupport!$U$430:$V$430</c:f>
              <c:numCache>
                <c:formatCode>General</c:formatCode>
                <c:ptCount val="2"/>
                <c:pt idx="0">
                  <c:v>46</c:v>
                </c:pt>
                <c:pt idx="1">
                  <c:v>46</c:v>
                </c:pt>
              </c:numCache>
            </c:numRef>
          </c:xVal>
          <c:yVal>
            <c:numRef>
              <c:f>ChartSupport!$U$431:$V$431</c:f>
              <c:numCache>
                <c:formatCode>General</c:formatCode>
                <c:ptCount val="2"/>
                <c:pt idx="0">
                  <c:v>0</c:v>
                </c:pt>
                <c:pt idx="1">
                  <c:v>10000</c:v>
                </c:pt>
              </c:numCache>
            </c:numRef>
          </c:yVal>
          <c:smooth val="0"/>
        </c:ser>
        <c:dLbls>
          <c:showLegendKey val="0"/>
          <c:showVal val="0"/>
          <c:showCatName val="0"/>
          <c:showSerName val="0"/>
          <c:showPercent val="0"/>
          <c:showBubbleSize val="0"/>
        </c:dLbls>
        <c:axId val="893419520"/>
        <c:axId val="893421056"/>
      </c:scatterChart>
      <c:catAx>
        <c:axId val="893411712"/>
        <c:scaling>
          <c:orientation val="minMax"/>
        </c:scaling>
        <c:delete val="0"/>
        <c:axPos val="b"/>
        <c:numFmt formatCode="mmm\-yy" sourceLinked="0"/>
        <c:majorTickMark val="out"/>
        <c:minorTickMark val="none"/>
        <c:tickLblPos val="nextTo"/>
        <c:spPr>
          <a:ln w="3175">
            <a:solidFill>
              <a:srgbClr val="808080"/>
            </a:solidFill>
            <a:prstDash val="solid"/>
          </a:ln>
        </c:spPr>
        <c:txPr>
          <a:bodyPr rot="-5400000" vert="horz"/>
          <a:lstStyle/>
          <a:p>
            <a:pPr>
              <a:defRPr/>
            </a:pPr>
            <a:endParaRPr lang="en-US"/>
          </a:p>
        </c:txPr>
        <c:crossAx val="893413248"/>
        <c:crosses val="autoZero"/>
        <c:auto val="1"/>
        <c:lblAlgn val="ctr"/>
        <c:lblOffset val="100"/>
        <c:tickLblSkip val="2"/>
        <c:tickMarkSkip val="1"/>
        <c:noMultiLvlLbl val="0"/>
      </c:catAx>
      <c:valAx>
        <c:axId val="893413248"/>
        <c:scaling>
          <c:orientation val="minMax"/>
        </c:scaling>
        <c:delete val="0"/>
        <c:axPos val="l"/>
        <c:title>
          <c:tx>
            <c:rich>
              <a:bodyPr rot="0" vert="horz"/>
              <a:lstStyle/>
              <a:p>
                <a:pPr>
                  <a:defRPr/>
                </a:pPr>
                <a:r>
                  <a:rPr lang="en-US" sz="900" b="0" i="0" baseline="0">
                    <a:solidFill>
                      <a:schemeClr val="bg1">
                        <a:lumMod val="50000"/>
                      </a:schemeClr>
                    </a:solidFill>
                    <a:effectLst/>
                    <a:latin typeface="Arial" panose="020B0604020202020204" pitchFamily="34" charset="0"/>
                    <a:cs typeface="Arial" panose="020B0604020202020204" pitchFamily="34" charset="0"/>
                  </a:rPr>
                  <a:t>R$ mn</a:t>
                </a:r>
                <a:endParaRPr lang="en-US" sz="900">
                  <a:solidFill>
                    <a:schemeClr val="bg1">
                      <a:lumMod val="50000"/>
                    </a:schemeClr>
                  </a:solidFill>
                  <a:effectLst/>
                  <a:latin typeface="Arial" panose="020B0604020202020204" pitchFamily="34" charset="0"/>
                  <a:cs typeface="Arial" panose="020B0604020202020204" pitchFamily="34" charset="0"/>
                </a:endParaRPr>
              </a:p>
            </c:rich>
          </c:tx>
          <c:layout>
            <c:manualLayout>
              <c:xMode val="edge"/>
              <c:yMode val="edge"/>
              <c:x val="0.13186584985982763"/>
              <c:y val="4.7260895604744564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3411712"/>
        <c:crosses val="autoZero"/>
        <c:crossBetween val="midCat"/>
      </c:valAx>
      <c:valAx>
        <c:axId val="893419520"/>
        <c:scaling>
          <c:orientation val="minMax"/>
        </c:scaling>
        <c:delete val="1"/>
        <c:axPos val="b"/>
        <c:numFmt formatCode="General" sourceLinked="1"/>
        <c:majorTickMark val="out"/>
        <c:minorTickMark val="none"/>
        <c:tickLblPos val="nextTo"/>
        <c:crossAx val="893421056"/>
        <c:crosses val="autoZero"/>
        <c:crossBetween val="midCat"/>
      </c:valAx>
      <c:valAx>
        <c:axId val="893421056"/>
        <c:scaling>
          <c:orientation val="minMax"/>
          <c:max val="10000"/>
        </c:scaling>
        <c:delete val="0"/>
        <c:axPos val="l"/>
        <c:numFmt formatCode="General" sourceLinked="1"/>
        <c:majorTickMark val="none"/>
        <c:minorTickMark val="none"/>
        <c:tickLblPos val="none"/>
        <c:spPr>
          <a:ln>
            <a:noFill/>
          </a:ln>
        </c:spPr>
        <c:crossAx val="893419520"/>
        <c:crosses val="autoZero"/>
        <c:crossBetween val="midCat"/>
      </c:valAx>
      <c:spPr>
        <a:noFill/>
        <a:ln w="25400">
          <a:noFill/>
        </a:ln>
      </c:spPr>
    </c:plotArea>
    <c:legend>
      <c:legendPos val="t"/>
      <c:legendEntry>
        <c:idx val="1"/>
        <c:delete val="1"/>
      </c:legendEntry>
      <c:legendEntry>
        <c:idx val="2"/>
        <c:delete val="1"/>
      </c:legendEntry>
      <c:legendEntry>
        <c:idx val="3"/>
        <c:delete val="1"/>
      </c:legendEntry>
      <c:layout>
        <c:manualLayout>
          <c:xMode val="edge"/>
          <c:yMode val="edge"/>
          <c:x val="0.27721013506497882"/>
          <c:y val="5.2037486111386172E-2"/>
          <c:w val="0.37430061148262789"/>
          <c:h val="6.916444323645847E-2"/>
        </c:manualLayout>
      </c:layout>
      <c:overlay val="0"/>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0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513531347037777"/>
          <c:y val="4.7619195248001144E-2"/>
          <c:w val="0.79459564320582132"/>
          <c:h val="0.7711910073431304"/>
        </c:manualLayout>
      </c:layout>
      <c:lineChart>
        <c:grouping val="standard"/>
        <c:varyColors val="0"/>
        <c:ser>
          <c:idx val="4"/>
          <c:order val="0"/>
          <c:tx>
            <c:strRef>
              <c:f>ChartSupport!$A$359</c:f>
              <c:strCache>
                <c:ptCount val="1"/>
                <c:pt idx="0">
                  <c:v>Gross margin</c:v>
                </c:pt>
              </c:strCache>
            </c:strRef>
          </c:tx>
          <c:spPr>
            <a:ln w="25400">
              <a:solidFill>
                <a:schemeClr val="accent1"/>
              </a:solidFill>
              <a:prstDash val="solid"/>
            </a:ln>
          </c:spPr>
          <c:marker>
            <c:symbol val="none"/>
          </c:marke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ChartSupport!$B$359:$BY$359</c:f>
              <c:numCache>
                <c:formatCode>0%</c:formatCode>
                <c:ptCount val="48"/>
                <c:pt idx="0">
                  <c:v>0.55168941368910696</c:v>
                </c:pt>
                <c:pt idx="1">
                  <c:v>0.47670695574109678</c:v>
                </c:pt>
                <c:pt idx="2">
                  <c:v>0.42722586766595061</c:v>
                </c:pt>
                <c:pt idx="3">
                  <c:v>0.45383506108344901</c:v>
                </c:pt>
                <c:pt idx="4">
                  <c:v>0.37614500209093576</c:v>
                </c:pt>
                <c:pt idx="5">
                  <c:v>0.34896772788447045</c:v>
                </c:pt>
                <c:pt idx="6">
                  <c:v>0.3594189463098848</c:v>
                </c:pt>
                <c:pt idx="7">
                  <c:v>0.45853563714902812</c:v>
                </c:pt>
                <c:pt idx="8">
                  <c:v>0.34567002694012339</c:v>
                </c:pt>
                <c:pt idx="9">
                  <c:v>0.45220855012274008</c:v>
                </c:pt>
                <c:pt idx="10">
                  <c:v>0.49155405405405406</c:v>
                </c:pt>
                <c:pt idx="11">
                  <c:v>0.41785091559466875</c:v>
                </c:pt>
                <c:pt idx="12">
                  <c:v>0.36973626727368875</c:v>
                </c:pt>
                <c:pt idx="13">
                  <c:v>0.45096874923593333</c:v>
                </c:pt>
                <c:pt idx="14">
                  <c:v>0.4794713672695638</c:v>
                </c:pt>
                <c:pt idx="15">
                  <c:v>0.53632339740613488</c:v>
                </c:pt>
                <c:pt idx="16">
                  <c:v>0.56277960140269245</c:v>
                </c:pt>
                <c:pt idx="17">
                  <c:v>0.58596259210277724</c:v>
                </c:pt>
                <c:pt idx="18">
                  <c:v>0.57069064914101231</c:v>
                </c:pt>
                <c:pt idx="19">
                  <c:v>0.52691238326085388</c:v>
                </c:pt>
                <c:pt idx="20">
                  <c:v>0.55695125065359885</c:v>
                </c:pt>
                <c:pt idx="21">
                  <c:v>0.60613831940962815</c:v>
                </c:pt>
                <c:pt idx="22">
                  <c:v>0.51108955757422825</c:v>
                </c:pt>
                <c:pt idx="23">
                  <c:v>0.42089705247579701</c:v>
                </c:pt>
                <c:pt idx="24">
                  <c:v>0.54960680369118853</c:v>
                </c:pt>
                <c:pt idx="25">
                  <c:v>0.54388723617833179</c:v>
                </c:pt>
                <c:pt idx="26">
                  <c:v>0.5091918281356036</c:v>
                </c:pt>
                <c:pt idx="27">
                  <c:v>0.48810959528296505</c:v>
                </c:pt>
                <c:pt idx="28">
                  <c:v>0.5444835825606309</c:v>
                </c:pt>
                <c:pt idx="29">
                  <c:v>0.49602437127132243</c:v>
                </c:pt>
                <c:pt idx="30">
                  <c:v>0.49376194646102284</c:v>
                </c:pt>
                <c:pt idx="31">
                  <c:v>0.44526308821951821</c:v>
                </c:pt>
                <c:pt idx="32">
                  <c:v>0.55015912522739252</c:v>
                </c:pt>
                <c:pt idx="33">
                  <c:v>0.5740807515955445</c:v>
                </c:pt>
                <c:pt idx="34">
                  <c:v>0.58554976435373773</c:v>
                </c:pt>
                <c:pt idx="35">
                  <c:v>0.48566414198670038</c:v>
                </c:pt>
                <c:pt idx="36">
                  <c:v>0.53790787373647808</c:v>
                </c:pt>
                <c:pt idx="37">
                  <c:v>0.61302962061638477</c:v>
                </c:pt>
                <c:pt idx="38">
                  <c:v>0.52681791942467926</c:v>
                </c:pt>
                <c:pt idx="39">
                  <c:v>0.51572678045692288</c:v>
                </c:pt>
                <c:pt idx="40">
                  <c:v>0.54106086636588424</c:v>
                </c:pt>
                <c:pt idx="41">
                  <c:v>0.53875300746638466</c:v>
                </c:pt>
                <c:pt idx="42">
                  <c:v>0.51874548800147635</c:v>
                </c:pt>
                <c:pt idx="43">
                  <c:v>0.49676914735710037</c:v>
                </c:pt>
                <c:pt idx="44">
                  <c:v>0.58779930251481205</c:v>
                </c:pt>
                <c:pt idx="45">
                  <c:v>0.59199254578983229</c:v>
                </c:pt>
                <c:pt idx="46">
                  <c:v>0.55277316046562619</c:v>
                </c:pt>
                <c:pt idx="47">
                  <c:v>0.51770113175910226</c:v>
                </c:pt>
              </c:numCache>
            </c:numRef>
          </c:val>
          <c:smooth val="0"/>
        </c:ser>
        <c:ser>
          <c:idx val="9"/>
          <c:order val="1"/>
          <c:tx>
            <c:strRef>
              <c:f>ChartSupport!$A$360</c:f>
              <c:strCache>
                <c:ptCount val="1"/>
                <c:pt idx="0">
                  <c:v>EBIT margin</c:v>
                </c:pt>
              </c:strCache>
            </c:strRef>
          </c:tx>
          <c:spPr>
            <a:ln w="15875">
              <a:solidFill>
                <a:schemeClr val="accent3"/>
              </a:solidFill>
              <a:prstDash val="solid"/>
            </a:ln>
          </c:spPr>
          <c:marker>
            <c:symbol val="none"/>
          </c:marke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ChartSupport!$B$360:$BY$360</c:f>
              <c:numCache>
                <c:formatCode>0%</c:formatCode>
                <c:ptCount val="48"/>
                <c:pt idx="0">
                  <c:v>0.21205847773858813</c:v>
                </c:pt>
                <c:pt idx="1">
                  <c:v>0.19125687270989936</c:v>
                </c:pt>
                <c:pt idx="2">
                  <c:v>0.11175313564426627</c:v>
                </c:pt>
                <c:pt idx="3">
                  <c:v>2.2071667618969868E-2</c:v>
                </c:pt>
                <c:pt idx="4">
                  <c:v>-0.12888183635707434</c:v>
                </c:pt>
                <c:pt idx="5">
                  <c:v>-0.24382507497026315</c:v>
                </c:pt>
                <c:pt idx="6">
                  <c:v>-4.5032446616281502E-2</c:v>
                </c:pt>
                <c:pt idx="7">
                  <c:v>3.9097192224622039E-2</c:v>
                </c:pt>
                <c:pt idx="8">
                  <c:v>-0.30913791605109936</c:v>
                </c:pt>
                <c:pt idx="9">
                  <c:v>-3.2720404707868259E-2</c:v>
                </c:pt>
                <c:pt idx="10">
                  <c:v>0.1739457285703935</c:v>
                </c:pt>
                <c:pt idx="11">
                  <c:v>0.13873859716079587</c:v>
                </c:pt>
                <c:pt idx="12">
                  <c:v>-5.9419190177278126E-2</c:v>
                </c:pt>
                <c:pt idx="13">
                  <c:v>7.0716773141178552E-2</c:v>
                </c:pt>
                <c:pt idx="14">
                  <c:v>0.16268042954494269</c:v>
                </c:pt>
                <c:pt idx="15">
                  <c:v>0.18078547570608119</c:v>
                </c:pt>
                <c:pt idx="16">
                  <c:v>0.16194723437647779</c:v>
                </c:pt>
                <c:pt idx="17">
                  <c:v>0.1917479453995844</c:v>
                </c:pt>
                <c:pt idx="18">
                  <c:v>0.24799825768348768</c:v>
                </c:pt>
                <c:pt idx="19">
                  <c:v>9.9080345048834173E-2</c:v>
                </c:pt>
                <c:pt idx="20">
                  <c:v>0.18495324488976989</c:v>
                </c:pt>
                <c:pt idx="21">
                  <c:v>0.24592712786532764</c:v>
                </c:pt>
                <c:pt idx="22">
                  <c:v>0.21692583480528219</c:v>
                </c:pt>
                <c:pt idx="23">
                  <c:v>-3.958037861503353E-2</c:v>
                </c:pt>
                <c:pt idx="24">
                  <c:v>0.11015352395517941</c:v>
                </c:pt>
                <c:pt idx="25">
                  <c:v>0.17406059098979185</c:v>
                </c:pt>
                <c:pt idx="26">
                  <c:v>9.4807503367804843E-2</c:v>
                </c:pt>
                <c:pt idx="27">
                  <c:v>8.4677808787730818E-2</c:v>
                </c:pt>
                <c:pt idx="28">
                  <c:v>0.13316041524619585</c:v>
                </c:pt>
                <c:pt idx="29">
                  <c:v>0.18761127041110248</c:v>
                </c:pt>
                <c:pt idx="30">
                  <c:v>0.14436974473414127</c:v>
                </c:pt>
                <c:pt idx="31">
                  <c:v>0.13805712094548786</c:v>
                </c:pt>
                <c:pt idx="32">
                  <c:v>0.19489570659131175</c:v>
                </c:pt>
                <c:pt idx="33">
                  <c:v>0.35511431369419538</c:v>
                </c:pt>
                <c:pt idx="34">
                  <c:v>0.19603170668749903</c:v>
                </c:pt>
                <c:pt idx="35">
                  <c:v>0.15534961412290108</c:v>
                </c:pt>
                <c:pt idx="36">
                  <c:v>0.15973576875332507</c:v>
                </c:pt>
                <c:pt idx="37">
                  <c:v>0.20112719369933829</c:v>
                </c:pt>
                <c:pt idx="38">
                  <c:v>0.19613568611707147</c:v>
                </c:pt>
                <c:pt idx="39">
                  <c:v>0.18417549186524634</c:v>
                </c:pt>
                <c:pt idx="40">
                  <c:v>0.18820836932018378</c:v>
                </c:pt>
                <c:pt idx="41">
                  <c:v>0.19461050980955127</c:v>
                </c:pt>
                <c:pt idx="42">
                  <c:v>0.18200519999348641</c:v>
                </c:pt>
                <c:pt idx="43">
                  <c:v>0.34514238860891133</c:v>
                </c:pt>
                <c:pt idx="44">
                  <c:v>0.24681201506252873</c:v>
                </c:pt>
                <c:pt idx="45">
                  <c:v>0.26944422970104742</c:v>
                </c:pt>
                <c:pt idx="46">
                  <c:v>0.20107890268837597</c:v>
                </c:pt>
                <c:pt idx="47">
                  <c:v>0.18846507779044691</c:v>
                </c:pt>
              </c:numCache>
            </c:numRef>
          </c:val>
          <c:smooth val="0"/>
        </c:ser>
        <c:dLbls>
          <c:showLegendKey val="0"/>
          <c:showVal val="0"/>
          <c:showCatName val="0"/>
          <c:showSerName val="0"/>
          <c:showPercent val="0"/>
          <c:showBubbleSize val="0"/>
        </c:dLbls>
        <c:marker val="1"/>
        <c:smooth val="0"/>
        <c:axId val="893346944"/>
        <c:axId val="893348480"/>
      </c:lineChart>
      <c:scatterChart>
        <c:scatterStyle val="lineMarker"/>
        <c:varyColors val="0"/>
        <c:ser>
          <c:idx val="3"/>
          <c:order val="5"/>
          <c:tx>
            <c:v>zeroline</c:v>
          </c:tx>
          <c:spPr>
            <a:ln w="3175">
              <a:solidFill>
                <a:schemeClr val="bg1">
                  <a:lumMod val="50000"/>
                </a:schemeClr>
              </a:solidFill>
            </a:ln>
          </c:spPr>
          <c:marker>
            <c:symbol val="none"/>
          </c:marker>
          <c:yVal>
            <c:numRef>
              <c:f>ChartSupport!$B$421:$BY$421</c:f>
              <c:numCache>
                <c:formatCode>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yVal>
          <c:smooth val="0"/>
        </c:ser>
        <c:dLbls>
          <c:showLegendKey val="0"/>
          <c:showVal val="0"/>
          <c:showCatName val="0"/>
          <c:showSerName val="0"/>
          <c:showPercent val="0"/>
          <c:showBubbleSize val="0"/>
        </c:dLbls>
        <c:axId val="893346944"/>
        <c:axId val="893348480"/>
      </c:scatterChart>
      <c:scatterChart>
        <c:scatterStyle val="lineMarker"/>
        <c:varyColors val="0"/>
        <c:ser>
          <c:idx val="0"/>
          <c:order val="2"/>
          <c:tx>
            <c:v>Line1</c:v>
          </c:tx>
          <c:spPr>
            <a:ln w="25400">
              <a:solidFill>
                <a:srgbClr val="FF0000"/>
              </a:solidFill>
            </a:ln>
          </c:spPr>
          <c:marker>
            <c:symbol val="none"/>
          </c:marker>
          <c:xVal>
            <c:numRef>
              <c:f>ChartSupport!$U$428:$V$428</c:f>
              <c:numCache>
                <c:formatCode>General</c:formatCode>
                <c:ptCount val="2"/>
                <c:pt idx="0">
                  <c:v>38</c:v>
                </c:pt>
                <c:pt idx="1">
                  <c:v>38</c:v>
                </c:pt>
              </c:numCache>
            </c:numRef>
          </c:xVal>
          <c:yVal>
            <c:numRef>
              <c:f>ChartSupport!$U$431:$V$431</c:f>
              <c:numCache>
                <c:formatCode>General</c:formatCode>
                <c:ptCount val="2"/>
                <c:pt idx="0">
                  <c:v>0</c:v>
                </c:pt>
                <c:pt idx="1">
                  <c:v>10000</c:v>
                </c:pt>
              </c:numCache>
            </c:numRef>
          </c:yVal>
          <c:smooth val="0"/>
        </c:ser>
        <c:ser>
          <c:idx val="1"/>
          <c:order val="3"/>
          <c:tx>
            <c:v>Line2</c:v>
          </c:tx>
          <c:spPr>
            <a:ln w="25400">
              <a:solidFill>
                <a:srgbClr val="FF0000"/>
              </a:solidFill>
            </a:ln>
          </c:spPr>
          <c:marker>
            <c:symbol val="none"/>
          </c:marker>
          <c:xVal>
            <c:numRef>
              <c:f>ChartSupport!$U$429:$V$429</c:f>
              <c:numCache>
                <c:formatCode>General</c:formatCode>
                <c:ptCount val="2"/>
                <c:pt idx="0">
                  <c:v>42</c:v>
                </c:pt>
                <c:pt idx="1">
                  <c:v>42</c:v>
                </c:pt>
              </c:numCache>
            </c:numRef>
          </c:xVal>
          <c:yVal>
            <c:numRef>
              <c:f>ChartSupport!$U$431:$V$431</c:f>
              <c:numCache>
                <c:formatCode>General</c:formatCode>
                <c:ptCount val="2"/>
                <c:pt idx="0">
                  <c:v>0</c:v>
                </c:pt>
                <c:pt idx="1">
                  <c:v>10000</c:v>
                </c:pt>
              </c:numCache>
            </c:numRef>
          </c:yVal>
          <c:smooth val="0"/>
        </c:ser>
        <c:ser>
          <c:idx val="2"/>
          <c:order val="4"/>
          <c:tx>
            <c:v>Line3</c:v>
          </c:tx>
          <c:spPr>
            <a:ln w="25400">
              <a:solidFill>
                <a:srgbClr val="FF0000"/>
              </a:solidFill>
              <a:prstDash val="dash"/>
            </a:ln>
          </c:spPr>
          <c:marker>
            <c:symbol val="none"/>
          </c:marker>
          <c:xVal>
            <c:numRef>
              <c:f>ChartSupport!$U$430:$V$430</c:f>
              <c:numCache>
                <c:formatCode>General</c:formatCode>
                <c:ptCount val="2"/>
                <c:pt idx="0">
                  <c:v>46</c:v>
                </c:pt>
                <c:pt idx="1">
                  <c:v>46</c:v>
                </c:pt>
              </c:numCache>
            </c:numRef>
          </c:xVal>
          <c:yVal>
            <c:numRef>
              <c:f>ChartSupport!$U$431:$V$431</c:f>
              <c:numCache>
                <c:formatCode>General</c:formatCode>
                <c:ptCount val="2"/>
                <c:pt idx="0">
                  <c:v>0</c:v>
                </c:pt>
                <c:pt idx="1">
                  <c:v>10000</c:v>
                </c:pt>
              </c:numCache>
            </c:numRef>
          </c:yVal>
          <c:smooth val="0"/>
        </c:ser>
        <c:dLbls>
          <c:showLegendKey val="0"/>
          <c:showVal val="0"/>
          <c:showCatName val="0"/>
          <c:showSerName val="0"/>
          <c:showPercent val="0"/>
          <c:showBubbleSize val="0"/>
        </c:dLbls>
        <c:axId val="893362560"/>
        <c:axId val="893364096"/>
      </c:scatterChart>
      <c:catAx>
        <c:axId val="893346944"/>
        <c:scaling>
          <c:orientation val="minMax"/>
        </c:scaling>
        <c:delete val="0"/>
        <c:axPos val="b"/>
        <c:numFmt formatCode="m/d/yyyy" sourceLinked="0"/>
        <c:majorTickMark val="out"/>
        <c:minorTickMark val="none"/>
        <c:tickLblPos val="low"/>
        <c:spPr>
          <a:ln w="3175">
            <a:solidFill>
              <a:srgbClr val="808080"/>
            </a:solidFill>
            <a:prstDash val="solid"/>
          </a:ln>
        </c:spPr>
        <c:txPr>
          <a:bodyPr rot="-5400000" vert="horz"/>
          <a:lstStyle/>
          <a:p>
            <a:pPr>
              <a:defRPr/>
            </a:pPr>
            <a:endParaRPr lang="en-US"/>
          </a:p>
        </c:txPr>
        <c:crossAx val="893348480"/>
        <c:crossesAt val="-0.4"/>
        <c:auto val="1"/>
        <c:lblAlgn val="ctr"/>
        <c:lblOffset val="100"/>
        <c:tickLblSkip val="2"/>
        <c:tickMarkSkip val="1"/>
        <c:noMultiLvlLbl val="0"/>
      </c:catAx>
      <c:valAx>
        <c:axId val="893348480"/>
        <c:scaling>
          <c:orientation val="minMax"/>
        </c:scaling>
        <c:delete val="0"/>
        <c:axPos val="l"/>
        <c:numFmt formatCode="0%" sourceLinked="1"/>
        <c:majorTickMark val="out"/>
        <c:minorTickMark val="none"/>
        <c:tickLblPos val="nextTo"/>
        <c:spPr>
          <a:ln w="3175">
            <a:solidFill>
              <a:srgbClr val="808080"/>
            </a:solidFill>
            <a:prstDash val="solid"/>
          </a:ln>
        </c:spPr>
        <c:txPr>
          <a:bodyPr rot="0" vert="horz"/>
          <a:lstStyle/>
          <a:p>
            <a:pPr>
              <a:defRPr/>
            </a:pPr>
            <a:endParaRPr lang="en-US"/>
          </a:p>
        </c:txPr>
        <c:crossAx val="893346944"/>
        <c:crosses val="autoZero"/>
        <c:crossBetween val="midCat"/>
      </c:valAx>
      <c:catAx>
        <c:axId val="893362560"/>
        <c:scaling>
          <c:orientation val="minMax"/>
        </c:scaling>
        <c:delete val="1"/>
        <c:axPos val="b"/>
        <c:numFmt formatCode="General" sourceLinked="1"/>
        <c:majorTickMark val="out"/>
        <c:minorTickMark val="none"/>
        <c:tickLblPos val="nextTo"/>
        <c:crossAx val="893364096"/>
        <c:crosses val="autoZero"/>
        <c:auto val="1"/>
        <c:lblAlgn val="ctr"/>
        <c:lblOffset val="100"/>
        <c:noMultiLvlLbl val="1"/>
      </c:catAx>
      <c:valAx>
        <c:axId val="893364096"/>
        <c:scaling>
          <c:orientation val="minMax"/>
          <c:max val="10000"/>
        </c:scaling>
        <c:delete val="0"/>
        <c:axPos val="l"/>
        <c:numFmt formatCode="General" sourceLinked="1"/>
        <c:majorTickMark val="none"/>
        <c:minorTickMark val="none"/>
        <c:tickLblPos val="none"/>
        <c:spPr>
          <a:ln w="3175">
            <a:noFill/>
            <a:prstDash val="solid"/>
          </a:ln>
        </c:spPr>
        <c:crossAx val="893362560"/>
        <c:crosses val="autoZero"/>
        <c:crossBetween val="between"/>
      </c:valAx>
      <c:spPr>
        <a:noFill/>
        <a:ln w="25400">
          <a:noFill/>
        </a:ln>
      </c:spPr>
    </c:plotArea>
    <c:legend>
      <c:legendPos val="t"/>
      <c:legendEntry>
        <c:idx val="2"/>
        <c:delete val="1"/>
      </c:legendEntry>
      <c:legendEntry>
        <c:idx val="3"/>
        <c:delete val="1"/>
      </c:legendEntry>
      <c:legendEntry>
        <c:idx val="4"/>
        <c:delete val="1"/>
      </c:legendEntry>
      <c:legendEntry>
        <c:idx val="5"/>
        <c:delete val="1"/>
      </c:legendEntry>
      <c:layout>
        <c:manualLayout>
          <c:xMode val="edge"/>
          <c:yMode val="edge"/>
          <c:x val="0.24754663731549681"/>
          <c:y val="0.64599753734486887"/>
          <c:w val="0.44721834572039376"/>
          <c:h val="0.13900119878691564"/>
        </c:manualLayout>
      </c:layout>
      <c:overlay val="0"/>
      <c:spPr>
        <a:no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0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893668828006601E-2"/>
          <c:y val="4.7169956177390976E-2"/>
          <c:w val="0.85372451291934126"/>
          <c:h val="0.90251849486074731"/>
        </c:manualLayout>
      </c:layout>
      <c:lineChart>
        <c:grouping val="standard"/>
        <c:varyColors val="0"/>
        <c:ser>
          <c:idx val="2"/>
          <c:order val="0"/>
          <c:tx>
            <c:strRef>
              <c:f>ChartSupport!$A$362</c:f>
              <c:strCache>
                <c:ptCount val="1"/>
                <c:pt idx="0">
                  <c:v>EBITDA margin</c:v>
                </c:pt>
              </c:strCache>
            </c:strRef>
          </c:tx>
          <c:spPr>
            <a:ln w="25400">
              <a:solidFill>
                <a:schemeClr val="accent1"/>
              </a:solidFill>
              <a:prstDash val="solid"/>
            </a:ln>
          </c:spPr>
          <c:marker>
            <c:symbol val="none"/>
          </c:marke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ChartSupport!$B$362:$BY$362</c:f>
              <c:numCache>
                <c:formatCode>0%</c:formatCode>
                <c:ptCount val="48"/>
                <c:pt idx="0">
                  <c:v>0.4005571742575269</c:v>
                </c:pt>
                <c:pt idx="1">
                  <c:v>0.31992633148519883</c:v>
                </c:pt>
                <c:pt idx="2">
                  <c:v>0.29643765225132057</c:v>
                </c:pt>
                <c:pt idx="3">
                  <c:v>0.21347373003564335</c:v>
                </c:pt>
                <c:pt idx="4">
                  <c:v>0.15482089560788959</c:v>
                </c:pt>
                <c:pt idx="5">
                  <c:v>2.8753957927302624E-2</c:v>
                </c:pt>
                <c:pt idx="6">
                  <c:v>0.21355058686736952</c:v>
                </c:pt>
                <c:pt idx="7">
                  <c:v>0.29812526997840177</c:v>
                </c:pt>
                <c:pt idx="8">
                  <c:v>5.1045016077170359E-2</c:v>
                </c:pt>
                <c:pt idx="9">
                  <c:v>0.21820979553606809</c:v>
                </c:pt>
                <c:pt idx="10">
                  <c:v>0.42922161437576989</c:v>
                </c:pt>
                <c:pt idx="11">
                  <c:v>0.37903449101617159</c:v>
                </c:pt>
                <c:pt idx="12">
                  <c:v>0.19240302591340733</c:v>
                </c:pt>
                <c:pt idx="13">
                  <c:v>0.30011142275329467</c:v>
                </c:pt>
                <c:pt idx="14">
                  <c:v>0.38493692871047053</c:v>
                </c:pt>
                <c:pt idx="15">
                  <c:v>0.41865962062823425</c:v>
                </c:pt>
                <c:pt idx="16">
                  <c:v>0.44645140496967944</c:v>
                </c:pt>
                <c:pt idx="17">
                  <c:v>0.42949119119591916</c:v>
                </c:pt>
                <c:pt idx="18">
                  <c:v>0.49660376391611255</c:v>
                </c:pt>
                <c:pt idx="19">
                  <c:v>0.35423112568617648</c:v>
                </c:pt>
                <c:pt idx="20">
                  <c:v>0.44721050135583745</c:v>
                </c:pt>
                <c:pt idx="21">
                  <c:v>0.4665755723120048</c:v>
                </c:pt>
                <c:pt idx="22">
                  <c:v>0.47141527882916984</c:v>
                </c:pt>
                <c:pt idx="23">
                  <c:v>0.27140886107171491</c:v>
                </c:pt>
                <c:pt idx="24">
                  <c:v>0.41125612700774683</c:v>
                </c:pt>
                <c:pt idx="25">
                  <c:v>0.42563990982112332</c:v>
                </c:pt>
                <c:pt idx="26">
                  <c:v>0.39627414437500641</c:v>
                </c:pt>
                <c:pt idx="27">
                  <c:v>0.35433232709199541</c:v>
                </c:pt>
                <c:pt idx="28">
                  <c:v>0.43077240567230674</c:v>
                </c:pt>
                <c:pt idx="29">
                  <c:v>0.38811770334616774</c:v>
                </c:pt>
                <c:pt idx="30">
                  <c:v>0.38455599182697292</c:v>
                </c:pt>
                <c:pt idx="31">
                  <c:v>0.31139428881843678</c:v>
                </c:pt>
                <c:pt idx="32">
                  <c:v>0.44435571126796847</c:v>
                </c:pt>
                <c:pt idx="33">
                  <c:v>0.60837978589457875</c:v>
                </c:pt>
                <c:pt idx="34">
                  <c:v>0.47654392319829331</c:v>
                </c:pt>
                <c:pt idx="35">
                  <c:v>0.41438952779204841</c:v>
                </c:pt>
                <c:pt idx="36">
                  <c:v>0.43481557013654903</c:v>
                </c:pt>
                <c:pt idx="37">
                  <c:v>0.51327116212338586</c:v>
                </c:pt>
                <c:pt idx="38">
                  <c:v>0.43892641046708647</c:v>
                </c:pt>
                <c:pt idx="39">
                  <c:v>0.42841355402988368</c:v>
                </c:pt>
                <c:pt idx="40">
                  <c:v>0.43304575032972797</c:v>
                </c:pt>
                <c:pt idx="41">
                  <c:v>0.43794370050535097</c:v>
                </c:pt>
                <c:pt idx="42">
                  <c:v>0.43416417432462501</c:v>
                </c:pt>
                <c:pt idx="43">
                  <c:v>0.58818850047551752</c:v>
                </c:pt>
                <c:pt idx="44">
                  <c:v>0.49565518183731833</c:v>
                </c:pt>
                <c:pt idx="45">
                  <c:v>0.51840912246703552</c:v>
                </c:pt>
                <c:pt idx="46">
                  <c:v>0.47211659030937869</c:v>
                </c:pt>
                <c:pt idx="47">
                  <c:v>0.44427988768686105</c:v>
                </c:pt>
              </c:numCache>
            </c:numRef>
          </c:val>
          <c:smooth val="0"/>
        </c:ser>
        <c:dLbls>
          <c:showLegendKey val="0"/>
          <c:showVal val="0"/>
          <c:showCatName val="0"/>
          <c:showSerName val="0"/>
          <c:showPercent val="0"/>
          <c:showBubbleSize val="0"/>
        </c:dLbls>
        <c:marker val="1"/>
        <c:smooth val="0"/>
        <c:axId val="893385728"/>
        <c:axId val="893461248"/>
      </c:lineChart>
      <c:scatterChart>
        <c:scatterStyle val="lineMarker"/>
        <c:varyColors val="0"/>
        <c:ser>
          <c:idx val="0"/>
          <c:order val="1"/>
          <c:tx>
            <c:v>Line1</c:v>
          </c:tx>
          <c:spPr>
            <a:ln w="25400">
              <a:solidFill>
                <a:srgbClr val="FF0000"/>
              </a:solidFill>
            </a:ln>
          </c:spPr>
          <c:marker>
            <c:symbol val="none"/>
          </c:marker>
          <c:xVal>
            <c:numRef>
              <c:f>ChartSupport!$U$428:$V$428</c:f>
              <c:numCache>
                <c:formatCode>General</c:formatCode>
                <c:ptCount val="2"/>
                <c:pt idx="0">
                  <c:v>38</c:v>
                </c:pt>
                <c:pt idx="1">
                  <c:v>38</c:v>
                </c:pt>
              </c:numCache>
            </c:numRef>
          </c:xVal>
          <c:yVal>
            <c:numRef>
              <c:f>ChartSupport!$U$431:$V$431</c:f>
              <c:numCache>
                <c:formatCode>General</c:formatCode>
                <c:ptCount val="2"/>
                <c:pt idx="0">
                  <c:v>0</c:v>
                </c:pt>
                <c:pt idx="1">
                  <c:v>10000</c:v>
                </c:pt>
              </c:numCache>
            </c:numRef>
          </c:yVal>
          <c:smooth val="0"/>
        </c:ser>
        <c:ser>
          <c:idx val="1"/>
          <c:order val="2"/>
          <c:tx>
            <c:v>Line2</c:v>
          </c:tx>
          <c:spPr>
            <a:ln w="25400">
              <a:solidFill>
                <a:srgbClr val="FF0000"/>
              </a:solidFill>
            </a:ln>
          </c:spPr>
          <c:marker>
            <c:symbol val="none"/>
          </c:marker>
          <c:xVal>
            <c:numRef>
              <c:f>ChartSupport!$U$429:$V$429</c:f>
              <c:numCache>
                <c:formatCode>General</c:formatCode>
                <c:ptCount val="2"/>
                <c:pt idx="0">
                  <c:v>42</c:v>
                </c:pt>
                <c:pt idx="1">
                  <c:v>42</c:v>
                </c:pt>
              </c:numCache>
            </c:numRef>
          </c:xVal>
          <c:yVal>
            <c:numRef>
              <c:f>ChartSupport!$U$431:$V$431</c:f>
              <c:numCache>
                <c:formatCode>General</c:formatCode>
                <c:ptCount val="2"/>
                <c:pt idx="0">
                  <c:v>0</c:v>
                </c:pt>
                <c:pt idx="1">
                  <c:v>10000</c:v>
                </c:pt>
              </c:numCache>
            </c:numRef>
          </c:yVal>
          <c:smooth val="0"/>
        </c:ser>
        <c:ser>
          <c:idx val="3"/>
          <c:order val="3"/>
          <c:tx>
            <c:v>Line3</c:v>
          </c:tx>
          <c:spPr>
            <a:ln w="25400">
              <a:solidFill>
                <a:srgbClr val="FF0000"/>
              </a:solidFill>
              <a:prstDash val="dash"/>
            </a:ln>
          </c:spPr>
          <c:marker>
            <c:symbol val="none"/>
          </c:marker>
          <c:xVal>
            <c:numRef>
              <c:f>ChartSupport!$U$430:$V$430</c:f>
              <c:numCache>
                <c:formatCode>General</c:formatCode>
                <c:ptCount val="2"/>
                <c:pt idx="0">
                  <c:v>46</c:v>
                </c:pt>
                <c:pt idx="1">
                  <c:v>46</c:v>
                </c:pt>
              </c:numCache>
            </c:numRef>
          </c:xVal>
          <c:yVal>
            <c:numRef>
              <c:f>ChartSupport!$U$431:$V$431</c:f>
              <c:numCache>
                <c:formatCode>General</c:formatCode>
                <c:ptCount val="2"/>
                <c:pt idx="0">
                  <c:v>0</c:v>
                </c:pt>
                <c:pt idx="1">
                  <c:v>10000</c:v>
                </c:pt>
              </c:numCache>
            </c:numRef>
          </c:yVal>
          <c:smooth val="0"/>
        </c:ser>
        <c:dLbls>
          <c:showLegendKey val="0"/>
          <c:showVal val="0"/>
          <c:showCatName val="0"/>
          <c:showSerName val="0"/>
          <c:showPercent val="0"/>
          <c:showBubbleSize val="0"/>
        </c:dLbls>
        <c:axId val="893462784"/>
        <c:axId val="893476864"/>
      </c:scatterChart>
      <c:catAx>
        <c:axId val="893385728"/>
        <c:scaling>
          <c:orientation val="minMax"/>
        </c:scaling>
        <c:delete val="0"/>
        <c:axPos val="b"/>
        <c:numFmt formatCode="m/d/yyyy" sourceLinked="0"/>
        <c:majorTickMark val="out"/>
        <c:minorTickMark val="none"/>
        <c:tickLblPos val="low"/>
        <c:spPr>
          <a:ln w="3175">
            <a:solidFill>
              <a:srgbClr val="808080"/>
            </a:solidFill>
            <a:prstDash val="solid"/>
          </a:ln>
        </c:spPr>
        <c:txPr>
          <a:bodyPr rot="-5400000" vert="horz"/>
          <a:lstStyle/>
          <a:p>
            <a:pPr>
              <a:defRPr/>
            </a:pPr>
            <a:endParaRPr lang="en-US"/>
          </a:p>
        </c:txPr>
        <c:crossAx val="893461248"/>
        <c:crosses val="autoZero"/>
        <c:auto val="1"/>
        <c:lblAlgn val="ctr"/>
        <c:lblOffset val="100"/>
        <c:tickLblSkip val="2"/>
        <c:tickMarkSkip val="1"/>
        <c:noMultiLvlLbl val="0"/>
      </c:catAx>
      <c:valAx>
        <c:axId val="893461248"/>
        <c:scaling>
          <c:orientation val="minMax"/>
        </c:scaling>
        <c:delete val="0"/>
        <c:axPos val="l"/>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3385728"/>
        <c:crosses val="autoZero"/>
        <c:crossBetween val="midCat"/>
      </c:valAx>
      <c:valAx>
        <c:axId val="893462784"/>
        <c:scaling>
          <c:orientation val="minMax"/>
        </c:scaling>
        <c:delete val="1"/>
        <c:axPos val="b"/>
        <c:numFmt formatCode="General" sourceLinked="1"/>
        <c:majorTickMark val="out"/>
        <c:minorTickMark val="none"/>
        <c:tickLblPos val="nextTo"/>
        <c:crossAx val="893476864"/>
        <c:crosses val="autoZero"/>
        <c:crossBetween val="midCat"/>
      </c:valAx>
      <c:valAx>
        <c:axId val="893476864"/>
        <c:scaling>
          <c:orientation val="minMax"/>
          <c:max val="10000"/>
        </c:scaling>
        <c:delete val="0"/>
        <c:axPos val="l"/>
        <c:numFmt formatCode="General" sourceLinked="1"/>
        <c:majorTickMark val="none"/>
        <c:minorTickMark val="none"/>
        <c:tickLblPos val="none"/>
        <c:spPr>
          <a:ln>
            <a:noFill/>
          </a:ln>
        </c:spPr>
        <c:crossAx val="893462784"/>
        <c:crosses val="autoZero"/>
        <c:crossBetween val="midCat"/>
      </c:valAx>
      <c:spPr>
        <a:noFill/>
        <a:ln w="25400">
          <a:noFill/>
        </a:ln>
      </c:spPr>
    </c:plotArea>
    <c:legend>
      <c:legendPos val="t"/>
      <c:legendEntry>
        <c:idx val="1"/>
        <c:delete val="1"/>
      </c:legendEntry>
      <c:legendEntry>
        <c:idx val="2"/>
        <c:delete val="1"/>
      </c:legendEntry>
      <c:legendEntry>
        <c:idx val="3"/>
        <c:delete val="1"/>
      </c:legendEntry>
      <c:layout>
        <c:manualLayout>
          <c:xMode val="edge"/>
          <c:yMode val="edge"/>
          <c:x val="0.21648812298862541"/>
          <c:y val="5.6191190269632624E-2"/>
          <c:w val="0.37301493452706952"/>
          <c:h val="6.8940225983201181E-2"/>
        </c:manualLayout>
      </c:layout>
      <c:overlay val="0"/>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0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210508574689369"/>
          <c:y val="0.19603563644162728"/>
          <c:w val="0.59261022757050985"/>
          <c:h val="0.67859629991873205"/>
        </c:manualLayout>
      </c:layout>
      <c:pieChart>
        <c:varyColors val="1"/>
        <c:ser>
          <c:idx val="0"/>
          <c:order val="0"/>
          <c:dPt>
            <c:idx val="0"/>
            <c:bubble3D val="0"/>
            <c:spPr>
              <a:solidFill>
                <a:schemeClr val="accent1"/>
              </a:solidFill>
            </c:spPr>
          </c:dPt>
          <c:dPt>
            <c:idx val="1"/>
            <c:bubble3D val="0"/>
            <c:spPr>
              <a:solidFill>
                <a:schemeClr val="accent2"/>
              </a:solidFill>
            </c:spPr>
          </c:dPt>
          <c:dPt>
            <c:idx val="2"/>
            <c:bubble3D val="0"/>
            <c:spPr>
              <a:solidFill>
                <a:schemeClr val="accent3"/>
              </a:solidFill>
            </c:spPr>
          </c:dPt>
          <c:dPt>
            <c:idx val="3"/>
            <c:bubble3D val="0"/>
            <c:spPr>
              <a:solidFill>
                <a:schemeClr val="bg2"/>
              </a:solidFill>
            </c:spPr>
          </c:dPt>
          <c:dLbls>
            <c:dLbl>
              <c:idx val="0"/>
              <c:layout>
                <c:manualLayout>
                  <c:x val="-0.18037758684990113"/>
                  <c:y val="-4.5787374283428724E-2"/>
                </c:manualLayout>
              </c:layout>
              <c:numFmt formatCode="0%" sourceLinked="0"/>
              <c:spPr/>
              <c:txPr>
                <a:bodyPr/>
                <a:lstStyle/>
                <a:p>
                  <a:pPr>
                    <a:defRPr>
                      <a:solidFill>
                        <a:schemeClr val="bg1"/>
                      </a:solidFill>
                    </a:defRPr>
                  </a:pPr>
                  <a:endParaRPr lang="en-US"/>
                </a:p>
              </c:txPr>
              <c:dLblPos val="bestFit"/>
              <c:showLegendKey val="0"/>
              <c:showVal val="0"/>
              <c:showCatName val="1"/>
              <c:showSerName val="0"/>
              <c:showPercent val="1"/>
              <c:showBubbleSize val="0"/>
            </c:dLbl>
            <c:dLbl>
              <c:idx val="1"/>
              <c:layout>
                <c:manualLayout>
                  <c:x val="0.20846824625772881"/>
                  <c:y val="-1.0111266638306613E-2"/>
                </c:manualLayout>
              </c:layout>
              <c:dLblPos val="bestFit"/>
              <c:showLegendKey val="0"/>
              <c:showVal val="0"/>
              <c:showCatName val="1"/>
              <c:showSerName val="0"/>
              <c:showPercent val="1"/>
              <c:showBubbleSize val="0"/>
            </c:dLbl>
            <c:dLbl>
              <c:idx val="2"/>
              <c:layout>
                <c:manualLayout>
                  <c:x val="-6.7330948556238349E-2"/>
                  <c:y val="3.2090462358046974E-2"/>
                </c:manualLayout>
              </c:layout>
              <c:dLblPos val="bestFit"/>
              <c:showLegendKey val="0"/>
              <c:showVal val="0"/>
              <c:showCatName val="1"/>
              <c:showSerName val="0"/>
              <c:showPercent val="1"/>
              <c:showBubbleSize val="0"/>
            </c:dLbl>
            <c:dLbl>
              <c:idx val="3"/>
              <c:layout>
                <c:manualLayout>
                  <c:x val="-4.0675653543028399E-2"/>
                  <c:y val="-5.9253666065558777E-2"/>
                </c:manualLayout>
              </c:layout>
              <c:dLblPos val="bestFit"/>
              <c:showLegendKey val="0"/>
              <c:showVal val="0"/>
              <c:showCatName val="1"/>
              <c:showSerName val="0"/>
              <c:showPercent val="1"/>
              <c:showBubbleSize val="0"/>
            </c:dLbl>
            <c:numFmt formatCode="0%" sourceLinked="0"/>
            <c:showLegendKey val="0"/>
            <c:showVal val="0"/>
            <c:showCatName val="1"/>
            <c:showSerName val="0"/>
            <c:showPercent val="1"/>
            <c:showBubbleSize val="0"/>
            <c:showLeaderLines val="1"/>
          </c:dLbls>
          <c:cat>
            <c:strRef>
              <c:f>ChartSupport!$A$347:$A$350</c:f>
              <c:strCache>
                <c:ptCount val="4"/>
                <c:pt idx="0">
                  <c:v>Sugar</c:v>
                </c:pt>
                <c:pt idx="1">
                  <c:v>Ethanol</c:v>
                </c:pt>
                <c:pt idx="2">
                  <c:v>Energy</c:v>
                </c:pt>
                <c:pt idx="3">
                  <c:v>Other</c:v>
                </c:pt>
              </c:strCache>
            </c:strRef>
          </c:cat>
          <c:val>
            <c:numRef>
              <c:f>ChartSupport!$P$347:$P$350</c:f>
              <c:numCache>
                <c:formatCode>#,##0.0</c:formatCode>
                <c:ptCount val="4"/>
                <c:pt idx="0">
                  <c:v>1964.0391383325343</c:v>
                </c:pt>
                <c:pt idx="1">
                  <c:v>1487.6537955628992</c:v>
                </c:pt>
                <c:pt idx="2">
                  <c:v>165.15</c:v>
                </c:pt>
                <c:pt idx="3">
                  <c:v>39.918199999999999</c:v>
                </c:pt>
              </c:numCache>
            </c:numRef>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ln>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0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230586867704407"/>
          <c:y val="0.21183865069682967"/>
          <c:w val="0.55227954334516294"/>
          <c:h val="0.64174650064039573"/>
        </c:manualLayout>
      </c:layout>
      <c:pieChart>
        <c:varyColors val="1"/>
        <c:ser>
          <c:idx val="0"/>
          <c:order val="0"/>
          <c:dPt>
            <c:idx val="0"/>
            <c:bubble3D val="0"/>
            <c:spPr>
              <a:solidFill>
                <a:schemeClr val="accent1"/>
              </a:solidFill>
            </c:spPr>
          </c:dPt>
          <c:dPt>
            <c:idx val="1"/>
            <c:bubble3D val="0"/>
            <c:spPr>
              <a:solidFill>
                <a:schemeClr val="accent2"/>
              </a:solidFill>
            </c:spPr>
          </c:dPt>
          <c:dLbls>
            <c:dLbl>
              <c:idx val="0"/>
              <c:layout>
                <c:manualLayout>
                  <c:x val="-0.23938264434227727"/>
                  <c:y val="3.0854424007608391E-2"/>
                </c:manualLayout>
              </c:layout>
              <c:numFmt formatCode="0%" sourceLinked="0"/>
              <c:spPr/>
              <c:txPr>
                <a:bodyPr/>
                <a:lstStyle/>
                <a:p>
                  <a:pPr>
                    <a:defRPr>
                      <a:solidFill>
                        <a:schemeClr val="bg1"/>
                      </a:solidFill>
                    </a:defRPr>
                  </a:pPr>
                  <a:endParaRPr lang="en-US"/>
                </a:p>
              </c:txPr>
              <c:dLblPos val="bestFit"/>
              <c:showLegendKey val="0"/>
              <c:showVal val="0"/>
              <c:showCatName val="1"/>
              <c:showSerName val="0"/>
              <c:showPercent val="1"/>
              <c:showBubbleSize val="0"/>
            </c:dLbl>
            <c:dLbl>
              <c:idx val="1"/>
              <c:layout>
                <c:manualLayout>
                  <c:x val="0.20613601065993795"/>
                  <c:y val="-3.5008153863224138E-2"/>
                </c:manualLayout>
              </c:layout>
              <c:dLblPos val="bestFit"/>
              <c:showLegendKey val="0"/>
              <c:showVal val="0"/>
              <c:showCatName val="1"/>
              <c:showSerName val="0"/>
              <c:showPercent val="1"/>
              <c:showBubbleSize val="0"/>
            </c:dLbl>
            <c:numFmt formatCode="0%" sourceLinked="0"/>
            <c:showLegendKey val="0"/>
            <c:showVal val="0"/>
            <c:showCatName val="1"/>
            <c:showSerName val="0"/>
            <c:showPercent val="1"/>
            <c:showBubbleSize val="0"/>
            <c:showLeaderLines val="1"/>
          </c:dLbls>
          <c:cat>
            <c:strRef>
              <c:f>ChartSupport!$A$343:$A$344</c:f>
              <c:strCache>
                <c:ptCount val="2"/>
                <c:pt idx="0">
                  <c:v>Local</c:v>
                </c:pt>
                <c:pt idx="1">
                  <c:v>Export</c:v>
                </c:pt>
              </c:strCache>
            </c:strRef>
          </c:cat>
          <c:val>
            <c:numRef>
              <c:f>ChartSupport!$P$343:$P$344</c:f>
              <c:numCache>
                <c:formatCode>0%</c:formatCode>
                <c:ptCount val="2"/>
                <c:pt idx="0">
                  <c:v>0.45674894501794172</c:v>
                </c:pt>
                <c:pt idx="1">
                  <c:v>0.54325105498205828</c:v>
                </c:pt>
              </c:numCache>
            </c:numRef>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ln>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0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3107049608355096E-2"/>
          <c:y val="5.3459283667709773E-2"/>
          <c:w val="0.84946222147763439"/>
          <c:h val="0.81132324625112473"/>
        </c:manualLayout>
      </c:layout>
      <c:areaChart>
        <c:grouping val="standard"/>
        <c:varyColors val="0"/>
        <c:ser>
          <c:idx val="4"/>
          <c:order val="0"/>
          <c:tx>
            <c:v>Bull-Bear Scenario</c:v>
          </c:tx>
          <c:spPr>
            <a:solidFill>
              <a:schemeClr val="bg1">
                <a:lumMod val="85000"/>
              </a:schemeClr>
            </a:solidFill>
            <a:ln w="12700">
              <a:noFill/>
              <a:prstDash val="solid"/>
            </a:ln>
          </c:spPr>
          <c:cat>
            <c:strRef>
              <c:f>ChartSupport!$K$7:$W$7</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ChartSupport!$K$10:$W$10</c:f>
              <c:numCache>
                <c:formatCode>#,##0.0</c:formatCode>
                <c:ptCount val="13"/>
                <c:pt idx="0">
                  <c:v>139.13999999999999</c:v>
                </c:pt>
                <c:pt idx="1">
                  <c:v>136.94999999999999</c:v>
                </c:pt>
                <c:pt idx="2">
                  <c:v>141.6</c:v>
                </c:pt>
                <c:pt idx="3">
                  <c:v>128.9</c:v>
                </c:pt>
                <c:pt idx="4">
                  <c:v>130.30000000000001</c:v>
                </c:pt>
                <c:pt idx="5">
                  <c:v>134.5</c:v>
                </c:pt>
                <c:pt idx="6">
                  <c:v>136.06499999999997</c:v>
                </c:pt>
                <c:pt idx="7">
                  <c:v>136.74032499999996</c:v>
                </c:pt>
                <c:pt idx="8">
                  <c:v>137.41902662499993</c:v>
                </c:pt>
                <c:pt idx="9">
                  <c:v>138.10112175812492</c:v>
                </c:pt>
                <c:pt idx="10">
                  <c:v>138.78662736691552</c:v>
                </c:pt>
                <c:pt idx="11">
                  <c:v>139.47556050375007</c:v>
                </c:pt>
                <c:pt idx="12">
                  <c:v>140.16793830626881</c:v>
                </c:pt>
              </c:numCache>
            </c:numRef>
          </c:val>
        </c:ser>
        <c:ser>
          <c:idx val="3"/>
          <c:order val="1"/>
          <c:tx>
            <c:v>Bear Scenario</c:v>
          </c:tx>
          <c:spPr>
            <a:solidFill>
              <a:srgbClr val="FFFFFF"/>
            </a:solidFill>
            <a:ln w="12700">
              <a:noFill/>
              <a:prstDash val="solid"/>
            </a:ln>
          </c:spPr>
          <c:cat>
            <c:strRef>
              <c:f>ChartSupport!$K$7:$W$7</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ChartSupport!$K$8:$W$8</c:f>
              <c:numCache>
                <c:formatCode>#,##0.0</c:formatCode>
                <c:ptCount val="13"/>
                <c:pt idx="0">
                  <c:v>139.13999999999999</c:v>
                </c:pt>
                <c:pt idx="1">
                  <c:v>136.94999999999999</c:v>
                </c:pt>
                <c:pt idx="2">
                  <c:v>141.6</c:v>
                </c:pt>
                <c:pt idx="3">
                  <c:v>128.9</c:v>
                </c:pt>
                <c:pt idx="4">
                  <c:v>130.30000000000001</c:v>
                </c:pt>
                <c:pt idx="5">
                  <c:v>133</c:v>
                </c:pt>
                <c:pt idx="6">
                  <c:v>134.56499999999997</c:v>
                </c:pt>
                <c:pt idx="7">
                  <c:v>135.24032499999996</c:v>
                </c:pt>
                <c:pt idx="8">
                  <c:v>135.91902662499993</c:v>
                </c:pt>
                <c:pt idx="9">
                  <c:v>136.60112175812492</c:v>
                </c:pt>
                <c:pt idx="10">
                  <c:v>137.28662736691552</c:v>
                </c:pt>
                <c:pt idx="11">
                  <c:v>137.97556050375007</c:v>
                </c:pt>
                <c:pt idx="12">
                  <c:v>138.66793830626881</c:v>
                </c:pt>
              </c:numCache>
            </c:numRef>
          </c:val>
        </c:ser>
        <c:dLbls>
          <c:showLegendKey val="0"/>
          <c:showVal val="0"/>
          <c:showCatName val="0"/>
          <c:showSerName val="0"/>
          <c:showPercent val="0"/>
          <c:showBubbleSize val="0"/>
        </c:dLbls>
        <c:axId val="893718528"/>
        <c:axId val="893720064"/>
      </c:areaChart>
      <c:lineChart>
        <c:grouping val="standard"/>
        <c:varyColors val="0"/>
        <c:ser>
          <c:idx val="2"/>
          <c:order val="2"/>
          <c:tx>
            <c:v>Base Scenario</c:v>
          </c:tx>
          <c:spPr>
            <a:ln w="25400">
              <a:solidFill>
                <a:schemeClr val="accent1"/>
              </a:solidFill>
              <a:prstDash val="solid"/>
            </a:ln>
          </c:spPr>
          <c:marker>
            <c:symbol val="none"/>
          </c:marker>
          <c:cat>
            <c:strRef>
              <c:f>ChartSupport!$K$7:$W$7</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ChartSupport!$K$9:$W$9</c:f>
              <c:numCache>
                <c:formatCode>#,##0.0</c:formatCode>
                <c:ptCount val="13"/>
                <c:pt idx="0">
                  <c:v>139.13999999999999</c:v>
                </c:pt>
                <c:pt idx="1">
                  <c:v>136.94999999999999</c:v>
                </c:pt>
                <c:pt idx="2">
                  <c:v>141.6</c:v>
                </c:pt>
                <c:pt idx="3">
                  <c:v>128.9</c:v>
                </c:pt>
                <c:pt idx="4">
                  <c:v>130.30000000000001</c:v>
                </c:pt>
                <c:pt idx="5">
                  <c:v>133.5</c:v>
                </c:pt>
                <c:pt idx="6">
                  <c:v>135.06499999999997</c:v>
                </c:pt>
                <c:pt idx="7">
                  <c:v>135.74032499999996</c:v>
                </c:pt>
                <c:pt idx="8">
                  <c:v>136.41902662499993</c:v>
                </c:pt>
                <c:pt idx="9">
                  <c:v>137.10112175812492</c:v>
                </c:pt>
                <c:pt idx="10">
                  <c:v>137.78662736691552</c:v>
                </c:pt>
                <c:pt idx="11">
                  <c:v>138.47556050375007</c:v>
                </c:pt>
                <c:pt idx="12">
                  <c:v>139.16793830626881</c:v>
                </c:pt>
              </c:numCache>
            </c:numRef>
          </c:val>
          <c:smooth val="0"/>
        </c:ser>
        <c:dLbls>
          <c:showLegendKey val="0"/>
          <c:showVal val="0"/>
          <c:showCatName val="0"/>
          <c:showSerName val="0"/>
          <c:showPercent val="0"/>
          <c:showBubbleSize val="0"/>
        </c:dLbls>
        <c:marker val="1"/>
        <c:smooth val="0"/>
        <c:axId val="893718528"/>
        <c:axId val="893720064"/>
      </c:lineChart>
      <c:lineChart>
        <c:grouping val="standard"/>
        <c:varyColors val="0"/>
        <c:ser>
          <c:idx val="0"/>
          <c:order val="3"/>
          <c:tx>
            <c:strRef>
              <c:f>ChartSupport!$A$293</c:f>
              <c:strCache>
                <c:ptCount val="1"/>
                <c:pt idx="0">
                  <c:v>Sugar Nybot prices (US$ cents/lb)</c:v>
                </c:pt>
              </c:strCache>
            </c:strRef>
          </c:tx>
          <c:spPr>
            <a:ln w="15875">
              <a:solidFill>
                <a:srgbClr val="FF0000"/>
              </a:solidFill>
              <a:prstDash val="sysDash"/>
            </a:ln>
          </c:spPr>
          <c:marker>
            <c:symbol val="none"/>
          </c:marker>
          <c:cat>
            <c:strRef>
              <c:f>ChartSupport!$K$7:$W$7</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ChartSupport!$K$293:$W$293</c:f>
              <c:numCache>
                <c:formatCode>#,##0.0</c:formatCode>
                <c:ptCount val="13"/>
                <c:pt idx="0">
                  <c:v>17.066666666666666</c:v>
                </c:pt>
                <c:pt idx="1">
                  <c:v>15.978333333333333</c:v>
                </c:pt>
                <c:pt idx="2">
                  <c:v>13.149166666666668</c:v>
                </c:pt>
                <c:pt idx="3">
                  <c:v>19.252499999999998</c:v>
                </c:pt>
                <c:pt idx="4">
                  <c:v>17.805000000000003</c:v>
                </c:pt>
                <c:pt idx="5">
                  <c:v>16.244658605325153</c:v>
                </c:pt>
                <c:pt idx="6">
                  <c:v>16.31531880717511</c:v>
                </c:pt>
                <c:pt idx="7">
                  <c:v>16.498655235130911</c:v>
                </c:pt>
                <c:pt idx="8">
                  <c:v>19.747444770453257</c:v>
                </c:pt>
                <c:pt idx="9">
                  <c:v>20.93514679550681</c:v>
                </c:pt>
                <c:pt idx="10">
                  <c:v>17.432162450241776</c:v>
                </c:pt>
                <c:pt idx="11">
                  <c:v>15.017906650666538</c:v>
                </c:pt>
                <c:pt idx="12">
                  <c:v>17.055276269110166</c:v>
                </c:pt>
              </c:numCache>
            </c:numRef>
          </c:val>
          <c:smooth val="0"/>
        </c:ser>
        <c:dLbls>
          <c:showLegendKey val="0"/>
          <c:showVal val="0"/>
          <c:showCatName val="0"/>
          <c:showSerName val="0"/>
          <c:showPercent val="0"/>
          <c:showBubbleSize val="0"/>
        </c:dLbls>
        <c:marker val="1"/>
        <c:smooth val="0"/>
        <c:axId val="893721984"/>
        <c:axId val="893723776"/>
      </c:lineChart>
      <c:catAx>
        <c:axId val="893718528"/>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93720064"/>
        <c:crosses val="autoZero"/>
        <c:auto val="1"/>
        <c:lblAlgn val="ctr"/>
        <c:lblOffset val="100"/>
        <c:tickLblSkip val="1"/>
        <c:tickMarkSkip val="1"/>
        <c:noMultiLvlLbl val="0"/>
      </c:catAx>
      <c:valAx>
        <c:axId val="893720064"/>
        <c:scaling>
          <c:orientation val="minMax"/>
          <c:min val="120"/>
        </c:scaling>
        <c:delete val="0"/>
        <c:axPos val="r"/>
        <c:title>
          <c:tx>
            <c:rich>
              <a:bodyPr rot="0" vert="horz"/>
              <a:lstStyle/>
              <a:p>
                <a:pPr algn="ctr" rtl="0">
                  <a:defRPr sz="900"/>
                </a:pPr>
                <a:r>
                  <a:rPr lang="en-US" sz="900" b="0" i="0" baseline="0">
                    <a:solidFill>
                      <a:schemeClr val="bg1">
                        <a:lumMod val="50000"/>
                      </a:schemeClr>
                    </a:solidFill>
                    <a:effectLst/>
                  </a:rPr>
                  <a:t>US$ cents/lb</a:t>
                </a:r>
                <a:endParaRPr lang="en-US" sz="900">
                  <a:solidFill>
                    <a:schemeClr val="bg1">
                      <a:lumMod val="50000"/>
                    </a:schemeClr>
                  </a:solidFill>
                  <a:effectLst/>
                </a:endParaRPr>
              </a:p>
            </c:rich>
          </c:tx>
          <c:layout>
            <c:manualLayout>
              <c:xMode val="edge"/>
              <c:yMode val="edge"/>
              <c:x val="8.6662969580054733E-2"/>
              <c:y val="2.2260057783808074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93718528"/>
        <c:crosses val="max"/>
        <c:crossBetween val="midCat"/>
      </c:valAx>
      <c:catAx>
        <c:axId val="893721984"/>
        <c:scaling>
          <c:orientation val="minMax"/>
        </c:scaling>
        <c:delete val="1"/>
        <c:axPos val="b"/>
        <c:majorTickMark val="out"/>
        <c:minorTickMark val="none"/>
        <c:tickLblPos val="nextTo"/>
        <c:crossAx val="893723776"/>
        <c:crosses val="autoZero"/>
        <c:auto val="1"/>
        <c:lblAlgn val="ctr"/>
        <c:lblOffset val="100"/>
        <c:noMultiLvlLbl val="0"/>
      </c:catAx>
      <c:valAx>
        <c:axId val="893723776"/>
        <c:scaling>
          <c:orientation val="minMax"/>
          <c:max val="30"/>
        </c:scaling>
        <c:delete val="0"/>
        <c:axPos val="l"/>
        <c:title>
          <c:tx>
            <c:rich>
              <a:bodyPr rot="0" vert="horz"/>
              <a:lstStyle/>
              <a:p>
                <a:pPr algn="ctr" rtl="0">
                  <a:defRPr sz="900"/>
                </a:pPr>
                <a:r>
                  <a:rPr lang="en-US" sz="900"/>
                  <a:t>tons/ha</a:t>
                </a:r>
              </a:p>
            </c:rich>
          </c:tx>
          <c:layout>
            <c:manualLayout>
              <c:xMode val="edge"/>
              <c:yMode val="edge"/>
              <c:x val="0.76217740707577675"/>
              <c:y val="2.6144291625345324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93721984"/>
        <c:crosses val="autoZero"/>
        <c:crossBetween val="midCat"/>
        <c:majorUnit val="5"/>
        <c:minorUnit val="1"/>
      </c:valAx>
      <c:spPr>
        <a:noFill/>
        <a:ln w="25400">
          <a:noFill/>
        </a:ln>
      </c:spPr>
    </c:plotArea>
    <c:legend>
      <c:legendPos val="r"/>
      <c:legendEntry>
        <c:idx val="1"/>
        <c:delete val="1"/>
      </c:legendEntry>
      <c:layout>
        <c:manualLayout>
          <c:xMode val="edge"/>
          <c:yMode val="edge"/>
          <c:x val="0.21303377077865268"/>
          <c:y val="0.68872867955725714"/>
          <c:w val="0.65718117235345586"/>
          <c:h val="0.16422150934836849"/>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userShapes r:id="rId1"/>
</c:chartSpace>
</file>

<file path=xl/charts/chart10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3404843285076771E-2"/>
          <c:y val="1.5822809259433808E-2"/>
          <c:w val="0.97587259115358882"/>
          <c:h val="0.97152048852923589"/>
        </c:manualLayout>
      </c:layout>
      <c:barChart>
        <c:barDir val="col"/>
        <c:grouping val="stacked"/>
        <c:varyColors val="0"/>
        <c:ser>
          <c:idx val="2"/>
          <c:order val="0"/>
          <c:tx>
            <c:strRef>
              <c:f>Financials!$A$7</c:f>
              <c:strCache>
                <c:ptCount val="1"/>
                <c:pt idx="0">
                  <c:v>Own cane</c:v>
                </c:pt>
              </c:strCache>
            </c:strRef>
          </c:tx>
          <c:spPr>
            <a:solidFill>
              <a:schemeClr val="accent1"/>
            </a:solidFill>
            <a:ln w="3175">
              <a:noFill/>
              <a:prstDash val="solid"/>
            </a:ln>
          </c:spPr>
          <c:invertIfNegative val="0"/>
          <c:dLbls>
            <c:numFmt formatCode="#,##0" sourceLinked="0"/>
            <c:spPr>
              <a:noFill/>
              <a:ln w="25400">
                <a:noFill/>
              </a:ln>
            </c:spPr>
            <c:txPr>
              <a:bodyPr/>
              <a:lstStyle/>
              <a:p>
                <a:pPr>
                  <a:defRPr sz="900" b="0"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dLbls>
          <c:cat>
            <c:numRef>
              <c:f>Financials!$E$4:$W$4</c:f>
              <c:numCache>
                <c:formatCode>General</c:formatCode>
                <c:ptCount val="19"/>
                <c:pt idx="0">
                  <c:v>2007</c:v>
                </c:pt>
                <c:pt idx="1">
                  <c:v>2008</c:v>
                </c:pt>
                <c:pt idx="2">
                  <c:v>2009</c:v>
                </c:pt>
                <c:pt idx="3">
                  <c:v>2010</c:v>
                </c:pt>
                <c:pt idx="4">
                  <c:v>2011</c:v>
                </c:pt>
                <c:pt idx="5">
                  <c:v>2012</c:v>
                </c:pt>
                <c:pt idx="6">
                  <c:v>2013</c:v>
                </c:pt>
                <c:pt idx="7">
                  <c:v>2014</c:v>
                </c:pt>
                <c:pt idx="8">
                  <c:v>2015</c:v>
                </c:pt>
                <c:pt idx="9">
                  <c:v>2016</c:v>
                </c:pt>
                <c:pt idx="10">
                  <c:v>2017</c:v>
                </c:pt>
                <c:pt idx="11" formatCode="General&quot;E&quot;">
                  <c:v>2018</c:v>
                </c:pt>
                <c:pt idx="12" formatCode="General&quot;E&quot;">
                  <c:v>2019</c:v>
                </c:pt>
                <c:pt idx="13" formatCode="General&quot;E&quot;">
                  <c:v>2020</c:v>
                </c:pt>
                <c:pt idx="14" formatCode="General&quot;E&quot;">
                  <c:v>2021</c:v>
                </c:pt>
                <c:pt idx="15" formatCode="General&quot;E&quot;">
                  <c:v>2022</c:v>
                </c:pt>
                <c:pt idx="16" formatCode="General&quot;E&quot;">
                  <c:v>2023</c:v>
                </c:pt>
                <c:pt idx="17" formatCode="General&quot;E&quot;">
                  <c:v>2024</c:v>
                </c:pt>
                <c:pt idx="18" formatCode="General&quot;E&quot;">
                  <c:v>2025</c:v>
                </c:pt>
              </c:numCache>
            </c:numRef>
          </c:cat>
          <c:val>
            <c:numRef>
              <c:f>Financials!$E$7:$W$7</c:f>
              <c:numCache>
                <c:formatCode>_(* #,##0_);_(* \(#,##0\);_(* "-"??_);_(@_)</c:formatCode>
                <c:ptCount val="19"/>
                <c:pt idx="0">
                  <c:v>6191</c:v>
                </c:pt>
                <c:pt idx="1">
                  <c:v>6673</c:v>
                </c:pt>
                <c:pt idx="2">
                  <c:v>7212</c:v>
                </c:pt>
                <c:pt idx="3">
                  <c:v>7584</c:v>
                </c:pt>
                <c:pt idx="4">
                  <c:v>8511</c:v>
                </c:pt>
                <c:pt idx="5">
                  <c:v>6886</c:v>
                </c:pt>
                <c:pt idx="6">
                  <c:v>8206</c:v>
                </c:pt>
                <c:pt idx="7">
                  <c:v>10315</c:v>
                </c:pt>
                <c:pt idx="8">
                  <c:v>12326</c:v>
                </c:pt>
                <c:pt idx="9">
                  <c:v>12985</c:v>
                </c:pt>
                <c:pt idx="10">
                  <c:v>13398</c:v>
                </c:pt>
                <c:pt idx="11">
                  <c:v>15495.84565115917</c:v>
                </c:pt>
                <c:pt idx="12">
                  <c:v>16270.637933717129</c:v>
                </c:pt>
                <c:pt idx="13">
                  <c:v>16596.050692391473</c:v>
                </c:pt>
                <c:pt idx="14">
                  <c:v>17093.932213163214</c:v>
                </c:pt>
                <c:pt idx="15">
                  <c:v>17401.62299300015</c:v>
                </c:pt>
                <c:pt idx="16">
                  <c:v>17714.852206874155</c:v>
                </c:pt>
                <c:pt idx="17">
                  <c:v>18033.719546597891</c:v>
                </c:pt>
                <c:pt idx="18">
                  <c:v>18358.326498436654</c:v>
                </c:pt>
              </c:numCache>
            </c:numRef>
          </c:val>
        </c:ser>
        <c:ser>
          <c:idx val="3"/>
          <c:order val="1"/>
          <c:tx>
            <c:strRef>
              <c:f>Financials!$A$8</c:f>
              <c:strCache>
                <c:ptCount val="1"/>
                <c:pt idx="0">
                  <c:v>Third Party</c:v>
                </c:pt>
              </c:strCache>
            </c:strRef>
          </c:tx>
          <c:spPr>
            <a:solidFill>
              <a:schemeClr val="accent2"/>
            </a:solidFill>
            <a:ln w="12700">
              <a:noFill/>
              <a:prstDash val="solid"/>
            </a:ln>
          </c:spPr>
          <c:invertIfNegative val="0"/>
          <c:dLbls>
            <c:numFmt formatCode="#,##0" sourceLinked="0"/>
            <c:spPr>
              <a:noFill/>
              <a:ln w="25400">
                <a:noFill/>
              </a:ln>
            </c:spPr>
            <c:txPr>
              <a:bodyPr/>
              <a:lstStyle/>
              <a:p>
                <a:pPr>
                  <a:defRPr sz="900" b="0"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dLbls>
          <c:cat>
            <c:numRef>
              <c:f>Financials!$E$4:$W$4</c:f>
              <c:numCache>
                <c:formatCode>General</c:formatCode>
                <c:ptCount val="19"/>
                <c:pt idx="0">
                  <c:v>2007</c:v>
                </c:pt>
                <c:pt idx="1">
                  <c:v>2008</c:v>
                </c:pt>
                <c:pt idx="2">
                  <c:v>2009</c:v>
                </c:pt>
                <c:pt idx="3">
                  <c:v>2010</c:v>
                </c:pt>
                <c:pt idx="4">
                  <c:v>2011</c:v>
                </c:pt>
                <c:pt idx="5">
                  <c:v>2012</c:v>
                </c:pt>
                <c:pt idx="6">
                  <c:v>2013</c:v>
                </c:pt>
                <c:pt idx="7">
                  <c:v>2014</c:v>
                </c:pt>
                <c:pt idx="8">
                  <c:v>2015</c:v>
                </c:pt>
                <c:pt idx="9">
                  <c:v>2016</c:v>
                </c:pt>
                <c:pt idx="10">
                  <c:v>2017</c:v>
                </c:pt>
                <c:pt idx="11" formatCode="General&quot;E&quot;">
                  <c:v>2018</c:v>
                </c:pt>
                <c:pt idx="12" formatCode="General&quot;E&quot;">
                  <c:v>2019</c:v>
                </c:pt>
                <c:pt idx="13" formatCode="General&quot;E&quot;">
                  <c:v>2020</c:v>
                </c:pt>
                <c:pt idx="14" formatCode="General&quot;E&quot;">
                  <c:v>2021</c:v>
                </c:pt>
                <c:pt idx="15" formatCode="General&quot;E&quot;">
                  <c:v>2022</c:v>
                </c:pt>
                <c:pt idx="16" formatCode="General&quot;E&quot;">
                  <c:v>2023</c:v>
                </c:pt>
                <c:pt idx="17" formatCode="General&quot;E&quot;">
                  <c:v>2024</c:v>
                </c:pt>
                <c:pt idx="18" formatCode="General&quot;E&quot;">
                  <c:v>2025</c:v>
                </c:pt>
              </c:numCache>
            </c:numRef>
          </c:cat>
          <c:val>
            <c:numRef>
              <c:f>Financials!$E$8:$W$8</c:f>
              <c:numCache>
                <c:formatCode>_(* #,##0_);_(* \(#,##0\);_(* "-"??_);_(@_)</c:formatCode>
                <c:ptCount val="19"/>
                <c:pt idx="0">
                  <c:v>3085</c:v>
                </c:pt>
                <c:pt idx="1">
                  <c:v>3545</c:v>
                </c:pt>
                <c:pt idx="2">
                  <c:v>4789</c:v>
                </c:pt>
                <c:pt idx="3">
                  <c:v>5339</c:v>
                </c:pt>
                <c:pt idx="4">
                  <c:v>4556</c:v>
                </c:pt>
                <c:pt idx="5">
                  <c:v>3704</c:v>
                </c:pt>
                <c:pt idx="6">
                  <c:v>4679</c:v>
                </c:pt>
                <c:pt idx="7">
                  <c:v>5278</c:v>
                </c:pt>
                <c:pt idx="8">
                  <c:v>6392</c:v>
                </c:pt>
                <c:pt idx="9">
                  <c:v>7039</c:v>
                </c:pt>
                <c:pt idx="10">
                  <c:v>5883</c:v>
                </c:pt>
                <c:pt idx="11">
                  <c:v>6804.154348840827</c:v>
                </c:pt>
                <c:pt idx="12">
                  <c:v>7144.362066282868</c:v>
                </c:pt>
                <c:pt idx="13">
                  <c:v>7287.2493076085257</c:v>
                </c:pt>
                <c:pt idx="14">
                  <c:v>7505.8667868367811</c:v>
                </c:pt>
                <c:pt idx="15">
                  <c:v>7640.9723889998431</c:v>
                </c:pt>
                <c:pt idx="16">
                  <c:v>7778.5098920018409</c:v>
                </c:pt>
                <c:pt idx="17">
                  <c:v>7918.523070057875</c:v>
                </c:pt>
                <c:pt idx="18">
                  <c:v>8061.0564853189162</c:v>
                </c:pt>
              </c:numCache>
            </c:numRef>
          </c:val>
        </c:ser>
        <c:dLbls>
          <c:showLegendKey val="0"/>
          <c:showVal val="0"/>
          <c:showCatName val="0"/>
          <c:showSerName val="0"/>
          <c:showPercent val="0"/>
          <c:showBubbleSize val="0"/>
        </c:dLbls>
        <c:gapWidth val="40"/>
        <c:overlap val="100"/>
        <c:axId val="893788928"/>
        <c:axId val="893790464"/>
      </c:barChart>
      <c:catAx>
        <c:axId val="893788928"/>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93790464"/>
        <c:crosses val="autoZero"/>
        <c:auto val="1"/>
        <c:lblAlgn val="ctr"/>
        <c:lblOffset val="100"/>
        <c:tickMarkSkip val="1"/>
        <c:noMultiLvlLbl val="0"/>
      </c:catAx>
      <c:valAx>
        <c:axId val="893790464"/>
        <c:scaling>
          <c:orientation val="minMax"/>
        </c:scaling>
        <c:delete val="0"/>
        <c:axPos val="l"/>
        <c:title>
          <c:tx>
            <c:rich>
              <a:bodyPr rot="0" vert="horz"/>
              <a:lstStyle/>
              <a:p>
                <a:pPr>
                  <a:defRPr sz="900"/>
                </a:pPr>
                <a:r>
                  <a:rPr lang="en-US" sz="900"/>
                  <a:t>Tn mn</a:t>
                </a:r>
              </a:p>
            </c:rich>
          </c:tx>
          <c:layout>
            <c:manualLayout>
              <c:xMode val="edge"/>
              <c:yMode val="edge"/>
              <c:x val="8.9114526090170565E-2"/>
              <c:y val="1.4404446248846316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93788928"/>
        <c:crosses val="autoZero"/>
        <c:crossBetween val="between"/>
        <c:dispUnits>
          <c:builtInUnit val="thousands"/>
          <c:dispUnitsLbl/>
        </c:dispUnits>
      </c:valAx>
      <c:spPr>
        <a:noFill/>
        <a:ln w="25400">
          <a:noFill/>
        </a:ln>
      </c:spPr>
    </c:plotArea>
    <c:legend>
      <c:legendPos val="r"/>
      <c:layout>
        <c:manualLayout>
          <c:xMode val="edge"/>
          <c:yMode val="edge"/>
          <c:x val="0.27207398794321047"/>
          <c:y val="3.3517174467594356E-2"/>
          <c:w val="0.46023251093613293"/>
          <c:h val="0.15290773779859795"/>
        </c:manualLayout>
      </c:layout>
      <c:overlay val="0"/>
      <c:spPr>
        <a:solidFill>
          <a:srgbClr val="FFFFFF"/>
        </a:solidFill>
        <a:ln w="25400">
          <a:noFill/>
        </a:ln>
      </c:spPr>
      <c:txPr>
        <a:bodyPr/>
        <a:lstStyle/>
        <a:p>
          <a:pPr>
            <a:defRPr sz="900" b="0" i="0" u="none" strike="noStrike" baseline="0">
              <a:solidFill>
                <a:srgbClr val="808080"/>
              </a:solidFill>
              <a:latin typeface="Arial"/>
              <a:ea typeface="Arial"/>
              <a:cs typeface="Arial"/>
            </a:defRPr>
          </a:pPr>
          <a:endParaRPr lang="en-US"/>
        </a:p>
      </c:txPr>
    </c:legend>
    <c:plotVisOnly val="0"/>
    <c:dispBlanksAs val="gap"/>
    <c:showDLblsOverMax val="0"/>
  </c:chart>
  <c:spPr>
    <a:solidFill>
      <a:srgbClr val="FFFFFF"/>
    </a:solid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301812845705304E-2"/>
          <c:y val="4.7318611987381701E-2"/>
          <c:w val="0.82804446729411396"/>
          <c:h val="0.77287066246056779"/>
        </c:manualLayout>
      </c:layout>
      <c:lineChart>
        <c:grouping val="standard"/>
        <c:varyColors val="0"/>
        <c:ser>
          <c:idx val="0"/>
          <c:order val="0"/>
          <c:tx>
            <c:v>2009</c:v>
          </c:tx>
          <c:spPr>
            <a:ln w="25400">
              <a:solidFill>
                <a:schemeClr val="bg1">
                  <a:lumMod val="50000"/>
                </a:schemeClr>
              </a:solidFill>
            </a:ln>
          </c:spPr>
          <c:marker>
            <c:symbol val="none"/>
          </c:marker>
          <c:cat>
            <c:strRef>
              <c:f>ChartSupport!$B$337:$E$337</c:f>
              <c:strCache>
                <c:ptCount val="4"/>
                <c:pt idx="0">
                  <c:v>1Q</c:v>
                </c:pt>
                <c:pt idx="1">
                  <c:v>2Q</c:v>
                </c:pt>
                <c:pt idx="2">
                  <c:v>3Q</c:v>
                </c:pt>
                <c:pt idx="3">
                  <c:v>4Q</c:v>
                </c:pt>
              </c:strCache>
            </c:strRef>
          </c:cat>
          <c:val>
            <c:numRef>
              <c:f>ChartSupport!$J$357:$M$357</c:f>
              <c:numCache>
                <c:formatCode>#,##0_);\(#,##0\)</c:formatCode>
                <c:ptCount val="4"/>
                <c:pt idx="0">
                  <c:v>92.055999999999997</c:v>
                </c:pt>
                <c:pt idx="1">
                  <c:v>194.31299999999999</c:v>
                </c:pt>
                <c:pt idx="2">
                  <c:v>220.816</c:v>
                </c:pt>
                <c:pt idx="3">
                  <c:v>267.25799999999998</c:v>
                </c:pt>
              </c:numCache>
            </c:numRef>
          </c:val>
          <c:smooth val="0"/>
        </c:ser>
        <c:ser>
          <c:idx val="1"/>
          <c:order val="1"/>
          <c:tx>
            <c:v>2010</c:v>
          </c:tx>
          <c:spPr>
            <a:ln w="25400">
              <a:solidFill>
                <a:schemeClr val="accent2"/>
              </a:solidFill>
            </a:ln>
          </c:spPr>
          <c:marker>
            <c:symbol val="none"/>
          </c:marker>
          <c:cat>
            <c:strRef>
              <c:f>ChartSupport!$B$337:$E$337</c:f>
              <c:strCache>
                <c:ptCount val="4"/>
                <c:pt idx="0">
                  <c:v>1Q</c:v>
                </c:pt>
                <c:pt idx="1">
                  <c:v>2Q</c:v>
                </c:pt>
                <c:pt idx="2">
                  <c:v>3Q</c:v>
                </c:pt>
                <c:pt idx="3">
                  <c:v>4Q</c:v>
                </c:pt>
              </c:strCache>
            </c:strRef>
          </c:cat>
          <c:val>
            <c:numRef>
              <c:f>ChartSupport!$N$357:$Q$357</c:f>
              <c:numCache>
                <c:formatCode>#,##0_);\(#,##0\)</c:formatCode>
                <c:ptCount val="4"/>
                <c:pt idx="0">
                  <c:v>217.45499999999998</c:v>
                </c:pt>
                <c:pt idx="1">
                  <c:v>286.29699999999997</c:v>
                </c:pt>
                <c:pt idx="2">
                  <c:v>324.15699999999998</c:v>
                </c:pt>
                <c:pt idx="3">
                  <c:v>355.37700000000001</c:v>
                </c:pt>
              </c:numCache>
            </c:numRef>
          </c:val>
          <c:smooth val="0"/>
        </c:ser>
        <c:ser>
          <c:idx val="2"/>
          <c:order val="2"/>
          <c:tx>
            <c:v>2011</c:v>
          </c:tx>
          <c:spPr>
            <a:ln w="25400">
              <a:solidFill>
                <a:schemeClr val="accent3"/>
              </a:solidFill>
            </a:ln>
          </c:spPr>
          <c:marker>
            <c:symbol val="none"/>
          </c:marker>
          <c:cat>
            <c:strRef>
              <c:f>ChartSupport!$B$337:$E$337</c:f>
              <c:strCache>
                <c:ptCount val="4"/>
                <c:pt idx="0">
                  <c:v>1Q</c:v>
                </c:pt>
                <c:pt idx="1">
                  <c:v>2Q</c:v>
                </c:pt>
                <c:pt idx="2">
                  <c:v>3Q</c:v>
                </c:pt>
                <c:pt idx="3">
                  <c:v>4Q</c:v>
                </c:pt>
              </c:strCache>
            </c:strRef>
          </c:cat>
          <c:val>
            <c:numRef>
              <c:f>ChartSupport!$R$357:$U$357</c:f>
              <c:numCache>
                <c:formatCode>#,##0_);\(#,##0\)</c:formatCode>
                <c:ptCount val="4"/>
                <c:pt idx="0">
                  <c:v>285.45099999999996</c:v>
                </c:pt>
                <c:pt idx="1">
                  <c:v>338.75200000000001</c:v>
                </c:pt>
                <c:pt idx="2">
                  <c:v>390.28499999999997</c:v>
                </c:pt>
                <c:pt idx="3">
                  <c:v>280.53999999999996</c:v>
                </c:pt>
              </c:numCache>
            </c:numRef>
          </c:val>
          <c:smooth val="0"/>
        </c:ser>
        <c:ser>
          <c:idx val="3"/>
          <c:order val="3"/>
          <c:tx>
            <c:v>2012</c:v>
          </c:tx>
          <c:spPr>
            <a:ln w="25400">
              <a:solidFill>
                <a:schemeClr val="bg2"/>
              </a:solidFill>
            </a:ln>
          </c:spPr>
          <c:marker>
            <c:symbol val="none"/>
          </c:marker>
          <c:cat>
            <c:strRef>
              <c:f>ChartSupport!$B$337:$E$337</c:f>
              <c:strCache>
                <c:ptCount val="4"/>
                <c:pt idx="0">
                  <c:v>1Q</c:v>
                </c:pt>
                <c:pt idx="1">
                  <c:v>2Q</c:v>
                </c:pt>
                <c:pt idx="2">
                  <c:v>3Q</c:v>
                </c:pt>
                <c:pt idx="3">
                  <c:v>4Q</c:v>
                </c:pt>
              </c:strCache>
            </c:strRef>
          </c:cat>
          <c:val>
            <c:numRef>
              <c:f>Q_Financials!$V$10:$Y$10</c:f>
              <c:numCache>
                <c:formatCode>_(* #,##0_);_(* \(#,##0\);_(* "-"??_);_(@_)</c:formatCode>
                <c:ptCount val="4"/>
                <c:pt idx="0">
                  <c:v>328.94800000000004</c:v>
                </c:pt>
                <c:pt idx="1">
                  <c:v>398.12199999999996</c:v>
                </c:pt>
                <c:pt idx="2">
                  <c:v>380.44799999999998</c:v>
                </c:pt>
                <c:pt idx="3">
                  <c:v>259.47200000000004</c:v>
                </c:pt>
              </c:numCache>
            </c:numRef>
          </c:val>
          <c:smooth val="0"/>
        </c:ser>
        <c:ser>
          <c:idx val="4"/>
          <c:order val="4"/>
          <c:tx>
            <c:v>2013</c:v>
          </c:tx>
          <c:spPr>
            <a:ln w="25400">
              <a:solidFill>
                <a:srgbClr val="CC6600"/>
              </a:solidFill>
            </a:ln>
          </c:spPr>
          <c:marker>
            <c:symbol val="none"/>
          </c:marker>
          <c:cat>
            <c:strRef>
              <c:f>ChartSupport!$B$337:$E$337</c:f>
              <c:strCache>
                <c:ptCount val="4"/>
                <c:pt idx="0">
                  <c:v>1Q</c:v>
                </c:pt>
                <c:pt idx="1">
                  <c:v>2Q</c:v>
                </c:pt>
                <c:pt idx="2">
                  <c:v>3Q</c:v>
                </c:pt>
                <c:pt idx="3">
                  <c:v>4Q</c:v>
                </c:pt>
              </c:strCache>
            </c:strRef>
          </c:cat>
          <c:val>
            <c:numRef>
              <c:f>ChartSupport!$Z$357:$AC$357</c:f>
              <c:numCache>
                <c:formatCode>#,##0_);\(#,##0\)</c:formatCode>
                <c:ptCount val="4"/>
                <c:pt idx="0">
                  <c:v>290.31299999999999</c:v>
                </c:pt>
                <c:pt idx="1">
                  <c:v>546.91300000000001</c:v>
                </c:pt>
                <c:pt idx="2">
                  <c:v>394.916</c:v>
                </c:pt>
                <c:pt idx="3">
                  <c:v>403.81299999999999</c:v>
                </c:pt>
              </c:numCache>
            </c:numRef>
          </c:val>
          <c:smooth val="0"/>
        </c:ser>
        <c:ser>
          <c:idx val="5"/>
          <c:order val="5"/>
          <c:tx>
            <c:v>2014</c:v>
          </c:tx>
          <c:spPr>
            <a:ln w="25400">
              <a:solidFill>
                <a:schemeClr val="accent2">
                  <a:lumMod val="60000"/>
                  <a:lumOff val="40000"/>
                </a:schemeClr>
              </a:solidFill>
            </a:ln>
          </c:spPr>
          <c:marker>
            <c:symbol val="none"/>
          </c:marker>
          <c:cat>
            <c:strRef>
              <c:f>ChartSupport!$B$337:$E$337</c:f>
              <c:strCache>
                <c:ptCount val="4"/>
                <c:pt idx="0">
                  <c:v>1Q</c:v>
                </c:pt>
                <c:pt idx="1">
                  <c:v>2Q</c:v>
                </c:pt>
                <c:pt idx="2">
                  <c:v>3Q</c:v>
                </c:pt>
                <c:pt idx="3">
                  <c:v>4Q</c:v>
                </c:pt>
              </c:strCache>
            </c:strRef>
          </c:cat>
          <c:val>
            <c:numRef>
              <c:f>ChartSupport!$AD$357:$AG$357</c:f>
              <c:numCache>
                <c:formatCode>#,##0_);\(#,##0\)</c:formatCode>
                <c:ptCount val="4"/>
                <c:pt idx="0">
                  <c:v>494.26100000000002</c:v>
                </c:pt>
                <c:pt idx="1">
                  <c:v>614.49400000000003</c:v>
                </c:pt>
                <c:pt idx="2">
                  <c:v>424.81200000000001</c:v>
                </c:pt>
                <c:pt idx="3">
                  <c:v>438.12299999999999</c:v>
                </c:pt>
              </c:numCache>
            </c:numRef>
          </c:val>
          <c:smooth val="0"/>
        </c:ser>
        <c:ser>
          <c:idx val="6"/>
          <c:order val="6"/>
          <c:tx>
            <c:v>2015</c:v>
          </c:tx>
          <c:spPr>
            <a:ln w="25400">
              <a:solidFill>
                <a:schemeClr val="accent5">
                  <a:lumMod val="60000"/>
                  <a:lumOff val="40000"/>
                </a:schemeClr>
              </a:solidFill>
              <a:prstDash val="solid"/>
            </a:ln>
          </c:spPr>
          <c:marker>
            <c:symbol val="none"/>
          </c:marker>
          <c:cat>
            <c:strRef>
              <c:f>ChartSupport!$B$337:$E$337</c:f>
              <c:strCache>
                <c:ptCount val="4"/>
                <c:pt idx="0">
                  <c:v>1Q</c:v>
                </c:pt>
                <c:pt idx="1">
                  <c:v>2Q</c:v>
                </c:pt>
                <c:pt idx="2">
                  <c:v>3Q</c:v>
                </c:pt>
                <c:pt idx="3">
                  <c:v>4Q</c:v>
                </c:pt>
              </c:strCache>
            </c:strRef>
          </c:cat>
          <c:val>
            <c:numRef>
              <c:f>ChartSupport!$AH$357:$AK$357</c:f>
              <c:numCache>
                <c:formatCode>#,##0_);\(#,##0\)</c:formatCode>
                <c:ptCount val="4"/>
                <c:pt idx="0">
                  <c:v>504.63400000000007</c:v>
                </c:pt>
                <c:pt idx="1">
                  <c:v>507.50700000000001</c:v>
                </c:pt>
                <c:pt idx="2">
                  <c:v>584.98699999999997</c:v>
                </c:pt>
                <c:pt idx="3">
                  <c:v>696.85400000000004</c:v>
                </c:pt>
              </c:numCache>
            </c:numRef>
          </c:val>
          <c:smooth val="0"/>
        </c:ser>
        <c:ser>
          <c:idx val="8"/>
          <c:order val="7"/>
          <c:tx>
            <c:v>2016</c:v>
          </c:tx>
          <c:spPr>
            <a:ln>
              <a:solidFill>
                <a:schemeClr val="accent1">
                  <a:lumMod val="75000"/>
                </a:schemeClr>
              </a:solidFill>
            </a:ln>
          </c:spPr>
          <c:marker>
            <c:symbol val="none"/>
          </c:marker>
          <c:cat>
            <c:strRef>
              <c:f>ChartSupport!$B$337:$E$337</c:f>
              <c:strCache>
                <c:ptCount val="4"/>
                <c:pt idx="0">
                  <c:v>1Q</c:v>
                </c:pt>
                <c:pt idx="1">
                  <c:v>2Q</c:v>
                </c:pt>
                <c:pt idx="2">
                  <c:v>3Q</c:v>
                </c:pt>
                <c:pt idx="3">
                  <c:v>4Q</c:v>
                </c:pt>
              </c:strCache>
            </c:strRef>
          </c:cat>
          <c:val>
            <c:numRef>
              <c:f>ChartSupport!$AL$357:$AO$357</c:f>
              <c:numCache>
                <c:formatCode>#,##0_);\(#,##0\)</c:formatCode>
                <c:ptCount val="4"/>
                <c:pt idx="0">
                  <c:v>451.12</c:v>
                </c:pt>
                <c:pt idx="1">
                  <c:v>660.75599999999997</c:v>
                </c:pt>
                <c:pt idx="2">
                  <c:v>802.05700000000002</c:v>
                </c:pt>
                <c:pt idx="3">
                  <c:v>813.48500000000001</c:v>
                </c:pt>
              </c:numCache>
            </c:numRef>
          </c:val>
          <c:smooth val="0"/>
        </c:ser>
        <c:ser>
          <c:idx val="7"/>
          <c:order val="8"/>
          <c:tx>
            <c:v>2017</c:v>
          </c:tx>
          <c:spPr>
            <a:ln>
              <a:solidFill>
                <a:srgbClr val="FF0000"/>
              </a:solidFill>
              <a:prstDash val="dash"/>
            </a:ln>
          </c:spPr>
          <c:marker>
            <c:symbol val="none"/>
          </c:marker>
          <c:cat>
            <c:strRef>
              <c:f>ChartSupport!$B$337:$E$337</c:f>
              <c:strCache>
                <c:ptCount val="4"/>
                <c:pt idx="0">
                  <c:v>1Q</c:v>
                </c:pt>
                <c:pt idx="1">
                  <c:v>2Q</c:v>
                </c:pt>
                <c:pt idx="2">
                  <c:v>3Q</c:v>
                </c:pt>
                <c:pt idx="3">
                  <c:v>4Q</c:v>
                </c:pt>
              </c:strCache>
            </c:strRef>
          </c:cat>
          <c:val>
            <c:numRef>
              <c:f>ChartSupport!$AP$357:$AS$357</c:f>
              <c:numCache>
                <c:formatCode>#,##0_);\(#,##0\)</c:formatCode>
                <c:ptCount val="4"/>
                <c:pt idx="0">
                  <c:v>641.43799999999999</c:v>
                </c:pt>
                <c:pt idx="1">
                  <c:v>724.447</c:v>
                </c:pt>
                <c:pt idx="2">
                  <c:v>736.92399999999998</c:v>
                </c:pt>
                <c:pt idx="3">
                  <c:v>900.072</c:v>
                </c:pt>
              </c:numCache>
            </c:numRef>
          </c:val>
          <c:smooth val="0"/>
        </c:ser>
        <c:ser>
          <c:idx val="9"/>
          <c:order val="9"/>
          <c:tx>
            <c:v>2018E</c:v>
          </c:tx>
          <c:spPr>
            <a:ln>
              <a:solidFill>
                <a:srgbClr val="00B0F0"/>
              </a:solidFill>
            </a:ln>
          </c:spPr>
          <c:marker>
            <c:symbol val="none"/>
          </c:marker>
          <c:cat>
            <c:strRef>
              <c:f>ChartSupport!$B$337:$E$337</c:f>
              <c:strCache>
                <c:ptCount val="4"/>
                <c:pt idx="0">
                  <c:v>1Q</c:v>
                </c:pt>
                <c:pt idx="1">
                  <c:v>2Q</c:v>
                </c:pt>
                <c:pt idx="2">
                  <c:v>3Q</c:v>
                </c:pt>
                <c:pt idx="3">
                  <c:v>4Q</c:v>
                </c:pt>
              </c:strCache>
            </c:strRef>
          </c:cat>
          <c:val>
            <c:numRef>
              <c:f>ChartSupport!$AT$357:$AW$357</c:f>
              <c:numCache>
                <c:formatCode>#,##0_);\(#,##0\)</c:formatCode>
                <c:ptCount val="4"/>
                <c:pt idx="0">
                  <c:v>812.34699999999998</c:v>
                </c:pt>
                <c:pt idx="1">
                  <c:v>916.69511232353398</c:v>
                </c:pt>
                <c:pt idx="2">
                  <c:v>887.61064818875047</c:v>
                </c:pt>
                <c:pt idx="3">
                  <c:v>1040.1083733831492</c:v>
                </c:pt>
              </c:numCache>
            </c:numRef>
          </c:val>
          <c:smooth val="0"/>
        </c:ser>
        <c:dLbls>
          <c:showLegendKey val="0"/>
          <c:showVal val="0"/>
          <c:showCatName val="0"/>
          <c:showSerName val="0"/>
          <c:showPercent val="0"/>
          <c:showBubbleSize val="0"/>
        </c:dLbls>
        <c:marker val="1"/>
        <c:smooth val="0"/>
        <c:axId val="893917056"/>
        <c:axId val="893918592"/>
      </c:lineChart>
      <c:catAx>
        <c:axId val="893917056"/>
        <c:scaling>
          <c:orientation val="minMax"/>
        </c:scaling>
        <c:delete val="0"/>
        <c:axPos val="b"/>
        <c:numFmt formatCode="mmmm" sourceLinked="0"/>
        <c:majorTickMark val="out"/>
        <c:minorTickMark val="none"/>
        <c:tickLblPos val="nextTo"/>
        <c:spPr>
          <a:ln w="3175">
            <a:solidFill>
              <a:srgbClr val="808080"/>
            </a:solidFill>
            <a:prstDash val="solid"/>
          </a:ln>
        </c:spPr>
        <c:txPr>
          <a:bodyPr rot="0" vert="horz"/>
          <a:lstStyle/>
          <a:p>
            <a:pPr>
              <a:defRPr/>
            </a:pPr>
            <a:endParaRPr lang="en-US"/>
          </a:p>
        </c:txPr>
        <c:crossAx val="893918592"/>
        <c:crosses val="autoZero"/>
        <c:auto val="1"/>
        <c:lblAlgn val="ctr"/>
        <c:lblOffset val="100"/>
        <c:tickMarkSkip val="1"/>
        <c:noMultiLvlLbl val="1"/>
      </c:catAx>
      <c:valAx>
        <c:axId val="893918592"/>
        <c:scaling>
          <c:orientation val="minMax"/>
        </c:scaling>
        <c:delete val="0"/>
        <c:axPos val="l"/>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3917056"/>
        <c:crosses val="autoZero"/>
        <c:crossBetween val="midCat"/>
      </c:valAx>
      <c:spPr>
        <a:noFill/>
        <a:ln w="25400">
          <a:noFill/>
        </a:ln>
      </c:spPr>
    </c:plotArea>
    <c:legend>
      <c:legendPos val="b"/>
      <c:layout>
        <c:manualLayout>
          <c:xMode val="edge"/>
          <c:yMode val="edge"/>
          <c:x val="0.14072256089217391"/>
          <c:y val="0.84372808296496216"/>
          <c:w val="0.78305032048958068"/>
          <c:h val="0.15627191703503787"/>
        </c:manualLayout>
      </c:layout>
      <c:overlay val="1"/>
      <c:spPr>
        <a:noFill/>
        <a:ln w="25400">
          <a:noFill/>
        </a:ln>
      </c:spPr>
      <c:txPr>
        <a:bodyPr/>
        <a:lstStyle/>
        <a:p>
          <a:pPr>
            <a:defRPr sz="800"/>
          </a:pPr>
          <a:endParaRPr lang="en-US"/>
        </a:p>
      </c:txPr>
    </c:legend>
    <c:plotVisOnly val="0"/>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chartSpace>
</file>

<file path=xl/charts/chart1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786096256684493"/>
          <c:y val="0.21428603922936365"/>
          <c:w val="0.553475935828877"/>
          <c:h val="0.64285811768809087"/>
        </c:manualLayout>
      </c:layout>
      <c:pieChart>
        <c:varyColors val="1"/>
        <c:ser>
          <c:idx val="0"/>
          <c:order val="0"/>
          <c:dPt>
            <c:idx val="0"/>
            <c:bubble3D val="0"/>
            <c:spPr>
              <a:solidFill>
                <a:schemeClr val="accent1"/>
              </a:solidFill>
            </c:spPr>
          </c:dPt>
          <c:dPt>
            <c:idx val="1"/>
            <c:bubble3D val="0"/>
            <c:spPr>
              <a:solidFill>
                <a:schemeClr val="accent2"/>
              </a:solidFill>
            </c:spPr>
          </c:dPt>
          <c:dPt>
            <c:idx val="2"/>
            <c:bubble3D val="0"/>
            <c:spPr>
              <a:solidFill>
                <a:schemeClr val="accent3"/>
              </a:solidFill>
            </c:spPr>
          </c:dPt>
          <c:dPt>
            <c:idx val="3"/>
            <c:bubble3D val="0"/>
            <c:spPr>
              <a:solidFill>
                <a:schemeClr val="bg2"/>
              </a:solidFill>
            </c:spPr>
          </c:dPt>
          <c:dLbls>
            <c:dLbl>
              <c:idx val="0"/>
              <c:layout>
                <c:manualLayout>
                  <c:x val="-0.20770035112903112"/>
                  <c:y val="-1.4751628268688637E-2"/>
                </c:manualLayout>
              </c:layout>
              <c:numFmt formatCode="0%" sourceLinked="0"/>
              <c:spPr/>
              <c:txPr>
                <a:bodyPr/>
                <a:lstStyle/>
                <a:p>
                  <a:pPr>
                    <a:defRPr>
                      <a:solidFill>
                        <a:schemeClr val="bg1"/>
                      </a:solidFill>
                    </a:defRPr>
                  </a:pPr>
                  <a:endParaRPr lang="en-US"/>
                </a:p>
              </c:txPr>
              <c:dLblPos val="bestFit"/>
              <c:showLegendKey val="0"/>
              <c:showVal val="0"/>
              <c:showCatName val="1"/>
              <c:showSerName val="0"/>
              <c:showPercent val="1"/>
              <c:showBubbleSize val="0"/>
            </c:dLbl>
            <c:dLbl>
              <c:idx val="1"/>
              <c:layout>
                <c:manualLayout>
                  <c:x val="0.23608151922186196"/>
                  <c:y val="-9.1553313817235249E-2"/>
                </c:manualLayout>
              </c:layout>
              <c:dLblPos val="bestFit"/>
              <c:showLegendKey val="0"/>
              <c:showVal val="0"/>
              <c:showCatName val="1"/>
              <c:showSerName val="0"/>
              <c:showPercent val="1"/>
              <c:showBubbleSize val="0"/>
            </c:dLbl>
            <c:dLbl>
              <c:idx val="2"/>
              <c:layout>
                <c:manualLayout>
                  <c:x val="-6.682555054949682E-2"/>
                  <c:y val="4.7681572037787556E-2"/>
                </c:manualLayout>
              </c:layout>
              <c:dLblPos val="bestFit"/>
              <c:showLegendKey val="0"/>
              <c:showVal val="0"/>
              <c:showCatName val="1"/>
              <c:showSerName val="0"/>
              <c:showPercent val="1"/>
              <c:showBubbleSize val="0"/>
            </c:dLbl>
            <c:dLbl>
              <c:idx val="3"/>
              <c:layout>
                <c:manualLayout>
                  <c:x val="4.9647815470787327E-3"/>
                  <c:y val="-5.8390849291986464E-3"/>
                </c:manualLayout>
              </c:layout>
              <c:dLblPos val="bestFit"/>
              <c:showLegendKey val="0"/>
              <c:showVal val="0"/>
              <c:showCatName val="1"/>
              <c:showSerName val="0"/>
              <c:showPercent val="1"/>
              <c:showBubbleSize val="0"/>
            </c:dLbl>
            <c:numFmt formatCode="0%" sourceLinked="0"/>
            <c:showLegendKey val="0"/>
            <c:showVal val="0"/>
            <c:showCatName val="1"/>
            <c:showSerName val="0"/>
            <c:showPercent val="1"/>
            <c:showBubbleSize val="0"/>
            <c:showLeaderLines val="1"/>
          </c:dLbls>
          <c:cat>
            <c:strRef>
              <c:f>ChartSupport!$A$347:$A$350</c:f>
              <c:strCache>
                <c:ptCount val="4"/>
                <c:pt idx="0">
                  <c:v>Sugar</c:v>
                </c:pt>
                <c:pt idx="1">
                  <c:v>Ethanol</c:v>
                </c:pt>
                <c:pt idx="2">
                  <c:v>Energy</c:v>
                </c:pt>
                <c:pt idx="3">
                  <c:v>Other</c:v>
                </c:pt>
              </c:strCache>
            </c:strRef>
          </c:cat>
          <c:val>
            <c:numRef>
              <c:f>ChartSupport!$O$347:$O$350</c:f>
              <c:numCache>
                <c:formatCode>#,##0.0</c:formatCode>
                <c:ptCount val="4"/>
                <c:pt idx="0">
                  <c:v>1644.63</c:v>
                </c:pt>
                <c:pt idx="1">
                  <c:v>1238.877</c:v>
                </c:pt>
                <c:pt idx="2">
                  <c:v>152.089</c:v>
                </c:pt>
                <c:pt idx="3">
                  <c:v>-32.714000000000013</c:v>
                </c:pt>
              </c:numCache>
            </c:numRef>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ln>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589676290463686E-2"/>
          <c:y val="4.7022015548490691E-2"/>
          <c:w val="0.79044564741907264"/>
          <c:h val="0.80173115283666463"/>
        </c:manualLayout>
      </c:layout>
      <c:areaChart>
        <c:grouping val="standard"/>
        <c:varyColors val="0"/>
        <c:ser>
          <c:idx val="1"/>
          <c:order val="0"/>
          <c:tx>
            <c:v>Bull-Bear Scenario</c:v>
          </c:tx>
          <c:spPr>
            <a:solidFill>
              <a:schemeClr val="bg1">
                <a:lumMod val="85000"/>
              </a:schemeClr>
            </a:solidFill>
            <a:ln w="25400">
              <a:noFill/>
            </a:ln>
          </c:spPr>
          <c:cat>
            <c:strRef>
              <c:f>ChartSupport!$D$7:$W$7</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ChartSupport!$D$165:$W$165</c:f>
              <c:numCache>
                <c:formatCode>#,##0</c:formatCode>
                <c:ptCount val="20"/>
                <c:pt idx="0">
                  <c:v>549.87709759784548</c:v>
                </c:pt>
                <c:pt idx="1">
                  <c:v>624.90574295252998</c:v>
                </c:pt>
                <c:pt idx="2">
                  <c:v>452.08478127006822</c:v>
                </c:pt>
                <c:pt idx="3">
                  <c:v>548.48455829542741</c:v>
                </c:pt>
                <c:pt idx="4">
                  <c:v>711.1921338707707</c:v>
                </c:pt>
                <c:pt idx="5">
                  <c:v>839.72135852666827</c:v>
                </c:pt>
                <c:pt idx="6">
                  <c:v>928.64219961240303</c:v>
                </c:pt>
                <c:pt idx="7">
                  <c:v>973.49518541282532</c:v>
                </c:pt>
                <c:pt idx="8">
                  <c:v>892.12469733656167</c:v>
                </c:pt>
                <c:pt idx="9">
                  <c:v>925.27992523999671</c:v>
                </c:pt>
                <c:pt idx="10">
                  <c:v>1048.068276436303</c:v>
                </c:pt>
                <c:pt idx="11">
                  <c:v>1251.9068280429321</c:v>
                </c:pt>
                <c:pt idx="12">
                  <c:v>1514.7550621243611</c:v>
                </c:pt>
                <c:pt idx="13">
                  <c:v>1433.5350173809188</c:v>
                </c:pt>
                <c:pt idx="14">
                  <c:v>1652.3355908391502</c:v>
                </c:pt>
                <c:pt idx="15">
                  <c:v>1785.8702620435918</c:v>
                </c:pt>
                <c:pt idx="16">
                  <c:v>1580.1211587236141</c:v>
                </c:pt>
                <c:pt idx="17">
                  <c:v>1383.8271897182576</c:v>
                </c:pt>
                <c:pt idx="18">
                  <c:v>1480.1622758240644</c:v>
                </c:pt>
                <c:pt idx="19">
                  <c:v>1614.9949910301577</c:v>
                </c:pt>
              </c:numCache>
            </c:numRef>
          </c:val>
        </c:ser>
        <c:ser>
          <c:idx val="3"/>
          <c:order val="1"/>
          <c:tx>
            <c:strRef>
              <c:f>ChartSupport!$A$163</c:f>
              <c:strCache>
                <c:ptCount val="1"/>
                <c:pt idx="0">
                  <c:v>Bear</c:v>
                </c:pt>
              </c:strCache>
            </c:strRef>
          </c:tx>
          <c:spPr>
            <a:solidFill>
              <a:schemeClr val="bg1"/>
            </a:solidFill>
            <a:ln w="25400">
              <a:noFill/>
            </a:ln>
          </c:spPr>
          <c:cat>
            <c:strRef>
              <c:f>ChartSupport!$D$7:$W$7</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ChartSupport!$D$163:$W$163</c:f>
              <c:numCache>
                <c:formatCode>#,##0</c:formatCode>
                <c:ptCount val="20"/>
                <c:pt idx="0">
                  <c:v>549.87709759784548</c:v>
                </c:pt>
                <c:pt idx="1">
                  <c:v>624.90574295252998</c:v>
                </c:pt>
                <c:pt idx="2">
                  <c:v>452.08478127006822</c:v>
                </c:pt>
                <c:pt idx="3">
                  <c:v>548.48455829542741</c:v>
                </c:pt>
                <c:pt idx="4">
                  <c:v>711.1921338707707</c:v>
                </c:pt>
                <c:pt idx="5">
                  <c:v>839.72135852666827</c:v>
                </c:pt>
                <c:pt idx="6">
                  <c:v>928.64219961240303</c:v>
                </c:pt>
                <c:pt idx="7">
                  <c:v>973.49518541282532</c:v>
                </c:pt>
                <c:pt idx="8">
                  <c:v>892.12469733656167</c:v>
                </c:pt>
                <c:pt idx="9">
                  <c:v>925.27992523999671</c:v>
                </c:pt>
                <c:pt idx="10">
                  <c:v>1048.068276436303</c:v>
                </c:pt>
                <c:pt idx="11">
                  <c:v>1251.9068280429321</c:v>
                </c:pt>
                <c:pt idx="12">
                  <c:v>1334.0124224886811</c:v>
                </c:pt>
                <c:pt idx="13">
                  <c:v>981.49476904872654</c:v>
                </c:pt>
                <c:pt idx="14">
                  <c:v>1191.809401620608</c:v>
                </c:pt>
                <c:pt idx="15">
                  <c:v>1419.4914683177394</c:v>
                </c:pt>
                <c:pt idx="16">
                  <c:v>1275.0842651004903</c:v>
                </c:pt>
                <c:pt idx="17">
                  <c:v>1074.4747427831817</c:v>
                </c:pt>
                <c:pt idx="18">
                  <c:v>1162.5005267417669</c:v>
                </c:pt>
                <c:pt idx="19">
                  <c:v>1194.8752390162472</c:v>
                </c:pt>
              </c:numCache>
            </c:numRef>
          </c:val>
        </c:ser>
        <c:dLbls>
          <c:showLegendKey val="0"/>
          <c:showVal val="0"/>
          <c:showCatName val="0"/>
          <c:showSerName val="0"/>
          <c:showPercent val="0"/>
          <c:showBubbleSize val="0"/>
        </c:dLbls>
        <c:axId val="893996032"/>
        <c:axId val="893997824"/>
      </c:areaChart>
      <c:lineChart>
        <c:grouping val="standard"/>
        <c:varyColors val="0"/>
        <c:ser>
          <c:idx val="2"/>
          <c:order val="2"/>
          <c:tx>
            <c:strRef>
              <c:f>ChartSupport!$A$162</c:f>
              <c:strCache>
                <c:ptCount val="1"/>
                <c:pt idx="0">
                  <c:v>Sugar Prices (R$/ton)</c:v>
                </c:pt>
              </c:strCache>
            </c:strRef>
          </c:tx>
          <c:spPr>
            <a:ln w="25400">
              <a:solidFill>
                <a:schemeClr val="accent1"/>
              </a:solidFill>
              <a:prstDash val="solid"/>
            </a:ln>
          </c:spPr>
          <c:marker>
            <c:symbol val="none"/>
          </c:marker>
          <c:cat>
            <c:strRef>
              <c:f>ChartSupport!$D$12:$W$12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ChartSupport!$D$164:$W$164</c:f>
              <c:numCache>
                <c:formatCode>#,##0</c:formatCode>
                <c:ptCount val="20"/>
                <c:pt idx="0">
                  <c:v>549.87709759784548</c:v>
                </c:pt>
                <c:pt idx="1">
                  <c:v>624.90574295252998</c:v>
                </c:pt>
                <c:pt idx="2">
                  <c:v>452.08478127006822</c:v>
                </c:pt>
                <c:pt idx="3">
                  <c:v>548.48455829542741</c:v>
                </c:pt>
                <c:pt idx="4">
                  <c:v>711.1921338707707</c:v>
                </c:pt>
                <c:pt idx="5">
                  <c:v>839.72135852666827</c:v>
                </c:pt>
                <c:pt idx="6">
                  <c:v>928.64219961240303</c:v>
                </c:pt>
                <c:pt idx="7">
                  <c:v>973.49518541282532</c:v>
                </c:pt>
                <c:pt idx="8">
                  <c:v>892.12469733656167</c:v>
                </c:pt>
                <c:pt idx="9">
                  <c:v>925.27992523999671</c:v>
                </c:pt>
                <c:pt idx="10">
                  <c:v>1048.068276436303</c:v>
                </c:pt>
                <c:pt idx="11">
                  <c:v>1251.9068280429321</c:v>
                </c:pt>
                <c:pt idx="12">
                  <c:v>1407.8772144231391</c:v>
                </c:pt>
                <c:pt idx="13">
                  <c:v>1203.2894278945732</c:v>
                </c:pt>
                <c:pt idx="14">
                  <c:v>1245.1088064177579</c:v>
                </c:pt>
                <c:pt idx="15">
                  <c:v>1490.2861498423542</c:v>
                </c:pt>
                <c:pt idx="16">
                  <c:v>1586.8475041008783</c:v>
                </c:pt>
                <c:pt idx="17">
                  <c:v>1327.0967708404357</c:v>
                </c:pt>
                <c:pt idx="18">
                  <c:v>1148.2717115571372</c:v>
                </c:pt>
                <c:pt idx="19">
                  <c:v>1309.6939589258038</c:v>
                </c:pt>
              </c:numCache>
            </c:numRef>
          </c:val>
          <c:smooth val="0"/>
        </c:ser>
        <c:dLbls>
          <c:showLegendKey val="0"/>
          <c:showVal val="0"/>
          <c:showCatName val="0"/>
          <c:showSerName val="0"/>
          <c:showPercent val="0"/>
          <c:showBubbleSize val="0"/>
        </c:dLbls>
        <c:marker val="1"/>
        <c:smooth val="0"/>
        <c:axId val="893996032"/>
        <c:axId val="893997824"/>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ChartSupport!$D$12:$W$12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ChartSupport!$D$179:$W$179</c:f>
              <c:numCache>
                <c:formatCode>0</c:formatCode>
                <c:ptCount val="20"/>
                <c:pt idx="0">
                  <c:v>13.545</c:v>
                </c:pt>
                <c:pt idx="1">
                  <c:v>10.401666666666666</c:v>
                </c:pt>
                <c:pt idx="2">
                  <c:v>12.4</c:v>
                </c:pt>
                <c:pt idx="3">
                  <c:v>18.787500000000001</c:v>
                </c:pt>
                <c:pt idx="4">
                  <c:v>23.440833333333334</c:v>
                </c:pt>
                <c:pt idx="5">
                  <c:v>25.258333333333336</c:v>
                </c:pt>
                <c:pt idx="6">
                  <c:v>20.410833333333333</c:v>
                </c:pt>
                <c:pt idx="7">
                  <c:v>17.066666666666666</c:v>
                </c:pt>
                <c:pt idx="8">
                  <c:v>15.978333333333333</c:v>
                </c:pt>
                <c:pt idx="9">
                  <c:v>13.149166666666668</c:v>
                </c:pt>
                <c:pt idx="10">
                  <c:v>19.252499999999998</c:v>
                </c:pt>
                <c:pt idx="11">
                  <c:v>17.805000000000003</c:v>
                </c:pt>
                <c:pt idx="12">
                  <c:v>16.244658605325153</c:v>
                </c:pt>
                <c:pt idx="13">
                  <c:v>16.31531880717511</c:v>
                </c:pt>
                <c:pt idx="14">
                  <c:v>16.498655235130911</c:v>
                </c:pt>
                <c:pt idx="15">
                  <c:v>19.747444770453257</c:v>
                </c:pt>
                <c:pt idx="16">
                  <c:v>20.93514679550681</c:v>
                </c:pt>
                <c:pt idx="17">
                  <c:v>17.432162450241776</c:v>
                </c:pt>
                <c:pt idx="18">
                  <c:v>15.017906650666538</c:v>
                </c:pt>
                <c:pt idx="19">
                  <c:v>17.055276269110166</c:v>
                </c:pt>
              </c:numCache>
            </c:numRef>
          </c:val>
          <c:smooth val="0"/>
        </c:ser>
        <c:dLbls>
          <c:showLegendKey val="0"/>
          <c:showVal val="0"/>
          <c:showCatName val="0"/>
          <c:showSerName val="0"/>
          <c:showPercent val="0"/>
          <c:showBubbleSize val="0"/>
        </c:dLbls>
        <c:marker val="1"/>
        <c:smooth val="0"/>
        <c:axId val="893999744"/>
        <c:axId val="894009728"/>
      </c:lineChart>
      <c:catAx>
        <c:axId val="893996032"/>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93997824"/>
        <c:crosses val="autoZero"/>
        <c:auto val="1"/>
        <c:lblAlgn val="ctr"/>
        <c:lblOffset val="100"/>
        <c:tickLblSkip val="1"/>
        <c:tickMarkSkip val="1"/>
        <c:noMultiLvlLbl val="0"/>
      </c:catAx>
      <c:valAx>
        <c:axId val="893997824"/>
        <c:scaling>
          <c:orientation val="minMax"/>
        </c:scaling>
        <c:delete val="0"/>
        <c:axPos val="r"/>
        <c:title>
          <c:tx>
            <c:rich>
              <a:bodyPr rot="0" vert="horz"/>
              <a:lstStyle/>
              <a:p>
                <a:pPr marL="0" marR="0" indent="0" algn="ctr" defTabSz="914400" rtl="0" eaLnBrk="1" fontAlgn="auto" latinLnBrk="0" hangingPunct="1">
                  <a:lnSpc>
                    <a:spcPct val="100000"/>
                  </a:lnSpc>
                  <a:spcBef>
                    <a:spcPts val="0"/>
                  </a:spcBef>
                  <a:spcAft>
                    <a:spcPts val="0"/>
                  </a:spcAft>
                  <a:buClrTx/>
                  <a:buSzTx/>
                  <a:buFontTx/>
                  <a:buNone/>
                  <a:tabLst/>
                  <a:defRPr sz="900" b="0" i="0" u="none" strike="noStrike" kern="1200" baseline="0">
                    <a:solidFill>
                      <a:srgbClr val="808080"/>
                    </a:solidFill>
                    <a:latin typeface="Arial"/>
                    <a:ea typeface="Arial"/>
                    <a:cs typeface="Arial"/>
                  </a:defRPr>
                </a:pPr>
                <a:r>
                  <a:rPr lang="en-US" sz="900" b="0" i="0" baseline="0">
                    <a:effectLst/>
                  </a:rPr>
                  <a:t>US$ cents/lb</a:t>
                </a:r>
                <a:endParaRPr lang="en-US" sz="900">
                  <a:effectLst/>
                </a:endParaRPr>
              </a:p>
            </c:rich>
          </c:tx>
          <c:layout>
            <c:manualLayout>
              <c:xMode val="edge"/>
              <c:yMode val="edge"/>
              <c:x val="9.3763052135905647E-2"/>
              <c:y val="9.6529725005346338E-3"/>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93996032"/>
        <c:crosses val="max"/>
        <c:crossBetween val="midCat"/>
      </c:valAx>
      <c:catAx>
        <c:axId val="893999744"/>
        <c:scaling>
          <c:orientation val="minMax"/>
        </c:scaling>
        <c:delete val="1"/>
        <c:axPos val="b"/>
        <c:majorTickMark val="out"/>
        <c:minorTickMark val="none"/>
        <c:tickLblPos val="nextTo"/>
        <c:crossAx val="894009728"/>
        <c:crosses val="autoZero"/>
        <c:auto val="1"/>
        <c:lblAlgn val="ctr"/>
        <c:lblOffset val="100"/>
        <c:noMultiLvlLbl val="0"/>
      </c:catAx>
      <c:valAx>
        <c:axId val="894009728"/>
        <c:scaling>
          <c:orientation val="minMax"/>
        </c:scaling>
        <c:delete val="0"/>
        <c:axPos val="l"/>
        <c:title>
          <c:tx>
            <c:rich>
              <a:bodyPr rot="0" vert="horz"/>
              <a:lstStyle/>
              <a:p>
                <a:pPr algn="ctr" rtl="0">
                  <a:defRPr sz="900"/>
                </a:pPr>
                <a:r>
                  <a:rPr lang="en-US" sz="900"/>
                  <a:t>R$/ton</a:t>
                </a:r>
              </a:p>
            </c:rich>
          </c:tx>
          <c:layout>
            <c:manualLayout>
              <c:xMode val="edge"/>
              <c:yMode val="edge"/>
              <c:x val="0.75177509048316826"/>
              <c:y val="2.1501930660914312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93999744"/>
        <c:crosses val="autoZero"/>
        <c:crossBetween val="midCat"/>
      </c:valAx>
      <c:spPr>
        <a:noFill/>
        <a:ln w="25400">
          <a:noFill/>
        </a:ln>
      </c:spPr>
    </c:plotArea>
    <c:legend>
      <c:legendPos val="r"/>
      <c:legendEntry>
        <c:idx val="1"/>
        <c:delete val="1"/>
      </c:legendEntry>
      <c:layout>
        <c:manualLayout>
          <c:xMode val="edge"/>
          <c:yMode val="edge"/>
          <c:x val="0.28939974492896148"/>
          <c:y val="0.61176082651148778"/>
          <c:w val="0.57638999125109369"/>
          <c:h val="0.1633537653947103"/>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129959073101503E-2"/>
          <c:y val="4.6875E-2"/>
          <c:w val="0.82337766763604359"/>
          <c:h val="0.79825547880134617"/>
        </c:manualLayout>
      </c:layout>
      <c:areaChart>
        <c:grouping val="standard"/>
        <c:varyColors val="0"/>
        <c:ser>
          <c:idx val="1"/>
          <c:order val="0"/>
          <c:tx>
            <c:v>Bull-Bear Scenario</c:v>
          </c:tx>
          <c:spPr>
            <a:solidFill>
              <a:schemeClr val="bg1">
                <a:lumMod val="85000"/>
              </a:schemeClr>
            </a:solidFill>
            <a:ln w="25400">
              <a:noFill/>
            </a:ln>
          </c:spPr>
          <c:cat>
            <c:strRef>
              <c:f>ChartSupport!$D$7:$W$7</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ChartSupport!$D$175:$W$175</c:f>
              <c:numCache>
                <c:formatCode>#,##0</c:formatCode>
                <c:ptCount val="20"/>
                <c:pt idx="0">
                  <c:v>850.76573527607229</c:v>
                </c:pt>
                <c:pt idx="1">
                  <c:v>916.0210009941004</c:v>
                </c:pt>
                <c:pt idx="2">
                  <c:v>749.30788867466026</c:v>
                </c:pt>
                <c:pt idx="3">
                  <c:v>769.57647434872933</c:v>
                </c:pt>
                <c:pt idx="4">
                  <c:v>857.95536593370525</c:v>
                </c:pt>
                <c:pt idx="5">
                  <c:v>994.76608745464966</c:v>
                </c:pt>
                <c:pt idx="6">
                  <c:v>1258.2710513203785</c:v>
                </c:pt>
                <c:pt idx="7">
                  <c:v>1211.548358473824</c:v>
                </c:pt>
                <c:pt idx="8">
                  <c:v>1317.1515815847165</c:v>
                </c:pt>
                <c:pt idx="9">
                  <c:v>1349.1070927950659</c:v>
                </c:pt>
                <c:pt idx="10">
                  <c:v>1637.3106918238993</c:v>
                </c:pt>
                <c:pt idx="11">
                  <c:v>1773.8788659793813</c:v>
                </c:pt>
                <c:pt idx="12">
                  <c:v>1852.2648508640361</c:v>
                </c:pt>
                <c:pt idx="13">
                  <c:v>1971.8917682157382</c:v>
                </c:pt>
                <c:pt idx="14">
                  <c:v>2049.986491709431</c:v>
                </c:pt>
                <c:pt idx="15">
                  <c:v>2121.2088795356781</c:v>
                </c:pt>
                <c:pt idx="16">
                  <c:v>2172.1178926445345</c:v>
                </c:pt>
                <c:pt idx="17">
                  <c:v>2224.2487220680036</c:v>
                </c:pt>
                <c:pt idx="18">
                  <c:v>2277.6306913976355</c:v>
                </c:pt>
                <c:pt idx="19">
                  <c:v>2431.0013250295001</c:v>
                </c:pt>
              </c:numCache>
            </c:numRef>
          </c:val>
        </c:ser>
        <c:ser>
          <c:idx val="3"/>
          <c:order val="1"/>
          <c:tx>
            <c:v/>
          </c:tx>
          <c:spPr>
            <a:solidFill>
              <a:srgbClr val="FFFFFF"/>
            </a:solidFill>
            <a:ln w="25400">
              <a:noFill/>
            </a:ln>
          </c:spPr>
          <c:cat>
            <c:strRef>
              <c:f>ChartSupport!$D$7:$W$7</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ChartSupport!$D$173:$W$173</c:f>
              <c:numCache>
                <c:formatCode>#,##0</c:formatCode>
                <c:ptCount val="20"/>
                <c:pt idx="0">
                  <c:v>850.76573527607229</c:v>
                </c:pt>
                <c:pt idx="1">
                  <c:v>916.0210009941004</c:v>
                </c:pt>
                <c:pt idx="2">
                  <c:v>749.30788867466026</c:v>
                </c:pt>
                <c:pt idx="3">
                  <c:v>769.57647434872933</c:v>
                </c:pt>
                <c:pt idx="4">
                  <c:v>857.95536593370525</c:v>
                </c:pt>
                <c:pt idx="5">
                  <c:v>994.76608745464966</c:v>
                </c:pt>
                <c:pt idx="6">
                  <c:v>1258.2710513203785</c:v>
                </c:pt>
                <c:pt idx="7">
                  <c:v>1211.548358473824</c:v>
                </c:pt>
                <c:pt idx="8">
                  <c:v>1317.1515815847165</c:v>
                </c:pt>
                <c:pt idx="9">
                  <c:v>1349.1070927950659</c:v>
                </c:pt>
                <c:pt idx="10">
                  <c:v>1637.3106918238993</c:v>
                </c:pt>
                <c:pt idx="11">
                  <c:v>1773.8788659793813</c:v>
                </c:pt>
                <c:pt idx="12">
                  <c:v>1520.9713825885462</c:v>
                </c:pt>
                <c:pt idx="13">
                  <c:v>1661.8613632914855</c:v>
                </c:pt>
                <c:pt idx="14">
                  <c:v>1812.3574790423527</c:v>
                </c:pt>
                <c:pt idx="15">
                  <c:v>1892.2585657610014</c:v>
                </c:pt>
                <c:pt idx="16">
                  <c:v>1937.6727713392652</c:v>
                </c:pt>
                <c:pt idx="17">
                  <c:v>1984.1769178514078</c:v>
                </c:pt>
                <c:pt idx="18">
                  <c:v>2031.7971638798419</c:v>
                </c:pt>
                <c:pt idx="19">
                  <c:v>2168.6139092866474</c:v>
                </c:pt>
              </c:numCache>
            </c:numRef>
          </c:val>
        </c:ser>
        <c:dLbls>
          <c:showLegendKey val="0"/>
          <c:showVal val="0"/>
          <c:showCatName val="0"/>
          <c:showSerName val="0"/>
          <c:showPercent val="0"/>
          <c:showBubbleSize val="0"/>
        </c:dLbls>
        <c:axId val="894128896"/>
        <c:axId val="894130432"/>
      </c:areaChart>
      <c:lineChart>
        <c:grouping val="standard"/>
        <c:varyColors val="0"/>
        <c:ser>
          <c:idx val="2"/>
          <c:order val="2"/>
          <c:tx>
            <c:strRef>
              <c:f>ChartSupport!$A$172</c:f>
              <c:strCache>
                <c:ptCount val="1"/>
                <c:pt idx="0">
                  <c:v>Ethanol Prices (R$/cbm)</c:v>
                </c:pt>
              </c:strCache>
            </c:strRef>
          </c:tx>
          <c:spPr>
            <a:ln w="25400">
              <a:solidFill>
                <a:schemeClr val="accent1"/>
              </a:solidFill>
              <a:prstDash val="solid"/>
            </a:ln>
          </c:spPr>
          <c:marker>
            <c:symbol val="none"/>
          </c:marker>
          <c:cat>
            <c:strRef>
              <c:f>ChartSupport!$D$12:$W$12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ChartSupport!$D$174:$W$174</c:f>
              <c:numCache>
                <c:formatCode>#,##0</c:formatCode>
                <c:ptCount val="20"/>
                <c:pt idx="0">
                  <c:v>850.76573527607229</c:v>
                </c:pt>
                <c:pt idx="1">
                  <c:v>916.0210009941004</c:v>
                </c:pt>
                <c:pt idx="2">
                  <c:v>749.30788867466026</c:v>
                </c:pt>
                <c:pt idx="3">
                  <c:v>769.57647434872933</c:v>
                </c:pt>
                <c:pt idx="4">
                  <c:v>857.95536593370525</c:v>
                </c:pt>
                <c:pt idx="5">
                  <c:v>994.76608745464966</c:v>
                </c:pt>
                <c:pt idx="6">
                  <c:v>1258.2710513203785</c:v>
                </c:pt>
                <c:pt idx="7">
                  <c:v>1211.548358473824</c:v>
                </c:pt>
                <c:pt idx="8">
                  <c:v>1317.1515815847165</c:v>
                </c:pt>
                <c:pt idx="9">
                  <c:v>1349.1070927950659</c:v>
                </c:pt>
                <c:pt idx="10">
                  <c:v>1637.3106918238993</c:v>
                </c:pt>
                <c:pt idx="11">
                  <c:v>1773.8788659793813</c:v>
                </c:pt>
                <c:pt idx="12">
                  <c:v>1691.3685141076389</c:v>
                </c:pt>
                <c:pt idx="13">
                  <c:v>1841.1499524966634</c:v>
                </c:pt>
                <c:pt idx="14">
                  <c:v>1970.8083998555833</c:v>
                </c:pt>
                <c:pt idx="15">
                  <c:v>2045.2427213153921</c:v>
                </c:pt>
                <c:pt idx="16">
                  <c:v>2094.3285466269617</c:v>
                </c:pt>
                <c:pt idx="17">
                  <c:v>2144.5924317460085</c:v>
                </c:pt>
                <c:pt idx="18">
                  <c:v>2196.0626501079128</c:v>
                </c:pt>
                <c:pt idx="19">
                  <c:v>2343.940671516048</c:v>
                </c:pt>
              </c:numCache>
            </c:numRef>
          </c:val>
          <c:smooth val="0"/>
        </c:ser>
        <c:dLbls>
          <c:showLegendKey val="0"/>
          <c:showVal val="0"/>
          <c:showCatName val="0"/>
          <c:showSerName val="0"/>
          <c:showPercent val="0"/>
          <c:showBubbleSize val="0"/>
        </c:dLbls>
        <c:marker val="1"/>
        <c:smooth val="0"/>
        <c:axId val="894128896"/>
        <c:axId val="894130432"/>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ChartSupport!$D$12:$W$12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ChartSupport!$D$179:$W$179</c:f>
              <c:numCache>
                <c:formatCode>0</c:formatCode>
                <c:ptCount val="20"/>
                <c:pt idx="0">
                  <c:v>13.545</c:v>
                </c:pt>
                <c:pt idx="1">
                  <c:v>10.401666666666666</c:v>
                </c:pt>
                <c:pt idx="2">
                  <c:v>12.4</c:v>
                </c:pt>
                <c:pt idx="3">
                  <c:v>18.787500000000001</c:v>
                </c:pt>
                <c:pt idx="4">
                  <c:v>23.440833333333334</c:v>
                </c:pt>
                <c:pt idx="5">
                  <c:v>25.258333333333336</c:v>
                </c:pt>
                <c:pt idx="6">
                  <c:v>20.410833333333333</c:v>
                </c:pt>
                <c:pt idx="7">
                  <c:v>17.066666666666666</c:v>
                </c:pt>
                <c:pt idx="8">
                  <c:v>15.978333333333333</c:v>
                </c:pt>
                <c:pt idx="9">
                  <c:v>13.149166666666668</c:v>
                </c:pt>
                <c:pt idx="10">
                  <c:v>19.252499999999998</c:v>
                </c:pt>
                <c:pt idx="11">
                  <c:v>17.805000000000003</c:v>
                </c:pt>
                <c:pt idx="12">
                  <c:v>16.244658605325153</c:v>
                </c:pt>
                <c:pt idx="13">
                  <c:v>16.31531880717511</c:v>
                </c:pt>
                <c:pt idx="14">
                  <c:v>16.498655235130911</c:v>
                </c:pt>
                <c:pt idx="15">
                  <c:v>19.747444770453257</c:v>
                </c:pt>
                <c:pt idx="16">
                  <c:v>20.93514679550681</c:v>
                </c:pt>
                <c:pt idx="17">
                  <c:v>17.432162450241776</c:v>
                </c:pt>
                <c:pt idx="18">
                  <c:v>15.017906650666538</c:v>
                </c:pt>
                <c:pt idx="19">
                  <c:v>17.055276269110166</c:v>
                </c:pt>
              </c:numCache>
            </c:numRef>
          </c:val>
          <c:smooth val="0"/>
        </c:ser>
        <c:dLbls>
          <c:showLegendKey val="0"/>
          <c:showVal val="0"/>
          <c:showCatName val="0"/>
          <c:showSerName val="0"/>
          <c:showPercent val="0"/>
          <c:showBubbleSize val="0"/>
        </c:dLbls>
        <c:marker val="1"/>
        <c:smooth val="0"/>
        <c:axId val="894136704"/>
        <c:axId val="894138240"/>
      </c:lineChart>
      <c:catAx>
        <c:axId val="894128896"/>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94130432"/>
        <c:crosses val="autoZero"/>
        <c:auto val="1"/>
        <c:lblAlgn val="ctr"/>
        <c:lblOffset val="100"/>
        <c:tickLblSkip val="1"/>
        <c:tickMarkSkip val="1"/>
        <c:noMultiLvlLbl val="0"/>
      </c:catAx>
      <c:valAx>
        <c:axId val="894130432"/>
        <c:scaling>
          <c:orientation val="minMax"/>
        </c:scaling>
        <c:delete val="0"/>
        <c:axPos val="r"/>
        <c:title>
          <c:tx>
            <c:rich>
              <a:bodyPr rot="0" vert="horz"/>
              <a:lstStyle/>
              <a:p>
                <a:pPr marL="0" marR="0" indent="0" algn="ctr" defTabSz="914400" rtl="0" eaLnBrk="1" fontAlgn="auto" latinLnBrk="0" hangingPunct="1">
                  <a:lnSpc>
                    <a:spcPct val="100000"/>
                  </a:lnSpc>
                  <a:spcBef>
                    <a:spcPts val="0"/>
                  </a:spcBef>
                  <a:spcAft>
                    <a:spcPts val="0"/>
                  </a:spcAft>
                  <a:buClrTx/>
                  <a:buSzTx/>
                  <a:buFontTx/>
                  <a:buNone/>
                  <a:tabLst/>
                  <a:defRPr sz="900" b="0" i="0" u="none" strike="noStrike" kern="1200" baseline="0">
                    <a:solidFill>
                      <a:srgbClr val="808080"/>
                    </a:solidFill>
                    <a:latin typeface="Arial"/>
                    <a:ea typeface="Arial"/>
                    <a:cs typeface="Arial"/>
                  </a:defRPr>
                </a:pPr>
                <a:r>
                  <a:rPr lang="en-US" sz="900" b="0" i="0" baseline="0">
                    <a:effectLst/>
                    <a:latin typeface="Arial" panose="020B0604020202020204" pitchFamily="34" charset="0"/>
                    <a:cs typeface="Arial" panose="020B0604020202020204" pitchFamily="34" charset="0"/>
                  </a:rPr>
                  <a:t>US$ cents/lb</a:t>
                </a:r>
                <a:endParaRPr lang="en-US" sz="200">
                  <a:effectLst/>
                  <a:latin typeface="Arial" panose="020B0604020202020204" pitchFamily="34" charset="0"/>
                  <a:cs typeface="Arial" panose="020B0604020202020204" pitchFamily="34" charset="0"/>
                </a:endParaRPr>
              </a:p>
            </c:rich>
          </c:tx>
          <c:layout>
            <c:manualLayout>
              <c:xMode val="edge"/>
              <c:yMode val="edge"/>
              <c:x val="7.9515191653079728E-2"/>
              <c:y val="1.8033079582528526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94128896"/>
        <c:crosses val="max"/>
        <c:crossBetween val="midCat"/>
      </c:valAx>
      <c:catAx>
        <c:axId val="894136704"/>
        <c:scaling>
          <c:orientation val="minMax"/>
        </c:scaling>
        <c:delete val="1"/>
        <c:axPos val="b"/>
        <c:majorTickMark val="out"/>
        <c:minorTickMark val="none"/>
        <c:tickLblPos val="nextTo"/>
        <c:crossAx val="894138240"/>
        <c:crosses val="autoZero"/>
        <c:auto val="1"/>
        <c:lblAlgn val="ctr"/>
        <c:lblOffset val="100"/>
        <c:noMultiLvlLbl val="0"/>
      </c:catAx>
      <c:valAx>
        <c:axId val="894138240"/>
        <c:scaling>
          <c:orientation val="minMax"/>
        </c:scaling>
        <c:delete val="0"/>
        <c:axPos val="l"/>
        <c:title>
          <c:tx>
            <c:rich>
              <a:bodyPr rot="0" vert="horz"/>
              <a:lstStyle/>
              <a:p>
                <a:pPr>
                  <a:defRPr sz="900"/>
                </a:pPr>
                <a:r>
                  <a:rPr lang="en-US" sz="900"/>
                  <a:t>R$/cbm</a:t>
                </a:r>
              </a:p>
            </c:rich>
          </c:tx>
          <c:layout>
            <c:manualLayout>
              <c:xMode val="edge"/>
              <c:yMode val="edge"/>
              <c:x val="0.73416084748286958"/>
              <c:y val="1.3400193263255601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94136704"/>
        <c:crosses val="autoZero"/>
        <c:crossBetween val="midCat"/>
      </c:valAx>
      <c:spPr>
        <a:noFill/>
        <a:ln w="25400">
          <a:noFill/>
        </a:ln>
      </c:spPr>
    </c:plotArea>
    <c:legend>
      <c:legendPos val="r"/>
      <c:legendEntry>
        <c:idx val="1"/>
        <c:delete val="1"/>
      </c:legendEntry>
      <c:layout>
        <c:manualLayout>
          <c:xMode val="edge"/>
          <c:yMode val="edge"/>
          <c:x val="0.17609243775116368"/>
          <c:y val="0.67130268290931716"/>
          <c:w val="0.66233812773403333"/>
          <c:h val="0.14807014153905609"/>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4046592"/>
        <c:axId val="894048128"/>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4049664"/>
        <c:axId val="894059648"/>
      </c:lineChart>
      <c:catAx>
        <c:axId val="89404659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4048128"/>
        <c:crosses val="autoZero"/>
        <c:auto val="1"/>
        <c:lblAlgn val="ctr"/>
        <c:lblOffset val="100"/>
        <c:tickLblSkip val="1"/>
        <c:tickMarkSkip val="1"/>
        <c:noMultiLvlLbl val="0"/>
      </c:catAx>
      <c:valAx>
        <c:axId val="894048128"/>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4046592"/>
        <c:crosses val="autoZero"/>
        <c:crossBetween val="between"/>
      </c:valAx>
      <c:catAx>
        <c:axId val="894049664"/>
        <c:scaling>
          <c:orientation val="minMax"/>
        </c:scaling>
        <c:delete val="1"/>
        <c:axPos val="b"/>
        <c:numFmt formatCode="General" sourceLinked="1"/>
        <c:majorTickMark val="out"/>
        <c:minorTickMark val="none"/>
        <c:tickLblPos val="nextTo"/>
        <c:crossAx val="894059648"/>
        <c:crosses val="autoZero"/>
        <c:auto val="1"/>
        <c:lblAlgn val="ctr"/>
        <c:lblOffset val="100"/>
        <c:noMultiLvlLbl val="0"/>
      </c:catAx>
      <c:valAx>
        <c:axId val="894059648"/>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4049664"/>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4098048"/>
        <c:axId val="894099840"/>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4101376"/>
        <c:axId val="894102912"/>
      </c:lineChart>
      <c:catAx>
        <c:axId val="894098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4099840"/>
        <c:crosses val="autoZero"/>
        <c:auto val="1"/>
        <c:lblAlgn val="ctr"/>
        <c:lblOffset val="100"/>
        <c:tickLblSkip val="1"/>
        <c:tickMarkSkip val="1"/>
        <c:noMultiLvlLbl val="0"/>
      </c:catAx>
      <c:valAx>
        <c:axId val="894099840"/>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4098048"/>
        <c:crosses val="autoZero"/>
        <c:crossBetween val="between"/>
      </c:valAx>
      <c:catAx>
        <c:axId val="894101376"/>
        <c:scaling>
          <c:orientation val="minMax"/>
        </c:scaling>
        <c:delete val="1"/>
        <c:axPos val="b"/>
        <c:numFmt formatCode="General" sourceLinked="1"/>
        <c:majorTickMark val="out"/>
        <c:minorTickMark val="none"/>
        <c:tickLblPos val="nextTo"/>
        <c:crossAx val="894102912"/>
        <c:crosses val="autoZero"/>
        <c:auto val="1"/>
        <c:lblAlgn val="ctr"/>
        <c:lblOffset val="100"/>
        <c:noMultiLvlLbl val="0"/>
      </c:catAx>
      <c:valAx>
        <c:axId val="894102912"/>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4101376"/>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746419328"/>
        <c:axId val="746420864"/>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746422656"/>
        <c:axId val="746424192"/>
      </c:lineChart>
      <c:catAx>
        <c:axId val="746419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746420864"/>
        <c:crosses val="autoZero"/>
        <c:auto val="1"/>
        <c:lblAlgn val="ctr"/>
        <c:lblOffset val="100"/>
        <c:tickLblSkip val="1"/>
        <c:tickMarkSkip val="1"/>
        <c:noMultiLvlLbl val="0"/>
      </c:catAx>
      <c:valAx>
        <c:axId val="74642086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746419328"/>
        <c:crosses val="autoZero"/>
        <c:crossBetween val="between"/>
      </c:valAx>
      <c:catAx>
        <c:axId val="746422656"/>
        <c:scaling>
          <c:orientation val="minMax"/>
        </c:scaling>
        <c:delete val="1"/>
        <c:axPos val="b"/>
        <c:numFmt formatCode="General" sourceLinked="1"/>
        <c:majorTickMark val="out"/>
        <c:minorTickMark val="none"/>
        <c:tickLblPos val="nextTo"/>
        <c:crossAx val="746424192"/>
        <c:crosses val="autoZero"/>
        <c:auto val="1"/>
        <c:lblAlgn val="ctr"/>
        <c:lblOffset val="100"/>
        <c:noMultiLvlLbl val="0"/>
      </c:catAx>
      <c:valAx>
        <c:axId val="746424192"/>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746422656"/>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87872896"/>
        <c:axId val="746525824"/>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746527360"/>
        <c:axId val="746533248"/>
      </c:lineChart>
      <c:catAx>
        <c:axId val="887872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746525824"/>
        <c:crosses val="autoZero"/>
        <c:auto val="1"/>
        <c:lblAlgn val="ctr"/>
        <c:lblOffset val="100"/>
        <c:tickLblSkip val="1"/>
        <c:tickMarkSkip val="1"/>
        <c:noMultiLvlLbl val="0"/>
      </c:catAx>
      <c:valAx>
        <c:axId val="74652582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87872896"/>
        <c:crosses val="autoZero"/>
        <c:crossBetween val="between"/>
      </c:valAx>
      <c:catAx>
        <c:axId val="746527360"/>
        <c:scaling>
          <c:orientation val="minMax"/>
        </c:scaling>
        <c:delete val="1"/>
        <c:axPos val="b"/>
        <c:numFmt formatCode="General" sourceLinked="1"/>
        <c:majorTickMark val="out"/>
        <c:minorTickMark val="none"/>
        <c:tickLblPos val="nextTo"/>
        <c:crossAx val="746533248"/>
        <c:crosses val="autoZero"/>
        <c:auto val="1"/>
        <c:lblAlgn val="ctr"/>
        <c:lblOffset val="100"/>
        <c:noMultiLvlLbl val="0"/>
      </c:catAx>
      <c:valAx>
        <c:axId val="746533248"/>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74652736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398921832884097"/>
          <c:y val="5.063298963018819E-2"/>
          <c:w val="0.79514824797843664"/>
          <c:h val="0.78797590111980365"/>
        </c:manualLayout>
      </c:layout>
      <c:lineChart>
        <c:grouping val="standard"/>
        <c:varyColors val="0"/>
        <c:ser>
          <c:idx val="4"/>
          <c:order val="0"/>
          <c:tx>
            <c:strRef>
              <c:f>ChartSupport!$A$320</c:f>
              <c:strCache>
                <c:ptCount val="1"/>
                <c:pt idx="0">
                  <c:v>Cost of the debt</c:v>
                </c:pt>
              </c:strCache>
            </c:strRef>
          </c:tx>
          <c:spPr>
            <a:ln w="25400">
              <a:solidFill>
                <a:schemeClr val="accent1"/>
              </a:solidFill>
              <a:prstDash val="solid"/>
            </a:ln>
          </c:spPr>
          <c:marker>
            <c:symbol val="none"/>
          </c:marker>
          <c:cat>
            <c:strRef>
              <c:f>ChartSupport!$D$292:$W$292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ChartSupport!$D$320:$W$320</c:f>
              <c:numCache>
                <c:formatCode>0.0%</c:formatCode>
                <c:ptCount val="20"/>
                <c:pt idx="0">
                  <c:v>0.29637150245325555</c:v>
                </c:pt>
                <c:pt idx="1">
                  <c:v>0.28225883898228954</c:v>
                </c:pt>
                <c:pt idx="2">
                  <c:v>0.14895559944803702</c:v>
                </c:pt>
                <c:pt idx="3">
                  <c:v>0.13599796110276222</c:v>
                </c:pt>
                <c:pt idx="4">
                  <c:v>0.18927925673645404</c:v>
                </c:pt>
                <c:pt idx="5">
                  <c:v>0.13775333818690594</c:v>
                </c:pt>
                <c:pt idx="6">
                  <c:v>9.4794158368347509E-2</c:v>
                </c:pt>
                <c:pt idx="7">
                  <c:v>8.8885760618711285E-2</c:v>
                </c:pt>
                <c:pt idx="8">
                  <c:v>7.1722081348094477E-2</c:v>
                </c:pt>
                <c:pt idx="9">
                  <c:v>7.363984014837277E-2</c:v>
                </c:pt>
                <c:pt idx="10">
                  <c:v>8.1368089756056736E-2</c:v>
                </c:pt>
                <c:pt idx="11">
                  <c:v>9.2376056095286041E-2</c:v>
                </c:pt>
                <c:pt idx="12">
                  <c:v>8.7833747693575465E-2</c:v>
                </c:pt>
                <c:pt idx="13">
                  <c:v>7.3006367233024561E-2</c:v>
                </c:pt>
                <c:pt idx="14">
                  <c:v>6.8599051338588346E-2</c:v>
                </c:pt>
                <c:pt idx="15">
                  <c:v>6.8599051338588346E-2</c:v>
                </c:pt>
                <c:pt idx="16">
                  <c:v>6.8599051338588346E-2</c:v>
                </c:pt>
                <c:pt idx="17">
                  <c:v>6.8599051338588346E-2</c:v>
                </c:pt>
                <c:pt idx="18">
                  <c:v>6.8599051338588346E-2</c:v>
                </c:pt>
                <c:pt idx="19">
                  <c:v>6.8599051338588346E-2</c:v>
                </c:pt>
              </c:numCache>
            </c:numRef>
          </c:val>
          <c:smooth val="0"/>
        </c:ser>
        <c:dLbls>
          <c:showLegendKey val="0"/>
          <c:showVal val="0"/>
          <c:showCatName val="0"/>
          <c:showSerName val="0"/>
          <c:showPercent val="0"/>
          <c:showBubbleSize val="0"/>
        </c:dLbls>
        <c:marker val="1"/>
        <c:smooth val="0"/>
        <c:axId val="746575744"/>
        <c:axId val="746577280"/>
      </c:lineChart>
      <c:lineChart>
        <c:grouping val="standard"/>
        <c:varyColors val="0"/>
        <c:ser>
          <c:idx val="6"/>
          <c:order val="1"/>
          <c:tx>
            <c:strRef>
              <c:f>ChartSupport!$A$293</c:f>
              <c:strCache>
                <c:ptCount val="1"/>
                <c:pt idx="0">
                  <c:v>Sugar Nybot prices (US$ cents/lb)</c:v>
                </c:pt>
              </c:strCache>
            </c:strRef>
          </c:tx>
          <c:spPr>
            <a:ln w="15875">
              <a:solidFill>
                <a:srgbClr val="FF0000"/>
              </a:solidFill>
              <a:prstDash val="sysDash"/>
            </a:ln>
          </c:spPr>
          <c:marker>
            <c:symbol val="none"/>
          </c:marker>
          <c:val>
            <c:numRef>
              <c:f>ChartSupport!$D$293:$W$293</c:f>
              <c:numCache>
                <c:formatCode>#,##0.0</c:formatCode>
                <c:ptCount val="20"/>
                <c:pt idx="0">
                  <c:v>13.545</c:v>
                </c:pt>
                <c:pt idx="1">
                  <c:v>10.401666666666666</c:v>
                </c:pt>
                <c:pt idx="2">
                  <c:v>12.4</c:v>
                </c:pt>
                <c:pt idx="3">
                  <c:v>18.787500000000001</c:v>
                </c:pt>
                <c:pt idx="4">
                  <c:v>23.440833333333334</c:v>
                </c:pt>
                <c:pt idx="5">
                  <c:v>25.258333333333336</c:v>
                </c:pt>
                <c:pt idx="6">
                  <c:v>20.410833333333333</c:v>
                </c:pt>
                <c:pt idx="7">
                  <c:v>17.066666666666666</c:v>
                </c:pt>
                <c:pt idx="8">
                  <c:v>15.978333333333333</c:v>
                </c:pt>
                <c:pt idx="9">
                  <c:v>13.149166666666668</c:v>
                </c:pt>
                <c:pt idx="10">
                  <c:v>19.252499999999998</c:v>
                </c:pt>
                <c:pt idx="11">
                  <c:v>17.805000000000003</c:v>
                </c:pt>
                <c:pt idx="12">
                  <c:v>16.244658605325153</c:v>
                </c:pt>
                <c:pt idx="13">
                  <c:v>16.31531880717511</c:v>
                </c:pt>
                <c:pt idx="14">
                  <c:v>16.498655235130911</c:v>
                </c:pt>
                <c:pt idx="15">
                  <c:v>19.747444770453257</c:v>
                </c:pt>
                <c:pt idx="16">
                  <c:v>20.93514679550681</c:v>
                </c:pt>
                <c:pt idx="17">
                  <c:v>17.432162450241776</c:v>
                </c:pt>
                <c:pt idx="18">
                  <c:v>15.017906650666538</c:v>
                </c:pt>
                <c:pt idx="19">
                  <c:v>17.055276269110166</c:v>
                </c:pt>
              </c:numCache>
            </c:numRef>
          </c:val>
          <c:smooth val="0"/>
        </c:ser>
        <c:dLbls>
          <c:showLegendKey val="0"/>
          <c:showVal val="0"/>
          <c:showCatName val="0"/>
          <c:showSerName val="0"/>
          <c:showPercent val="0"/>
          <c:showBubbleSize val="0"/>
        </c:dLbls>
        <c:marker val="1"/>
        <c:smooth val="0"/>
        <c:axId val="746583168"/>
        <c:axId val="746584704"/>
      </c:lineChart>
      <c:catAx>
        <c:axId val="746575744"/>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a:pPr>
            <a:endParaRPr lang="en-US"/>
          </a:p>
        </c:txPr>
        <c:crossAx val="746577280"/>
        <c:crossesAt val="-4.0000000000000008E-2"/>
        <c:auto val="1"/>
        <c:lblAlgn val="ctr"/>
        <c:lblOffset val="100"/>
        <c:tickLblSkip val="1"/>
        <c:tickMarkSkip val="1"/>
        <c:noMultiLvlLbl val="0"/>
      </c:catAx>
      <c:valAx>
        <c:axId val="746577280"/>
        <c:scaling>
          <c:orientation val="minMax"/>
        </c:scaling>
        <c:delete val="0"/>
        <c:axPos val="l"/>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746575744"/>
        <c:crosses val="autoZero"/>
        <c:crossBetween val="midCat"/>
      </c:valAx>
      <c:catAx>
        <c:axId val="746583168"/>
        <c:scaling>
          <c:orientation val="minMax"/>
        </c:scaling>
        <c:delete val="1"/>
        <c:axPos val="b"/>
        <c:majorTickMark val="out"/>
        <c:minorTickMark val="none"/>
        <c:tickLblPos val="nextTo"/>
        <c:crossAx val="746584704"/>
        <c:crosses val="autoZero"/>
        <c:auto val="1"/>
        <c:lblAlgn val="ctr"/>
        <c:lblOffset val="100"/>
        <c:noMultiLvlLbl val="0"/>
      </c:catAx>
      <c:valAx>
        <c:axId val="746584704"/>
        <c:scaling>
          <c:orientation val="minMax"/>
        </c:scaling>
        <c:delete val="0"/>
        <c:axPos val="r"/>
        <c:title>
          <c:tx>
            <c:rich>
              <a:bodyPr rot="0" vert="horz"/>
              <a:lstStyle/>
              <a:p>
                <a:pPr algn="ctr" rtl="0">
                  <a:defRPr/>
                </a:pPr>
                <a:r>
                  <a:rPr lang="en-US"/>
                  <a:t>US$ cents/lb</a:t>
                </a:r>
              </a:p>
            </c:rich>
          </c:tx>
          <c:layout>
            <c:manualLayout>
              <c:xMode val="edge"/>
              <c:yMode val="edge"/>
              <c:x val="0.75289919714540587"/>
              <c:y val="1.3780597174569477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746583168"/>
        <c:crosses val="max"/>
        <c:crossBetween val="between"/>
      </c:valAx>
      <c:spPr>
        <a:noFill/>
        <a:ln w="25400">
          <a:noFill/>
        </a:ln>
      </c:spPr>
    </c:plotArea>
    <c:legend>
      <c:legendPos val="r"/>
      <c:layout>
        <c:manualLayout>
          <c:xMode val="edge"/>
          <c:yMode val="edge"/>
          <c:x val="0.15201977986471585"/>
          <c:y val="0.68432618336501039"/>
          <c:w val="0.57525409680614192"/>
          <c:h val="0.143355137034203"/>
        </c:manualLayout>
      </c:layout>
      <c:overlay val="0"/>
      <c:spPr>
        <a:noFill/>
        <a:ln w="25400">
          <a:noFill/>
        </a:ln>
      </c:spPr>
      <c:txPr>
        <a:bodyPr/>
        <a:lstStyle/>
        <a:p>
          <a:pPr>
            <a:defRPr sz="800"/>
          </a:pPr>
          <a:endParaRPr lang="en-US"/>
        </a:p>
      </c:txPr>
    </c:legend>
    <c:plotVisOnly val="1"/>
    <c:dispBlanksAs val="gap"/>
    <c:showDLblsOverMax val="0"/>
  </c:chart>
  <c:spPr>
    <a:solidFill>
      <a:srgbClr val="FFFFFF"/>
    </a:solid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userShapes r:id="rId1"/>
</c:chartSpace>
</file>

<file path=xl/charts/chart1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8961088373945282E-2"/>
          <c:y val="4.6875E-2"/>
          <c:w val="0.89350762670914508"/>
          <c:h val="0.80405874112361719"/>
        </c:manualLayout>
      </c:layout>
      <c:areaChart>
        <c:grouping val="standard"/>
        <c:varyColors val="0"/>
        <c:ser>
          <c:idx val="1"/>
          <c:order val="0"/>
          <c:tx>
            <c:v>Bull-Bear Scenario</c:v>
          </c:tx>
          <c:spPr>
            <a:solidFill>
              <a:schemeClr val="bg1">
                <a:lumMod val="85000"/>
              </a:schemeClr>
            </a:solidFill>
            <a:ln w="25400">
              <a:noFill/>
            </a:ln>
          </c:spPr>
          <c:cat>
            <c:strRef>
              <c:f>ChartSupport!$D$7:$W$7</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ChartSupport!$D$180:$W$180</c:f>
              <c:numCache>
                <c:formatCode>0</c:formatCode>
                <c:ptCount val="20"/>
                <c:pt idx="0">
                  <c:v>13.545</c:v>
                </c:pt>
                <c:pt idx="1">
                  <c:v>10.401666666666666</c:v>
                </c:pt>
                <c:pt idx="2">
                  <c:v>12.4</c:v>
                </c:pt>
                <c:pt idx="3">
                  <c:v>18.787500000000001</c:v>
                </c:pt>
                <c:pt idx="4">
                  <c:v>23.440833333333334</c:v>
                </c:pt>
                <c:pt idx="5">
                  <c:v>25.258333333333336</c:v>
                </c:pt>
                <c:pt idx="6">
                  <c:v>20.410833333333333</c:v>
                </c:pt>
                <c:pt idx="7">
                  <c:v>17.066666666666666</c:v>
                </c:pt>
                <c:pt idx="8">
                  <c:v>15.978333333333333</c:v>
                </c:pt>
                <c:pt idx="9">
                  <c:v>13.149166666666668</c:v>
                </c:pt>
                <c:pt idx="10">
                  <c:v>19.252499999999998</c:v>
                </c:pt>
                <c:pt idx="11">
                  <c:v>17.805000000000003</c:v>
                </c:pt>
                <c:pt idx="12">
                  <c:v>18.794158956936627</c:v>
                </c:pt>
                <c:pt idx="13">
                  <c:v>18.938866951247341</c:v>
                </c:pt>
                <c:pt idx="14">
                  <c:v>21.333382670600141</c:v>
                </c:pt>
                <c:pt idx="15">
                  <c:v>23.057455102611588</c:v>
                </c:pt>
                <c:pt idx="16">
                  <c:v>20.755780087152509</c:v>
                </c:pt>
                <c:pt idx="17">
                  <c:v>18.098667194074562</c:v>
                </c:pt>
                <c:pt idx="18">
                  <c:v>19.275172161593819</c:v>
                </c:pt>
                <c:pt idx="19">
                  <c:v>20.940757180119164</c:v>
                </c:pt>
              </c:numCache>
            </c:numRef>
          </c:val>
        </c:ser>
        <c:ser>
          <c:idx val="2"/>
          <c:order val="1"/>
          <c:tx>
            <c:v/>
          </c:tx>
          <c:spPr>
            <a:solidFill>
              <a:srgbClr val="FFFFFF"/>
            </a:solidFill>
            <a:ln w="25400">
              <a:noFill/>
            </a:ln>
          </c:spPr>
          <c:cat>
            <c:strRef>
              <c:f>ChartSupport!$D$7:$W$7</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ChartSupport!$D$178:$W$178</c:f>
              <c:numCache>
                <c:formatCode>0</c:formatCode>
                <c:ptCount val="20"/>
                <c:pt idx="0">
                  <c:v>13.545</c:v>
                </c:pt>
                <c:pt idx="1">
                  <c:v>10.401666666666666</c:v>
                </c:pt>
                <c:pt idx="2">
                  <c:v>12.4</c:v>
                </c:pt>
                <c:pt idx="3">
                  <c:v>18.787500000000001</c:v>
                </c:pt>
                <c:pt idx="4">
                  <c:v>23.440833333333334</c:v>
                </c:pt>
                <c:pt idx="5">
                  <c:v>25.258333333333336</c:v>
                </c:pt>
                <c:pt idx="6">
                  <c:v>20.410833333333333</c:v>
                </c:pt>
                <c:pt idx="7">
                  <c:v>17.066666666666666</c:v>
                </c:pt>
                <c:pt idx="8">
                  <c:v>15.978333333333333</c:v>
                </c:pt>
                <c:pt idx="9">
                  <c:v>13.149166666666668</c:v>
                </c:pt>
                <c:pt idx="10">
                  <c:v>19.252499999999998</c:v>
                </c:pt>
                <c:pt idx="11">
                  <c:v>17.805000000000003</c:v>
                </c:pt>
                <c:pt idx="12">
                  <c:v>13.497954874874125</c:v>
                </c:pt>
                <c:pt idx="13">
                  <c:v>13.366639357923361</c:v>
                </c:pt>
                <c:pt idx="14">
                  <c:v>15.861959162142835</c:v>
                </c:pt>
                <c:pt idx="15">
                  <c:v>18.892211851030282</c:v>
                </c:pt>
                <c:pt idx="16">
                  <c:v>16.97027604733838</c:v>
                </c:pt>
                <c:pt idx="17">
                  <c:v>14.237621843699179</c:v>
                </c:pt>
                <c:pt idx="18">
                  <c:v>15.336772509203714</c:v>
                </c:pt>
                <c:pt idx="19">
                  <c:v>15.695358267740904</c:v>
                </c:pt>
              </c:numCache>
            </c:numRef>
          </c:val>
        </c:ser>
        <c:dLbls>
          <c:showLegendKey val="0"/>
          <c:showVal val="0"/>
          <c:showCatName val="0"/>
          <c:showSerName val="0"/>
          <c:showPercent val="0"/>
          <c:showBubbleSize val="0"/>
        </c:dLbls>
        <c:axId val="894592128"/>
        <c:axId val="894593664"/>
      </c:areaChart>
      <c:lineChart>
        <c:grouping val="standard"/>
        <c:varyColors val="0"/>
        <c:ser>
          <c:idx val="0"/>
          <c:order val="2"/>
          <c:tx>
            <c:strRef>
              <c:f>ChartSupport!$A$179</c:f>
              <c:strCache>
                <c:ptCount val="1"/>
                <c:pt idx="0">
                  <c:v>Sugar Prices NY11 (US$c/lb)</c:v>
                </c:pt>
              </c:strCache>
            </c:strRef>
          </c:tx>
          <c:spPr>
            <a:ln w="25400">
              <a:solidFill>
                <a:schemeClr val="accent1"/>
              </a:solidFill>
              <a:prstDash val="solid"/>
            </a:ln>
          </c:spPr>
          <c:marker>
            <c:symbol val="none"/>
          </c:marker>
          <c:cat>
            <c:strRef>
              <c:f>ChartSupport!$D$12:$W$12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ChartSupport!$D$179:$W$179</c:f>
              <c:numCache>
                <c:formatCode>0</c:formatCode>
                <c:ptCount val="20"/>
                <c:pt idx="0">
                  <c:v>13.545</c:v>
                </c:pt>
                <c:pt idx="1">
                  <c:v>10.401666666666666</c:v>
                </c:pt>
                <c:pt idx="2">
                  <c:v>12.4</c:v>
                </c:pt>
                <c:pt idx="3">
                  <c:v>18.787500000000001</c:v>
                </c:pt>
                <c:pt idx="4">
                  <c:v>23.440833333333334</c:v>
                </c:pt>
                <c:pt idx="5">
                  <c:v>25.258333333333336</c:v>
                </c:pt>
                <c:pt idx="6">
                  <c:v>20.410833333333333</c:v>
                </c:pt>
                <c:pt idx="7">
                  <c:v>17.066666666666666</c:v>
                </c:pt>
                <c:pt idx="8">
                  <c:v>15.978333333333333</c:v>
                </c:pt>
                <c:pt idx="9">
                  <c:v>13.149166666666668</c:v>
                </c:pt>
                <c:pt idx="10">
                  <c:v>19.252499999999998</c:v>
                </c:pt>
                <c:pt idx="11">
                  <c:v>17.805000000000003</c:v>
                </c:pt>
                <c:pt idx="12">
                  <c:v>16.244658605325153</c:v>
                </c:pt>
                <c:pt idx="13">
                  <c:v>16.31531880717511</c:v>
                </c:pt>
                <c:pt idx="14">
                  <c:v>16.498655235130911</c:v>
                </c:pt>
                <c:pt idx="15">
                  <c:v>19.747444770453257</c:v>
                </c:pt>
                <c:pt idx="16">
                  <c:v>20.93514679550681</c:v>
                </c:pt>
                <c:pt idx="17">
                  <c:v>17.432162450241776</c:v>
                </c:pt>
                <c:pt idx="18">
                  <c:v>15.017906650666538</c:v>
                </c:pt>
                <c:pt idx="19">
                  <c:v>17.055276269110166</c:v>
                </c:pt>
              </c:numCache>
            </c:numRef>
          </c:val>
          <c:smooth val="0"/>
        </c:ser>
        <c:dLbls>
          <c:showLegendKey val="0"/>
          <c:showVal val="0"/>
          <c:showCatName val="0"/>
          <c:showSerName val="0"/>
          <c:showPercent val="0"/>
          <c:showBubbleSize val="0"/>
        </c:dLbls>
        <c:marker val="1"/>
        <c:smooth val="0"/>
        <c:axId val="894592128"/>
        <c:axId val="894593664"/>
      </c:lineChart>
      <c:catAx>
        <c:axId val="894592128"/>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94593664"/>
        <c:crossesAt val="0"/>
        <c:auto val="1"/>
        <c:lblAlgn val="ctr"/>
        <c:lblOffset val="100"/>
        <c:tickLblSkip val="1"/>
        <c:tickMarkSkip val="1"/>
        <c:noMultiLvlLbl val="0"/>
      </c:catAx>
      <c:valAx>
        <c:axId val="894593664"/>
        <c:scaling>
          <c:orientation val="minMax"/>
        </c:scaling>
        <c:delete val="0"/>
        <c:axPos val="l"/>
        <c:title>
          <c:tx>
            <c:rich>
              <a:bodyPr rot="0" vert="horz"/>
              <a:lstStyle/>
              <a:p>
                <a:pPr>
                  <a:defRPr/>
                </a:pPr>
                <a:r>
                  <a:rPr lang="en-US" sz="900" b="0" i="0" baseline="0">
                    <a:effectLst/>
                    <a:latin typeface="Arial" panose="020B0604020202020204" pitchFamily="34" charset="0"/>
                    <a:cs typeface="Arial" panose="020B0604020202020204" pitchFamily="34" charset="0"/>
                  </a:rPr>
                  <a:t>US$ cents/lb</a:t>
                </a:r>
                <a:endParaRPr lang="en-US" sz="300">
                  <a:effectLst/>
                  <a:latin typeface="Arial" panose="020B0604020202020204" pitchFamily="34" charset="0"/>
                  <a:cs typeface="Arial" panose="020B0604020202020204" pitchFamily="34" charset="0"/>
                </a:endParaRPr>
              </a:p>
            </c:rich>
          </c:tx>
          <c:layout>
            <c:manualLayout>
              <c:xMode val="edge"/>
              <c:yMode val="edge"/>
              <c:x val="8.5534581311311364E-2"/>
              <c:y val="1.7440861534165488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94592128"/>
        <c:crossesAt val="1"/>
        <c:crossBetween val="midCat"/>
      </c:valAx>
      <c:spPr>
        <a:noFill/>
        <a:ln w="25400">
          <a:noFill/>
        </a:ln>
      </c:spPr>
    </c:plotArea>
    <c:legend>
      <c:legendPos val="r"/>
      <c:layout>
        <c:manualLayout>
          <c:xMode val="edge"/>
          <c:yMode val="edge"/>
          <c:x val="0.20350663720849699"/>
          <c:y val="0.58807898737738529"/>
          <c:w val="0.68225175853018372"/>
          <c:h val="0.14012007874015747"/>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991971493762952"/>
          <c:y val="4.6875E-2"/>
          <c:w val="0.82037640904669829"/>
          <c:h val="0.78556305844010266"/>
        </c:manualLayout>
      </c:layout>
      <c:areaChart>
        <c:grouping val="standard"/>
        <c:varyColors val="0"/>
        <c:ser>
          <c:idx val="3"/>
          <c:order val="0"/>
          <c:tx>
            <c:v>Bull-Bear Scenario</c:v>
          </c:tx>
          <c:spPr>
            <a:solidFill>
              <a:schemeClr val="bg1">
                <a:lumMod val="85000"/>
              </a:schemeClr>
            </a:solidFill>
            <a:ln w="25400">
              <a:noFill/>
            </a:ln>
          </c:spPr>
          <c:cat>
            <c:strRef>
              <c:f>ChartSupport!$G$132:$W$132</c:f>
              <c:strCache>
                <c:ptCount val="17"/>
                <c:pt idx="0">
                  <c:v>2009</c:v>
                </c:pt>
                <c:pt idx="1">
                  <c:v>2010</c:v>
                </c:pt>
                <c:pt idx="2">
                  <c:v>2011</c:v>
                </c:pt>
                <c:pt idx="3">
                  <c:v>2012</c:v>
                </c:pt>
                <c:pt idx="4">
                  <c:v>2013</c:v>
                </c:pt>
                <c:pt idx="5">
                  <c:v>2014</c:v>
                </c:pt>
                <c:pt idx="6">
                  <c:v>2015</c:v>
                </c:pt>
                <c:pt idx="7">
                  <c:v>2016</c:v>
                </c:pt>
                <c:pt idx="8">
                  <c:v>2017</c:v>
                </c:pt>
                <c:pt idx="9">
                  <c:v>2018E</c:v>
                </c:pt>
                <c:pt idx="10">
                  <c:v>2019E</c:v>
                </c:pt>
                <c:pt idx="11">
                  <c:v>2020E</c:v>
                </c:pt>
                <c:pt idx="12">
                  <c:v>2021E</c:v>
                </c:pt>
                <c:pt idx="13">
                  <c:v>2022E</c:v>
                </c:pt>
                <c:pt idx="14">
                  <c:v>2023E</c:v>
                </c:pt>
                <c:pt idx="15">
                  <c:v>2024E</c:v>
                </c:pt>
                <c:pt idx="16">
                  <c:v>2025E</c:v>
                </c:pt>
              </c:strCache>
            </c:strRef>
          </c:cat>
          <c:val>
            <c:numRef>
              <c:f>ChartSupport!$G$158:$W$158</c:f>
              <c:numCache>
                <c:formatCode>#,##0</c:formatCode>
                <c:ptCount val="17"/>
                <c:pt idx="0">
                  <c:v>57.291970109321731</c:v>
                </c:pt>
                <c:pt idx="1">
                  <c:v>79.504962421256081</c:v>
                </c:pt>
                <c:pt idx="2">
                  <c:v>112.40559689900142</c:v>
                </c:pt>
                <c:pt idx="3">
                  <c:v>128.53534439487981</c:v>
                </c:pt>
                <c:pt idx="4">
                  <c:v>125.37129795302681</c:v>
                </c:pt>
                <c:pt idx="5">
                  <c:v>102.7416797648512</c:v>
                </c:pt>
                <c:pt idx="6">
                  <c:v>72.769571628548334</c:v>
                </c:pt>
                <c:pt idx="7">
                  <c:v>84.866521864566366</c:v>
                </c:pt>
                <c:pt idx="8">
                  <c:v>78.022146517990393</c:v>
                </c:pt>
                <c:pt idx="9">
                  <c:v>68.068756766720213</c:v>
                </c:pt>
                <c:pt idx="10">
                  <c:v>65.173350329562936</c:v>
                </c:pt>
                <c:pt idx="11">
                  <c:v>64.644157452541293</c:v>
                </c:pt>
                <c:pt idx="12">
                  <c:v>63.974609434561458</c:v>
                </c:pt>
                <c:pt idx="13">
                  <c:v>63.605263661240663</c:v>
                </c:pt>
                <c:pt idx="14">
                  <c:v>64.858423165516513</c:v>
                </c:pt>
                <c:pt idx="15">
                  <c:v>67.640781971372874</c:v>
                </c:pt>
                <c:pt idx="16">
                  <c:v>70.216470628623412</c:v>
                </c:pt>
              </c:numCache>
            </c:numRef>
          </c:val>
        </c:ser>
        <c:ser>
          <c:idx val="4"/>
          <c:order val="1"/>
          <c:tx>
            <c:v>Bear Scenario</c:v>
          </c:tx>
          <c:spPr>
            <a:solidFill>
              <a:schemeClr val="bg1"/>
            </a:solidFill>
            <a:ln w="25400">
              <a:noFill/>
            </a:ln>
          </c:spPr>
          <c:cat>
            <c:strRef>
              <c:f>ChartSupport!$G$132:$W$132</c:f>
              <c:strCache>
                <c:ptCount val="17"/>
                <c:pt idx="0">
                  <c:v>2009</c:v>
                </c:pt>
                <c:pt idx="1">
                  <c:v>2010</c:v>
                </c:pt>
                <c:pt idx="2">
                  <c:v>2011</c:v>
                </c:pt>
                <c:pt idx="3">
                  <c:v>2012</c:v>
                </c:pt>
                <c:pt idx="4">
                  <c:v>2013</c:v>
                </c:pt>
                <c:pt idx="5">
                  <c:v>2014</c:v>
                </c:pt>
                <c:pt idx="6">
                  <c:v>2015</c:v>
                </c:pt>
                <c:pt idx="7">
                  <c:v>2016</c:v>
                </c:pt>
                <c:pt idx="8">
                  <c:v>2017</c:v>
                </c:pt>
                <c:pt idx="9">
                  <c:v>2018E</c:v>
                </c:pt>
                <c:pt idx="10">
                  <c:v>2019E</c:v>
                </c:pt>
                <c:pt idx="11">
                  <c:v>2020E</c:v>
                </c:pt>
                <c:pt idx="12">
                  <c:v>2021E</c:v>
                </c:pt>
                <c:pt idx="13">
                  <c:v>2022E</c:v>
                </c:pt>
                <c:pt idx="14">
                  <c:v>2023E</c:v>
                </c:pt>
                <c:pt idx="15">
                  <c:v>2024E</c:v>
                </c:pt>
                <c:pt idx="16">
                  <c:v>2025E</c:v>
                </c:pt>
              </c:strCache>
            </c:strRef>
          </c:cat>
          <c:val>
            <c:numRef>
              <c:f>ChartSupport!$G$160:$W$160</c:f>
              <c:numCache>
                <c:formatCode>#,##0</c:formatCode>
                <c:ptCount val="17"/>
                <c:pt idx="0">
                  <c:v>57.291970109321731</c:v>
                </c:pt>
                <c:pt idx="1">
                  <c:v>79.504962421256081</c:v>
                </c:pt>
                <c:pt idx="2">
                  <c:v>112.40559689900142</c:v>
                </c:pt>
                <c:pt idx="3">
                  <c:v>128.53534439487981</c:v>
                </c:pt>
                <c:pt idx="4">
                  <c:v>125.37129795302681</c:v>
                </c:pt>
                <c:pt idx="5">
                  <c:v>102.7416797648512</c:v>
                </c:pt>
                <c:pt idx="6">
                  <c:v>72.769571628548334</c:v>
                </c:pt>
                <c:pt idx="7">
                  <c:v>84.866521864566366</c:v>
                </c:pt>
                <c:pt idx="8">
                  <c:v>78.504225208864796</c:v>
                </c:pt>
                <c:pt idx="9">
                  <c:v>130.69880609372493</c:v>
                </c:pt>
                <c:pt idx="10">
                  <c:v>120.03549876203861</c:v>
                </c:pt>
                <c:pt idx="11">
                  <c:v>113.67130910044732</c:v>
                </c:pt>
                <c:pt idx="12">
                  <c:v>106.13460482144789</c:v>
                </c:pt>
                <c:pt idx="13">
                  <c:v>98.811194589326718</c:v>
                </c:pt>
                <c:pt idx="14">
                  <c:v>95.983300846816789</c:v>
                </c:pt>
                <c:pt idx="15">
                  <c:v>96.614590567045283</c:v>
                </c:pt>
                <c:pt idx="16">
                  <c:v>97.083302114422452</c:v>
                </c:pt>
              </c:numCache>
            </c:numRef>
          </c:val>
        </c:ser>
        <c:dLbls>
          <c:showLegendKey val="0"/>
          <c:showVal val="0"/>
          <c:showCatName val="0"/>
          <c:showSerName val="0"/>
          <c:showPercent val="0"/>
          <c:showBubbleSize val="0"/>
        </c:dLbls>
        <c:axId val="894704256"/>
        <c:axId val="894718336"/>
      </c:areaChart>
      <c:lineChart>
        <c:grouping val="standard"/>
        <c:varyColors val="0"/>
        <c:ser>
          <c:idx val="2"/>
          <c:order val="2"/>
          <c:tx>
            <c:v>Base Scenario</c:v>
          </c:tx>
          <c:spPr>
            <a:ln w="25400">
              <a:solidFill>
                <a:schemeClr val="accent1"/>
              </a:solidFill>
              <a:prstDash val="solid"/>
            </a:ln>
          </c:spPr>
          <c:marker>
            <c:symbol val="none"/>
          </c:marker>
          <c:cat>
            <c:strRef>
              <c:f>ChartSupport!$G$132:$W$132</c:f>
              <c:strCache>
                <c:ptCount val="17"/>
                <c:pt idx="0">
                  <c:v>2009</c:v>
                </c:pt>
                <c:pt idx="1">
                  <c:v>2010</c:v>
                </c:pt>
                <c:pt idx="2">
                  <c:v>2011</c:v>
                </c:pt>
                <c:pt idx="3">
                  <c:v>2012</c:v>
                </c:pt>
                <c:pt idx="4">
                  <c:v>2013</c:v>
                </c:pt>
                <c:pt idx="5">
                  <c:v>2014</c:v>
                </c:pt>
                <c:pt idx="6">
                  <c:v>2015</c:v>
                </c:pt>
                <c:pt idx="7">
                  <c:v>2016</c:v>
                </c:pt>
                <c:pt idx="8">
                  <c:v>2017</c:v>
                </c:pt>
                <c:pt idx="9">
                  <c:v>2018E</c:v>
                </c:pt>
                <c:pt idx="10">
                  <c:v>2019E</c:v>
                </c:pt>
                <c:pt idx="11">
                  <c:v>2020E</c:v>
                </c:pt>
                <c:pt idx="12">
                  <c:v>2021E</c:v>
                </c:pt>
                <c:pt idx="13">
                  <c:v>2022E</c:v>
                </c:pt>
                <c:pt idx="14">
                  <c:v>2023E</c:v>
                </c:pt>
                <c:pt idx="15">
                  <c:v>2024E</c:v>
                </c:pt>
                <c:pt idx="16">
                  <c:v>2025E</c:v>
                </c:pt>
              </c:strCache>
            </c:strRef>
          </c:cat>
          <c:val>
            <c:numRef>
              <c:f>ChartSupport!$G$159:$W$159</c:f>
              <c:numCache>
                <c:formatCode>#,##0</c:formatCode>
                <c:ptCount val="17"/>
                <c:pt idx="0">
                  <c:v>57.291970109321731</c:v>
                </c:pt>
                <c:pt idx="1">
                  <c:v>79.504962421256081</c:v>
                </c:pt>
                <c:pt idx="2">
                  <c:v>112.40559689900142</c:v>
                </c:pt>
                <c:pt idx="3">
                  <c:v>128.53534439487981</c:v>
                </c:pt>
                <c:pt idx="4">
                  <c:v>125.37129795302681</c:v>
                </c:pt>
                <c:pt idx="5">
                  <c:v>102.7416797648512</c:v>
                </c:pt>
                <c:pt idx="6">
                  <c:v>72.769571628548334</c:v>
                </c:pt>
                <c:pt idx="7">
                  <c:v>84.866521864566366</c:v>
                </c:pt>
                <c:pt idx="8">
                  <c:v>77.174309905121248</c:v>
                </c:pt>
                <c:pt idx="9">
                  <c:v>81.174303348257709</c:v>
                </c:pt>
                <c:pt idx="10">
                  <c:v>75.176998311376636</c:v>
                </c:pt>
                <c:pt idx="11">
                  <c:v>72.817349126199744</c:v>
                </c:pt>
                <c:pt idx="12">
                  <c:v>69.66095415809454</c:v>
                </c:pt>
                <c:pt idx="13">
                  <c:v>65.99619667317171</c:v>
                </c:pt>
                <c:pt idx="14">
                  <c:v>65.469963381928551</c:v>
                </c:pt>
                <c:pt idx="15">
                  <c:v>67.147135737405776</c:v>
                </c:pt>
                <c:pt idx="16">
                  <c:v>68.998178581478498</c:v>
                </c:pt>
              </c:numCache>
            </c:numRef>
          </c:val>
          <c:smooth val="0"/>
        </c:ser>
        <c:dLbls>
          <c:showLegendKey val="0"/>
          <c:showVal val="0"/>
          <c:showCatName val="0"/>
          <c:showSerName val="0"/>
          <c:showPercent val="0"/>
          <c:showBubbleSize val="0"/>
        </c:dLbls>
        <c:marker val="1"/>
        <c:smooth val="0"/>
        <c:axId val="894704256"/>
        <c:axId val="894718336"/>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ChartSupport!$G$132:$W$132</c:f>
              <c:strCache>
                <c:ptCount val="17"/>
                <c:pt idx="0">
                  <c:v>2009</c:v>
                </c:pt>
                <c:pt idx="1">
                  <c:v>2010</c:v>
                </c:pt>
                <c:pt idx="2">
                  <c:v>2011</c:v>
                </c:pt>
                <c:pt idx="3">
                  <c:v>2012</c:v>
                </c:pt>
                <c:pt idx="4">
                  <c:v>2013</c:v>
                </c:pt>
                <c:pt idx="5">
                  <c:v>2014</c:v>
                </c:pt>
                <c:pt idx="6">
                  <c:v>2015</c:v>
                </c:pt>
                <c:pt idx="7">
                  <c:v>2016</c:v>
                </c:pt>
                <c:pt idx="8">
                  <c:v>2017</c:v>
                </c:pt>
                <c:pt idx="9">
                  <c:v>2018E</c:v>
                </c:pt>
                <c:pt idx="10">
                  <c:v>2019E</c:v>
                </c:pt>
                <c:pt idx="11">
                  <c:v>2020E</c:v>
                </c:pt>
                <c:pt idx="12">
                  <c:v>2021E</c:v>
                </c:pt>
                <c:pt idx="13">
                  <c:v>2022E</c:v>
                </c:pt>
                <c:pt idx="14">
                  <c:v>2023E</c:v>
                </c:pt>
                <c:pt idx="15">
                  <c:v>2024E</c:v>
                </c:pt>
                <c:pt idx="16">
                  <c:v>2025E</c:v>
                </c:pt>
              </c:strCache>
            </c:strRef>
          </c:cat>
          <c:val>
            <c:numRef>
              <c:f>ChartSupport!$G$179:$W$179</c:f>
              <c:numCache>
                <c:formatCode>0</c:formatCode>
                <c:ptCount val="17"/>
                <c:pt idx="0">
                  <c:v>18.787500000000001</c:v>
                </c:pt>
                <c:pt idx="1">
                  <c:v>23.440833333333334</c:v>
                </c:pt>
                <c:pt idx="2">
                  <c:v>25.258333333333336</c:v>
                </c:pt>
                <c:pt idx="3">
                  <c:v>20.410833333333333</c:v>
                </c:pt>
                <c:pt idx="4">
                  <c:v>17.066666666666666</c:v>
                </c:pt>
                <c:pt idx="5">
                  <c:v>15.978333333333333</c:v>
                </c:pt>
                <c:pt idx="6">
                  <c:v>13.149166666666668</c:v>
                </c:pt>
                <c:pt idx="7">
                  <c:v>19.252499999999998</c:v>
                </c:pt>
                <c:pt idx="8">
                  <c:v>17.805000000000003</c:v>
                </c:pt>
                <c:pt idx="9">
                  <c:v>16.244658605325153</c:v>
                </c:pt>
                <c:pt idx="10">
                  <c:v>16.31531880717511</c:v>
                </c:pt>
                <c:pt idx="11">
                  <c:v>16.498655235130911</c:v>
                </c:pt>
                <c:pt idx="12">
                  <c:v>19.747444770453257</c:v>
                </c:pt>
                <c:pt idx="13">
                  <c:v>20.93514679550681</c:v>
                </c:pt>
                <c:pt idx="14">
                  <c:v>17.432162450241776</c:v>
                </c:pt>
                <c:pt idx="15">
                  <c:v>15.017906650666538</c:v>
                </c:pt>
                <c:pt idx="16">
                  <c:v>17.055276269110166</c:v>
                </c:pt>
              </c:numCache>
            </c:numRef>
          </c:val>
          <c:smooth val="0"/>
        </c:ser>
        <c:dLbls>
          <c:showLegendKey val="0"/>
          <c:showVal val="0"/>
          <c:showCatName val="0"/>
          <c:showSerName val="0"/>
          <c:showPercent val="0"/>
          <c:showBubbleSize val="0"/>
        </c:dLbls>
        <c:marker val="1"/>
        <c:smooth val="0"/>
        <c:axId val="894720256"/>
        <c:axId val="894730240"/>
      </c:lineChart>
      <c:catAx>
        <c:axId val="894704256"/>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a:pPr>
            <a:endParaRPr lang="en-US"/>
          </a:p>
        </c:txPr>
        <c:crossAx val="894718336"/>
        <c:crosses val="autoZero"/>
        <c:auto val="1"/>
        <c:lblAlgn val="ctr"/>
        <c:lblOffset val="100"/>
        <c:tickLblSkip val="1"/>
        <c:tickMarkSkip val="1"/>
        <c:noMultiLvlLbl val="0"/>
      </c:catAx>
      <c:valAx>
        <c:axId val="894718336"/>
        <c:scaling>
          <c:orientation val="minMax"/>
          <c:min val="0"/>
        </c:scaling>
        <c:delete val="0"/>
        <c:axPos val="l"/>
        <c:title>
          <c:tx>
            <c:rich>
              <a:bodyPr rot="0" vert="horz"/>
              <a:lstStyle/>
              <a:p>
                <a:pPr algn="ctr" rtl="0">
                  <a:defRPr/>
                </a:pPr>
                <a:r>
                  <a:rPr lang="en-US"/>
                  <a:t>US$/ton</a:t>
                </a:r>
              </a:p>
            </c:rich>
          </c:tx>
          <c:layout>
            <c:manualLayout>
              <c:xMode val="edge"/>
              <c:yMode val="edge"/>
              <c:x val="0.1363084268721729"/>
              <c:y val="2.5754633431557251E-2"/>
            </c:manualLayout>
          </c:layout>
          <c:overlay val="0"/>
        </c:title>
        <c:numFmt formatCode="_(* #,##0_);_(* \(#,##0\);_(* &quot;-&quot;??_);_(@_)" sourceLinked="0"/>
        <c:majorTickMark val="out"/>
        <c:minorTickMark val="none"/>
        <c:tickLblPos val="nextTo"/>
        <c:spPr>
          <a:ln w="3175">
            <a:solidFill>
              <a:srgbClr val="808080"/>
            </a:solidFill>
            <a:prstDash val="solid"/>
          </a:ln>
        </c:spPr>
        <c:txPr>
          <a:bodyPr rot="0" vert="horz"/>
          <a:lstStyle/>
          <a:p>
            <a:pPr>
              <a:defRPr/>
            </a:pPr>
            <a:endParaRPr lang="en-US"/>
          </a:p>
        </c:txPr>
        <c:crossAx val="894704256"/>
        <c:crosses val="autoZero"/>
        <c:crossBetween val="midCat"/>
      </c:valAx>
      <c:catAx>
        <c:axId val="894720256"/>
        <c:scaling>
          <c:orientation val="minMax"/>
        </c:scaling>
        <c:delete val="1"/>
        <c:axPos val="b"/>
        <c:majorTickMark val="out"/>
        <c:minorTickMark val="none"/>
        <c:tickLblPos val="nextTo"/>
        <c:crossAx val="894730240"/>
        <c:crosses val="autoZero"/>
        <c:auto val="1"/>
        <c:lblAlgn val="ctr"/>
        <c:lblOffset val="100"/>
        <c:noMultiLvlLbl val="0"/>
      </c:catAx>
      <c:valAx>
        <c:axId val="894730240"/>
        <c:scaling>
          <c:orientation val="minMax"/>
        </c:scaling>
        <c:delete val="0"/>
        <c:axPos val="r"/>
        <c:title>
          <c:tx>
            <c:rich>
              <a:bodyPr rot="0" vert="horz"/>
              <a:lstStyle/>
              <a:p>
                <a:pPr algn="ctr" rtl="0">
                  <a:defRPr/>
                </a:pPr>
                <a:r>
                  <a:rPr lang="en-US"/>
                  <a:t>US$ cents/lb</a:t>
                </a:r>
              </a:p>
            </c:rich>
          </c:tx>
          <c:layout>
            <c:manualLayout>
              <c:xMode val="edge"/>
              <c:yMode val="edge"/>
              <c:x val="0.75531914893617025"/>
              <c:y val="1.7574674331352749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894720256"/>
        <c:crosses val="max"/>
        <c:crossBetween val="midCat"/>
      </c:valAx>
      <c:spPr>
        <a:noFill/>
        <a:ln w="25400">
          <a:noFill/>
        </a:ln>
      </c:spPr>
    </c:plotArea>
    <c:legend>
      <c:legendPos val="b"/>
      <c:legendEntry>
        <c:idx val="1"/>
        <c:delete val="1"/>
      </c:legendEntry>
      <c:layout>
        <c:manualLayout>
          <c:xMode val="edge"/>
          <c:yMode val="edge"/>
          <c:x val="0.14814656167979004"/>
          <c:y val="0.59424710209096199"/>
          <c:w val="0.56912116685586833"/>
          <c:h val="0.20538989022920476"/>
        </c:manualLayout>
      </c:layout>
      <c:overlay val="0"/>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1352283136491E-2"/>
          <c:y val="4.7169956177390976E-2"/>
          <c:w val="0.8179430062961307"/>
          <c:h val="0.77358728130921195"/>
        </c:manualLayout>
      </c:layout>
      <c:lineChart>
        <c:grouping val="standard"/>
        <c:varyColors val="0"/>
        <c:ser>
          <c:idx val="0"/>
          <c:order val="0"/>
          <c:tx>
            <c:v>2009</c:v>
          </c:tx>
          <c:spPr>
            <a:ln w="25400">
              <a:solidFill>
                <a:schemeClr val="bg1">
                  <a:lumMod val="50000"/>
                </a:schemeClr>
              </a:solidFill>
            </a:ln>
          </c:spPr>
          <c:marker>
            <c:symbol val="none"/>
          </c:marker>
          <c:cat>
            <c:strRef>
              <c:f>ChartSupport!$B$337:$E$337</c:f>
              <c:strCache>
                <c:ptCount val="4"/>
                <c:pt idx="0">
                  <c:v>1Q</c:v>
                </c:pt>
                <c:pt idx="1">
                  <c:v>2Q</c:v>
                </c:pt>
                <c:pt idx="2">
                  <c:v>3Q</c:v>
                </c:pt>
                <c:pt idx="3">
                  <c:v>4Q</c:v>
                </c:pt>
              </c:strCache>
            </c:strRef>
          </c:cat>
          <c:val>
            <c:numRef>
              <c:f>ChartSupport!$J$359:$M$359</c:f>
              <c:numCache>
                <c:formatCode>0%</c:formatCode>
                <c:ptCount val="4"/>
                <c:pt idx="0">
                  <c:v>0.34567002694012339</c:v>
                </c:pt>
                <c:pt idx="1">
                  <c:v>0.45220855012274008</c:v>
                </c:pt>
                <c:pt idx="2">
                  <c:v>0.49155405405405406</c:v>
                </c:pt>
                <c:pt idx="3">
                  <c:v>0.41785091559466875</c:v>
                </c:pt>
              </c:numCache>
            </c:numRef>
          </c:val>
          <c:smooth val="0"/>
        </c:ser>
        <c:ser>
          <c:idx val="1"/>
          <c:order val="1"/>
          <c:tx>
            <c:v>2010</c:v>
          </c:tx>
          <c:spPr>
            <a:ln w="25400">
              <a:solidFill>
                <a:schemeClr val="accent2"/>
              </a:solidFill>
            </a:ln>
          </c:spPr>
          <c:marker>
            <c:symbol val="none"/>
          </c:marker>
          <c:cat>
            <c:strRef>
              <c:f>ChartSupport!$B$337:$E$337</c:f>
              <c:strCache>
                <c:ptCount val="4"/>
                <c:pt idx="0">
                  <c:v>1Q</c:v>
                </c:pt>
                <c:pt idx="1">
                  <c:v>2Q</c:v>
                </c:pt>
                <c:pt idx="2">
                  <c:v>3Q</c:v>
                </c:pt>
                <c:pt idx="3">
                  <c:v>4Q</c:v>
                </c:pt>
              </c:strCache>
            </c:strRef>
          </c:cat>
          <c:val>
            <c:numRef>
              <c:f>ChartSupport!$N$359:$Q$359</c:f>
              <c:numCache>
                <c:formatCode>0%</c:formatCode>
                <c:ptCount val="4"/>
                <c:pt idx="0">
                  <c:v>0.36973626727368875</c:v>
                </c:pt>
                <c:pt idx="1">
                  <c:v>0.45096874923593333</c:v>
                </c:pt>
                <c:pt idx="2">
                  <c:v>0.4794713672695638</c:v>
                </c:pt>
                <c:pt idx="3">
                  <c:v>0.53632339740613488</c:v>
                </c:pt>
              </c:numCache>
            </c:numRef>
          </c:val>
          <c:smooth val="0"/>
        </c:ser>
        <c:ser>
          <c:idx val="2"/>
          <c:order val="2"/>
          <c:tx>
            <c:v>2011</c:v>
          </c:tx>
          <c:spPr>
            <a:ln w="25400"/>
          </c:spPr>
          <c:marker>
            <c:symbol val="none"/>
          </c:marker>
          <c:cat>
            <c:strRef>
              <c:f>ChartSupport!$B$337:$E$337</c:f>
              <c:strCache>
                <c:ptCount val="4"/>
                <c:pt idx="0">
                  <c:v>1Q</c:v>
                </c:pt>
                <c:pt idx="1">
                  <c:v>2Q</c:v>
                </c:pt>
                <c:pt idx="2">
                  <c:v>3Q</c:v>
                </c:pt>
                <c:pt idx="3">
                  <c:v>4Q</c:v>
                </c:pt>
              </c:strCache>
            </c:strRef>
          </c:cat>
          <c:val>
            <c:numRef>
              <c:f>ChartSupport!$R$359:$U$359</c:f>
              <c:numCache>
                <c:formatCode>0%</c:formatCode>
                <c:ptCount val="4"/>
                <c:pt idx="0">
                  <c:v>0.56277960140269245</c:v>
                </c:pt>
                <c:pt idx="1">
                  <c:v>0.58596259210277724</c:v>
                </c:pt>
                <c:pt idx="2">
                  <c:v>0.57069064914101231</c:v>
                </c:pt>
                <c:pt idx="3">
                  <c:v>0.52691238326085388</c:v>
                </c:pt>
              </c:numCache>
            </c:numRef>
          </c:val>
          <c:smooth val="0"/>
        </c:ser>
        <c:ser>
          <c:idx val="3"/>
          <c:order val="3"/>
          <c:tx>
            <c:v>2012</c:v>
          </c:tx>
          <c:spPr>
            <a:ln w="25400">
              <a:solidFill>
                <a:schemeClr val="bg2"/>
              </a:solidFill>
            </a:ln>
          </c:spPr>
          <c:marker>
            <c:symbol val="none"/>
          </c:marker>
          <c:cat>
            <c:strRef>
              <c:f>ChartSupport!$B$337:$E$337</c:f>
              <c:strCache>
                <c:ptCount val="4"/>
                <c:pt idx="0">
                  <c:v>1Q</c:v>
                </c:pt>
                <c:pt idx="1">
                  <c:v>2Q</c:v>
                </c:pt>
                <c:pt idx="2">
                  <c:v>3Q</c:v>
                </c:pt>
                <c:pt idx="3">
                  <c:v>4Q</c:v>
                </c:pt>
              </c:strCache>
            </c:strRef>
          </c:cat>
          <c:val>
            <c:numRef>
              <c:f>ChartSupport!$V$359:$Y$359</c:f>
              <c:numCache>
                <c:formatCode>0%</c:formatCode>
                <c:ptCount val="4"/>
                <c:pt idx="0">
                  <c:v>0.55695125065359885</c:v>
                </c:pt>
                <c:pt idx="1">
                  <c:v>0.60613831940962815</c:v>
                </c:pt>
                <c:pt idx="2">
                  <c:v>0.51108955757422825</c:v>
                </c:pt>
                <c:pt idx="3">
                  <c:v>0.42089705247579701</c:v>
                </c:pt>
              </c:numCache>
            </c:numRef>
          </c:val>
          <c:smooth val="0"/>
        </c:ser>
        <c:ser>
          <c:idx val="4"/>
          <c:order val="4"/>
          <c:tx>
            <c:v>2013</c:v>
          </c:tx>
          <c:spPr>
            <a:ln w="25400">
              <a:solidFill>
                <a:srgbClr val="CC6600"/>
              </a:solidFill>
            </a:ln>
          </c:spPr>
          <c:marker>
            <c:symbol val="none"/>
          </c:marker>
          <c:cat>
            <c:strRef>
              <c:f>ChartSupport!$B$337:$E$337</c:f>
              <c:strCache>
                <c:ptCount val="4"/>
                <c:pt idx="0">
                  <c:v>1Q</c:v>
                </c:pt>
                <c:pt idx="1">
                  <c:v>2Q</c:v>
                </c:pt>
                <c:pt idx="2">
                  <c:v>3Q</c:v>
                </c:pt>
                <c:pt idx="3">
                  <c:v>4Q</c:v>
                </c:pt>
              </c:strCache>
            </c:strRef>
          </c:cat>
          <c:val>
            <c:numRef>
              <c:f>ChartSupport!$Z$359:$AC$359</c:f>
              <c:numCache>
                <c:formatCode>0%</c:formatCode>
                <c:ptCount val="4"/>
                <c:pt idx="0">
                  <c:v>0.54960680369118853</c:v>
                </c:pt>
                <c:pt idx="1">
                  <c:v>0.54388723617833179</c:v>
                </c:pt>
                <c:pt idx="2">
                  <c:v>0.5091918281356036</c:v>
                </c:pt>
                <c:pt idx="3">
                  <c:v>0.48810959528296505</c:v>
                </c:pt>
              </c:numCache>
            </c:numRef>
          </c:val>
          <c:smooth val="0"/>
        </c:ser>
        <c:ser>
          <c:idx val="5"/>
          <c:order val="5"/>
          <c:tx>
            <c:v>2014</c:v>
          </c:tx>
          <c:spPr>
            <a:ln w="25400">
              <a:solidFill>
                <a:schemeClr val="accent3">
                  <a:lumMod val="40000"/>
                  <a:lumOff val="60000"/>
                </a:schemeClr>
              </a:solidFill>
            </a:ln>
          </c:spPr>
          <c:marker>
            <c:symbol val="none"/>
          </c:marker>
          <c:cat>
            <c:strRef>
              <c:f>ChartSupport!$B$337:$E$337</c:f>
              <c:strCache>
                <c:ptCount val="4"/>
                <c:pt idx="0">
                  <c:v>1Q</c:v>
                </c:pt>
                <c:pt idx="1">
                  <c:v>2Q</c:v>
                </c:pt>
                <c:pt idx="2">
                  <c:v>3Q</c:v>
                </c:pt>
                <c:pt idx="3">
                  <c:v>4Q</c:v>
                </c:pt>
              </c:strCache>
            </c:strRef>
          </c:cat>
          <c:val>
            <c:numRef>
              <c:f>ChartSupport!$AD$359:$AG$359</c:f>
              <c:numCache>
                <c:formatCode>0%</c:formatCode>
                <c:ptCount val="4"/>
                <c:pt idx="0">
                  <c:v>0.5444835825606309</c:v>
                </c:pt>
                <c:pt idx="1">
                  <c:v>0.49602437127132243</c:v>
                </c:pt>
                <c:pt idx="2">
                  <c:v>0.49376194646102284</c:v>
                </c:pt>
                <c:pt idx="3">
                  <c:v>0.44526308821951821</c:v>
                </c:pt>
              </c:numCache>
            </c:numRef>
          </c:val>
          <c:smooth val="0"/>
        </c:ser>
        <c:ser>
          <c:idx val="6"/>
          <c:order val="6"/>
          <c:tx>
            <c:v>2015</c:v>
          </c:tx>
          <c:spPr>
            <a:ln w="25400">
              <a:solidFill>
                <a:schemeClr val="accent5">
                  <a:lumMod val="60000"/>
                  <a:lumOff val="40000"/>
                </a:schemeClr>
              </a:solidFill>
              <a:prstDash val="solid"/>
            </a:ln>
          </c:spPr>
          <c:marker>
            <c:symbol val="none"/>
          </c:marker>
          <c:cat>
            <c:strRef>
              <c:f>ChartSupport!$B$337:$E$337</c:f>
              <c:strCache>
                <c:ptCount val="4"/>
                <c:pt idx="0">
                  <c:v>1Q</c:v>
                </c:pt>
                <c:pt idx="1">
                  <c:v>2Q</c:v>
                </c:pt>
                <c:pt idx="2">
                  <c:v>3Q</c:v>
                </c:pt>
                <c:pt idx="3">
                  <c:v>4Q</c:v>
                </c:pt>
              </c:strCache>
            </c:strRef>
          </c:cat>
          <c:val>
            <c:numRef>
              <c:f>ChartSupport!$AH$359:$AK$359</c:f>
              <c:numCache>
                <c:formatCode>0%</c:formatCode>
                <c:ptCount val="4"/>
                <c:pt idx="0">
                  <c:v>0.55015912522739252</c:v>
                </c:pt>
                <c:pt idx="1">
                  <c:v>0.5740807515955445</c:v>
                </c:pt>
                <c:pt idx="2">
                  <c:v>0.58554976435373773</c:v>
                </c:pt>
                <c:pt idx="3">
                  <c:v>0.48566414198670038</c:v>
                </c:pt>
              </c:numCache>
            </c:numRef>
          </c:val>
          <c:smooth val="0"/>
        </c:ser>
        <c:ser>
          <c:idx val="8"/>
          <c:order val="7"/>
          <c:tx>
            <c:v>2016</c:v>
          </c:tx>
          <c:spPr>
            <a:ln>
              <a:solidFill>
                <a:schemeClr val="accent1">
                  <a:lumMod val="75000"/>
                </a:schemeClr>
              </a:solidFill>
            </a:ln>
          </c:spPr>
          <c:marker>
            <c:symbol val="none"/>
          </c:marker>
          <c:cat>
            <c:strRef>
              <c:f>ChartSupport!$B$337:$E$337</c:f>
              <c:strCache>
                <c:ptCount val="4"/>
                <c:pt idx="0">
                  <c:v>1Q</c:v>
                </c:pt>
                <c:pt idx="1">
                  <c:v>2Q</c:v>
                </c:pt>
                <c:pt idx="2">
                  <c:v>3Q</c:v>
                </c:pt>
                <c:pt idx="3">
                  <c:v>4Q</c:v>
                </c:pt>
              </c:strCache>
            </c:strRef>
          </c:cat>
          <c:val>
            <c:numRef>
              <c:f>ChartSupport!$AL$359:$AO$359</c:f>
              <c:numCache>
                <c:formatCode>0%</c:formatCode>
                <c:ptCount val="4"/>
                <c:pt idx="0">
                  <c:v>0.53790787373647808</c:v>
                </c:pt>
                <c:pt idx="1">
                  <c:v>0.61302962061638477</c:v>
                </c:pt>
                <c:pt idx="2">
                  <c:v>0.52681791942467926</c:v>
                </c:pt>
                <c:pt idx="3">
                  <c:v>0.51572678045692288</c:v>
                </c:pt>
              </c:numCache>
            </c:numRef>
          </c:val>
          <c:smooth val="0"/>
        </c:ser>
        <c:ser>
          <c:idx val="7"/>
          <c:order val="8"/>
          <c:tx>
            <c:v>2017</c:v>
          </c:tx>
          <c:spPr>
            <a:ln>
              <a:solidFill>
                <a:srgbClr val="FF0000"/>
              </a:solidFill>
              <a:prstDash val="dash"/>
            </a:ln>
          </c:spPr>
          <c:marker>
            <c:symbol val="none"/>
          </c:marker>
          <c:cat>
            <c:strRef>
              <c:f>ChartSupport!$B$337:$E$337</c:f>
              <c:strCache>
                <c:ptCount val="4"/>
                <c:pt idx="0">
                  <c:v>1Q</c:v>
                </c:pt>
                <c:pt idx="1">
                  <c:v>2Q</c:v>
                </c:pt>
                <c:pt idx="2">
                  <c:v>3Q</c:v>
                </c:pt>
                <c:pt idx="3">
                  <c:v>4Q</c:v>
                </c:pt>
              </c:strCache>
            </c:strRef>
          </c:cat>
          <c:val>
            <c:numRef>
              <c:f>ChartSupport!$AP$359:$AS$359</c:f>
              <c:numCache>
                <c:formatCode>0%</c:formatCode>
                <c:ptCount val="4"/>
                <c:pt idx="0">
                  <c:v>0.54106086636588424</c:v>
                </c:pt>
                <c:pt idx="1">
                  <c:v>0.53875300746638466</c:v>
                </c:pt>
                <c:pt idx="2">
                  <c:v>0.51874548800147635</c:v>
                </c:pt>
                <c:pt idx="3">
                  <c:v>0.49676914735710037</c:v>
                </c:pt>
              </c:numCache>
            </c:numRef>
          </c:val>
          <c:smooth val="0"/>
        </c:ser>
        <c:ser>
          <c:idx val="9"/>
          <c:order val="9"/>
          <c:tx>
            <c:v>2018E</c:v>
          </c:tx>
          <c:spPr>
            <a:ln>
              <a:solidFill>
                <a:srgbClr val="00B0F0"/>
              </a:solidFill>
            </a:ln>
          </c:spPr>
          <c:marker>
            <c:symbol val="none"/>
          </c:marker>
          <c:cat>
            <c:strRef>
              <c:f>ChartSupport!$B$337:$E$337</c:f>
              <c:strCache>
                <c:ptCount val="4"/>
                <c:pt idx="0">
                  <c:v>1Q</c:v>
                </c:pt>
                <c:pt idx="1">
                  <c:v>2Q</c:v>
                </c:pt>
                <c:pt idx="2">
                  <c:v>3Q</c:v>
                </c:pt>
                <c:pt idx="3">
                  <c:v>4Q</c:v>
                </c:pt>
              </c:strCache>
            </c:strRef>
          </c:cat>
          <c:val>
            <c:numRef>
              <c:f>ChartSupport!$AT$359:$AW$359</c:f>
              <c:numCache>
                <c:formatCode>0%</c:formatCode>
                <c:ptCount val="4"/>
                <c:pt idx="0">
                  <c:v>0.58779930251481205</c:v>
                </c:pt>
                <c:pt idx="1">
                  <c:v>0.59199254578983229</c:v>
                </c:pt>
                <c:pt idx="2">
                  <c:v>0.55277316046562619</c:v>
                </c:pt>
                <c:pt idx="3">
                  <c:v>0.51770113175910226</c:v>
                </c:pt>
              </c:numCache>
            </c:numRef>
          </c:val>
          <c:smooth val="0"/>
        </c:ser>
        <c:dLbls>
          <c:showLegendKey val="0"/>
          <c:showVal val="0"/>
          <c:showCatName val="0"/>
          <c:showSerName val="0"/>
          <c:showPercent val="0"/>
          <c:showBubbleSize val="0"/>
        </c:dLbls>
        <c:marker val="1"/>
        <c:smooth val="0"/>
        <c:axId val="894786944"/>
        <c:axId val="894788736"/>
      </c:lineChart>
      <c:catAx>
        <c:axId val="894786944"/>
        <c:scaling>
          <c:orientation val="minMax"/>
        </c:scaling>
        <c:delete val="0"/>
        <c:axPos val="b"/>
        <c:numFmt formatCode="mmmm" sourceLinked="0"/>
        <c:majorTickMark val="out"/>
        <c:minorTickMark val="none"/>
        <c:tickLblPos val="nextTo"/>
        <c:spPr>
          <a:ln w="3175">
            <a:solidFill>
              <a:srgbClr val="808080"/>
            </a:solidFill>
            <a:prstDash val="solid"/>
          </a:ln>
        </c:spPr>
        <c:txPr>
          <a:bodyPr rot="0" vert="horz"/>
          <a:lstStyle/>
          <a:p>
            <a:pPr>
              <a:defRPr/>
            </a:pPr>
            <a:endParaRPr lang="en-US"/>
          </a:p>
        </c:txPr>
        <c:crossAx val="894788736"/>
        <c:crosses val="autoZero"/>
        <c:auto val="1"/>
        <c:lblAlgn val="ctr"/>
        <c:lblOffset val="100"/>
        <c:tickMarkSkip val="1"/>
        <c:noMultiLvlLbl val="1"/>
      </c:catAx>
      <c:valAx>
        <c:axId val="894788736"/>
        <c:scaling>
          <c:orientation val="minMax"/>
          <c:max val="0.8"/>
          <c:min val="0.2"/>
        </c:scaling>
        <c:delete val="0"/>
        <c:axPos val="l"/>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4786944"/>
        <c:crosses val="autoZero"/>
        <c:crossBetween val="midCat"/>
      </c:valAx>
      <c:spPr>
        <a:noFill/>
        <a:ln w="25400">
          <a:noFill/>
        </a:ln>
      </c:spPr>
    </c:plotArea>
    <c:legend>
      <c:legendPos val="b"/>
      <c:layout>
        <c:manualLayout>
          <c:xMode val="edge"/>
          <c:yMode val="edge"/>
          <c:x val="0.11056778926159053"/>
          <c:y val="0.8485570844293906"/>
          <c:w val="0.77886442147681889"/>
          <c:h val="0.14279811706758908"/>
        </c:manualLayout>
      </c:layout>
      <c:overlay val="0"/>
      <c:spPr>
        <a:noFill/>
        <a:ln w="25400">
          <a:noFill/>
        </a:ln>
      </c:spPr>
      <c:txPr>
        <a:bodyPr/>
        <a:lstStyle/>
        <a:p>
          <a:pPr>
            <a:defRPr sz="800"/>
          </a:pPr>
          <a:endParaRPr lang="en-US"/>
        </a:p>
      </c:txPr>
    </c:legend>
    <c:plotVisOnly val="0"/>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842105263157901E-2"/>
          <c:y val="4.7022015548490691E-2"/>
          <c:w val="0.80789473684210522"/>
          <c:h val="0.75725658893277314"/>
        </c:manualLayout>
      </c:layout>
      <c:lineChart>
        <c:grouping val="standard"/>
        <c:varyColors val="0"/>
        <c:ser>
          <c:idx val="0"/>
          <c:order val="0"/>
          <c:tx>
            <c:v>2009</c:v>
          </c:tx>
          <c:spPr>
            <a:ln w="25400">
              <a:solidFill>
                <a:schemeClr val="bg1">
                  <a:lumMod val="50000"/>
                </a:schemeClr>
              </a:solidFill>
            </a:ln>
          </c:spPr>
          <c:marker>
            <c:symbol val="none"/>
          </c:marker>
          <c:cat>
            <c:strRef>
              <c:f>ChartSupport!$B$337:$E$337</c:f>
              <c:strCache>
                <c:ptCount val="4"/>
                <c:pt idx="0">
                  <c:v>1Q</c:v>
                </c:pt>
                <c:pt idx="1">
                  <c:v>2Q</c:v>
                </c:pt>
                <c:pt idx="2">
                  <c:v>3Q</c:v>
                </c:pt>
                <c:pt idx="3">
                  <c:v>4Q</c:v>
                </c:pt>
              </c:strCache>
            </c:strRef>
          </c:cat>
          <c:val>
            <c:numRef>
              <c:f>ChartSupport!$J$362:$M$362</c:f>
              <c:numCache>
                <c:formatCode>0%</c:formatCode>
                <c:ptCount val="4"/>
                <c:pt idx="0">
                  <c:v>5.1045016077170359E-2</c:v>
                </c:pt>
                <c:pt idx="1">
                  <c:v>0.21820979553606809</c:v>
                </c:pt>
                <c:pt idx="2">
                  <c:v>0.42922161437576989</c:v>
                </c:pt>
                <c:pt idx="3">
                  <c:v>0.37903449101617159</c:v>
                </c:pt>
              </c:numCache>
            </c:numRef>
          </c:val>
          <c:smooth val="0"/>
        </c:ser>
        <c:ser>
          <c:idx val="1"/>
          <c:order val="1"/>
          <c:tx>
            <c:v>2010</c:v>
          </c:tx>
          <c:spPr>
            <a:ln w="25400">
              <a:solidFill>
                <a:schemeClr val="accent2"/>
              </a:solidFill>
            </a:ln>
          </c:spPr>
          <c:marker>
            <c:symbol val="none"/>
          </c:marker>
          <c:cat>
            <c:strRef>
              <c:f>ChartSupport!$B$337:$E$337</c:f>
              <c:strCache>
                <c:ptCount val="4"/>
                <c:pt idx="0">
                  <c:v>1Q</c:v>
                </c:pt>
                <c:pt idx="1">
                  <c:v>2Q</c:v>
                </c:pt>
                <c:pt idx="2">
                  <c:v>3Q</c:v>
                </c:pt>
                <c:pt idx="3">
                  <c:v>4Q</c:v>
                </c:pt>
              </c:strCache>
            </c:strRef>
          </c:cat>
          <c:val>
            <c:numRef>
              <c:f>ChartSupport!$N$362:$Q$362</c:f>
              <c:numCache>
                <c:formatCode>0%</c:formatCode>
                <c:ptCount val="4"/>
                <c:pt idx="0">
                  <c:v>0.19240302591340733</c:v>
                </c:pt>
                <c:pt idx="1">
                  <c:v>0.30011142275329467</c:v>
                </c:pt>
                <c:pt idx="2">
                  <c:v>0.38493692871047053</c:v>
                </c:pt>
                <c:pt idx="3">
                  <c:v>0.41865962062823425</c:v>
                </c:pt>
              </c:numCache>
            </c:numRef>
          </c:val>
          <c:smooth val="0"/>
        </c:ser>
        <c:ser>
          <c:idx val="2"/>
          <c:order val="2"/>
          <c:tx>
            <c:v>2011</c:v>
          </c:tx>
          <c:spPr>
            <a:ln w="25400">
              <a:solidFill>
                <a:schemeClr val="accent3"/>
              </a:solidFill>
            </a:ln>
          </c:spPr>
          <c:marker>
            <c:symbol val="none"/>
          </c:marker>
          <c:cat>
            <c:strRef>
              <c:f>ChartSupport!$B$337:$E$337</c:f>
              <c:strCache>
                <c:ptCount val="4"/>
                <c:pt idx="0">
                  <c:v>1Q</c:v>
                </c:pt>
                <c:pt idx="1">
                  <c:v>2Q</c:v>
                </c:pt>
                <c:pt idx="2">
                  <c:v>3Q</c:v>
                </c:pt>
                <c:pt idx="3">
                  <c:v>4Q</c:v>
                </c:pt>
              </c:strCache>
            </c:strRef>
          </c:cat>
          <c:val>
            <c:numRef>
              <c:f>ChartSupport!$R$362:$U$362</c:f>
              <c:numCache>
                <c:formatCode>0%</c:formatCode>
                <c:ptCount val="4"/>
                <c:pt idx="0">
                  <c:v>0.44645140496967944</c:v>
                </c:pt>
                <c:pt idx="1">
                  <c:v>0.42949119119591916</c:v>
                </c:pt>
                <c:pt idx="2">
                  <c:v>0.49660376391611255</c:v>
                </c:pt>
                <c:pt idx="3">
                  <c:v>0.35423112568617648</c:v>
                </c:pt>
              </c:numCache>
            </c:numRef>
          </c:val>
          <c:smooth val="0"/>
        </c:ser>
        <c:ser>
          <c:idx val="3"/>
          <c:order val="3"/>
          <c:tx>
            <c:v>2012</c:v>
          </c:tx>
          <c:spPr>
            <a:ln w="25400">
              <a:solidFill>
                <a:schemeClr val="bg2"/>
              </a:solidFill>
            </a:ln>
          </c:spPr>
          <c:marker>
            <c:symbol val="none"/>
          </c:marker>
          <c:cat>
            <c:strRef>
              <c:f>ChartSupport!$B$337:$E$337</c:f>
              <c:strCache>
                <c:ptCount val="4"/>
                <c:pt idx="0">
                  <c:v>1Q</c:v>
                </c:pt>
                <c:pt idx="1">
                  <c:v>2Q</c:v>
                </c:pt>
                <c:pt idx="2">
                  <c:v>3Q</c:v>
                </c:pt>
                <c:pt idx="3">
                  <c:v>4Q</c:v>
                </c:pt>
              </c:strCache>
            </c:strRef>
          </c:cat>
          <c:val>
            <c:numRef>
              <c:f>ChartSupport!$V$362:$Y$362</c:f>
              <c:numCache>
                <c:formatCode>0%</c:formatCode>
                <c:ptCount val="4"/>
                <c:pt idx="0">
                  <c:v>0.44721050135583745</c:v>
                </c:pt>
                <c:pt idx="1">
                  <c:v>0.4665755723120048</c:v>
                </c:pt>
                <c:pt idx="2">
                  <c:v>0.47141527882916984</c:v>
                </c:pt>
                <c:pt idx="3">
                  <c:v>0.27140886107171491</c:v>
                </c:pt>
              </c:numCache>
            </c:numRef>
          </c:val>
          <c:smooth val="0"/>
        </c:ser>
        <c:ser>
          <c:idx val="4"/>
          <c:order val="4"/>
          <c:tx>
            <c:v>2013</c:v>
          </c:tx>
          <c:spPr>
            <a:ln w="25400">
              <a:solidFill>
                <a:srgbClr val="CC6600"/>
              </a:solidFill>
            </a:ln>
          </c:spPr>
          <c:marker>
            <c:symbol val="none"/>
          </c:marker>
          <c:cat>
            <c:strRef>
              <c:f>ChartSupport!$B$337:$E$337</c:f>
              <c:strCache>
                <c:ptCount val="4"/>
                <c:pt idx="0">
                  <c:v>1Q</c:v>
                </c:pt>
                <c:pt idx="1">
                  <c:v>2Q</c:v>
                </c:pt>
                <c:pt idx="2">
                  <c:v>3Q</c:v>
                </c:pt>
                <c:pt idx="3">
                  <c:v>4Q</c:v>
                </c:pt>
              </c:strCache>
            </c:strRef>
          </c:cat>
          <c:val>
            <c:numRef>
              <c:f>ChartSupport!$Z$362:$AC$362</c:f>
              <c:numCache>
                <c:formatCode>0%</c:formatCode>
                <c:ptCount val="4"/>
                <c:pt idx="0">
                  <c:v>0.41125612700774683</c:v>
                </c:pt>
                <c:pt idx="1">
                  <c:v>0.42563990982112332</c:v>
                </c:pt>
                <c:pt idx="2">
                  <c:v>0.39627414437500641</c:v>
                </c:pt>
                <c:pt idx="3">
                  <c:v>0.35433232709199541</c:v>
                </c:pt>
              </c:numCache>
            </c:numRef>
          </c:val>
          <c:smooth val="0"/>
        </c:ser>
        <c:ser>
          <c:idx val="5"/>
          <c:order val="5"/>
          <c:tx>
            <c:v>2014</c:v>
          </c:tx>
          <c:spPr>
            <a:ln w="25400">
              <a:solidFill>
                <a:schemeClr val="accent3">
                  <a:lumMod val="40000"/>
                  <a:lumOff val="60000"/>
                </a:schemeClr>
              </a:solidFill>
            </a:ln>
          </c:spPr>
          <c:marker>
            <c:symbol val="none"/>
          </c:marker>
          <c:cat>
            <c:strRef>
              <c:f>ChartSupport!$B$337:$E$337</c:f>
              <c:strCache>
                <c:ptCount val="4"/>
                <c:pt idx="0">
                  <c:v>1Q</c:v>
                </c:pt>
                <c:pt idx="1">
                  <c:v>2Q</c:v>
                </c:pt>
                <c:pt idx="2">
                  <c:v>3Q</c:v>
                </c:pt>
                <c:pt idx="3">
                  <c:v>4Q</c:v>
                </c:pt>
              </c:strCache>
            </c:strRef>
          </c:cat>
          <c:val>
            <c:numRef>
              <c:f>ChartSupport!$AD$362:$AG$362</c:f>
              <c:numCache>
                <c:formatCode>0%</c:formatCode>
                <c:ptCount val="4"/>
                <c:pt idx="0">
                  <c:v>0.43077240567230674</c:v>
                </c:pt>
                <c:pt idx="1">
                  <c:v>0.38811770334616774</c:v>
                </c:pt>
                <c:pt idx="2">
                  <c:v>0.38455599182697292</c:v>
                </c:pt>
                <c:pt idx="3">
                  <c:v>0.31139428881843678</c:v>
                </c:pt>
              </c:numCache>
            </c:numRef>
          </c:val>
          <c:smooth val="0"/>
        </c:ser>
        <c:ser>
          <c:idx val="6"/>
          <c:order val="6"/>
          <c:tx>
            <c:v>2015</c:v>
          </c:tx>
          <c:spPr>
            <a:ln w="25400">
              <a:solidFill>
                <a:schemeClr val="accent5">
                  <a:lumMod val="60000"/>
                  <a:lumOff val="40000"/>
                </a:schemeClr>
              </a:solidFill>
              <a:prstDash val="solid"/>
            </a:ln>
          </c:spPr>
          <c:marker>
            <c:symbol val="none"/>
          </c:marker>
          <c:cat>
            <c:strRef>
              <c:f>ChartSupport!$B$337:$E$337</c:f>
              <c:strCache>
                <c:ptCount val="4"/>
                <c:pt idx="0">
                  <c:v>1Q</c:v>
                </c:pt>
                <c:pt idx="1">
                  <c:v>2Q</c:v>
                </c:pt>
                <c:pt idx="2">
                  <c:v>3Q</c:v>
                </c:pt>
                <c:pt idx="3">
                  <c:v>4Q</c:v>
                </c:pt>
              </c:strCache>
            </c:strRef>
          </c:cat>
          <c:val>
            <c:numRef>
              <c:f>ChartSupport!$AH$362:$AK$362</c:f>
              <c:numCache>
                <c:formatCode>0%</c:formatCode>
                <c:ptCount val="4"/>
                <c:pt idx="0">
                  <c:v>0.44435571126796847</c:v>
                </c:pt>
                <c:pt idx="1">
                  <c:v>0.60837978589457875</c:v>
                </c:pt>
                <c:pt idx="2">
                  <c:v>0.47654392319829331</c:v>
                </c:pt>
                <c:pt idx="3">
                  <c:v>0.41438952779204841</c:v>
                </c:pt>
              </c:numCache>
            </c:numRef>
          </c:val>
          <c:smooth val="0"/>
        </c:ser>
        <c:ser>
          <c:idx val="8"/>
          <c:order val="7"/>
          <c:tx>
            <c:v>2016</c:v>
          </c:tx>
          <c:spPr>
            <a:ln>
              <a:solidFill>
                <a:schemeClr val="accent1">
                  <a:lumMod val="75000"/>
                </a:schemeClr>
              </a:solidFill>
            </a:ln>
          </c:spPr>
          <c:marker>
            <c:symbol val="none"/>
          </c:marker>
          <c:cat>
            <c:strRef>
              <c:f>ChartSupport!$B$337:$E$337</c:f>
              <c:strCache>
                <c:ptCount val="4"/>
                <c:pt idx="0">
                  <c:v>1Q</c:v>
                </c:pt>
                <c:pt idx="1">
                  <c:v>2Q</c:v>
                </c:pt>
                <c:pt idx="2">
                  <c:v>3Q</c:v>
                </c:pt>
                <c:pt idx="3">
                  <c:v>4Q</c:v>
                </c:pt>
              </c:strCache>
            </c:strRef>
          </c:cat>
          <c:val>
            <c:numRef>
              <c:f>ChartSupport!$AL$362:$AO$362</c:f>
              <c:numCache>
                <c:formatCode>0%</c:formatCode>
                <c:ptCount val="4"/>
                <c:pt idx="0">
                  <c:v>0.43481557013654903</c:v>
                </c:pt>
                <c:pt idx="1">
                  <c:v>0.51327116212338586</c:v>
                </c:pt>
                <c:pt idx="2">
                  <c:v>0.43892641046708647</c:v>
                </c:pt>
                <c:pt idx="3">
                  <c:v>0.42841355402988368</c:v>
                </c:pt>
              </c:numCache>
            </c:numRef>
          </c:val>
          <c:smooth val="0"/>
        </c:ser>
        <c:ser>
          <c:idx val="7"/>
          <c:order val="8"/>
          <c:tx>
            <c:v>2017</c:v>
          </c:tx>
          <c:spPr>
            <a:ln>
              <a:solidFill>
                <a:srgbClr val="FF0000"/>
              </a:solidFill>
              <a:prstDash val="dash"/>
            </a:ln>
          </c:spPr>
          <c:marker>
            <c:symbol val="none"/>
          </c:marker>
          <c:cat>
            <c:strRef>
              <c:f>ChartSupport!$B$337:$E$337</c:f>
              <c:strCache>
                <c:ptCount val="4"/>
                <c:pt idx="0">
                  <c:v>1Q</c:v>
                </c:pt>
                <c:pt idx="1">
                  <c:v>2Q</c:v>
                </c:pt>
                <c:pt idx="2">
                  <c:v>3Q</c:v>
                </c:pt>
                <c:pt idx="3">
                  <c:v>4Q</c:v>
                </c:pt>
              </c:strCache>
            </c:strRef>
          </c:cat>
          <c:val>
            <c:numRef>
              <c:f>ChartSupport!$AP$362:$AS$362</c:f>
              <c:numCache>
                <c:formatCode>0%</c:formatCode>
                <c:ptCount val="4"/>
                <c:pt idx="0">
                  <c:v>0.43304575032972797</c:v>
                </c:pt>
                <c:pt idx="1">
                  <c:v>0.43794370050535097</c:v>
                </c:pt>
                <c:pt idx="2">
                  <c:v>0.43416417432462501</c:v>
                </c:pt>
                <c:pt idx="3">
                  <c:v>0.58818850047551752</c:v>
                </c:pt>
              </c:numCache>
            </c:numRef>
          </c:val>
          <c:smooth val="0"/>
        </c:ser>
        <c:ser>
          <c:idx val="9"/>
          <c:order val="9"/>
          <c:tx>
            <c:v>2018E</c:v>
          </c:tx>
          <c:spPr>
            <a:ln>
              <a:solidFill>
                <a:srgbClr val="00B0F0"/>
              </a:solidFill>
            </a:ln>
          </c:spPr>
          <c:marker>
            <c:symbol val="none"/>
          </c:marker>
          <c:cat>
            <c:strRef>
              <c:f>ChartSupport!$B$337:$E$337</c:f>
              <c:strCache>
                <c:ptCount val="4"/>
                <c:pt idx="0">
                  <c:v>1Q</c:v>
                </c:pt>
                <c:pt idx="1">
                  <c:v>2Q</c:v>
                </c:pt>
                <c:pt idx="2">
                  <c:v>3Q</c:v>
                </c:pt>
                <c:pt idx="3">
                  <c:v>4Q</c:v>
                </c:pt>
              </c:strCache>
            </c:strRef>
          </c:cat>
          <c:val>
            <c:numRef>
              <c:f>ChartSupport!$AT$362:$AW$362</c:f>
              <c:numCache>
                <c:formatCode>0%</c:formatCode>
                <c:ptCount val="4"/>
                <c:pt idx="0">
                  <c:v>0.49565518183731833</c:v>
                </c:pt>
                <c:pt idx="1">
                  <c:v>0.51840912246703552</c:v>
                </c:pt>
                <c:pt idx="2">
                  <c:v>0.47211659030937869</c:v>
                </c:pt>
                <c:pt idx="3">
                  <c:v>0.44427988768686105</c:v>
                </c:pt>
              </c:numCache>
            </c:numRef>
          </c:val>
          <c:smooth val="0"/>
        </c:ser>
        <c:dLbls>
          <c:showLegendKey val="0"/>
          <c:showVal val="0"/>
          <c:showCatName val="0"/>
          <c:showSerName val="0"/>
          <c:showPercent val="0"/>
          <c:showBubbleSize val="0"/>
        </c:dLbls>
        <c:marker val="1"/>
        <c:smooth val="0"/>
        <c:axId val="894853504"/>
        <c:axId val="894855040"/>
      </c:lineChart>
      <c:catAx>
        <c:axId val="894853504"/>
        <c:scaling>
          <c:orientation val="minMax"/>
        </c:scaling>
        <c:delete val="0"/>
        <c:axPos val="b"/>
        <c:numFmt formatCode="mmmm" sourceLinked="0"/>
        <c:majorTickMark val="out"/>
        <c:minorTickMark val="none"/>
        <c:tickLblPos val="low"/>
        <c:spPr>
          <a:ln w="3175">
            <a:solidFill>
              <a:srgbClr val="808080"/>
            </a:solidFill>
            <a:prstDash val="solid"/>
          </a:ln>
        </c:spPr>
        <c:txPr>
          <a:bodyPr rot="0" vert="horz"/>
          <a:lstStyle/>
          <a:p>
            <a:pPr>
              <a:defRPr/>
            </a:pPr>
            <a:endParaRPr lang="en-US"/>
          </a:p>
        </c:txPr>
        <c:crossAx val="894855040"/>
        <c:crosses val="autoZero"/>
        <c:auto val="1"/>
        <c:lblAlgn val="ctr"/>
        <c:lblOffset val="100"/>
        <c:tickMarkSkip val="1"/>
        <c:noMultiLvlLbl val="1"/>
      </c:catAx>
      <c:valAx>
        <c:axId val="894855040"/>
        <c:scaling>
          <c:orientation val="minMax"/>
        </c:scaling>
        <c:delete val="0"/>
        <c:axPos val="l"/>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4853504"/>
        <c:crosses val="autoZero"/>
        <c:crossBetween val="midCat"/>
      </c:valAx>
      <c:spPr>
        <a:noFill/>
        <a:ln w="25400">
          <a:noFill/>
        </a:ln>
      </c:spPr>
    </c:plotArea>
    <c:legend>
      <c:legendPos val="b"/>
      <c:layout>
        <c:manualLayout>
          <c:xMode val="edge"/>
          <c:yMode val="edge"/>
          <c:x val="0.11769564000941779"/>
          <c:y val="0.82750428468491455"/>
          <c:w val="0.77886420290778291"/>
          <c:h val="0.1552619866011152"/>
        </c:manualLayout>
      </c:layout>
      <c:overlay val="0"/>
      <c:spPr>
        <a:noFill/>
        <a:ln w="25400">
          <a:noFill/>
        </a:ln>
      </c:spPr>
      <c:txPr>
        <a:bodyPr/>
        <a:lstStyle/>
        <a:p>
          <a:pPr>
            <a:defRPr sz="800"/>
          </a:pPr>
          <a:endParaRPr lang="en-US"/>
        </a:p>
      </c:txPr>
    </c:legend>
    <c:plotVisOnly val="0"/>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1352283136491E-2"/>
          <c:y val="4.7169956177390976E-2"/>
          <c:w val="0.82585858377641586"/>
          <c:h val="0.77358728130921195"/>
        </c:manualLayout>
      </c:layout>
      <c:lineChart>
        <c:grouping val="standard"/>
        <c:varyColors val="0"/>
        <c:ser>
          <c:idx val="0"/>
          <c:order val="0"/>
          <c:tx>
            <c:v>2009</c:v>
          </c:tx>
          <c:spPr>
            <a:ln w="25400">
              <a:solidFill>
                <a:schemeClr val="bg1">
                  <a:lumMod val="50000"/>
                </a:schemeClr>
              </a:solidFill>
            </a:ln>
          </c:spPr>
          <c:marker>
            <c:symbol val="none"/>
          </c:marker>
          <c:cat>
            <c:strRef>
              <c:f>ChartSupport!$B$337:$E$337</c:f>
              <c:strCache>
                <c:ptCount val="4"/>
                <c:pt idx="0">
                  <c:v>1Q</c:v>
                </c:pt>
                <c:pt idx="1">
                  <c:v>2Q</c:v>
                </c:pt>
                <c:pt idx="2">
                  <c:v>3Q</c:v>
                </c:pt>
                <c:pt idx="3">
                  <c:v>4Q</c:v>
                </c:pt>
              </c:strCache>
            </c:strRef>
          </c:cat>
          <c:val>
            <c:numRef>
              <c:f>ChartSupport!$J$364:$M$364</c:f>
              <c:numCache>
                <c:formatCode>#,##0.0_);\(#,##0.0\)</c:formatCode>
                <c:ptCount val="4"/>
                <c:pt idx="0">
                  <c:v>0</c:v>
                </c:pt>
                <c:pt idx="1">
                  <c:v>0</c:v>
                </c:pt>
                <c:pt idx="2">
                  <c:v>0</c:v>
                </c:pt>
                <c:pt idx="3">
                  <c:v>0</c:v>
                </c:pt>
              </c:numCache>
            </c:numRef>
          </c:val>
          <c:smooth val="0"/>
        </c:ser>
        <c:ser>
          <c:idx val="1"/>
          <c:order val="1"/>
          <c:tx>
            <c:v>2010</c:v>
          </c:tx>
          <c:spPr>
            <a:ln w="25400"/>
          </c:spPr>
          <c:marker>
            <c:symbol val="none"/>
          </c:marker>
          <c:cat>
            <c:strRef>
              <c:f>ChartSupport!$B$337:$E$337</c:f>
              <c:strCache>
                <c:ptCount val="4"/>
                <c:pt idx="0">
                  <c:v>1Q</c:v>
                </c:pt>
                <c:pt idx="1">
                  <c:v>2Q</c:v>
                </c:pt>
                <c:pt idx="2">
                  <c:v>3Q</c:v>
                </c:pt>
                <c:pt idx="3">
                  <c:v>4Q</c:v>
                </c:pt>
              </c:strCache>
            </c:strRef>
          </c:cat>
          <c:val>
            <c:numRef>
              <c:f>ChartSupport!$N$364:$Q$364</c:f>
              <c:numCache>
                <c:formatCode>#,##0.0_);\(#,##0.0\)</c:formatCode>
                <c:ptCount val="4"/>
                <c:pt idx="0">
                  <c:v>0.25612922090004503</c:v>
                </c:pt>
                <c:pt idx="1">
                  <c:v>0.17941538706904958</c:v>
                </c:pt>
                <c:pt idx="2">
                  <c:v>0.20503096729605422</c:v>
                </c:pt>
                <c:pt idx="3">
                  <c:v>0.22838713107273562</c:v>
                </c:pt>
              </c:numCache>
            </c:numRef>
          </c:val>
          <c:smooth val="0"/>
        </c:ser>
        <c:ser>
          <c:idx val="2"/>
          <c:order val="2"/>
          <c:tx>
            <c:v>2011</c:v>
          </c:tx>
          <c:spPr>
            <a:ln w="25400">
              <a:solidFill>
                <a:schemeClr val="accent3"/>
              </a:solidFill>
            </a:ln>
          </c:spPr>
          <c:marker>
            <c:symbol val="none"/>
          </c:marker>
          <c:cat>
            <c:strRef>
              <c:f>ChartSupport!$B$337:$E$337</c:f>
              <c:strCache>
                <c:ptCount val="4"/>
                <c:pt idx="0">
                  <c:v>1Q</c:v>
                </c:pt>
                <c:pt idx="1">
                  <c:v>2Q</c:v>
                </c:pt>
                <c:pt idx="2">
                  <c:v>3Q</c:v>
                </c:pt>
                <c:pt idx="3">
                  <c:v>4Q</c:v>
                </c:pt>
              </c:strCache>
            </c:strRef>
          </c:cat>
          <c:val>
            <c:numRef>
              <c:f>ChartSupport!$R$364:$U$364</c:f>
              <c:numCache>
                <c:formatCode>#,##0.0_);\(#,##0.0\)</c:formatCode>
                <c:ptCount val="4"/>
                <c:pt idx="0">
                  <c:v>0.16898662957088767</c:v>
                </c:pt>
                <c:pt idx="1">
                  <c:v>0.36926839209292861</c:v>
                </c:pt>
                <c:pt idx="2">
                  <c:v>0.61726371377180755</c:v>
                </c:pt>
                <c:pt idx="3">
                  <c:v>0.10524450430175114</c:v>
                </c:pt>
              </c:numCache>
            </c:numRef>
          </c:val>
          <c:smooth val="0"/>
        </c:ser>
        <c:ser>
          <c:idx val="3"/>
          <c:order val="3"/>
          <c:tx>
            <c:v>2012</c:v>
          </c:tx>
          <c:spPr>
            <a:ln w="15875">
              <a:solidFill>
                <a:schemeClr val="bg2"/>
              </a:solidFill>
            </a:ln>
          </c:spPr>
          <c:marker>
            <c:symbol val="none"/>
          </c:marker>
          <c:cat>
            <c:strRef>
              <c:f>ChartSupport!$B$337:$E$337</c:f>
              <c:strCache>
                <c:ptCount val="4"/>
                <c:pt idx="0">
                  <c:v>1Q</c:v>
                </c:pt>
                <c:pt idx="1">
                  <c:v>2Q</c:v>
                </c:pt>
                <c:pt idx="2">
                  <c:v>3Q</c:v>
                </c:pt>
                <c:pt idx="3">
                  <c:v>4Q</c:v>
                </c:pt>
              </c:strCache>
            </c:strRef>
          </c:cat>
          <c:val>
            <c:numRef>
              <c:f>ChartSupport!$V$364:$Y$364</c:f>
              <c:numCache>
                <c:formatCode>#,##0.0_);\(#,##0.0\)</c:formatCode>
                <c:ptCount val="4"/>
                <c:pt idx="0">
                  <c:v>0.33637837694154787</c:v>
                </c:pt>
                <c:pt idx="1">
                  <c:v>0.43121184465847334</c:v>
                </c:pt>
                <c:pt idx="2">
                  <c:v>0.4914242672633421</c:v>
                </c:pt>
                <c:pt idx="3">
                  <c:v>-0.13722595375850663</c:v>
                </c:pt>
              </c:numCache>
            </c:numRef>
          </c:val>
          <c:smooth val="0"/>
        </c:ser>
        <c:ser>
          <c:idx val="4"/>
          <c:order val="4"/>
          <c:tx>
            <c:v>2013</c:v>
          </c:tx>
          <c:spPr>
            <a:ln w="25400">
              <a:solidFill>
                <a:srgbClr val="CC6600"/>
              </a:solidFill>
            </a:ln>
          </c:spPr>
          <c:marker>
            <c:symbol val="none"/>
          </c:marker>
          <c:cat>
            <c:strRef>
              <c:f>ChartSupport!$B$337:$E$337</c:f>
              <c:strCache>
                <c:ptCount val="4"/>
                <c:pt idx="0">
                  <c:v>1Q</c:v>
                </c:pt>
                <c:pt idx="1">
                  <c:v>2Q</c:v>
                </c:pt>
                <c:pt idx="2">
                  <c:v>3Q</c:v>
                </c:pt>
                <c:pt idx="3">
                  <c:v>4Q</c:v>
                </c:pt>
              </c:strCache>
            </c:strRef>
          </c:cat>
          <c:val>
            <c:numRef>
              <c:f>ChartSupport!$Z$364:$AC$364</c:f>
              <c:numCache>
                <c:formatCode>#,##0.0_);\(#,##0.0\)</c:formatCode>
                <c:ptCount val="4"/>
                <c:pt idx="0">
                  <c:v>2.1140596523980992E-2</c:v>
                </c:pt>
                <c:pt idx="1">
                  <c:v>0.45015369537131927</c:v>
                </c:pt>
                <c:pt idx="2">
                  <c:v>6.5141645205272103E-2</c:v>
                </c:pt>
                <c:pt idx="3">
                  <c:v>0.11352314752929597</c:v>
                </c:pt>
              </c:numCache>
            </c:numRef>
          </c:val>
          <c:smooth val="0"/>
        </c:ser>
        <c:ser>
          <c:idx val="5"/>
          <c:order val="5"/>
          <c:tx>
            <c:v>2014</c:v>
          </c:tx>
          <c:spPr>
            <a:ln w="25400">
              <a:solidFill>
                <a:schemeClr val="accent3">
                  <a:lumMod val="40000"/>
                  <a:lumOff val="60000"/>
                </a:schemeClr>
              </a:solidFill>
            </a:ln>
          </c:spPr>
          <c:marker>
            <c:symbol val="none"/>
          </c:marker>
          <c:cat>
            <c:strRef>
              <c:f>ChartSupport!$B$337:$E$337</c:f>
              <c:strCache>
                <c:ptCount val="4"/>
                <c:pt idx="0">
                  <c:v>1Q</c:v>
                </c:pt>
                <c:pt idx="1">
                  <c:v>2Q</c:v>
                </c:pt>
                <c:pt idx="2">
                  <c:v>3Q</c:v>
                </c:pt>
                <c:pt idx="3">
                  <c:v>4Q</c:v>
                </c:pt>
              </c:strCache>
            </c:strRef>
          </c:cat>
          <c:val>
            <c:numRef>
              <c:f>ChartSupport!$AD$364:$AG$364</c:f>
              <c:numCache>
                <c:formatCode>#,##0.0_);\(#,##0.0\)</c:formatCode>
                <c:ptCount val="4"/>
                <c:pt idx="0">
                  <c:v>0.3094586767654266</c:v>
                </c:pt>
                <c:pt idx="1">
                  <c:v>0.54250532374613547</c:v>
                </c:pt>
                <c:pt idx="2">
                  <c:v>0.29366087061119228</c:v>
                </c:pt>
                <c:pt idx="3">
                  <c:v>5.7271921344660325E-2</c:v>
                </c:pt>
              </c:numCache>
            </c:numRef>
          </c:val>
          <c:smooth val="0"/>
        </c:ser>
        <c:ser>
          <c:idx val="6"/>
          <c:order val="6"/>
          <c:tx>
            <c:v>2015</c:v>
          </c:tx>
          <c:spPr>
            <a:ln w="25400">
              <a:solidFill>
                <a:schemeClr val="accent5">
                  <a:lumMod val="60000"/>
                  <a:lumOff val="40000"/>
                </a:schemeClr>
              </a:solidFill>
              <a:prstDash val="solid"/>
            </a:ln>
          </c:spPr>
          <c:marker>
            <c:symbol val="none"/>
          </c:marker>
          <c:cat>
            <c:strRef>
              <c:f>ChartSupport!$B$337:$E$337</c:f>
              <c:strCache>
                <c:ptCount val="4"/>
                <c:pt idx="0">
                  <c:v>1Q</c:v>
                </c:pt>
                <c:pt idx="1">
                  <c:v>2Q</c:v>
                </c:pt>
                <c:pt idx="2">
                  <c:v>3Q</c:v>
                </c:pt>
                <c:pt idx="3">
                  <c:v>4Q</c:v>
                </c:pt>
              </c:strCache>
            </c:strRef>
          </c:cat>
          <c:val>
            <c:numRef>
              <c:f>ChartSupport!$AH$364:$AK$364</c:f>
              <c:numCache>
                <c:formatCode>#,##0.0_);\(#,##0.0\)</c:formatCode>
                <c:ptCount val="4"/>
                <c:pt idx="0">
                  <c:v>0.54074318127176102</c:v>
                </c:pt>
                <c:pt idx="1">
                  <c:v>1.0253530652380913</c:v>
                </c:pt>
                <c:pt idx="2">
                  <c:v>0.47586458212974714</c:v>
                </c:pt>
                <c:pt idx="3">
                  <c:v>0.25122961285236928</c:v>
                </c:pt>
              </c:numCache>
            </c:numRef>
          </c:val>
          <c:smooth val="0"/>
        </c:ser>
        <c:ser>
          <c:idx val="7"/>
          <c:order val="7"/>
          <c:tx>
            <c:v>zeroline</c:v>
          </c:tx>
          <c:spPr>
            <a:ln w="3175">
              <a:solidFill>
                <a:schemeClr val="bg1">
                  <a:lumMod val="50000"/>
                </a:schemeClr>
              </a:solidFill>
            </a:ln>
          </c:spPr>
          <c:marker>
            <c:symbol val="none"/>
          </c:marker>
          <c:cat>
            <c:strRef>
              <c:f>ChartSupport!$B$337:$E$337</c:f>
              <c:strCache>
                <c:ptCount val="4"/>
                <c:pt idx="0">
                  <c:v>1Q</c:v>
                </c:pt>
                <c:pt idx="1">
                  <c:v>2Q</c:v>
                </c:pt>
                <c:pt idx="2">
                  <c:v>3Q</c:v>
                </c:pt>
                <c:pt idx="3">
                  <c:v>4Q</c:v>
                </c:pt>
              </c:strCache>
            </c:strRef>
          </c:cat>
          <c:val>
            <c:numRef>
              <c:f>ChartSupport!$B$421:$E$421</c:f>
              <c:numCache>
                <c:formatCode>0</c:formatCode>
                <c:ptCount val="4"/>
                <c:pt idx="0">
                  <c:v>0</c:v>
                </c:pt>
                <c:pt idx="1">
                  <c:v>0</c:v>
                </c:pt>
                <c:pt idx="2">
                  <c:v>0</c:v>
                </c:pt>
                <c:pt idx="3">
                  <c:v>0</c:v>
                </c:pt>
              </c:numCache>
            </c:numRef>
          </c:val>
          <c:smooth val="0"/>
        </c:ser>
        <c:ser>
          <c:idx val="9"/>
          <c:order val="8"/>
          <c:tx>
            <c:v>2016</c:v>
          </c:tx>
          <c:spPr>
            <a:ln>
              <a:solidFill>
                <a:schemeClr val="accent1">
                  <a:lumMod val="75000"/>
                </a:schemeClr>
              </a:solidFill>
            </a:ln>
          </c:spPr>
          <c:marker>
            <c:symbol val="none"/>
          </c:marker>
          <c:cat>
            <c:strRef>
              <c:f>ChartSupport!$B$337:$E$337</c:f>
              <c:strCache>
                <c:ptCount val="4"/>
                <c:pt idx="0">
                  <c:v>1Q</c:v>
                </c:pt>
                <c:pt idx="1">
                  <c:v>2Q</c:v>
                </c:pt>
                <c:pt idx="2">
                  <c:v>3Q</c:v>
                </c:pt>
                <c:pt idx="3">
                  <c:v>4Q</c:v>
                </c:pt>
              </c:strCache>
            </c:strRef>
          </c:cat>
          <c:val>
            <c:numRef>
              <c:f>ChartSupport!$AL$364:$AO$364</c:f>
              <c:numCache>
                <c:formatCode>#,##0.0_);\(#,##0.0\)</c:formatCode>
                <c:ptCount val="4"/>
                <c:pt idx="0">
                  <c:v>0.14678137683265916</c:v>
                </c:pt>
                <c:pt idx="1">
                  <c:v>0.18624523970648688</c:v>
                </c:pt>
                <c:pt idx="2">
                  <c:v>0.67168827726359015</c:v>
                </c:pt>
                <c:pt idx="3">
                  <c:v>0.30620686609025932</c:v>
                </c:pt>
              </c:numCache>
            </c:numRef>
          </c:val>
          <c:smooth val="0"/>
        </c:ser>
        <c:ser>
          <c:idx val="8"/>
          <c:order val="9"/>
          <c:tx>
            <c:v>2017</c:v>
          </c:tx>
          <c:spPr>
            <a:ln>
              <a:solidFill>
                <a:srgbClr val="FF0000"/>
              </a:solidFill>
              <a:prstDash val="dash"/>
            </a:ln>
          </c:spPr>
          <c:marker>
            <c:symbol val="none"/>
          </c:marker>
          <c:cat>
            <c:strRef>
              <c:f>ChartSupport!$B$337:$E$337</c:f>
              <c:strCache>
                <c:ptCount val="4"/>
                <c:pt idx="0">
                  <c:v>1Q</c:v>
                </c:pt>
                <c:pt idx="1">
                  <c:v>2Q</c:v>
                </c:pt>
                <c:pt idx="2">
                  <c:v>3Q</c:v>
                </c:pt>
                <c:pt idx="3">
                  <c:v>4Q</c:v>
                </c:pt>
              </c:strCache>
            </c:strRef>
          </c:cat>
          <c:val>
            <c:numRef>
              <c:f>ChartSupport!$AP$364:$AS$364</c:f>
              <c:numCache>
                <c:formatCode>#,##0.0_);\(#,##0.0\)</c:formatCode>
                <c:ptCount val="4"/>
                <c:pt idx="0">
                  <c:v>0.11695352992163605</c:v>
                </c:pt>
                <c:pt idx="1">
                  <c:v>0.30521108296277916</c:v>
                </c:pt>
                <c:pt idx="2">
                  <c:v>0.2476564976359939</c:v>
                </c:pt>
                <c:pt idx="3">
                  <c:v>0.35317198657579213</c:v>
                </c:pt>
              </c:numCache>
            </c:numRef>
          </c:val>
          <c:smooth val="0"/>
        </c:ser>
        <c:ser>
          <c:idx val="10"/>
          <c:order val="10"/>
          <c:tx>
            <c:v>2018E</c:v>
          </c:tx>
          <c:spPr>
            <a:ln>
              <a:solidFill>
                <a:schemeClr val="accent1"/>
              </a:solidFill>
            </a:ln>
          </c:spPr>
          <c:marker>
            <c:symbol val="none"/>
          </c:marker>
          <c:cat>
            <c:strRef>
              <c:f>ChartSupport!$B$337:$E$337</c:f>
              <c:strCache>
                <c:ptCount val="4"/>
                <c:pt idx="0">
                  <c:v>1Q</c:v>
                </c:pt>
                <c:pt idx="1">
                  <c:v>2Q</c:v>
                </c:pt>
                <c:pt idx="2">
                  <c:v>3Q</c:v>
                </c:pt>
                <c:pt idx="3">
                  <c:v>4Q</c:v>
                </c:pt>
              </c:strCache>
            </c:strRef>
          </c:cat>
          <c:val>
            <c:numRef>
              <c:f>ChartSupport!$AT$364:$AW$364</c:f>
              <c:numCache>
                <c:formatCode>#,##0.0_);\(#,##0.0\)</c:formatCode>
                <c:ptCount val="4"/>
                <c:pt idx="0">
                  <c:v>0.34706986357508124</c:v>
                </c:pt>
                <c:pt idx="1">
                  <c:v>0.50078827491887579</c:v>
                </c:pt>
                <c:pt idx="2">
                  <c:v>0.32238176951291697</c:v>
                </c:pt>
                <c:pt idx="3">
                  <c:v>0.38702265622407106</c:v>
                </c:pt>
              </c:numCache>
            </c:numRef>
          </c:val>
          <c:smooth val="0"/>
        </c:ser>
        <c:dLbls>
          <c:showLegendKey val="0"/>
          <c:showVal val="0"/>
          <c:showCatName val="0"/>
          <c:showSerName val="0"/>
          <c:showPercent val="0"/>
          <c:showBubbleSize val="0"/>
        </c:dLbls>
        <c:marker val="1"/>
        <c:smooth val="0"/>
        <c:axId val="894923904"/>
        <c:axId val="894925440"/>
      </c:lineChart>
      <c:catAx>
        <c:axId val="894923904"/>
        <c:scaling>
          <c:orientation val="minMax"/>
        </c:scaling>
        <c:delete val="0"/>
        <c:axPos val="b"/>
        <c:numFmt formatCode="mmmm" sourceLinked="0"/>
        <c:majorTickMark val="out"/>
        <c:minorTickMark val="none"/>
        <c:tickLblPos val="low"/>
        <c:spPr>
          <a:ln w="3175">
            <a:solidFill>
              <a:srgbClr val="808080"/>
            </a:solidFill>
            <a:prstDash val="solid"/>
          </a:ln>
        </c:spPr>
        <c:txPr>
          <a:bodyPr rot="0" vert="horz"/>
          <a:lstStyle/>
          <a:p>
            <a:pPr>
              <a:defRPr/>
            </a:pPr>
            <a:endParaRPr lang="en-US"/>
          </a:p>
        </c:txPr>
        <c:crossAx val="894925440"/>
        <c:crossesAt val="-0.60000000000000009"/>
        <c:auto val="1"/>
        <c:lblAlgn val="ctr"/>
        <c:lblOffset val="100"/>
        <c:tickMarkSkip val="1"/>
        <c:noMultiLvlLbl val="1"/>
      </c:catAx>
      <c:valAx>
        <c:axId val="894925440"/>
        <c:scaling>
          <c:orientation val="minMax"/>
        </c:scaling>
        <c:delete val="0"/>
        <c:axPos val="l"/>
        <c:numFmt formatCode="#,##0.00" sourceLinked="0"/>
        <c:majorTickMark val="out"/>
        <c:minorTickMark val="none"/>
        <c:tickLblPos val="nextTo"/>
        <c:spPr>
          <a:ln w="3175">
            <a:solidFill>
              <a:srgbClr val="808080"/>
            </a:solidFill>
            <a:prstDash val="solid"/>
          </a:ln>
        </c:spPr>
        <c:txPr>
          <a:bodyPr rot="0" vert="horz"/>
          <a:lstStyle/>
          <a:p>
            <a:pPr>
              <a:defRPr/>
            </a:pPr>
            <a:endParaRPr lang="en-US"/>
          </a:p>
        </c:txPr>
        <c:crossAx val="894923904"/>
        <c:crosses val="autoZero"/>
        <c:crossBetween val="midCat"/>
      </c:valAx>
      <c:spPr>
        <a:noFill/>
        <a:ln w="25400">
          <a:noFill/>
        </a:ln>
      </c:spPr>
    </c:plotArea>
    <c:legend>
      <c:legendPos val="b"/>
      <c:legendEntry>
        <c:idx val="7"/>
        <c:delete val="1"/>
      </c:legendEntry>
      <c:layout>
        <c:manualLayout>
          <c:xMode val="edge"/>
          <c:yMode val="edge"/>
          <c:x val="0.11148402449693788"/>
          <c:y val="0.84051668069793162"/>
          <c:w val="0.77703167104111981"/>
          <c:h val="0.13432608659766584"/>
        </c:manualLayout>
      </c:layout>
      <c:overlay val="0"/>
      <c:spPr>
        <a:noFill/>
        <a:ln w="25400">
          <a:noFill/>
        </a:ln>
      </c:spPr>
      <c:txPr>
        <a:bodyPr/>
        <a:lstStyle/>
        <a:p>
          <a:pPr>
            <a:defRPr sz="800"/>
          </a:pPr>
          <a:endParaRPr lang="en-US"/>
        </a:p>
      </c:txPr>
    </c:legend>
    <c:plotVisOnly val="0"/>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387544977535202E-2"/>
          <c:y val="4.6729114124300662E-2"/>
          <c:w val="0.78534131797759277"/>
          <c:h val="0.77570329446339092"/>
        </c:manualLayout>
      </c:layout>
      <c:lineChart>
        <c:grouping val="standard"/>
        <c:varyColors val="0"/>
        <c:ser>
          <c:idx val="0"/>
          <c:order val="0"/>
          <c:tx>
            <c:v>2009</c:v>
          </c:tx>
          <c:spPr>
            <a:ln w="25400">
              <a:solidFill>
                <a:schemeClr val="bg1">
                  <a:lumMod val="50000"/>
                </a:schemeClr>
              </a:solidFill>
            </a:ln>
          </c:spPr>
          <c:marker>
            <c:symbol val="none"/>
          </c:marker>
          <c:cat>
            <c:strRef>
              <c:f>ChartSupport!$B$337:$E$337</c:f>
              <c:strCache>
                <c:ptCount val="4"/>
                <c:pt idx="0">
                  <c:v>1Q</c:v>
                </c:pt>
                <c:pt idx="1">
                  <c:v>2Q</c:v>
                </c:pt>
                <c:pt idx="2">
                  <c:v>3Q</c:v>
                </c:pt>
                <c:pt idx="3">
                  <c:v>4Q</c:v>
                </c:pt>
              </c:strCache>
            </c:strRef>
          </c:cat>
          <c:val>
            <c:numRef>
              <c:f>ChartSupport!$J$371:$M$371</c:f>
              <c:numCache>
                <c:formatCode>#,##0_);\(#,##0\)</c:formatCode>
                <c:ptCount val="4"/>
                <c:pt idx="0">
                  <c:v>690.44399999999996</c:v>
                </c:pt>
                <c:pt idx="1">
                  <c:v>854.36599999999999</c:v>
                </c:pt>
                <c:pt idx="2">
                  <c:v>1009.9390000000001</c:v>
                </c:pt>
                <c:pt idx="3">
                  <c:v>941.69699999999978</c:v>
                </c:pt>
              </c:numCache>
            </c:numRef>
          </c:val>
          <c:smooth val="0"/>
        </c:ser>
        <c:ser>
          <c:idx val="1"/>
          <c:order val="1"/>
          <c:tx>
            <c:v>2010</c:v>
          </c:tx>
          <c:spPr>
            <a:ln w="25400">
              <a:solidFill>
                <a:schemeClr val="accent2"/>
              </a:solidFill>
            </a:ln>
          </c:spPr>
          <c:marker>
            <c:symbol val="none"/>
          </c:marker>
          <c:cat>
            <c:strRef>
              <c:f>ChartSupport!$B$337:$E$337</c:f>
              <c:strCache>
                <c:ptCount val="4"/>
                <c:pt idx="0">
                  <c:v>1Q</c:v>
                </c:pt>
                <c:pt idx="1">
                  <c:v>2Q</c:v>
                </c:pt>
                <c:pt idx="2">
                  <c:v>3Q</c:v>
                </c:pt>
                <c:pt idx="3">
                  <c:v>4Q</c:v>
                </c:pt>
              </c:strCache>
            </c:strRef>
          </c:cat>
          <c:val>
            <c:numRef>
              <c:f>ChartSupport!$N$371:$Q$371</c:f>
              <c:numCache>
                <c:formatCode>#,##0_);\(#,##0\)</c:formatCode>
                <c:ptCount val="4"/>
                <c:pt idx="0">
                  <c:v>922.73700000000019</c:v>
                </c:pt>
                <c:pt idx="1">
                  <c:v>964.85299999999984</c:v>
                </c:pt>
                <c:pt idx="2">
                  <c:v>967.28700000000003</c:v>
                </c:pt>
                <c:pt idx="3">
                  <c:v>766.101</c:v>
                </c:pt>
              </c:numCache>
            </c:numRef>
          </c:val>
          <c:smooth val="0"/>
        </c:ser>
        <c:ser>
          <c:idx val="2"/>
          <c:order val="2"/>
          <c:tx>
            <c:v>2011</c:v>
          </c:tx>
          <c:spPr>
            <a:ln w="25400">
              <a:solidFill>
                <a:schemeClr val="accent3"/>
              </a:solidFill>
            </a:ln>
          </c:spPr>
          <c:marker>
            <c:symbol val="none"/>
          </c:marker>
          <c:cat>
            <c:strRef>
              <c:f>ChartSupport!$B$337:$E$337</c:f>
              <c:strCache>
                <c:ptCount val="4"/>
                <c:pt idx="0">
                  <c:v>1Q</c:v>
                </c:pt>
                <c:pt idx="1">
                  <c:v>2Q</c:v>
                </c:pt>
                <c:pt idx="2">
                  <c:v>3Q</c:v>
                </c:pt>
                <c:pt idx="3">
                  <c:v>4Q</c:v>
                </c:pt>
              </c:strCache>
            </c:strRef>
          </c:cat>
          <c:val>
            <c:numRef>
              <c:f>ChartSupport!$R$371:$U$371</c:f>
              <c:numCache>
                <c:formatCode>#,##0_);\(#,##0\)</c:formatCode>
                <c:ptCount val="4"/>
                <c:pt idx="0">
                  <c:v>806.5870000000001</c:v>
                </c:pt>
                <c:pt idx="1">
                  <c:v>926.88700000000006</c:v>
                </c:pt>
                <c:pt idx="2">
                  <c:v>630.25299999999993</c:v>
                </c:pt>
                <c:pt idx="3">
                  <c:v>515.38199999999995</c:v>
                </c:pt>
              </c:numCache>
            </c:numRef>
          </c:val>
          <c:smooth val="0"/>
        </c:ser>
        <c:ser>
          <c:idx val="3"/>
          <c:order val="3"/>
          <c:tx>
            <c:v>2012</c:v>
          </c:tx>
          <c:spPr>
            <a:ln w="25400">
              <a:solidFill>
                <a:schemeClr val="bg2">
                  <a:lumMod val="90000"/>
                </a:schemeClr>
              </a:solidFill>
            </a:ln>
          </c:spPr>
          <c:marker>
            <c:symbol val="none"/>
          </c:marker>
          <c:cat>
            <c:strRef>
              <c:f>ChartSupport!$B$337:$E$337</c:f>
              <c:strCache>
                <c:ptCount val="4"/>
                <c:pt idx="0">
                  <c:v>1Q</c:v>
                </c:pt>
                <c:pt idx="1">
                  <c:v>2Q</c:v>
                </c:pt>
                <c:pt idx="2">
                  <c:v>3Q</c:v>
                </c:pt>
                <c:pt idx="3">
                  <c:v>4Q</c:v>
                </c:pt>
              </c:strCache>
            </c:strRef>
          </c:cat>
          <c:val>
            <c:numRef>
              <c:f>ChartSupport!$V$371:$Y$371</c:f>
              <c:numCache>
                <c:formatCode>#,##0_);\(#,##0\)</c:formatCode>
                <c:ptCount val="4"/>
                <c:pt idx="0">
                  <c:v>496.50000000000006</c:v>
                </c:pt>
                <c:pt idx="1">
                  <c:v>666.2410000000001</c:v>
                </c:pt>
                <c:pt idx="2">
                  <c:v>835.10699999999997</c:v>
                </c:pt>
                <c:pt idx="3">
                  <c:v>836.07099999999991</c:v>
                </c:pt>
              </c:numCache>
            </c:numRef>
          </c:val>
          <c:smooth val="0"/>
        </c:ser>
        <c:ser>
          <c:idx val="4"/>
          <c:order val="4"/>
          <c:tx>
            <c:v>2013</c:v>
          </c:tx>
          <c:spPr>
            <a:ln w="25400">
              <a:solidFill>
                <a:srgbClr val="CC6600"/>
              </a:solidFill>
            </a:ln>
          </c:spPr>
          <c:marker>
            <c:symbol val="none"/>
          </c:marker>
          <c:cat>
            <c:strRef>
              <c:f>ChartSupport!$B$337:$E$337</c:f>
              <c:strCache>
                <c:ptCount val="4"/>
                <c:pt idx="0">
                  <c:v>1Q</c:v>
                </c:pt>
                <c:pt idx="1">
                  <c:v>2Q</c:v>
                </c:pt>
                <c:pt idx="2">
                  <c:v>3Q</c:v>
                </c:pt>
                <c:pt idx="3">
                  <c:v>4Q</c:v>
                </c:pt>
              </c:strCache>
            </c:strRef>
          </c:cat>
          <c:val>
            <c:numRef>
              <c:f>ChartSupport!$Z$371:$AC$371</c:f>
              <c:numCache>
                <c:formatCode>#,##0_);\(#,##0\)</c:formatCode>
                <c:ptCount val="4"/>
                <c:pt idx="0">
                  <c:v>1068.624</c:v>
                </c:pt>
                <c:pt idx="1">
                  <c:v>1140.6680000000001</c:v>
                </c:pt>
                <c:pt idx="2">
                  <c:v>1317.4490000000001</c:v>
                </c:pt>
                <c:pt idx="3">
                  <c:v>1347.636</c:v>
                </c:pt>
              </c:numCache>
            </c:numRef>
          </c:val>
          <c:smooth val="0"/>
        </c:ser>
        <c:ser>
          <c:idx val="5"/>
          <c:order val="5"/>
          <c:tx>
            <c:v>2014</c:v>
          </c:tx>
          <c:spPr>
            <a:ln w="25400">
              <a:solidFill>
                <a:schemeClr val="accent3">
                  <a:lumMod val="40000"/>
                  <a:lumOff val="60000"/>
                </a:schemeClr>
              </a:solidFill>
            </a:ln>
          </c:spPr>
          <c:marker>
            <c:symbol val="none"/>
          </c:marker>
          <c:cat>
            <c:strRef>
              <c:f>ChartSupport!$B$337:$E$337</c:f>
              <c:strCache>
                <c:ptCount val="4"/>
                <c:pt idx="0">
                  <c:v>1Q</c:v>
                </c:pt>
                <c:pt idx="1">
                  <c:v>2Q</c:v>
                </c:pt>
                <c:pt idx="2">
                  <c:v>3Q</c:v>
                </c:pt>
                <c:pt idx="3">
                  <c:v>4Q</c:v>
                </c:pt>
              </c:strCache>
            </c:strRef>
          </c:cat>
          <c:val>
            <c:numRef>
              <c:f>ChartSupport!$AD$371:$AG$371</c:f>
              <c:numCache>
                <c:formatCode>#,##0_);\(#,##0\)</c:formatCode>
                <c:ptCount val="4"/>
                <c:pt idx="0">
                  <c:v>1412.0720000000001</c:v>
                </c:pt>
                <c:pt idx="1">
                  <c:v>1421.999</c:v>
                </c:pt>
                <c:pt idx="2">
                  <c:v>1582.8720000000003</c:v>
                </c:pt>
                <c:pt idx="3">
                  <c:v>1538.4810000000002</c:v>
                </c:pt>
              </c:numCache>
            </c:numRef>
          </c:val>
          <c:smooth val="0"/>
        </c:ser>
        <c:ser>
          <c:idx val="6"/>
          <c:order val="6"/>
          <c:tx>
            <c:v>2015</c:v>
          </c:tx>
          <c:spPr>
            <a:ln w="25400">
              <a:solidFill>
                <a:schemeClr val="accent5">
                  <a:lumMod val="60000"/>
                  <a:lumOff val="40000"/>
                </a:schemeClr>
              </a:solidFill>
              <a:prstDash val="solid"/>
            </a:ln>
          </c:spPr>
          <c:marker>
            <c:symbol val="none"/>
          </c:marker>
          <c:cat>
            <c:strRef>
              <c:f>ChartSupport!$B$337:$E$337</c:f>
              <c:strCache>
                <c:ptCount val="4"/>
                <c:pt idx="0">
                  <c:v>1Q</c:v>
                </c:pt>
                <c:pt idx="1">
                  <c:v>2Q</c:v>
                </c:pt>
                <c:pt idx="2">
                  <c:v>3Q</c:v>
                </c:pt>
                <c:pt idx="3">
                  <c:v>4Q</c:v>
                </c:pt>
              </c:strCache>
            </c:strRef>
          </c:cat>
          <c:val>
            <c:numRef>
              <c:f>ChartSupport!$AH$371:$AK$371</c:f>
              <c:numCache>
                <c:formatCode>#,##0_);\(#,##0\)</c:formatCode>
                <c:ptCount val="4"/>
                <c:pt idx="0">
                  <c:v>1568.308</c:v>
                </c:pt>
                <c:pt idx="1">
                  <c:v>2298.5300000000007</c:v>
                </c:pt>
                <c:pt idx="2">
                  <c:v>2592.9610000000002</c:v>
                </c:pt>
                <c:pt idx="3">
                  <c:v>2487.0840000000003</c:v>
                </c:pt>
              </c:numCache>
            </c:numRef>
          </c:val>
          <c:smooth val="0"/>
        </c:ser>
        <c:ser>
          <c:idx val="8"/>
          <c:order val="7"/>
          <c:tx>
            <c:v>2016</c:v>
          </c:tx>
          <c:spPr>
            <a:ln>
              <a:solidFill>
                <a:schemeClr val="accent1">
                  <a:lumMod val="75000"/>
                </a:schemeClr>
              </a:solidFill>
            </a:ln>
          </c:spPr>
          <c:marker>
            <c:symbol val="none"/>
          </c:marker>
          <c:cat>
            <c:strRef>
              <c:f>ChartSupport!$B$337:$E$337</c:f>
              <c:strCache>
                <c:ptCount val="4"/>
                <c:pt idx="0">
                  <c:v>1Q</c:v>
                </c:pt>
                <c:pt idx="1">
                  <c:v>2Q</c:v>
                </c:pt>
                <c:pt idx="2">
                  <c:v>3Q</c:v>
                </c:pt>
                <c:pt idx="3">
                  <c:v>4Q</c:v>
                </c:pt>
              </c:strCache>
            </c:strRef>
          </c:cat>
          <c:val>
            <c:numRef>
              <c:f>ChartSupport!$AL$371:$AO$371</c:f>
              <c:numCache>
                <c:formatCode>#,##0_);\(#,##0\)</c:formatCode>
                <c:ptCount val="4"/>
                <c:pt idx="0">
                  <c:v>2589.9610000000002</c:v>
                </c:pt>
                <c:pt idx="1">
                  <c:v>3153.9750000000004</c:v>
                </c:pt>
                <c:pt idx="2">
                  <c:v>3191.7830000000004</c:v>
                </c:pt>
                <c:pt idx="3">
                  <c:v>2719.038</c:v>
                </c:pt>
              </c:numCache>
            </c:numRef>
          </c:val>
          <c:smooth val="0"/>
        </c:ser>
        <c:ser>
          <c:idx val="7"/>
          <c:order val="8"/>
          <c:tx>
            <c:v>2017</c:v>
          </c:tx>
          <c:spPr>
            <a:ln>
              <a:solidFill>
                <a:srgbClr val="FF0000"/>
              </a:solidFill>
              <a:prstDash val="dash"/>
            </a:ln>
          </c:spPr>
          <c:marker>
            <c:symbol val="none"/>
          </c:marker>
          <c:cat>
            <c:strRef>
              <c:f>ChartSupport!$B$337:$E$337</c:f>
              <c:strCache>
                <c:ptCount val="4"/>
                <c:pt idx="0">
                  <c:v>1Q</c:v>
                </c:pt>
                <c:pt idx="1">
                  <c:v>2Q</c:v>
                </c:pt>
                <c:pt idx="2">
                  <c:v>3Q</c:v>
                </c:pt>
                <c:pt idx="3">
                  <c:v>4Q</c:v>
                </c:pt>
              </c:strCache>
            </c:strRef>
          </c:cat>
          <c:val>
            <c:numRef>
              <c:f>ChartSupport!$AP$371:$AS$371</c:f>
              <c:numCache>
                <c:formatCode>#,##0_);\(#,##0\)</c:formatCode>
                <c:ptCount val="4"/>
                <c:pt idx="0">
                  <c:v>2686.4329999999995</c:v>
                </c:pt>
                <c:pt idx="1">
                  <c:v>2782.6009999999997</c:v>
                </c:pt>
                <c:pt idx="2">
                  <c:v>2844.6378000000004</c:v>
                </c:pt>
                <c:pt idx="3">
                  <c:v>2547.1280000000002</c:v>
                </c:pt>
              </c:numCache>
            </c:numRef>
          </c:val>
          <c:smooth val="0"/>
        </c:ser>
        <c:ser>
          <c:idx val="9"/>
          <c:order val="9"/>
          <c:tx>
            <c:v>2018E</c:v>
          </c:tx>
          <c:spPr>
            <a:ln>
              <a:solidFill>
                <a:schemeClr val="accent1"/>
              </a:solidFill>
            </a:ln>
          </c:spPr>
          <c:marker>
            <c:symbol val="none"/>
          </c:marker>
          <c:cat>
            <c:strRef>
              <c:f>ChartSupport!$B$337:$E$337</c:f>
              <c:strCache>
                <c:ptCount val="4"/>
                <c:pt idx="0">
                  <c:v>1Q</c:v>
                </c:pt>
                <c:pt idx="1">
                  <c:v>2Q</c:v>
                </c:pt>
                <c:pt idx="2">
                  <c:v>3Q</c:v>
                </c:pt>
                <c:pt idx="3">
                  <c:v>4Q</c:v>
                </c:pt>
              </c:strCache>
            </c:strRef>
          </c:cat>
          <c:val>
            <c:numRef>
              <c:f>ChartSupport!$AT$371:$AW$371</c:f>
              <c:numCache>
                <c:formatCode>#,##0_);\(#,##0\)</c:formatCode>
                <c:ptCount val="4"/>
                <c:pt idx="0">
                  <c:v>2647.8519999999999</c:v>
                </c:pt>
                <c:pt idx="1">
                  <c:v>2843.4531265112987</c:v>
                </c:pt>
                <c:pt idx="2">
                  <c:v>2636.2073437853169</c:v>
                </c:pt>
                <c:pt idx="3">
                  <c:v>2250.5675568724828</c:v>
                </c:pt>
              </c:numCache>
            </c:numRef>
          </c:val>
          <c:smooth val="0"/>
        </c:ser>
        <c:dLbls>
          <c:showLegendKey val="0"/>
          <c:showVal val="0"/>
          <c:showCatName val="0"/>
          <c:showSerName val="0"/>
          <c:showPercent val="0"/>
          <c:showBubbleSize val="0"/>
        </c:dLbls>
        <c:marker val="1"/>
        <c:smooth val="0"/>
        <c:axId val="893151104"/>
        <c:axId val="893152640"/>
      </c:lineChart>
      <c:catAx>
        <c:axId val="893151104"/>
        <c:scaling>
          <c:orientation val="minMax"/>
        </c:scaling>
        <c:delete val="0"/>
        <c:axPos val="b"/>
        <c:numFmt formatCode="mmmm" sourceLinked="0"/>
        <c:majorTickMark val="out"/>
        <c:minorTickMark val="none"/>
        <c:tickLblPos val="low"/>
        <c:spPr>
          <a:ln w="3175">
            <a:solidFill>
              <a:srgbClr val="808080"/>
            </a:solidFill>
            <a:prstDash val="solid"/>
          </a:ln>
        </c:spPr>
        <c:txPr>
          <a:bodyPr rot="0" vert="horz"/>
          <a:lstStyle/>
          <a:p>
            <a:pPr>
              <a:defRPr/>
            </a:pPr>
            <a:endParaRPr lang="en-US"/>
          </a:p>
        </c:txPr>
        <c:crossAx val="893152640"/>
        <c:crosses val="autoZero"/>
        <c:auto val="1"/>
        <c:lblAlgn val="ctr"/>
        <c:lblOffset val="100"/>
        <c:tickLblSkip val="1"/>
        <c:tickMarkSkip val="1"/>
        <c:noMultiLvlLbl val="0"/>
      </c:catAx>
      <c:valAx>
        <c:axId val="893152640"/>
        <c:scaling>
          <c:orientation val="minMax"/>
        </c:scaling>
        <c:delete val="0"/>
        <c:axPos val="l"/>
        <c:numFmt formatCode="_(* #,##0_);_(* \(#,##0\);_(* &quot;-&quot;??_);_(@_)" sourceLinked="0"/>
        <c:majorTickMark val="out"/>
        <c:minorTickMark val="none"/>
        <c:tickLblPos val="nextTo"/>
        <c:spPr>
          <a:ln w="3175">
            <a:solidFill>
              <a:srgbClr val="808080"/>
            </a:solidFill>
            <a:prstDash val="solid"/>
          </a:ln>
        </c:spPr>
        <c:txPr>
          <a:bodyPr rot="0" vert="horz"/>
          <a:lstStyle/>
          <a:p>
            <a:pPr>
              <a:defRPr/>
            </a:pPr>
            <a:endParaRPr lang="en-US"/>
          </a:p>
        </c:txPr>
        <c:crossAx val="893151104"/>
        <c:crosses val="autoZero"/>
        <c:crossBetween val="midCat"/>
      </c:valAx>
      <c:spPr>
        <a:noFill/>
        <a:ln w="25400">
          <a:noFill/>
        </a:ln>
      </c:spPr>
    </c:plotArea>
    <c:legend>
      <c:legendPos val="b"/>
      <c:layout>
        <c:manualLayout>
          <c:xMode val="edge"/>
          <c:yMode val="edge"/>
          <c:x val="0.11148402449693788"/>
          <c:y val="0.84200717900916588"/>
          <c:w val="0.77703167104111981"/>
          <c:h val="0.13307070261077175"/>
        </c:manualLayout>
      </c:layout>
      <c:overlay val="0"/>
      <c:spPr>
        <a:noFill/>
        <a:ln w="25400">
          <a:noFill/>
        </a:ln>
      </c:spPr>
      <c:txPr>
        <a:bodyPr/>
        <a:lstStyle/>
        <a:p>
          <a:pPr>
            <a:defRPr sz="800"/>
          </a:pPr>
          <a:endParaRPr lang="en-US"/>
        </a:p>
      </c:txPr>
    </c:legend>
    <c:plotVisOnly val="0"/>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161879895561358E-2"/>
          <c:y val="4.6583921571600795E-2"/>
          <c:w val="0.82506527415143605"/>
          <c:h val="0.77639869286001317"/>
        </c:manualLayout>
      </c:layout>
      <c:lineChart>
        <c:grouping val="standard"/>
        <c:varyColors val="0"/>
        <c:ser>
          <c:idx val="0"/>
          <c:order val="0"/>
          <c:tx>
            <c:v>2009</c:v>
          </c:tx>
          <c:spPr>
            <a:ln w="25400">
              <a:solidFill>
                <a:schemeClr val="bg1">
                  <a:lumMod val="50000"/>
                </a:schemeClr>
              </a:solidFill>
            </a:ln>
          </c:spPr>
          <c:marker>
            <c:symbol val="none"/>
          </c:marker>
          <c:cat>
            <c:strRef>
              <c:f>ChartSupport!$B$337:$E$337</c:f>
              <c:strCache>
                <c:ptCount val="4"/>
                <c:pt idx="0">
                  <c:v>1Q</c:v>
                </c:pt>
                <c:pt idx="1">
                  <c:v>2Q</c:v>
                </c:pt>
                <c:pt idx="2">
                  <c:v>3Q</c:v>
                </c:pt>
                <c:pt idx="3">
                  <c:v>4Q</c:v>
                </c:pt>
              </c:strCache>
            </c:strRef>
          </c:cat>
          <c:val>
            <c:numRef>
              <c:f>ChartSupport!$J$374:$M$374</c:f>
              <c:numCache>
                <c:formatCode>0%</c:formatCode>
                <c:ptCount val="4"/>
                <c:pt idx="0">
                  <c:v>-6.458280627435628E-2</c:v>
                </c:pt>
                <c:pt idx="1">
                  <c:v>-0.10458392775160458</c:v>
                </c:pt>
                <c:pt idx="2">
                  <c:v>-9.1933999474099359E-2</c:v>
                </c:pt>
                <c:pt idx="3">
                  <c:v>8.5995622922914738E-2</c:v>
                </c:pt>
              </c:numCache>
            </c:numRef>
          </c:val>
          <c:smooth val="0"/>
        </c:ser>
        <c:ser>
          <c:idx val="1"/>
          <c:order val="1"/>
          <c:tx>
            <c:v>2010</c:v>
          </c:tx>
          <c:spPr>
            <a:ln w="25400">
              <a:solidFill>
                <a:schemeClr val="accent2"/>
              </a:solidFill>
            </a:ln>
          </c:spPr>
          <c:marker>
            <c:symbol val="none"/>
          </c:marker>
          <c:cat>
            <c:strRef>
              <c:f>ChartSupport!$B$337:$E$337</c:f>
              <c:strCache>
                <c:ptCount val="4"/>
                <c:pt idx="0">
                  <c:v>1Q</c:v>
                </c:pt>
                <c:pt idx="1">
                  <c:v>2Q</c:v>
                </c:pt>
                <c:pt idx="2">
                  <c:v>3Q</c:v>
                </c:pt>
                <c:pt idx="3">
                  <c:v>4Q</c:v>
                </c:pt>
              </c:strCache>
            </c:strRef>
          </c:cat>
          <c:val>
            <c:numRef>
              <c:f>ChartSupport!$N$374:$Q$374</c:f>
              <c:numCache>
                <c:formatCode>0%</c:formatCode>
                <c:ptCount val="4"/>
                <c:pt idx="0">
                  <c:v>7.3405235268387922E-2</c:v>
                </c:pt>
                <c:pt idx="1">
                  <c:v>5.0492859583020612E-2</c:v>
                </c:pt>
                <c:pt idx="2">
                  <c:v>5.6982547555740469E-2</c:v>
                </c:pt>
                <c:pt idx="3">
                  <c:v>6.328640745412531E-2</c:v>
                </c:pt>
              </c:numCache>
            </c:numRef>
          </c:val>
          <c:smooth val="0"/>
        </c:ser>
        <c:ser>
          <c:idx val="2"/>
          <c:order val="2"/>
          <c:tx>
            <c:v>2011</c:v>
          </c:tx>
          <c:spPr>
            <a:ln w="25400">
              <a:solidFill>
                <a:schemeClr val="accent3"/>
              </a:solidFill>
            </a:ln>
          </c:spPr>
          <c:marker>
            <c:symbol val="none"/>
          </c:marker>
          <c:cat>
            <c:strRef>
              <c:f>ChartSupport!$B$337:$E$337</c:f>
              <c:strCache>
                <c:ptCount val="4"/>
                <c:pt idx="0">
                  <c:v>1Q</c:v>
                </c:pt>
                <c:pt idx="1">
                  <c:v>2Q</c:v>
                </c:pt>
                <c:pt idx="2">
                  <c:v>3Q</c:v>
                </c:pt>
                <c:pt idx="3">
                  <c:v>4Q</c:v>
                </c:pt>
              </c:strCache>
            </c:strRef>
          </c:cat>
          <c:val>
            <c:numRef>
              <c:f>ChartSupport!$R$374:$U$374</c:f>
              <c:numCache>
                <c:formatCode>0%</c:formatCode>
                <c:ptCount val="4"/>
                <c:pt idx="0">
                  <c:v>3.9954100548289906E-2</c:v>
                </c:pt>
                <c:pt idx="1">
                  <c:v>9.751640394806195E-2</c:v>
                </c:pt>
                <c:pt idx="2">
                  <c:v>0.16329998886564345</c:v>
                </c:pt>
                <c:pt idx="3">
                  <c:v>2.7949040884119449E-2</c:v>
                </c:pt>
              </c:numCache>
            </c:numRef>
          </c:val>
          <c:smooth val="0"/>
        </c:ser>
        <c:ser>
          <c:idx val="3"/>
          <c:order val="3"/>
          <c:tx>
            <c:v>2012</c:v>
          </c:tx>
          <c:spPr>
            <a:ln w="25400">
              <a:solidFill>
                <a:schemeClr val="bg2"/>
              </a:solidFill>
            </a:ln>
          </c:spPr>
          <c:marker>
            <c:symbol val="none"/>
          </c:marker>
          <c:cat>
            <c:strRef>
              <c:f>ChartSupport!$B$337:$E$337</c:f>
              <c:strCache>
                <c:ptCount val="4"/>
                <c:pt idx="0">
                  <c:v>1Q</c:v>
                </c:pt>
                <c:pt idx="1">
                  <c:v>2Q</c:v>
                </c:pt>
                <c:pt idx="2">
                  <c:v>3Q</c:v>
                </c:pt>
                <c:pt idx="3">
                  <c:v>4Q</c:v>
                </c:pt>
              </c:strCache>
            </c:strRef>
          </c:cat>
          <c:val>
            <c:numRef>
              <c:f>ChartSupport!$V$374:$Y$374</c:f>
              <c:numCache>
                <c:formatCode>0%</c:formatCode>
                <c:ptCount val="4"/>
                <c:pt idx="0">
                  <c:v>7.7738291596405565E-2</c:v>
                </c:pt>
                <c:pt idx="1">
                  <c:v>9.710299198207456E-2</c:v>
                </c:pt>
                <c:pt idx="2">
                  <c:v>0.11151832513375221</c:v>
                </c:pt>
                <c:pt idx="3">
                  <c:v>-3.0098906687749095E-2</c:v>
                </c:pt>
              </c:numCache>
            </c:numRef>
          </c:val>
          <c:smooth val="0"/>
        </c:ser>
        <c:ser>
          <c:idx val="4"/>
          <c:order val="4"/>
          <c:tx>
            <c:v>2013</c:v>
          </c:tx>
          <c:spPr>
            <a:ln w="25400">
              <a:solidFill>
                <a:srgbClr val="CC6600"/>
              </a:solidFill>
            </a:ln>
          </c:spPr>
          <c:marker>
            <c:symbol val="none"/>
          </c:marker>
          <c:cat>
            <c:strRef>
              <c:f>ChartSupport!$B$337:$E$337</c:f>
              <c:strCache>
                <c:ptCount val="4"/>
                <c:pt idx="0">
                  <c:v>1Q</c:v>
                </c:pt>
                <c:pt idx="1">
                  <c:v>2Q</c:v>
                </c:pt>
                <c:pt idx="2">
                  <c:v>3Q</c:v>
                </c:pt>
                <c:pt idx="3">
                  <c:v>4Q</c:v>
                </c:pt>
              </c:strCache>
            </c:strRef>
          </c:cat>
          <c:val>
            <c:numRef>
              <c:f>ChartSupport!$Z$374:$AC$374</c:f>
              <c:numCache>
                <c:formatCode>0%</c:formatCode>
                <c:ptCount val="4"/>
                <c:pt idx="0">
                  <c:v>4.6977850476890414E-3</c:v>
                </c:pt>
                <c:pt idx="1">
                  <c:v>0.10163400352740785</c:v>
                </c:pt>
                <c:pt idx="2">
                  <c:v>1.4370548828166317E-2</c:v>
                </c:pt>
                <c:pt idx="3">
                  <c:v>2.4691298202326472E-2</c:v>
                </c:pt>
              </c:numCache>
            </c:numRef>
          </c:val>
          <c:smooth val="0"/>
        </c:ser>
        <c:ser>
          <c:idx val="5"/>
          <c:order val="5"/>
          <c:tx>
            <c:v>2014</c:v>
          </c:tx>
          <c:spPr>
            <a:ln w="25400">
              <a:solidFill>
                <a:schemeClr val="accent3">
                  <a:lumMod val="40000"/>
                  <a:lumOff val="60000"/>
                </a:schemeClr>
              </a:solidFill>
            </a:ln>
          </c:spPr>
          <c:marker>
            <c:symbol val="none"/>
          </c:marker>
          <c:cat>
            <c:strRef>
              <c:f>ChartSupport!$B$337:$E$337</c:f>
              <c:strCache>
                <c:ptCount val="4"/>
                <c:pt idx="0">
                  <c:v>1Q</c:v>
                </c:pt>
                <c:pt idx="1">
                  <c:v>2Q</c:v>
                </c:pt>
                <c:pt idx="2">
                  <c:v>3Q</c:v>
                </c:pt>
                <c:pt idx="3">
                  <c:v>4Q</c:v>
                </c:pt>
              </c:strCache>
            </c:strRef>
          </c:cat>
          <c:val>
            <c:numRef>
              <c:f>ChartSupport!$AD$374:$AG$374</c:f>
              <c:numCache>
                <c:formatCode>0%</c:formatCode>
                <c:ptCount val="4"/>
                <c:pt idx="0">
                  <c:v>6.6131046259265719E-2</c:v>
                </c:pt>
                <c:pt idx="1">
                  <c:v>0.11946644586489663</c:v>
                </c:pt>
                <c:pt idx="2">
                  <c:v>6.3520667392945762E-2</c:v>
                </c:pt>
                <c:pt idx="3">
                  <c:v>1.2366526690333205E-2</c:v>
                </c:pt>
              </c:numCache>
            </c:numRef>
          </c:val>
          <c:smooth val="0"/>
        </c:ser>
        <c:ser>
          <c:idx val="6"/>
          <c:order val="6"/>
          <c:tx>
            <c:v>2015</c:v>
          </c:tx>
          <c:spPr>
            <a:ln w="25400">
              <a:solidFill>
                <a:schemeClr val="accent5">
                  <a:lumMod val="60000"/>
                  <a:lumOff val="40000"/>
                </a:schemeClr>
              </a:solidFill>
              <a:prstDash val="solid"/>
            </a:ln>
          </c:spPr>
          <c:marker>
            <c:symbol val="none"/>
          </c:marker>
          <c:cat>
            <c:strRef>
              <c:f>ChartSupport!$B$337:$E$337</c:f>
              <c:strCache>
                <c:ptCount val="4"/>
                <c:pt idx="0">
                  <c:v>1Q</c:v>
                </c:pt>
                <c:pt idx="1">
                  <c:v>2Q</c:v>
                </c:pt>
                <c:pt idx="2">
                  <c:v>3Q</c:v>
                </c:pt>
                <c:pt idx="3">
                  <c:v>4Q</c:v>
                </c:pt>
              </c:strCache>
            </c:strRef>
          </c:cat>
          <c:val>
            <c:numRef>
              <c:f>ChartSupport!$AH$374:$AK$374</c:f>
              <c:numCache>
                <c:formatCode>0%</c:formatCode>
                <c:ptCount val="4"/>
                <c:pt idx="0">
                  <c:v>0.11700848574533519</c:v>
                </c:pt>
                <c:pt idx="1">
                  <c:v>0.21157626354577821</c:v>
                </c:pt>
                <c:pt idx="2">
                  <c:v>9.5851564346225715E-2</c:v>
                </c:pt>
                <c:pt idx="3">
                  <c:v>0.10071727901330202</c:v>
                </c:pt>
              </c:numCache>
            </c:numRef>
          </c:val>
          <c:smooth val="0"/>
        </c:ser>
        <c:ser>
          <c:idx val="7"/>
          <c:order val="7"/>
          <c:tx>
            <c:v>zeroline</c:v>
          </c:tx>
          <c:spPr>
            <a:ln w="3175">
              <a:solidFill>
                <a:schemeClr val="bg1">
                  <a:lumMod val="50000"/>
                </a:schemeClr>
              </a:solidFill>
            </a:ln>
          </c:spPr>
          <c:marker>
            <c:symbol val="none"/>
          </c:marker>
          <c:cat>
            <c:strRef>
              <c:f>ChartSupport!$B$337:$E$337</c:f>
              <c:strCache>
                <c:ptCount val="4"/>
                <c:pt idx="0">
                  <c:v>1Q</c:v>
                </c:pt>
                <c:pt idx="1">
                  <c:v>2Q</c:v>
                </c:pt>
                <c:pt idx="2">
                  <c:v>3Q</c:v>
                </c:pt>
                <c:pt idx="3">
                  <c:v>4Q</c:v>
                </c:pt>
              </c:strCache>
            </c:strRef>
          </c:cat>
          <c:val>
            <c:numRef>
              <c:f>ChartSupport!$B$421:$E$421</c:f>
              <c:numCache>
                <c:formatCode>0</c:formatCode>
                <c:ptCount val="4"/>
                <c:pt idx="0">
                  <c:v>0</c:v>
                </c:pt>
                <c:pt idx="1">
                  <c:v>0</c:v>
                </c:pt>
                <c:pt idx="2">
                  <c:v>0</c:v>
                </c:pt>
                <c:pt idx="3">
                  <c:v>0</c:v>
                </c:pt>
              </c:numCache>
            </c:numRef>
          </c:val>
          <c:smooth val="0"/>
        </c:ser>
        <c:ser>
          <c:idx val="9"/>
          <c:order val="8"/>
          <c:tx>
            <c:v>2016</c:v>
          </c:tx>
          <c:spPr>
            <a:ln>
              <a:solidFill>
                <a:schemeClr val="accent1">
                  <a:lumMod val="75000"/>
                </a:schemeClr>
              </a:solidFill>
            </a:ln>
          </c:spPr>
          <c:marker>
            <c:symbol val="none"/>
          </c:marker>
          <c:cat>
            <c:strRef>
              <c:f>ChartSupport!$B$337:$E$337</c:f>
              <c:strCache>
                <c:ptCount val="4"/>
                <c:pt idx="0">
                  <c:v>1Q</c:v>
                </c:pt>
                <c:pt idx="1">
                  <c:v>2Q</c:v>
                </c:pt>
                <c:pt idx="2">
                  <c:v>3Q</c:v>
                </c:pt>
                <c:pt idx="3">
                  <c:v>4Q</c:v>
                </c:pt>
              </c:strCache>
            </c:strRef>
          </c:cat>
          <c:val>
            <c:numRef>
              <c:f>ChartSupport!$AL$374:$AO$374</c:f>
              <c:numCache>
                <c:formatCode>0%</c:formatCode>
                <c:ptCount val="4"/>
                <c:pt idx="0">
                  <c:v>5.0568693295516019E-2</c:v>
                </c:pt>
                <c:pt idx="1">
                  <c:v>3.0998210395899228E-2</c:v>
                </c:pt>
                <c:pt idx="2">
                  <c:v>0.12436057040310031</c:v>
                </c:pt>
                <c:pt idx="3">
                  <c:v>0.11155545811299795</c:v>
                </c:pt>
              </c:numCache>
            </c:numRef>
          </c:val>
          <c:smooth val="0"/>
        </c:ser>
        <c:ser>
          <c:idx val="8"/>
          <c:order val="9"/>
          <c:tx>
            <c:v>2017</c:v>
          </c:tx>
          <c:spPr>
            <a:ln>
              <a:solidFill>
                <a:srgbClr val="FF0000"/>
              </a:solidFill>
              <a:prstDash val="dash"/>
            </a:ln>
          </c:spPr>
          <c:marker>
            <c:symbol val="none"/>
          </c:marker>
          <c:cat>
            <c:strRef>
              <c:f>ChartSupport!$B$337:$E$337</c:f>
              <c:strCache>
                <c:ptCount val="4"/>
                <c:pt idx="0">
                  <c:v>1Q</c:v>
                </c:pt>
                <c:pt idx="1">
                  <c:v>2Q</c:v>
                </c:pt>
                <c:pt idx="2">
                  <c:v>3Q</c:v>
                </c:pt>
                <c:pt idx="3">
                  <c:v>4Q</c:v>
                </c:pt>
              </c:strCache>
            </c:strRef>
          </c:cat>
          <c:val>
            <c:numRef>
              <c:f>ChartSupport!$AP$374:$AS$374</c:f>
              <c:numCache>
                <c:formatCode>0%</c:formatCode>
                <c:ptCount val="4"/>
                <c:pt idx="0">
                  <c:v>5.9954726767996867E-2</c:v>
                </c:pt>
                <c:pt idx="1">
                  <c:v>9.8348864242089482E-2</c:v>
                </c:pt>
                <c:pt idx="2">
                  <c:v>7.8194461552243438E-2</c:v>
                </c:pt>
                <c:pt idx="3">
                  <c:v>0.15815407247630411</c:v>
                </c:pt>
              </c:numCache>
            </c:numRef>
          </c:val>
          <c:smooth val="0"/>
        </c:ser>
        <c:ser>
          <c:idx val="10"/>
          <c:order val="10"/>
          <c:tx>
            <c:v>2018E</c:v>
          </c:tx>
          <c:spPr>
            <a:ln>
              <a:solidFill>
                <a:schemeClr val="accent1"/>
              </a:solidFill>
            </a:ln>
          </c:spPr>
          <c:marker>
            <c:symbol val="none"/>
          </c:marker>
          <c:cat>
            <c:strRef>
              <c:f>ChartSupport!$B$337:$E$337</c:f>
              <c:strCache>
                <c:ptCount val="4"/>
                <c:pt idx="0">
                  <c:v>1Q</c:v>
                </c:pt>
                <c:pt idx="1">
                  <c:v>2Q</c:v>
                </c:pt>
                <c:pt idx="2">
                  <c:v>3Q</c:v>
                </c:pt>
                <c:pt idx="3">
                  <c:v>4Q</c:v>
                </c:pt>
              </c:strCache>
            </c:strRef>
          </c:cat>
          <c:val>
            <c:numRef>
              <c:f>ChartSupport!$AT$374:$AW$374</c:f>
              <c:numCache>
                <c:formatCode>0%</c:formatCode>
                <c:ptCount val="4"/>
                <c:pt idx="0">
                  <c:v>0.13736351562591823</c:v>
                </c:pt>
                <c:pt idx="1">
                  <c:v>0.20901684137691842</c:v>
                </c:pt>
                <c:pt idx="2">
                  <c:v>0.12787243374167603</c:v>
                </c:pt>
                <c:pt idx="3">
                  <c:v>0.14875671159125783</c:v>
                </c:pt>
              </c:numCache>
            </c:numRef>
          </c:val>
          <c:smooth val="0"/>
        </c:ser>
        <c:dLbls>
          <c:showLegendKey val="0"/>
          <c:showVal val="0"/>
          <c:showCatName val="0"/>
          <c:showSerName val="0"/>
          <c:showPercent val="0"/>
          <c:showBubbleSize val="0"/>
        </c:dLbls>
        <c:marker val="1"/>
        <c:smooth val="0"/>
        <c:axId val="893209600"/>
        <c:axId val="893219584"/>
      </c:lineChart>
      <c:catAx>
        <c:axId val="893209600"/>
        <c:scaling>
          <c:orientation val="minMax"/>
        </c:scaling>
        <c:delete val="0"/>
        <c:axPos val="b"/>
        <c:numFmt formatCode="mmmm" sourceLinked="0"/>
        <c:majorTickMark val="out"/>
        <c:minorTickMark val="none"/>
        <c:tickLblPos val="low"/>
        <c:spPr>
          <a:ln w="3175">
            <a:solidFill>
              <a:srgbClr val="808080"/>
            </a:solidFill>
            <a:prstDash val="solid"/>
          </a:ln>
        </c:spPr>
        <c:txPr>
          <a:bodyPr rot="0" vert="horz"/>
          <a:lstStyle/>
          <a:p>
            <a:pPr>
              <a:defRPr/>
            </a:pPr>
            <a:endParaRPr lang="en-US"/>
          </a:p>
        </c:txPr>
        <c:crossAx val="893219584"/>
        <c:crossesAt val="-0.15000000000000002"/>
        <c:auto val="1"/>
        <c:lblAlgn val="ctr"/>
        <c:lblOffset val="100"/>
        <c:tickLblSkip val="1"/>
        <c:tickMarkSkip val="1"/>
        <c:noMultiLvlLbl val="0"/>
      </c:catAx>
      <c:valAx>
        <c:axId val="893219584"/>
        <c:scaling>
          <c:orientation val="minMax"/>
        </c:scaling>
        <c:delete val="0"/>
        <c:axPos val="l"/>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3209600"/>
        <c:crosses val="autoZero"/>
        <c:crossBetween val="midCat"/>
      </c:valAx>
      <c:spPr>
        <a:noFill/>
        <a:ln w="25400">
          <a:noFill/>
        </a:ln>
      </c:spPr>
    </c:plotArea>
    <c:legend>
      <c:legendPos val="b"/>
      <c:legendEntry>
        <c:idx val="7"/>
        <c:delete val="1"/>
      </c:legendEntry>
      <c:layout>
        <c:manualLayout>
          <c:xMode val="edge"/>
          <c:yMode val="edge"/>
          <c:x val="0.11148402449693788"/>
          <c:y val="0.84249783994392002"/>
          <c:w val="0.77703167104111981"/>
          <c:h val="0.14922058655711512"/>
        </c:manualLayout>
      </c:layout>
      <c:overlay val="0"/>
      <c:spPr>
        <a:noFill/>
        <a:ln w="25400">
          <a:noFill/>
        </a:ln>
      </c:spPr>
      <c:txPr>
        <a:bodyPr/>
        <a:lstStyle/>
        <a:p>
          <a:pPr>
            <a:defRPr sz="800"/>
          </a:pPr>
          <a:endParaRPr lang="en-US"/>
        </a:p>
      </c:txPr>
    </c:legend>
    <c:plotVisOnly val="0"/>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614395234567834E-2"/>
          <c:y val="4.6875E-2"/>
          <c:w val="0.79790230761541281"/>
          <c:h val="0.77500000000000002"/>
        </c:manualLayout>
      </c:layout>
      <c:lineChart>
        <c:grouping val="standard"/>
        <c:varyColors val="0"/>
        <c:ser>
          <c:idx val="0"/>
          <c:order val="0"/>
          <c:tx>
            <c:v>2009</c:v>
          </c:tx>
          <c:spPr>
            <a:ln w="25400">
              <a:solidFill>
                <a:schemeClr val="bg1">
                  <a:lumMod val="50000"/>
                </a:schemeClr>
              </a:solidFill>
            </a:ln>
          </c:spPr>
          <c:marker>
            <c:symbol val="none"/>
          </c:marker>
          <c:cat>
            <c:strRef>
              <c:f>ChartSupport!$B$337:$E$337</c:f>
              <c:strCache>
                <c:ptCount val="4"/>
                <c:pt idx="0">
                  <c:v>1Q</c:v>
                </c:pt>
                <c:pt idx="1">
                  <c:v>2Q</c:v>
                </c:pt>
                <c:pt idx="2">
                  <c:v>3Q</c:v>
                </c:pt>
                <c:pt idx="3">
                  <c:v>4Q</c:v>
                </c:pt>
              </c:strCache>
            </c:strRef>
          </c:cat>
          <c:val>
            <c:numRef>
              <c:f>ChartSupport!$J$367:$M$367</c:f>
              <c:numCache>
                <c:formatCode>_(* #,##0_);_(* \(#,##0\);_(* "-"??_);_(@_)</c:formatCode>
                <c:ptCount val="4"/>
                <c:pt idx="0">
                  <c:v>-67.343000000000018</c:v>
                </c:pt>
                <c:pt idx="1">
                  <c:v>-127.73900000000006</c:v>
                </c:pt>
                <c:pt idx="2">
                  <c:v>-74.622999999999934</c:v>
                </c:pt>
                <c:pt idx="3">
                  <c:v>169.88600000000008</c:v>
                </c:pt>
              </c:numCache>
            </c:numRef>
          </c:val>
          <c:smooth val="0"/>
        </c:ser>
        <c:ser>
          <c:idx val="1"/>
          <c:order val="1"/>
          <c:tx>
            <c:v>2010</c:v>
          </c:tx>
          <c:spPr>
            <a:ln w="25400">
              <a:solidFill>
                <a:schemeClr val="accent2"/>
              </a:solidFill>
            </a:ln>
          </c:spPr>
          <c:marker>
            <c:symbol val="none"/>
          </c:marker>
          <c:cat>
            <c:strRef>
              <c:f>ChartSupport!$B$337:$E$337</c:f>
              <c:strCache>
                <c:ptCount val="4"/>
                <c:pt idx="0">
                  <c:v>1Q</c:v>
                </c:pt>
                <c:pt idx="1">
                  <c:v>2Q</c:v>
                </c:pt>
                <c:pt idx="2">
                  <c:v>3Q</c:v>
                </c:pt>
                <c:pt idx="3">
                  <c:v>4Q</c:v>
                </c:pt>
              </c:strCache>
            </c:strRef>
          </c:cat>
          <c:val>
            <c:numRef>
              <c:f>ChartSupport!$N$367:$Q$367</c:f>
              <c:numCache>
                <c:formatCode>_(* #,##0_);_(* \(#,##0\);_(* "-"??_);_(@_)</c:formatCode>
                <c:ptCount val="4"/>
                <c:pt idx="0">
                  <c:v>-24.633000000000095</c:v>
                </c:pt>
                <c:pt idx="1">
                  <c:v>-50.003000000000156</c:v>
                </c:pt>
                <c:pt idx="2">
                  <c:v>-11.868999999999915</c:v>
                </c:pt>
                <c:pt idx="3">
                  <c:v>345.04</c:v>
                </c:pt>
              </c:numCache>
            </c:numRef>
          </c:val>
          <c:smooth val="0"/>
        </c:ser>
        <c:ser>
          <c:idx val="2"/>
          <c:order val="2"/>
          <c:tx>
            <c:v>2011</c:v>
          </c:tx>
          <c:spPr>
            <a:ln w="25400">
              <a:solidFill>
                <a:schemeClr val="accent3"/>
              </a:solidFill>
            </a:ln>
          </c:spPr>
          <c:marker>
            <c:symbol val="none"/>
          </c:marker>
          <c:cat>
            <c:strRef>
              <c:f>ChartSupport!$B$337:$E$337</c:f>
              <c:strCache>
                <c:ptCount val="4"/>
                <c:pt idx="0">
                  <c:v>1Q</c:v>
                </c:pt>
                <c:pt idx="1">
                  <c:v>2Q</c:v>
                </c:pt>
                <c:pt idx="2">
                  <c:v>3Q</c:v>
                </c:pt>
                <c:pt idx="3">
                  <c:v>4Q</c:v>
                </c:pt>
              </c:strCache>
            </c:strRef>
          </c:cat>
          <c:val>
            <c:numRef>
              <c:f>ChartSupport!$R$367:$U$367</c:f>
              <c:numCache>
                <c:formatCode>_(* #,##0_);_(* \(#,##0\);_(* "-"??_);_(@_)</c:formatCode>
                <c:ptCount val="4"/>
                <c:pt idx="0">
                  <c:v>-224.83899999999983</c:v>
                </c:pt>
                <c:pt idx="1">
                  <c:v>-118.44499999999999</c:v>
                </c:pt>
                <c:pt idx="2">
                  <c:v>20.131999999999778</c:v>
                </c:pt>
                <c:pt idx="3">
                  <c:v>254.80300000000011</c:v>
                </c:pt>
              </c:numCache>
            </c:numRef>
          </c:val>
          <c:smooth val="0"/>
        </c:ser>
        <c:ser>
          <c:idx val="3"/>
          <c:order val="3"/>
          <c:tx>
            <c:v>2012</c:v>
          </c:tx>
          <c:spPr>
            <a:ln w="25400">
              <a:solidFill>
                <a:schemeClr val="bg2">
                  <a:lumMod val="90000"/>
                </a:schemeClr>
              </a:solidFill>
            </a:ln>
          </c:spPr>
          <c:marker>
            <c:symbol val="none"/>
          </c:marker>
          <c:cat>
            <c:strRef>
              <c:f>ChartSupport!$B$337:$E$337</c:f>
              <c:strCache>
                <c:ptCount val="4"/>
                <c:pt idx="0">
                  <c:v>1Q</c:v>
                </c:pt>
                <c:pt idx="1">
                  <c:v>2Q</c:v>
                </c:pt>
                <c:pt idx="2">
                  <c:v>3Q</c:v>
                </c:pt>
                <c:pt idx="3">
                  <c:v>4Q</c:v>
                </c:pt>
              </c:strCache>
            </c:strRef>
          </c:cat>
          <c:val>
            <c:numRef>
              <c:f>ChartSupport!$V$367:$Y$367</c:f>
              <c:numCache>
                <c:formatCode>_(* #,##0_);_(* \(#,##0\);_(* "-"??_);_(@_)</c:formatCode>
                <c:ptCount val="4"/>
                <c:pt idx="0">
                  <c:v>-50.651000000000124</c:v>
                </c:pt>
                <c:pt idx="1">
                  <c:v>-143.92399999999986</c:v>
                </c:pt>
                <c:pt idx="2">
                  <c:v>-21.136000000000081</c:v>
                </c:pt>
                <c:pt idx="3">
                  <c:v>315.15600000000012</c:v>
                </c:pt>
              </c:numCache>
            </c:numRef>
          </c:val>
          <c:smooth val="0"/>
        </c:ser>
        <c:ser>
          <c:idx val="4"/>
          <c:order val="4"/>
          <c:tx>
            <c:v>2013</c:v>
          </c:tx>
          <c:spPr>
            <a:ln w="25400">
              <a:solidFill>
                <a:srgbClr val="CC6600"/>
              </a:solidFill>
            </a:ln>
          </c:spPr>
          <c:marker>
            <c:symbol val="none"/>
          </c:marker>
          <c:cat>
            <c:strRef>
              <c:f>ChartSupport!$B$337:$E$337</c:f>
              <c:strCache>
                <c:ptCount val="4"/>
                <c:pt idx="0">
                  <c:v>1Q</c:v>
                </c:pt>
                <c:pt idx="1">
                  <c:v>2Q</c:v>
                </c:pt>
                <c:pt idx="2">
                  <c:v>3Q</c:v>
                </c:pt>
                <c:pt idx="3">
                  <c:v>4Q</c:v>
                </c:pt>
              </c:strCache>
            </c:strRef>
          </c:cat>
          <c:val>
            <c:numRef>
              <c:f>ChartSupport!$Z$367:$AC$367</c:f>
              <c:numCache>
                <c:formatCode>_(* #,##0_);_(* \(#,##0\);_(* "-"??_);_(@_)</c:formatCode>
                <c:ptCount val="4"/>
                <c:pt idx="0">
                  <c:v>-97.609999999999843</c:v>
                </c:pt>
                <c:pt idx="1">
                  <c:v>-132.29800000000031</c:v>
                </c:pt>
                <c:pt idx="2">
                  <c:v>-165.66099999999958</c:v>
                </c:pt>
                <c:pt idx="3">
                  <c:v>349.67599999999982</c:v>
                </c:pt>
              </c:numCache>
            </c:numRef>
          </c:val>
          <c:smooth val="0"/>
        </c:ser>
        <c:ser>
          <c:idx val="5"/>
          <c:order val="5"/>
          <c:tx>
            <c:v>2014</c:v>
          </c:tx>
          <c:spPr>
            <a:ln w="25400">
              <a:solidFill>
                <a:schemeClr val="accent3">
                  <a:lumMod val="40000"/>
                  <a:lumOff val="60000"/>
                </a:schemeClr>
              </a:solidFill>
            </a:ln>
          </c:spPr>
          <c:marker>
            <c:symbol val="none"/>
          </c:marker>
          <c:cat>
            <c:strRef>
              <c:f>ChartSupport!$B$337:$E$337</c:f>
              <c:strCache>
                <c:ptCount val="4"/>
                <c:pt idx="0">
                  <c:v>1Q</c:v>
                </c:pt>
                <c:pt idx="1">
                  <c:v>2Q</c:v>
                </c:pt>
                <c:pt idx="2">
                  <c:v>3Q</c:v>
                </c:pt>
                <c:pt idx="3">
                  <c:v>4Q</c:v>
                </c:pt>
              </c:strCache>
            </c:strRef>
          </c:cat>
          <c:val>
            <c:numRef>
              <c:f>ChartSupport!$AD$367:$AG$367</c:f>
              <c:numCache>
                <c:formatCode>_(* #,##0_);_(* \(#,##0\);_(* "-"??_);_(@_)</c:formatCode>
                <c:ptCount val="4"/>
                <c:pt idx="0">
                  <c:v>31.666999999999916</c:v>
                </c:pt>
                <c:pt idx="1">
                  <c:v>-108.36800000000002</c:v>
                </c:pt>
                <c:pt idx="2">
                  <c:v>-136.96600000000012</c:v>
                </c:pt>
                <c:pt idx="3">
                  <c:v>225.90999999999991</c:v>
                </c:pt>
              </c:numCache>
            </c:numRef>
          </c:val>
          <c:smooth val="0"/>
        </c:ser>
        <c:ser>
          <c:idx val="6"/>
          <c:order val="6"/>
          <c:tx>
            <c:v>2015</c:v>
          </c:tx>
          <c:spPr>
            <a:ln w="25400">
              <a:solidFill>
                <a:schemeClr val="accent5">
                  <a:lumMod val="60000"/>
                  <a:lumOff val="40000"/>
                </a:schemeClr>
              </a:solidFill>
              <a:prstDash val="solid"/>
            </a:ln>
          </c:spPr>
          <c:marker>
            <c:symbol val="none"/>
          </c:marker>
          <c:cat>
            <c:strRef>
              <c:f>ChartSupport!$B$337:$E$337</c:f>
              <c:strCache>
                <c:ptCount val="4"/>
                <c:pt idx="0">
                  <c:v>1Q</c:v>
                </c:pt>
                <c:pt idx="1">
                  <c:v>2Q</c:v>
                </c:pt>
                <c:pt idx="2">
                  <c:v>3Q</c:v>
                </c:pt>
                <c:pt idx="3">
                  <c:v>4Q</c:v>
                </c:pt>
              </c:strCache>
            </c:strRef>
          </c:cat>
          <c:val>
            <c:numRef>
              <c:f>ChartSupport!$AH$367:$AK$367</c:f>
              <c:numCache>
                <c:formatCode>_(* #,##0_);_(* \(#,##0\);_(* "-"??_);_(@_)</c:formatCode>
                <c:ptCount val="4"/>
                <c:pt idx="0">
                  <c:v>-133.26899999999972</c:v>
                </c:pt>
                <c:pt idx="1">
                  <c:v>-327.01200000000028</c:v>
                </c:pt>
                <c:pt idx="2">
                  <c:v>-109.06199999999967</c:v>
                </c:pt>
                <c:pt idx="3">
                  <c:v>639.27999999999986</c:v>
                </c:pt>
              </c:numCache>
            </c:numRef>
          </c:val>
          <c:smooth val="0"/>
        </c:ser>
        <c:ser>
          <c:idx val="7"/>
          <c:order val="7"/>
          <c:tx>
            <c:v>zeroline</c:v>
          </c:tx>
          <c:spPr>
            <a:ln w="3175">
              <a:solidFill>
                <a:schemeClr val="bg1">
                  <a:lumMod val="50000"/>
                </a:schemeClr>
              </a:solidFill>
            </a:ln>
          </c:spPr>
          <c:marker>
            <c:symbol val="none"/>
          </c:marker>
          <c:cat>
            <c:strRef>
              <c:f>ChartSupport!$B$337:$E$337</c:f>
              <c:strCache>
                <c:ptCount val="4"/>
                <c:pt idx="0">
                  <c:v>1Q</c:v>
                </c:pt>
                <c:pt idx="1">
                  <c:v>2Q</c:v>
                </c:pt>
                <c:pt idx="2">
                  <c:v>3Q</c:v>
                </c:pt>
                <c:pt idx="3">
                  <c:v>4Q</c:v>
                </c:pt>
              </c:strCache>
            </c:strRef>
          </c:cat>
          <c:val>
            <c:numRef>
              <c:f>ChartSupport!$B$421:$E$421</c:f>
              <c:numCache>
                <c:formatCode>0</c:formatCode>
                <c:ptCount val="4"/>
                <c:pt idx="0">
                  <c:v>0</c:v>
                </c:pt>
                <c:pt idx="1">
                  <c:v>0</c:v>
                </c:pt>
                <c:pt idx="2">
                  <c:v>0</c:v>
                </c:pt>
                <c:pt idx="3">
                  <c:v>0</c:v>
                </c:pt>
              </c:numCache>
            </c:numRef>
          </c:val>
          <c:smooth val="0"/>
        </c:ser>
        <c:ser>
          <c:idx val="9"/>
          <c:order val="8"/>
          <c:tx>
            <c:v>2016</c:v>
          </c:tx>
          <c:spPr>
            <a:ln>
              <a:solidFill>
                <a:schemeClr val="accent1">
                  <a:lumMod val="75000"/>
                </a:schemeClr>
              </a:solidFill>
            </a:ln>
          </c:spPr>
          <c:marker>
            <c:symbol val="none"/>
          </c:marker>
          <c:cat>
            <c:strRef>
              <c:f>ChartSupport!$B$337:$E$337</c:f>
              <c:strCache>
                <c:ptCount val="4"/>
                <c:pt idx="0">
                  <c:v>1Q</c:v>
                </c:pt>
                <c:pt idx="1">
                  <c:v>2Q</c:v>
                </c:pt>
                <c:pt idx="2">
                  <c:v>3Q</c:v>
                </c:pt>
                <c:pt idx="3">
                  <c:v>4Q</c:v>
                </c:pt>
              </c:strCache>
            </c:strRef>
          </c:cat>
          <c:val>
            <c:numRef>
              <c:f>ChartSupport!$AL$367:$AO$367</c:f>
              <c:numCache>
                <c:formatCode>_(* #,##0_);_(* \(#,##0\);_(* "-"??_);_(@_)</c:formatCode>
                <c:ptCount val="4"/>
                <c:pt idx="0">
                  <c:v>-363.01899999999989</c:v>
                </c:pt>
                <c:pt idx="1">
                  <c:v>-147.74300000000028</c:v>
                </c:pt>
                <c:pt idx="2">
                  <c:v>-86.467999999999961</c:v>
                </c:pt>
                <c:pt idx="3">
                  <c:v>561.74900000000014</c:v>
                </c:pt>
              </c:numCache>
            </c:numRef>
          </c:val>
          <c:smooth val="0"/>
        </c:ser>
        <c:ser>
          <c:idx val="8"/>
          <c:order val="9"/>
          <c:tx>
            <c:v>2017</c:v>
          </c:tx>
          <c:spPr>
            <a:ln>
              <a:solidFill>
                <a:srgbClr val="FF0000"/>
              </a:solidFill>
              <a:prstDash val="dash"/>
            </a:ln>
          </c:spPr>
          <c:marker>
            <c:symbol val="none"/>
          </c:marker>
          <c:cat>
            <c:strRef>
              <c:f>ChartSupport!$B$337:$E$337</c:f>
              <c:strCache>
                <c:ptCount val="4"/>
                <c:pt idx="0">
                  <c:v>1Q</c:v>
                </c:pt>
                <c:pt idx="1">
                  <c:v>2Q</c:v>
                </c:pt>
                <c:pt idx="2">
                  <c:v>3Q</c:v>
                </c:pt>
                <c:pt idx="3">
                  <c:v>4Q</c:v>
                </c:pt>
              </c:strCache>
            </c:strRef>
          </c:cat>
          <c:val>
            <c:numRef>
              <c:f>ChartSupport!$AP$367:$AS$367</c:f>
              <c:numCache>
                <c:formatCode>_(* #,##0_);_(* \(#,##0\);_(* "-"??_);_(@_)</c:formatCode>
                <c:ptCount val="4"/>
                <c:pt idx="0">
                  <c:v>-195.49799999999993</c:v>
                </c:pt>
                <c:pt idx="1">
                  <c:v>-321.58400000000029</c:v>
                </c:pt>
                <c:pt idx="2">
                  <c:v>-7.507799999999861</c:v>
                </c:pt>
                <c:pt idx="3">
                  <c:v>469.93180000000024</c:v>
                </c:pt>
              </c:numCache>
            </c:numRef>
          </c:val>
          <c:smooth val="0"/>
        </c:ser>
        <c:ser>
          <c:idx val="10"/>
          <c:order val="10"/>
          <c:tx>
            <c:v>2018E</c:v>
          </c:tx>
          <c:spPr>
            <a:ln>
              <a:solidFill>
                <a:srgbClr val="00B0F0"/>
              </a:solidFill>
            </a:ln>
          </c:spPr>
          <c:marker>
            <c:symbol val="none"/>
          </c:marker>
          <c:cat>
            <c:strRef>
              <c:f>ChartSupport!$B$337:$E$337</c:f>
              <c:strCache>
                <c:ptCount val="4"/>
                <c:pt idx="0">
                  <c:v>1Q</c:v>
                </c:pt>
                <c:pt idx="1">
                  <c:v>2Q</c:v>
                </c:pt>
                <c:pt idx="2">
                  <c:v>3Q</c:v>
                </c:pt>
                <c:pt idx="3">
                  <c:v>4Q</c:v>
                </c:pt>
              </c:strCache>
            </c:strRef>
          </c:cat>
          <c:val>
            <c:numRef>
              <c:f>ChartSupport!$AT$367:$AW$367</c:f>
              <c:numCache>
                <c:formatCode>_(* #,##0_);_(* \(#,##0\);_(* "-"??_);_(@_)</c:formatCode>
                <c:ptCount val="4"/>
                <c:pt idx="0">
                  <c:v>-354.20300000000043</c:v>
                </c:pt>
                <c:pt idx="1">
                  <c:v>-358.3800965624925</c:v>
                </c:pt>
                <c:pt idx="2">
                  <c:v>118.86370334403034</c:v>
                </c:pt>
                <c:pt idx="3">
                  <c:v>572.64396299464318</c:v>
                </c:pt>
              </c:numCache>
            </c:numRef>
          </c:val>
          <c:smooth val="0"/>
        </c:ser>
        <c:dLbls>
          <c:showLegendKey val="0"/>
          <c:showVal val="0"/>
          <c:showCatName val="0"/>
          <c:showSerName val="0"/>
          <c:showPercent val="0"/>
          <c:showBubbleSize val="0"/>
        </c:dLbls>
        <c:marker val="1"/>
        <c:smooth val="0"/>
        <c:axId val="894984960"/>
        <c:axId val="894986496"/>
      </c:lineChart>
      <c:catAx>
        <c:axId val="894984960"/>
        <c:scaling>
          <c:orientation val="minMax"/>
        </c:scaling>
        <c:delete val="0"/>
        <c:axPos val="b"/>
        <c:numFmt formatCode="mmmm" sourceLinked="0"/>
        <c:majorTickMark val="out"/>
        <c:minorTickMark val="none"/>
        <c:tickLblPos val="low"/>
        <c:spPr>
          <a:ln w="3175">
            <a:solidFill>
              <a:srgbClr val="808080"/>
            </a:solidFill>
            <a:prstDash val="solid"/>
          </a:ln>
        </c:spPr>
        <c:txPr>
          <a:bodyPr rot="0" vert="horz"/>
          <a:lstStyle/>
          <a:p>
            <a:pPr>
              <a:defRPr/>
            </a:pPr>
            <a:endParaRPr lang="en-US"/>
          </a:p>
        </c:txPr>
        <c:crossAx val="894986496"/>
        <c:crossesAt val="-400"/>
        <c:auto val="1"/>
        <c:lblAlgn val="ctr"/>
        <c:lblOffset val="100"/>
        <c:tickLblSkip val="1"/>
        <c:tickMarkSkip val="1"/>
        <c:noMultiLvlLbl val="0"/>
      </c:catAx>
      <c:valAx>
        <c:axId val="894986496"/>
        <c:scaling>
          <c:orientation val="minMax"/>
        </c:scaling>
        <c:delete val="0"/>
        <c:axPos val="l"/>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4984960"/>
        <c:crosses val="autoZero"/>
        <c:crossBetween val="midCat"/>
      </c:valAx>
      <c:spPr>
        <a:noFill/>
        <a:ln w="25400">
          <a:noFill/>
        </a:ln>
      </c:spPr>
    </c:plotArea>
    <c:legend>
      <c:legendPos val="b"/>
      <c:legendEntry>
        <c:idx val="7"/>
        <c:delete val="1"/>
      </c:legendEntry>
      <c:layout>
        <c:manualLayout>
          <c:xMode val="edge"/>
          <c:yMode val="edge"/>
          <c:x val="0.10153273207050913"/>
          <c:y val="0.8064818060364769"/>
          <c:w val="0.79693453585898177"/>
          <c:h val="0.16715138458621234"/>
        </c:manualLayout>
      </c:layout>
      <c:overlay val="0"/>
      <c:spPr>
        <a:noFill/>
        <a:ln w="25400">
          <a:noFill/>
        </a:ln>
      </c:spPr>
      <c:txPr>
        <a:bodyPr/>
        <a:lstStyle/>
        <a:p>
          <a:pPr>
            <a:defRPr sz="800"/>
          </a:pPr>
          <a:endParaRPr lang="en-US"/>
        </a:p>
      </c:txPr>
    </c:legend>
    <c:plotVisOnly val="0"/>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842105263157901E-2"/>
          <c:y val="4.7022015548490691E-2"/>
          <c:w val="0.79736842105263162"/>
          <c:h val="0.78281569436408305"/>
        </c:manualLayout>
      </c:layout>
      <c:lineChart>
        <c:grouping val="standard"/>
        <c:varyColors val="0"/>
        <c:ser>
          <c:idx val="0"/>
          <c:order val="0"/>
          <c:tx>
            <c:v>2009</c:v>
          </c:tx>
          <c:spPr>
            <a:ln w="25400">
              <a:solidFill>
                <a:schemeClr val="bg1">
                  <a:lumMod val="50000"/>
                </a:schemeClr>
              </a:solidFill>
            </a:ln>
          </c:spPr>
          <c:marker>
            <c:symbol val="none"/>
          </c:marker>
          <c:cat>
            <c:strRef>
              <c:f>ChartSupport!$B$337:$E$337</c:f>
              <c:strCache>
                <c:ptCount val="4"/>
                <c:pt idx="0">
                  <c:v>1Q</c:v>
                </c:pt>
                <c:pt idx="1">
                  <c:v>2Q</c:v>
                </c:pt>
                <c:pt idx="2">
                  <c:v>3Q</c:v>
                </c:pt>
                <c:pt idx="3">
                  <c:v>4Q</c:v>
                </c:pt>
              </c:strCache>
            </c:strRef>
          </c:cat>
          <c:val>
            <c:numRef>
              <c:f>ChartSupport!$J$368:$M$368</c:f>
              <c:numCache>
                <c:formatCode>_(* #,##0_);_(* \(#,##0\);_(* "-"??_);_(@_)</c:formatCode>
                <c:ptCount val="4"/>
                <c:pt idx="0">
                  <c:v>-212.12899999999996</c:v>
                </c:pt>
                <c:pt idx="1">
                  <c:v>-208.5680000000001</c:v>
                </c:pt>
                <c:pt idx="2">
                  <c:v>-137.93799999999999</c:v>
                </c:pt>
                <c:pt idx="3">
                  <c:v>135.44300000000001</c:v>
                </c:pt>
              </c:numCache>
            </c:numRef>
          </c:val>
          <c:smooth val="0"/>
        </c:ser>
        <c:ser>
          <c:idx val="1"/>
          <c:order val="1"/>
          <c:tx>
            <c:v>2010</c:v>
          </c:tx>
          <c:spPr>
            <a:ln w="25400">
              <a:solidFill>
                <a:schemeClr val="accent2"/>
              </a:solidFill>
            </a:ln>
          </c:spPr>
          <c:marker>
            <c:symbol val="none"/>
          </c:marker>
          <c:cat>
            <c:strRef>
              <c:f>ChartSupport!$B$337:$E$337</c:f>
              <c:strCache>
                <c:ptCount val="4"/>
                <c:pt idx="0">
                  <c:v>1Q</c:v>
                </c:pt>
                <c:pt idx="1">
                  <c:v>2Q</c:v>
                </c:pt>
                <c:pt idx="2">
                  <c:v>3Q</c:v>
                </c:pt>
                <c:pt idx="3">
                  <c:v>4Q</c:v>
                </c:pt>
              </c:strCache>
            </c:strRef>
          </c:cat>
          <c:val>
            <c:numRef>
              <c:f>ChartSupport!$N$368:$Q$368</c:f>
              <c:numCache>
                <c:formatCode>_(* #,##0_);_(* \(#,##0\);_(* "-"??_);_(@_)</c:formatCode>
                <c:ptCount val="4"/>
                <c:pt idx="0">
                  <c:v>-16.141000000000105</c:v>
                </c:pt>
                <c:pt idx="1">
                  <c:v>-73.82000000000005</c:v>
                </c:pt>
                <c:pt idx="2">
                  <c:v>12.721000000000075</c:v>
                </c:pt>
                <c:pt idx="3">
                  <c:v>301.58899999999994</c:v>
                </c:pt>
              </c:numCache>
            </c:numRef>
          </c:val>
          <c:smooth val="0"/>
        </c:ser>
        <c:ser>
          <c:idx val="2"/>
          <c:order val="2"/>
          <c:tx>
            <c:v>2011</c:v>
          </c:tx>
          <c:spPr>
            <a:ln w="15875">
              <a:solidFill>
                <a:schemeClr val="accent3"/>
              </a:solidFill>
            </a:ln>
          </c:spPr>
          <c:marker>
            <c:symbol val="none"/>
          </c:marker>
          <c:cat>
            <c:strRef>
              <c:f>ChartSupport!$B$337:$E$337</c:f>
              <c:strCache>
                <c:ptCount val="4"/>
                <c:pt idx="0">
                  <c:v>1Q</c:v>
                </c:pt>
                <c:pt idx="1">
                  <c:v>2Q</c:v>
                </c:pt>
                <c:pt idx="2">
                  <c:v>3Q</c:v>
                </c:pt>
                <c:pt idx="3">
                  <c:v>4Q</c:v>
                </c:pt>
              </c:strCache>
            </c:strRef>
          </c:cat>
          <c:val>
            <c:numRef>
              <c:f>ChartSupport!$R$368:$U$368</c:f>
              <c:numCache>
                <c:formatCode>_(* #,##0_);_(* \(#,##0\);_(* "-"??_);_(@_)</c:formatCode>
                <c:ptCount val="4"/>
                <c:pt idx="0">
                  <c:v>-199.66699999999986</c:v>
                </c:pt>
                <c:pt idx="1">
                  <c:v>-104.44799999999992</c:v>
                </c:pt>
                <c:pt idx="2">
                  <c:v>89.853999999999758</c:v>
                </c:pt>
                <c:pt idx="3">
                  <c:v>34.423792000000105</c:v>
                </c:pt>
              </c:numCache>
            </c:numRef>
          </c:val>
          <c:smooth val="0"/>
        </c:ser>
        <c:ser>
          <c:idx val="3"/>
          <c:order val="3"/>
          <c:tx>
            <c:v>2012</c:v>
          </c:tx>
          <c:spPr>
            <a:ln w="25400">
              <a:solidFill>
                <a:schemeClr val="bg2">
                  <a:lumMod val="90000"/>
                </a:schemeClr>
              </a:solidFill>
            </a:ln>
          </c:spPr>
          <c:marker>
            <c:symbol val="none"/>
          </c:marker>
          <c:cat>
            <c:strRef>
              <c:f>ChartSupport!$B$337:$E$337</c:f>
              <c:strCache>
                <c:ptCount val="4"/>
                <c:pt idx="0">
                  <c:v>1Q</c:v>
                </c:pt>
                <c:pt idx="1">
                  <c:v>2Q</c:v>
                </c:pt>
                <c:pt idx="2">
                  <c:v>3Q</c:v>
                </c:pt>
                <c:pt idx="3">
                  <c:v>4Q</c:v>
                </c:pt>
              </c:strCache>
            </c:strRef>
          </c:cat>
          <c:val>
            <c:numRef>
              <c:f>ChartSupport!$V$368:$Y$368</c:f>
              <c:numCache>
                <c:formatCode>_(* #,##0_);_(* \(#,##0\);_(* "-"??_);_(@_)</c:formatCode>
                <c:ptCount val="4"/>
                <c:pt idx="0">
                  <c:v>-24.775096000000005</c:v>
                </c:pt>
                <c:pt idx="1">
                  <c:v>-142.97267600000015</c:v>
                </c:pt>
                <c:pt idx="2">
                  <c:v>-73.655631999999912</c:v>
                </c:pt>
                <c:pt idx="3">
                  <c:v>78.910236000000054</c:v>
                </c:pt>
              </c:numCache>
            </c:numRef>
          </c:val>
          <c:smooth val="0"/>
        </c:ser>
        <c:ser>
          <c:idx val="4"/>
          <c:order val="4"/>
          <c:tx>
            <c:v>2013</c:v>
          </c:tx>
          <c:spPr>
            <a:ln w="15875">
              <a:solidFill>
                <a:srgbClr val="CC6600"/>
              </a:solidFill>
            </a:ln>
          </c:spPr>
          <c:marker>
            <c:symbol val="none"/>
          </c:marker>
          <c:cat>
            <c:strRef>
              <c:f>ChartSupport!$B$337:$E$337</c:f>
              <c:strCache>
                <c:ptCount val="4"/>
                <c:pt idx="0">
                  <c:v>1Q</c:v>
                </c:pt>
                <c:pt idx="1">
                  <c:v>2Q</c:v>
                </c:pt>
                <c:pt idx="2">
                  <c:v>3Q</c:v>
                </c:pt>
                <c:pt idx="3">
                  <c:v>4Q</c:v>
                </c:pt>
              </c:strCache>
            </c:strRef>
          </c:cat>
          <c:val>
            <c:numRef>
              <c:f>ChartSupport!$Z$368:$AC$368</c:f>
              <c:numCache>
                <c:formatCode>_(* #,##0_);_(* \(#,##0\);_(* "-"??_);_(@_)</c:formatCode>
                <c:ptCount val="4"/>
                <c:pt idx="0">
                  <c:v>-152.06593200000003</c:v>
                </c:pt>
                <c:pt idx="1">
                  <c:v>-122.22864800000008</c:v>
                </c:pt>
                <c:pt idx="2">
                  <c:v>-188.30615999999984</c:v>
                </c:pt>
                <c:pt idx="3">
                  <c:v>135.42351599999995</c:v>
                </c:pt>
              </c:numCache>
            </c:numRef>
          </c:val>
          <c:smooth val="0"/>
        </c:ser>
        <c:ser>
          <c:idx val="5"/>
          <c:order val="5"/>
          <c:tx>
            <c:v>2014</c:v>
          </c:tx>
          <c:spPr>
            <a:ln w="25400">
              <a:solidFill>
                <a:schemeClr val="accent3">
                  <a:lumMod val="40000"/>
                  <a:lumOff val="60000"/>
                </a:schemeClr>
              </a:solidFill>
            </a:ln>
          </c:spPr>
          <c:marker>
            <c:symbol val="none"/>
          </c:marker>
          <c:cat>
            <c:strRef>
              <c:f>ChartSupport!$B$337:$E$337</c:f>
              <c:strCache>
                <c:ptCount val="4"/>
                <c:pt idx="0">
                  <c:v>1Q</c:v>
                </c:pt>
                <c:pt idx="1">
                  <c:v>2Q</c:v>
                </c:pt>
                <c:pt idx="2">
                  <c:v>3Q</c:v>
                </c:pt>
                <c:pt idx="3">
                  <c:v>4Q</c:v>
                </c:pt>
              </c:strCache>
            </c:strRef>
          </c:cat>
          <c:val>
            <c:numRef>
              <c:f>ChartSupport!$AD$368:$AG$368</c:f>
              <c:numCache>
                <c:formatCode>_(* #,##0_);_(* \(#,##0\);_(* "-"??_);_(@_)</c:formatCode>
                <c:ptCount val="4"/>
                <c:pt idx="0">
                  <c:v>95.721455999999861</c:v>
                </c:pt>
                <c:pt idx="1">
                  <c:v>-67.531335999999811</c:v>
                </c:pt>
                <c:pt idx="2">
                  <c:v>-172.9974159999999</c:v>
                </c:pt>
                <c:pt idx="3">
                  <c:v>41.083503999999664</c:v>
                </c:pt>
              </c:numCache>
            </c:numRef>
          </c:val>
          <c:smooth val="0"/>
        </c:ser>
        <c:ser>
          <c:idx val="6"/>
          <c:order val="6"/>
          <c:tx>
            <c:v>2015</c:v>
          </c:tx>
          <c:spPr>
            <a:ln w="25400">
              <a:solidFill>
                <a:schemeClr val="accent5">
                  <a:lumMod val="60000"/>
                  <a:lumOff val="40000"/>
                </a:schemeClr>
              </a:solidFill>
              <a:prstDash val="solid"/>
            </a:ln>
          </c:spPr>
          <c:marker>
            <c:symbol val="none"/>
          </c:marker>
          <c:cat>
            <c:strRef>
              <c:f>ChartSupport!$B$337:$E$337</c:f>
              <c:strCache>
                <c:ptCount val="4"/>
                <c:pt idx="0">
                  <c:v>1Q</c:v>
                </c:pt>
                <c:pt idx="1">
                  <c:v>2Q</c:v>
                </c:pt>
                <c:pt idx="2">
                  <c:v>3Q</c:v>
                </c:pt>
                <c:pt idx="3">
                  <c:v>4Q</c:v>
                </c:pt>
              </c:strCache>
            </c:strRef>
          </c:cat>
          <c:val>
            <c:numRef>
              <c:f>ChartSupport!$AH$368:$AK$368</c:f>
              <c:numCache>
                <c:formatCode>_(* #,##0_);_(* \(#,##0\);_(* "-"??_);_(@_)</c:formatCode>
                <c:ptCount val="4"/>
                <c:pt idx="0">
                  <c:v>-125.9136199999999</c:v>
                </c:pt>
                <c:pt idx="1">
                  <c:v>-314.53933999999981</c:v>
                </c:pt>
                <c:pt idx="2">
                  <c:v>-204.07778000000033</c:v>
                </c:pt>
                <c:pt idx="3">
                  <c:v>492.24248000000051</c:v>
                </c:pt>
              </c:numCache>
            </c:numRef>
          </c:val>
          <c:smooth val="0"/>
        </c:ser>
        <c:ser>
          <c:idx val="7"/>
          <c:order val="7"/>
          <c:tx>
            <c:v>zeroline</c:v>
          </c:tx>
          <c:spPr>
            <a:ln w="3175">
              <a:solidFill>
                <a:schemeClr val="bg1">
                  <a:lumMod val="50000"/>
                </a:schemeClr>
              </a:solidFill>
            </a:ln>
          </c:spPr>
          <c:marker>
            <c:symbol val="none"/>
          </c:marker>
          <c:cat>
            <c:strRef>
              <c:f>ChartSupport!$B$337:$E$337</c:f>
              <c:strCache>
                <c:ptCount val="4"/>
                <c:pt idx="0">
                  <c:v>1Q</c:v>
                </c:pt>
                <c:pt idx="1">
                  <c:v>2Q</c:v>
                </c:pt>
                <c:pt idx="2">
                  <c:v>3Q</c:v>
                </c:pt>
                <c:pt idx="3">
                  <c:v>4Q</c:v>
                </c:pt>
              </c:strCache>
            </c:strRef>
          </c:cat>
          <c:val>
            <c:numRef>
              <c:f>ChartSupport!$B$421:$E$421</c:f>
              <c:numCache>
                <c:formatCode>0</c:formatCode>
                <c:ptCount val="4"/>
                <c:pt idx="0">
                  <c:v>0</c:v>
                </c:pt>
                <c:pt idx="1">
                  <c:v>0</c:v>
                </c:pt>
                <c:pt idx="2">
                  <c:v>0</c:v>
                </c:pt>
                <c:pt idx="3">
                  <c:v>0</c:v>
                </c:pt>
              </c:numCache>
            </c:numRef>
          </c:val>
          <c:smooth val="0"/>
        </c:ser>
        <c:ser>
          <c:idx val="9"/>
          <c:order val="8"/>
          <c:tx>
            <c:v>2016</c:v>
          </c:tx>
          <c:spPr>
            <a:ln>
              <a:solidFill>
                <a:schemeClr val="accent1">
                  <a:lumMod val="75000"/>
                </a:schemeClr>
              </a:solidFill>
            </a:ln>
          </c:spPr>
          <c:marker>
            <c:symbol val="none"/>
          </c:marker>
          <c:cat>
            <c:strRef>
              <c:f>ChartSupport!$B$337:$E$337</c:f>
              <c:strCache>
                <c:ptCount val="4"/>
                <c:pt idx="0">
                  <c:v>1Q</c:v>
                </c:pt>
                <c:pt idx="1">
                  <c:v>2Q</c:v>
                </c:pt>
                <c:pt idx="2">
                  <c:v>3Q</c:v>
                </c:pt>
                <c:pt idx="3">
                  <c:v>4Q</c:v>
                </c:pt>
              </c:strCache>
            </c:strRef>
          </c:cat>
          <c:val>
            <c:numRef>
              <c:f>ChartSupport!$AL$368:$AO$368</c:f>
              <c:numCache>
                <c:formatCode>_(* #,##0_);_(* \(#,##0\);_(* "-"??_);_(@_)</c:formatCode>
                <c:ptCount val="4"/>
                <c:pt idx="0">
                  <c:v>-270.69509999999991</c:v>
                </c:pt>
                <c:pt idx="1">
                  <c:v>-125.48328400000037</c:v>
                </c:pt>
                <c:pt idx="2">
                  <c:v>21.800128000000285</c:v>
                </c:pt>
                <c:pt idx="3">
                  <c:v>467.41690799999998</c:v>
                </c:pt>
              </c:numCache>
            </c:numRef>
          </c:val>
          <c:smooth val="0"/>
        </c:ser>
        <c:ser>
          <c:idx val="8"/>
          <c:order val="9"/>
          <c:tx>
            <c:v>2017</c:v>
          </c:tx>
          <c:spPr>
            <a:ln>
              <a:solidFill>
                <a:srgbClr val="FF0000"/>
              </a:solidFill>
              <a:prstDash val="dash"/>
            </a:ln>
          </c:spPr>
          <c:marker>
            <c:symbol val="none"/>
          </c:marker>
          <c:cat>
            <c:strRef>
              <c:f>ChartSupport!$B$337:$E$337</c:f>
              <c:strCache>
                <c:ptCount val="4"/>
                <c:pt idx="0">
                  <c:v>1Q</c:v>
                </c:pt>
                <c:pt idx="1">
                  <c:v>2Q</c:v>
                </c:pt>
                <c:pt idx="2">
                  <c:v>3Q</c:v>
                </c:pt>
                <c:pt idx="3">
                  <c:v>4Q</c:v>
                </c:pt>
              </c:strCache>
            </c:strRef>
          </c:cat>
          <c:val>
            <c:numRef>
              <c:f>ChartSupport!$AP$368:$AS$368</c:f>
              <c:numCache>
                <c:formatCode>_(* #,##0_);_(* \(#,##0\);_(* "-"??_);_(@_)</c:formatCode>
                <c:ptCount val="4"/>
                <c:pt idx="0">
                  <c:v>-209.92699999999977</c:v>
                </c:pt>
                <c:pt idx="1">
                  <c:v>-155.74000000000007</c:v>
                </c:pt>
                <c:pt idx="2">
                  <c:v>-152.09679999999986</c:v>
                </c:pt>
                <c:pt idx="3">
                  <c:v>436.28379999999964</c:v>
                </c:pt>
              </c:numCache>
            </c:numRef>
          </c:val>
          <c:smooth val="0"/>
        </c:ser>
        <c:ser>
          <c:idx val="10"/>
          <c:order val="10"/>
          <c:tx>
            <c:v>2018E</c:v>
          </c:tx>
          <c:spPr>
            <a:ln>
              <a:solidFill>
                <a:srgbClr val="00B0F0"/>
              </a:solidFill>
            </a:ln>
          </c:spPr>
          <c:marker>
            <c:symbol val="none"/>
          </c:marker>
          <c:cat>
            <c:strRef>
              <c:f>ChartSupport!$B$337:$E$337</c:f>
              <c:strCache>
                <c:ptCount val="4"/>
                <c:pt idx="0">
                  <c:v>1Q</c:v>
                </c:pt>
                <c:pt idx="1">
                  <c:v>2Q</c:v>
                </c:pt>
                <c:pt idx="2">
                  <c:v>3Q</c:v>
                </c:pt>
                <c:pt idx="3">
                  <c:v>4Q</c:v>
                </c:pt>
              </c:strCache>
            </c:strRef>
          </c:cat>
          <c:val>
            <c:numRef>
              <c:f>ChartSupport!$AT$368:$AW$368</c:f>
              <c:numCache>
                <c:formatCode>_(* #,##0_);_(* \(#,##0\);_(* "-"??_);_(@_)</c:formatCode>
                <c:ptCount val="4"/>
                <c:pt idx="0">
                  <c:v>-134.60199999999998</c:v>
                </c:pt>
                <c:pt idx="1">
                  <c:v>-195.60112651129873</c:v>
                </c:pt>
                <c:pt idx="2">
                  <c:v>207.24578272598166</c:v>
                </c:pt>
                <c:pt idx="3">
                  <c:v>594.76054155983184</c:v>
                </c:pt>
              </c:numCache>
            </c:numRef>
          </c:val>
          <c:smooth val="0"/>
        </c:ser>
        <c:dLbls>
          <c:showLegendKey val="0"/>
          <c:showVal val="0"/>
          <c:showCatName val="0"/>
          <c:showSerName val="0"/>
          <c:showPercent val="0"/>
          <c:showBubbleSize val="0"/>
        </c:dLbls>
        <c:marker val="1"/>
        <c:smooth val="0"/>
        <c:axId val="895314176"/>
        <c:axId val="895320064"/>
      </c:lineChart>
      <c:catAx>
        <c:axId val="895314176"/>
        <c:scaling>
          <c:orientation val="minMax"/>
        </c:scaling>
        <c:delete val="0"/>
        <c:axPos val="b"/>
        <c:numFmt formatCode="mmmm" sourceLinked="0"/>
        <c:majorTickMark val="out"/>
        <c:minorTickMark val="none"/>
        <c:tickLblPos val="low"/>
        <c:spPr>
          <a:ln w="3175">
            <a:solidFill>
              <a:srgbClr val="808080"/>
            </a:solidFill>
            <a:prstDash val="solid"/>
          </a:ln>
        </c:spPr>
        <c:txPr>
          <a:bodyPr rot="0" vert="horz"/>
          <a:lstStyle/>
          <a:p>
            <a:pPr>
              <a:defRPr/>
            </a:pPr>
            <a:endParaRPr lang="en-US"/>
          </a:p>
        </c:txPr>
        <c:crossAx val="895320064"/>
        <c:crossesAt val="-400"/>
        <c:auto val="1"/>
        <c:lblAlgn val="ctr"/>
        <c:lblOffset val="100"/>
        <c:tickLblSkip val="1"/>
        <c:tickMarkSkip val="1"/>
        <c:noMultiLvlLbl val="0"/>
      </c:catAx>
      <c:valAx>
        <c:axId val="895320064"/>
        <c:scaling>
          <c:orientation val="minMax"/>
          <c:max val="1000"/>
        </c:scaling>
        <c:delete val="0"/>
        <c:axPos val="l"/>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5314176"/>
        <c:crosses val="autoZero"/>
        <c:crossBetween val="midCat"/>
      </c:valAx>
      <c:spPr>
        <a:noFill/>
        <a:ln w="25400">
          <a:noFill/>
        </a:ln>
      </c:spPr>
    </c:plotArea>
    <c:legend>
      <c:legendPos val="b"/>
      <c:legendEntry>
        <c:idx val="7"/>
        <c:delete val="1"/>
      </c:legendEntry>
      <c:layout>
        <c:manualLayout>
          <c:xMode val="edge"/>
          <c:yMode val="edge"/>
          <c:x val="0.11056775823347517"/>
          <c:y val="0.83181265980641905"/>
          <c:w val="0.77886420290778291"/>
          <c:h val="0.14233673835289598"/>
        </c:manualLayout>
      </c:layout>
      <c:overlay val="0"/>
      <c:spPr>
        <a:noFill/>
        <a:ln w="25400">
          <a:noFill/>
        </a:ln>
      </c:spPr>
      <c:txPr>
        <a:bodyPr/>
        <a:lstStyle/>
        <a:p>
          <a:pPr>
            <a:defRPr sz="800"/>
          </a:pPr>
          <a:endParaRPr lang="en-US"/>
        </a:p>
      </c:txPr>
    </c:legend>
    <c:plotVisOnly val="0"/>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614395234567834E-2"/>
          <c:y val="4.6875E-2"/>
          <c:w val="0.80840102218929977"/>
          <c:h val="0.77500000000000002"/>
        </c:manualLayout>
      </c:layout>
      <c:lineChart>
        <c:grouping val="standard"/>
        <c:varyColors val="0"/>
        <c:ser>
          <c:idx val="0"/>
          <c:order val="0"/>
          <c:tx>
            <c:v>2009</c:v>
          </c:tx>
          <c:spPr>
            <a:ln w="25400">
              <a:solidFill>
                <a:schemeClr val="bg1">
                  <a:lumMod val="50000"/>
                </a:schemeClr>
              </a:solidFill>
            </a:ln>
          </c:spPr>
          <c:marker>
            <c:symbol val="none"/>
          </c:marker>
          <c:cat>
            <c:strRef>
              <c:f>ChartSupport!$B$337:$E$337</c:f>
              <c:strCache>
                <c:ptCount val="4"/>
                <c:pt idx="0">
                  <c:v>1Q</c:v>
                </c:pt>
                <c:pt idx="1">
                  <c:v>2Q</c:v>
                </c:pt>
                <c:pt idx="2">
                  <c:v>3Q</c:v>
                </c:pt>
                <c:pt idx="3">
                  <c:v>4Q</c:v>
                </c:pt>
              </c:strCache>
            </c:strRef>
          </c:cat>
          <c:val>
            <c:numRef>
              <c:f>ChartSupport!$J$373:$M$373</c:f>
              <c:numCache>
                <c:formatCode>_(* #,##0_);_(* \(#,##0\);_(* "-"??_);_(@_)</c:formatCode>
                <c:ptCount val="4"/>
                <c:pt idx="0">
                  <c:v>-151.71299999999997</c:v>
                </c:pt>
                <c:pt idx="1">
                  <c:v>-87.160000000000011</c:v>
                </c:pt>
                <c:pt idx="2">
                  <c:v>-83.323000000000008</c:v>
                </c:pt>
                <c:pt idx="3">
                  <c:v>-135.095</c:v>
                </c:pt>
              </c:numCache>
            </c:numRef>
          </c:val>
          <c:smooth val="0"/>
        </c:ser>
        <c:ser>
          <c:idx val="1"/>
          <c:order val="1"/>
          <c:tx>
            <c:v>2010</c:v>
          </c:tx>
          <c:spPr>
            <a:ln w="25400">
              <a:solidFill>
                <a:schemeClr val="accent2"/>
              </a:solidFill>
            </a:ln>
          </c:spPr>
          <c:marker>
            <c:symbol val="none"/>
          </c:marker>
          <c:cat>
            <c:strRef>
              <c:f>ChartSupport!$B$337:$E$337</c:f>
              <c:strCache>
                <c:ptCount val="4"/>
                <c:pt idx="0">
                  <c:v>1Q</c:v>
                </c:pt>
                <c:pt idx="1">
                  <c:v>2Q</c:v>
                </c:pt>
                <c:pt idx="2">
                  <c:v>3Q</c:v>
                </c:pt>
                <c:pt idx="3">
                  <c:v>4Q</c:v>
                </c:pt>
              </c:strCache>
            </c:strRef>
          </c:cat>
          <c:val>
            <c:numRef>
              <c:f>ChartSupport!$N$373:$Q$373</c:f>
              <c:numCache>
                <c:formatCode>_(* #,##0_);_(* \(#,##0\);_(* "-"??_);_(@_)</c:formatCode>
                <c:ptCount val="4"/>
                <c:pt idx="0">
                  <c:v>-74.799000000000007</c:v>
                </c:pt>
                <c:pt idx="1">
                  <c:v>-52.16</c:v>
                </c:pt>
                <c:pt idx="2">
                  <c:v>-52.641000000000005</c:v>
                </c:pt>
                <c:pt idx="3">
                  <c:v>-154.74600000000001</c:v>
                </c:pt>
              </c:numCache>
            </c:numRef>
          </c:val>
          <c:smooth val="0"/>
        </c:ser>
        <c:ser>
          <c:idx val="2"/>
          <c:order val="2"/>
          <c:tx>
            <c:v>2011</c:v>
          </c:tx>
          <c:spPr>
            <a:ln w="25400">
              <a:solidFill>
                <a:schemeClr val="accent3"/>
              </a:solidFill>
            </a:ln>
          </c:spPr>
          <c:marker>
            <c:symbol val="none"/>
          </c:marker>
          <c:cat>
            <c:strRef>
              <c:f>ChartSupport!$B$337:$E$337</c:f>
              <c:strCache>
                <c:ptCount val="4"/>
                <c:pt idx="0">
                  <c:v>1Q</c:v>
                </c:pt>
                <c:pt idx="1">
                  <c:v>2Q</c:v>
                </c:pt>
                <c:pt idx="2">
                  <c:v>3Q</c:v>
                </c:pt>
                <c:pt idx="3">
                  <c:v>4Q</c:v>
                </c:pt>
              </c:strCache>
            </c:strRef>
          </c:cat>
          <c:val>
            <c:numRef>
              <c:f>ChartSupport!$R$373:$U$373</c:f>
              <c:numCache>
                <c:formatCode>_(* #,##0_);_(* \(#,##0\);_(* "-"??_);_(@_)</c:formatCode>
                <c:ptCount val="4"/>
                <c:pt idx="0">
                  <c:v>-69.563000000000002</c:v>
                </c:pt>
                <c:pt idx="1">
                  <c:v>-103.648</c:v>
                </c:pt>
                <c:pt idx="2">
                  <c:v>-134.62100000000001</c:v>
                </c:pt>
                <c:pt idx="3">
                  <c:v>-146.33700000000002</c:v>
                </c:pt>
              </c:numCache>
            </c:numRef>
          </c:val>
          <c:smooth val="0"/>
        </c:ser>
        <c:ser>
          <c:idx val="3"/>
          <c:order val="3"/>
          <c:tx>
            <c:v>2012</c:v>
          </c:tx>
          <c:spPr>
            <a:ln w="25400">
              <a:solidFill>
                <a:schemeClr val="bg2"/>
              </a:solidFill>
            </a:ln>
          </c:spPr>
          <c:marker>
            <c:symbol val="none"/>
          </c:marker>
          <c:cat>
            <c:strRef>
              <c:f>ChartSupport!$B$337:$E$337</c:f>
              <c:strCache>
                <c:ptCount val="4"/>
                <c:pt idx="0">
                  <c:v>1Q</c:v>
                </c:pt>
                <c:pt idx="1">
                  <c:v>2Q</c:v>
                </c:pt>
                <c:pt idx="2">
                  <c:v>3Q</c:v>
                </c:pt>
                <c:pt idx="3">
                  <c:v>4Q</c:v>
                </c:pt>
              </c:strCache>
            </c:strRef>
          </c:cat>
          <c:val>
            <c:numRef>
              <c:f>ChartSupport!$V$373:$Y$373</c:f>
              <c:numCache>
                <c:formatCode>_(* #,##0_);_(* \(#,##0\);_(* "-"??_);_(@_)</c:formatCode>
                <c:ptCount val="4"/>
                <c:pt idx="0">
                  <c:v>-109.69799999999999</c:v>
                </c:pt>
                <c:pt idx="1">
                  <c:v>-129.71499999999997</c:v>
                </c:pt>
                <c:pt idx="2">
                  <c:v>-177.05700000000002</c:v>
                </c:pt>
                <c:pt idx="3">
                  <c:v>-214.596</c:v>
                </c:pt>
              </c:numCache>
            </c:numRef>
          </c:val>
          <c:smooth val="0"/>
        </c:ser>
        <c:ser>
          <c:idx val="4"/>
          <c:order val="4"/>
          <c:tx>
            <c:v>2013</c:v>
          </c:tx>
          <c:spPr>
            <a:ln w="25400">
              <a:solidFill>
                <a:srgbClr val="CC6600"/>
              </a:solidFill>
            </a:ln>
          </c:spPr>
          <c:marker>
            <c:symbol val="none"/>
          </c:marker>
          <c:cat>
            <c:strRef>
              <c:f>ChartSupport!$B$337:$E$337</c:f>
              <c:strCache>
                <c:ptCount val="4"/>
                <c:pt idx="0">
                  <c:v>1Q</c:v>
                </c:pt>
                <c:pt idx="1">
                  <c:v>2Q</c:v>
                </c:pt>
                <c:pt idx="2">
                  <c:v>3Q</c:v>
                </c:pt>
                <c:pt idx="3">
                  <c:v>4Q</c:v>
                </c:pt>
              </c:strCache>
            </c:strRef>
          </c:cat>
          <c:val>
            <c:numRef>
              <c:f>ChartSupport!$Z$373:$AC$373</c:f>
              <c:numCache>
                <c:formatCode>_(* #,##0_);_(* \(#,##0\);_(* "-"??_);_(@_)</c:formatCode>
                <c:ptCount val="4"/>
                <c:pt idx="0">
                  <c:v>-131.75899999999999</c:v>
                </c:pt>
                <c:pt idx="1">
                  <c:v>-149.20999999999998</c:v>
                </c:pt>
                <c:pt idx="2">
                  <c:v>-137.535</c:v>
                </c:pt>
                <c:pt idx="3">
                  <c:v>-261.33699999999999</c:v>
                </c:pt>
              </c:numCache>
            </c:numRef>
          </c:val>
          <c:smooth val="0"/>
        </c:ser>
        <c:ser>
          <c:idx val="5"/>
          <c:order val="5"/>
          <c:tx>
            <c:v>2014</c:v>
          </c:tx>
          <c:spPr>
            <a:ln w="25400">
              <a:solidFill>
                <a:schemeClr val="accent3">
                  <a:lumMod val="40000"/>
                  <a:lumOff val="60000"/>
                </a:schemeClr>
              </a:solidFill>
            </a:ln>
          </c:spPr>
          <c:marker>
            <c:symbol val="none"/>
          </c:marker>
          <c:cat>
            <c:strRef>
              <c:f>ChartSupport!$B$337:$E$337</c:f>
              <c:strCache>
                <c:ptCount val="4"/>
                <c:pt idx="0">
                  <c:v>1Q</c:v>
                </c:pt>
                <c:pt idx="1">
                  <c:v>2Q</c:v>
                </c:pt>
                <c:pt idx="2">
                  <c:v>3Q</c:v>
                </c:pt>
                <c:pt idx="3">
                  <c:v>4Q</c:v>
                </c:pt>
              </c:strCache>
            </c:strRef>
          </c:cat>
          <c:val>
            <c:numRef>
              <c:f>ChartSupport!$AD$373:$AG$373</c:f>
              <c:numCache>
                <c:formatCode>_(* #,##0_);_(* \(#,##0\);_(* "-"??_);_(@_)</c:formatCode>
                <c:ptCount val="4"/>
                <c:pt idx="0">
                  <c:v>-115.41600000000001</c:v>
                </c:pt>
                <c:pt idx="1">
                  <c:v>-119.69299999999998</c:v>
                </c:pt>
                <c:pt idx="2">
                  <c:v>-166.929</c:v>
                </c:pt>
                <c:pt idx="3">
                  <c:v>-256.40600000000001</c:v>
                </c:pt>
              </c:numCache>
            </c:numRef>
          </c:val>
          <c:smooth val="0"/>
        </c:ser>
        <c:ser>
          <c:idx val="6"/>
          <c:order val="6"/>
          <c:tx>
            <c:v>2015</c:v>
          </c:tx>
          <c:spPr>
            <a:ln w="25400">
              <a:solidFill>
                <a:schemeClr val="accent5">
                  <a:lumMod val="60000"/>
                  <a:lumOff val="40000"/>
                </a:schemeClr>
              </a:solidFill>
              <a:prstDash val="solid"/>
            </a:ln>
          </c:spPr>
          <c:marker>
            <c:symbol val="none"/>
          </c:marker>
          <c:cat>
            <c:strRef>
              <c:f>ChartSupport!$B$337:$E$337</c:f>
              <c:strCache>
                <c:ptCount val="4"/>
                <c:pt idx="0">
                  <c:v>1Q</c:v>
                </c:pt>
                <c:pt idx="1">
                  <c:v>2Q</c:v>
                </c:pt>
                <c:pt idx="2">
                  <c:v>3Q</c:v>
                </c:pt>
                <c:pt idx="3">
                  <c:v>4Q</c:v>
                </c:pt>
              </c:strCache>
            </c:strRef>
          </c:cat>
          <c:val>
            <c:numRef>
              <c:f>ChartSupport!$AT$373:$AW$373</c:f>
              <c:numCache>
                <c:formatCode>_(* #,##0_);_(* \(#,##0\);_(* "-"??_);_(@_)</c:formatCode>
                <c:ptCount val="4"/>
                <c:pt idx="0">
                  <c:v>-114.48599999999999</c:v>
                </c:pt>
                <c:pt idx="1">
                  <c:v>-193.58474608833956</c:v>
                </c:pt>
                <c:pt idx="2">
                  <c:v>-282.47687633002806</c:v>
                </c:pt>
                <c:pt idx="3">
                  <c:v>-400.36466105548925</c:v>
                </c:pt>
              </c:numCache>
            </c:numRef>
          </c:val>
          <c:smooth val="0"/>
        </c:ser>
        <c:ser>
          <c:idx val="7"/>
          <c:order val="7"/>
          <c:tx>
            <c:v>zeroline</c:v>
          </c:tx>
          <c:spPr>
            <a:ln w="3175">
              <a:solidFill>
                <a:schemeClr val="bg1">
                  <a:lumMod val="50000"/>
                </a:schemeClr>
              </a:solidFill>
            </a:ln>
          </c:spPr>
          <c:marker>
            <c:symbol val="none"/>
          </c:marker>
          <c:cat>
            <c:strRef>
              <c:f>ChartSupport!$B$337:$E$337</c:f>
              <c:strCache>
                <c:ptCount val="4"/>
                <c:pt idx="0">
                  <c:v>1Q</c:v>
                </c:pt>
                <c:pt idx="1">
                  <c:v>2Q</c:v>
                </c:pt>
                <c:pt idx="2">
                  <c:v>3Q</c:v>
                </c:pt>
                <c:pt idx="3">
                  <c:v>4Q</c:v>
                </c:pt>
              </c:strCache>
            </c:strRef>
          </c:cat>
          <c:val>
            <c:numRef>
              <c:f>ChartSupport!$B$421:$E$421</c:f>
              <c:numCache>
                <c:formatCode>0</c:formatCode>
                <c:ptCount val="4"/>
                <c:pt idx="0">
                  <c:v>0</c:v>
                </c:pt>
                <c:pt idx="1">
                  <c:v>0</c:v>
                </c:pt>
                <c:pt idx="2">
                  <c:v>0</c:v>
                </c:pt>
                <c:pt idx="3">
                  <c:v>0</c:v>
                </c:pt>
              </c:numCache>
            </c:numRef>
          </c:val>
          <c:smooth val="0"/>
        </c:ser>
        <c:ser>
          <c:idx val="9"/>
          <c:order val="8"/>
          <c:tx>
            <c:v>2016</c:v>
          </c:tx>
          <c:spPr>
            <a:ln>
              <a:solidFill>
                <a:schemeClr val="accent1">
                  <a:lumMod val="75000"/>
                </a:schemeClr>
              </a:solidFill>
            </a:ln>
          </c:spPr>
          <c:marker>
            <c:symbol val="none"/>
          </c:marker>
          <c:cat>
            <c:strRef>
              <c:f>ChartSupport!$B$337:$E$337</c:f>
              <c:strCache>
                <c:ptCount val="4"/>
                <c:pt idx="0">
                  <c:v>1Q</c:v>
                </c:pt>
                <c:pt idx="1">
                  <c:v>2Q</c:v>
                </c:pt>
                <c:pt idx="2">
                  <c:v>3Q</c:v>
                </c:pt>
                <c:pt idx="3">
                  <c:v>4Q</c:v>
                </c:pt>
              </c:strCache>
            </c:strRef>
          </c:cat>
          <c:val>
            <c:numRef>
              <c:f>ChartSupport!$AL$373:$AO$373</c:f>
              <c:numCache>
                <c:formatCode>_(* #,##0_);_(* \(#,##0\);_(* "-"??_);_(@_)</c:formatCode>
                <c:ptCount val="4"/>
                <c:pt idx="0">
                  <c:v>-159.81200000000001</c:v>
                </c:pt>
                <c:pt idx="1">
                  <c:v>-152.73999999999998</c:v>
                </c:pt>
                <c:pt idx="2">
                  <c:v>-209.554</c:v>
                </c:pt>
                <c:pt idx="3">
                  <c:v>-318.70800000000003</c:v>
                </c:pt>
              </c:numCache>
            </c:numRef>
          </c:val>
          <c:smooth val="0"/>
        </c:ser>
        <c:ser>
          <c:idx val="8"/>
          <c:order val="9"/>
          <c:tx>
            <c:v>2017</c:v>
          </c:tx>
          <c:spPr>
            <a:ln>
              <a:solidFill>
                <a:srgbClr val="FF0000"/>
              </a:solidFill>
              <a:prstDash val="dash"/>
            </a:ln>
          </c:spPr>
          <c:marker>
            <c:symbol val="none"/>
          </c:marker>
          <c:cat>
            <c:strRef>
              <c:f>ChartSupport!$B$337:$E$337</c:f>
              <c:strCache>
                <c:ptCount val="4"/>
                <c:pt idx="0">
                  <c:v>1Q</c:v>
                </c:pt>
                <c:pt idx="1">
                  <c:v>2Q</c:v>
                </c:pt>
                <c:pt idx="2">
                  <c:v>3Q</c:v>
                </c:pt>
                <c:pt idx="3">
                  <c:v>4Q</c:v>
                </c:pt>
              </c:strCache>
            </c:strRef>
          </c:cat>
          <c:val>
            <c:numRef>
              <c:f>ChartSupport!$AP$373:$AS$373</c:f>
              <c:numCache>
                <c:formatCode>_(* #,##0_);_(* \(#,##0\);_(* "-"??_);_(@_)</c:formatCode>
                <c:ptCount val="4"/>
                <c:pt idx="0">
                  <c:v>-163.64099999999999</c:v>
                </c:pt>
                <c:pt idx="1">
                  <c:v>-186.20699999999999</c:v>
                </c:pt>
                <c:pt idx="2">
                  <c:v>-280.96600000000001</c:v>
                </c:pt>
                <c:pt idx="3">
                  <c:v>-346.166</c:v>
                </c:pt>
              </c:numCache>
            </c:numRef>
          </c:val>
          <c:smooth val="0"/>
        </c:ser>
        <c:ser>
          <c:idx val="10"/>
          <c:order val="10"/>
          <c:tx>
            <c:v>2018E</c:v>
          </c:tx>
          <c:spPr>
            <a:ln>
              <a:solidFill>
                <a:srgbClr val="00B0F0"/>
              </a:solidFill>
            </a:ln>
          </c:spPr>
          <c:marker>
            <c:symbol val="none"/>
          </c:marker>
          <c:cat>
            <c:strRef>
              <c:f>ChartSupport!$B$337:$E$337</c:f>
              <c:strCache>
                <c:ptCount val="4"/>
                <c:pt idx="0">
                  <c:v>1Q</c:v>
                </c:pt>
                <c:pt idx="1">
                  <c:v>2Q</c:v>
                </c:pt>
                <c:pt idx="2">
                  <c:v>3Q</c:v>
                </c:pt>
                <c:pt idx="3">
                  <c:v>4Q</c:v>
                </c:pt>
              </c:strCache>
            </c:strRef>
          </c:cat>
          <c:val>
            <c:numRef>
              <c:f>ChartSupport!$J$373:$M$373</c:f>
              <c:numCache>
                <c:formatCode>_(* #,##0_);_(* \(#,##0\);_(* "-"??_);_(@_)</c:formatCode>
                <c:ptCount val="4"/>
                <c:pt idx="0">
                  <c:v>-151.71299999999997</c:v>
                </c:pt>
                <c:pt idx="1">
                  <c:v>-87.160000000000011</c:v>
                </c:pt>
                <c:pt idx="2">
                  <c:v>-83.323000000000008</c:v>
                </c:pt>
                <c:pt idx="3">
                  <c:v>-135.095</c:v>
                </c:pt>
              </c:numCache>
            </c:numRef>
          </c:val>
          <c:smooth val="0"/>
        </c:ser>
        <c:dLbls>
          <c:showLegendKey val="0"/>
          <c:showVal val="0"/>
          <c:showCatName val="0"/>
          <c:showSerName val="0"/>
          <c:showPercent val="0"/>
          <c:showBubbleSize val="0"/>
        </c:dLbls>
        <c:marker val="1"/>
        <c:smooth val="0"/>
        <c:axId val="895373696"/>
        <c:axId val="895375232"/>
      </c:lineChart>
      <c:catAx>
        <c:axId val="895373696"/>
        <c:scaling>
          <c:orientation val="minMax"/>
        </c:scaling>
        <c:delete val="0"/>
        <c:axPos val="b"/>
        <c:numFmt formatCode="mmmm" sourceLinked="0"/>
        <c:majorTickMark val="out"/>
        <c:minorTickMark val="none"/>
        <c:tickLblPos val="low"/>
        <c:spPr>
          <a:ln w="3175">
            <a:solidFill>
              <a:srgbClr val="808080"/>
            </a:solidFill>
            <a:prstDash val="solid"/>
          </a:ln>
        </c:spPr>
        <c:txPr>
          <a:bodyPr rot="0" vert="horz"/>
          <a:lstStyle/>
          <a:p>
            <a:pPr>
              <a:defRPr/>
            </a:pPr>
            <a:endParaRPr lang="en-US"/>
          </a:p>
        </c:txPr>
        <c:crossAx val="895375232"/>
        <c:crossesAt val="-800"/>
        <c:auto val="1"/>
        <c:lblAlgn val="ctr"/>
        <c:lblOffset val="100"/>
        <c:tickLblSkip val="1"/>
        <c:tickMarkSkip val="1"/>
        <c:noMultiLvlLbl val="0"/>
      </c:catAx>
      <c:valAx>
        <c:axId val="895375232"/>
        <c:scaling>
          <c:orientation val="minMax"/>
        </c:scaling>
        <c:delete val="0"/>
        <c:axPos val="l"/>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5373696"/>
        <c:crosses val="autoZero"/>
        <c:crossBetween val="midCat"/>
      </c:valAx>
      <c:spPr>
        <a:noFill/>
        <a:ln w="25400">
          <a:noFill/>
        </a:ln>
      </c:spPr>
    </c:plotArea>
    <c:legend>
      <c:legendPos val="b"/>
      <c:legendEntry>
        <c:idx val="7"/>
        <c:delete val="1"/>
      </c:legendEntry>
      <c:layout>
        <c:manualLayout>
          <c:xMode val="edge"/>
          <c:yMode val="edge"/>
          <c:x val="0.11056778926159053"/>
          <c:y val="0.8366489338678873"/>
          <c:w val="0.77886442147681889"/>
          <c:h val="0.13758372694465634"/>
        </c:manualLayout>
      </c:layout>
      <c:overlay val="0"/>
      <c:spPr>
        <a:noFill/>
        <a:ln w="25400">
          <a:noFill/>
        </a:ln>
      </c:spPr>
      <c:txPr>
        <a:bodyPr/>
        <a:lstStyle/>
        <a:p>
          <a:pPr>
            <a:defRPr sz="800"/>
          </a:pPr>
          <a:endParaRPr lang="en-US"/>
        </a:p>
      </c:txPr>
    </c:legend>
    <c:plotVisOnly val="0"/>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1352283136491E-2"/>
          <c:y val="4.6296435837540499E-2"/>
          <c:w val="0.82058153212289242"/>
          <c:h val="0.77469369301484436"/>
        </c:manualLayout>
      </c:layout>
      <c:lineChart>
        <c:grouping val="standard"/>
        <c:varyColors val="0"/>
        <c:ser>
          <c:idx val="0"/>
          <c:order val="0"/>
          <c:tx>
            <c:v>2009</c:v>
          </c:tx>
          <c:spPr>
            <a:ln w="25400">
              <a:solidFill>
                <a:schemeClr val="bg1">
                  <a:lumMod val="50000"/>
                </a:schemeClr>
              </a:solidFill>
              <a:prstDash val="solid"/>
            </a:ln>
          </c:spPr>
          <c:marker>
            <c:symbol val="none"/>
          </c:marker>
          <c:cat>
            <c:strRef>
              <c:f>ChartSupport!$B$337:$E$337</c:f>
              <c:strCache>
                <c:ptCount val="4"/>
                <c:pt idx="0">
                  <c:v>1Q</c:v>
                </c:pt>
                <c:pt idx="1">
                  <c:v>2Q</c:v>
                </c:pt>
                <c:pt idx="2">
                  <c:v>3Q</c:v>
                </c:pt>
                <c:pt idx="3">
                  <c:v>4Q</c:v>
                </c:pt>
              </c:strCache>
            </c:strRef>
          </c:cat>
          <c:val>
            <c:numRef>
              <c:f>ChartSupport!$J$370:$M$370</c:f>
              <c:numCache>
                <c:formatCode>0.00</c:formatCode>
                <c:ptCount val="4"/>
                <c:pt idx="0">
                  <c:v>93.97</c:v>
                </c:pt>
                <c:pt idx="1">
                  <c:v>171.35799999999998</c:v>
                </c:pt>
                <c:pt idx="2">
                  <c:v>151.9</c:v>
                </c:pt>
                <c:pt idx="3">
                  <c:v>208.60000000000002</c:v>
                </c:pt>
              </c:numCache>
            </c:numRef>
          </c:val>
          <c:smooth val="0"/>
        </c:ser>
        <c:ser>
          <c:idx val="1"/>
          <c:order val="1"/>
          <c:tx>
            <c:v>2010</c:v>
          </c:tx>
          <c:spPr>
            <a:ln w="25400">
              <a:solidFill>
                <a:schemeClr val="accent2"/>
              </a:solidFill>
              <a:prstDash val="solid"/>
            </a:ln>
          </c:spPr>
          <c:marker>
            <c:symbol val="none"/>
          </c:marker>
          <c:cat>
            <c:strRef>
              <c:f>ChartSupport!$B$337:$E$337</c:f>
              <c:strCache>
                <c:ptCount val="4"/>
                <c:pt idx="0">
                  <c:v>1Q</c:v>
                </c:pt>
                <c:pt idx="1">
                  <c:v>2Q</c:v>
                </c:pt>
                <c:pt idx="2">
                  <c:v>3Q</c:v>
                </c:pt>
                <c:pt idx="3">
                  <c:v>4Q</c:v>
                </c:pt>
              </c:strCache>
            </c:strRef>
          </c:cat>
          <c:val>
            <c:numRef>
              <c:f>ChartSupport!$N$370:$Q$370</c:f>
              <c:numCache>
                <c:formatCode>0.00</c:formatCode>
                <c:ptCount val="4"/>
                <c:pt idx="0">
                  <c:v>140.6</c:v>
                </c:pt>
                <c:pt idx="1">
                  <c:v>171.9</c:v>
                </c:pt>
                <c:pt idx="2">
                  <c:v>170.20000000000002</c:v>
                </c:pt>
                <c:pt idx="3">
                  <c:v>126.69999999999999</c:v>
                </c:pt>
              </c:numCache>
            </c:numRef>
          </c:val>
          <c:smooth val="0"/>
        </c:ser>
        <c:ser>
          <c:idx val="2"/>
          <c:order val="2"/>
          <c:tx>
            <c:v>2011</c:v>
          </c:tx>
          <c:spPr>
            <a:ln w="25400">
              <a:solidFill>
                <a:schemeClr val="accent3"/>
              </a:solidFill>
              <a:prstDash val="solid"/>
            </a:ln>
          </c:spPr>
          <c:marker>
            <c:symbol val="none"/>
          </c:marker>
          <c:cat>
            <c:strRef>
              <c:f>ChartSupport!$B$337:$E$337</c:f>
              <c:strCache>
                <c:ptCount val="4"/>
                <c:pt idx="0">
                  <c:v>1Q</c:v>
                </c:pt>
                <c:pt idx="1">
                  <c:v>2Q</c:v>
                </c:pt>
                <c:pt idx="2">
                  <c:v>3Q</c:v>
                </c:pt>
                <c:pt idx="3">
                  <c:v>4Q</c:v>
                </c:pt>
              </c:strCache>
            </c:strRef>
          </c:cat>
          <c:val>
            <c:numRef>
              <c:f>ChartSupport!$R$370:$U$370</c:f>
              <c:numCache>
                <c:formatCode>0.00</c:formatCode>
                <c:ptCount val="4"/>
                <c:pt idx="0">
                  <c:v>113.19999999999999</c:v>
                </c:pt>
                <c:pt idx="1">
                  <c:v>112.8</c:v>
                </c:pt>
                <c:pt idx="2">
                  <c:v>163.19999999999999</c:v>
                </c:pt>
                <c:pt idx="3">
                  <c:v>134.6</c:v>
                </c:pt>
              </c:numCache>
            </c:numRef>
          </c:val>
          <c:smooth val="0"/>
        </c:ser>
        <c:ser>
          <c:idx val="3"/>
          <c:order val="3"/>
          <c:tx>
            <c:v>2012</c:v>
          </c:tx>
          <c:spPr>
            <a:ln w="25400">
              <a:solidFill>
                <a:schemeClr val="accent4"/>
              </a:solidFill>
              <a:prstDash val="solid"/>
            </a:ln>
          </c:spPr>
          <c:marker>
            <c:symbol val="none"/>
          </c:marker>
          <c:cat>
            <c:strRef>
              <c:f>ChartSupport!$B$337:$E$337</c:f>
              <c:strCache>
                <c:ptCount val="4"/>
                <c:pt idx="0">
                  <c:v>1Q</c:v>
                </c:pt>
                <c:pt idx="1">
                  <c:v>2Q</c:v>
                </c:pt>
                <c:pt idx="2">
                  <c:v>3Q</c:v>
                </c:pt>
                <c:pt idx="3">
                  <c:v>4Q</c:v>
                </c:pt>
              </c:strCache>
            </c:strRef>
          </c:cat>
          <c:val>
            <c:numRef>
              <c:f>ChartSupport!$V$370:$Y$370</c:f>
              <c:numCache>
                <c:formatCode>0.00</c:formatCode>
                <c:ptCount val="4"/>
                <c:pt idx="0">
                  <c:v>82.6</c:v>
                </c:pt>
                <c:pt idx="1">
                  <c:v>74.399999999999991</c:v>
                </c:pt>
                <c:pt idx="2">
                  <c:v>127.7</c:v>
                </c:pt>
                <c:pt idx="3">
                  <c:v>116.9</c:v>
                </c:pt>
              </c:numCache>
            </c:numRef>
          </c:val>
          <c:smooth val="0"/>
        </c:ser>
        <c:ser>
          <c:idx val="4"/>
          <c:order val="4"/>
          <c:tx>
            <c:v>2013</c:v>
          </c:tx>
          <c:spPr>
            <a:ln w="25400">
              <a:solidFill>
                <a:srgbClr val="CC6600"/>
              </a:solidFill>
            </a:ln>
          </c:spPr>
          <c:marker>
            <c:symbol val="none"/>
          </c:marker>
          <c:cat>
            <c:strRef>
              <c:f>ChartSupport!$B$337:$E$337</c:f>
              <c:strCache>
                <c:ptCount val="4"/>
                <c:pt idx="0">
                  <c:v>1Q</c:v>
                </c:pt>
                <c:pt idx="1">
                  <c:v>2Q</c:v>
                </c:pt>
                <c:pt idx="2">
                  <c:v>3Q</c:v>
                </c:pt>
                <c:pt idx="3">
                  <c:v>4Q</c:v>
                </c:pt>
              </c:strCache>
            </c:strRef>
          </c:cat>
          <c:val>
            <c:numRef>
              <c:f>ChartSupport!$Z$370:$AC$370</c:f>
              <c:numCache>
                <c:formatCode>0.00</c:formatCode>
                <c:ptCount val="4"/>
                <c:pt idx="0">
                  <c:v>87.699999999999989</c:v>
                </c:pt>
                <c:pt idx="1">
                  <c:v>89.9</c:v>
                </c:pt>
                <c:pt idx="2">
                  <c:v>152.60000000000002</c:v>
                </c:pt>
                <c:pt idx="3">
                  <c:v>120.7</c:v>
                </c:pt>
              </c:numCache>
            </c:numRef>
          </c:val>
          <c:smooth val="0"/>
        </c:ser>
        <c:ser>
          <c:idx val="5"/>
          <c:order val="5"/>
          <c:tx>
            <c:v>2014</c:v>
          </c:tx>
          <c:spPr>
            <a:ln w="15875">
              <a:solidFill>
                <a:schemeClr val="accent3">
                  <a:lumMod val="60000"/>
                  <a:lumOff val="40000"/>
                </a:schemeClr>
              </a:solidFill>
            </a:ln>
          </c:spPr>
          <c:marker>
            <c:symbol val="none"/>
          </c:marker>
          <c:dPt>
            <c:idx val="1"/>
            <c:bubble3D val="0"/>
            <c:spPr>
              <a:ln w="25400">
                <a:solidFill>
                  <a:schemeClr val="accent3">
                    <a:lumMod val="60000"/>
                    <a:lumOff val="40000"/>
                  </a:schemeClr>
                </a:solidFill>
              </a:ln>
            </c:spPr>
          </c:dPt>
          <c:cat>
            <c:strRef>
              <c:f>ChartSupport!$B$337:$E$337</c:f>
              <c:strCache>
                <c:ptCount val="4"/>
                <c:pt idx="0">
                  <c:v>1Q</c:v>
                </c:pt>
                <c:pt idx="1">
                  <c:v>2Q</c:v>
                </c:pt>
                <c:pt idx="2">
                  <c:v>3Q</c:v>
                </c:pt>
                <c:pt idx="3">
                  <c:v>4Q</c:v>
                </c:pt>
              </c:strCache>
            </c:strRef>
          </c:cat>
          <c:val>
            <c:numRef>
              <c:f>ChartSupport!$AD$370:$AG$370</c:f>
              <c:numCache>
                <c:formatCode>0.00</c:formatCode>
                <c:ptCount val="4"/>
                <c:pt idx="0">
                  <c:v>170.9</c:v>
                </c:pt>
                <c:pt idx="1">
                  <c:v>177</c:v>
                </c:pt>
                <c:pt idx="2">
                  <c:v>133.29999999999998</c:v>
                </c:pt>
                <c:pt idx="3">
                  <c:v>157.4</c:v>
                </c:pt>
              </c:numCache>
            </c:numRef>
          </c:val>
          <c:smooth val="0"/>
        </c:ser>
        <c:ser>
          <c:idx val="6"/>
          <c:order val="6"/>
          <c:tx>
            <c:v>2015</c:v>
          </c:tx>
          <c:spPr>
            <a:ln w="25400">
              <a:solidFill>
                <a:schemeClr val="accent5">
                  <a:lumMod val="60000"/>
                  <a:lumOff val="40000"/>
                </a:schemeClr>
              </a:solidFill>
              <a:prstDash val="solid"/>
            </a:ln>
          </c:spPr>
          <c:marker>
            <c:symbol val="none"/>
          </c:marker>
          <c:cat>
            <c:strRef>
              <c:f>ChartSupport!$B$337:$E$337</c:f>
              <c:strCache>
                <c:ptCount val="4"/>
                <c:pt idx="0">
                  <c:v>1Q</c:v>
                </c:pt>
                <c:pt idx="1">
                  <c:v>2Q</c:v>
                </c:pt>
                <c:pt idx="2">
                  <c:v>3Q</c:v>
                </c:pt>
                <c:pt idx="3">
                  <c:v>4Q</c:v>
                </c:pt>
              </c:strCache>
            </c:strRef>
          </c:cat>
          <c:val>
            <c:numRef>
              <c:f>ChartSupport!$AH$370:$AK$370</c:f>
              <c:numCache>
                <c:formatCode>0.00</c:formatCode>
                <c:ptCount val="4"/>
                <c:pt idx="0">
                  <c:v>171.3</c:v>
                </c:pt>
                <c:pt idx="1">
                  <c:v>132.80000000000001</c:v>
                </c:pt>
                <c:pt idx="2">
                  <c:v>155.10000000000002</c:v>
                </c:pt>
                <c:pt idx="3">
                  <c:v>254.3</c:v>
                </c:pt>
              </c:numCache>
            </c:numRef>
          </c:val>
          <c:smooth val="0"/>
        </c:ser>
        <c:ser>
          <c:idx val="8"/>
          <c:order val="7"/>
          <c:tx>
            <c:v>2016</c:v>
          </c:tx>
          <c:spPr>
            <a:ln>
              <a:solidFill>
                <a:schemeClr val="accent1">
                  <a:lumMod val="75000"/>
                </a:schemeClr>
              </a:solidFill>
            </a:ln>
          </c:spPr>
          <c:marker>
            <c:symbol val="none"/>
          </c:marker>
          <c:cat>
            <c:strRef>
              <c:f>ChartSupport!$B$337:$E$337</c:f>
              <c:strCache>
                <c:ptCount val="4"/>
                <c:pt idx="0">
                  <c:v>1Q</c:v>
                </c:pt>
                <c:pt idx="1">
                  <c:v>2Q</c:v>
                </c:pt>
                <c:pt idx="2">
                  <c:v>3Q</c:v>
                </c:pt>
                <c:pt idx="3">
                  <c:v>4Q</c:v>
                </c:pt>
              </c:strCache>
            </c:strRef>
          </c:cat>
          <c:val>
            <c:numRef>
              <c:f>ChartSupport!$AL$370:$AO$370</c:f>
              <c:numCache>
                <c:formatCode>0.00</c:formatCode>
                <c:ptCount val="4"/>
                <c:pt idx="0">
                  <c:v>132.69999999999999</c:v>
                </c:pt>
                <c:pt idx="1">
                  <c:v>212.79999999999998</c:v>
                </c:pt>
                <c:pt idx="2">
                  <c:v>241.10000000000002</c:v>
                </c:pt>
                <c:pt idx="3">
                  <c:v>208.5</c:v>
                </c:pt>
              </c:numCache>
            </c:numRef>
          </c:val>
          <c:smooth val="0"/>
        </c:ser>
        <c:ser>
          <c:idx val="7"/>
          <c:order val="8"/>
          <c:tx>
            <c:v>2017</c:v>
          </c:tx>
          <c:spPr>
            <a:ln>
              <a:solidFill>
                <a:srgbClr val="FF0000"/>
              </a:solidFill>
              <a:prstDash val="dash"/>
            </a:ln>
          </c:spPr>
          <c:marker>
            <c:symbol val="none"/>
          </c:marker>
          <c:cat>
            <c:strRef>
              <c:f>ChartSupport!$B$337:$E$337</c:f>
              <c:strCache>
                <c:ptCount val="4"/>
                <c:pt idx="0">
                  <c:v>1Q</c:v>
                </c:pt>
                <c:pt idx="1">
                  <c:v>2Q</c:v>
                </c:pt>
                <c:pt idx="2">
                  <c:v>3Q</c:v>
                </c:pt>
                <c:pt idx="3">
                  <c:v>4Q</c:v>
                </c:pt>
              </c:strCache>
            </c:strRef>
          </c:cat>
          <c:val>
            <c:numRef>
              <c:f>ChartSupport!$AP$370:$AS$370</c:f>
              <c:numCache>
                <c:formatCode>0.00</c:formatCode>
                <c:ptCount val="4"/>
                <c:pt idx="0">
                  <c:v>160</c:v>
                </c:pt>
                <c:pt idx="1">
                  <c:v>188.20000000000002</c:v>
                </c:pt>
                <c:pt idx="2">
                  <c:v>171.39999999999998</c:v>
                </c:pt>
                <c:pt idx="3">
                  <c:v>178.89999999999998</c:v>
                </c:pt>
              </c:numCache>
            </c:numRef>
          </c:val>
          <c:smooth val="0"/>
        </c:ser>
        <c:ser>
          <c:idx val="9"/>
          <c:order val="9"/>
          <c:tx>
            <c:v>2018E</c:v>
          </c:tx>
          <c:spPr>
            <a:ln>
              <a:solidFill>
                <a:srgbClr val="00B0F0"/>
              </a:solidFill>
            </a:ln>
          </c:spPr>
          <c:marker>
            <c:symbol val="none"/>
          </c:marker>
          <c:cat>
            <c:strRef>
              <c:f>ChartSupport!$B$337:$E$337</c:f>
              <c:strCache>
                <c:ptCount val="4"/>
                <c:pt idx="0">
                  <c:v>1Q</c:v>
                </c:pt>
                <c:pt idx="1">
                  <c:v>2Q</c:v>
                </c:pt>
                <c:pt idx="2">
                  <c:v>3Q</c:v>
                </c:pt>
                <c:pt idx="3">
                  <c:v>4Q</c:v>
                </c:pt>
              </c:strCache>
            </c:strRef>
          </c:cat>
          <c:val>
            <c:numRef>
              <c:f>ChartSupport!$AT$370:$AW$370</c:f>
              <c:numCache>
                <c:formatCode>0.00</c:formatCode>
                <c:ptCount val="4"/>
                <c:pt idx="0">
                  <c:v>145.20000000000002</c:v>
                </c:pt>
                <c:pt idx="1">
                  <c:v>233.3404706083341</c:v>
                </c:pt>
                <c:pt idx="2">
                  <c:v>234.85114910228205</c:v>
                </c:pt>
                <c:pt idx="3">
                  <c:v>266.16465862520289</c:v>
                </c:pt>
              </c:numCache>
            </c:numRef>
          </c:val>
          <c:smooth val="0"/>
        </c:ser>
        <c:dLbls>
          <c:showLegendKey val="0"/>
          <c:showVal val="0"/>
          <c:showCatName val="0"/>
          <c:showSerName val="0"/>
          <c:showPercent val="0"/>
          <c:showBubbleSize val="0"/>
        </c:dLbls>
        <c:marker val="1"/>
        <c:smooth val="0"/>
        <c:axId val="895436288"/>
        <c:axId val="895437824"/>
      </c:lineChart>
      <c:catAx>
        <c:axId val="895436288"/>
        <c:scaling>
          <c:orientation val="minMax"/>
        </c:scaling>
        <c:delete val="0"/>
        <c:axPos val="b"/>
        <c:numFmt formatCode="mmmm" sourceLinked="0"/>
        <c:majorTickMark val="out"/>
        <c:minorTickMark val="none"/>
        <c:tickLblPos val="nextTo"/>
        <c:spPr>
          <a:ln w="3175">
            <a:solidFill>
              <a:srgbClr val="808080"/>
            </a:solidFill>
            <a:prstDash val="solid"/>
          </a:ln>
        </c:spPr>
        <c:txPr>
          <a:bodyPr rot="0" vert="horz"/>
          <a:lstStyle/>
          <a:p>
            <a:pPr>
              <a:defRPr/>
            </a:pPr>
            <a:endParaRPr lang="en-US"/>
          </a:p>
        </c:txPr>
        <c:crossAx val="895437824"/>
        <c:crosses val="autoZero"/>
        <c:auto val="1"/>
        <c:lblAlgn val="ctr"/>
        <c:lblOffset val="100"/>
        <c:tickLblSkip val="1"/>
        <c:tickMarkSkip val="1"/>
        <c:noMultiLvlLbl val="0"/>
      </c:catAx>
      <c:valAx>
        <c:axId val="895437824"/>
        <c:scaling>
          <c:orientation val="minMax"/>
        </c:scaling>
        <c:delete val="0"/>
        <c:axPos val="l"/>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5436288"/>
        <c:crosses val="autoZero"/>
        <c:crossBetween val="midCat"/>
      </c:valAx>
      <c:spPr>
        <a:noFill/>
        <a:ln w="25400">
          <a:noFill/>
        </a:ln>
      </c:spPr>
    </c:plotArea>
    <c:legend>
      <c:legendPos val="b"/>
      <c:layout>
        <c:manualLayout>
          <c:xMode val="edge"/>
          <c:yMode val="edge"/>
          <c:x val="9.2748079821073276E-2"/>
          <c:y val="0.85214640094540495"/>
          <c:w val="0.77886442147681889"/>
          <c:h val="0.14785359905459508"/>
        </c:manualLayout>
      </c:layout>
      <c:overlay val="1"/>
      <c:spPr>
        <a:noFill/>
        <a:ln w="25400">
          <a:noFill/>
        </a:ln>
      </c:spPr>
      <c:txPr>
        <a:bodyPr/>
        <a:lstStyle/>
        <a:p>
          <a:pPr>
            <a:defRPr sz="800"/>
          </a:pPr>
          <a:endParaRPr lang="en-US"/>
        </a:p>
      </c:txPr>
    </c:legend>
    <c:plotVisOnly val="0"/>
    <c:dispBlanksAs val="gap"/>
    <c:showDLblsOverMax val="0"/>
  </c:chart>
  <c:spPr>
    <a:solidFill>
      <a:srgbClr val="FFFFFF"/>
    </a:solid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842105263157901E-2"/>
          <c:y val="4.615391549566631E-2"/>
          <c:w val="0.82105263157894737"/>
          <c:h val="0.77538578032719396"/>
        </c:manualLayout>
      </c:layout>
      <c:lineChart>
        <c:grouping val="standard"/>
        <c:varyColors val="0"/>
        <c:ser>
          <c:idx val="0"/>
          <c:order val="0"/>
          <c:tx>
            <c:v>2009</c:v>
          </c:tx>
          <c:spPr>
            <a:ln w="25400">
              <a:solidFill>
                <a:schemeClr val="bg1">
                  <a:lumMod val="50000"/>
                </a:schemeClr>
              </a:solidFill>
              <a:prstDash val="solid"/>
            </a:ln>
          </c:spPr>
          <c:marker>
            <c:symbol val="none"/>
          </c:marker>
          <c:cat>
            <c:strRef>
              <c:f>ChartSupport!$B$337:$E$337</c:f>
              <c:strCache>
                <c:ptCount val="4"/>
                <c:pt idx="0">
                  <c:v>1Q</c:v>
                </c:pt>
                <c:pt idx="1">
                  <c:v>2Q</c:v>
                </c:pt>
                <c:pt idx="2">
                  <c:v>3Q</c:v>
                </c:pt>
                <c:pt idx="3">
                  <c:v>4Q</c:v>
                </c:pt>
              </c:strCache>
            </c:strRef>
          </c:cat>
          <c:val>
            <c:numRef>
              <c:f>ChartSupport!$J$369:$M$369</c:f>
              <c:numCache>
                <c:formatCode>0.00</c:formatCode>
                <c:ptCount val="4"/>
                <c:pt idx="0">
                  <c:v>35.57</c:v>
                </c:pt>
                <c:pt idx="1">
                  <c:v>109.80499999999999</c:v>
                </c:pt>
                <c:pt idx="2">
                  <c:v>139</c:v>
                </c:pt>
                <c:pt idx="3">
                  <c:v>133.30000000000001</c:v>
                </c:pt>
              </c:numCache>
            </c:numRef>
          </c:val>
          <c:smooth val="0"/>
        </c:ser>
        <c:ser>
          <c:idx val="1"/>
          <c:order val="1"/>
          <c:tx>
            <c:v>2010</c:v>
          </c:tx>
          <c:spPr>
            <a:ln w="25400">
              <a:solidFill>
                <a:schemeClr val="accent2"/>
              </a:solidFill>
              <a:prstDash val="solid"/>
            </a:ln>
          </c:spPr>
          <c:marker>
            <c:symbol val="none"/>
          </c:marker>
          <c:cat>
            <c:strRef>
              <c:f>ChartSupport!$B$337:$E$337</c:f>
              <c:strCache>
                <c:ptCount val="4"/>
                <c:pt idx="0">
                  <c:v>1Q</c:v>
                </c:pt>
                <c:pt idx="1">
                  <c:v>2Q</c:v>
                </c:pt>
                <c:pt idx="2">
                  <c:v>3Q</c:v>
                </c:pt>
                <c:pt idx="3">
                  <c:v>4Q</c:v>
                </c:pt>
              </c:strCache>
            </c:strRef>
          </c:cat>
          <c:val>
            <c:numRef>
              <c:f>ChartSupport!$N$369:$Q$369</c:f>
              <c:numCache>
                <c:formatCode>0.00</c:formatCode>
                <c:ptCount val="4"/>
                <c:pt idx="0">
                  <c:v>172.2</c:v>
                </c:pt>
                <c:pt idx="1">
                  <c:v>228.2</c:v>
                </c:pt>
                <c:pt idx="2">
                  <c:v>192.6</c:v>
                </c:pt>
                <c:pt idx="3">
                  <c:v>225.7</c:v>
                </c:pt>
              </c:numCache>
            </c:numRef>
          </c:val>
          <c:smooth val="0"/>
        </c:ser>
        <c:ser>
          <c:idx val="2"/>
          <c:order val="2"/>
          <c:tx>
            <c:v>2011</c:v>
          </c:tx>
          <c:spPr>
            <a:ln w="25400">
              <a:solidFill>
                <a:schemeClr val="accent3"/>
              </a:solidFill>
              <a:prstDash val="solid"/>
            </a:ln>
          </c:spPr>
          <c:marker>
            <c:symbol val="none"/>
          </c:marker>
          <c:cat>
            <c:strRef>
              <c:f>ChartSupport!$B$337:$E$337</c:f>
              <c:strCache>
                <c:ptCount val="4"/>
                <c:pt idx="0">
                  <c:v>1Q</c:v>
                </c:pt>
                <c:pt idx="1">
                  <c:v>2Q</c:v>
                </c:pt>
                <c:pt idx="2">
                  <c:v>3Q</c:v>
                </c:pt>
                <c:pt idx="3">
                  <c:v>4Q</c:v>
                </c:pt>
              </c:strCache>
            </c:strRef>
          </c:cat>
          <c:val>
            <c:numRef>
              <c:f>ChartSupport!$R$369:$U$369</c:f>
              <c:numCache>
                <c:formatCode>0.00</c:formatCode>
                <c:ptCount val="4"/>
                <c:pt idx="0">
                  <c:v>217.5</c:v>
                </c:pt>
                <c:pt idx="1">
                  <c:v>270</c:v>
                </c:pt>
                <c:pt idx="2">
                  <c:v>230.1</c:v>
                </c:pt>
                <c:pt idx="3">
                  <c:v>118.5</c:v>
                </c:pt>
              </c:numCache>
            </c:numRef>
          </c:val>
          <c:smooth val="0"/>
        </c:ser>
        <c:ser>
          <c:idx val="3"/>
          <c:order val="3"/>
          <c:tx>
            <c:v>2012</c:v>
          </c:tx>
          <c:spPr>
            <a:ln w="25400">
              <a:solidFill>
                <a:schemeClr val="accent4"/>
              </a:solidFill>
              <a:prstDash val="solid"/>
            </a:ln>
          </c:spPr>
          <c:marker>
            <c:symbol val="none"/>
          </c:marker>
          <c:cat>
            <c:strRef>
              <c:f>ChartSupport!$B$337:$E$337</c:f>
              <c:strCache>
                <c:ptCount val="4"/>
                <c:pt idx="0">
                  <c:v>1Q</c:v>
                </c:pt>
                <c:pt idx="1">
                  <c:v>2Q</c:v>
                </c:pt>
                <c:pt idx="2">
                  <c:v>3Q</c:v>
                </c:pt>
                <c:pt idx="3">
                  <c:v>4Q</c:v>
                </c:pt>
              </c:strCache>
            </c:strRef>
          </c:cat>
          <c:val>
            <c:numRef>
              <c:f>ChartSupport!$V$369:$Y$369</c:f>
              <c:numCache>
                <c:formatCode>0.00</c:formatCode>
                <c:ptCount val="4"/>
                <c:pt idx="0">
                  <c:v>219.4</c:v>
                </c:pt>
                <c:pt idx="1">
                  <c:v>297.5</c:v>
                </c:pt>
                <c:pt idx="2">
                  <c:v>198</c:v>
                </c:pt>
                <c:pt idx="3">
                  <c:v>110.80000000000001</c:v>
                </c:pt>
              </c:numCache>
            </c:numRef>
          </c:val>
          <c:smooth val="0"/>
        </c:ser>
        <c:ser>
          <c:idx val="4"/>
          <c:order val="4"/>
          <c:tx>
            <c:v>2013</c:v>
          </c:tx>
          <c:spPr>
            <a:ln w="25400">
              <a:solidFill>
                <a:srgbClr val="CC6600"/>
              </a:solidFill>
            </a:ln>
          </c:spPr>
          <c:marker>
            <c:symbol val="none"/>
          </c:marker>
          <c:cat>
            <c:strRef>
              <c:f>ChartSupport!$B$337:$E$337</c:f>
              <c:strCache>
                <c:ptCount val="4"/>
                <c:pt idx="0">
                  <c:v>1Q</c:v>
                </c:pt>
                <c:pt idx="1">
                  <c:v>2Q</c:v>
                </c:pt>
                <c:pt idx="2">
                  <c:v>3Q</c:v>
                </c:pt>
                <c:pt idx="3">
                  <c:v>4Q</c:v>
                </c:pt>
              </c:strCache>
            </c:strRef>
          </c:cat>
          <c:val>
            <c:numRef>
              <c:f>ChartSupport!$Z$369:$AC$369</c:f>
              <c:numCache>
                <c:formatCode>0.00</c:formatCode>
                <c:ptCount val="4"/>
                <c:pt idx="0">
                  <c:v>136</c:v>
                </c:pt>
                <c:pt idx="1">
                  <c:v>414.2</c:v>
                </c:pt>
                <c:pt idx="2">
                  <c:v>173.9</c:v>
                </c:pt>
                <c:pt idx="3">
                  <c:v>252.3</c:v>
                </c:pt>
              </c:numCache>
            </c:numRef>
          </c:val>
          <c:smooth val="0"/>
        </c:ser>
        <c:ser>
          <c:idx val="5"/>
          <c:order val="5"/>
          <c:tx>
            <c:v>2014</c:v>
          </c:tx>
          <c:spPr>
            <a:ln w="25400">
              <a:solidFill>
                <a:schemeClr val="accent6"/>
              </a:solidFill>
            </a:ln>
          </c:spPr>
          <c:marker>
            <c:symbol val="none"/>
          </c:marker>
          <c:cat>
            <c:strRef>
              <c:f>ChartSupport!$B$337:$E$337</c:f>
              <c:strCache>
                <c:ptCount val="4"/>
                <c:pt idx="0">
                  <c:v>1Q</c:v>
                </c:pt>
                <c:pt idx="1">
                  <c:v>2Q</c:v>
                </c:pt>
                <c:pt idx="2">
                  <c:v>3Q</c:v>
                </c:pt>
                <c:pt idx="3">
                  <c:v>4Q</c:v>
                </c:pt>
              </c:strCache>
            </c:strRef>
          </c:cat>
          <c:val>
            <c:numRef>
              <c:f>ChartSupport!$AD$369:$AG$369</c:f>
              <c:numCache>
                <c:formatCode>0.00</c:formatCode>
                <c:ptCount val="4"/>
                <c:pt idx="0">
                  <c:v>256.80000000000007</c:v>
                </c:pt>
                <c:pt idx="1">
                  <c:v>324.89999999999998</c:v>
                </c:pt>
                <c:pt idx="2">
                  <c:v>185.6</c:v>
                </c:pt>
                <c:pt idx="3">
                  <c:v>223.9</c:v>
                </c:pt>
              </c:numCache>
            </c:numRef>
          </c:val>
          <c:smooth val="0"/>
        </c:ser>
        <c:ser>
          <c:idx val="7"/>
          <c:order val="6"/>
          <c:tx>
            <c:v>2015</c:v>
          </c:tx>
          <c:spPr>
            <a:ln>
              <a:solidFill>
                <a:schemeClr val="accent5">
                  <a:lumMod val="60000"/>
                  <a:lumOff val="40000"/>
                </a:schemeClr>
              </a:solidFill>
            </a:ln>
          </c:spPr>
          <c:marker>
            <c:symbol val="none"/>
          </c:marker>
          <c:cat>
            <c:strRef>
              <c:f>ChartSupport!$B$337:$E$337</c:f>
              <c:strCache>
                <c:ptCount val="4"/>
                <c:pt idx="0">
                  <c:v>1Q</c:v>
                </c:pt>
                <c:pt idx="1">
                  <c:v>2Q</c:v>
                </c:pt>
                <c:pt idx="2">
                  <c:v>3Q</c:v>
                </c:pt>
                <c:pt idx="3">
                  <c:v>4Q</c:v>
                </c:pt>
              </c:strCache>
            </c:strRef>
          </c:cat>
          <c:val>
            <c:numRef>
              <c:f>ChartSupport!$AH$369:$AK$369</c:f>
              <c:numCache>
                <c:formatCode>0.00</c:formatCode>
                <c:ptCount val="4"/>
                <c:pt idx="0">
                  <c:v>233.9</c:v>
                </c:pt>
                <c:pt idx="1">
                  <c:v>287.5</c:v>
                </c:pt>
                <c:pt idx="2">
                  <c:v>316.8</c:v>
                </c:pt>
                <c:pt idx="3">
                  <c:v>338.9</c:v>
                </c:pt>
              </c:numCache>
            </c:numRef>
          </c:val>
          <c:smooth val="0"/>
        </c:ser>
        <c:ser>
          <c:idx val="6"/>
          <c:order val="7"/>
          <c:tx>
            <c:v>2016</c:v>
          </c:tx>
          <c:spPr>
            <a:ln w="25400">
              <a:solidFill>
                <a:schemeClr val="accent1">
                  <a:lumMod val="75000"/>
                </a:schemeClr>
              </a:solidFill>
              <a:prstDash val="solid"/>
            </a:ln>
          </c:spPr>
          <c:marker>
            <c:symbol val="none"/>
          </c:marker>
          <c:cat>
            <c:strRef>
              <c:f>ChartSupport!$B$337:$E$337</c:f>
              <c:strCache>
                <c:ptCount val="4"/>
                <c:pt idx="0">
                  <c:v>1Q</c:v>
                </c:pt>
                <c:pt idx="1">
                  <c:v>2Q</c:v>
                </c:pt>
                <c:pt idx="2">
                  <c:v>3Q</c:v>
                </c:pt>
                <c:pt idx="3">
                  <c:v>4Q</c:v>
                </c:pt>
              </c:strCache>
            </c:strRef>
          </c:cat>
          <c:val>
            <c:numRef>
              <c:f>ChartSupport!$AL$369:$AO$369</c:f>
              <c:numCache>
                <c:formatCode>0.00</c:formatCode>
                <c:ptCount val="4"/>
                <c:pt idx="0">
                  <c:v>202.8</c:v>
                </c:pt>
                <c:pt idx="1">
                  <c:v>279.3</c:v>
                </c:pt>
                <c:pt idx="2">
                  <c:v>356.3</c:v>
                </c:pt>
                <c:pt idx="3">
                  <c:v>362.59999999999997</c:v>
                </c:pt>
              </c:numCache>
            </c:numRef>
          </c:val>
          <c:smooth val="0"/>
        </c:ser>
        <c:ser>
          <c:idx val="8"/>
          <c:order val="8"/>
          <c:tx>
            <c:v>2017</c:v>
          </c:tx>
          <c:spPr>
            <a:ln w="28575">
              <a:solidFill>
                <a:srgbClr val="FF0000"/>
              </a:solidFill>
              <a:prstDash val="dash"/>
            </a:ln>
          </c:spPr>
          <c:marker>
            <c:symbol val="none"/>
          </c:marker>
          <c:cat>
            <c:strRef>
              <c:f>ChartSupport!$B$337:$E$337</c:f>
              <c:strCache>
                <c:ptCount val="4"/>
                <c:pt idx="0">
                  <c:v>1Q</c:v>
                </c:pt>
                <c:pt idx="1">
                  <c:v>2Q</c:v>
                </c:pt>
                <c:pt idx="2">
                  <c:v>3Q</c:v>
                </c:pt>
                <c:pt idx="3">
                  <c:v>4Q</c:v>
                </c:pt>
              </c:strCache>
            </c:strRef>
          </c:cat>
          <c:val>
            <c:numRef>
              <c:f>ChartSupport!$AP$369:$AS$369</c:f>
              <c:numCache>
                <c:formatCode>0.00</c:formatCode>
                <c:ptCount val="4"/>
                <c:pt idx="0">
                  <c:v>329.1</c:v>
                </c:pt>
                <c:pt idx="1">
                  <c:v>327.40000000000003</c:v>
                </c:pt>
                <c:pt idx="2">
                  <c:v>283.40000000000003</c:v>
                </c:pt>
                <c:pt idx="3">
                  <c:v>373.8</c:v>
                </c:pt>
              </c:numCache>
            </c:numRef>
          </c:val>
          <c:smooth val="0"/>
        </c:ser>
        <c:ser>
          <c:idx val="9"/>
          <c:order val="9"/>
          <c:tx>
            <c:v>2018E</c:v>
          </c:tx>
          <c:spPr>
            <a:ln>
              <a:solidFill>
                <a:srgbClr val="00B0F0"/>
              </a:solidFill>
            </a:ln>
          </c:spPr>
          <c:marker>
            <c:symbol val="none"/>
          </c:marker>
          <c:cat>
            <c:strRef>
              <c:f>ChartSupport!$B$337:$E$337</c:f>
              <c:strCache>
                <c:ptCount val="4"/>
                <c:pt idx="0">
                  <c:v>1Q</c:v>
                </c:pt>
                <c:pt idx="1">
                  <c:v>2Q</c:v>
                </c:pt>
                <c:pt idx="2">
                  <c:v>3Q</c:v>
                </c:pt>
                <c:pt idx="3">
                  <c:v>4Q</c:v>
                </c:pt>
              </c:strCache>
            </c:strRef>
          </c:cat>
          <c:val>
            <c:numRef>
              <c:f>ChartSupport!$AT$369:$AW$369</c:f>
              <c:numCache>
                <c:formatCode>0.00</c:formatCode>
                <c:ptCount val="4"/>
                <c:pt idx="0">
                  <c:v>372</c:v>
                </c:pt>
                <c:pt idx="1">
                  <c:v>304.24401188024819</c:v>
                </c:pt>
                <c:pt idx="2">
                  <c:v>311.56031459427254</c:v>
                </c:pt>
                <c:pt idx="3">
                  <c:v>407.23148929956733</c:v>
                </c:pt>
              </c:numCache>
            </c:numRef>
          </c:val>
          <c:smooth val="0"/>
        </c:ser>
        <c:dLbls>
          <c:showLegendKey val="0"/>
          <c:showVal val="0"/>
          <c:showCatName val="0"/>
          <c:showSerName val="0"/>
          <c:showPercent val="0"/>
          <c:showBubbleSize val="0"/>
        </c:dLbls>
        <c:marker val="1"/>
        <c:smooth val="0"/>
        <c:axId val="895113088"/>
        <c:axId val="895114624"/>
      </c:lineChart>
      <c:catAx>
        <c:axId val="895113088"/>
        <c:scaling>
          <c:orientation val="minMax"/>
        </c:scaling>
        <c:delete val="0"/>
        <c:axPos val="b"/>
        <c:numFmt formatCode="mmmm" sourceLinked="0"/>
        <c:majorTickMark val="out"/>
        <c:minorTickMark val="none"/>
        <c:tickLblPos val="nextTo"/>
        <c:spPr>
          <a:ln w="3175">
            <a:solidFill>
              <a:srgbClr val="808080"/>
            </a:solidFill>
            <a:prstDash val="solid"/>
          </a:ln>
        </c:spPr>
        <c:txPr>
          <a:bodyPr rot="0" vert="horz"/>
          <a:lstStyle/>
          <a:p>
            <a:pPr>
              <a:defRPr/>
            </a:pPr>
            <a:endParaRPr lang="en-US"/>
          </a:p>
        </c:txPr>
        <c:crossAx val="895114624"/>
        <c:crosses val="autoZero"/>
        <c:auto val="1"/>
        <c:lblAlgn val="ctr"/>
        <c:lblOffset val="100"/>
        <c:tickLblSkip val="1"/>
        <c:tickMarkSkip val="1"/>
        <c:noMultiLvlLbl val="0"/>
      </c:catAx>
      <c:valAx>
        <c:axId val="895114624"/>
        <c:scaling>
          <c:orientation val="minMax"/>
        </c:scaling>
        <c:delete val="0"/>
        <c:axPos val="l"/>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5113088"/>
        <c:crosses val="autoZero"/>
        <c:crossBetween val="midCat"/>
      </c:valAx>
      <c:spPr>
        <a:noFill/>
        <a:ln w="25400">
          <a:noFill/>
        </a:ln>
      </c:spPr>
    </c:plotArea>
    <c:legend>
      <c:legendPos val="b"/>
      <c:layout>
        <c:manualLayout>
          <c:xMode val="edge"/>
          <c:yMode val="edge"/>
          <c:x val="9.6383554124616133E-2"/>
          <c:y val="0.85721515214129174"/>
          <c:w val="0.77886420290778291"/>
          <c:h val="0.14278484785870829"/>
        </c:manualLayout>
      </c:layout>
      <c:overlay val="1"/>
      <c:spPr>
        <a:noFill/>
        <a:ln w="25400">
          <a:noFill/>
        </a:ln>
      </c:spPr>
      <c:txPr>
        <a:bodyPr/>
        <a:lstStyle/>
        <a:p>
          <a:pPr>
            <a:defRPr sz="800"/>
          </a:pPr>
          <a:endParaRPr lang="en-US"/>
        </a:p>
      </c:txPr>
    </c:legend>
    <c:plotVisOnly val="0"/>
    <c:dispBlanksAs val="gap"/>
    <c:showDLblsOverMax val="0"/>
  </c:chart>
  <c:spPr>
    <a:solidFill>
      <a:srgbClr val="FFFFFF"/>
    </a:solid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62178212334"/>
          <c:y val="4.7619195248001144E-2"/>
          <c:w val="0.80810917455285913"/>
          <c:h val="0.73651021983575093"/>
        </c:manualLayout>
      </c:layout>
      <c:lineChart>
        <c:grouping val="standard"/>
        <c:varyColors val="0"/>
        <c:ser>
          <c:idx val="4"/>
          <c:order val="0"/>
          <c:tx>
            <c:v>Operating CF</c:v>
          </c:tx>
          <c:spPr>
            <a:ln w="25400">
              <a:solidFill>
                <a:schemeClr val="accent1"/>
              </a:solidFill>
              <a:prstDash val="solid"/>
            </a:ln>
          </c:spPr>
          <c:marker>
            <c:symbol val="none"/>
          </c:marke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ChartSupport!$B$366:$BY$366</c:f>
              <c:numCache>
                <c:formatCode>_(* #,##0_);_(* \(#,##0\);_(* "-"??_);_(@_)</c:formatCode>
                <c:ptCount val="48"/>
                <c:pt idx="0">
                  <c:v>0</c:v>
                </c:pt>
                <c:pt idx="1">
                  <c:v>-160.89800000000008</c:v>
                </c:pt>
                <c:pt idx="2">
                  <c:v>97.903000000000063</c:v>
                </c:pt>
                <c:pt idx="3">
                  <c:v>165.18200000000002</c:v>
                </c:pt>
                <c:pt idx="4">
                  <c:v>28.685000000000045</c:v>
                </c:pt>
                <c:pt idx="5">
                  <c:v>-84.04599999999995</c:v>
                </c:pt>
                <c:pt idx="6">
                  <c:v>38.27899999999994</c:v>
                </c:pt>
                <c:pt idx="7">
                  <c:v>129.10700000000003</c:v>
                </c:pt>
                <c:pt idx="8">
                  <c:v>-60.415999999999997</c:v>
                </c:pt>
                <c:pt idx="9">
                  <c:v>-121.4080000000001</c:v>
                </c:pt>
                <c:pt idx="10">
                  <c:v>-54.614999999999981</c:v>
                </c:pt>
                <c:pt idx="11">
                  <c:v>270.53800000000001</c:v>
                </c:pt>
                <c:pt idx="12">
                  <c:v>58.657999999999902</c:v>
                </c:pt>
                <c:pt idx="13">
                  <c:v>-21.660000000000053</c:v>
                </c:pt>
                <c:pt idx="14">
                  <c:v>65.36200000000008</c:v>
                </c:pt>
                <c:pt idx="15">
                  <c:v>456.33499999999992</c:v>
                </c:pt>
                <c:pt idx="16">
                  <c:v>-130.10399999999984</c:v>
                </c:pt>
                <c:pt idx="17">
                  <c:v>-0.7999999999999261</c:v>
                </c:pt>
                <c:pt idx="18">
                  <c:v>224.47499999999977</c:v>
                </c:pt>
                <c:pt idx="19">
                  <c:v>180.76079200000012</c:v>
                </c:pt>
                <c:pt idx="20">
                  <c:v>84.922903999999988</c:v>
                </c:pt>
                <c:pt idx="21">
                  <c:v>-13.257676000000174</c:v>
                </c:pt>
                <c:pt idx="22">
                  <c:v>103.4013680000001</c:v>
                </c:pt>
                <c:pt idx="23">
                  <c:v>293.50623600000006</c:v>
                </c:pt>
                <c:pt idx="24">
                  <c:v>-20.306932000000046</c:v>
                </c:pt>
                <c:pt idx="25">
                  <c:v>26.981351999999902</c:v>
                </c:pt>
                <c:pt idx="26">
                  <c:v>-50.771159999999838</c:v>
                </c:pt>
                <c:pt idx="27">
                  <c:v>396.76051599999994</c:v>
                </c:pt>
                <c:pt idx="28">
                  <c:v>211.13745599999987</c:v>
                </c:pt>
                <c:pt idx="29">
                  <c:v>52.161664000000172</c:v>
                </c:pt>
                <c:pt idx="30">
                  <c:v>-6.0684159999998997</c:v>
                </c:pt>
                <c:pt idx="31">
                  <c:v>297.48950399999967</c:v>
                </c:pt>
                <c:pt idx="32">
                  <c:v>-6.7296199999998976</c:v>
                </c:pt>
                <c:pt idx="33">
                  <c:v>-165.96833999999984</c:v>
                </c:pt>
                <c:pt idx="34">
                  <c:v>16.644219999999677</c:v>
                </c:pt>
                <c:pt idx="35">
                  <c:v>815.79448000000048</c:v>
                </c:pt>
                <c:pt idx="36">
                  <c:v>-110.88309999999993</c:v>
                </c:pt>
                <c:pt idx="37">
                  <c:v>27.256715999999614</c:v>
                </c:pt>
                <c:pt idx="38">
                  <c:v>231.35412800000029</c:v>
                </c:pt>
                <c:pt idx="39">
                  <c:v>786.124908</c:v>
                </c:pt>
                <c:pt idx="40">
                  <c:v>-46.285999999999774</c:v>
                </c:pt>
                <c:pt idx="41">
                  <c:v>30.466999999999928</c:v>
                </c:pt>
                <c:pt idx="42">
                  <c:v>128.86920000000015</c:v>
                </c:pt>
                <c:pt idx="43">
                  <c:v>782.44979999999964</c:v>
                </c:pt>
                <c:pt idx="44">
                  <c:v>-20.115999999999985</c:v>
                </c:pt>
                <c:pt idx="45">
                  <c:v>-2.0163804229591733</c:v>
                </c:pt>
                <c:pt idx="46">
                  <c:v>489.72265905600972</c:v>
                </c:pt>
                <c:pt idx="47">
                  <c:v>995.12520261532109</c:v>
                </c:pt>
              </c:numCache>
            </c:numRef>
          </c:val>
          <c:smooth val="0"/>
        </c:ser>
        <c:ser>
          <c:idx val="9"/>
          <c:order val="1"/>
          <c:tx>
            <c:v>FCF</c:v>
          </c:tx>
          <c:spPr>
            <a:ln w="25400">
              <a:solidFill>
                <a:schemeClr val="accent3"/>
              </a:solidFill>
              <a:prstDash val="solid"/>
            </a:ln>
          </c:spPr>
          <c:marker>
            <c:symbol val="none"/>
          </c:marke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ChartSupport!$B$368:$BY$368</c:f>
              <c:numCache>
                <c:formatCode>_(* #,##0_);_(* \(#,##0\);_(* "-"??_);_(@_)</c:formatCode>
                <c:ptCount val="48"/>
                <c:pt idx="0">
                  <c:v>0</c:v>
                </c:pt>
                <c:pt idx="1">
                  <c:v>-203.8900000000001</c:v>
                </c:pt>
                <c:pt idx="2">
                  <c:v>22.626000000000076</c:v>
                </c:pt>
                <c:pt idx="3">
                  <c:v>43.729000000000013</c:v>
                </c:pt>
                <c:pt idx="4">
                  <c:v>-65.06399999999995</c:v>
                </c:pt>
                <c:pt idx="5">
                  <c:v>-197.06299999999996</c:v>
                </c:pt>
                <c:pt idx="6">
                  <c:v>-101.62100000000007</c:v>
                </c:pt>
                <c:pt idx="7">
                  <c:v>-43.412999999999982</c:v>
                </c:pt>
                <c:pt idx="8">
                  <c:v>-212.12899999999996</c:v>
                </c:pt>
                <c:pt idx="9">
                  <c:v>-208.5680000000001</c:v>
                </c:pt>
                <c:pt idx="10">
                  <c:v>-137.93799999999999</c:v>
                </c:pt>
                <c:pt idx="11">
                  <c:v>135.44300000000001</c:v>
                </c:pt>
                <c:pt idx="12">
                  <c:v>-16.141000000000105</c:v>
                </c:pt>
                <c:pt idx="13">
                  <c:v>-73.82000000000005</c:v>
                </c:pt>
                <c:pt idx="14">
                  <c:v>12.721000000000075</c:v>
                </c:pt>
                <c:pt idx="15">
                  <c:v>301.58899999999994</c:v>
                </c:pt>
                <c:pt idx="16">
                  <c:v>-199.66699999999986</c:v>
                </c:pt>
                <c:pt idx="17">
                  <c:v>-104.44799999999992</c:v>
                </c:pt>
                <c:pt idx="18">
                  <c:v>89.853999999999758</c:v>
                </c:pt>
                <c:pt idx="19">
                  <c:v>34.423792000000105</c:v>
                </c:pt>
                <c:pt idx="20">
                  <c:v>-24.775096000000005</c:v>
                </c:pt>
                <c:pt idx="21">
                  <c:v>-142.97267600000015</c:v>
                </c:pt>
                <c:pt idx="22">
                  <c:v>-73.655631999999912</c:v>
                </c:pt>
                <c:pt idx="23">
                  <c:v>78.910236000000054</c:v>
                </c:pt>
                <c:pt idx="24">
                  <c:v>-152.06593200000003</c:v>
                </c:pt>
                <c:pt idx="25">
                  <c:v>-122.22864800000008</c:v>
                </c:pt>
                <c:pt idx="26">
                  <c:v>-188.30615999999984</c:v>
                </c:pt>
                <c:pt idx="27">
                  <c:v>135.42351599999995</c:v>
                </c:pt>
                <c:pt idx="28">
                  <c:v>95.721455999999861</c:v>
                </c:pt>
                <c:pt idx="29">
                  <c:v>-67.531335999999811</c:v>
                </c:pt>
                <c:pt idx="30">
                  <c:v>-172.9974159999999</c:v>
                </c:pt>
                <c:pt idx="31">
                  <c:v>41.083503999999664</c:v>
                </c:pt>
                <c:pt idx="32">
                  <c:v>-125.9136199999999</c:v>
                </c:pt>
                <c:pt idx="33">
                  <c:v>-314.53933999999981</c:v>
                </c:pt>
                <c:pt idx="34">
                  <c:v>-204.07778000000033</c:v>
                </c:pt>
                <c:pt idx="35">
                  <c:v>492.24248000000051</c:v>
                </c:pt>
                <c:pt idx="36">
                  <c:v>-270.69509999999991</c:v>
                </c:pt>
                <c:pt idx="37">
                  <c:v>-125.48328400000037</c:v>
                </c:pt>
                <c:pt idx="38">
                  <c:v>21.800128000000285</c:v>
                </c:pt>
                <c:pt idx="39">
                  <c:v>467.41690799999998</c:v>
                </c:pt>
                <c:pt idx="40">
                  <c:v>-209.92699999999977</c:v>
                </c:pt>
                <c:pt idx="41">
                  <c:v>-155.74000000000007</c:v>
                </c:pt>
                <c:pt idx="42">
                  <c:v>-152.09679999999986</c:v>
                </c:pt>
                <c:pt idx="43">
                  <c:v>436.28379999999964</c:v>
                </c:pt>
                <c:pt idx="44">
                  <c:v>-134.60199999999998</c:v>
                </c:pt>
                <c:pt idx="45">
                  <c:v>-195.60112651129873</c:v>
                </c:pt>
                <c:pt idx="46">
                  <c:v>207.24578272598166</c:v>
                </c:pt>
                <c:pt idx="47">
                  <c:v>594.76054155983184</c:v>
                </c:pt>
              </c:numCache>
            </c:numRef>
          </c:val>
          <c:smooth val="0"/>
        </c:ser>
        <c:ser>
          <c:idx val="3"/>
          <c:order val="6"/>
          <c:tx>
            <c:v>zeroline</c:v>
          </c:tx>
          <c:spPr>
            <a:ln w="3175">
              <a:solidFill>
                <a:schemeClr val="bg1">
                  <a:lumMod val="50000"/>
                </a:schemeClr>
              </a:solidFill>
            </a:ln>
          </c:spPr>
          <c:marker>
            <c:symbol val="none"/>
          </c:marker>
          <c:val>
            <c:numRef>
              <c:f>ChartSupport!$B$421:$BY$421</c:f>
              <c:numCache>
                <c:formatCode>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895167488"/>
        <c:axId val="895177472"/>
      </c:lineChart>
      <c:lineChart>
        <c:grouping val="standard"/>
        <c:varyColors val="0"/>
        <c:ser>
          <c:idx val="6"/>
          <c:order val="2"/>
          <c:tx>
            <c:strRef>
              <c:f>ChartSupport!$A$376</c:f>
              <c:strCache>
                <c:ptCount val="1"/>
                <c:pt idx="0">
                  <c:v>Sugar Nybot (US$ cents/lb)</c:v>
                </c:pt>
              </c:strCache>
            </c:strRef>
          </c:tx>
          <c:spPr>
            <a:ln w="15875">
              <a:solidFill>
                <a:srgbClr val="FF0000"/>
              </a:solidFill>
              <a:prstDash val="sysDash"/>
            </a:ln>
          </c:spPr>
          <c:marker>
            <c:symbol val="none"/>
          </c:marke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ChartSupport!$B$376:$BI$376</c:f>
              <c:numCache>
                <c:formatCode>_(* #,##0.00_);_(* \(#,##0.00\);_(* "-"??_);_(@_)</c:formatCode>
                <c:ptCount val="4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0</c:v>
                </c:pt>
                <c:pt idx="22">
                  <c:v>0</c:v>
                </c:pt>
                <c:pt idx="23">
                  <c:v>31.78</c:v>
                </c:pt>
                <c:pt idx="24">
                  <c:v>23.923333333333336</c:v>
                </c:pt>
                <c:pt idx="25">
                  <c:v>28.603333333333335</c:v>
                </c:pt>
                <c:pt idx="26">
                  <c:v>24.593333333333334</c:v>
                </c:pt>
                <c:pt idx="27">
                  <c:v>23.913333333333338</c:v>
                </c:pt>
                <c:pt idx="28">
                  <c:v>21.540000000000003</c:v>
                </c:pt>
                <c:pt idx="29">
                  <c:v>21.246666666666666</c:v>
                </c:pt>
                <c:pt idx="30">
                  <c:v>20.086666666666666</c:v>
                </c:pt>
                <c:pt idx="31">
                  <c:v>18.77</c:v>
                </c:pt>
                <c:pt idx="32">
                  <c:v>17.149999999999999</c:v>
                </c:pt>
                <c:pt idx="33">
                  <c:v>16.62</c:v>
                </c:pt>
                <c:pt idx="34">
                  <c:v>17.846666666666668</c:v>
                </c:pt>
                <c:pt idx="35">
                  <c:v>16.650000000000002</c:v>
                </c:pt>
                <c:pt idx="36">
                  <c:v>17.386666666666667</c:v>
                </c:pt>
                <c:pt idx="37">
                  <c:v>16.54666666666667</c:v>
                </c:pt>
                <c:pt idx="38">
                  <c:v>15.853333333333333</c:v>
                </c:pt>
                <c:pt idx="39">
                  <c:v>14.126666666666667</c:v>
                </c:pt>
                <c:pt idx="40">
                  <c:v>12.493333333333334</c:v>
                </c:pt>
                <c:pt idx="41">
                  <c:v>11.346666666666666</c:v>
                </c:pt>
                <c:pt idx="42">
                  <c:v>14.603333333333332</c:v>
                </c:pt>
                <c:pt idx="43">
                  <c:v>14.603333333333332</c:v>
                </c:pt>
                <c:pt idx="44">
                  <c:v>16.29765375671262</c:v>
                </c:pt>
                <c:pt idx="45">
                  <c:v>16.29765375671262</c:v>
                </c:pt>
                <c:pt idx="46">
                  <c:v>16.29765375671262</c:v>
                </c:pt>
                <c:pt idx="47">
                  <c:v>16.29765375671262</c:v>
                </c:pt>
              </c:numCache>
            </c:numRef>
          </c:val>
          <c:smooth val="0"/>
        </c:ser>
        <c:dLbls>
          <c:showLegendKey val="0"/>
          <c:showVal val="0"/>
          <c:showCatName val="0"/>
          <c:showSerName val="0"/>
          <c:showPercent val="0"/>
          <c:showBubbleSize val="0"/>
        </c:dLbls>
        <c:marker val="1"/>
        <c:smooth val="0"/>
        <c:axId val="895179392"/>
        <c:axId val="895185280"/>
      </c:lineChart>
      <c:scatterChart>
        <c:scatterStyle val="lineMarker"/>
        <c:varyColors val="0"/>
        <c:ser>
          <c:idx val="0"/>
          <c:order val="3"/>
          <c:tx>
            <c:v>Line1</c:v>
          </c:tx>
          <c:spPr>
            <a:ln w="25400">
              <a:solidFill>
                <a:srgbClr val="FF0000"/>
              </a:solidFill>
            </a:ln>
          </c:spPr>
          <c:marker>
            <c:symbol val="none"/>
          </c:marker>
          <c:xVal>
            <c:numRef>
              <c:f>ChartSupport!$U$428:$V$428</c:f>
              <c:numCache>
                <c:formatCode>General</c:formatCode>
                <c:ptCount val="2"/>
                <c:pt idx="0">
                  <c:v>38</c:v>
                </c:pt>
                <c:pt idx="1">
                  <c:v>38</c:v>
                </c:pt>
              </c:numCache>
            </c:numRef>
          </c:xVal>
          <c:yVal>
            <c:numRef>
              <c:f>ChartSupport!$U$431:$V$431</c:f>
              <c:numCache>
                <c:formatCode>General</c:formatCode>
                <c:ptCount val="2"/>
                <c:pt idx="0">
                  <c:v>0</c:v>
                </c:pt>
                <c:pt idx="1">
                  <c:v>10000</c:v>
                </c:pt>
              </c:numCache>
            </c:numRef>
          </c:yVal>
          <c:smooth val="0"/>
        </c:ser>
        <c:ser>
          <c:idx val="1"/>
          <c:order val="4"/>
          <c:tx>
            <c:v>Line2</c:v>
          </c:tx>
          <c:spPr>
            <a:ln w="25400">
              <a:solidFill>
                <a:srgbClr val="FF0000"/>
              </a:solidFill>
            </a:ln>
          </c:spPr>
          <c:marker>
            <c:symbol val="none"/>
          </c:marker>
          <c:xVal>
            <c:numRef>
              <c:f>ChartSupport!$U$429:$V$429</c:f>
              <c:numCache>
                <c:formatCode>General</c:formatCode>
                <c:ptCount val="2"/>
                <c:pt idx="0">
                  <c:v>42</c:v>
                </c:pt>
                <c:pt idx="1">
                  <c:v>42</c:v>
                </c:pt>
              </c:numCache>
            </c:numRef>
          </c:xVal>
          <c:yVal>
            <c:numRef>
              <c:f>ChartSupport!$U$431:$V$431</c:f>
              <c:numCache>
                <c:formatCode>General</c:formatCode>
                <c:ptCount val="2"/>
                <c:pt idx="0">
                  <c:v>0</c:v>
                </c:pt>
                <c:pt idx="1">
                  <c:v>10000</c:v>
                </c:pt>
              </c:numCache>
            </c:numRef>
          </c:yVal>
          <c:smooth val="0"/>
        </c:ser>
        <c:ser>
          <c:idx val="2"/>
          <c:order val="5"/>
          <c:tx>
            <c:v>Line3</c:v>
          </c:tx>
          <c:spPr>
            <a:ln w="25400">
              <a:solidFill>
                <a:srgbClr val="FF0000"/>
              </a:solidFill>
              <a:prstDash val="dash"/>
            </a:ln>
          </c:spPr>
          <c:marker>
            <c:symbol val="none"/>
          </c:marker>
          <c:xVal>
            <c:numRef>
              <c:f>ChartSupport!$U$430:$V$430</c:f>
              <c:numCache>
                <c:formatCode>General</c:formatCode>
                <c:ptCount val="2"/>
                <c:pt idx="0">
                  <c:v>46</c:v>
                </c:pt>
                <c:pt idx="1">
                  <c:v>46</c:v>
                </c:pt>
              </c:numCache>
            </c:numRef>
          </c:xVal>
          <c:yVal>
            <c:numRef>
              <c:f>ChartSupport!$U$431:$V$431</c:f>
              <c:numCache>
                <c:formatCode>General</c:formatCode>
                <c:ptCount val="2"/>
                <c:pt idx="0">
                  <c:v>0</c:v>
                </c:pt>
                <c:pt idx="1">
                  <c:v>10000</c:v>
                </c:pt>
              </c:numCache>
            </c:numRef>
          </c:yVal>
          <c:smooth val="0"/>
        </c:ser>
        <c:dLbls>
          <c:showLegendKey val="0"/>
          <c:showVal val="0"/>
          <c:showCatName val="0"/>
          <c:showSerName val="0"/>
          <c:showPercent val="0"/>
          <c:showBubbleSize val="0"/>
        </c:dLbls>
        <c:axId val="895179392"/>
        <c:axId val="895185280"/>
      </c:scatterChart>
      <c:catAx>
        <c:axId val="895167488"/>
        <c:scaling>
          <c:orientation val="minMax"/>
        </c:scaling>
        <c:delete val="0"/>
        <c:axPos val="b"/>
        <c:numFmt formatCode="m/d/yyyy" sourceLinked="0"/>
        <c:majorTickMark val="out"/>
        <c:minorTickMark val="none"/>
        <c:tickLblPos val="low"/>
        <c:spPr>
          <a:ln w="3175">
            <a:solidFill>
              <a:srgbClr val="808080"/>
            </a:solidFill>
            <a:prstDash val="solid"/>
          </a:ln>
        </c:spPr>
        <c:txPr>
          <a:bodyPr rot="-5400000" vert="horz"/>
          <a:lstStyle/>
          <a:p>
            <a:pPr>
              <a:defRPr/>
            </a:pPr>
            <a:endParaRPr lang="en-US"/>
          </a:p>
        </c:txPr>
        <c:crossAx val="895177472"/>
        <c:crossesAt val="-1500"/>
        <c:auto val="1"/>
        <c:lblAlgn val="ctr"/>
        <c:lblOffset val="100"/>
        <c:tickLblSkip val="2"/>
        <c:tickMarkSkip val="1"/>
        <c:noMultiLvlLbl val="0"/>
      </c:catAx>
      <c:valAx>
        <c:axId val="895177472"/>
        <c:scaling>
          <c:orientation val="minMax"/>
        </c:scaling>
        <c:delete val="0"/>
        <c:axPos val="l"/>
        <c:title>
          <c:tx>
            <c:rich>
              <a:bodyPr rot="0" vert="horz"/>
              <a:lstStyle/>
              <a:p>
                <a:pPr>
                  <a:defRPr/>
                </a:pPr>
                <a:r>
                  <a:rPr lang="en-US"/>
                  <a:t>R$ mn</a:t>
                </a:r>
              </a:p>
            </c:rich>
          </c:tx>
          <c:layout>
            <c:manualLayout>
              <c:xMode val="edge"/>
              <c:yMode val="edge"/>
              <c:x val="0.13330716588140779"/>
              <c:y val="1.7768785162902954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5167488"/>
        <c:crosses val="autoZero"/>
        <c:crossBetween val="midCat"/>
      </c:valAx>
      <c:catAx>
        <c:axId val="895179392"/>
        <c:scaling>
          <c:orientation val="minMax"/>
        </c:scaling>
        <c:delete val="1"/>
        <c:axPos val="b"/>
        <c:majorTickMark val="out"/>
        <c:minorTickMark val="none"/>
        <c:tickLblPos val="nextTo"/>
        <c:crossAx val="895185280"/>
        <c:crosses val="autoZero"/>
        <c:auto val="1"/>
        <c:lblAlgn val="ctr"/>
        <c:lblOffset val="100"/>
        <c:noMultiLvlLbl val="0"/>
      </c:catAx>
      <c:valAx>
        <c:axId val="895185280"/>
        <c:scaling>
          <c:orientation val="minMax"/>
          <c:max val="50"/>
        </c:scaling>
        <c:delete val="0"/>
        <c:axPos val="r"/>
        <c:title>
          <c:tx>
            <c:rich>
              <a:bodyPr rot="0" vert="horz"/>
              <a:lstStyle/>
              <a:p>
                <a:pPr>
                  <a:defRPr/>
                </a:pPr>
                <a:r>
                  <a:rPr lang="en-US"/>
                  <a:t>US$ cents/lb</a:t>
                </a:r>
              </a:p>
            </c:rich>
          </c:tx>
          <c:layout>
            <c:manualLayout>
              <c:xMode val="edge"/>
              <c:yMode val="edge"/>
              <c:x val="0.77088212080608931"/>
              <c:y val="1.7768785162902954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895179392"/>
        <c:crosses val="max"/>
        <c:crossBetween val="between"/>
      </c:valAx>
      <c:spPr>
        <a:noFill/>
        <a:ln w="25400">
          <a:noFill/>
        </a:ln>
      </c:spPr>
    </c:plotArea>
    <c:legend>
      <c:legendPos val="r"/>
      <c:legendEntry>
        <c:idx val="2"/>
        <c:delete val="1"/>
      </c:legendEntry>
      <c:legendEntry>
        <c:idx val="4"/>
        <c:delete val="1"/>
      </c:legendEntry>
      <c:legendEntry>
        <c:idx val="5"/>
        <c:delete val="1"/>
      </c:legendEntry>
      <c:legendEntry>
        <c:idx val="6"/>
        <c:delete val="1"/>
      </c:legendEntry>
      <c:layout>
        <c:manualLayout>
          <c:xMode val="edge"/>
          <c:yMode val="edge"/>
          <c:x val="0.13262380005054647"/>
          <c:y val="9.518838302440652E-2"/>
          <c:w val="0.49325246343325863"/>
          <c:h val="0.21023330604839616"/>
        </c:manualLayout>
      </c:layout>
      <c:overlay val="0"/>
      <c:spPr>
        <a:no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267065898879634E-2"/>
          <c:y val="4.7318611987381701E-2"/>
          <c:w val="0.87696447174164516"/>
          <c:h val="0.73817034700315454"/>
        </c:manualLayout>
      </c:layout>
      <c:lineChart>
        <c:grouping val="standard"/>
        <c:varyColors val="0"/>
        <c:ser>
          <c:idx val="2"/>
          <c:order val="0"/>
          <c:tx>
            <c:v>CAPEX (R$ mn)</c:v>
          </c:tx>
          <c:spPr>
            <a:ln w="25400">
              <a:solidFill>
                <a:schemeClr val="accent1"/>
              </a:solidFill>
              <a:prstDash val="solid"/>
            </a:ln>
          </c:spPr>
          <c:marker>
            <c:symbol val="none"/>
          </c:marke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ChartSupport!$B$373:$BY$373</c:f>
              <c:numCache>
                <c:formatCode>_(* #,##0_);_(* \(#,##0\);_(* "-"??_);_(@_)</c:formatCode>
                <c:ptCount val="48"/>
                <c:pt idx="0">
                  <c:v>0</c:v>
                </c:pt>
                <c:pt idx="1">
                  <c:v>-42.992000000000004</c:v>
                </c:pt>
                <c:pt idx="2">
                  <c:v>-75.276999999999987</c:v>
                </c:pt>
                <c:pt idx="3">
                  <c:v>-121.453</c:v>
                </c:pt>
                <c:pt idx="4">
                  <c:v>-93.748999999999995</c:v>
                </c:pt>
                <c:pt idx="5">
                  <c:v>-113.01700000000001</c:v>
                </c:pt>
                <c:pt idx="6">
                  <c:v>-139.9</c:v>
                </c:pt>
                <c:pt idx="7">
                  <c:v>-172.52</c:v>
                </c:pt>
                <c:pt idx="8">
                  <c:v>-151.71299999999997</c:v>
                </c:pt>
                <c:pt idx="9">
                  <c:v>-87.160000000000011</c:v>
                </c:pt>
                <c:pt idx="10">
                  <c:v>-83.323000000000008</c:v>
                </c:pt>
                <c:pt idx="11">
                  <c:v>-135.095</c:v>
                </c:pt>
                <c:pt idx="12">
                  <c:v>-74.799000000000007</c:v>
                </c:pt>
                <c:pt idx="13">
                  <c:v>-52.16</c:v>
                </c:pt>
                <c:pt idx="14">
                  <c:v>-52.641000000000005</c:v>
                </c:pt>
                <c:pt idx="15">
                  <c:v>-154.74600000000001</c:v>
                </c:pt>
                <c:pt idx="16">
                  <c:v>-69.563000000000002</c:v>
                </c:pt>
                <c:pt idx="17">
                  <c:v>-103.648</c:v>
                </c:pt>
                <c:pt idx="18">
                  <c:v>-134.62100000000001</c:v>
                </c:pt>
                <c:pt idx="19">
                  <c:v>-146.33700000000002</c:v>
                </c:pt>
                <c:pt idx="20">
                  <c:v>-109.69799999999999</c:v>
                </c:pt>
                <c:pt idx="21">
                  <c:v>-129.71499999999997</c:v>
                </c:pt>
                <c:pt idx="22">
                  <c:v>-177.05700000000002</c:v>
                </c:pt>
                <c:pt idx="23">
                  <c:v>-214.596</c:v>
                </c:pt>
                <c:pt idx="24">
                  <c:v>-131.75899999999999</c:v>
                </c:pt>
                <c:pt idx="25">
                  <c:v>-149.20999999999998</c:v>
                </c:pt>
                <c:pt idx="26">
                  <c:v>-137.535</c:v>
                </c:pt>
                <c:pt idx="27">
                  <c:v>-261.33699999999999</c:v>
                </c:pt>
                <c:pt idx="28">
                  <c:v>-115.41600000000001</c:v>
                </c:pt>
                <c:pt idx="29">
                  <c:v>-119.69299999999998</c:v>
                </c:pt>
                <c:pt idx="30">
                  <c:v>-166.929</c:v>
                </c:pt>
                <c:pt idx="31">
                  <c:v>-256.40600000000001</c:v>
                </c:pt>
                <c:pt idx="32">
                  <c:v>-119.184</c:v>
                </c:pt>
                <c:pt idx="33">
                  <c:v>-148.571</c:v>
                </c:pt>
                <c:pt idx="34">
                  <c:v>-220.72200000000001</c:v>
                </c:pt>
                <c:pt idx="35">
                  <c:v>-323.55199999999996</c:v>
                </c:pt>
                <c:pt idx="36">
                  <c:v>-159.81200000000001</c:v>
                </c:pt>
                <c:pt idx="37">
                  <c:v>-152.73999999999998</c:v>
                </c:pt>
                <c:pt idx="38">
                  <c:v>-209.554</c:v>
                </c:pt>
                <c:pt idx="39">
                  <c:v>-318.70800000000003</c:v>
                </c:pt>
                <c:pt idx="40">
                  <c:v>-163.64099999999999</c:v>
                </c:pt>
                <c:pt idx="41">
                  <c:v>-186.20699999999999</c:v>
                </c:pt>
                <c:pt idx="42">
                  <c:v>-280.96600000000001</c:v>
                </c:pt>
                <c:pt idx="43">
                  <c:v>-346.166</c:v>
                </c:pt>
                <c:pt idx="44">
                  <c:v>-114.48599999999999</c:v>
                </c:pt>
                <c:pt idx="45">
                  <c:v>-193.58474608833956</c:v>
                </c:pt>
                <c:pt idx="46">
                  <c:v>-282.47687633002806</c:v>
                </c:pt>
                <c:pt idx="47">
                  <c:v>-400.36466105548925</c:v>
                </c:pt>
              </c:numCache>
            </c:numRef>
          </c:val>
          <c:smooth val="0"/>
        </c:ser>
        <c:dLbls>
          <c:showLegendKey val="0"/>
          <c:showVal val="0"/>
          <c:showCatName val="0"/>
          <c:showSerName val="0"/>
          <c:showPercent val="0"/>
          <c:showBubbleSize val="0"/>
        </c:dLbls>
        <c:marker val="1"/>
        <c:smooth val="0"/>
        <c:axId val="895760640"/>
        <c:axId val="895762432"/>
      </c:lineChart>
      <c:scatterChart>
        <c:scatterStyle val="lineMarker"/>
        <c:varyColors val="0"/>
        <c:ser>
          <c:idx val="0"/>
          <c:order val="1"/>
          <c:tx>
            <c:v>Line1</c:v>
          </c:tx>
          <c:spPr>
            <a:ln w="25400">
              <a:solidFill>
                <a:srgbClr val="FF0000"/>
              </a:solidFill>
            </a:ln>
          </c:spPr>
          <c:marker>
            <c:symbol val="none"/>
          </c:marker>
          <c:xVal>
            <c:numRef>
              <c:f>ChartSupport!$U$428:$V$428</c:f>
              <c:numCache>
                <c:formatCode>General</c:formatCode>
                <c:ptCount val="2"/>
                <c:pt idx="0">
                  <c:v>38</c:v>
                </c:pt>
                <c:pt idx="1">
                  <c:v>38</c:v>
                </c:pt>
              </c:numCache>
            </c:numRef>
          </c:xVal>
          <c:yVal>
            <c:numRef>
              <c:f>ChartSupport!$U$431:$V$431</c:f>
              <c:numCache>
                <c:formatCode>General</c:formatCode>
                <c:ptCount val="2"/>
                <c:pt idx="0">
                  <c:v>0</c:v>
                </c:pt>
                <c:pt idx="1">
                  <c:v>10000</c:v>
                </c:pt>
              </c:numCache>
            </c:numRef>
          </c:yVal>
          <c:smooth val="0"/>
        </c:ser>
        <c:ser>
          <c:idx val="1"/>
          <c:order val="2"/>
          <c:tx>
            <c:v>Line2</c:v>
          </c:tx>
          <c:spPr>
            <a:ln w="25400">
              <a:solidFill>
                <a:srgbClr val="FF0000"/>
              </a:solidFill>
            </a:ln>
          </c:spPr>
          <c:marker>
            <c:symbol val="none"/>
          </c:marker>
          <c:xVal>
            <c:numRef>
              <c:f>ChartSupport!$U$429:$V$429</c:f>
              <c:numCache>
                <c:formatCode>General</c:formatCode>
                <c:ptCount val="2"/>
                <c:pt idx="0">
                  <c:v>42</c:v>
                </c:pt>
                <c:pt idx="1">
                  <c:v>42</c:v>
                </c:pt>
              </c:numCache>
            </c:numRef>
          </c:xVal>
          <c:yVal>
            <c:numRef>
              <c:f>ChartSupport!$U$431:$V$431</c:f>
              <c:numCache>
                <c:formatCode>General</c:formatCode>
                <c:ptCount val="2"/>
                <c:pt idx="0">
                  <c:v>0</c:v>
                </c:pt>
                <c:pt idx="1">
                  <c:v>10000</c:v>
                </c:pt>
              </c:numCache>
            </c:numRef>
          </c:yVal>
          <c:smooth val="0"/>
        </c:ser>
        <c:ser>
          <c:idx val="3"/>
          <c:order val="3"/>
          <c:tx>
            <c:v>Line3</c:v>
          </c:tx>
          <c:spPr>
            <a:ln w="25400">
              <a:solidFill>
                <a:srgbClr val="FF0000"/>
              </a:solidFill>
              <a:prstDash val="dash"/>
            </a:ln>
          </c:spPr>
          <c:marker>
            <c:symbol val="none"/>
          </c:marker>
          <c:xVal>
            <c:numRef>
              <c:f>ChartSupport!$U$430:$V$430</c:f>
              <c:numCache>
                <c:formatCode>General</c:formatCode>
                <c:ptCount val="2"/>
                <c:pt idx="0">
                  <c:v>46</c:v>
                </c:pt>
                <c:pt idx="1">
                  <c:v>46</c:v>
                </c:pt>
              </c:numCache>
            </c:numRef>
          </c:xVal>
          <c:yVal>
            <c:numRef>
              <c:f>ChartSupport!$U$431:$V$431</c:f>
              <c:numCache>
                <c:formatCode>General</c:formatCode>
                <c:ptCount val="2"/>
                <c:pt idx="0">
                  <c:v>0</c:v>
                </c:pt>
                <c:pt idx="1">
                  <c:v>10000</c:v>
                </c:pt>
              </c:numCache>
            </c:numRef>
          </c:yVal>
          <c:smooth val="0"/>
        </c:ser>
        <c:dLbls>
          <c:showLegendKey val="0"/>
          <c:showVal val="0"/>
          <c:showCatName val="0"/>
          <c:showSerName val="0"/>
          <c:showPercent val="0"/>
          <c:showBubbleSize val="0"/>
        </c:dLbls>
        <c:axId val="895764352"/>
        <c:axId val="895765888"/>
      </c:scatterChart>
      <c:catAx>
        <c:axId val="895760640"/>
        <c:scaling>
          <c:orientation val="minMax"/>
        </c:scaling>
        <c:delete val="0"/>
        <c:axPos val="b"/>
        <c:numFmt formatCode="m/d/yyyy" sourceLinked="0"/>
        <c:majorTickMark val="out"/>
        <c:minorTickMark val="none"/>
        <c:tickLblPos val="nextTo"/>
        <c:spPr>
          <a:ln w="3175">
            <a:solidFill>
              <a:srgbClr val="808080"/>
            </a:solidFill>
            <a:prstDash val="solid"/>
          </a:ln>
        </c:spPr>
        <c:txPr>
          <a:bodyPr rot="-5400000" vert="horz"/>
          <a:lstStyle/>
          <a:p>
            <a:pPr>
              <a:defRPr/>
            </a:pPr>
            <a:endParaRPr lang="en-US"/>
          </a:p>
        </c:txPr>
        <c:crossAx val="895762432"/>
        <c:crossesAt val="-1000"/>
        <c:auto val="1"/>
        <c:lblAlgn val="ctr"/>
        <c:lblOffset val="100"/>
        <c:tickLblSkip val="2"/>
        <c:tickMarkSkip val="1"/>
        <c:noMultiLvlLbl val="0"/>
      </c:catAx>
      <c:valAx>
        <c:axId val="895762432"/>
        <c:scaling>
          <c:orientation val="minMax"/>
        </c:scaling>
        <c:delete val="0"/>
        <c:axPos val="l"/>
        <c:title>
          <c:tx>
            <c:rich>
              <a:bodyPr rot="0" vert="horz"/>
              <a:lstStyle/>
              <a:p>
                <a:pPr>
                  <a:defRPr/>
                </a:pPr>
                <a:r>
                  <a:rPr lang="en-US"/>
                  <a:t>R$ mn</a:t>
                </a:r>
              </a:p>
            </c:rich>
          </c:tx>
          <c:layout>
            <c:manualLayout>
              <c:xMode val="edge"/>
              <c:yMode val="edge"/>
              <c:x val="0.10691825664310349"/>
              <c:y val="4.0552020754898672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5760640"/>
        <c:crosses val="autoZero"/>
        <c:crossBetween val="midCat"/>
      </c:valAx>
      <c:valAx>
        <c:axId val="895764352"/>
        <c:scaling>
          <c:orientation val="minMax"/>
        </c:scaling>
        <c:delete val="1"/>
        <c:axPos val="b"/>
        <c:numFmt formatCode="General" sourceLinked="1"/>
        <c:majorTickMark val="out"/>
        <c:minorTickMark val="none"/>
        <c:tickLblPos val="nextTo"/>
        <c:crossAx val="895765888"/>
        <c:crosses val="autoZero"/>
        <c:crossBetween val="midCat"/>
      </c:valAx>
      <c:valAx>
        <c:axId val="895765888"/>
        <c:scaling>
          <c:orientation val="minMax"/>
          <c:max val="10000"/>
        </c:scaling>
        <c:delete val="0"/>
        <c:axPos val="l"/>
        <c:numFmt formatCode="General" sourceLinked="1"/>
        <c:majorTickMark val="none"/>
        <c:minorTickMark val="none"/>
        <c:tickLblPos val="none"/>
        <c:spPr>
          <a:ln>
            <a:noFill/>
          </a:ln>
        </c:spPr>
        <c:crossAx val="895764352"/>
        <c:crosses val="autoZero"/>
        <c:crossBetween val="midCat"/>
      </c:valAx>
      <c:spPr>
        <a:noFill/>
        <a:ln w="25400">
          <a:noFill/>
        </a:ln>
      </c:spPr>
    </c:plotArea>
    <c:legend>
      <c:legendPos val="t"/>
      <c:legendEntry>
        <c:idx val="1"/>
        <c:delete val="1"/>
      </c:legendEntry>
      <c:legendEntry>
        <c:idx val="2"/>
        <c:delete val="1"/>
      </c:legendEntry>
      <c:legendEntry>
        <c:idx val="3"/>
        <c:delete val="1"/>
      </c:legendEntry>
      <c:layout>
        <c:manualLayout>
          <c:xMode val="edge"/>
          <c:yMode val="edge"/>
          <c:x val="0.3085834874434189"/>
          <c:y val="5.2037486111386172E-2"/>
          <c:w val="0.3828330251131622"/>
          <c:h val="6.916444323645847E-2"/>
        </c:manualLayout>
      </c:layout>
      <c:overlay val="0"/>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081095704570978"/>
          <c:y val="4.7619195248001144E-2"/>
          <c:w val="0.81891999963048934"/>
          <c:h val="0.73651021983575093"/>
        </c:manualLayout>
      </c:layout>
      <c:lineChart>
        <c:grouping val="standard"/>
        <c:varyColors val="0"/>
        <c:ser>
          <c:idx val="4"/>
          <c:order val="0"/>
          <c:tx>
            <c:strRef>
              <c:f>ChartSupport!$A$365</c:f>
              <c:strCache>
                <c:ptCount val="1"/>
                <c:pt idx="0">
                  <c:v>Operating Working Capital</c:v>
                </c:pt>
              </c:strCache>
            </c:strRef>
          </c:tx>
          <c:spPr>
            <a:ln w="25400">
              <a:solidFill>
                <a:srgbClr val="2270AB"/>
              </a:solidFill>
              <a:prstDash val="solid"/>
            </a:ln>
          </c:spPr>
          <c:marker>
            <c:symbol val="none"/>
          </c:marke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ChartSupport!$B$365:$BY$365</c:f>
              <c:numCache>
                <c:formatCode>_(* #,##0_);_(* \(#,##0\);_(* "-"??_);_(@_)</c:formatCode>
                <c:ptCount val="48"/>
                <c:pt idx="0">
                  <c:v>81.207000000000008</c:v>
                </c:pt>
                <c:pt idx="1">
                  <c:v>319.88200000000006</c:v>
                </c:pt>
                <c:pt idx="2">
                  <c:v>257.36799999999994</c:v>
                </c:pt>
                <c:pt idx="3">
                  <c:v>146.75900000000001</c:v>
                </c:pt>
                <c:pt idx="4">
                  <c:v>156.00599999999997</c:v>
                </c:pt>
                <c:pt idx="5">
                  <c:v>236.72400000000002</c:v>
                </c:pt>
                <c:pt idx="6">
                  <c:v>225.58200000000002</c:v>
                </c:pt>
                <c:pt idx="7">
                  <c:v>157.15399999999997</c:v>
                </c:pt>
                <c:pt idx="8">
                  <c:v>224.49699999999999</c:v>
                </c:pt>
                <c:pt idx="9">
                  <c:v>352.23600000000005</c:v>
                </c:pt>
                <c:pt idx="10">
                  <c:v>426.85899999999998</c:v>
                </c:pt>
                <c:pt idx="11">
                  <c:v>256.9729999999999</c:v>
                </c:pt>
                <c:pt idx="12">
                  <c:v>281.60599999999999</c:v>
                </c:pt>
                <c:pt idx="13">
                  <c:v>331.60900000000015</c:v>
                </c:pt>
                <c:pt idx="14">
                  <c:v>343.47800000000007</c:v>
                </c:pt>
                <c:pt idx="15">
                  <c:v>-1.561999999999955</c:v>
                </c:pt>
                <c:pt idx="16">
                  <c:v>223.27699999999987</c:v>
                </c:pt>
                <c:pt idx="17">
                  <c:v>341.72199999999987</c:v>
                </c:pt>
                <c:pt idx="18">
                  <c:v>321.59000000000009</c:v>
                </c:pt>
                <c:pt idx="19">
                  <c:v>66.786999999999978</c:v>
                </c:pt>
                <c:pt idx="20">
                  <c:v>117.4380000000001</c:v>
                </c:pt>
                <c:pt idx="21">
                  <c:v>261.36199999999997</c:v>
                </c:pt>
                <c:pt idx="22">
                  <c:v>282.49800000000005</c:v>
                </c:pt>
                <c:pt idx="23">
                  <c:v>-32.658000000000065</c:v>
                </c:pt>
                <c:pt idx="24">
                  <c:v>64.951999999999771</c:v>
                </c:pt>
                <c:pt idx="25">
                  <c:v>197.25000000000009</c:v>
                </c:pt>
                <c:pt idx="26">
                  <c:v>362.91099999999966</c:v>
                </c:pt>
                <c:pt idx="27">
                  <c:v>13.234999999999822</c:v>
                </c:pt>
                <c:pt idx="28">
                  <c:v>-18.432000000000095</c:v>
                </c:pt>
                <c:pt idx="29">
                  <c:v>89.935999999999922</c:v>
                </c:pt>
                <c:pt idx="30">
                  <c:v>226.90200000000004</c:v>
                </c:pt>
                <c:pt idx="31">
                  <c:v>0.99200000000012523</c:v>
                </c:pt>
                <c:pt idx="32">
                  <c:v>134.26099999999985</c:v>
                </c:pt>
                <c:pt idx="33">
                  <c:v>461.27300000000014</c:v>
                </c:pt>
                <c:pt idx="34">
                  <c:v>570.33499999999981</c:v>
                </c:pt>
                <c:pt idx="35">
                  <c:v>-68.945000000000022</c:v>
                </c:pt>
                <c:pt idx="36">
                  <c:v>294.07399999999984</c:v>
                </c:pt>
                <c:pt idx="37">
                  <c:v>441.81700000000012</c:v>
                </c:pt>
                <c:pt idx="38">
                  <c:v>528.28500000000008</c:v>
                </c:pt>
                <c:pt idx="39">
                  <c:v>-33.464000000000041</c:v>
                </c:pt>
                <c:pt idx="40">
                  <c:v>162.03399999999988</c:v>
                </c:pt>
                <c:pt idx="41">
                  <c:v>483.61800000000017</c:v>
                </c:pt>
                <c:pt idx="42">
                  <c:v>491.12580000000003</c:v>
                </c:pt>
                <c:pt idx="43">
                  <c:v>21.193999999999789</c:v>
                </c:pt>
                <c:pt idx="44">
                  <c:v>375.39700000000022</c:v>
                </c:pt>
                <c:pt idx="45">
                  <c:v>733.77709656249272</c:v>
                </c:pt>
                <c:pt idx="46">
                  <c:v>614.91339321846237</c:v>
                </c:pt>
                <c:pt idx="47">
                  <c:v>42.269430223819199</c:v>
                </c:pt>
              </c:numCache>
            </c:numRef>
          </c:val>
          <c:smooth val="0"/>
        </c:ser>
        <c:dLbls>
          <c:showLegendKey val="0"/>
          <c:showVal val="0"/>
          <c:showCatName val="0"/>
          <c:showSerName val="0"/>
          <c:showPercent val="0"/>
          <c:showBubbleSize val="0"/>
        </c:dLbls>
        <c:marker val="1"/>
        <c:smooth val="0"/>
        <c:axId val="895487360"/>
        <c:axId val="895501440"/>
      </c:lineChart>
      <c:lineChart>
        <c:grouping val="stacked"/>
        <c:varyColors val="0"/>
        <c:ser>
          <c:idx val="6"/>
          <c:order val="1"/>
          <c:tx>
            <c:strRef>
              <c:f>ChartSupport!$A$376</c:f>
              <c:strCache>
                <c:ptCount val="1"/>
                <c:pt idx="0">
                  <c:v>Sugar Nybot (US$ cents/lb)</c:v>
                </c:pt>
              </c:strCache>
            </c:strRef>
          </c:tx>
          <c:spPr>
            <a:ln w="15875">
              <a:solidFill>
                <a:srgbClr val="FF0000"/>
              </a:solidFill>
              <a:prstDash val="sysDash"/>
            </a:ln>
          </c:spPr>
          <c:marker>
            <c:symbol val="none"/>
          </c:marke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ChartSupport!$B$376:$BY$376</c:f>
              <c:numCache>
                <c:formatCode>_(* #,##0.00_);_(* \(#,##0.00\);_(* "-"??_);_(@_)</c:formatCode>
                <c:ptCount val="4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0</c:v>
                </c:pt>
                <c:pt idx="22">
                  <c:v>0</c:v>
                </c:pt>
                <c:pt idx="23">
                  <c:v>31.78</c:v>
                </c:pt>
                <c:pt idx="24">
                  <c:v>23.923333333333336</c:v>
                </c:pt>
                <c:pt idx="25">
                  <c:v>28.603333333333335</c:v>
                </c:pt>
                <c:pt idx="26">
                  <c:v>24.593333333333334</c:v>
                </c:pt>
                <c:pt idx="27">
                  <c:v>23.913333333333338</c:v>
                </c:pt>
                <c:pt idx="28">
                  <c:v>21.540000000000003</c:v>
                </c:pt>
                <c:pt idx="29">
                  <c:v>21.246666666666666</c:v>
                </c:pt>
                <c:pt idx="30">
                  <c:v>20.086666666666666</c:v>
                </c:pt>
                <c:pt idx="31">
                  <c:v>18.77</c:v>
                </c:pt>
                <c:pt idx="32">
                  <c:v>17.149999999999999</c:v>
                </c:pt>
                <c:pt idx="33">
                  <c:v>16.62</c:v>
                </c:pt>
                <c:pt idx="34">
                  <c:v>17.846666666666668</c:v>
                </c:pt>
                <c:pt idx="35">
                  <c:v>16.650000000000002</c:v>
                </c:pt>
                <c:pt idx="36">
                  <c:v>17.386666666666667</c:v>
                </c:pt>
                <c:pt idx="37">
                  <c:v>16.54666666666667</c:v>
                </c:pt>
                <c:pt idx="38">
                  <c:v>15.853333333333333</c:v>
                </c:pt>
                <c:pt idx="39">
                  <c:v>14.126666666666667</c:v>
                </c:pt>
                <c:pt idx="40">
                  <c:v>12.493333333333334</c:v>
                </c:pt>
                <c:pt idx="41">
                  <c:v>11.346666666666666</c:v>
                </c:pt>
                <c:pt idx="42">
                  <c:v>14.603333333333332</c:v>
                </c:pt>
                <c:pt idx="43">
                  <c:v>14.603333333333332</c:v>
                </c:pt>
                <c:pt idx="44">
                  <c:v>16.29765375671262</c:v>
                </c:pt>
                <c:pt idx="45">
                  <c:v>16.29765375671262</c:v>
                </c:pt>
                <c:pt idx="46">
                  <c:v>16.29765375671262</c:v>
                </c:pt>
                <c:pt idx="47">
                  <c:v>16.29765375671262</c:v>
                </c:pt>
              </c:numCache>
            </c:numRef>
          </c:val>
          <c:smooth val="0"/>
        </c:ser>
        <c:dLbls>
          <c:showLegendKey val="0"/>
          <c:showVal val="0"/>
          <c:showCatName val="0"/>
          <c:showSerName val="0"/>
          <c:showPercent val="0"/>
          <c:showBubbleSize val="0"/>
        </c:dLbls>
        <c:marker val="1"/>
        <c:smooth val="0"/>
        <c:axId val="895503360"/>
        <c:axId val="895509248"/>
      </c:lineChart>
      <c:scatterChart>
        <c:scatterStyle val="lineMarker"/>
        <c:varyColors val="0"/>
        <c:ser>
          <c:idx val="3"/>
          <c:order val="5"/>
          <c:tx>
            <c:v>zeroline</c:v>
          </c:tx>
          <c:spPr>
            <a:ln w="3175">
              <a:solidFill>
                <a:schemeClr val="bg1">
                  <a:lumMod val="50000"/>
                </a:schemeClr>
              </a:solidFill>
            </a:ln>
          </c:spPr>
          <c:marker>
            <c:symbol val="none"/>
          </c:marker>
          <c:yVal>
            <c:numRef>
              <c:f>ChartSupport!$B$421:$BY$421</c:f>
              <c:numCache>
                <c:formatCode>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yVal>
          <c:smooth val="0"/>
        </c:ser>
        <c:dLbls>
          <c:showLegendKey val="0"/>
          <c:showVal val="0"/>
          <c:showCatName val="0"/>
          <c:showSerName val="0"/>
          <c:showPercent val="0"/>
          <c:showBubbleSize val="0"/>
        </c:dLbls>
        <c:axId val="895487360"/>
        <c:axId val="895501440"/>
      </c:scatterChart>
      <c:scatterChart>
        <c:scatterStyle val="lineMarker"/>
        <c:varyColors val="0"/>
        <c:ser>
          <c:idx val="0"/>
          <c:order val="2"/>
          <c:tx>
            <c:v>Line1</c:v>
          </c:tx>
          <c:spPr>
            <a:ln w="25400">
              <a:solidFill>
                <a:srgbClr val="FF0000"/>
              </a:solidFill>
            </a:ln>
          </c:spPr>
          <c:marker>
            <c:symbol val="none"/>
          </c:marker>
          <c:xVal>
            <c:numRef>
              <c:f>ChartSupport!$U$428:$V$428</c:f>
              <c:numCache>
                <c:formatCode>General</c:formatCode>
                <c:ptCount val="2"/>
                <c:pt idx="0">
                  <c:v>38</c:v>
                </c:pt>
                <c:pt idx="1">
                  <c:v>38</c:v>
                </c:pt>
              </c:numCache>
            </c:numRef>
          </c:xVal>
          <c:yVal>
            <c:numRef>
              <c:f>ChartSupport!$U$431:$V$431</c:f>
              <c:numCache>
                <c:formatCode>General</c:formatCode>
                <c:ptCount val="2"/>
                <c:pt idx="0">
                  <c:v>0</c:v>
                </c:pt>
                <c:pt idx="1">
                  <c:v>10000</c:v>
                </c:pt>
              </c:numCache>
            </c:numRef>
          </c:yVal>
          <c:smooth val="0"/>
        </c:ser>
        <c:ser>
          <c:idx val="1"/>
          <c:order val="3"/>
          <c:tx>
            <c:v>Line2</c:v>
          </c:tx>
          <c:spPr>
            <a:ln w="25400">
              <a:solidFill>
                <a:srgbClr val="FF0000"/>
              </a:solidFill>
            </a:ln>
          </c:spPr>
          <c:marker>
            <c:symbol val="none"/>
          </c:marker>
          <c:xVal>
            <c:numRef>
              <c:f>ChartSupport!$U$429:$V$429</c:f>
              <c:numCache>
                <c:formatCode>General</c:formatCode>
                <c:ptCount val="2"/>
                <c:pt idx="0">
                  <c:v>42</c:v>
                </c:pt>
                <c:pt idx="1">
                  <c:v>42</c:v>
                </c:pt>
              </c:numCache>
            </c:numRef>
          </c:xVal>
          <c:yVal>
            <c:numRef>
              <c:f>ChartSupport!$U$431:$V$431</c:f>
              <c:numCache>
                <c:formatCode>General</c:formatCode>
                <c:ptCount val="2"/>
                <c:pt idx="0">
                  <c:v>0</c:v>
                </c:pt>
                <c:pt idx="1">
                  <c:v>10000</c:v>
                </c:pt>
              </c:numCache>
            </c:numRef>
          </c:yVal>
          <c:smooth val="0"/>
        </c:ser>
        <c:ser>
          <c:idx val="2"/>
          <c:order val="4"/>
          <c:tx>
            <c:v>Line3</c:v>
          </c:tx>
          <c:spPr>
            <a:ln w="25400">
              <a:solidFill>
                <a:srgbClr val="FF0000"/>
              </a:solidFill>
              <a:prstDash val="dash"/>
            </a:ln>
          </c:spPr>
          <c:marker>
            <c:symbol val="none"/>
          </c:marker>
          <c:xVal>
            <c:numRef>
              <c:f>ChartSupport!$U$430:$V$430</c:f>
              <c:numCache>
                <c:formatCode>General</c:formatCode>
                <c:ptCount val="2"/>
                <c:pt idx="0">
                  <c:v>46</c:v>
                </c:pt>
                <c:pt idx="1">
                  <c:v>46</c:v>
                </c:pt>
              </c:numCache>
            </c:numRef>
          </c:xVal>
          <c:yVal>
            <c:numRef>
              <c:f>ChartSupport!$U$431:$V$431</c:f>
              <c:numCache>
                <c:formatCode>General</c:formatCode>
                <c:ptCount val="2"/>
                <c:pt idx="0">
                  <c:v>0</c:v>
                </c:pt>
                <c:pt idx="1">
                  <c:v>10000</c:v>
                </c:pt>
              </c:numCache>
            </c:numRef>
          </c:yVal>
          <c:smooth val="0"/>
        </c:ser>
        <c:dLbls>
          <c:showLegendKey val="0"/>
          <c:showVal val="0"/>
          <c:showCatName val="0"/>
          <c:showSerName val="0"/>
          <c:showPercent val="0"/>
          <c:showBubbleSize val="0"/>
        </c:dLbls>
        <c:axId val="895503360"/>
        <c:axId val="895509248"/>
      </c:scatterChart>
      <c:catAx>
        <c:axId val="895487360"/>
        <c:scaling>
          <c:orientation val="minMax"/>
        </c:scaling>
        <c:delete val="0"/>
        <c:axPos val="b"/>
        <c:numFmt formatCode="m/d/yyyy" sourceLinked="0"/>
        <c:majorTickMark val="out"/>
        <c:minorTickMark val="none"/>
        <c:tickLblPos val="low"/>
        <c:spPr>
          <a:ln w="3175">
            <a:solidFill>
              <a:srgbClr val="808080"/>
            </a:solidFill>
            <a:prstDash val="solid"/>
          </a:ln>
        </c:spPr>
        <c:txPr>
          <a:bodyPr rot="-5400000" vert="horz"/>
          <a:lstStyle/>
          <a:p>
            <a:pPr>
              <a:defRPr/>
            </a:pPr>
            <a:endParaRPr lang="en-US"/>
          </a:p>
        </c:txPr>
        <c:crossAx val="895501440"/>
        <c:crossesAt val="-200"/>
        <c:auto val="1"/>
        <c:lblAlgn val="ctr"/>
        <c:lblOffset val="100"/>
        <c:tickLblSkip val="2"/>
        <c:tickMarkSkip val="1"/>
        <c:noMultiLvlLbl val="0"/>
      </c:catAx>
      <c:valAx>
        <c:axId val="895501440"/>
        <c:scaling>
          <c:orientation val="minMax"/>
          <c:max val="800"/>
        </c:scaling>
        <c:delete val="0"/>
        <c:axPos val="l"/>
        <c:title>
          <c:tx>
            <c:rich>
              <a:bodyPr rot="0" vert="horz"/>
              <a:lstStyle/>
              <a:p>
                <a:pPr>
                  <a:defRPr/>
                </a:pPr>
                <a:r>
                  <a:rPr lang="en-US"/>
                  <a:t>R$ mn</a:t>
                </a:r>
              </a:p>
            </c:rich>
          </c:tx>
          <c:layout>
            <c:manualLayout>
              <c:xMode val="edge"/>
              <c:yMode val="edge"/>
              <c:x val="0.11886499147910581"/>
              <c:y val="1.3403943895410627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5487360"/>
        <c:crosses val="autoZero"/>
        <c:crossBetween val="between"/>
      </c:valAx>
      <c:catAx>
        <c:axId val="895503360"/>
        <c:scaling>
          <c:orientation val="minMax"/>
        </c:scaling>
        <c:delete val="1"/>
        <c:axPos val="b"/>
        <c:majorTickMark val="out"/>
        <c:minorTickMark val="none"/>
        <c:tickLblPos val="nextTo"/>
        <c:crossAx val="895509248"/>
        <c:crosses val="autoZero"/>
        <c:auto val="1"/>
        <c:lblAlgn val="ctr"/>
        <c:lblOffset val="100"/>
        <c:noMultiLvlLbl val="0"/>
      </c:catAx>
      <c:valAx>
        <c:axId val="895509248"/>
        <c:scaling>
          <c:orientation val="minMax"/>
          <c:max val="40"/>
          <c:min val="0"/>
        </c:scaling>
        <c:delete val="0"/>
        <c:axPos val="r"/>
        <c:title>
          <c:tx>
            <c:rich>
              <a:bodyPr rot="0" vert="horz"/>
              <a:lstStyle/>
              <a:p>
                <a:pPr>
                  <a:defRPr/>
                </a:pPr>
                <a:r>
                  <a:rPr lang="en-US"/>
                  <a:t>US$ cents/lb</a:t>
                </a:r>
              </a:p>
            </c:rich>
          </c:tx>
          <c:layout>
            <c:manualLayout>
              <c:xMode val="edge"/>
              <c:yMode val="edge"/>
              <c:x val="0.77448447531199749"/>
              <c:y val="1.7675286482646914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895503360"/>
        <c:crosses val="max"/>
        <c:crossBetween val="between"/>
      </c:valAx>
      <c:spPr>
        <a:noFill/>
        <a:ln w="25400">
          <a:noFill/>
        </a:ln>
      </c:spPr>
    </c:plotArea>
    <c:legend>
      <c:legendPos val="r"/>
      <c:legendEntry>
        <c:idx val="2"/>
        <c:delete val="1"/>
      </c:legendEntry>
      <c:legendEntry>
        <c:idx val="3"/>
        <c:delete val="1"/>
      </c:legendEntry>
      <c:legendEntry>
        <c:idx val="4"/>
        <c:delete val="1"/>
      </c:legendEntry>
      <c:legendEntry>
        <c:idx val="5"/>
        <c:delete val="1"/>
      </c:legendEntry>
      <c:layout>
        <c:manualLayout>
          <c:xMode val="edge"/>
          <c:yMode val="edge"/>
          <c:x val="0.10992437266096455"/>
          <c:y val="6.1767927157253488E-2"/>
          <c:w val="0.56303612991772256"/>
          <c:h val="0.1483185898059039"/>
        </c:manualLayout>
      </c:layout>
      <c:overlay val="0"/>
      <c:spPr>
        <a:no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1644908616188E-2"/>
          <c:y val="4.7169956177390976E-2"/>
          <c:w val="0.85378590078328986"/>
          <c:h val="0.73899598011245859"/>
        </c:manualLayout>
      </c:layout>
      <c:lineChart>
        <c:grouping val="standard"/>
        <c:varyColors val="0"/>
        <c:ser>
          <c:idx val="2"/>
          <c:order val="0"/>
          <c:tx>
            <c:strRef>
              <c:f>ChartSupport!$A$371</c:f>
              <c:strCache>
                <c:ptCount val="1"/>
                <c:pt idx="0">
                  <c:v>Net Debt</c:v>
                </c:pt>
              </c:strCache>
            </c:strRef>
          </c:tx>
          <c:spPr>
            <a:ln w="25400">
              <a:solidFill>
                <a:schemeClr val="accent1"/>
              </a:solidFill>
              <a:prstDash val="solid"/>
            </a:ln>
          </c:spPr>
          <c:marker>
            <c:symbol val="none"/>
          </c:marke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ChartSupport!$B$371:$BY$371</c:f>
              <c:numCache>
                <c:formatCode>#,##0_);\(#,##0\)</c:formatCode>
                <c:ptCount val="48"/>
                <c:pt idx="0">
                  <c:v>96.367999999999995</c:v>
                </c:pt>
                <c:pt idx="1">
                  <c:v>225.81699999999995</c:v>
                </c:pt>
                <c:pt idx="2">
                  <c:v>235.40500000000003</c:v>
                </c:pt>
                <c:pt idx="3">
                  <c:v>-44.161000000000001</c:v>
                </c:pt>
                <c:pt idx="4">
                  <c:v>127.94899999999998</c:v>
                </c:pt>
                <c:pt idx="5">
                  <c:v>290.43400000000008</c:v>
                </c:pt>
                <c:pt idx="6">
                  <c:v>421.30199999999996</c:v>
                </c:pt>
                <c:pt idx="7">
                  <c:v>518.80999999999995</c:v>
                </c:pt>
                <c:pt idx="8">
                  <c:v>690.44399999999996</c:v>
                </c:pt>
                <c:pt idx="9">
                  <c:v>854.36599999999999</c:v>
                </c:pt>
                <c:pt idx="10">
                  <c:v>1009.9390000000001</c:v>
                </c:pt>
                <c:pt idx="11">
                  <c:v>941.69699999999978</c:v>
                </c:pt>
                <c:pt idx="12">
                  <c:v>922.73700000000019</c:v>
                </c:pt>
                <c:pt idx="13">
                  <c:v>964.85299999999984</c:v>
                </c:pt>
                <c:pt idx="14">
                  <c:v>967.28700000000003</c:v>
                </c:pt>
                <c:pt idx="15">
                  <c:v>766.101</c:v>
                </c:pt>
                <c:pt idx="16">
                  <c:v>806.5870000000001</c:v>
                </c:pt>
                <c:pt idx="17">
                  <c:v>926.88700000000006</c:v>
                </c:pt>
                <c:pt idx="18">
                  <c:v>630.25299999999993</c:v>
                </c:pt>
                <c:pt idx="19">
                  <c:v>515.38199999999995</c:v>
                </c:pt>
                <c:pt idx="20">
                  <c:v>496.50000000000006</c:v>
                </c:pt>
                <c:pt idx="21">
                  <c:v>666.2410000000001</c:v>
                </c:pt>
                <c:pt idx="22">
                  <c:v>835.10699999999997</c:v>
                </c:pt>
                <c:pt idx="23">
                  <c:v>836.07099999999991</c:v>
                </c:pt>
                <c:pt idx="24">
                  <c:v>1068.624</c:v>
                </c:pt>
                <c:pt idx="25">
                  <c:v>1140.6680000000001</c:v>
                </c:pt>
                <c:pt idx="26">
                  <c:v>1317.4490000000001</c:v>
                </c:pt>
                <c:pt idx="27">
                  <c:v>1347.636</c:v>
                </c:pt>
                <c:pt idx="28">
                  <c:v>1412.0720000000001</c:v>
                </c:pt>
                <c:pt idx="29">
                  <c:v>1421.999</c:v>
                </c:pt>
                <c:pt idx="30">
                  <c:v>1582.8720000000003</c:v>
                </c:pt>
                <c:pt idx="31">
                  <c:v>1538.4810000000002</c:v>
                </c:pt>
                <c:pt idx="32">
                  <c:v>1568.308</c:v>
                </c:pt>
                <c:pt idx="33">
                  <c:v>2298.5300000000007</c:v>
                </c:pt>
                <c:pt idx="34">
                  <c:v>2592.9610000000002</c:v>
                </c:pt>
                <c:pt idx="35">
                  <c:v>2487.0840000000003</c:v>
                </c:pt>
                <c:pt idx="36">
                  <c:v>2589.9610000000002</c:v>
                </c:pt>
                <c:pt idx="37">
                  <c:v>3153.9750000000004</c:v>
                </c:pt>
                <c:pt idx="38">
                  <c:v>3191.7830000000004</c:v>
                </c:pt>
                <c:pt idx="39">
                  <c:v>2719.038</c:v>
                </c:pt>
                <c:pt idx="40">
                  <c:v>2686.4329999999995</c:v>
                </c:pt>
                <c:pt idx="41">
                  <c:v>2782.6009999999997</c:v>
                </c:pt>
                <c:pt idx="42">
                  <c:v>2844.6378000000004</c:v>
                </c:pt>
                <c:pt idx="43">
                  <c:v>2547.1280000000002</c:v>
                </c:pt>
                <c:pt idx="44">
                  <c:v>2647.8519999999999</c:v>
                </c:pt>
                <c:pt idx="45">
                  <c:v>2843.4531265112987</c:v>
                </c:pt>
                <c:pt idx="46">
                  <c:v>2636.2073437853169</c:v>
                </c:pt>
                <c:pt idx="47">
                  <c:v>2250.5675568724828</c:v>
                </c:pt>
              </c:numCache>
            </c:numRef>
          </c:val>
          <c:smooth val="0"/>
        </c:ser>
        <c:ser>
          <c:idx val="4"/>
          <c:order val="4"/>
          <c:tx>
            <c:v>zeroline</c:v>
          </c:tx>
          <c:spPr>
            <a:ln w="3175">
              <a:solidFill>
                <a:schemeClr val="bg1">
                  <a:lumMod val="50000"/>
                </a:schemeClr>
              </a:solidFill>
            </a:ln>
          </c:spPr>
          <c:marker>
            <c:symbol val="none"/>
          </c:marker>
          <c:val>
            <c:numRef>
              <c:f>ChartSupport!$B$421:$BY$421</c:f>
              <c:numCache>
                <c:formatCode>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895544320"/>
        <c:axId val="895562496"/>
      </c:lineChart>
      <c:scatterChart>
        <c:scatterStyle val="lineMarker"/>
        <c:varyColors val="0"/>
        <c:ser>
          <c:idx val="0"/>
          <c:order val="1"/>
          <c:tx>
            <c:v>Line1</c:v>
          </c:tx>
          <c:spPr>
            <a:ln w="25400">
              <a:solidFill>
                <a:srgbClr val="FF0000"/>
              </a:solidFill>
            </a:ln>
          </c:spPr>
          <c:marker>
            <c:symbol val="none"/>
          </c:marker>
          <c:xVal>
            <c:numRef>
              <c:f>ChartSupport!$U$428:$V$428</c:f>
              <c:numCache>
                <c:formatCode>General</c:formatCode>
                <c:ptCount val="2"/>
                <c:pt idx="0">
                  <c:v>38</c:v>
                </c:pt>
                <c:pt idx="1">
                  <c:v>38</c:v>
                </c:pt>
              </c:numCache>
            </c:numRef>
          </c:xVal>
          <c:yVal>
            <c:numRef>
              <c:f>ChartSupport!$U$431:$V$431</c:f>
              <c:numCache>
                <c:formatCode>General</c:formatCode>
                <c:ptCount val="2"/>
                <c:pt idx="0">
                  <c:v>0</c:v>
                </c:pt>
                <c:pt idx="1">
                  <c:v>10000</c:v>
                </c:pt>
              </c:numCache>
            </c:numRef>
          </c:yVal>
          <c:smooth val="0"/>
        </c:ser>
        <c:ser>
          <c:idx val="1"/>
          <c:order val="2"/>
          <c:tx>
            <c:v>Line2</c:v>
          </c:tx>
          <c:spPr>
            <a:ln w="25400">
              <a:solidFill>
                <a:srgbClr val="FF0000"/>
              </a:solidFill>
            </a:ln>
          </c:spPr>
          <c:marker>
            <c:symbol val="none"/>
          </c:marker>
          <c:xVal>
            <c:numRef>
              <c:f>ChartSupport!$U$429:$V$429</c:f>
              <c:numCache>
                <c:formatCode>General</c:formatCode>
                <c:ptCount val="2"/>
                <c:pt idx="0">
                  <c:v>42</c:v>
                </c:pt>
                <c:pt idx="1">
                  <c:v>42</c:v>
                </c:pt>
              </c:numCache>
            </c:numRef>
          </c:xVal>
          <c:yVal>
            <c:numRef>
              <c:f>ChartSupport!$U$431:$V$431</c:f>
              <c:numCache>
                <c:formatCode>General</c:formatCode>
                <c:ptCount val="2"/>
                <c:pt idx="0">
                  <c:v>0</c:v>
                </c:pt>
                <c:pt idx="1">
                  <c:v>10000</c:v>
                </c:pt>
              </c:numCache>
            </c:numRef>
          </c:yVal>
          <c:smooth val="0"/>
        </c:ser>
        <c:ser>
          <c:idx val="3"/>
          <c:order val="3"/>
          <c:tx>
            <c:v>Line3</c:v>
          </c:tx>
          <c:spPr>
            <a:ln w="25400">
              <a:solidFill>
                <a:srgbClr val="FF0000"/>
              </a:solidFill>
              <a:prstDash val="dash"/>
            </a:ln>
          </c:spPr>
          <c:marker>
            <c:symbol val="none"/>
          </c:marker>
          <c:xVal>
            <c:numRef>
              <c:f>ChartSupport!$U$430:$V$430</c:f>
              <c:numCache>
                <c:formatCode>General</c:formatCode>
                <c:ptCount val="2"/>
                <c:pt idx="0">
                  <c:v>46</c:v>
                </c:pt>
                <c:pt idx="1">
                  <c:v>46</c:v>
                </c:pt>
              </c:numCache>
            </c:numRef>
          </c:xVal>
          <c:yVal>
            <c:numRef>
              <c:f>ChartSupport!$U$431:$V$431</c:f>
              <c:numCache>
                <c:formatCode>General</c:formatCode>
                <c:ptCount val="2"/>
                <c:pt idx="0">
                  <c:v>0</c:v>
                </c:pt>
                <c:pt idx="1">
                  <c:v>10000</c:v>
                </c:pt>
              </c:numCache>
            </c:numRef>
          </c:yVal>
          <c:smooth val="0"/>
        </c:ser>
        <c:dLbls>
          <c:showLegendKey val="0"/>
          <c:showVal val="0"/>
          <c:showCatName val="0"/>
          <c:showSerName val="0"/>
          <c:showPercent val="0"/>
          <c:showBubbleSize val="0"/>
        </c:dLbls>
        <c:axId val="895564416"/>
        <c:axId val="895574400"/>
      </c:scatterChart>
      <c:catAx>
        <c:axId val="895544320"/>
        <c:scaling>
          <c:orientation val="minMax"/>
        </c:scaling>
        <c:delete val="0"/>
        <c:axPos val="b"/>
        <c:numFmt formatCode="m/d/yyyy" sourceLinked="0"/>
        <c:majorTickMark val="out"/>
        <c:minorTickMark val="none"/>
        <c:tickLblPos val="low"/>
        <c:spPr>
          <a:ln w="3175">
            <a:solidFill>
              <a:srgbClr val="808080"/>
            </a:solidFill>
            <a:prstDash val="solid"/>
          </a:ln>
        </c:spPr>
        <c:txPr>
          <a:bodyPr rot="-5400000" vert="horz"/>
          <a:lstStyle/>
          <a:p>
            <a:pPr>
              <a:defRPr/>
            </a:pPr>
            <a:endParaRPr lang="en-US"/>
          </a:p>
        </c:txPr>
        <c:crossAx val="895562496"/>
        <c:crossesAt val="-500"/>
        <c:auto val="1"/>
        <c:lblAlgn val="ctr"/>
        <c:lblOffset val="100"/>
        <c:tickLblSkip val="2"/>
        <c:tickMarkSkip val="1"/>
        <c:noMultiLvlLbl val="0"/>
      </c:catAx>
      <c:valAx>
        <c:axId val="895562496"/>
        <c:scaling>
          <c:orientation val="minMax"/>
        </c:scaling>
        <c:delete val="0"/>
        <c:axPos val="l"/>
        <c:title>
          <c:tx>
            <c:rich>
              <a:bodyPr rot="0" vert="horz"/>
              <a:lstStyle/>
              <a:p>
                <a:pPr>
                  <a:defRPr/>
                </a:pPr>
                <a:r>
                  <a:rPr lang="en-US"/>
                  <a:t>R$ mn</a:t>
                </a:r>
              </a:p>
            </c:rich>
          </c:tx>
          <c:layout>
            <c:manualLayout>
              <c:xMode val="edge"/>
              <c:yMode val="edge"/>
              <c:x val="0.12968847817719042"/>
              <c:y val="3.3389683351921912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5544320"/>
        <c:crosses val="autoZero"/>
        <c:crossBetween val="between"/>
      </c:valAx>
      <c:catAx>
        <c:axId val="895564416"/>
        <c:scaling>
          <c:orientation val="minMax"/>
        </c:scaling>
        <c:delete val="1"/>
        <c:axPos val="b"/>
        <c:numFmt formatCode="General" sourceLinked="1"/>
        <c:majorTickMark val="out"/>
        <c:minorTickMark val="none"/>
        <c:tickLblPos val="nextTo"/>
        <c:crossAx val="895574400"/>
        <c:crosses val="autoZero"/>
        <c:auto val="1"/>
        <c:lblAlgn val="ctr"/>
        <c:lblOffset val="100"/>
        <c:noMultiLvlLbl val="1"/>
      </c:catAx>
      <c:valAx>
        <c:axId val="895574400"/>
        <c:scaling>
          <c:orientation val="minMax"/>
          <c:max val="10000"/>
        </c:scaling>
        <c:delete val="0"/>
        <c:axPos val="l"/>
        <c:numFmt formatCode="General" sourceLinked="1"/>
        <c:majorTickMark val="none"/>
        <c:minorTickMark val="none"/>
        <c:tickLblPos val="none"/>
        <c:spPr>
          <a:ln>
            <a:noFill/>
          </a:ln>
        </c:spPr>
        <c:crossAx val="895564416"/>
        <c:crosses val="autoZero"/>
        <c:crossBetween val="between"/>
      </c:valAx>
      <c:spPr>
        <a:noFill/>
        <a:ln w="25400">
          <a:noFill/>
        </a:ln>
      </c:spPr>
    </c:plotArea>
    <c:legend>
      <c:legendPos val="t"/>
      <c:legendEntry>
        <c:idx val="1"/>
        <c:delete val="1"/>
      </c:legendEntry>
      <c:legendEntry>
        <c:idx val="2"/>
        <c:delete val="1"/>
      </c:legendEntry>
      <c:legendEntry>
        <c:idx val="3"/>
        <c:delete val="1"/>
      </c:legendEntry>
      <c:legendEntry>
        <c:idx val="4"/>
        <c:delete val="1"/>
      </c:legendEntry>
      <c:layout>
        <c:manualLayout>
          <c:xMode val="edge"/>
          <c:yMode val="edge"/>
          <c:x val="0.37135949663170204"/>
          <c:y val="4.7546391766612225E-2"/>
          <c:w val="0.25728072307850719"/>
          <c:h val="6.8940225983201181E-2"/>
        </c:manualLayout>
      </c:layout>
      <c:overlay val="0"/>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25228777731841"/>
          <c:y val="4.7619079650113139E-2"/>
          <c:w val="0.83513623724693475"/>
          <c:h val="0.73651021983575093"/>
        </c:manualLayout>
      </c:layout>
      <c:lineChart>
        <c:grouping val="standard"/>
        <c:varyColors val="0"/>
        <c:ser>
          <c:idx val="4"/>
          <c:order val="0"/>
          <c:tx>
            <c:strRef>
              <c:f>ChartSupport!$A$374</c:f>
              <c:strCache>
                <c:ptCount val="1"/>
                <c:pt idx="0">
                  <c:v>ROE</c:v>
                </c:pt>
              </c:strCache>
            </c:strRef>
          </c:tx>
          <c:spPr>
            <a:ln w="25400">
              <a:solidFill>
                <a:schemeClr val="accent1"/>
              </a:solidFill>
              <a:prstDash val="solid"/>
            </a:ln>
          </c:spPr>
          <c:marker>
            <c:symbol val="none"/>
          </c:marke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ChartSupport!$B$374:$BY$374</c:f>
              <c:numCache>
                <c:formatCode>0%</c:formatCode>
                <c:ptCount val="48"/>
                <c:pt idx="1">
                  <c:v>0.3311983882870701</c:v>
                </c:pt>
                <c:pt idx="2">
                  <c:v>6.3829093148148885E-2</c:v>
                </c:pt>
                <c:pt idx="3">
                  <c:v>-2.4731821810825656E-3</c:v>
                </c:pt>
                <c:pt idx="4">
                  <c:v>-2.7740684902002943E-2</c:v>
                </c:pt>
                <c:pt idx="5">
                  <c:v>-7.7396780712934155E-2</c:v>
                </c:pt>
                <c:pt idx="6">
                  <c:v>-1.4185381101669073E-2</c:v>
                </c:pt>
                <c:pt idx="7">
                  <c:v>1.762971556364854E-3</c:v>
                </c:pt>
                <c:pt idx="8">
                  <c:v>-6.458280627435628E-2</c:v>
                </c:pt>
                <c:pt idx="9">
                  <c:v>-0.10458392775160458</c:v>
                </c:pt>
                <c:pt idx="10">
                  <c:v>-9.1933999474099359E-2</c:v>
                </c:pt>
                <c:pt idx="11">
                  <c:v>8.5995622922914738E-2</c:v>
                </c:pt>
                <c:pt idx="12">
                  <c:v>7.3405235268387922E-2</c:v>
                </c:pt>
                <c:pt idx="13">
                  <c:v>5.0492859583020612E-2</c:v>
                </c:pt>
                <c:pt idx="14">
                  <c:v>5.6982547555740469E-2</c:v>
                </c:pt>
                <c:pt idx="15">
                  <c:v>6.328640745412531E-2</c:v>
                </c:pt>
                <c:pt idx="16">
                  <c:v>3.9954100548289906E-2</c:v>
                </c:pt>
                <c:pt idx="17">
                  <c:v>9.751640394806195E-2</c:v>
                </c:pt>
                <c:pt idx="18">
                  <c:v>0.16329998886564345</c:v>
                </c:pt>
                <c:pt idx="19">
                  <c:v>2.7949040884119449E-2</c:v>
                </c:pt>
                <c:pt idx="20">
                  <c:v>7.7738291596405565E-2</c:v>
                </c:pt>
                <c:pt idx="21">
                  <c:v>9.710299198207456E-2</c:v>
                </c:pt>
                <c:pt idx="22">
                  <c:v>0.11151832513375221</c:v>
                </c:pt>
                <c:pt idx="23">
                  <c:v>-3.0098906687749095E-2</c:v>
                </c:pt>
                <c:pt idx="24">
                  <c:v>4.6977850476890414E-3</c:v>
                </c:pt>
                <c:pt idx="25">
                  <c:v>0.10163400352740785</c:v>
                </c:pt>
                <c:pt idx="26">
                  <c:v>1.4370548828166317E-2</c:v>
                </c:pt>
                <c:pt idx="27">
                  <c:v>2.4691298202326472E-2</c:v>
                </c:pt>
                <c:pt idx="28">
                  <c:v>6.6131046259265719E-2</c:v>
                </c:pt>
                <c:pt idx="29">
                  <c:v>0.11946644586489663</c:v>
                </c:pt>
                <c:pt idx="30">
                  <c:v>6.3520667392945762E-2</c:v>
                </c:pt>
                <c:pt idx="31">
                  <c:v>1.2366526690333205E-2</c:v>
                </c:pt>
                <c:pt idx="32">
                  <c:v>0.11700848574533519</c:v>
                </c:pt>
                <c:pt idx="33">
                  <c:v>0.21157626354577821</c:v>
                </c:pt>
                <c:pt idx="34">
                  <c:v>9.5851564346225715E-2</c:v>
                </c:pt>
                <c:pt idx="35">
                  <c:v>0.10071727901330202</c:v>
                </c:pt>
                <c:pt idx="36">
                  <c:v>5.0568693295516019E-2</c:v>
                </c:pt>
                <c:pt idx="37">
                  <c:v>3.0998210395899228E-2</c:v>
                </c:pt>
                <c:pt idx="38">
                  <c:v>0.12436057040310031</c:v>
                </c:pt>
                <c:pt idx="39">
                  <c:v>0.11155545811299795</c:v>
                </c:pt>
                <c:pt idx="40">
                  <c:v>5.9954726767996867E-2</c:v>
                </c:pt>
                <c:pt idx="41">
                  <c:v>9.8348864242089482E-2</c:v>
                </c:pt>
                <c:pt idx="42">
                  <c:v>7.8194461552243438E-2</c:v>
                </c:pt>
                <c:pt idx="43">
                  <c:v>0.15815407247630411</c:v>
                </c:pt>
                <c:pt idx="44">
                  <c:v>0.13736351562591823</c:v>
                </c:pt>
                <c:pt idx="45">
                  <c:v>0.20901684137691842</c:v>
                </c:pt>
                <c:pt idx="46">
                  <c:v>0.12787243374167603</c:v>
                </c:pt>
                <c:pt idx="47">
                  <c:v>0.14875671159125783</c:v>
                </c:pt>
              </c:numCache>
            </c:numRef>
          </c:val>
          <c:smooth val="0"/>
        </c:ser>
        <c:ser>
          <c:idx val="9"/>
          <c:order val="1"/>
          <c:tx>
            <c:strRef>
              <c:f>ChartSupport!$A$375</c:f>
              <c:strCache>
                <c:ptCount val="1"/>
                <c:pt idx="0">
                  <c:v>ROCE</c:v>
                </c:pt>
              </c:strCache>
            </c:strRef>
          </c:tx>
          <c:spPr>
            <a:ln w="15875">
              <a:solidFill>
                <a:schemeClr val="accent3"/>
              </a:solidFill>
              <a:prstDash val="solid"/>
            </a:ln>
          </c:spPr>
          <c:marker>
            <c:symbol val="none"/>
          </c:marke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ChartSupport!$B$375:$BY$375</c:f>
              <c:numCache>
                <c:formatCode>0%</c:formatCode>
                <c:ptCount val="48"/>
                <c:pt idx="1">
                  <c:v>9.1422160266970767E-2</c:v>
                </c:pt>
                <c:pt idx="2">
                  <c:v>3.2083464996083097E-2</c:v>
                </c:pt>
                <c:pt idx="3">
                  <c:v>-9.9084083185883485E-4</c:v>
                </c:pt>
                <c:pt idx="4">
                  <c:v>-1.5160252567835703E-2</c:v>
                </c:pt>
                <c:pt idx="5">
                  <c:v>-4.0907184367162612E-2</c:v>
                </c:pt>
                <c:pt idx="6">
                  <c:v>-7.097438016644312E-3</c:v>
                </c:pt>
                <c:pt idx="7">
                  <c:v>8.56407082825945E-4</c:v>
                </c:pt>
                <c:pt idx="8">
                  <c:v>-3.0197539139010455E-2</c:v>
                </c:pt>
                <c:pt idx="9">
                  <c:v>-4.4492476174303706E-2</c:v>
                </c:pt>
                <c:pt idx="10">
                  <c:v>-3.5769642450912374E-2</c:v>
                </c:pt>
                <c:pt idx="11">
                  <c:v>3.2323189947473185E-2</c:v>
                </c:pt>
                <c:pt idx="12">
                  <c:v>2.8448557954150203E-2</c:v>
                </c:pt>
                <c:pt idx="13">
                  <c:v>1.9882495566107265E-2</c:v>
                </c:pt>
                <c:pt idx="14">
                  <c:v>2.2328796514214072E-2</c:v>
                </c:pt>
                <c:pt idx="15">
                  <c:v>2.4255276831131795E-2</c:v>
                </c:pt>
                <c:pt idx="16">
                  <c:v>1.7889116080104694E-2</c:v>
                </c:pt>
                <c:pt idx="17">
                  <c:v>3.9079125498480263E-2</c:v>
                </c:pt>
                <c:pt idx="18">
                  <c:v>6.753999725309226E-2</c:v>
                </c:pt>
                <c:pt idx="19">
                  <c:v>1.1898538499978874E-2</c:v>
                </c:pt>
                <c:pt idx="20">
                  <c:v>3.6238812877845618E-2</c:v>
                </c:pt>
                <c:pt idx="21">
                  <c:v>4.4531584523993917E-2</c:v>
                </c:pt>
                <c:pt idx="22">
                  <c:v>4.6581752649744949E-2</c:v>
                </c:pt>
                <c:pt idx="23">
                  <c:v>-1.2329767838176431E-2</c:v>
                </c:pt>
                <c:pt idx="24">
                  <c:v>1.7630795815342735E-3</c:v>
                </c:pt>
                <c:pt idx="25">
                  <c:v>3.4479388091103895E-2</c:v>
                </c:pt>
                <c:pt idx="26">
                  <c:v>4.9218646589234945E-3</c:v>
                </c:pt>
                <c:pt idx="27">
                  <c:v>8.3682752140903146E-3</c:v>
                </c:pt>
                <c:pt idx="28">
                  <c:v>2.2609961920335656E-2</c:v>
                </c:pt>
                <c:pt idx="29">
                  <c:v>3.9670198340280814E-2</c:v>
                </c:pt>
                <c:pt idx="30">
                  <c:v>2.1037117917127781E-2</c:v>
                </c:pt>
                <c:pt idx="31">
                  <c:v>4.0019644384753821E-3</c:v>
                </c:pt>
                <c:pt idx="32">
                  <c:v>3.6005178547947117E-2</c:v>
                </c:pt>
                <c:pt idx="33">
                  <c:v>6.2051527155517178E-2</c:v>
                </c:pt>
                <c:pt idx="34">
                  <c:v>2.6489971401747289E-2</c:v>
                </c:pt>
                <c:pt idx="35">
                  <c:v>2.5491907680406593E-2</c:v>
                </c:pt>
                <c:pt idx="36">
                  <c:v>1.3848625958060799E-2</c:v>
                </c:pt>
                <c:pt idx="37">
                  <c:v>8.6231812332970212E-3</c:v>
                </c:pt>
                <c:pt idx="38">
                  <c:v>3.1007044351783895E-2</c:v>
                </c:pt>
                <c:pt idx="39">
                  <c:v>2.8363134253300691E-2</c:v>
                </c:pt>
                <c:pt idx="40">
                  <c:v>1.6652908259671518E-2</c:v>
                </c:pt>
                <c:pt idx="41">
                  <c:v>2.874135730754003E-2</c:v>
                </c:pt>
                <c:pt idx="42">
                  <c:v>2.2177916803398E-2</c:v>
                </c:pt>
                <c:pt idx="43">
                  <c:v>4.5475141489215005E-2</c:v>
                </c:pt>
                <c:pt idx="44">
                  <c:v>4.3075349156424907E-2</c:v>
                </c:pt>
                <c:pt idx="45">
                  <c:v>6.0854187324149774E-2</c:v>
                </c:pt>
                <c:pt idx="46">
                  <c:v>3.8446436872335378E-2</c:v>
                </c:pt>
                <c:pt idx="47">
                  <c:v>4.7538468267722928E-2</c:v>
                </c:pt>
              </c:numCache>
            </c:numRef>
          </c:val>
          <c:smooth val="0"/>
        </c:ser>
        <c:ser>
          <c:idx val="3"/>
          <c:order val="6"/>
          <c:tx>
            <c:v>zeroline</c:v>
          </c:tx>
          <c:spPr>
            <a:ln w="3175">
              <a:solidFill>
                <a:schemeClr val="bg1">
                  <a:lumMod val="50000"/>
                </a:schemeClr>
              </a:solidFill>
            </a:ln>
          </c:spPr>
          <c:marker>
            <c:symbol val="none"/>
          </c:marker>
          <c:val>
            <c:numRef>
              <c:f>ChartSupport!$B$421:$BY$421</c:f>
              <c:numCache>
                <c:formatCode>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895632896"/>
        <c:axId val="895634432"/>
      </c:lineChart>
      <c:lineChart>
        <c:grouping val="standard"/>
        <c:varyColors val="0"/>
        <c:ser>
          <c:idx val="6"/>
          <c:order val="2"/>
          <c:tx>
            <c:strRef>
              <c:f>ChartSupport!$A$376</c:f>
              <c:strCache>
                <c:ptCount val="1"/>
                <c:pt idx="0">
                  <c:v>Sugar Nybot (US$ cents/lb)</c:v>
                </c:pt>
              </c:strCache>
            </c:strRef>
          </c:tx>
          <c:spPr>
            <a:ln w="15875">
              <a:solidFill>
                <a:srgbClr val="FF0000"/>
              </a:solidFill>
              <a:prstDash val="sysDash"/>
            </a:ln>
          </c:spPr>
          <c:marker>
            <c:symbol val="none"/>
          </c:marke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ChartSupport!$B$376:$BI$376</c:f>
              <c:numCache>
                <c:formatCode>_(* #,##0.00_);_(* \(#,##0.00\);_(* "-"??_);_(@_)</c:formatCode>
                <c:ptCount val="4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0</c:v>
                </c:pt>
                <c:pt idx="22">
                  <c:v>0</c:v>
                </c:pt>
                <c:pt idx="23">
                  <c:v>31.78</c:v>
                </c:pt>
                <c:pt idx="24">
                  <c:v>23.923333333333336</c:v>
                </c:pt>
                <c:pt idx="25">
                  <c:v>28.603333333333335</c:v>
                </c:pt>
                <c:pt idx="26">
                  <c:v>24.593333333333334</c:v>
                </c:pt>
                <c:pt idx="27">
                  <c:v>23.913333333333338</c:v>
                </c:pt>
                <c:pt idx="28">
                  <c:v>21.540000000000003</c:v>
                </c:pt>
                <c:pt idx="29">
                  <c:v>21.246666666666666</c:v>
                </c:pt>
                <c:pt idx="30">
                  <c:v>20.086666666666666</c:v>
                </c:pt>
                <c:pt idx="31">
                  <c:v>18.77</c:v>
                </c:pt>
                <c:pt idx="32">
                  <c:v>17.149999999999999</c:v>
                </c:pt>
                <c:pt idx="33">
                  <c:v>16.62</c:v>
                </c:pt>
                <c:pt idx="34">
                  <c:v>17.846666666666668</c:v>
                </c:pt>
                <c:pt idx="35">
                  <c:v>16.650000000000002</c:v>
                </c:pt>
                <c:pt idx="36">
                  <c:v>17.386666666666667</c:v>
                </c:pt>
                <c:pt idx="37">
                  <c:v>16.54666666666667</c:v>
                </c:pt>
                <c:pt idx="38">
                  <c:v>15.853333333333333</c:v>
                </c:pt>
                <c:pt idx="39">
                  <c:v>14.126666666666667</c:v>
                </c:pt>
                <c:pt idx="40">
                  <c:v>12.493333333333334</c:v>
                </c:pt>
                <c:pt idx="41">
                  <c:v>11.346666666666666</c:v>
                </c:pt>
                <c:pt idx="42">
                  <c:v>14.603333333333332</c:v>
                </c:pt>
                <c:pt idx="43">
                  <c:v>14.603333333333332</c:v>
                </c:pt>
                <c:pt idx="44">
                  <c:v>16.29765375671262</c:v>
                </c:pt>
                <c:pt idx="45">
                  <c:v>16.29765375671262</c:v>
                </c:pt>
                <c:pt idx="46">
                  <c:v>16.29765375671262</c:v>
                </c:pt>
                <c:pt idx="47">
                  <c:v>16.29765375671262</c:v>
                </c:pt>
              </c:numCache>
            </c:numRef>
          </c:val>
          <c:smooth val="0"/>
        </c:ser>
        <c:dLbls>
          <c:showLegendKey val="0"/>
          <c:showVal val="0"/>
          <c:showCatName val="0"/>
          <c:showSerName val="0"/>
          <c:showPercent val="0"/>
          <c:showBubbleSize val="0"/>
        </c:dLbls>
        <c:marker val="1"/>
        <c:smooth val="0"/>
        <c:axId val="895640320"/>
        <c:axId val="895641856"/>
      </c:lineChart>
      <c:scatterChart>
        <c:scatterStyle val="lineMarker"/>
        <c:varyColors val="0"/>
        <c:ser>
          <c:idx val="0"/>
          <c:order val="3"/>
          <c:tx>
            <c:v>Line1</c:v>
          </c:tx>
          <c:spPr>
            <a:ln w="25400">
              <a:solidFill>
                <a:srgbClr val="FF0000"/>
              </a:solidFill>
            </a:ln>
          </c:spPr>
          <c:marker>
            <c:symbol val="none"/>
          </c:marker>
          <c:xVal>
            <c:numRef>
              <c:f>ChartSupport!$U$428:$V$428</c:f>
              <c:numCache>
                <c:formatCode>General</c:formatCode>
                <c:ptCount val="2"/>
                <c:pt idx="0">
                  <c:v>38</c:v>
                </c:pt>
                <c:pt idx="1">
                  <c:v>38</c:v>
                </c:pt>
              </c:numCache>
            </c:numRef>
          </c:xVal>
          <c:yVal>
            <c:numRef>
              <c:f>ChartSupport!$U$431:$V$431</c:f>
              <c:numCache>
                <c:formatCode>General</c:formatCode>
                <c:ptCount val="2"/>
                <c:pt idx="0">
                  <c:v>0</c:v>
                </c:pt>
                <c:pt idx="1">
                  <c:v>10000</c:v>
                </c:pt>
              </c:numCache>
            </c:numRef>
          </c:yVal>
          <c:smooth val="0"/>
        </c:ser>
        <c:ser>
          <c:idx val="1"/>
          <c:order val="4"/>
          <c:tx>
            <c:v>Line2</c:v>
          </c:tx>
          <c:spPr>
            <a:ln w="25400">
              <a:solidFill>
                <a:srgbClr val="FF0000"/>
              </a:solidFill>
            </a:ln>
          </c:spPr>
          <c:marker>
            <c:symbol val="none"/>
          </c:marker>
          <c:xVal>
            <c:numRef>
              <c:f>ChartSupport!$U$429:$V$429</c:f>
              <c:numCache>
                <c:formatCode>General</c:formatCode>
                <c:ptCount val="2"/>
                <c:pt idx="0">
                  <c:v>42</c:v>
                </c:pt>
                <c:pt idx="1">
                  <c:v>42</c:v>
                </c:pt>
              </c:numCache>
            </c:numRef>
          </c:xVal>
          <c:yVal>
            <c:numRef>
              <c:f>ChartSupport!$U$431:$V$431</c:f>
              <c:numCache>
                <c:formatCode>General</c:formatCode>
                <c:ptCount val="2"/>
                <c:pt idx="0">
                  <c:v>0</c:v>
                </c:pt>
                <c:pt idx="1">
                  <c:v>10000</c:v>
                </c:pt>
              </c:numCache>
            </c:numRef>
          </c:yVal>
          <c:smooth val="0"/>
        </c:ser>
        <c:ser>
          <c:idx val="2"/>
          <c:order val="5"/>
          <c:tx>
            <c:v>Line3</c:v>
          </c:tx>
          <c:spPr>
            <a:ln w="25400">
              <a:solidFill>
                <a:srgbClr val="FF0000"/>
              </a:solidFill>
              <a:prstDash val="dash"/>
            </a:ln>
          </c:spPr>
          <c:marker>
            <c:symbol val="none"/>
          </c:marker>
          <c:xVal>
            <c:numRef>
              <c:f>ChartSupport!$U$430:$V$430</c:f>
              <c:numCache>
                <c:formatCode>General</c:formatCode>
                <c:ptCount val="2"/>
                <c:pt idx="0">
                  <c:v>46</c:v>
                </c:pt>
                <c:pt idx="1">
                  <c:v>46</c:v>
                </c:pt>
              </c:numCache>
            </c:numRef>
          </c:xVal>
          <c:yVal>
            <c:numRef>
              <c:f>ChartSupport!$U$431:$V$431</c:f>
              <c:numCache>
                <c:formatCode>General</c:formatCode>
                <c:ptCount val="2"/>
                <c:pt idx="0">
                  <c:v>0</c:v>
                </c:pt>
                <c:pt idx="1">
                  <c:v>10000</c:v>
                </c:pt>
              </c:numCache>
            </c:numRef>
          </c:yVal>
          <c:smooth val="0"/>
        </c:ser>
        <c:dLbls>
          <c:showLegendKey val="0"/>
          <c:showVal val="0"/>
          <c:showCatName val="0"/>
          <c:showSerName val="0"/>
          <c:showPercent val="0"/>
          <c:showBubbleSize val="0"/>
        </c:dLbls>
        <c:axId val="895640320"/>
        <c:axId val="895641856"/>
      </c:scatterChart>
      <c:catAx>
        <c:axId val="895632896"/>
        <c:scaling>
          <c:orientation val="minMax"/>
        </c:scaling>
        <c:delete val="0"/>
        <c:axPos val="b"/>
        <c:numFmt formatCode="m/d/yyyy" sourceLinked="0"/>
        <c:majorTickMark val="out"/>
        <c:minorTickMark val="none"/>
        <c:tickLblPos val="low"/>
        <c:spPr>
          <a:ln w="3175">
            <a:solidFill>
              <a:srgbClr val="808080"/>
            </a:solidFill>
            <a:prstDash val="solid"/>
          </a:ln>
        </c:spPr>
        <c:txPr>
          <a:bodyPr rot="-5400000" vert="horz"/>
          <a:lstStyle/>
          <a:p>
            <a:pPr>
              <a:defRPr/>
            </a:pPr>
            <a:endParaRPr lang="en-US"/>
          </a:p>
        </c:txPr>
        <c:crossAx val="895634432"/>
        <c:crossesAt val="-0.15000000000000002"/>
        <c:auto val="1"/>
        <c:lblAlgn val="ctr"/>
        <c:lblOffset val="100"/>
        <c:tickLblSkip val="2"/>
        <c:tickMarkSkip val="1"/>
        <c:noMultiLvlLbl val="0"/>
      </c:catAx>
      <c:valAx>
        <c:axId val="895634432"/>
        <c:scaling>
          <c:orientation val="minMax"/>
        </c:scaling>
        <c:delete val="0"/>
        <c:axPos val="l"/>
        <c:numFmt formatCode="0%" sourceLinked="1"/>
        <c:majorTickMark val="out"/>
        <c:minorTickMark val="none"/>
        <c:tickLblPos val="nextTo"/>
        <c:spPr>
          <a:ln w="3175">
            <a:solidFill>
              <a:srgbClr val="808080"/>
            </a:solidFill>
            <a:prstDash val="solid"/>
          </a:ln>
        </c:spPr>
        <c:txPr>
          <a:bodyPr rot="0" vert="horz"/>
          <a:lstStyle/>
          <a:p>
            <a:pPr>
              <a:defRPr/>
            </a:pPr>
            <a:endParaRPr lang="en-US"/>
          </a:p>
        </c:txPr>
        <c:crossAx val="895632896"/>
        <c:crosses val="autoZero"/>
        <c:crossBetween val="midCat"/>
      </c:valAx>
      <c:catAx>
        <c:axId val="895640320"/>
        <c:scaling>
          <c:orientation val="minMax"/>
        </c:scaling>
        <c:delete val="1"/>
        <c:axPos val="b"/>
        <c:majorTickMark val="out"/>
        <c:minorTickMark val="none"/>
        <c:tickLblPos val="nextTo"/>
        <c:crossAx val="895641856"/>
        <c:crosses val="autoZero"/>
        <c:auto val="1"/>
        <c:lblAlgn val="ctr"/>
        <c:lblOffset val="100"/>
        <c:noMultiLvlLbl val="0"/>
      </c:catAx>
      <c:valAx>
        <c:axId val="895641856"/>
        <c:scaling>
          <c:orientation val="minMax"/>
          <c:max val="50"/>
        </c:scaling>
        <c:delete val="0"/>
        <c:axPos val="r"/>
        <c:title>
          <c:tx>
            <c:rich>
              <a:bodyPr rot="0" vert="horz"/>
              <a:lstStyle/>
              <a:p>
                <a:pPr>
                  <a:defRPr/>
                </a:pPr>
                <a:r>
                  <a:rPr lang="en-US"/>
                  <a:t>US$ cents/lb</a:t>
                </a:r>
              </a:p>
            </c:rich>
          </c:tx>
          <c:layout>
            <c:manualLayout>
              <c:xMode val="edge"/>
              <c:yMode val="edge"/>
              <c:x val="0.78252003135010917"/>
              <c:y val="2.2227125110651315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5640320"/>
        <c:crosses val="max"/>
        <c:crossBetween val="between"/>
      </c:valAx>
      <c:spPr>
        <a:noFill/>
        <a:ln w="25400">
          <a:noFill/>
        </a:ln>
      </c:spPr>
    </c:plotArea>
    <c:legend>
      <c:legendPos val="r"/>
      <c:legendEntry>
        <c:idx val="2"/>
        <c:delete val="1"/>
      </c:legendEntry>
      <c:legendEntry>
        <c:idx val="4"/>
        <c:delete val="1"/>
      </c:legendEntry>
      <c:legendEntry>
        <c:idx val="5"/>
        <c:delete val="1"/>
      </c:legendEntry>
      <c:legendEntry>
        <c:idx val="6"/>
        <c:delete val="1"/>
      </c:legendEntry>
      <c:layout>
        <c:manualLayout>
          <c:xMode val="edge"/>
          <c:yMode val="edge"/>
          <c:x val="0.15558745803991925"/>
          <c:y val="1.5872914441308391E-2"/>
          <c:w val="0.5186092061073011"/>
          <c:h val="0.15461942257217845"/>
        </c:manualLayout>
      </c:layout>
      <c:overlay val="0"/>
      <c:spPr>
        <a:no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682642202593321E-2"/>
          <c:y val="4.7318611987381701E-2"/>
          <c:w val="0.87566363793722601"/>
          <c:h val="0.79495268138801267"/>
        </c:manualLayout>
      </c:layout>
      <c:lineChart>
        <c:grouping val="standard"/>
        <c:varyColors val="0"/>
        <c:ser>
          <c:idx val="2"/>
          <c:order val="0"/>
          <c:tx>
            <c:strRef>
              <c:f>ChartSupport!$A$359</c:f>
              <c:strCache>
                <c:ptCount val="1"/>
                <c:pt idx="0">
                  <c:v>Gross margin</c:v>
                </c:pt>
              </c:strCache>
            </c:strRef>
          </c:tx>
          <c:spPr>
            <a:ln w="25400">
              <a:solidFill>
                <a:schemeClr val="accent1"/>
              </a:solidFill>
              <a:prstDash val="solid"/>
            </a:ln>
          </c:spPr>
          <c:marker>
            <c:symbol val="none"/>
          </c:marke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ChartSupport!$B$359:$BY$359</c:f>
              <c:numCache>
                <c:formatCode>0%</c:formatCode>
                <c:ptCount val="48"/>
                <c:pt idx="0">
                  <c:v>0.55168941368910696</c:v>
                </c:pt>
                <c:pt idx="1">
                  <c:v>0.47670695574109678</c:v>
                </c:pt>
                <c:pt idx="2">
                  <c:v>0.42722586766595061</c:v>
                </c:pt>
                <c:pt idx="3">
                  <c:v>0.45383506108344901</c:v>
                </c:pt>
                <c:pt idx="4">
                  <c:v>0.37614500209093576</c:v>
                </c:pt>
                <c:pt idx="5">
                  <c:v>0.34896772788447045</c:v>
                </c:pt>
                <c:pt idx="6">
                  <c:v>0.3594189463098848</c:v>
                </c:pt>
                <c:pt idx="7">
                  <c:v>0.45853563714902812</c:v>
                </c:pt>
                <c:pt idx="8">
                  <c:v>0.34567002694012339</c:v>
                </c:pt>
                <c:pt idx="9">
                  <c:v>0.45220855012274008</c:v>
                </c:pt>
                <c:pt idx="10">
                  <c:v>0.49155405405405406</c:v>
                </c:pt>
                <c:pt idx="11">
                  <c:v>0.41785091559466875</c:v>
                </c:pt>
                <c:pt idx="12">
                  <c:v>0.36973626727368875</c:v>
                </c:pt>
                <c:pt idx="13">
                  <c:v>0.45096874923593333</c:v>
                </c:pt>
                <c:pt idx="14">
                  <c:v>0.4794713672695638</c:v>
                </c:pt>
                <c:pt idx="15">
                  <c:v>0.53632339740613488</c:v>
                </c:pt>
                <c:pt idx="16">
                  <c:v>0.56277960140269245</c:v>
                </c:pt>
                <c:pt idx="17">
                  <c:v>0.58596259210277724</c:v>
                </c:pt>
                <c:pt idx="18">
                  <c:v>0.57069064914101231</c:v>
                </c:pt>
                <c:pt idx="19">
                  <c:v>0.52691238326085388</c:v>
                </c:pt>
                <c:pt idx="20">
                  <c:v>0.55695125065359885</c:v>
                </c:pt>
                <c:pt idx="21">
                  <c:v>0.60613831940962815</c:v>
                </c:pt>
                <c:pt idx="22">
                  <c:v>0.51108955757422825</c:v>
                </c:pt>
                <c:pt idx="23">
                  <c:v>0.42089705247579701</c:v>
                </c:pt>
                <c:pt idx="24">
                  <c:v>0.54960680369118853</c:v>
                </c:pt>
                <c:pt idx="25">
                  <c:v>0.54388723617833179</c:v>
                </c:pt>
                <c:pt idx="26">
                  <c:v>0.5091918281356036</c:v>
                </c:pt>
                <c:pt idx="27">
                  <c:v>0.48810959528296505</c:v>
                </c:pt>
                <c:pt idx="28">
                  <c:v>0.5444835825606309</c:v>
                </c:pt>
                <c:pt idx="29">
                  <c:v>0.49602437127132243</c:v>
                </c:pt>
                <c:pt idx="30">
                  <c:v>0.49376194646102284</c:v>
                </c:pt>
                <c:pt idx="31">
                  <c:v>0.44526308821951821</c:v>
                </c:pt>
                <c:pt idx="32">
                  <c:v>0.55015912522739252</c:v>
                </c:pt>
                <c:pt idx="33">
                  <c:v>0.5740807515955445</c:v>
                </c:pt>
                <c:pt idx="34">
                  <c:v>0.58554976435373773</c:v>
                </c:pt>
                <c:pt idx="35">
                  <c:v>0.48566414198670038</c:v>
                </c:pt>
                <c:pt idx="36">
                  <c:v>0.53790787373647808</c:v>
                </c:pt>
                <c:pt idx="37">
                  <c:v>0.61302962061638477</c:v>
                </c:pt>
                <c:pt idx="38">
                  <c:v>0.52681791942467926</c:v>
                </c:pt>
                <c:pt idx="39">
                  <c:v>0.51572678045692288</c:v>
                </c:pt>
                <c:pt idx="40">
                  <c:v>0.54106086636588424</c:v>
                </c:pt>
                <c:pt idx="41">
                  <c:v>0.53875300746638466</c:v>
                </c:pt>
                <c:pt idx="42">
                  <c:v>0.51874548800147635</c:v>
                </c:pt>
                <c:pt idx="43">
                  <c:v>0.49676914735710037</c:v>
                </c:pt>
                <c:pt idx="44">
                  <c:v>0.58779930251481205</c:v>
                </c:pt>
                <c:pt idx="45">
                  <c:v>0.59199254578983229</c:v>
                </c:pt>
                <c:pt idx="46">
                  <c:v>0.55277316046562619</c:v>
                </c:pt>
                <c:pt idx="47">
                  <c:v>0.51770113175910226</c:v>
                </c:pt>
              </c:numCache>
            </c:numRef>
          </c:val>
          <c:smooth val="0"/>
        </c:ser>
        <c:dLbls>
          <c:showLegendKey val="0"/>
          <c:showVal val="0"/>
          <c:showCatName val="0"/>
          <c:showSerName val="0"/>
          <c:showPercent val="0"/>
          <c:showBubbleSize val="0"/>
        </c:dLbls>
        <c:marker val="1"/>
        <c:smooth val="0"/>
        <c:axId val="895676800"/>
        <c:axId val="895678336"/>
      </c:lineChart>
      <c:scatterChart>
        <c:scatterStyle val="lineMarker"/>
        <c:varyColors val="0"/>
        <c:ser>
          <c:idx val="0"/>
          <c:order val="1"/>
          <c:tx>
            <c:v>Line1</c:v>
          </c:tx>
          <c:spPr>
            <a:ln w="25400">
              <a:solidFill>
                <a:srgbClr val="FF0000"/>
              </a:solidFill>
            </a:ln>
          </c:spPr>
          <c:marker>
            <c:symbol val="none"/>
          </c:marker>
          <c:xVal>
            <c:numRef>
              <c:f>ChartSupport!$U$428:$V$428</c:f>
              <c:numCache>
                <c:formatCode>General</c:formatCode>
                <c:ptCount val="2"/>
                <c:pt idx="0">
                  <c:v>38</c:v>
                </c:pt>
                <c:pt idx="1">
                  <c:v>38</c:v>
                </c:pt>
              </c:numCache>
            </c:numRef>
          </c:xVal>
          <c:yVal>
            <c:numRef>
              <c:f>ChartSupport!$U$431:$V$431</c:f>
              <c:numCache>
                <c:formatCode>General</c:formatCode>
                <c:ptCount val="2"/>
                <c:pt idx="0">
                  <c:v>0</c:v>
                </c:pt>
                <c:pt idx="1">
                  <c:v>10000</c:v>
                </c:pt>
              </c:numCache>
            </c:numRef>
          </c:yVal>
          <c:smooth val="0"/>
        </c:ser>
        <c:ser>
          <c:idx val="1"/>
          <c:order val="2"/>
          <c:tx>
            <c:v>Line2</c:v>
          </c:tx>
          <c:spPr>
            <a:ln w="25400">
              <a:solidFill>
                <a:srgbClr val="FF0000"/>
              </a:solidFill>
            </a:ln>
          </c:spPr>
          <c:marker>
            <c:symbol val="none"/>
          </c:marker>
          <c:xVal>
            <c:numRef>
              <c:f>ChartSupport!$U$429:$V$429</c:f>
              <c:numCache>
                <c:formatCode>General</c:formatCode>
                <c:ptCount val="2"/>
                <c:pt idx="0">
                  <c:v>42</c:v>
                </c:pt>
                <c:pt idx="1">
                  <c:v>42</c:v>
                </c:pt>
              </c:numCache>
            </c:numRef>
          </c:xVal>
          <c:yVal>
            <c:numRef>
              <c:f>ChartSupport!$U$431:$V$431</c:f>
              <c:numCache>
                <c:formatCode>General</c:formatCode>
                <c:ptCount val="2"/>
                <c:pt idx="0">
                  <c:v>0</c:v>
                </c:pt>
                <c:pt idx="1">
                  <c:v>10000</c:v>
                </c:pt>
              </c:numCache>
            </c:numRef>
          </c:yVal>
          <c:smooth val="0"/>
        </c:ser>
        <c:ser>
          <c:idx val="3"/>
          <c:order val="3"/>
          <c:tx>
            <c:v>Line3</c:v>
          </c:tx>
          <c:spPr>
            <a:ln w="25400">
              <a:solidFill>
                <a:srgbClr val="FF0000"/>
              </a:solidFill>
              <a:prstDash val="dash"/>
            </a:ln>
          </c:spPr>
          <c:marker>
            <c:symbol val="none"/>
          </c:marker>
          <c:xVal>
            <c:numRef>
              <c:f>ChartSupport!$U$430:$V$430</c:f>
              <c:numCache>
                <c:formatCode>General</c:formatCode>
                <c:ptCount val="2"/>
                <c:pt idx="0">
                  <c:v>46</c:v>
                </c:pt>
                <c:pt idx="1">
                  <c:v>46</c:v>
                </c:pt>
              </c:numCache>
            </c:numRef>
          </c:xVal>
          <c:yVal>
            <c:numRef>
              <c:f>ChartSupport!$U$431:$V$431</c:f>
              <c:numCache>
                <c:formatCode>General</c:formatCode>
                <c:ptCount val="2"/>
                <c:pt idx="0">
                  <c:v>0</c:v>
                </c:pt>
                <c:pt idx="1">
                  <c:v>10000</c:v>
                </c:pt>
              </c:numCache>
            </c:numRef>
          </c:yVal>
          <c:smooth val="0"/>
        </c:ser>
        <c:dLbls>
          <c:showLegendKey val="0"/>
          <c:showVal val="0"/>
          <c:showCatName val="0"/>
          <c:showSerName val="0"/>
          <c:showPercent val="0"/>
          <c:showBubbleSize val="0"/>
        </c:dLbls>
        <c:axId val="895679872"/>
        <c:axId val="895820928"/>
      </c:scatterChart>
      <c:catAx>
        <c:axId val="895676800"/>
        <c:scaling>
          <c:orientation val="minMax"/>
        </c:scaling>
        <c:delete val="0"/>
        <c:axPos val="b"/>
        <c:numFmt formatCode="mmm\-yy" sourceLinked="0"/>
        <c:majorTickMark val="out"/>
        <c:minorTickMark val="none"/>
        <c:tickLblPos val="nextTo"/>
        <c:spPr>
          <a:ln w="3175">
            <a:solidFill>
              <a:srgbClr val="808080"/>
            </a:solidFill>
            <a:prstDash val="solid"/>
          </a:ln>
        </c:spPr>
        <c:txPr>
          <a:bodyPr rot="-5400000" vert="horz"/>
          <a:lstStyle/>
          <a:p>
            <a:pPr>
              <a:defRPr/>
            </a:pPr>
            <a:endParaRPr lang="en-US"/>
          </a:p>
        </c:txPr>
        <c:crossAx val="895678336"/>
        <c:crosses val="autoZero"/>
        <c:auto val="1"/>
        <c:lblAlgn val="ctr"/>
        <c:lblOffset val="100"/>
        <c:tickLblSkip val="2"/>
        <c:tickMarkSkip val="1"/>
        <c:noMultiLvlLbl val="0"/>
      </c:catAx>
      <c:valAx>
        <c:axId val="895678336"/>
        <c:scaling>
          <c:orientation val="minMax"/>
          <c:min val="0.2"/>
        </c:scaling>
        <c:delete val="0"/>
        <c:axPos val="l"/>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5676800"/>
        <c:crosses val="autoZero"/>
        <c:crossBetween val="midCat"/>
      </c:valAx>
      <c:valAx>
        <c:axId val="895679872"/>
        <c:scaling>
          <c:orientation val="minMax"/>
        </c:scaling>
        <c:delete val="1"/>
        <c:axPos val="b"/>
        <c:numFmt formatCode="General" sourceLinked="1"/>
        <c:majorTickMark val="out"/>
        <c:minorTickMark val="none"/>
        <c:tickLblPos val="nextTo"/>
        <c:crossAx val="895820928"/>
        <c:crosses val="autoZero"/>
        <c:crossBetween val="midCat"/>
      </c:valAx>
      <c:valAx>
        <c:axId val="895820928"/>
        <c:scaling>
          <c:orientation val="minMax"/>
          <c:max val="10000"/>
        </c:scaling>
        <c:delete val="0"/>
        <c:axPos val="l"/>
        <c:numFmt formatCode="General" sourceLinked="1"/>
        <c:majorTickMark val="none"/>
        <c:minorTickMark val="none"/>
        <c:tickLblPos val="none"/>
        <c:spPr>
          <a:ln>
            <a:noFill/>
          </a:ln>
        </c:spPr>
        <c:crossAx val="895679872"/>
        <c:crosses val="autoZero"/>
        <c:crossBetween val="midCat"/>
      </c:valAx>
      <c:spPr>
        <a:noFill/>
        <a:ln w="25400">
          <a:noFill/>
        </a:ln>
      </c:spPr>
    </c:plotArea>
    <c:legend>
      <c:legendPos val="t"/>
      <c:legendEntry>
        <c:idx val="1"/>
        <c:delete val="1"/>
      </c:legendEntry>
      <c:legendEntry>
        <c:idx val="2"/>
        <c:delete val="1"/>
      </c:legendEntry>
      <c:legendEntry>
        <c:idx val="3"/>
        <c:delete val="1"/>
      </c:legendEntry>
      <c:layout>
        <c:manualLayout>
          <c:xMode val="edge"/>
          <c:yMode val="edge"/>
          <c:x val="0.30468467401586824"/>
          <c:y val="5.2037486111386172E-2"/>
          <c:w val="0.33360731713545583"/>
          <c:h val="6.916444323645847E-2"/>
        </c:manualLayout>
      </c:layout>
      <c:overlay val="0"/>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589676290463686E-2"/>
          <c:y val="4.7022015548490691E-2"/>
          <c:w val="0.78045512927905292"/>
          <c:h val="0.77329395357136921"/>
        </c:manualLayout>
      </c:layout>
      <c:areaChart>
        <c:grouping val="standard"/>
        <c:varyColors val="0"/>
        <c:ser>
          <c:idx val="1"/>
          <c:order val="0"/>
          <c:tx>
            <c:v>Bull-Bear Scenario</c:v>
          </c:tx>
          <c:spPr>
            <a:solidFill>
              <a:schemeClr val="bg1">
                <a:lumMod val="85000"/>
              </a:schemeClr>
            </a:solidFill>
            <a:ln w="25400">
              <a:noFill/>
            </a:ln>
          </c:spPr>
          <c:cat>
            <c:strRef>
              <c:f>ChartSupport!$E$7:$W$7</c:f>
              <c:strCache>
                <c:ptCount val="19"/>
                <c:pt idx="0">
                  <c:v>2007</c:v>
                </c:pt>
                <c:pt idx="1">
                  <c:v>2008</c:v>
                </c:pt>
                <c:pt idx="2">
                  <c:v>2009</c:v>
                </c:pt>
                <c:pt idx="3">
                  <c:v>2010</c:v>
                </c:pt>
                <c:pt idx="4">
                  <c:v>2011</c:v>
                </c:pt>
                <c:pt idx="5">
                  <c:v>2012</c:v>
                </c:pt>
                <c:pt idx="6">
                  <c:v>2013</c:v>
                </c:pt>
                <c:pt idx="7">
                  <c:v>2014</c:v>
                </c:pt>
                <c:pt idx="8">
                  <c:v>2015</c:v>
                </c:pt>
                <c:pt idx="9">
                  <c:v>2016</c:v>
                </c:pt>
                <c:pt idx="10">
                  <c:v>2017</c:v>
                </c:pt>
                <c:pt idx="11">
                  <c:v>2018E</c:v>
                </c:pt>
                <c:pt idx="12">
                  <c:v>2019E</c:v>
                </c:pt>
                <c:pt idx="13">
                  <c:v>2020E</c:v>
                </c:pt>
                <c:pt idx="14">
                  <c:v>2021E</c:v>
                </c:pt>
                <c:pt idx="15">
                  <c:v>2022E</c:v>
                </c:pt>
                <c:pt idx="16">
                  <c:v>2023E</c:v>
                </c:pt>
                <c:pt idx="17">
                  <c:v>2024E</c:v>
                </c:pt>
                <c:pt idx="18">
                  <c:v>2025E</c:v>
                </c:pt>
              </c:strCache>
            </c:strRef>
          </c:cat>
          <c:val>
            <c:numRef>
              <c:f>ChartSupport!$E$208:$W$208</c:f>
              <c:numCache>
                <c:formatCode>_(* #,##0_);_(* \(#,##0\);_(* "-"??_);_(@_)</c:formatCode>
                <c:ptCount val="19"/>
                <c:pt idx="0">
                  <c:v>9276</c:v>
                </c:pt>
                <c:pt idx="1">
                  <c:v>10218</c:v>
                </c:pt>
                <c:pt idx="2">
                  <c:v>12001</c:v>
                </c:pt>
                <c:pt idx="3">
                  <c:v>12923</c:v>
                </c:pt>
                <c:pt idx="4">
                  <c:v>13067</c:v>
                </c:pt>
                <c:pt idx="5">
                  <c:v>10590</c:v>
                </c:pt>
                <c:pt idx="6">
                  <c:v>12885</c:v>
                </c:pt>
                <c:pt idx="7">
                  <c:v>15593</c:v>
                </c:pt>
                <c:pt idx="8">
                  <c:v>18718</c:v>
                </c:pt>
                <c:pt idx="9">
                  <c:v>20024</c:v>
                </c:pt>
                <c:pt idx="10">
                  <c:v>19281</c:v>
                </c:pt>
                <c:pt idx="11">
                  <c:v>22299.999999999996</c:v>
                </c:pt>
                <c:pt idx="12">
                  <c:v>23414.999999999996</c:v>
                </c:pt>
                <c:pt idx="13">
                  <c:v>23883.3</c:v>
                </c:pt>
                <c:pt idx="14">
                  <c:v>24599.798999999995</c:v>
                </c:pt>
                <c:pt idx="15">
                  <c:v>25131.154658399995</c:v>
                </c:pt>
                <c:pt idx="16">
                  <c:v>25673.987599021435</c:v>
                </c:pt>
                <c:pt idx="17">
                  <c:v>26228.545731160295</c:v>
                </c:pt>
                <c:pt idx="18">
                  <c:v>26795.082318953362</c:v>
                </c:pt>
              </c:numCache>
            </c:numRef>
          </c:val>
        </c:ser>
        <c:ser>
          <c:idx val="3"/>
          <c:order val="1"/>
          <c:tx>
            <c:strRef>
              <c:f>ChartSupport!$A$163</c:f>
              <c:strCache>
                <c:ptCount val="1"/>
                <c:pt idx="0">
                  <c:v>Bear</c:v>
                </c:pt>
              </c:strCache>
            </c:strRef>
          </c:tx>
          <c:spPr>
            <a:solidFill>
              <a:schemeClr val="bg1"/>
            </a:solidFill>
            <a:ln w="25400">
              <a:noFill/>
            </a:ln>
          </c:spPr>
          <c:cat>
            <c:strRef>
              <c:f>ChartSupport!$E$7:$W$7</c:f>
              <c:strCache>
                <c:ptCount val="19"/>
                <c:pt idx="0">
                  <c:v>2007</c:v>
                </c:pt>
                <c:pt idx="1">
                  <c:v>2008</c:v>
                </c:pt>
                <c:pt idx="2">
                  <c:v>2009</c:v>
                </c:pt>
                <c:pt idx="3">
                  <c:v>2010</c:v>
                </c:pt>
                <c:pt idx="4">
                  <c:v>2011</c:v>
                </c:pt>
                <c:pt idx="5">
                  <c:v>2012</c:v>
                </c:pt>
                <c:pt idx="6">
                  <c:v>2013</c:v>
                </c:pt>
                <c:pt idx="7">
                  <c:v>2014</c:v>
                </c:pt>
                <c:pt idx="8">
                  <c:v>2015</c:v>
                </c:pt>
                <c:pt idx="9">
                  <c:v>2016</c:v>
                </c:pt>
                <c:pt idx="10">
                  <c:v>2017</c:v>
                </c:pt>
                <c:pt idx="11">
                  <c:v>2018E</c:v>
                </c:pt>
                <c:pt idx="12">
                  <c:v>2019E</c:v>
                </c:pt>
                <c:pt idx="13">
                  <c:v>2020E</c:v>
                </c:pt>
                <c:pt idx="14">
                  <c:v>2021E</c:v>
                </c:pt>
                <c:pt idx="15">
                  <c:v>2022E</c:v>
                </c:pt>
                <c:pt idx="16">
                  <c:v>2023E</c:v>
                </c:pt>
                <c:pt idx="17">
                  <c:v>2024E</c:v>
                </c:pt>
                <c:pt idx="18">
                  <c:v>2025E</c:v>
                </c:pt>
              </c:strCache>
            </c:strRef>
          </c:cat>
          <c:val>
            <c:numRef>
              <c:f>ChartSupport!$E$206:$W$206</c:f>
              <c:numCache>
                <c:formatCode>_(* #,##0_);_(* \(#,##0\);_(* "-"??_);_(@_)</c:formatCode>
                <c:ptCount val="19"/>
                <c:pt idx="0">
                  <c:v>9276</c:v>
                </c:pt>
                <c:pt idx="1">
                  <c:v>10218</c:v>
                </c:pt>
                <c:pt idx="2">
                  <c:v>12001</c:v>
                </c:pt>
                <c:pt idx="3">
                  <c:v>12923</c:v>
                </c:pt>
                <c:pt idx="4">
                  <c:v>13067</c:v>
                </c:pt>
                <c:pt idx="5">
                  <c:v>10590</c:v>
                </c:pt>
                <c:pt idx="6">
                  <c:v>12885</c:v>
                </c:pt>
                <c:pt idx="7">
                  <c:v>15593</c:v>
                </c:pt>
                <c:pt idx="8">
                  <c:v>18718</c:v>
                </c:pt>
                <c:pt idx="9">
                  <c:v>20024</c:v>
                </c:pt>
                <c:pt idx="10">
                  <c:v>19281</c:v>
                </c:pt>
                <c:pt idx="11">
                  <c:v>21998.1</c:v>
                </c:pt>
                <c:pt idx="12">
                  <c:v>22988.014499999997</c:v>
                </c:pt>
                <c:pt idx="13">
                  <c:v>23401.798760999998</c:v>
                </c:pt>
                <c:pt idx="14">
                  <c:v>24033.647327546994</c:v>
                </c:pt>
                <c:pt idx="15">
                  <c:v>24422.992414253255</c:v>
                </c:pt>
                <c:pt idx="16">
                  <c:v>24818.644891364158</c:v>
                </c:pt>
                <c:pt idx="17">
                  <c:v>25220.706938604257</c:v>
                </c:pt>
                <c:pt idx="18">
                  <c:v>25629.282391009645</c:v>
                </c:pt>
              </c:numCache>
            </c:numRef>
          </c:val>
        </c:ser>
        <c:dLbls>
          <c:showLegendKey val="0"/>
          <c:showVal val="0"/>
          <c:showCatName val="0"/>
          <c:showSerName val="0"/>
          <c:showPercent val="0"/>
          <c:showBubbleSize val="0"/>
        </c:dLbls>
        <c:axId val="895870848"/>
        <c:axId val="895872384"/>
      </c:areaChart>
      <c:lineChart>
        <c:grouping val="standard"/>
        <c:varyColors val="0"/>
        <c:ser>
          <c:idx val="2"/>
          <c:order val="2"/>
          <c:tx>
            <c:strRef>
              <c:f>ChartSupport!$A$205</c:f>
              <c:strCache>
                <c:ptCount val="1"/>
                <c:pt idx="0">
                  <c:v>Crushed Sugarcane ('000 tons)</c:v>
                </c:pt>
              </c:strCache>
            </c:strRef>
          </c:tx>
          <c:spPr>
            <a:ln w="25400">
              <a:solidFill>
                <a:schemeClr val="accent1"/>
              </a:solidFill>
              <a:prstDash val="solid"/>
            </a:ln>
          </c:spPr>
          <c:marker>
            <c:symbol val="none"/>
          </c:marker>
          <c:cat>
            <c:strRef>
              <c:f>ChartSupport!$E$12:$W$12</c:f>
              <c:strCache>
                <c:ptCount val="19"/>
                <c:pt idx="0">
                  <c:v>2007</c:v>
                </c:pt>
                <c:pt idx="1">
                  <c:v>2008</c:v>
                </c:pt>
                <c:pt idx="2">
                  <c:v>2009</c:v>
                </c:pt>
                <c:pt idx="3">
                  <c:v>2010</c:v>
                </c:pt>
                <c:pt idx="4">
                  <c:v>2011</c:v>
                </c:pt>
                <c:pt idx="5">
                  <c:v>2012</c:v>
                </c:pt>
                <c:pt idx="6">
                  <c:v>2013</c:v>
                </c:pt>
                <c:pt idx="7">
                  <c:v>2014</c:v>
                </c:pt>
                <c:pt idx="8">
                  <c:v>2015</c:v>
                </c:pt>
                <c:pt idx="9">
                  <c:v>2016</c:v>
                </c:pt>
                <c:pt idx="10">
                  <c:v>2017</c:v>
                </c:pt>
                <c:pt idx="11">
                  <c:v>2018E</c:v>
                </c:pt>
                <c:pt idx="12">
                  <c:v>2019E</c:v>
                </c:pt>
                <c:pt idx="13">
                  <c:v>2020E</c:v>
                </c:pt>
                <c:pt idx="14">
                  <c:v>2021E</c:v>
                </c:pt>
                <c:pt idx="15">
                  <c:v>2022E</c:v>
                </c:pt>
                <c:pt idx="16">
                  <c:v>2023E</c:v>
                </c:pt>
                <c:pt idx="17">
                  <c:v>2024E</c:v>
                </c:pt>
                <c:pt idx="18">
                  <c:v>2025E</c:v>
                </c:pt>
              </c:strCache>
            </c:strRef>
          </c:cat>
          <c:val>
            <c:numRef>
              <c:f>ChartSupport!$E$207:$W$207</c:f>
              <c:numCache>
                <c:formatCode>_(* #,##0_);_(* \(#,##0\);_(* "-"??_);_(@_)</c:formatCode>
                <c:ptCount val="19"/>
                <c:pt idx="0">
                  <c:v>9276</c:v>
                </c:pt>
                <c:pt idx="1">
                  <c:v>10218</c:v>
                </c:pt>
                <c:pt idx="2">
                  <c:v>12001</c:v>
                </c:pt>
                <c:pt idx="3">
                  <c:v>12923</c:v>
                </c:pt>
                <c:pt idx="4">
                  <c:v>13067</c:v>
                </c:pt>
                <c:pt idx="5">
                  <c:v>10590</c:v>
                </c:pt>
                <c:pt idx="6">
                  <c:v>12885</c:v>
                </c:pt>
                <c:pt idx="7">
                  <c:v>15593</c:v>
                </c:pt>
                <c:pt idx="8">
                  <c:v>18718</c:v>
                </c:pt>
                <c:pt idx="9">
                  <c:v>20024</c:v>
                </c:pt>
                <c:pt idx="10">
                  <c:v>19281</c:v>
                </c:pt>
                <c:pt idx="11">
                  <c:v>22299.999999999996</c:v>
                </c:pt>
                <c:pt idx="12">
                  <c:v>23414.999999999996</c:v>
                </c:pt>
                <c:pt idx="13">
                  <c:v>23883.3</c:v>
                </c:pt>
                <c:pt idx="14">
                  <c:v>24599.798999999995</c:v>
                </c:pt>
                <c:pt idx="15">
                  <c:v>25042.595381999992</c:v>
                </c:pt>
                <c:pt idx="16">
                  <c:v>25493.362098875994</c:v>
                </c:pt>
                <c:pt idx="17">
                  <c:v>25952.242616655767</c:v>
                </c:pt>
                <c:pt idx="18">
                  <c:v>26419.382983755571</c:v>
                </c:pt>
              </c:numCache>
            </c:numRef>
          </c:val>
          <c:smooth val="0"/>
        </c:ser>
        <c:dLbls>
          <c:showLegendKey val="0"/>
          <c:showVal val="0"/>
          <c:showCatName val="0"/>
          <c:showSerName val="0"/>
          <c:showPercent val="0"/>
          <c:showBubbleSize val="0"/>
        </c:dLbls>
        <c:marker val="1"/>
        <c:smooth val="0"/>
        <c:axId val="895870848"/>
        <c:axId val="895872384"/>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ChartSupport!$E$12:$W$12</c:f>
              <c:strCache>
                <c:ptCount val="19"/>
                <c:pt idx="0">
                  <c:v>2007</c:v>
                </c:pt>
                <c:pt idx="1">
                  <c:v>2008</c:v>
                </c:pt>
                <c:pt idx="2">
                  <c:v>2009</c:v>
                </c:pt>
                <c:pt idx="3">
                  <c:v>2010</c:v>
                </c:pt>
                <c:pt idx="4">
                  <c:v>2011</c:v>
                </c:pt>
                <c:pt idx="5">
                  <c:v>2012</c:v>
                </c:pt>
                <c:pt idx="6">
                  <c:v>2013</c:v>
                </c:pt>
                <c:pt idx="7">
                  <c:v>2014</c:v>
                </c:pt>
                <c:pt idx="8">
                  <c:v>2015</c:v>
                </c:pt>
                <c:pt idx="9">
                  <c:v>2016</c:v>
                </c:pt>
                <c:pt idx="10">
                  <c:v>2017</c:v>
                </c:pt>
                <c:pt idx="11">
                  <c:v>2018E</c:v>
                </c:pt>
                <c:pt idx="12">
                  <c:v>2019E</c:v>
                </c:pt>
                <c:pt idx="13">
                  <c:v>2020E</c:v>
                </c:pt>
                <c:pt idx="14">
                  <c:v>2021E</c:v>
                </c:pt>
                <c:pt idx="15">
                  <c:v>2022E</c:v>
                </c:pt>
                <c:pt idx="16">
                  <c:v>2023E</c:v>
                </c:pt>
                <c:pt idx="17">
                  <c:v>2024E</c:v>
                </c:pt>
                <c:pt idx="18">
                  <c:v>2025E</c:v>
                </c:pt>
              </c:strCache>
            </c:strRef>
          </c:cat>
          <c:val>
            <c:numRef>
              <c:f>ChartSupport!$E$179:$W$179</c:f>
              <c:numCache>
                <c:formatCode>0</c:formatCode>
                <c:ptCount val="19"/>
                <c:pt idx="0">
                  <c:v>10.401666666666666</c:v>
                </c:pt>
                <c:pt idx="1">
                  <c:v>12.4</c:v>
                </c:pt>
                <c:pt idx="2">
                  <c:v>18.787500000000001</c:v>
                </c:pt>
                <c:pt idx="3">
                  <c:v>23.440833333333334</c:v>
                </c:pt>
                <c:pt idx="4">
                  <c:v>25.258333333333336</c:v>
                </c:pt>
                <c:pt idx="5">
                  <c:v>20.410833333333333</c:v>
                </c:pt>
                <c:pt idx="6">
                  <c:v>17.066666666666666</c:v>
                </c:pt>
                <c:pt idx="7">
                  <c:v>15.978333333333333</c:v>
                </c:pt>
                <c:pt idx="8">
                  <c:v>13.149166666666668</c:v>
                </c:pt>
                <c:pt idx="9">
                  <c:v>19.252499999999998</c:v>
                </c:pt>
                <c:pt idx="10">
                  <c:v>17.805000000000003</c:v>
                </c:pt>
                <c:pt idx="11">
                  <c:v>16.244658605325153</c:v>
                </c:pt>
                <c:pt idx="12">
                  <c:v>16.31531880717511</c:v>
                </c:pt>
                <c:pt idx="13">
                  <c:v>16.498655235130911</c:v>
                </c:pt>
                <c:pt idx="14">
                  <c:v>19.747444770453257</c:v>
                </c:pt>
                <c:pt idx="15">
                  <c:v>20.93514679550681</c:v>
                </c:pt>
                <c:pt idx="16">
                  <c:v>17.432162450241776</c:v>
                </c:pt>
                <c:pt idx="17">
                  <c:v>15.017906650666538</c:v>
                </c:pt>
                <c:pt idx="18">
                  <c:v>17.055276269110166</c:v>
                </c:pt>
              </c:numCache>
            </c:numRef>
          </c:val>
          <c:smooth val="0"/>
        </c:ser>
        <c:dLbls>
          <c:showLegendKey val="0"/>
          <c:showVal val="0"/>
          <c:showCatName val="0"/>
          <c:showSerName val="0"/>
          <c:showPercent val="0"/>
          <c:showBubbleSize val="0"/>
        </c:dLbls>
        <c:marker val="1"/>
        <c:smooth val="0"/>
        <c:axId val="895874560"/>
        <c:axId val="895876096"/>
      </c:lineChart>
      <c:catAx>
        <c:axId val="895870848"/>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a:pPr>
            <a:endParaRPr lang="en-US"/>
          </a:p>
        </c:txPr>
        <c:crossAx val="895872384"/>
        <c:crosses val="autoZero"/>
        <c:auto val="1"/>
        <c:lblAlgn val="ctr"/>
        <c:lblOffset val="100"/>
        <c:tickLblSkip val="1"/>
        <c:tickMarkSkip val="1"/>
        <c:noMultiLvlLbl val="0"/>
      </c:catAx>
      <c:valAx>
        <c:axId val="895872384"/>
        <c:scaling>
          <c:orientation val="minMax"/>
        </c:scaling>
        <c:delete val="0"/>
        <c:axPos val="r"/>
        <c:title>
          <c:tx>
            <c:rich>
              <a:bodyPr rot="0" vert="horz"/>
              <a:lstStyle/>
              <a:p>
                <a:pPr algn="ctr" rtl="0">
                  <a:defRPr/>
                </a:pPr>
                <a:r>
                  <a:rPr lang="en-US"/>
                  <a:t>US$ cents/lb</a:t>
                </a:r>
              </a:p>
            </c:rich>
          </c:tx>
          <c:layout>
            <c:manualLayout>
              <c:xMode val="edge"/>
              <c:yMode val="edge"/>
              <c:x val="8.6663036801250912E-2"/>
              <c:y val="5.3210579446799945E-3"/>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5870848"/>
        <c:crosses val="max"/>
        <c:crossBetween val="midCat"/>
      </c:valAx>
      <c:catAx>
        <c:axId val="895874560"/>
        <c:scaling>
          <c:orientation val="minMax"/>
        </c:scaling>
        <c:delete val="1"/>
        <c:axPos val="b"/>
        <c:majorTickMark val="out"/>
        <c:minorTickMark val="none"/>
        <c:tickLblPos val="nextTo"/>
        <c:crossAx val="895876096"/>
        <c:crosses val="autoZero"/>
        <c:auto val="1"/>
        <c:lblAlgn val="ctr"/>
        <c:lblOffset val="100"/>
        <c:noMultiLvlLbl val="0"/>
      </c:catAx>
      <c:valAx>
        <c:axId val="895876096"/>
        <c:scaling>
          <c:orientation val="minMax"/>
        </c:scaling>
        <c:delete val="0"/>
        <c:axPos val="l"/>
        <c:title>
          <c:tx>
            <c:rich>
              <a:bodyPr rot="0" vert="horz"/>
              <a:lstStyle/>
              <a:p>
                <a:pPr algn="ctr" rtl="0">
                  <a:defRPr/>
                </a:pPr>
                <a:r>
                  <a:rPr lang="en-US"/>
                  <a:t>000 tn</a:t>
                </a:r>
              </a:p>
            </c:rich>
          </c:tx>
          <c:layout>
            <c:manualLayout>
              <c:xMode val="edge"/>
              <c:yMode val="edge"/>
              <c:x val="0.73759259942180189"/>
              <c:y val="1.7628654275547221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895874560"/>
        <c:crosses val="autoZero"/>
        <c:crossBetween val="midCat"/>
      </c:valAx>
      <c:spPr>
        <a:noFill/>
        <a:ln w="25400">
          <a:noFill/>
        </a:ln>
      </c:spPr>
    </c:plotArea>
    <c:legend>
      <c:legendPos val="r"/>
      <c:legendEntry>
        <c:idx val="1"/>
        <c:delete val="1"/>
      </c:legendEntry>
      <c:layout>
        <c:manualLayout>
          <c:xMode val="edge"/>
          <c:yMode val="edge"/>
          <c:x val="0.27183557553104015"/>
          <c:y val="0.63822930670251588"/>
          <c:w val="0.57638999125109369"/>
          <c:h val="0.18013923564432494"/>
        </c:manualLayout>
      </c:layout>
      <c:overlay val="0"/>
      <c:spPr>
        <a:no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userShapes r:id="rId1"/>
</c:chartSpace>
</file>

<file path=xl/charts/chart1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589676290463686E-2"/>
          <c:y val="4.7022015548490691E-2"/>
          <c:w val="0.79044564741907264"/>
          <c:h val="0.81901414762179114"/>
        </c:manualLayout>
      </c:layout>
      <c:areaChart>
        <c:grouping val="standard"/>
        <c:varyColors val="0"/>
        <c:ser>
          <c:idx val="1"/>
          <c:order val="0"/>
          <c:tx>
            <c:v>Bull-Bear Scenario</c:v>
          </c:tx>
          <c:spPr>
            <a:solidFill>
              <a:schemeClr val="bg1">
                <a:lumMod val="85000"/>
              </a:schemeClr>
            </a:solidFill>
            <a:ln w="25400">
              <a:noFill/>
            </a:ln>
          </c:spPr>
          <c:cat>
            <c:strRef>
              <c:f>ChartSupport!$K$7:$W$7</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ChartSupport!$K$228:$W$228</c:f>
              <c:numCache>
                <c:formatCode>#,##0.0</c:formatCode>
                <c:ptCount val="13"/>
                <c:pt idx="0">
                  <c:v>139.13999999999999</c:v>
                </c:pt>
                <c:pt idx="1">
                  <c:v>136.94999999999999</c:v>
                </c:pt>
                <c:pt idx="2">
                  <c:v>141.6</c:v>
                </c:pt>
                <c:pt idx="3">
                  <c:v>128.9</c:v>
                </c:pt>
                <c:pt idx="4">
                  <c:v>130.30000000000001</c:v>
                </c:pt>
                <c:pt idx="5">
                  <c:v>134.5</c:v>
                </c:pt>
                <c:pt idx="6">
                  <c:v>136.06499999999997</c:v>
                </c:pt>
                <c:pt idx="7">
                  <c:v>136.74032499999996</c:v>
                </c:pt>
                <c:pt idx="8">
                  <c:v>137.41902662499993</c:v>
                </c:pt>
                <c:pt idx="9">
                  <c:v>138.10112175812492</c:v>
                </c:pt>
                <c:pt idx="10">
                  <c:v>138.78662736691552</c:v>
                </c:pt>
                <c:pt idx="11">
                  <c:v>139.47556050375007</c:v>
                </c:pt>
                <c:pt idx="12">
                  <c:v>140.16793830626881</c:v>
                </c:pt>
              </c:numCache>
            </c:numRef>
          </c:val>
        </c:ser>
        <c:ser>
          <c:idx val="3"/>
          <c:order val="1"/>
          <c:tx>
            <c:strRef>
              <c:f>ChartSupport!$A$163</c:f>
              <c:strCache>
                <c:ptCount val="1"/>
                <c:pt idx="0">
                  <c:v>Bear</c:v>
                </c:pt>
              </c:strCache>
            </c:strRef>
          </c:tx>
          <c:spPr>
            <a:solidFill>
              <a:schemeClr val="bg1"/>
            </a:solidFill>
            <a:ln w="25400">
              <a:noFill/>
            </a:ln>
          </c:spPr>
          <c:cat>
            <c:strRef>
              <c:f>ChartSupport!$K$7:$W$7</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ChartSupport!$K$226:$W$226</c:f>
              <c:numCache>
                <c:formatCode>#,##0.0</c:formatCode>
                <c:ptCount val="13"/>
                <c:pt idx="0">
                  <c:v>139.13999999999999</c:v>
                </c:pt>
                <c:pt idx="1">
                  <c:v>136.94999999999999</c:v>
                </c:pt>
                <c:pt idx="2">
                  <c:v>141.6</c:v>
                </c:pt>
                <c:pt idx="3">
                  <c:v>128.9</c:v>
                </c:pt>
                <c:pt idx="4">
                  <c:v>130.30000000000001</c:v>
                </c:pt>
                <c:pt idx="5">
                  <c:v>133</c:v>
                </c:pt>
                <c:pt idx="6">
                  <c:v>134.56499999999997</c:v>
                </c:pt>
                <c:pt idx="7">
                  <c:v>135.24032499999996</c:v>
                </c:pt>
                <c:pt idx="8">
                  <c:v>135.91902662499993</c:v>
                </c:pt>
                <c:pt idx="9">
                  <c:v>136.60112175812492</c:v>
                </c:pt>
                <c:pt idx="10">
                  <c:v>137.28662736691552</c:v>
                </c:pt>
                <c:pt idx="11">
                  <c:v>137.97556050375007</c:v>
                </c:pt>
                <c:pt idx="12">
                  <c:v>138.66793830626881</c:v>
                </c:pt>
              </c:numCache>
            </c:numRef>
          </c:val>
        </c:ser>
        <c:dLbls>
          <c:showLegendKey val="0"/>
          <c:showVal val="0"/>
          <c:showCatName val="0"/>
          <c:showSerName val="0"/>
          <c:showPercent val="0"/>
          <c:showBubbleSize val="0"/>
        </c:dLbls>
        <c:axId val="896201088"/>
        <c:axId val="896202624"/>
      </c:areaChart>
      <c:lineChart>
        <c:grouping val="standard"/>
        <c:varyColors val="0"/>
        <c:ser>
          <c:idx val="2"/>
          <c:order val="2"/>
          <c:tx>
            <c:strRef>
              <c:f>ChartSupport!$A$225</c:f>
              <c:strCache>
                <c:ptCount val="1"/>
                <c:pt idx="0">
                  <c:v>Average TRS (kg/tn)</c:v>
                </c:pt>
              </c:strCache>
            </c:strRef>
          </c:tx>
          <c:spPr>
            <a:ln w="25400">
              <a:solidFill>
                <a:schemeClr val="accent1"/>
              </a:solidFill>
              <a:prstDash val="solid"/>
            </a:ln>
          </c:spPr>
          <c:marker>
            <c:symbol val="none"/>
          </c:marker>
          <c:cat>
            <c:strRef>
              <c:f>ChartSupport!$K$12:$W$12</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ChartSupport!$K$227:$W$227</c:f>
              <c:numCache>
                <c:formatCode>0.0</c:formatCode>
                <c:ptCount val="13"/>
                <c:pt idx="0">
                  <c:v>139.13999999999999</c:v>
                </c:pt>
                <c:pt idx="1">
                  <c:v>136.94999999999999</c:v>
                </c:pt>
                <c:pt idx="2">
                  <c:v>141.6</c:v>
                </c:pt>
                <c:pt idx="3">
                  <c:v>128.9</c:v>
                </c:pt>
                <c:pt idx="4">
                  <c:v>130.30000000000001</c:v>
                </c:pt>
                <c:pt idx="5" formatCode="#,##0.0">
                  <c:v>133.5</c:v>
                </c:pt>
                <c:pt idx="6" formatCode="#,##0.0">
                  <c:v>135.06499999999997</c:v>
                </c:pt>
                <c:pt idx="7" formatCode="#,##0.0">
                  <c:v>135.74032499999996</c:v>
                </c:pt>
                <c:pt idx="8" formatCode="#,##0.0">
                  <c:v>136.41902662499993</c:v>
                </c:pt>
                <c:pt idx="9" formatCode="#,##0.0">
                  <c:v>137.10112175812492</c:v>
                </c:pt>
                <c:pt idx="10" formatCode="#,##0.0">
                  <c:v>137.78662736691552</c:v>
                </c:pt>
                <c:pt idx="11" formatCode="#,##0.0">
                  <c:v>138.47556050375007</c:v>
                </c:pt>
                <c:pt idx="12" formatCode="#,##0.0">
                  <c:v>139.16793830626881</c:v>
                </c:pt>
              </c:numCache>
            </c:numRef>
          </c:val>
          <c:smooth val="0"/>
        </c:ser>
        <c:dLbls>
          <c:showLegendKey val="0"/>
          <c:showVal val="0"/>
          <c:showCatName val="0"/>
          <c:showSerName val="0"/>
          <c:showPercent val="0"/>
          <c:showBubbleSize val="0"/>
        </c:dLbls>
        <c:marker val="1"/>
        <c:smooth val="0"/>
        <c:axId val="896201088"/>
        <c:axId val="896202624"/>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ChartSupport!$K$12:$W$12</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ChartSupport!$K$179:$W$179</c:f>
              <c:numCache>
                <c:formatCode>0</c:formatCode>
                <c:ptCount val="13"/>
                <c:pt idx="0">
                  <c:v>17.066666666666666</c:v>
                </c:pt>
                <c:pt idx="1">
                  <c:v>15.978333333333333</c:v>
                </c:pt>
                <c:pt idx="2">
                  <c:v>13.149166666666668</c:v>
                </c:pt>
                <c:pt idx="3">
                  <c:v>19.252499999999998</c:v>
                </c:pt>
                <c:pt idx="4">
                  <c:v>17.805000000000003</c:v>
                </c:pt>
                <c:pt idx="5">
                  <c:v>16.244658605325153</c:v>
                </c:pt>
                <c:pt idx="6">
                  <c:v>16.31531880717511</c:v>
                </c:pt>
                <c:pt idx="7">
                  <c:v>16.498655235130911</c:v>
                </c:pt>
                <c:pt idx="8">
                  <c:v>19.747444770453257</c:v>
                </c:pt>
                <c:pt idx="9">
                  <c:v>20.93514679550681</c:v>
                </c:pt>
                <c:pt idx="10">
                  <c:v>17.432162450241776</c:v>
                </c:pt>
                <c:pt idx="11">
                  <c:v>15.017906650666538</c:v>
                </c:pt>
                <c:pt idx="12">
                  <c:v>17.055276269110166</c:v>
                </c:pt>
              </c:numCache>
            </c:numRef>
          </c:val>
          <c:smooth val="0"/>
        </c:ser>
        <c:dLbls>
          <c:showLegendKey val="0"/>
          <c:showVal val="0"/>
          <c:showCatName val="0"/>
          <c:showSerName val="0"/>
          <c:showPercent val="0"/>
          <c:showBubbleSize val="0"/>
        </c:dLbls>
        <c:marker val="1"/>
        <c:smooth val="0"/>
        <c:axId val="896274432"/>
        <c:axId val="896275968"/>
      </c:lineChart>
      <c:catAx>
        <c:axId val="896201088"/>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a:pPr>
            <a:endParaRPr lang="en-US"/>
          </a:p>
        </c:txPr>
        <c:crossAx val="896202624"/>
        <c:crosses val="autoZero"/>
        <c:auto val="1"/>
        <c:lblAlgn val="ctr"/>
        <c:lblOffset val="100"/>
        <c:tickLblSkip val="1"/>
        <c:tickMarkSkip val="1"/>
        <c:noMultiLvlLbl val="0"/>
      </c:catAx>
      <c:valAx>
        <c:axId val="896202624"/>
        <c:scaling>
          <c:orientation val="minMax"/>
          <c:min val="120"/>
        </c:scaling>
        <c:delete val="0"/>
        <c:axPos val="r"/>
        <c:title>
          <c:tx>
            <c:rich>
              <a:bodyPr rot="0" vert="horz"/>
              <a:lstStyle/>
              <a:p>
                <a:pPr algn="ctr" rtl="0">
                  <a:defRPr/>
                </a:pPr>
                <a:r>
                  <a:rPr lang="en-US"/>
                  <a:t>US$ cents/lb</a:t>
                </a:r>
              </a:p>
            </c:rich>
          </c:tx>
          <c:layout>
            <c:manualLayout>
              <c:xMode val="edge"/>
              <c:yMode val="edge"/>
              <c:x val="0.10084743396437147"/>
              <c:y val="1.2184938421158874E-3"/>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6201088"/>
        <c:crosses val="max"/>
        <c:crossBetween val="midCat"/>
      </c:valAx>
      <c:catAx>
        <c:axId val="896274432"/>
        <c:scaling>
          <c:orientation val="minMax"/>
        </c:scaling>
        <c:delete val="1"/>
        <c:axPos val="b"/>
        <c:majorTickMark val="out"/>
        <c:minorTickMark val="none"/>
        <c:tickLblPos val="nextTo"/>
        <c:crossAx val="896275968"/>
        <c:crosses val="autoZero"/>
        <c:auto val="1"/>
        <c:lblAlgn val="ctr"/>
        <c:lblOffset val="100"/>
        <c:noMultiLvlLbl val="0"/>
      </c:catAx>
      <c:valAx>
        <c:axId val="896275968"/>
        <c:scaling>
          <c:orientation val="minMax"/>
        </c:scaling>
        <c:delete val="0"/>
        <c:axPos val="l"/>
        <c:title>
          <c:tx>
            <c:rich>
              <a:bodyPr rot="0" vert="horz"/>
              <a:lstStyle/>
              <a:p>
                <a:pPr algn="ctr" rtl="0">
                  <a:defRPr/>
                </a:pPr>
                <a:r>
                  <a:rPr lang="en-US"/>
                  <a:t>kg/ton</a:t>
                </a:r>
              </a:p>
            </c:rich>
          </c:tx>
          <c:layout>
            <c:manualLayout>
              <c:xMode val="edge"/>
              <c:yMode val="edge"/>
              <c:x val="0.773041749525199"/>
              <c:y val="2.5489771548420605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896274432"/>
        <c:crosses val="autoZero"/>
        <c:crossBetween val="midCat"/>
      </c:valAx>
      <c:spPr>
        <a:noFill/>
        <a:ln w="25400">
          <a:noFill/>
        </a:ln>
      </c:spPr>
    </c:plotArea>
    <c:legend>
      <c:legendPos val="r"/>
      <c:legendEntry>
        <c:idx val="1"/>
        <c:delete val="1"/>
      </c:legendEntry>
      <c:layout>
        <c:manualLayout>
          <c:xMode val="edge"/>
          <c:yMode val="edge"/>
          <c:x val="0.27648401865278754"/>
          <c:y val="0.70166122527367003"/>
          <c:w val="0.57638999125109369"/>
          <c:h val="0.15104607308701798"/>
        </c:manualLayout>
      </c:layout>
      <c:overlay val="0"/>
      <c:spPr>
        <a:no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userShapes r:id="rId1"/>
</c:chartSpace>
</file>

<file path=xl/charts/chart1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0518945462289326E-2"/>
          <c:y val="2.2144207840238614E-2"/>
          <c:w val="0.79044564741907264"/>
          <c:h val="0.79989327297455282"/>
        </c:manualLayout>
      </c:layout>
      <c:areaChart>
        <c:grouping val="standard"/>
        <c:varyColors val="0"/>
        <c:ser>
          <c:idx val="1"/>
          <c:order val="0"/>
          <c:tx>
            <c:v>Bull-Bear Scenario</c:v>
          </c:tx>
          <c:spPr>
            <a:solidFill>
              <a:schemeClr val="bg1">
                <a:lumMod val="85000"/>
              </a:schemeClr>
            </a:solidFill>
            <a:ln w="25400">
              <a:noFill/>
            </a:ln>
          </c:spPr>
          <c:cat>
            <c:strRef>
              <c:f>ChartSupport!$D$7:$W$7</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ChartSupport!$D$213:$W$213</c:f>
              <c:numCache>
                <c:formatCode>0.0</c:formatCode>
                <c:ptCount val="20"/>
                <c:pt idx="0">
                  <c:v>629.76800000000003</c:v>
                </c:pt>
                <c:pt idx="1">
                  <c:v>676.34199999999998</c:v>
                </c:pt>
                <c:pt idx="2">
                  <c:v>605.74699999999996</c:v>
                </c:pt>
                <c:pt idx="3">
                  <c:v>417.7</c:v>
                </c:pt>
                <c:pt idx="4">
                  <c:v>818.7</c:v>
                </c:pt>
                <c:pt idx="5">
                  <c:v>836.2</c:v>
                </c:pt>
                <c:pt idx="6" formatCode="#,##0.0">
                  <c:v>825.6</c:v>
                </c:pt>
                <c:pt idx="7" formatCode="#,##0.0">
                  <c:v>976.19999999999993</c:v>
                </c:pt>
                <c:pt idx="8" formatCode="#,##0.0">
                  <c:v>991.2</c:v>
                </c:pt>
                <c:pt idx="9" formatCode="#,##0.0">
                  <c:v>1177.0999999999999</c:v>
                </c:pt>
                <c:pt idx="10" formatCode="#,##0.0">
                  <c:v>1201</c:v>
                </c:pt>
                <c:pt idx="11" formatCode="#,##0.0">
                  <c:v>1313.7</c:v>
                </c:pt>
                <c:pt idx="12" formatCode="#,##0.0">
                  <c:v>1405.4855222592871</c:v>
                </c:pt>
                <c:pt idx="13" formatCode="#,##0.0">
                  <c:v>1488.4982699782331</c:v>
                </c:pt>
                <c:pt idx="14" formatCode="#,##0.0">
                  <c:v>1526.1523732298158</c:v>
                </c:pt>
                <c:pt idx="15" formatCode="#,##0.0">
                  <c:v>1579.7133713107332</c:v>
                </c:pt>
                <c:pt idx="16" formatCode="#,##0.0">
                  <c:v>1621.847400941057</c:v>
                </c:pt>
                <c:pt idx="17" formatCode="#,##0.0">
                  <c:v>1665.1036002070721</c:v>
                </c:pt>
                <c:pt idx="18" formatCode="#,##0.0">
                  <c:v>1709.5139103625604</c:v>
                </c:pt>
                <c:pt idx="19" formatCode="#,##0.0">
                  <c:v>1755.1090001274777</c:v>
                </c:pt>
              </c:numCache>
            </c:numRef>
          </c:val>
        </c:ser>
        <c:ser>
          <c:idx val="3"/>
          <c:order val="1"/>
          <c:tx>
            <c:strRef>
              <c:f>ChartSupport!$A$163</c:f>
              <c:strCache>
                <c:ptCount val="1"/>
                <c:pt idx="0">
                  <c:v>Bear</c:v>
                </c:pt>
              </c:strCache>
            </c:strRef>
          </c:tx>
          <c:spPr>
            <a:solidFill>
              <a:schemeClr val="bg1"/>
            </a:solidFill>
            <a:ln w="25400">
              <a:noFill/>
            </a:ln>
          </c:spPr>
          <c:cat>
            <c:strRef>
              <c:f>ChartSupport!$D$7:$W$7</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ChartSupport!$D$211:$W$211</c:f>
              <c:numCache>
                <c:formatCode>0.0</c:formatCode>
                <c:ptCount val="20"/>
                <c:pt idx="0">
                  <c:v>629.76800000000003</c:v>
                </c:pt>
                <c:pt idx="1">
                  <c:v>676.34199999999998</c:v>
                </c:pt>
                <c:pt idx="2">
                  <c:v>605.74699999999996</c:v>
                </c:pt>
                <c:pt idx="3">
                  <c:v>417.7</c:v>
                </c:pt>
                <c:pt idx="4">
                  <c:v>818.7</c:v>
                </c:pt>
                <c:pt idx="5">
                  <c:v>836.2</c:v>
                </c:pt>
                <c:pt idx="6" formatCode="#,##0.0">
                  <c:v>825.6</c:v>
                </c:pt>
                <c:pt idx="7" formatCode="#,##0.0">
                  <c:v>976.19999999999993</c:v>
                </c:pt>
                <c:pt idx="8" formatCode="#,##0.0">
                  <c:v>991.2</c:v>
                </c:pt>
                <c:pt idx="9" formatCode="#,##0.0">
                  <c:v>1177.0999999999999</c:v>
                </c:pt>
                <c:pt idx="10" formatCode="#,##0.0">
                  <c:v>1201</c:v>
                </c:pt>
                <c:pt idx="11" formatCode="#,##0.0">
                  <c:v>1313.7</c:v>
                </c:pt>
                <c:pt idx="12" formatCode="#,##0.0">
                  <c:v>1370.9955396799971</c:v>
                </c:pt>
                <c:pt idx="13" formatCode="#,##0.0">
                  <c:v>1445.244496429229</c:v>
                </c:pt>
                <c:pt idx="14" formatCode="#,##0.0">
                  <c:v>1478.9803395854756</c:v>
                </c:pt>
                <c:pt idx="15" formatCode="#,##0.0">
                  <c:v>1526.5105401030817</c:v>
                </c:pt>
                <c:pt idx="16" formatCode="#,##0.0">
                  <c:v>1559.0264393983268</c:v>
                </c:pt>
                <c:pt idx="17" formatCode="#,##0.0">
                  <c:v>1592.2329674796097</c:v>
                </c:pt>
                <c:pt idx="18" formatCode="#,##0.0">
                  <c:v>1626.1467481627099</c:v>
                </c:pt>
                <c:pt idx="19" formatCode="#,##0.0">
                  <c:v>1660.7827184628845</c:v>
                </c:pt>
              </c:numCache>
            </c:numRef>
          </c:val>
        </c:ser>
        <c:dLbls>
          <c:showLegendKey val="0"/>
          <c:showVal val="0"/>
          <c:showCatName val="0"/>
          <c:showSerName val="0"/>
          <c:showPercent val="0"/>
          <c:showBubbleSize val="0"/>
        </c:dLbls>
        <c:axId val="896314752"/>
        <c:axId val="896324736"/>
      </c:areaChart>
      <c:lineChart>
        <c:grouping val="standard"/>
        <c:varyColors val="0"/>
        <c:ser>
          <c:idx val="2"/>
          <c:order val="2"/>
          <c:tx>
            <c:strRef>
              <c:f>ChartSupport!$A$210</c:f>
              <c:strCache>
                <c:ptCount val="1"/>
                <c:pt idx="0">
                  <c:v>Sugar sales ('000 tons)</c:v>
                </c:pt>
              </c:strCache>
            </c:strRef>
          </c:tx>
          <c:spPr>
            <a:ln w="25400">
              <a:solidFill>
                <a:schemeClr val="accent1"/>
              </a:solidFill>
              <a:prstDash val="solid"/>
            </a:ln>
          </c:spPr>
          <c:marker>
            <c:symbol val="none"/>
          </c:marker>
          <c:cat>
            <c:strRef>
              <c:f>ChartSupport!$D$210:$W$210</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ChartSupport!$D$212:$W$212</c:f>
              <c:numCache>
                <c:formatCode>0.0</c:formatCode>
                <c:ptCount val="20"/>
                <c:pt idx="0">
                  <c:v>629.76800000000003</c:v>
                </c:pt>
                <c:pt idx="1">
                  <c:v>676.34199999999998</c:v>
                </c:pt>
                <c:pt idx="2">
                  <c:v>605.74699999999996</c:v>
                </c:pt>
                <c:pt idx="3">
                  <c:v>417.7</c:v>
                </c:pt>
                <c:pt idx="4">
                  <c:v>818.7</c:v>
                </c:pt>
                <c:pt idx="5">
                  <c:v>836.2</c:v>
                </c:pt>
                <c:pt idx="6">
                  <c:v>825.6</c:v>
                </c:pt>
                <c:pt idx="7">
                  <c:v>976.19999999999993</c:v>
                </c:pt>
                <c:pt idx="8">
                  <c:v>991.2</c:v>
                </c:pt>
                <c:pt idx="9">
                  <c:v>1177.0999999999999</c:v>
                </c:pt>
                <c:pt idx="10">
                  <c:v>1201</c:v>
                </c:pt>
                <c:pt idx="11">
                  <c:v>1313.7</c:v>
                </c:pt>
                <c:pt idx="12" formatCode="#,##0.0">
                  <c:v>1395.035815774088</c:v>
                </c:pt>
                <c:pt idx="13" formatCode="#,##0.0">
                  <c:v>1477.5586582487051</c:v>
                </c:pt>
                <c:pt idx="14" formatCode="#,##0.0">
                  <c:v>1514.9914199906761</c:v>
                </c:pt>
                <c:pt idx="15" formatCode="#,##0.0">
                  <c:v>1568.2177770680119</c:v>
                </c:pt>
                <c:pt idx="16" formatCode="#,##0.0">
                  <c:v>1604.4296709965454</c:v>
                </c:pt>
                <c:pt idx="17" formatCode="#,##0.0">
                  <c:v>1641.4758404898287</c:v>
                </c:pt>
                <c:pt idx="18" formatCode="#,##0.0">
                  <c:v>1679.3775243636262</c:v>
                </c:pt>
                <c:pt idx="19" formatCode="#,##0.0">
                  <c:v>1718.1543510194051</c:v>
                </c:pt>
              </c:numCache>
            </c:numRef>
          </c:val>
          <c:smooth val="0"/>
        </c:ser>
        <c:dLbls>
          <c:showLegendKey val="0"/>
          <c:showVal val="0"/>
          <c:showCatName val="0"/>
          <c:showSerName val="0"/>
          <c:showPercent val="0"/>
          <c:showBubbleSize val="0"/>
        </c:dLbls>
        <c:marker val="1"/>
        <c:smooth val="0"/>
        <c:axId val="896314752"/>
        <c:axId val="896324736"/>
      </c:lineChart>
      <c:lineChart>
        <c:grouping val="standard"/>
        <c:varyColors val="0"/>
        <c:ser>
          <c:idx val="0"/>
          <c:order val="3"/>
          <c:tx>
            <c:strRef>
              <c:f>ChartSupport!$A$162</c:f>
              <c:strCache>
                <c:ptCount val="1"/>
                <c:pt idx="0">
                  <c:v>Sugar Prices (R$/ton)</c:v>
                </c:pt>
              </c:strCache>
            </c:strRef>
          </c:tx>
          <c:spPr>
            <a:ln w="15875">
              <a:solidFill>
                <a:srgbClr val="FF0000"/>
              </a:solidFill>
              <a:prstDash val="sysDash"/>
            </a:ln>
          </c:spPr>
          <c:marker>
            <c:symbol val="none"/>
          </c:marker>
          <c:cat>
            <c:strRef>
              <c:f>ChartSupport!$D$12:$W$12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ChartSupport!$D$164:$W$164</c:f>
              <c:numCache>
                <c:formatCode>#,##0</c:formatCode>
                <c:ptCount val="20"/>
                <c:pt idx="0">
                  <c:v>549.87709759784548</c:v>
                </c:pt>
                <c:pt idx="1">
                  <c:v>624.90574295252998</c:v>
                </c:pt>
                <c:pt idx="2">
                  <c:v>452.08478127006822</c:v>
                </c:pt>
                <c:pt idx="3">
                  <c:v>548.48455829542741</c:v>
                </c:pt>
                <c:pt idx="4">
                  <c:v>711.1921338707707</c:v>
                </c:pt>
                <c:pt idx="5">
                  <c:v>839.72135852666827</c:v>
                </c:pt>
                <c:pt idx="6">
                  <c:v>928.64219961240303</c:v>
                </c:pt>
                <c:pt idx="7">
                  <c:v>973.49518541282532</c:v>
                </c:pt>
                <c:pt idx="8">
                  <c:v>892.12469733656167</c:v>
                </c:pt>
                <c:pt idx="9">
                  <c:v>925.27992523999671</c:v>
                </c:pt>
                <c:pt idx="10">
                  <c:v>1048.068276436303</c:v>
                </c:pt>
                <c:pt idx="11">
                  <c:v>1251.9068280429321</c:v>
                </c:pt>
                <c:pt idx="12">
                  <c:v>1407.8772144231391</c:v>
                </c:pt>
                <c:pt idx="13">
                  <c:v>1203.2894278945732</c:v>
                </c:pt>
                <c:pt idx="14">
                  <c:v>1245.1088064177579</c:v>
                </c:pt>
                <c:pt idx="15">
                  <c:v>1490.2861498423542</c:v>
                </c:pt>
                <c:pt idx="16">
                  <c:v>1586.8475041008783</c:v>
                </c:pt>
                <c:pt idx="17">
                  <c:v>1327.0967708404357</c:v>
                </c:pt>
                <c:pt idx="18">
                  <c:v>1148.2717115571372</c:v>
                </c:pt>
                <c:pt idx="19">
                  <c:v>1309.6939589258038</c:v>
                </c:pt>
              </c:numCache>
            </c:numRef>
          </c:val>
          <c:smooth val="0"/>
        </c:ser>
        <c:dLbls>
          <c:showLegendKey val="0"/>
          <c:showVal val="0"/>
          <c:showCatName val="0"/>
          <c:showSerName val="0"/>
          <c:showPercent val="0"/>
          <c:showBubbleSize val="0"/>
        </c:dLbls>
        <c:marker val="1"/>
        <c:smooth val="0"/>
        <c:axId val="896326656"/>
        <c:axId val="896344832"/>
      </c:lineChart>
      <c:catAx>
        <c:axId val="896314752"/>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96324736"/>
        <c:crosses val="autoZero"/>
        <c:auto val="1"/>
        <c:lblAlgn val="ctr"/>
        <c:lblOffset val="100"/>
        <c:tickLblSkip val="1"/>
        <c:tickMarkSkip val="1"/>
        <c:noMultiLvlLbl val="0"/>
      </c:catAx>
      <c:valAx>
        <c:axId val="896324736"/>
        <c:scaling>
          <c:orientation val="minMax"/>
        </c:scaling>
        <c:delete val="0"/>
        <c:axPos val="r"/>
        <c:title>
          <c:tx>
            <c:rich>
              <a:bodyPr rot="0" vert="horz"/>
              <a:lstStyle/>
              <a:p>
                <a:pPr algn="ctr" rtl="0">
                  <a:defRPr sz="900"/>
                </a:pPr>
                <a:r>
                  <a:rPr lang="en-US" sz="900" b="0" i="0" baseline="0">
                    <a:solidFill>
                      <a:schemeClr val="bg1">
                        <a:lumMod val="50000"/>
                      </a:schemeClr>
                    </a:solidFill>
                    <a:effectLst/>
                  </a:rPr>
                  <a:t>BRL/Tn</a:t>
                </a:r>
                <a:endParaRPr lang="en-US" sz="900">
                  <a:solidFill>
                    <a:schemeClr val="bg1">
                      <a:lumMod val="50000"/>
                    </a:schemeClr>
                  </a:solidFill>
                  <a:effectLst/>
                </a:endParaRPr>
              </a:p>
            </c:rich>
          </c:tx>
          <c:layout>
            <c:manualLayout>
              <c:xMode val="edge"/>
              <c:yMode val="edge"/>
              <c:x val="0.10084743396437147"/>
              <c:y val="1.2184938421158874E-3"/>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96314752"/>
        <c:crosses val="max"/>
        <c:crossBetween val="midCat"/>
      </c:valAx>
      <c:catAx>
        <c:axId val="896326656"/>
        <c:scaling>
          <c:orientation val="minMax"/>
        </c:scaling>
        <c:delete val="1"/>
        <c:axPos val="b"/>
        <c:majorTickMark val="out"/>
        <c:minorTickMark val="none"/>
        <c:tickLblPos val="nextTo"/>
        <c:crossAx val="896344832"/>
        <c:crosses val="autoZero"/>
        <c:auto val="1"/>
        <c:lblAlgn val="ctr"/>
        <c:lblOffset val="100"/>
        <c:noMultiLvlLbl val="0"/>
      </c:catAx>
      <c:valAx>
        <c:axId val="896344832"/>
        <c:scaling>
          <c:orientation val="minMax"/>
        </c:scaling>
        <c:delete val="0"/>
        <c:axPos val="l"/>
        <c:title>
          <c:tx>
            <c:rich>
              <a:bodyPr rot="0" vert="horz"/>
              <a:lstStyle/>
              <a:p>
                <a:pPr algn="ctr" rtl="0">
                  <a:defRPr sz="900"/>
                </a:pPr>
                <a:r>
                  <a:rPr lang="en-US" sz="900"/>
                  <a:t>000</a:t>
                </a:r>
                <a:r>
                  <a:rPr lang="en-US" sz="900" baseline="0"/>
                  <a:t> tn</a:t>
                </a:r>
                <a:endParaRPr lang="en-US" sz="900"/>
              </a:p>
            </c:rich>
          </c:tx>
          <c:layout>
            <c:manualLayout>
              <c:xMode val="edge"/>
              <c:yMode val="edge"/>
              <c:x val="0.73758865248226946"/>
              <c:y val="1.3526186149808194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96326656"/>
        <c:crosses val="autoZero"/>
        <c:crossBetween val="midCat"/>
      </c:valAx>
      <c:spPr>
        <a:noFill/>
        <a:ln w="25400">
          <a:noFill/>
        </a:ln>
      </c:spPr>
    </c:plotArea>
    <c:legend>
      <c:legendPos val="r"/>
      <c:legendEntry>
        <c:idx val="1"/>
        <c:delete val="1"/>
      </c:legendEntry>
      <c:layout>
        <c:manualLayout>
          <c:xMode val="edge"/>
          <c:yMode val="edge"/>
          <c:x val="0.25724612423447069"/>
          <c:y val="0.63234460021765571"/>
          <c:w val="0.57638999125109369"/>
          <c:h val="0.17155889359983847"/>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589676290463686E-2"/>
          <c:y val="4.7022015548490691E-2"/>
          <c:w val="0.79044564741907264"/>
          <c:h val="0.79052768813182583"/>
        </c:manualLayout>
      </c:layout>
      <c:areaChart>
        <c:grouping val="standard"/>
        <c:varyColors val="0"/>
        <c:ser>
          <c:idx val="1"/>
          <c:order val="0"/>
          <c:tx>
            <c:v>Bull-Bear Scenario</c:v>
          </c:tx>
          <c:spPr>
            <a:solidFill>
              <a:schemeClr val="bg1">
                <a:lumMod val="85000"/>
              </a:schemeClr>
            </a:solidFill>
            <a:ln w="25400">
              <a:noFill/>
            </a:ln>
          </c:spPr>
          <c:cat>
            <c:strRef>
              <c:f>ChartSupport!$D$7:$W$7</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ChartSupport!$D$218:$W$218</c:f>
              <c:numCache>
                <c:formatCode>0.0</c:formatCode>
                <c:ptCount val="20"/>
                <c:pt idx="0">
                  <c:v>629.76800000000003</c:v>
                </c:pt>
                <c:pt idx="1">
                  <c:v>676.34199999999998</c:v>
                </c:pt>
                <c:pt idx="2">
                  <c:v>605.74699999999996</c:v>
                </c:pt>
                <c:pt idx="3">
                  <c:v>417.7</c:v>
                </c:pt>
                <c:pt idx="4">
                  <c:v>818.7</c:v>
                </c:pt>
                <c:pt idx="5">
                  <c:v>836.2</c:v>
                </c:pt>
                <c:pt idx="6" formatCode="#,##0.0">
                  <c:v>401.40000000000003</c:v>
                </c:pt>
                <c:pt idx="7" formatCode="#,##0.0">
                  <c:v>450.8</c:v>
                </c:pt>
                <c:pt idx="8" formatCode="#,##0.0">
                  <c:v>638.6</c:v>
                </c:pt>
                <c:pt idx="9" formatCode="#,##0.0">
                  <c:v>713.39999999999986</c:v>
                </c:pt>
                <c:pt idx="10" formatCode="#,##0.0">
                  <c:v>795.00000000000011</c:v>
                </c:pt>
                <c:pt idx="11" formatCode="#,##0.0">
                  <c:v>698.4</c:v>
                </c:pt>
                <c:pt idx="12" formatCode="#,##0.0">
                  <c:v>886.14471487766025</c:v>
                </c:pt>
                <c:pt idx="13" formatCode="#,##0.0">
                  <c:v>944.48181189536967</c:v>
                </c:pt>
                <c:pt idx="14" formatCode="#,##0.0">
                  <c:v>967.89951872902304</c:v>
                </c:pt>
                <c:pt idx="15" formatCode="#,##0.0">
                  <c:v>1001.9034630807112</c:v>
                </c:pt>
                <c:pt idx="16" formatCode="#,##0.0">
                  <c:v>1028.6237770525747</c:v>
                </c:pt>
                <c:pt idx="17" formatCode="#,##0.0">
                  <c:v>1056.0582970426628</c:v>
                </c:pt>
                <c:pt idx="18" formatCode="#,##0.0">
                  <c:v>1084.2246291647336</c:v>
                </c:pt>
                <c:pt idx="19" formatCode="#,##0.0">
                  <c:v>1113.142393389802</c:v>
                </c:pt>
              </c:numCache>
            </c:numRef>
          </c:val>
        </c:ser>
        <c:ser>
          <c:idx val="3"/>
          <c:order val="1"/>
          <c:tx>
            <c:strRef>
              <c:f>ChartSupport!$A$163</c:f>
              <c:strCache>
                <c:ptCount val="1"/>
                <c:pt idx="0">
                  <c:v>Bear</c:v>
                </c:pt>
              </c:strCache>
            </c:strRef>
          </c:tx>
          <c:spPr>
            <a:solidFill>
              <a:schemeClr val="bg1"/>
            </a:solidFill>
            <a:ln w="25400">
              <a:noFill/>
            </a:ln>
          </c:spPr>
          <c:cat>
            <c:strRef>
              <c:f>ChartSupport!$D$7:$W$7</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ChartSupport!$D$216:$W$216</c:f>
              <c:numCache>
                <c:formatCode>0.0</c:formatCode>
                <c:ptCount val="20"/>
                <c:pt idx="0">
                  <c:v>629.76800000000003</c:v>
                </c:pt>
                <c:pt idx="1">
                  <c:v>676.34199999999998</c:v>
                </c:pt>
                <c:pt idx="2">
                  <c:v>605.74699999999996</c:v>
                </c:pt>
                <c:pt idx="3">
                  <c:v>417.7</c:v>
                </c:pt>
                <c:pt idx="4">
                  <c:v>818.7</c:v>
                </c:pt>
                <c:pt idx="5">
                  <c:v>836.2</c:v>
                </c:pt>
                <c:pt idx="6" formatCode="#,##0.0">
                  <c:v>401.40000000000003</c:v>
                </c:pt>
                <c:pt idx="7" formatCode="#,##0.0">
                  <c:v>450.8</c:v>
                </c:pt>
                <c:pt idx="8" formatCode="#,##0.0">
                  <c:v>638.6</c:v>
                </c:pt>
                <c:pt idx="9" formatCode="#,##0.0">
                  <c:v>713.39999999999986</c:v>
                </c:pt>
                <c:pt idx="10" formatCode="#,##0.0">
                  <c:v>795.00000000000011</c:v>
                </c:pt>
                <c:pt idx="11" formatCode="#,##0.0">
                  <c:v>698.4</c:v>
                </c:pt>
                <c:pt idx="12" formatCode="#,##0.0">
                  <c:v>864.39912213065668</c:v>
                </c:pt>
                <c:pt idx="13" formatCode="#,##0.0">
                  <c:v>917.03643071029592</c:v>
                </c:pt>
                <c:pt idx="14" formatCode="#,##0.0">
                  <c:v>937.98259204286251</c:v>
                </c:pt>
                <c:pt idx="15" formatCode="#,##0.0">
                  <c:v>968.16056908443056</c:v>
                </c:pt>
                <c:pt idx="16" formatCode="#,##0.0">
                  <c:v>988.78085798222094</c:v>
                </c:pt>
                <c:pt idx="17" formatCode="#,##0.0">
                  <c:v>1009.8415713728516</c:v>
                </c:pt>
                <c:pt idx="18" formatCode="#,##0.0">
                  <c:v>1031.3506923264661</c:v>
                </c:pt>
                <c:pt idx="19" formatCode="#,##0.0">
                  <c:v>1053.3178566094314</c:v>
                </c:pt>
              </c:numCache>
            </c:numRef>
          </c:val>
        </c:ser>
        <c:dLbls>
          <c:showLegendKey val="0"/>
          <c:showVal val="0"/>
          <c:showCatName val="0"/>
          <c:showSerName val="0"/>
          <c:showPercent val="0"/>
          <c:showBubbleSize val="0"/>
        </c:dLbls>
        <c:axId val="896377984"/>
        <c:axId val="896379520"/>
      </c:areaChart>
      <c:lineChart>
        <c:grouping val="standard"/>
        <c:varyColors val="0"/>
        <c:ser>
          <c:idx val="2"/>
          <c:order val="2"/>
          <c:tx>
            <c:strRef>
              <c:f>ChartSupport!$A$215</c:f>
              <c:strCache>
                <c:ptCount val="1"/>
                <c:pt idx="0">
                  <c:v>Ethanol sales ('000 cbm)</c:v>
                </c:pt>
              </c:strCache>
            </c:strRef>
          </c:tx>
          <c:spPr>
            <a:ln w="25400">
              <a:solidFill>
                <a:schemeClr val="accent1"/>
              </a:solidFill>
              <a:prstDash val="solid"/>
            </a:ln>
          </c:spPr>
          <c:marker>
            <c:symbol val="none"/>
          </c:marker>
          <c:cat>
            <c:strRef>
              <c:f>ChartSupport!$D$12:$W$12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ChartSupport!$D$217:$W$217</c:f>
              <c:numCache>
                <c:formatCode>0.0</c:formatCode>
                <c:ptCount val="20"/>
                <c:pt idx="0">
                  <c:v>629.76800000000003</c:v>
                </c:pt>
                <c:pt idx="1">
                  <c:v>676.34199999999998</c:v>
                </c:pt>
                <c:pt idx="2">
                  <c:v>605.74699999999996</c:v>
                </c:pt>
                <c:pt idx="3">
                  <c:v>417.7</c:v>
                </c:pt>
                <c:pt idx="4">
                  <c:v>818.7</c:v>
                </c:pt>
                <c:pt idx="5">
                  <c:v>836.2</c:v>
                </c:pt>
                <c:pt idx="6">
                  <c:v>401.40000000000003</c:v>
                </c:pt>
                <c:pt idx="7">
                  <c:v>450.8</c:v>
                </c:pt>
                <c:pt idx="8">
                  <c:v>638.6</c:v>
                </c:pt>
                <c:pt idx="9">
                  <c:v>713.39999999999986</c:v>
                </c:pt>
                <c:pt idx="10">
                  <c:v>795.00000000000011</c:v>
                </c:pt>
                <c:pt idx="11">
                  <c:v>698.4</c:v>
                </c:pt>
                <c:pt idx="12" formatCode="#,##0.0">
                  <c:v>879.55627833581912</c:v>
                </c:pt>
                <c:pt idx="13" formatCode="#,##0.0">
                  <c:v>937.54041027191488</c:v>
                </c:pt>
                <c:pt idx="14" formatCode="#,##0.0">
                  <c:v>960.82114211459702</c:v>
                </c:pt>
                <c:pt idx="15" formatCode="#,##0.0">
                  <c:v>994.61259887007463</c:v>
                </c:pt>
                <c:pt idx="16" formatCode="#,##0.0">
                  <c:v>1017.5769355600827</c:v>
                </c:pt>
                <c:pt idx="17" formatCode="#,##0.0">
                  <c:v>1041.0728680958862</c:v>
                </c:pt>
                <c:pt idx="18" formatCode="#,##0.0">
                  <c:v>1065.1112357398565</c:v>
                </c:pt>
                <c:pt idx="19" formatCode="#,##0.0">
                  <c:v>1089.7046544504815</c:v>
                </c:pt>
              </c:numCache>
            </c:numRef>
          </c:val>
          <c:smooth val="0"/>
        </c:ser>
        <c:dLbls>
          <c:showLegendKey val="0"/>
          <c:showVal val="0"/>
          <c:showCatName val="0"/>
          <c:showSerName val="0"/>
          <c:showPercent val="0"/>
          <c:showBubbleSize val="0"/>
        </c:dLbls>
        <c:marker val="1"/>
        <c:smooth val="0"/>
        <c:axId val="896377984"/>
        <c:axId val="896379520"/>
      </c:lineChart>
      <c:lineChart>
        <c:grouping val="standard"/>
        <c:varyColors val="0"/>
        <c:ser>
          <c:idx val="0"/>
          <c:order val="3"/>
          <c:tx>
            <c:strRef>
              <c:f>ChartSupport!$A$172</c:f>
              <c:strCache>
                <c:ptCount val="1"/>
                <c:pt idx="0">
                  <c:v>Ethanol Prices (R$/cbm)</c:v>
                </c:pt>
              </c:strCache>
            </c:strRef>
          </c:tx>
          <c:spPr>
            <a:ln w="15875">
              <a:solidFill>
                <a:srgbClr val="FF0000"/>
              </a:solidFill>
              <a:prstDash val="sysDash"/>
            </a:ln>
          </c:spPr>
          <c:marker>
            <c:symbol val="none"/>
          </c:marker>
          <c:cat>
            <c:strRef>
              <c:f>ChartSupport!$D$12:$W$12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ChartSupport!$D$174:$W$174</c:f>
              <c:numCache>
                <c:formatCode>#,##0</c:formatCode>
                <c:ptCount val="20"/>
                <c:pt idx="0">
                  <c:v>850.76573527607229</c:v>
                </c:pt>
                <c:pt idx="1">
                  <c:v>916.0210009941004</c:v>
                </c:pt>
                <c:pt idx="2">
                  <c:v>749.30788867466026</c:v>
                </c:pt>
                <c:pt idx="3">
                  <c:v>769.57647434872933</c:v>
                </c:pt>
                <c:pt idx="4">
                  <c:v>857.95536593370525</c:v>
                </c:pt>
                <c:pt idx="5">
                  <c:v>994.76608745464966</c:v>
                </c:pt>
                <c:pt idx="6">
                  <c:v>1258.2710513203785</c:v>
                </c:pt>
                <c:pt idx="7">
                  <c:v>1211.548358473824</c:v>
                </c:pt>
                <c:pt idx="8">
                  <c:v>1317.1515815847165</c:v>
                </c:pt>
                <c:pt idx="9">
                  <c:v>1349.1070927950659</c:v>
                </c:pt>
                <c:pt idx="10">
                  <c:v>1637.3106918238993</c:v>
                </c:pt>
                <c:pt idx="11">
                  <c:v>1773.8788659793813</c:v>
                </c:pt>
                <c:pt idx="12">
                  <c:v>1691.3685141076389</c:v>
                </c:pt>
                <c:pt idx="13">
                  <c:v>1841.1499524966634</c:v>
                </c:pt>
                <c:pt idx="14">
                  <c:v>1970.8083998555833</c:v>
                </c:pt>
                <c:pt idx="15">
                  <c:v>2045.2427213153921</c:v>
                </c:pt>
                <c:pt idx="16">
                  <c:v>2094.3285466269617</c:v>
                </c:pt>
                <c:pt idx="17">
                  <c:v>2144.5924317460085</c:v>
                </c:pt>
                <c:pt idx="18">
                  <c:v>2196.0626501079128</c:v>
                </c:pt>
                <c:pt idx="19">
                  <c:v>2343.940671516048</c:v>
                </c:pt>
              </c:numCache>
            </c:numRef>
          </c:val>
          <c:smooth val="0"/>
        </c:ser>
        <c:dLbls>
          <c:showLegendKey val="0"/>
          <c:showVal val="0"/>
          <c:showCatName val="0"/>
          <c:showSerName val="0"/>
          <c:showPercent val="0"/>
          <c:showBubbleSize val="0"/>
        </c:dLbls>
        <c:marker val="1"/>
        <c:smooth val="0"/>
        <c:axId val="896414464"/>
        <c:axId val="896416000"/>
      </c:lineChart>
      <c:catAx>
        <c:axId val="896377984"/>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96379520"/>
        <c:crosses val="autoZero"/>
        <c:auto val="1"/>
        <c:lblAlgn val="ctr"/>
        <c:lblOffset val="100"/>
        <c:tickLblSkip val="1"/>
        <c:tickMarkSkip val="1"/>
        <c:noMultiLvlLbl val="0"/>
      </c:catAx>
      <c:valAx>
        <c:axId val="896379520"/>
        <c:scaling>
          <c:orientation val="minMax"/>
        </c:scaling>
        <c:delete val="0"/>
        <c:axPos val="r"/>
        <c:title>
          <c:tx>
            <c:rich>
              <a:bodyPr rot="0" vert="horz"/>
              <a:lstStyle/>
              <a:p>
                <a:pPr algn="ctr" rtl="0">
                  <a:defRPr sz="900"/>
                </a:pPr>
                <a:r>
                  <a:rPr lang="en-US" sz="900" b="0" i="0" baseline="0">
                    <a:solidFill>
                      <a:schemeClr val="bg1">
                        <a:lumMod val="50000"/>
                      </a:schemeClr>
                    </a:solidFill>
                    <a:effectLst/>
                  </a:rPr>
                  <a:t>BRL/m3</a:t>
                </a:r>
                <a:endParaRPr lang="en-US" sz="900">
                  <a:solidFill>
                    <a:schemeClr val="bg1">
                      <a:lumMod val="50000"/>
                    </a:schemeClr>
                  </a:solidFill>
                  <a:effectLst/>
                </a:endParaRPr>
              </a:p>
            </c:rich>
          </c:tx>
          <c:layout>
            <c:manualLayout>
              <c:xMode val="edge"/>
              <c:yMode val="edge"/>
              <c:x val="0.10439353325515162"/>
              <c:y val="1.7628750252372299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96377984"/>
        <c:crosses val="max"/>
        <c:crossBetween val="midCat"/>
      </c:valAx>
      <c:catAx>
        <c:axId val="896414464"/>
        <c:scaling>
          <c:orientation val="minMax"/>
        </c:scaling>
        <c:delete val="1"/>
        <c:axPos val="b"/>
        <c:majorTickMark val="out"/>
        <c:minorTickMark val="none"/>
        <c:tickLblPos val="nextTo"/>
        <c:crossAx val="896416000"/>
        <c:crosses val="autoZero"/>
        <c:auto val="1"/>
        <c:lblAlgn val="ctr"/>
        <c:lblOffset val="100"/>
        <c:noMultiLvlLbl val="0"/>
      </c:catAx>
      <c:valAx>
        <c:axId val="896416000"/>
        <c:scaling>
          <c:orientation val="minMax"/>
        </c:scaling>
        <c:delete val="0"/>
        <c:axPos val="l"/>
        <c:title>
          <c:tx>
            <c:rich>
              <a:bodyPr rot="0" vert="horz"/>
              <a:lstStyle/>
              <a:p>
                <a:pPr algn="ctr" rtl="0">
                  <a:defRPr sz="900"/>
                </a:pPr>
                <a:r>
                  <a:rPr lang="en-US" sz="900"/>
                  <a:t>000</a:t>
                </a:r>
                <a:r>
                  <a:rPr lang="en-US" sz="900" baseline="0"/>
                  <a:t> m3</a:t>
                </a:r>
                <a:endParaRPr lang="en-US" sz="900"/>
              </a:p>
            </c:rich>
          </c:tx>
          <c:layout>
            <c:manualLayout>
              <c:xMode val="edge"/>
              <c:yMode val="edge"/>
              <c:x val="0.73404255319148937"/>
              <c:y val="2.1731314354936401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96414464"/>
        <c:crosses val="autoZero"/>
        <c:crossBetween val="midCat"/>
      </c:valAx>
      <c:spPr>
        <a:noFill/>
        <a:ln w="25400">
          <a:noFill/>
        </a:ln>
      </c:spPr>
    </c:plotArea>
    <c:legend>
      <c:legendPos val="r"/>
      <c:legendEntry>
        <c:idx val="1"/>
        <c:delete val="1"/>
      </c:legendEntry>
      <c:layout>
        <c:manualLayout>
          <c:xMode val="edge"/>
          <c:yMode val="edge"/>
          <c:x val="0.25738722659667546"/>
          <c:y val="0.64101177901542783"/>
          <c:w val="0.57638999125109369"/>
          <c:h val="0.17566145770240257"/>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589676290463686E-2"/>
          <c:y val="4.7022015548490691E-2"/>
          <c:w val="0.79044564741907264"/>
          <c:h val="0.80173115283666463"/>
        </c:manualLayout>
      </c:layout>
      <c:areaChart>
        <c:grouping val="standard"/>
        <c:varyColors val="0"/>
        <c:ser>
          <c:idx val="1"/>
          <c:order val="0"/>
          <c:tx>
            <c:v>Bull-Bear Scenario</c:v>
          </c:tx>
          <c:spPr>
            <a:solidFill>
              <a:schemeClr val="bg1">
                <a:lumMod val="85000"/>
              </a:schemeClr>
            </a:solidFill>
            <a:ln w="25400">
              <a:noFill/>
            </a:ln>
          </c:spPr>
          <c:cat>
            <c:strRef>
              <c:f>ChartSupport!$K$7:$W$7</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ChartSupport!$K$223:$W$223</c:f>
              <c:numCache>
                <c:formatCode>#,##0.0</c:formatCode>
                <c:ptCount val="13"/>
                <c:pt idx="0">
                  <c:v>260.60000000000002</c:v>
                </c:pt>
                <c:pt idx="1">
                  <c:v>445.5</c:v>
                </c:pt>
                <c:pt idx="2">
                  <c:v>639</c:v>
                </c:pt>
                <c:pt idx="3">
                  <c:v>831.2</c:v>
                </c:pt>
                <c:pt idx="4">
                  <c:v>914.5</c:v>
                </c:pt>
                <c:pt idx="5">
                  <c:v>898.55000000000007</c:v>
                </c:pt>
                <c:pt idx="6">
                  <c:v>898.55000000000007</c:v>
                </c:pt>
                <c:pt idx="7">
                  <c:v>919.14177083333345</c:v>
                </c:pt>
                <c:pt idx="8">
                  <c:v>939.77556568877571</c:v>
                </c:pt>
                <c:pt idx="9">
                  <c:v>960.45062813392883</c:v>
                </c:pt>
                <c:pt idx="10">
                  <c:v>981.16622991720953</c:v>
                </c:pt>
                <c:pt idx="11">
                  <c:v>1001.9216693962273</c:v>
                </c:pt>
                <c:pt idx="12">
                  <c:v>1022.7162700818093</c:v>
                </c:pt>
              </c:numCache>
            </c:numRef>
          </c:val>
        </c:ser>
        <c:ser>
          <c:idx val="3"/>
          <c:order val="1"/>
          <c:tx>
            <c:strRef>
              <c:f>ChartSupport!$A$163</c:f>
              <c:strCache>
                <c:ptCount val="1"/>
                <c:pt idx="0">
                  <c:v>Bear</c:v>
                </c:pt>
              </c:strCache>
            </c:strRef>
          </c:tx>
          <c:spPr>
            <a:solidFill>
              <a:schemeClr val="bg1"/>
            </a:solidFill>
            <a:ln w="25400">
              <a:noFill/>
            </a:ln>
          </c:spPr>
          <c:cat>
            <c:strRef>
              <c:f>ChartSupport!$K$7:$W$7</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ChartSupport!$K$221:$W$221</c:f>
              <c:numCache>
                <c:formatCode>#,##0.0</c:formatCode>
                <c:ptCount val="13"/>
                <c:pt idx="0">
                  <c:v>260.60000000000002</c:v>
                </c:pt>
                <c:pt idx="1">
                  <c:v>445.5</c:v>
                </c:pt>
                <c:pt idx="2">
                  <c:v>639</c:v>
                </c:pt>
                <c:pt idx="3">
                  <c:v>831.2</c:v>
                </c:pt>
                <c:pt idx="4">
                  <c:v>914.5</c:v>
                </c:pt>
                <c:pt idx="5">
                  <c:v>901.45</c:v>
                </c:pt>
                <c:pt idx="6">
                  <c:v>901.45</c:v>
                </c:pt>
                <c:pt idx="7">
                  <c:v>901.45</c:v>
                </c:pt>
                <c:pt idx="8">
                  <c:v>918.3521874999999</c:v>
                </c:pt>
                <c:pt idx="9">
                  <c:v>935.21988073979583</c:v>
                </c:pt>
                <c:pt idx="10">
                  <c:v>952.05383859311212</c:v>
                </c:pt>
                <c:pt idx="11">
                  <c:v>968.85478868593168</c:v>
                </c:pt>
                <c:pt idx="12">
                  <c:v>985.62342925934195</c:v>
                </c:pt>
              </c:numCache>
            </c:numRef>
          </c:val>
        </c:ser>
        <c:dLbls>
          <c:showLegendKey val="0"/>
          <c:showVal val="0"/>
          <c:showCatName val="0"/>
          <c:showSerName val="0"/>
          <c:showPercent val="0"/>
          <c:showBubbleSize val="0"/>
        </c:dLbls>
        <c:axId val="896453248"/>
        <c:axId val="896463232"/>
      </c:areaChart>
      <c:lineChart>
        <c:grouping val="standard"/>
        <c:varyColors val="0"/>
        <c:ser>
          <c:idx val="2"/>
          <c:order val="2"/>
          <c:tx>
            <c:strRef>
              <c:f>ChartSupport!$A$220</c:f>
              <c:strCache>
                <c:ptCount val="1"/>
                <c:pt idx="0">
                  <c:v>Cogeneration ('000 MWh)</c:v>
                </c:pt>
              </c:strCache>
            </c:strRef>
          </c:tx>
          <c:spPr>
            <a:ln w="25400">
              <a:solidFill>
                <a:schemeClr val="accent1"/>
              </a:solidFill>
              <a:prstDash val="solid"/>
            </a:ln>
          </c:spPr>
          <c:marker>
            <c:symbol val="none"/>
          </c:marker>
          <c:cat>
            <c:strRef>
              <c:f>ChartSupport!$K$12:$W$12</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ChartSupport!$K$222:$W$222</c:f>
              <c:numCache>
                <c:formatCode>#,##0.0</c:formatCode>
                <c:ptCount val="13"/>
                <c:pt idx="0">
                  <c:v>260.60000000000002</c:v>
                </c:pt>
                <c:pt idx="1">
                  <c:v>445.5</c:v>
                </c:pt>
                <c:pt idx="2">
                  <c:v>639</c:v>
                </c:pt>
                <c:pt idx="3">
                  <c:v>831.2</c:v>
                </c:pt>
                <c:pt idx="4">
                  <c:v>914.5</c:v>
                </c:pt>
                <c:pt idx="5">
                  <c:v>900.00000000000011</c:v>
                </c:pt>
                <c:pt idx="6">
                  <c:v>900.00000000000011</c:v>
                </c:pt>
                <c:pt idx="7">
                  <c:v>918.75</c:v>
                </c:pt>
                <c:pt idx="8">
                  <c:v>937.5</c:v>
                </c:pt>
                <c:pt idx="9">
                  <c:v>956.25</c:v>
                </c:pt>
                <c:pt idx="10">
                  <c:v>974.99999999999989</c:v>
                </c:pt>
                <c:pt idx="11">
                  <c:v>993.74999999999977</c:v>
                </c:pt>
                <c:pt idx="12">
                  <c:v>1012.4999999999998</c:v>
                </c:pt>
              </c:numCache>
            </c:numRef>
          </c:val>
          <c:smooth val="0"/>
        </c:ser>
        <c:dLbls>
          <c:showLegendKey val="0"/>
          <c:showVal val="0"/>
          <c:showCatName val="0"/>
          <c:showSerName val="0"/>
          <c:showPercent val="0"/>
          <c:showBubbleSize val="0"/>
        </c:dLbls>
        <c:marker val="1"/>
        <c:smooth val="0"/>
        <c:axId val="896453248"/>
        <c:axId val="896463232"/>
      </c:lineChart>
      <c:lineChart>
        <c:grouping val="standard"/>
        <c:varyColors val="0"/>
        <c:ser>
          <c:idx val="0"/>
          <c:order val="3"/>
          <c:tx>
            <c:strRef>
              <c:f>ChartSupport!$A$182</c:f>
              <c:strCache>
                <c:ptCount val="1"/>
                <c:pt idx="0">
                  <c:v>Cogen Prices R$/MWh)</c:v>
                </c:pt>
              </c:strCache>
            </c:strRef>
          </c:tx>
          <c:spPr>
            <a:ln w="15875">
              <a:solidFill>
                <a:srgbClr val="FF0000"/>
              </a:solidFill>
              <a:prstDash val="sysDash"/>
            </a:ln>
          </c:spPr>
          <c:marker>
            <c:symbol val="none"/>
          </c:marker>
          <c:cat>
            <c:strRef>
              <c:f>ChartSupport!$K$12:$W$12</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ChartSupport!$K$184:$W$184</c:f>
              <c:numCache>
                <c:formatCode>0</c:formatCode>
                <c:ptCount val="13"/>
                <c:pt idx="0">
                  <c:v>170.40675364543361</c:v>
                </c:pt>
                <c:pt idx="1">
                  <c:v>173.45230078563412</c:v>
                </c:pt>
                <c:pt idx="2">
                  <c:v>295.95305164319251</c:v>
                </c:pt>
                <c:pt idx="3">
                  <c:v>223.25914340712222</c:v>
                </c:pt>
                <c:pt idx="4">
                  <c:v>166.30836522689995</c:v>
                </c:pt>
                <c:pt idx="5">
                  <c:v>183.49999999999997</c:v>
                </c:pt>
                <c:pt idx="6">
                  <c:v>181.66666666666666</c:v>
                </c:pt>
                <c:pt idx="7">
                  <c:v>187.24</c:v>
                </c:pt>
                <c:pt idx="8">
                  <c:v>193.05856</c:v>
                </c:pt>
                <c:pt idx="9">
                  <c:v>199.13313664</c:v>
                </c:pt>
                <c:pt idx="10">
                  <c:v>205.47499465216001</c:v>
                </c:pt>
                <c:pt idx="11">
                  <c:v>212.09589441685506</c:v>
                </c:pt>
                <c:pt idx="12">
                  <c:v>219.00811377119669</c:v>
                </c:pt>
              </c:numCache>
            </c:numRef>
          </c:val>
          <c:smooth val="0"/>
        </c:ser>
        <c:dLbls>
          <c:showLegendKey val="0"/>
          <c:showVal val="0"/>
          <c:showCatName val="0"/>
          <c:showSerName val="0"/>
          <c:showPercent val="0"/>
          <c:showBubbleSize val="0"/>
        </c:dLbls>
        <c:marker val="1"/>
        <c:smooth val="0"/>
        <c:axId val="896465152"/>
        <c:axId val="895942656"/>
      </c:lineChart>
      <c:catAx>
        <c:axId val="896453248"/>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a:pPr>
            <a:endParaRPr lang="en-US"/>
          </a:p>
        </c:txPr>
        <c:crossAx val="896463232"/>
        <c:crosses val="autoZero"/>
        <c:auto val="1"/>
        <c:lblAlgn val="ctr"/>
        <c:lblOffset val="100"/>
        <c:tickLblSkip val="1"/>
        <c:tickMarkSkip val="1"/>
        <c:noMultiLvlLbl val="0"/>
      </c:catAx>
      <c:valAx>
        <c:axId val="896463232"/>
        <c:scaling>
          <c:orientation val="minMax"/>
        </c:scaling>
        <c:delete val="0"/>
        <c:axPos val="r"/>
        <c:title>
          <c:tx>
            <c:rich>
              <a:bodyPr rot="0" vert="horz"/>
              <a:lstStyle/>
              <a:p>
                <a:pPr algn="ctr" rtl="0">
                  <a:defRPr/>
                </a:pPr>
                <a:r>
                  <a:rPr lang="en-US"/>
                  <a:t>BRL/MWh</a:t>
                </a:r>
              </a:p>
            </c:rich>
          </c:tx>
          <c:layout>
            <c:manualLayout>
              <c:xMode val="edge"/>
              <c:yMode val="edge"/>
              <c:x val="0.10439361959213778"/>
              <c:y val="1.3870274463340023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6453248"/>
        <c:crosses val="max"/>
        <c:crossBetween val="midCat"/>
      </c:valAx>
      <c:catAx>
        <c:axId val="896465152"/>
        <c:scaling>
          <c:orientation val="minMax"/>
        </c:scaling>
        <c:delete val="1"/>
        <c:axPos val="b"/>
        <c:majorTickMark val="out"/>
        <c:minorTickMark val="none"/>
        <c:tickLblPos val="nextTo"/>
        <c:crossAx val="895942656"/>
        <c:crosses val="autoZero"/>
        <c:auto val="1"/>
        <c:lblAlgn val="ctr"/>
        <c:lblOffset val="100"/>
        <c:noMultiLvlLbl val="0"/>
      </c:catAx>
      <c:valAx>
        <c:axId val="895942656"/>
        <c:scaling>
          <c:orientation val="minMax"/>
        </c:scaling>
        <c:delete val="0"/>
        <c:axPos val="l"/>
        <c:title>
          <c:tx>
            <c:rich>
              <a:bodyPr rot="0" vert="horz"/>
              <a:lstStyle/>
              <a:p>
                <a:pPr algn="ctr" rtl="0">
                  <a:defRPr/>
                </a:pPr>
                <a:r>
                  <a:rPr lang="en-US"/>
                  <a:t>000 MWh</a:t>
                </a:r>
              </a:p>
            </c:rich>
          </c:tx>
          <c:layout>
            <c:manualLayout>
              <c:xMode val="edge"/>
              <c:yMode val="edge"/>
              <c:x val="0.70211977163738559"/>
              <c:y val="3.0051099088664292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896465152"/>
        <c:crosses val="autoZero"/>
        <c:crossBetween val="midCat"/>
      </c:valAx>
      <c:spPr>
        <a:noFill/>
        <a:ln w="25400">
          <a:noFill/>
        </a:ln>
      </c:spPr>
    </c:plotArea>
    <c:legend>
      <c:legendPos val="r"/>
      <c:legendEntry>
        <c:idx val="1"/>
        <c:delete val="1"/>
      </c:legendEntry>
      <c:layout>
        <c:manualLayout>
          <c:xMode val="edge"/>
          <c:yMode val="edge"/>
          <c:x val="0.16856300962379703"/>
          <c:y val="0.63546924012547223"/>
          <c:w val="0.57638999125109369"/>
          <c:h val="0.1879691500100949"/>
        </c:manualLayout>
      </c:layout>
      <c:overlay val="0"/>
      <c:spPr>
        <a:no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682642202593321E-2"/>
          <c:y val="4.7318611987381701E-2"/>
          <c:w val="0.87566363793722601"/>
          <c:h val="0.79495268138801267"/>
        </c:manualLayout>
      </c:layout>
      <c:lineChart>
        <c:grouping val="standard"/>
        <c:varyColors val="0"/>
        <c:ser>
          <c:idx val="2"/>
          <c:order val="0"/>
          <c:tx>
            <c:strRef>
              <c:f>ChartSupport!$A$361</c:f>
              <c:strCache>
                <c:ptCount val="1"/>
                <c:pt idx="0">
                  <c:v>EBITDA</c:v>
                </c:pt>
              </c:strCache>
            </c:strRef>
          </c:tx>
          <c:spPr>
            <a:ln w="25400">
              <a:solidFill>
                <a:schemeClr val="accent1"/>
              </a:solidFill>
              <a:prstDash val="solid"/>
            </a:ln>
          </c:spPr>
          <c:marker>
            <c:symbol val="none"/>
          </c:marke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ChartSupport!$B$361:$BY$361</c:f>
              <c:numCache>
                <c:formatCode>#,##0_);\(#,##0\)</c:formatCode>
                <c:ptCount val="48"/>
                <c:pt idx="0">
                  <c:v>78.36099999999999</c:v>
                </c:pt>
                <c:pt idx="1">
                  <c:v>83.033999999999992</c:v>
                </c:pt>
                <c:pt idx="2">
                  <c:v>55.611999999999995</c:v>
                </c:pt>
                <c:pt idx="3">
                  <c:v>39.228999999999999</c:v>
                </c:pt>
                <c:pt idx="4">
                  <c:v>27.026000000000032</c:v>
                </c:pt>
                <c:pt idx="5">
                  <c:v>5.149000000000008</c:v>
                </c:pt>
                <c:pt idx="6">
                  <c:v>27.181999999999995</c:v>
                </c:pt>
                <c:pt idx="7">
                  <c:v>69.016000000000005</c:v>
                </c:pt>
                <c:pt idx="8">
                  <c:v>4.6989999999999945</c:v>
                </c:pt>
                <c:pt idx="9">
                  <c:v>42.400999999999996</c:v>
                </c:pt>
                <c:pt idx="10">
                  <c:v>94.779000000000011</c:v>
                </c:pt>
                <c:pt idx="11">
                  <c:v>101.29999999999998</c:v>
                </c:pt>
                <c:pt idx="12">
                  <c:v>41.838999999999984</c:v>
                </c:pt>
                <c:pt idx="13">
                  <c:v>85.920999999999992</c:v>
                </c:pt>
                <c:pt idx="14">
                  <c:v>124.77999999999999</c:v>
                </c:pt>
                <c:pt idx="15">
                  <c:v>148.78200000000001</c:v>
                </c:pt>
                <c:pt idx="16">
                  <c:v>127.43999999999996</c:v>
                </c:pt>
                <c:pt idx="17">
                  <c:v>145.49100000000001</c:v>
                </c:pt>
                <c:pt idx="18">
                  <c:v>193.81699999999998</c:v>
                </c:pt>
                <c:pt idx="19">
                  <c:v>99.375999999999934</c:v>
                </c:pt>
                <c:pt idx="20">
                  <c:v>147.10900000000004</c:v>
                </c:pt>
                <c:pt idx="21">
                  <c:v>185.75399999999996</c:v>
                </c:pt>
                <c:pt idx="22">
                  <c:v>179.34899999999999</c:v>
                </c:pt>
                <c:pt idx="23">
                  <c:v>70.423000000000016</c:v>
                </c:pt>
                <c:pt idx="24">
                  <c:v>119.393</c:v>
                </c:pt>
                <c:pt idx="25">
                  <c:v>232.78800000000001</c:v>
                </c:pt>
                <c:pt idx="26">
                  <c:v>156.49500000000003</c:v>
                </c:pt>
                <c:pt idx="27">
                  <c:v>143.08399999999995</c:v>
                </c:pt>
                <c:pt idx="28">
                  <c:v>212.91400000000002</c:v>
                </c:pt>
                <c:pt idx="29">
                  <c:v>238.49600000000001</c:v>
                </c:pt>
                <c:pt idx="30">
                  <c:v>163.36400000000003</c:v>
                </c:pt>
                <c:pt idx="31">
                  <c:v>136.42899999999997</c:v>
                </c:pt>
                <c:pt idx="32">
                  <c:v>224.23700000000002</c:v>
                </c:pt>
                <c:pt idx="33">
                  <c:v>308.75700000000001</c:v>
                </c:pt>
                <c:pt idx="34">
                  <c:v>278.77199999999999</c:v>
                </c:pt>
                <c:pt idx="35">
                  <c:v>288.76900000000012</c:v>
                </c:pt>
                <c:pt idx="36">
                  <c:v>196.154</c:v>
                </c:pt>
                <c:pt idx="37">
                  <c:v>339.14699999999993</c:v>
                </c:pt>
                <c:pt idx="38">
                  <c:v>352.04399999999998</c:v>
                </c:pt>
                <c:pt idx="39">
                  <c:v>348.50799999999992</c:v>
                </c:pt>
                <c:pt idx="40">
                  <c:v>277.77200000000005</c:v>
                </c:pt>
                <c:pt idx="41">
                  <c:v>317.267</c:v>
                </c:pt>
                <c:pt idx="42">
                  <c:v>319.94599999999997</c:v>
                </c:pt>
                <c:pt idx="43">
                  <c:v>529.41200000000003</c:v>
                </c:pt>
                <c:pt idx="44">
                  <c:v>402.64400000000001</c:v>
                </c:pt>
                <c:pt idx="45">
                  <c:v>475.22310874946385</c:v>
                </c:pt>
                <c:pt idx="46">
                  <c:v>419.05571274517035</c:v>
                </c:pt>
                <c:pt idx="47">
                  <c:v>462.0992313088293</c:v>
                </c:pt>
              </c:numCache>
            </c:numRef>
          </c:val>
          <c:smooth val="0"/>
        </c:ser>
        <c:dLbls>
          <c:showLegendKey val="0"/>
          <c:showVal val="0"/>
          <c:showCatName val="0"/>
          <c:showSerName val="0"/>
          <c:showPercent val="0"/>
          <c:showBubbleSize val="0"/>
        </c:dLbls>
        <c:marker val="1"/>
        <c:smooth val="0"/>
        <c:axId val="895996288"/>
        <c:axId val="895997824"/>
      </c:lineChart>
      <c:scatterChart>
        <c:scatterStyle val="lineMarker"/>
        <c:varyColors val="0"/>
        <c:ser>
          <c:idx val="0"/>
          <c:order val="1"/>
          <c:tx>
            <c:v>Line1</c:v>
          </c:tx>
          <c:spPr>
            <a:ln w="25400">
              <a:solidFill>
                <a:srgbClr val="FF0000"/>
              </a:solidFill>
            </a:ln>
          </c:spPr>
          <c:marker>
            <c:symbol val="none"/>
          </c:marker>
          <c:xVal>
            <c:numRef>
              <c:f>ChartSupport!$U$428:$V$428</c:f>
              <c:numCache>
                <c:formatCode>General</c:formatCode>
                <c:ptCount val="2"/>
                <c:pt idx="0">
                  <c:v>38</c:v>
                </c:pt>
                <c:pt idx="1">
                  <c:v>38</c:v>
                </c:pt>
              </c:numCache>
            </c:numRef>
          </c:xVal>
          <c:yVal>
            <c:numRef>
              <c:f>ChartSupport!$U$431:$V$431</c:f>
              <c:numCache>
                <c:formatCode>General</c:formatCode>
                <c:ptCount val="2"/>
                <c:pt idx="0">
                  <c:v>0</c:v>
                </c:pt>
                <c:pt idx="1">
                  <c:v>10000</c:v>
                </c:pt>
              </c:numCache>
            </c:numRef>
          </c:yVal>
          <c:smooth val="0"/>
        </c:ser>
        <c:ser>
          <c:idx val="1"/>
          <c:order val="2"/>
          <c:tx>
            <c:v>Line2</c:v>
          </c:tx>
          <c:spPr>
            <a:ln w="25400">
              <a:solidFill>
                <a:srgbClr val="FF0000"/>
              </a:solidFill>
            </a:ln>
          </c:spPr>
          <c:marker>
            <c:symbol val="none"/>
          </c:marker>
          <c:xVal>
            <c:numRef>
              <c:f>ChartSupport!$U$429:$V$429</c:f>
              <c:numCache>
                <c:formatCode>General</c:formatCode>
                <c:ptCount val="2"/>
                <c:pt idx="0">
                  <c:v>42</c:v>
                </c:pt>
                <c:pt idx="1">
                  <c:v>42</c:v>
                </c:pt>
              </c:numCache>
            </c:numRef>
          </c:xVal>
          <c:yVal>
            <c:numRef>
              <c:f>ChartSupport!$U$431:$V$431</c:f>
              <c:numCache>
                <c:formatCode>General</c:formatCode>
                <c:ptCount val="2"/>
                <c:pt idx="0">
                  <c:v>0</c:v>
                </c:pt>
                <c:pt idx="1">
                  <c:v>10000</c:v>
                </c:pt>
              </c:numCache>
            </c:numRef>
          </c:yVal>
          <c:smooth val="0"/>
        </c:ser>
        <c:ser>
          <c:idx val="3"/>
          <c:order val="3"/>
          <c:tx>
            <c:v>Line3</c:v>
          </c:tx>
          <c:spPr>
            <a:ln w="25400">
              <a:solidFill>
                <a:srgbClr val="FF0000"/>
              </a:solidFill>
              <a:prstDash val="dash"/>
            </a:ln>
          </c:spPr>
          <c:marker>
            <c:symbol val="none"/>
          </c:marker>
          <c:xVal>
            <c:numRef>
              <c:f>ChartSupport!$U$430:$V$430</c:f>
              <c:numCache>
                <c:formatCode>General</c:formatCode>
                <c:ptCount val="2"/>
                <c:pt idx="0">
                  <c:v>46</c:v>
                </c:pt>
                <c:pt idx="1">
                  <c:v>46</c:v>
                </c:pt>
              </c:numCache>
            </c:numRef>
          </c:xVal>
          <c:yVal>
            <c:numRef>
              <c:f>ChartSupport!$U$431:$V$431</c:f>
              <c:numCache>
                <c:formatCode>General</c:formatCode>
                <c:ptCount val="2"/>
                <c:pt idx="0">
                  <c:v>0</c:v>
                </c:pt>
                <c:pt idx="1">
                  <c:v>10000</c:v>
                </c:pt>
              </c:numCache>
            </c:numRef>
          </c:yVal>
          <c:smooth val="0"/>
        </c:ser>
        <c:dLbls>
          <c:showLegendKey val="0"/>
          <c:showVal val="0"/>
          <c:showCatName val="0"/>
          <c:showSerName val="0"/>
          <c:showPercent val="0"/>
          <c:showBubbleSize val="0"/>
        </c:dLbls>
        <c:axId val="896000000"/>
        <c:axId val="896001536"/>
      </c:scatterChart>
      <c:catAx>
        <c:axId val="895996288"/>
        <c:scaling>
          <c:orientation val="minMax"/>
        </c:scaling>
        <c:delete val="0"/>
        <c:axPos val="b"/>
        <c:numFmt formatCode="mmm\-yy" sourceLinked="0"/>
        <c:majorTickMark val="out"/>
        <c:minorTickMark val="none"/>
        <c:tickLblPos val="nextTo"/>
        <c:spPr>
          <a:ln w="3175">
            <a:solidFill>
              <a:srgbClr val="808080"/>
            </a:solidFill>
            <a:prstDash val="solid"/>
          </a:ln>
        </c:spPr>
        <c:txPr>
          <a:bodyPr rot="-5400000" vert="horz"/>
          <a:lstStyle/>
          <a:p>
            <a:pPr>
              <a:defRPr/>
            </a:pPr>
            <a:endParaRPr lang="en-US"/>
          </a:p>
        </c:txPr>
        <c:crossAx val="895997824"/>
        <c:crosses val="autoZero"/>
        <c:auto val="1"/>
        <c:lblAlgn val="ctr"/>
        <c:lblOffset val="100"/>
        <c:tickLblSkip val="2"/>
        <c:tickMarkSkip val="1"/>
        <c:noMultiLvlLbl val="0"/>
      </c:catAx>
      <c:valAx>
        <c:axId val="895997824"/>
        <c:scaling>
          <c:orientation val="minMax"/>
        </c:scaling>
        <c:delete val="0"/>
        <c:axPos val="l"/>
        <c:title>
          <c:tx>
            <c:rich>
              <a:bodyPr rot="0" vert="horz"/>
              <a:lstStyle/>
              <a:p>
                <a:pPr>
                  <a:defRPr/>
                </a:pPr>
                <a:r>
                  <a:rPr lang="en-US"/>
                  <a:t>R$ mn</a:t>
                </a:r>
              </a:p>
            </c:rich>
          </c:tx>
          <c:layout>
            <c:manualLayout>
              <c:xMode val="edge"/>
              <c:yMode val="edge"/>
              <c:x val="0.10691825664310349"/>
              <c:y val="4.7260895604744564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5996288"/>
        <c:crosses val="autoZero"/>
        <c:crossBetween val="midCat"/>
      </c:valAx>
      <c:valAx>
        <c:axId val="896000000"/>
        <c:scaling>
          <c:orientation val="minMax"/>
        </c:scaling>
        <c:delete val="1"/>
        <c:axPos val="b"/>
        <c:numFmt formatCode="General" sourceLinked="1"/>
        <c:majorTickMark val="out"/>
        <c:minorTickMark val="none"/>
        <c:tickLblPos val="nextTo"/>
        <c:crossAx val="896001536"/>
        <c:crosses val="autoZero"/>
        <c:crossBetween val="midCat"/>
      </c:valAx>
      <c:valAx>
        <c:axId val="896001536"/>
        <c:scaling>
          <c:orientation val="minMax"/>
          <c:max val="10000"/>
        </c:scaling>
        <c:delete val="0"/>
        <c:axPos val="l"/>
        <c:numFmt formatCode="General" sourceLinked="1"/>
        <c:majorTickMark val="none"/>
        <c:minorTickMark val="none"/>
        <c:tickLblPos val="none"/>
        <c:spPr>
          <a:ln>
            <a:noFill/>
          </a:ln>
        </c:spPr>
        <c:crossAx val="896000000"/>
        <c:crosses val="autoZero"/>
        <c:crossBetween val="midCat"/>
      </c:valAx>
      <c:spPr>
        <a:noFill/>
        <a:ln w="25400">
          <a:noFill/>
        </a:ln>
      </c:spPr>
    </c:plotArea>
    <c:legend>
      <c:legendPos val="t"/>
      <c:legendEntry>
        <c:idx val="1"/>
        <c:delete val="1"/>
      </c:legendEntry>
      <c:legendEntry>
        <c:idx val="2"/>
        <c:delete val="1"/>
      </c:legendEntry>
      <c:legendEntry>
        <c:idx val="3"/>
        <c:delete val="1"/>
      </c:legendEntry>
      <c:layout>
        <c:manualLayout>
          <c:xMode val="edge"/>
          <c:yMode val="edge"/>
          <c:x val="0.30074337654028238"/>
          <c:y val="5.637394328733502E-2"/>
          <c:w val="0.24169980384288348"/>
          <c:h val="6.916444323645847E-2"/>
        </c:manualLayout>
      </c:layout>
      <c:overlay val="0"/>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6037248"/>
        <c:axId val="896038784"/>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6040320"/>
        <c:axId val="896042112"/>
      </c:lineChart>
      <c:catAx>
        <c:axId val="89603724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6038784"/>
        <c:crosses val="autoZero"/>
        <c:auto val="1"/>
        <c:lblAlgn val="ctr"/>
        <c:lblOffset val="100"/>
        <c:tickLblSkip val="1"/>
        <c:tickMarkSkip val="1"/>
        <c:noMultiLvlLbl val="0"/>
      </c:catAx>
      <c:valAx>
        <c:axId val="89603878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6037248"/>
        <c:crosses val="autoZero"/>
        <c:crossBetween val="between"/>
      </c:valAx>
      <c:catAx>
        <c:axId val="896040320"/>
        <c:scaling>
          <c:orientation val="minMax"/>
        </c:scaling>
        <c:delete val="1"/>
        <c:axPos val="b"/>
        <c:numFmt formatCode="General" sourceLinked="1"/>
        <c:majorTickMark val="out"/>
        <c:minorTickMark val="none"/>
        <c:tickLblPos val="nextTo"/>
        <c:crossAx val="896042112"/>
        <c:crosses val="autoZero"/>
        <c:auto val="1"/>
        <c:lblAlgn val="ctr"/>
        <c:lblOffset val="100"/>
        <c:noMultiLvlLbl val="0"/>
      </c:catAx>
      <c:valAx>
        <c:axId val="896042112"/>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604032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6068224"/>
        <c:axId val="896074112"/>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6075648"/>
        <c:axId val="896077184"/>
      </c:lineChart>
      <c:catAx>
        <c:axId val="896068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6074112"/>
        <c:crosses val="autoZero"/>
        <c:auto val="1"/>
        <c:lblAlgn val="ctr"/>
        <c:lblOffset val="100"/>
        <c:tickLblSkip val="1"/>
        <c:tickMarkSkip val="1"/>
        <c:noMultiLvlLbl val="0"/>
      </c:catAx>
      <c:valAx>
        <c:axId val="896074112"/>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6068224"/>
        <c:crosses val="autoZero"/>
        <c:crossBetween val="between"/>
      </c:valAx>
      <c:catAx>
        <c:axId val="896075648"/>
        <c:scaling>
          <c:orientation val="minMax"/>
        </c:scaling>
        <c:delete val="1"/>
        <c:axPos val="b"/>
        <c:numFmt formatCode="General" sourceLinked="1"/>
        <c:majorTickMark val="out"/>
        <c:minorTickMark val="none"/>
        <c:tickLblPos val="nextTo"/>
        <c:crossAx val="896077184"/>
        <c:crosses val="autoZero"/>
        <c:auto val="1"/>
        <c:lblAlgn val="ctr"/>
        <c:lblOffset val="100"/>
        <c:noMultiLvlLbl val="0"/>
      </c:catAx>
      <c:valAx>
        <c:axId val="896077184"/>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6075648"/>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6124032"/>
        <c:axId val="896125568"/>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6131456"/>
        <c:axId val="896132992"/>
      </c:lineChart>
      <c:catAx>
        <c:axId val="896124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6125568"/>
        <c:crosses val="autoZero"/>
        <c:auto val="1"/>
        <c:lblAlgn val="ctr"/>
        <c:lblOffset val="100"/>
        <c:tickLblSkip val="1"/>
        <c:tickMarkSkip val="1"/>
        <c:noMultiLvlLbl val="0"/>
      </c:catAx>
      <c:valAx>
        <c:axId val="896125568"/>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6124032"/>
        <c:crosses val="autoZero"/>
        <c:crossBetween val="between"/>
      </c:valAx>
      <c:catAx>
        <c:axId val="896131456"/>
        <c:scaling>
          <c:orientation val="minMax"/>
        </c:scaling>
        <c:delete val="1"/>
        <c:axPos val="b"/>
        <c:numFmt formatCode="General" sourceLinked="1"/>
        <c:majorTickMark val="out"/>
        <c:minorTickMark val="none"/>
        <c:tickLblPos val="nextTo"/>
        <c:crossAx val="896132992"/>
        <c:crosses val="autoZero"/>
        <c:auto val="1"/>
        <c:lblAlgn val="ctr"/>
        <c:lblOffset val="100"/>
        <c:noMultiLvlLbl val="0"/>
      </c:catAx>
      <c:valAx>
        <c:axId val="896132992"/>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6131456"/>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6826752"/>
        <c:axId val="896828544"/>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6830080"/>
        <c:axId val="896835968"/>
      </c:lineChart>
      <c:catAx>
        <c:axId val="896826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6828544"/>
        <c:crosses val="autoZero"/>
        <c:auto val="1"/>
        <c:lblAlgn val="ctr"/>
        <c:lblOffset val="100"/>
        <c:tickLblSkip val="1"/>
        <c:tickMarkSkip val="1"/>
        <c:noMultiLvlLbl val="0"/>
      </c:catAx>
      <c:valAx>
        <c:axId val="89682854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6826752"/>
        <c:crosses val="autoZero"/>
        <c:crossBetween val="between"/>
      </c:valAx>
      <c:catAx>
        <c:axId val="896830080"/>
        <c:scaling>
          <c:orientation val="minMax"/>
        </c:scaling>
        <c:delete val="1"/>
        <c:axPos val="b"/>
        <c:numFmt formatCode="General" sourceLinked="1"/>
        <c:majorTickMark val="out"/>
        <c:minorTickMark val="none"/>
        <c:tickLblPos val="nextTo"/>
        <c:crossAx val="896835968"/>
        <c:crosses val="autoZero"/>
        <c:auto val="1"/>
        <c:lblAlgn val="ctr"/>
        <c:lblOffset val="100"/>
        <c:noMultiLvlLbl val="0"/>
      </c:catAx>
      <c:valAx>
        <c:axId val="896835968"/>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683008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6866176"/>
        <c:axId val="896867712"/>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6873600"/>
        <c:axId val="896875136"/>
      </c:lineChart>
      <c:catAx>
        <c:axId val="896866176"/>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6867712"/>
        <c:crosses val="autoZero"/>
        <c:auto val="1"/>
        <c:lblAlgn val="ctr"/>
        <c:lblOffset val="100"/>
        <c:tickLblSkip val="1"/>
        <c:tickMarkSkip val="1"/>
        <c:noMultiLvlLbl val="0"/>
      </c:catAx>
      <c:valAx>
        <c:axId val="896867712"/>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6866176"/>
        <c:crosses val="autoZero"/>
        <c:crossBetween val="between"/>
      </c:valAx>
      <c:catAx>
        <c:axId val="896873600"/>
        <c:scaling>
          <c:orientation val="minMax"/>
        </c:scaling>
        <c:delete val="1"/>
        <c:axPos val="b"/>
        <c:numFmt formatCode="General" sourceLinked="1"/>
        <c:majorTickMark val="out"/>
        <c:minorTickMark val="none"/>
        <c:tickLblPos val="nextTo"/>
        <c:crossAx val="896875136"/>
        <c:crosses val="autoZero"/>
        <c:auto val="1"/>
        <c:lblAlgn val="ctr"/>
        <c:lblOffset val="100"/>
        <c:noMultiLvlLbl val="0"/>
      </c:catAx>
      <c:valAx>
        <c:axId val="896875136"/>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687360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6897408"/>
        <c:axId val="896898944"/>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6900480"/>
        <c:axId val="896910464"/>
      </c:lineChart>
      <c:catAx>
        <c:axId val="896897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6898944"/>
        <c:crosses val="autoZero"/>
        <c:auto val="1"/>
        <c:lblAlgn val="ctr"/>
        <c:lblOffset val="100"/>
        <c:tickLblSkip val="1"/>
        <c:tickMarkSkip val="1"/>
        <c:noMultiLvlLbl val="0"/>
      </c:catAx>
      <c:valAx>
        <c:axId val="89689894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6897408"/>
        <c:crosses val="autoZero"/>
        <c:crossBetween val="between"/>
      </c:valAx>
      <c:catAx>
        <c:axId val="896900480"/>
        <c:scaling>
          <c:orientation val="minMax"/>
        </c:scaling>
        <c:delete val="1"/>
        <c:axPos val="b"/>
        <c:numFmt formatCode="General" sourceLinked="1"/>
        <c:majorTickMark val="out"/>
        <c:minorTickMark val="none"/>
        <c:tickLblPos val="nextTo"/>
        <c:crossAx val="896910464"/>
        <c:crosses val="autoZero"/>
        <c:auto val="1"/>
        <c:lblAlgn val="ctr"/>
        <c:lblOffset val="100"/>
        <c:noMultiLvlLbl val="0"/>
      </c:catAx>
      <c:valAx>
        <c:axId val="896910464"/>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690048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7145472"/>
        <c:axId val="897151360"/>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7152896"/>
        <c:axId val="897154432"/>
      </c:lineChart>
      <c:catAx>
        <c:axId val="897145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7151360"/>
        <c:crosses val="autoZero"/>
        <c:auto val="1"/>
        <c:lblAlgn val="ctr"/>
        <c:lblOffset val="100"/>
        <c:tickLblSkip val="1"/>
        <c:tickMarkSkip val="1"/>
        <c:noMultiLvlLbl val="0"/>
      </c:catAx>
      <c:valAx>
        <c:axId val="897151360"/>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7145472"/>
        <c:crosses val="autoZero"/>
        <c:crossBetween val="between"/>
      </c:valAx>
      <c:catAx>
        <c:axId val="897152896"/>
        <c:scaling>
          <c:orientation val="minMax"/>
        </c:scaling>
        <c:delete val="1"/>
        <c:axPos val="b"/>
        <c:numFmt formatCode="General" sourceLinked="1"/>
        <c:majorTickMark val="out"/>
        <c:minorTickMark val="none"/>
        <c:tickLblPos val="nextTo"/>
        <c:crossAx val="897154432"/>
        <c:crosses val="autoZero"/>
        <c:auto val="1"/>
        <c:lblAlgn val="ctr"/>
        <c:lblOffset val="100"/>
        <c:noMultiLvlLbl val="0"/>
      </c:catAx>
      <c:valAx>
        <c:axId val="897154432"/>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7152896"/>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7184896"/>
        <c:axId val="897186432"/>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7069440"/>
        <c:axId val="897070976"/>
      </c:lineChart>
      <c:catAx>
        <c:axId val="897184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7186432"/>
        <c:crosses val="autoZero"/>
        <c:auto val="1"/>
        <c:lblAlgn val="ctr"/>
        <c:lblOffset val="100"/>
        <c:tickLblSkip val="1"/>
        <c:tickMarkSkip val="1"/>
        <c:noMultiLvlLbl val="0"/>
      </c:catAx>
      <c:valAx>
        <c:axId val="897186432"/>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7184896"/>
        <c:crosses val="autoZero"/>
        <c:crossBetween val="between"/>
      </c:valAx>
      <c:catAx>
        <c:axId val="897069440"/>
        <c:scaling>
          <c:orientation val="minMax"/>
        </c:scaling>
        <c:delete val="1"/>
        <c:axPos val="b"/>
        <c:numFmt formatCode="General" sourceLinked="1"/>
        <c:majorTickMark val="out"/>
        <c:minorTickMark val="none"/>
        <c:tickLblPos val="nextTo"/>
        <c:crossAx val="897070976"/>
        <c:crosses val="autoZero"/>
        <c:auto val="1"/>
        <c:lblAlgn val="ctr"/>
        <c:lblOffset val="100"/>
        <c:noMultiLvlLbl val="0"/>
      </c:catAx>
      <c:valAx>
        <c:axId val="897070976"/>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706944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7109376"/>
        <c:axId val="897111168"/>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7112704"/>
        <c:axId val="897114496"/>
      </c:lineChart>
      <c:catAx>
        <c:axId val="897109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7111168"/>
        <c:crosses val="autoZero"/>
        <c:auto val="1"/>
        <c:lblAlgn val="ctr"/>
        <c:lblOffset val="100"/>
        <c:tickLblSkip val="1"/>
        <c:tickMarkSkip val="1"/>
        <c:noMultiLvlLbl val="0"/>
      </c:catAx>
      <c:valAx>
        <c:axId val="897111168"/>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7109376"/>
        <c:crosses val="autoZero"/>
        <c:crossBetween val="between"/>
      </c:valAx>
      <c:catAx>
        <c:axId val="897112704"/>
        <c:scaling>
          <c:orientation val="minMax"/>
        </c:scaling>
        <c:delete val="1"/>
        <c:axPos val="b"/>
        <c:numFmt formatCode="General" sourceLinked="1"/>
        <c:majorTickMark val="out"/>
        <c:minorTickMark val="none"/>
        <c:tickLblPos val="nextTo"/>
        <c:crossAx val="897114496"/>
        <c:crosses val="autoZero"/>
        <c:auto val="1"/>
        <c:lblAlgn val="ctr"/>
        <c:lblOffset val="100"/>
        <c:noMultiLvlLbl val="0"/>
      </c:catAx>
      <c:valAx>
        <c:axId val="897114496"/>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7112704"/>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7206144"/>
        <c:axId val="897207680"/>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7213568"/>
        <c:axId val="897215104"/>
      </c:lineChart>
      <c:catAx>
        <c:axId val="897206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7207680"/>
        <c:crosses val="autoZero"/>
        <c:auto val="1"/>
        <c:lblAlgn val="ctr"/>
        <c:lblOffset val="100"/>
        <c:tickLblSkip val="1"/>
        <c:tickMarkSkip val="1"/>
        <c:noMultiLvlLbl val="0"/>
      </c:catAx>
      <c:valAx>
        <c:axId val="897207680"/>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7206144"/>
        <c:crosses val="autoZero"/>
        <c:crossBetween val="between"/>
      </c:valAx>
      <c:catAx>
        <c:axId val="897213568"/>
        <c:scaling>
          <c:orientation val="minMax"/>
        </c:scaling>
        <c:delete val="1"/>
        <c:axPos val="b"/>
        <c:numFmt formatCode="General" sourceLinked="1"/>
        <c:majorTickMark val="out"/>
        <c:minorTickMark val="none"/>
        <c:tickLblPos val="nextTo"/>
        <c:crossAx val="897215104"/>
        <c:crosses val="autoZero"/>
        <c:auto val="1"/>
        <c:lblAlgn val="ctr"/>
        <c:lblOffset val="100"/>
        <c:noMultiLvlLbl val="0"/>
      </c:catAx>
      <c:valAx>
        <c:axId val="897215104"/>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7213568"/>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7245568"/>
        <c:axId val="897247104"/>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7248640"/>
        <c:axId val="897250432"/>
      </c:lineChart>
      <c:catAx>
        <c:axId val="897245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7247104"/>
        <c:crosses val="autoZero"/>
        <c:auto val="1"/>
        <c:lblAlgn val="ctr"/>
        <c:lblOffset val="100"/>
        <c:tickLblSkip val="1"/>
        <c:tickMarkSkip val="1"/>
        <c:noMultiLvlLbl val="0"/>
      </c:catAx>
      <c:valAx>
        <c:axId val="89724710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7245568"/>
        <c:crosses val="autoZero"/>
        <c:crossBetween val="between"/>
      </c:valAx>
      <c:catAx>
        <c:axId val="897248640"/>
        <c:scaling>
          <c:orientation val="minMax"/>
        </c:scaling>
        <c:delete val="1"/>
        <c:axPos val="b"/>
        <c:numFmt formatCode="General" sourceLinked="1"/>
        <c:majorTickMark val="out"/>
        <c:minorTickMark val="none"/>
        <c:tickLblPos val="nextTo"/>
        <c:crossAx val="897250432"/>
        <c:crosses val="autoZero"/>
        <c:auto val="1"/>
        <c:lblAlgn val="ctr"/>
        <c:lblOffset val="100"/>
        <c:noMultiLvlLbl val="0"/>
      </c:catAx>
      <c:valAx>
        <c:axId val="897250432"/>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724864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7288832"/>
        <c:axId val="897298816"/>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7300352"/>
        <c:axId val="897301888"/>
      </c:lineChart>
      <c:catAx>
        <c:axId val="897288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7298816"/>
        <c:crosses val="autoZero"/>
        <c:auto val="1"/>
        <c:lblAlgn val="ctr"/>
        <c:lblOffset val="100"/>
        <c:tickLblSkip val="1"/>
        <c:tickMarkSkip val="1"/>
        <c:noMultiLvlLbl val="0"/>
      </c:catAx>
      <c:valAx>
        <c:axId val="897298816"/>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7288832"/>
        <c:crosses val="autoZero"/>
        <c:crossBetween val="between"/>
      </c:valAx>
      <c:catAx>
        <c:axId val="897300352"/>
        <c:scaling>
          <c:orientation val="minMax"/>
        </c:scaling>
        <c:delete val="1"/>
        <c:axPos val="b"/>
        <c:numFmt formatCode="General" sourceLinked="1"/>
        <c:majorTickMark val="out"/>
        <c:minorTickMark val="none"/>
        <c:tickLblPos val="nextTo"/>
        <c:crossAx val="897301888"/>
        <c:crosses val="autoZero"/>
        <c:auto val="1"/>
        <c:lblAlgn val="ctr"/>
        <c:lblOffset val="100"/>
        <c:noMultiLvlLbl val="0"/>
      </c:catAx>
      <c:valAx>
        <c:axId val="897301888"/>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7300352"/>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7328256"/>
        <c:axId val="897329792"/>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7335680"/>
        <c:axId val="897337216"/>
      </c:lineChart>
      <c:catAx>
        <c:axId val="897328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7329792"/>
        <c:crosses val="autoZero"/>
        <c:auto val="1"/>
        <c:lblAlgn val="ctr"/>
        <c:lblOffset val="100"/>
        <c:tickLblSkip val="1"/>
        <c:tickMarkSkip val="1"/>
        <c:noMultiLvlLbl val="0"/>
      </c:catAx>
      <c:valAx>
        <c:axId val="897329792"/>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7328256"/>
        <c:crosses val="autoZero"/>
        <c:crossBetween val="between"/>
      </c:valAx>
      <c:catAx>
        <c:axId val="897335680"/>
        <c:scaling>
          <c:orientation val="minMax"/>
        </c:scaling>
        <c:delete val="1"/>
        <c:axPos val="b"/>
        <c:numFmt formatCode="General" sourceLinked="1"/>
        <c:majorTickMark val="out"/>
        <c:minorTickMark val="none"/>
        <c:tickLblPos val="nextTo"/>
        <c:crossAx val="897337216"/>
        <c:crosses val="autoZero"/>
        <c:auto val="1"/>
        <c:lblAlgn val="ctr"/>
        <c:lblOffset val="100"/>
        <c:noMultiLvlLbl val="0"/>
      </c:catAx>
      <c:valAx>
        <c:axId val="897337216"/>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733568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7367424"/>
        <c:axId val="897369216"/>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7370752"/>
        <c:axId val="897450368"/>
      </c:lineChart>
      <c:catAx>
        <c:axId val="897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7369216"/>
        <c:crosses val="autoZero"/>
        <c:auto val="1"/>
        <c:lblAlgn val="ctr"/>
        <c:lblOffset val="100"/>
        <c:tickLblSkip val="1"/>
        <c:tickMarkSkip val="1"/>
        <c:noMultiLvlLbl val="0"/>
      </c:catAx>
      <c:valAx>
        <c:axId val="897369216"/>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7367424"/>
        <c:crosses val="autoZero"/>
        <c:crossBetween val="between"/>
      </c:valAx>
      <c:catAx>
        <c:axId val="897370752"/>
        <c:scaling>
          <c:orientation val="minMax"/>
        </c:scaling>
        <c:delete val="1"/>
        <c:axPos val="b"/>
        <c:numFmt formatCode="General" sourceLinked="1"/>
        <c:majorTickMark val="out"/>
        <c:minorTickMark val="none"/>
        <c:tickLblPos val="nextTo"/>
        <c:crossAx val="897450368"/>
        <c:crosses val="autoZero"/>
        <c:auto val="1"/>
        <c:lblAlgn val="ctr"/>
        <c:lblOffset val="100"/>
        <c:noMultiLvlLbl val="0"/>
      </c:catAx>
      <c:valAx>
        <c:axId val="897450368"/>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7370752"/>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7488768"/>
        <c:axId val="897490304"/>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7496192"/>
        <c:axId val="897497728"/>
      </c:lineChart>
      <c:catAx>
        <c:axId val="897488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7490304"/>
        <c:crosses val="autoZero"/>
        <c:auto val="1"/>
        <c:lblAlgn val="ctr"/>
        <c:lblOffset val="100"/>
        <c:tickLblSkip val="1"/>
        <c:tickMarkSkip val="1"/>
        <c:noMultiLvlLbl val="0"/>
      </c:catAx>
      <c:valAx>
        <c:axId val="89749030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7488768"/>
        <c:crosses val="autoZero"/>
        <c:crossBetween val="between"/>
      </c:valAx>
      <c:catAx>
        <c:axId val="897496192"/>
        <c:scaling>
          <c:orientation val="minMax"/>
        </c:scaling>
        <c:delete val="1"/>
        <c:axPos val="b"/>
        <c:numFmt formatCode="General" sourceLinked="1"/>
        <c:majorTickMark val="out"/>
        <c:minorTickMark val="none"/>
        <c:tickLblPos val="nextTo"/>
        <c:crossAx val="897497728"/>
        <c:crosses val="autoZero"/>
        <c:auto val="1"/>
        <c:lblAlgn val="ctr"/>
        <c:lblOffset val="100"/>
        <c:noMultiLvlLbl val="0"/>
      </c:catAx>
      <c:valAx>
        <c:axId val="897497728"/>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7496192"/>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6545152"/>
        <c:axId val="896546688"/>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896548224"/>
        <c:axId val="896562304"/>
      </c:lineChart>
      <c:catAx>
        <c:axId val="896545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896546688"/>
        <c:crosses val="autoZero"/>
        <c:auto val="1"/>
        <c:lblAlgn val="ctr"/>
        <c:lblOffset val="100"/>
        <c:tickLblSkip val="1"/>
        <c:tickMarkSkip val="1"/>
        <c:noMultiLvlLbl val="0"/>
      </c:catAx>
      <c:valAx>
        <c:axId val="896546688"/>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6545152"/>
        <c:crosses val="autoZero"/>
        <c:crossBetween val="between"/>
      </c:valAx>
      <c:catAx>
        <c:axId val="896548224"/>
        <c:scaling>
          <c:orientation val="minMax"/>
        </c:scaling>
        <c:delete val="1"/>
        <c:axPos val="b"/>
        <c:numFmt formatCode="General" sourceLinked="1"/>
        <c:majorTickMark val="out"/>
        <c:minorTickMark val="none"/>
        <c:tickLblPos val="nextTo"/>
        <c:crossAx val="896562304"/>
        <c:crosses val="autoZero"/>
        <c:auto val="1"/>
        <c:lblAlgn val="ctr"/>
        <c:lblOffset val="100"/>
        <c:noMultiLvlLbl val="0"/>
      </c:catAx>
      <c:valAx>
        <c:axId val="896562304"/>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896548224"/>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129959073101503E-2"/>
          <c:y val="4.6875E-2"/>
          <c:w val="0.82337766763604359"/>
          <c:h val="0.79825547880134617"/>
        </c:manualLayout>
      </c:layout>
      <c:areaChart>
        <c:grouping val="standard"/>
        <c:varyColors val="0"/>
        <c:ser>
          <c:idx val="1"/>
          <c:order val="0"/>
          <c:tx>
            <c:v>Bull-Bear Scenario</c:v>
          </c:tx>
          <c:spPr>
            <a:solidFill>
              <a:schemeClr val="bg1">
                <a:lumMod val="85000"/>
              </a:schemeClr>
            </a:solidFill>
            <a:ln w="25400">
              <a:noFill/>
            </a:ln>
          </c:spPr>
          <c:cat>
            <c:strRef>
              <c:f>ChartSupport!$I$7:$W$7</c:f>
              <c:strCache>
                <c:ptCount val="15"/>
                <c:pt idx="0">
                  <c:v>2011</c:v>
                </c:pt>
                <c:pt idx="1">
                  <c:v>2012</c:v>
                </c:pt>
                <c:pt idx="2">
                  <c:v>2013</c:v>
                </c:pt>
                <c:pt idx="3">
                  <c:v>2014</c:v>
                </c:pt>
                <c:pt idx="4">
                  <c:v>2015</c:v>
                </c:pt>
                <c:pt idx="5">
                  <c:v>2016</c:v>
                </c:pt>
                <c:pt idx="6">
                  <c:v>2017</c:v>
                </c:pt>
                <c:pt idx="7">
                  <c:v>2018E</c:v>
                </c:pt>
                <c:pt idx="8">
                  <c:v>2019E</c:v>
                </c:pt>
                <c:pt idx="9">
                  <c:v>2020E</c:v>
                </c:pt>
                <c:pt idx="10">
                  <c:v>2021E</c:v>
                </c:pt>
                <c:pt idx="11">
                  <c:v>2022E</c:v>
                </c:pt>
                <c:pt idx="12">
                  <c:v>2023E</c:v>
                </c:pt>
                <c:pt idx="13">
                  <c:v>2024E</c:v>
                </c:pt>
                <c:pt idx="14">
                  <c:v>2025E</c:v>
                </c:pt>
              </c:strCache>
            </c:strRef>
          </c:cat>
          <c:val>
            <c:numRef>
              <c:f>ChartSupport!$I$185:$W$185</c:f>
              <c:numCache>
                <c:formatCode>0</c:formatCode>
                <c:ptCount val="15"/>
                <c:pt idx="0">
                  <c:v>129.8590021691974</c:v>
                </c:pt>
                <c:pt idx="1">
                  <c:v>110.63753007217322</c:v>
                </c:pt>
                <c:pt idx="2">
                  <c:v>170.40675364543361</c:v>
                </c:pt>
                <c:pt idx="3">
                  <c:v>173.45230078563412</c:v>
                </c:pt>
                <c:pt idx="4">
                  <c:v>295.95305164319251</c:v>
                </c:pt>
                <c:pt idx="5">
                  <c:v>223.25914340712222</c:v>
                </c:pt>
                <c:pt idx="6">
                  <c:v>166.30836522689995</c:v>
                </c:pt>
                <c:pt idx="7">
                  <c:v>184.99404596294031</c:v>
                </c:pt>
                <c:pt idx="8">
                  <c:v>184.46010238717935</c:v>
                </c:pt>
                <c:pt idx="9">
                  <c:v>189.40807411941461</c:v>
                </c:pt>
                <c:pt idx="10">
                  <c:v>194.54901674920706</c:v>
                </c:pt>
                <c:pt idx="11">
                  <c:v>199.20565621946469</c:v>
                </c:pt>
                <c:pt idx="12">
                  <c:v>204.02062143171111</c:v>
                </c:pt>
                <c:pt idx="13">
                  <c:v>208.99929546117386</c:v>
                </c:pt>
                <c:pt idx="14">
                  <c:v>214.14724440763837</c:v>
                </c:pt>
              </c:numCache>
            </c:numRef>
          </c:val>
        </c:ser>
        <c:ser>
          <c:idx val="3"/>
          <c:order val="1"/>
          <c:tx>
            <c:v/>
          </c:tx>
          <c:spPr>
            <a:solidFill>
              <a:srgbClr val="FFFFFF"/>
            </a:solidFill>
            <a:ln w="25400">
              <a:noFill/>
            </a:ln>
          </c:spPr>
          <c:cat>
            <c:strRef>
              <c:f>ChartSupport!$I$7:$W$7</c:f>
              <c:strCache>
                <c:ptCount val="15"/>
                <c:pt idx="0">
                  <c:v>2011</c:v>
                </c:pt>
                <c:pt idx="1">
                  <c:v>2012</c:v>
                </c:pt>
                <c:pt idx="2">
                  <c:v>2013</c:v>
                </c:pt>
                <c:pt idx="3">
                  <c:v>2014</c:v>
                </c:pt>
                <c:pt idx="4">
                  <c:v>2015</c:v>
                </c:pt>
                <c:pt idx="5">
                  <c:v>2016</c:v>
                </c:pt>
                <c:pt idx="6">
                  <c:v>2017</c:v>
                </c:pt>
                <c:pt idx="7">
                  <c:v>2018E</c:v>
                </c:pt>
                <c:pt idx="8">
                  <c:v>2019E</c:v>
                </c:pt>
                <c:pt idx="9">
                  <c:v>2020E</c:v>
                </c:pt>
                <c:pt idx="10">
                  <c:v>2021E</c:v>
                </c:pt>
                <c:pt idx="11">
                  <c:v>2022E</c:v>
                </c:pt>
                <c:pt idx="12">
                  <c:v>2023E</c:v>
                </c:pt>
                <c:pt idx="13">
                  <c:v>2024E</c:v>
                </c:pt>
                <c:pt idx="14">
                  <c:v>2025E</c:v>
                </c:pt>
              </c:strCache>
            </c:strRef>
          </c:cat>
          <c:val>
            <c:numRef>
              <c:f>ChartSupport!$I$183:$W$183</c:f>
              <c:numCache>
                <c:formatCode>0</c:formatCode>
                <c:ptCount val="15"/>
                <c:pt idx="0">
                  <c:v>129.8590021691974</c:v>
                </c:pt>
                <c:pt idx="1">
                  <c:v>110.63753007217322</c:v>
                </c:pt>
                <c:pt idx="2">
                  <c:v>170.40675364543361</c:v>
                </c:pt>
                <c:pt idx="3">
                  <c:v>173.45230078563412</c:v>
                </c:pt>
                <c:pt idx="4">
                  <c:v>295.95305164319251</c:v>
                </c:pt>
                <c:pt idx="5">
                  <c:v>223.25914340712222</c:v>
                </c:pt>
                <c:pt idx="6">
                  <c:v>166.30836522689995</c:v>
                </c:pt>
                <c:pt idx="7">
                  <c:v>181.39415386322037</c:v>
                </c:pt>
                <c:pt idx="8">
                  <c:v>177.75503355704697</c:v>
                </c:pt>
                <c:pt idx="9">
                  <c:v>183.95171667868433</c:v>
                </c:pt>
                <c:pt idx="10">
                  <c:v>190.45203727328192</c:v>
                </c:pt>
                <c:pt idx="11">
                  <c:v>196.99255372788281</c:v>
                </c:pt>
                <c:pt idx="12">
                  <c:v>203.84047445584997</c:v>
                </c:pt>
                <c:pt idx="13">
                  <c:v>211.01024745803159</c:v>
                </c:pt>
                <c:pt idx="14">
                  <c:v>218.51699979131573</c:v>
                </c:pt>
              </c:numCache>
            </c:numRef>
          </c:val>
        </c:ser>
        <c:dLbls>
          <c:showLegendKey val="0"/>
          <c:showVal val="0"/>
          <c:showCatName val="0"/>
          <c:showSerName val="0"/>
          <c:showPercent val="0"/>
          <c:showBubbleSize val="0"/>
        </c:dLbls>
        <c:axId val="896584320"/>
        <c:axId val="896594304"/>
      </c:areaChart>
      <c:lineChart>
        <c:grouping val="standard"/>
        <c:varyColors val="0"/>
        <c:ser>
          <c:idx val="2"/>
          <c:order val="2"/>
          <c:tx>
            <c:strRef>
              <c:f>ChartSupport!$A$182</c:f>
              <c:strCache>
                <c:ptCount val="1"/>
                <c:pt idx="0">
                  <c:v>Cogen Prices R$/MWh)</c:v>
                </c:pt>
              </c:strCache>
            </c:strRef>
          </c:tx>
          <c:spPr>
            <a:ln w="25400">
              <a:solidFill>
                <a:schemeClr val="accent1"/>
              </a:solidFill>
              <a:prstDash val="solid"/>
            </a:ln>
          </c:spPr>
          <c:marker>
            <c:symbol val="none"/>
          </c:marker>
          <c:cat>
            <c:strRef>
              <c:f>ChartSupport!$I$12:$W$12</c:f>
              <c:strCache>
                <c:ptCount val="15"/>
                <c:pt idx="0">
                  <c:v>2011</c:v>
                </c:pt>
                <c:pt idx="1">
                  <c:v>2012</c:v>
                </c:pt>
                <c:pt idx="2">
                  <c:v>2013</c:v>
                </c:pt>
                <c:pt idx="3">
                  <c:v>2014</c:v>
                </c:pt>
                <c:pt idx="4">
                  <c:v>2015</c:v>
                </c:pt>
                <c:pt idx="5">
                  <c:v>2016</c:v>
                </c:pt>
                <c:pt idx="6">
                  <c:v>2017</c:v>
                </c:pt>
                <c:pt idx="7">
                  <c:v>2018E</c:v>
                </c:pt>
                <c:pt idx="8">
                  <c:v>2019E</c:v>
                </c:pt>
                <c:pt idx="9">
                  <c:v>2020E</c:v>
                </c:pt>
                <c:pt idx="10">
                  <c:v>2021E</c:v>
                </c:pt>
                <c:pt idx="11">
                  <c:v>2022E</c:v>
                </c:pt>
                <c:pt idx="12">
                  <c:v>2023E</c:v>
                </c:pt>
                <c:pt idx="13">
                  <c:v>2024E</c:v>
                </c:pt>
                <c:pt idx="14">
                  <c:v>2025E</c:v>
                </c:pt>
              </c:strCache>
            </c:strRef>
          </c:cat>
          <c:val>
            <c:numRef>
              <c:f>ChartSupport!$I$184:$W$184</c:f>
              <c:numCache>
                <c:formatCode>0</c:formatCode>
                <c:ptCount val="15"/>
                <c:pt idx="0">
                  <c:v>129.8590021691974</c:v>
                </c:pt>
                <c:pt idx="1">
                  <c:v>110.63753007217322</c:v>
                </c:pt>
                <c:pt idx="2">
                  <c:v>170.40675364543361</c:v>
                </c:pt>
                <c:pt idx="3">
                  <c:v>173.45230078563412</c:v>
                </c:pt>
                <c:pt idx="4">
                  <c:v>295.95305164319251</c:v>
                </c:pt>
                <c:pt idx="5">
                  <c:v>223.25914340712222</c:v>
                </c:pt>
                <c:pt idx="6">
                  <c:v>166.30836522689995</c:v>
                </c:pt>
                <c:pt idx="7">
                  <c:v>183.49999999999997</c:v>
                </c:pt>
                <c:pt idx="8">
                  <c:v>181.66666666666666</c:v>
                </c:pt>
                <c:pt idx="9">
                  <c:v>187.24</c:v>
                </c:pt>
                <c:pt idx="10">
                  <c:v>193.05856</c:v>
                </c:pt>
                <c:pt idx="11">
                  <c:v>199.13313664</c:v>
                </c:pt>
                <c:pt idx="12">
                  <c:v>205.47499465216001</c:v>
                </c:pt>
                <c:pt idx="13">
                  <c:v>212.09589441685506</c:v>
                </c:pt>
                <c:pt idx="14">
                  <c:v>219.00811377119669</c:v>
                </c:pt>
              </c:numCache>
            </c:numRef>
          </c:val>
          <c:smooth val="0"/>
        </c:ser>
        <c:dLbls>
          <c:showLegendKey val="0"/>
          <c:showVal val="0"/>
          <c:showCatName val="0"/>
          <c:showSerName val="0"/>
          <c:showPercent val="0"/>
          <c:showBubbleSize val="0"/>
        </c:dLbls>
        <c:marker val="1"/>
        <c:smooth val="0"/>
        <c:axId val="896584320"/>
        <c:axId val="896594304"/>
      </c:lineChart>
      <c:catAx>
        <c:axId val="896584320"/>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a:pPr>
            <a:endParaRPr lang="en-US"/>
          </a:p>
        </c:txPr>
        <c:crossAx val="896594304"/>
        <c:crosses val="autoZero"/>
        <c:auto val="1"/>
        <c:lblAlgn val="ctr"/>
        <c:lblOffset val="100"/>
        <c:tickLblSkip val="1"/>
        <c:tickMarkSkip val="1"/>
        <c:noMultiLvlLbl val="0"/>
      </c:catAx>
      <c:valAx>
        <c:axId val="896594304"/>
        <c:scaling>
          <c:orientation val="minMax"/>
        </c:scaling>
        <c:delete val="0"/>
        <c:axPos val="l"/>
        <c:title>
          <c:tx>
            <c:rich>
              <a:bodyPr rot="0" vert="horz"/>
              <a:lstStyle/>
              <a:p>
                <a:pPr algn="ctr" rtl="0">
                  <a:defRPr/>
                </a:pPr>
                <a:r>
                  <a:rPr lang="en-US"/>
                  <a:t>R$/MWh</a:t>
                </a:r>
              </a:p>
            </c:rich>
          </c:tx>
          <c:layout>
            <c:manualLayout>
              <c:xMode val="edge"/>
              <c:yMode val="edge"/>
              <c:x val="0.10772480411643823"/>
              <c:y val="2.2237348980397885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6584320"/>
        <c:crosses val="autoZero"/>
        <c:crossBetween val="midCat"/>
      </c:valAx>
      <c:spPr>
        <a:noFill/>
        <a:ln w="25400">
          <a:noFill/>
        </a:ln>
      </c:spPr>
    </c:plotArea>
    <c:legend>
      <c:legendPos val="r"/>
      <c:legendEntry>
        <c:idx val="1"/>
        <c:delete val="1"/>
      </c:legendEntry>
      <c:layout>
        <c:manualLayout>
          <c:xMode val="edge"/>
          <c:yMode val="edge"/>
          <c:x val="0.33492080945693342"/>
          <c:y val="0.61464582669513002"/>
          <c:w val="0.66233812773403333"/>
          <c:h val="0.14807014153905609"/>
        </c:manualLayout>
      </c:layout>
      <c:overlay val="0"/>
      <c:spPr>
        <a:noFill/>
        <a:ln w="25400">
          <a:noFill/>
        </a:ln>
      </c:spPr>
      <c:txPr>
        <a:bodyPr/>
        <a:lstStyle/>
        <a:p>
          <a:pPr>
            <a:defRPr sz="800"/>
          </a:pPr>
          <a:endParaRPr lang="en-US"/>
        </a:p>
      </c:txPr>
    </c:legend>
    <c:plotVisOnly val="0"/>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350550861248898"/>
          <c:y val="2.5486814545087836E-2"/>
          <c:w val="0.81889973676318684"/>
          <c:h val="0.81028938906752412"/>
        </c:manualLayout>
      </c:layout>
      <c:areaChart>
        <c:grouping val="standard"/>
        <c:varyColors val="0"/>
        <c:ser>
          <c:idx val="3"/>
          <c:order val="0"/>
          <c:tx>
            <c:v>Bull-Bear Scenario</c:v>
          </c:tx>
          <c:spPr>
            <a:solidFill>
              <a:schemeClr val="bg1">
                <a:lumMod val="85000"/>
              </a:schemeClr>
            </a:solidFill>
            <a:ln w="12700">
              <a:noFill/>
              <a:prstDash val="solid"/>
            </a:ln>
          </c:spPr>
          <c:cat>
            <c:strRef>
              <c:f>ChartSupport!$B$102:$W$102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ChartSupport!$B$138:$W$138</c:f>
              <c:numCache>
                <c:formatCode>0.0\x</c:formatCode>
                <c:ptCount val="22"/>
                <c:pt idx="0">
                  <c:v>2.2644019492668508</c:v>
                </c:pt>
                <c:pt idx="1">
                  <c:v>1.0451597081723993</c:v>
                </c:pt>
                <c:pt idx="2">
                  <c:v>0.42767799224683495</c:v>
                </c:pt>
                <c:pt idx="3">
                  <c:v>-0.1130950094371756</c:v>
                </c:pt>
                <c:pt idx="4">
                  <c:v>4.0414261565905578</c:v>
                </c:pt>
                <c:pt idx="5">
                  <c:v>3.8724437554229603</c:v>
                </c:pt>
                <c:pt idx="6">
                  <c:v>1.9089434419244411</c:v>
                </c:pt>
                <c:pt idx="7">
                  <c:v>0.91036945969434302</c:v>
                </c:pt>
                <c:pt idx="8">
                  <c:v>1.4349824504192157</c:v>
                </c:pt>
                <c:pt idx="9">
                  <c:v>2.0676874923284654</c:v>
                </c:pt>
                <c:pt idx="10">
                  <c:v>2.048022971154269</c:v>
                </c:pt>
                <c:pt idx="11">
                  <c:v>2.1976239600959611</c:v>
                </c:pt>
                <c:pt idx="12">
                  <c:v>2.2002000301016174</c:v>
                </c:pt>
                <c:pt idx="13">
                  <c:v>1.7634530094890739</c:v>
                </c:pt>
                <c:pt idx="14">
                  <c:v>1.526652091456522</c:v>
                </c:pt>
                <c:pt idx="15">
                  <c:v>1.7541803692403124</c:v>
                </c:pt>
                <c:pt idx="16">
                  <c:v>1.4032805865127804</c:v>
                </c:pt>
                <c:pt idx="17">
                  <c:v>1.2231442065037164</c:v>
                </c:pt>
                <c:pt idx="18">
                  <c:v>1.3514658277328604</c:v>
                </c:pt>
                <c:pt idx="19">
                  <c:v>1.6291628354019292</c:v>
                </c:pt>
                <c:pt idx="20">
                  <c:v>1.743603321670621</c:v>
                </c:pt>
                <c:pt idx="21">
                  <c:v>1.6509261719769648</c:v>
                </c:pt>
              </c:numCache>
            </c:numRef>
          </c:val>
        </c:ser>
        <c:ser>
          <c:idx val="4"/>
          <c:order val="1"/>
          <c:tx>
            <c:v>Bear Scenario</c:v>
          </c:tx>
          <c:spPr>
            <a:solidFill>
              <a:schemeClr val="bg1"/>
            </a:solidFill>
            <a:ln w="12700">
              <a:noFill/>
              <a:prstDash val="solid"/>
            </a:ln>
          </c:spPr>
          <c:cat>
            <c:strRef>
              <c:f>ChartSupport!$B$102:$W$102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ChartSupport!$B$140:$W$140</c:f>
              <c:numCache>
                <c:formatCode>0.0\x</c:formatCode>
                <c:ptCount val="22"/>
                <c:pt idx="0">
                  <c:v>2.2644019492668508</c:v>
                </c:pt>
                <c:pt idx="1">
                  <c:v>1.0451597081723993</c:v>
                </c:pt>
                <c:pt idx="2">
                  <c:v>0.42767799224683495</c:v>
                </c:pt>
                <c:pt idx="3">
                  <c:v>-0.1130950094371756</c:v>
                </c:pt>
                <c:pt idx="4">
                  <c:v>4.0414261565905578</c:v>
                </c:pt>
                <c:pt idx="5">
                  <c:v>3.8724437554229603</c:v>
                </c:pt>
                <c:pt idx="6">
                  <c:v>1.9089434419244411</c:v>
                </c:pt>
                <c:pt idx="7">
                  <c:v>0.91036945969434302</c:v>
                </c:pt>
                <c:pt idx="8">
                  <c:v>1.4349824504192157</c:v>
                </c:pt>
                <c:pt idx="9">
                  <c:v>2.0676874923284654</c:v>
                </c:pt>
                <c:pt idx="10">
                  <c:v>2.048022971154269</c:v>
                </c:pt>
                <c:pt idx="11">
                  <c:v>2.1976239600959611</c:v>
                </c:pt>
                <c:pt idx="12">
                  <c:v>2.2002000301016174</c:v>
                </c:pt>
                <c:pt idx="13">
                  <c:v>1.7634530094890739</c:v>
                </c:pt>
                <c:pt idx="14">
                  <c:v>1.0355269766801247</c:v>
                </c:pt>
                <c:pt idx="15">
                  <c:v>0.70841939301484536</c:v>
                </c:pt>
                <c:pt idx="16">
                  <c:v>0.48800621256691679</c:v>
                </c:pt>
                <c:pt idx="17">
                  <c:v>0.28683836498104598</c:v>
                </c:pt>
                <c:pt idx="18">
                  <c:v>0.14106204646364462</c:v>
                </c:pt>
                <c:pt idx="19">
                  <c:v>0.116531361945519</c:v>
                </c:pt>
                <c:pt idx="20">
                  <c:v>0.17974498011644038</c:v>
                </c:pt>
                <c:pt idx="21">
                  <c:v>0.20604377739320354</c:v>
                </c:pt>
              </c:numCache>
            </c:numRef>
          </c:val>
        </c:ser>
        <c:dLbls>
          <c:showLegendKey val="0"/>
          <c:showVal val="0"/>
          <c:showCatName val="0"/>
          <c:showSerName val="0"/>
          <c:showPercent val="0"/>
          <c:showBubbleSize val="0"/>
        </c:dLbls>
        <c:axId val="896653568"/>
        <c:axId val="896659456"/>
      </c:areaChart>
      <c:lineChart>
        <c:grouping val="standard"/>
        <c:varyColors val="0"/>
        <c:ser>
          <c:idx val="2"/>
          <c:order val="2"/>
          <c:tx>
            <c:v>Base Scenario</c:v>
          </c:tx>
          <c:spPr>
            <a:ln w="25400">
              <a:solidFill>
                <a:schemeClr val="accent1"/>
              </a:solidFill>
              <a:prstDash val="solid"/>
            </a:ln>
          </c:spPr>
          <c:marker>
            <c:symbol val="none"/>
          </c:marker>
          <c:cat>
            <c:strRef>
              <c:f>ChartSupport!$B$102:$W$102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ChartSupport!$B$139:$W$139</c:f>
              <c:numCache>
                <c:formatCode>0.0\x</c:formatCode>
                <c:ptCount val="22"/>
                <c:pt idx="0">
                  <c:v>2.2644019492668508</c:v>
                </c:pt>
                <c:pt idx="1">
                  <c:v>1.0451597081723993</c:v>
                </c:pt>
                <c:pt idx="2">
                  <c:v>0.42767799224683495</c:v>
                </c:pt>
                <c:pt idx="3">
                  <c:v>-0.1130950094371756</c:v>
                </c:pt>
                <c:pt idx="4">
                  <c:v>4.0414261565905578</c:v>
                </c:pt>
                <c:pt idx="5">
                  <c:v>3.8724437554229603</c:v>
                </c:pt>
                <c:pt idx="6">
                  <c:v>1.9089434419244411</c:v>
                </c:pt>
                <c:pt idx="7">
                  <c:v>0.91036945969434302</c:v>
                </c:pt>
                <c:pt idx="8">
                  <c:v>1.4349824504192157</c:v>
                </c:pt>
                <c:pt idx="9">
                  <c:v>2.0676874923284654</c:v>
                </c:pt>
                <c:pt idx="10">
                  <c:v>2.048022971154269</c:v>
                </c:pt>
                <c:pt idx="11">
                  <c:v>2.1976239600959611</c:v>
                </c:pt>
                <c:pt idx="12">
                  <c:v>2.2002000301016174</c:v>
                </c:pt>
                <c:pt idx="13">
                  <c:v>1.7634530094890739</c:v>
                </c:pt>
                <c:pt idx="14">
                  <c:v>1.279442490948657</c:v>
                </c:pt>
                <c:pt idx="15">
                  <c:v>1.1196988856373464</c:v>
                </c:pt>
                <c:pt idx="16">
                  <c:v>0.98643440600281629</c:v>
                </c:pt>
                <c:pt idx="17">
                  <c:v>0.77709070619931553</c:v>
                </c:pt>
                <c:pt idx="18">
                  <c:v>0.64800237465439525</c:v>
                </c:pt>
                <c:pt idx="19">
                  <c:v>0.74393804111985284</c:v>
                </c:pt>
                <c:pt idx="20">
                  <c:v>0.91441564201886139</c:v>
                </c:pt>
                <c:pt idx="21">
                  <c:v>0.82414613675650716</c:v>
                </c:pt>
              </c:numCache>
            </c:numRef>
          </c:val>
          <c:smooth val="0"/>
        </c:ser>
        <c:ser>
          <c:idx val="1"/>
          <c:order val="3"/>
          <c:tx>
            <c:v>zeroline</c:v>
          </c:tx>
          <c:spPr>
            <a:ln w="3175">
              <a:solidFill>
                <a:schemeClr val="bg1">
                  <a:lumMod val="50000"/>
                </a:schemeClr>
              </a:solidFill>
            </a:ln>
          </c:spPr>
          <c:marker>
            <c:symbol val="none"/>
          </c:marker>
          <c:cat>
            <c:strRef>
              <c:f>ChartSupport!$B$102:$W$102</c:f>
              <c:strCache>
                <c:ptCount val="22"/>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2018E</c:v>
                </c:pt>
                <c:pt idx="15">
                  <c:v>2019E</c:v>
                </c:pt>
                <c:pt idx="16">
                  <c:v>2020E</c:v>
                </c:pt>
                <c:pt idx="17">
                  <c:v>2021E</c:v>
                </c:pt>
                <c:pt idx="18">
                  <c:v>2022E</c:v>
                </c:pt>
                <c:pt idx="19">
                  <c:v>2023E</c:v>
                </c:pt>
                <c:pt idx="20">
                  <c:v>2024E</c:v>
                </c:pt>
                <c:pt idx="21">
                  <c:v>2025E</c:v>
                </c:pt>
              </c:strCache>
            </c:strRef>
          </c:cat>
          <c:val>
            <c:numRef>
              <c:f>ChartSupport!$B$421:$W$421</c:f>
              <c:numCache>
                <c:formatCode>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mooth val="0"/>
        </c:ser>
        <c:ser>
          <c:idx val="0"/>
          <c:order val="4"/>
          <c:tx>
            <c:strRef>
              <c:f>ChartSupport!$A$141</c:f>
              <c:strCache>
                <c:ptCount val="1"/>
                <c:pt idx="0">
                  <c:v>Target</c:v>
                </c:pt>
              </c:strCache>
            </c:strRef>
          </c:tx>
          <c:spPr>
            <a:ln w="19050">
              <a:solidFill>
                <a:srgbClr val="FF0000"/>
              </a:solidFill>
              <a:prstDash val="dash"/>
            </a:ln>
          </c:spPr>
          <c:marker>
            <c:symbol val="none"/>
          </c:marker>
          <c:val>
            <c:numRef>
              <c:f>ChartSupport!$B$141:$W$141</c:f>
              <c:numCache>
                <c:formatCode>#,##0.0</c:formatCode>
                <c:ptCount val="2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1</c:v>
                </c:pt>
                <c:pt idx="15">
                  <c:v>1</c:v>
                </c:pt>
                <c:pt idx="16">
                  <c:v>1</c:v>
                </c:pt>
                <c:pt idx="17">
                  <c:v>1</c:v>
                </c:pt>
                <c:pt idx="18">
                  <c:v>1</c:v>
                </c:pt>
                <c:pt idx="19">
                  <c:v>1</c:v>
                </c:pt>
                <c:pt idx="20">
                  <c:v>1</c:v>
                </c:pt>
                <c:pt idx="21">
                  <c:v>1</c:v>
                </c:pt>
              </c:numCache>
            </c:numRef>
          </c:val>
          <c:smooth val="0"/>
        </c:ser>
        <c:dLbls>
          <c:showLegendKey val="0"/>
          <c:showVal val="0"/>
          <c:showCatName val="0"/>
          <c:showSerName val="0"/>
          <c:showPercent val="0"/>
          <c:showBubbleSize val="0"/>
        </c:dLbls>
        <c:marker val="1"/>
        <c:smooth val="0"/>
        <c:axId val="896653568"/>
        <c:axId val="896659456"/>
      </c:lineChart>
      <c:catAx>
        <c:axId val="896653568"/>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a:pPr>
            <a:endParaRPr lang="en-US"/>
          </a:p>
        </c:txPr>
        <c:crossAx val="896659456"/>
        <c:crossesAt val="-0.8"/>
        <c:auto val="1"/>
        <c:lblAlgn val="ctr"/>
        <c:lblOffset val="100"/>
        <c:tickLblSkip val="1"/>
        <c:tickMarkSkip val="1"/>
        <c:noMultiLvlLbl val="0"/>
      </c:catAx>
      <c:valAx>
        <c:axId val="896659456"/>
        <c:scaling>
          <c:orientation val="minMax"/>
        </c:scaling>
        <c:delete val="0"/>
        <c:axPos val="l"/>
        <c:title>
          <c:tx>
            <c:rich>
              <a:bodyPr rot="0" vert="horz"/>
              <a:lstStyle/>
              <a:p>
                <a:pPr>
                  <a:defRPr/>
                </a:pPr>
                <a:r>
                  <a:rPr lang="en-US"/>
                  <a:t>x times</a:t>
                </a:r>
              </a:p>
            </c:rich>
          </c:tx>
          <c:layout>
            <c:manualLayout>
              <c:xMode val="edge"/>
              <c:yMode val="edge"/>
              <c:x val="0.13899369463088096"/>
              <c:y val="2.9608484461822838E-2"/>
            </c:manualLayout>
          </c:layout>
          <c:overlay val="0"/>
        </c:title>
        <c:numFmt formatCode="#,##0.0" sourceLinked="0"/>
        <c:majorTickMark val="out"/>
        <c:minorTickMark val="none"/>
        <c:tickLblPos val="nextTo"/>
        <c:spPr>
          <a:ln w="3175">
            <a:solidFill>
              <a:srgbClr val="808080"/>
            </a:solidFill>
            <a:prstDash val="solid"/>
          </a:ln>
        </c:spPr>
        <c:txPr>
          <a:bodyPr rot="0" vert="horz"/>
          <a:lstStyle/>
          <a:p>
            <a:pPr>
              <a:defRPr/>
            </a:pPr>
            <a:endParaRPr lang="en-US"/>
          </a:p>
        </c:txPr>
        <c:crossAx val="896653568"/>
        <c:crosses val="autoZero"/>
        <c:crossBetween val="midCat"/>
      </c:valAx>
      <c:spPr>
        <a:noFill/>
        <a:ln w="25400">
          <a:noFill/>
        </a:ln>
      </c:spPr>
    </c:plotArea>
    <c:legend>
      <c:legendPos val="r"/>
      <c:legendEntry>
        <c:idx val="1"/>
        <c:delete val="1"/>
      </c:legendEntry>
      <c:legendEntry>
        <c:idx val="3"/>
        <c:delete val="1"/>
      </c:legendEntry>
      <c:layout>
        <c:manualLayout>
          <c:xMode val="edge"/>
          <c:yMode val="edge"/>
          <c:x val="0.40400209973753282"/>
          <c:y val="3.4248359580052505E-2"/>
          <c:w val="0.51034736657917756"/>
          <c:h val="0.23363976377952753"/>
        </c:manualLayout>
      </c:layout>
      <c:overlay val="0"/>
      <c:spPr>
        <a:no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landscape" horizontalDpi="0" verticalDpi="0" copies="0"/>
  </c:printSettings>
</c:chartSpace>
</file>

<file path=xl/charts/chart1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682642202593321E-2"/>
          <c:y val="4.7318611987381701E-2"/>
          <c:w val="0.87566363793722601"/>
          <c:h val="0.79495268138801267"/>
        </c:manualLayout>
      </c:layout>
      <c:lineChart>
        <c:grouping val="standard"/>
        <c:varyColors val="0"/>
        <c:ser>
          <c:idx val="2"/>
          <c:order val="0"/>
          <c:tx>
            <c:strRef>
              <c:f>ChartSupport!$A$388</c:f>
              <c:strCache>
                <c:ptCount val="1"/>
                <c:pt idx="0">
                  <c:v>Crushed sugarcane ('000 tons)</c:v>
                </c:pt>
              </c:strCache>
            </c:strRef>
          </c:tx>
          <c:spPr>
            <a:ln w="25400">
              <a:solidFill>
                <a:schemeClr val="accent1"/>
              </a:solidFill>
              <a:prstDash val="solid"/>
            </a:ln>
          </c:spPr>
          <c:marker>
            <c:symbol val="none"/>
          </c:marke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ChartSupport!$B$388:$BY$388</c:f>
              <c:numCache>
                <c:formatCode>_(* #,##0_);_(* \(#,##0\);_(* "-"??_);_(@_)</c:formatCode>
                <c:ptCount val="48"/>
                <c:pt idx="0">
                  <c:v>3754</c:v>
                </c:pt>
                <c:pt idx="1">
                  <c:v>4882</c:v>
                </c:pt>
                <c:pt idx="2">
                  <c:v>640</c:v>
                </c:pt>
                <c:pt idx="3">
                  <c:v>0</c:v>
                </c:pt>
                <c:pt idx="4">
                  <c:v>3199</c:v>
                </c:pt>
                <c:pt idx="5">
                  <c:v>4679</c:v>
                </c:pt>
                <c:pt idx="6">
                  <c:v>2340</c:v>
                </c:pt>
                <c:pt idx="7">
                  <c:v>0</c:v>
                </c:pt>
                <c:pt idx="8">
                  <c:v>2996</c:v>
                </c:pt>
                <c:pt idx="9">
                  <c:v>5674</c:v>
                </c:pt>
                <c:pt idx="10">
                  <c:v>3331</c:v>
                </c:pt>
                <c:pt idx="11">
                  <c:v>0</c:v>
                </c:pt>
                <c:pt idx="12">
                  <c:v>4484</c:v>
                </c:pt>
                <c:pt idx="13">
                  <c:v>4982</c:v>
                </c:pt>
                <c:pt idx="14">
                  <c:v>3457</c:v>
                </c:pt>
                <c:pt idx="15">
                  <c:v>0</c:v>
                </c:pt>
                <c:pt idx="16">
                  <c:v>5252</c:v>
                </c:pt>
                <c:pt idx="17">
                  <c:v>5561</c:v>
                </c:pt>
                <c:pt idx="18">
                  <c:v>2254</c:v>
                </c:pt>
                <c:pt idx="19">
                  <c:v>0</c:v>
                </c:pt>
                <c:pt idx="20">
                  <c:v>3648</c:v>
                </c:pt>
                <c:pt idx="21">
                  <c:v>5035</c:v>
                </c:pt>
                <c:pt idx="22">
                  <c:v>1907</c:v>
                </c:pt>
                <c:pt idx="23">
                  <c:v>0</c:v>
                </c:pt>
                <c:pt idx="24">
                  <c:v>2918</c:v>
                </c:pt>
                <c:pt idx="25">
                  <c:v>6036</c:v>
                </c:pt>
                <c:pt idx="26">
                  <c:v>3931</c:v>
                </c:pt>
                <c:pt idx="27">
                  <c:v>0</c:v>
                </c:pt>
                <c:pt idx="28">
                  <c:v>5543</c:v>
                </c:pt>
                <c:pt idx="29">
                  <c:v>6097</c:v>
                </c:pt>
                <c:pt idx="30">
                  <c:v>3952</c:v>
                </c:pt>
                <c:pt idx="31">
                  <c:v>0</c:v>
                </c:pt>
                <c:pt idx="32">
                  <c:v>6467</c:v>
                </c:pt>
                <c:pt idx="33">
                  <c:v>8691</c:v>
                </c:pt>
                <c:pt idx="34">
                  <c:v>3559</c:v>
                </c:pt>
                <c:pt idx="35">
                  <c:v>0</c:v>
                </c:pt>
                <c:pt idx="36">
                  <c:v>7409</c:v>
                </c:pt>
                <c:pt idx="37">
                  <c:v>7628</c:v>
                </c:pt>
                <c:pt idx="38">
                  <c:v>4987</c:v>
                </c:pt>
                <c:pt idx="39">
                  <c:v>0</c:v>
                </c:pt>
                <c:pt idx="40">
                  <c:v>8186</c:v>
                </c:pt>
                <c:pt idx="41">
                  <c:v>8346</c:v>
                </c:pt>
                <c:pt idx="42">
                  <c:v>2749</c:v>
                </c:pt>
                <c:pt idx="43">
                  <c:v>0</c:v>
                </c:pt>
                <c:pt idx="44">
                  <c:v>8739</c:v>
                </c:pt>
                <c:pt idx="45">
                  <c:v>9365.9999999999982</c:v>
                </c:pt>
                <c:pt idx="46">
                  <c:v>3179.435713915253</c:v>
                </c:pt>
                <c:pt idx="47">
                  <c:v>22.258053563772158</c:v>
                </c:pt>
              </c:numCache>
            </c:numRef>
          </c:val>
          <c:smooth val="0"/>
        </c:ser>
        <c:dLbls>
          <c:showLegendKey val="0"/>
          <c:showVal val="0"/>
          <c:showCatName val="0"/>
          <c:showSerName val="0"/>
          <c:showPercent val="0"/>
          <c:showBubbleSize val="0"/>
        </c:dLbls>
        <c:marker val="1"/>
        <c:smooth val="0"/>
        <c:axId val="896694528"/>
        <c:axId val="896704512"/>
      </c:lineChart>
      <c:scatterChart>
        <c:scatterStyle val="lineMarker"/>
        <c:varyColors val="0"/>
        <c:ser>
          <c:idx val="4"/>
          <c:order val="1"/>
          <c:tx>
            <c:v>Line1</c:v>
          </c:tx>
          <c:spPr>
            <a:ln>
              <a:solidFill>
                <a:srgbClr val="FF0000"/>
              </a:solidFill>
            </a:ln>
          </c:spPr>
          <c:marker>
            <c:symbol val="none"/>
          </c:marker>
          <c:xVal>
            <c:numRef>
              <c:f>ChartSupport!$U$428:$V$428</c:f>
              <c:numCache>
                <c:formatCode>General</c:formatCode>
                <c:ptCount val="2"/>
                <c:pt idx="0">
                  <c:v>38</c:v>
                </c:pt>
                <c:pt idx="1">
                  <c:v>38</c:v>
                </c:pt>
              </c:numCache>
            </c:numRef>
          </c:xVal>
          <c:yVal>
            <c:numRef>
              <c:f>ChartSupport!$U$431:$V$431</c:f>
              <c:numCache>
                <c:formatCode>General</c:formatCode>
                <c:ptCount val="2"/>
                <c:pt idx="0">
                  <c:v>0</c:v>
                </c:pt>
                <c:pt idx="1">
                  <c:v>10000</c:v>
                </c:pt>
              </c:numCache>
            </c:numRef>
          </c:yVal>
          <c:smooth val="0"/>
        </c:ser>
        <c:ser>
          <c:idx val="5"/>
          <c:order val="2"/>
          <c:tx>
            <c:v>Line2</c:v>
          </c:tx>
          <c:spPr>
            <a:ln>
              <a:solidFill>
                <a:srgbClr val="FF0000"/>
              </a:solidFill>
            </a:ln>
          </c:spPr>
          <c:marker>
            <c:symbol val="none"/>
          </c:marker>
          <c:xVal>
            <c:numRef>
              <c:f>ChartSupport!$U$429:$V$429</c:f>
              <c:numCache>
                <c:formatCode>General</c:formatCode>
                <c:ptCount val="2"/>
                <c:pt idx="0">
                  <c:v>42</c:v>
                </c:pt>
                <c:pt idx="1">
                  <c:v>42</c:v>
                </c:pt>
              </c:numCache>
            </c:numRef>
          </c:xVal>
          <c:yVal>
            <c:numRef>
              <c:f>ChartSupport!$U$431:$V$431</c:f>
              <c:numCache>
                <c:formatCode>General</c:formatCode>
                <c:ptCount val="2"/>
                <c:pt idx="0">
                  <c:v>0</c:v>
                </c:pt>
                <c:pt idx="1">
                  <c:v>10000</c:v>
                </c:pt>
              </c:numCache>
            </c:numRef>
          </c:yVal>
          <c:smooth val="0"/>
        </c:ser>
        <c:ser>
          <c:idx val="6"/>
          <c:order val="3"/>
          <c:tx>
            <c:v>Line3</c:v>
          </c:tx>
          <c:spPr>
            <a:ln>
              <a:solidFill>
                <a:srgbClr val="FF0000"/>
              </a:solidFill>
              <a:prstDash val="dash"/>
            </a:ln>
          </c:spPr>
          <c:marker>
            <c:symbol val="none"/>
          </c:marker>
          <c:xVal>
            <c:numRef>
              <c:f>ChartSupport!$U$430:$V$430</c:f>
              <c:numCache>
                <c:formatCode>General</c:formatCode>
                <c:ptCount val="2"/>
                <c:pt idx="0">
                  <c:v>46</c:v>
                </c:pt>
                <c:pt idx="1">
                  <c:v>46</c:v>
                </c:pt>
              </c:numCache>
            </c:numRef>
          </c:xVal>
          <c:yVal>
            <c:numRef>
              <c:f>ChartSupport!$U$431:$V$431</c:f>
              <c:numCache>
                <c:formatCode>General</c:formatCode>
                <c:ptCount val="2"/>
                <c:pt idx="0">
                  <c:v>0</c:v>
                </c:pt>
                <c:pt idx="1">
                  <c:v>10000</c:v>
                </c:pt>
              </c:numCache>
            </c:numRef>
          </c:yVal>
          <c:smooth val="0"/>
        </c:ser>
        <c:dLbls>
          <c:showLegendKey val="0"/>
          <c:showVal val="0"/>
          <c:showCatName val="0"/>
          <c:showSerName val="0"/>
          <c:showPercent val="0"/>
          <c:showBubbleSize val="0"/>
        </c:dLbls>
        <c:axId val="896706432"/>
        <c:axId val="896707968"/>
      </c:scatterChart>
      <c:catAx>
        <c:axId val="896694528"/>
        <c:scaling>
          <c:orientation val="minMax"/>
        </c:scaling>
        <c:delete val="0"/>
        <c:axPos val="b"/>
        <c:numFmt formatCode="mmm\-yy" sourceLinked="0"/>
        <c:majorTickMark val="out"/>
        <c:minorTickMark val="none"/>
        <c:tickLblPos val="nextTo"/>
        <c:spPr>
          <a:ln w="3175">
            <a:solidFill>
              <a:srgbClr val="808080"/>
            </a:solidFill>
            <a:prstDash val="solid"/>
          </a:ln>
        </c:spPr>
        <c:txPr>
          <a:bodyPr rot="-5400000" vert="horz"/>
          <a:lstStyle/>
          <a:p>
            <a:pPr>
              <a:defRPr/>
            </a:pPr>
            <a:endParaRPr lang="en-US"/>
          </a:p>
        </c:txPr>
        <c:crossAx val="896704512"/>
        <c:crosses val="autoZero"/>
        <c:auto val="1"/>
        <c:lblAlgn val="ctr"/>
        <c:lblOffset val="100"/>
        <c:tickLblSkip val="2"/>
        <c:tickMarkSkip val="1"/>
        <c:noMultiLvlLbl val="0"/>
      </c:catAx>
      <c:valAx>
        <c:axId val="896704512"/>
        <c:scaling>
          <c:orientation val="minMax"/>
        </c:scaling>
        <c:delete val="0"/>
        <c:axPos val="l"/>
        <c:title>
          <c:tx>
            <c:rich>
              <a:bodyPr rot="0" vert="horz"/>
              <a:lstStyle/>
              <a:p>
                <a:pPr>
                  <a:defRPr/>
                </a:pPr>
                <a:r>
                  <a:rPr lang="en-US"/>
                  <a:t>('000 tons)</a:t>
                </a:r>
              </a:p>
            </c:rich>
          </c:tx>
          <c:layout>
            <c:manualLayout>
              <c:xMode val="edge"/>
              <c:yMode val="edge"/>
              <c:x val="0.14968551729479487"/>
              <c:y val="4.2924453085492767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6694528"/>
        <c:crosses val="autoZero"/>
        <c:crossBetween val="midCat"/>
      </c:valAx>
      <c:valAx>
        <c:axId val="896706432"/>
        <c:scaling>
          <c:orientation val="minMax"/>
        </c:scaling>
        <c:delete val="1"/>
        <c:axPos val="b"/>
        <c:numFmt formatCode="General" sourceLinked="1"/>
        <c:majorTickMark val="out"/>
        <c:minorTickMark val="none"/>
        <c:tickLblPos val="nextTo"/>
        <c:crossAx val="896707968"/>
        <c:crosses val="autoZero"/>
        <c:crossBetween val="midCat"/>
      </c:valAx>
      <c:valAx>
        <c:axId val="896707968"/>
        <c:scaling>
          <c:orientation val="minMax"/>
          <c:max val="10000"/>
        </c:scaling>
        <c:delete val="0"/>
        <c:axPos val="l"/>
        <c:numFmt formatCode="General" sourceLinked="1"/>
        <c:majorTickMark val="none"/>
        <c:minorTickMark val="none"/>
        <c:tickLblPos val="none"/>
        <c:spPr>
          <a:ln>
            <a:noFill/>
          </a:ln>
        </c:spPr>
        <c:crossAx val="896706432"/>
        <c:crosses val="autoZero"/>
        <c:crossBetween val="midCat"/>
      </c:valAx>
      <c:spPr>
        <a:noFill/>
        <a:ln w="25400">
          <a:noFill/>
        </a:ln>
      </c:spPr>
    </c:plotArea>
    <c:legend>
      <c:legendPos val="t"/>
      <c:legendEntry>
        <c:idx val="1"/>
        <c:delete val="1"/>
      </c:legendEntry>
      <c:legendEntry>
        <c:idx val="2"/>
        <c:delete val="1"/>
      </c:legendEntry>
      <c:legendEntry>
        <c:idx val="3"/>
        <c:delete val="1"/>
      </c:legendEntry>
      <c:layout>
        <c:manualLayout>
          <c:xMode val="edge"/>
          <c:yMode val="edge"/>
          <c:x val="0.16012309346701573"/>
          <c:y val="0.12575730104276464"/>
          <c:w val="0.53363195603387825"/>
          <c:h val="6.9164466852895373E-2"/>
        </c:manualLayout>
      </c:layout>
      <c:overlay val="0"/>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240419947506558E-2"/>
          <c:y val="4.7318487029612097E-2"/>
          <c:w val="0.87566363793722601"/>
          <c:h val="0.79495268138801267"/>
        </c:manualLayout>
      </c:layout>
      <c:lineChart>
        <c:grouping val="standard"/>
        <c:varyColors val="0"/>
        <c:ser>
          <c:idx val="2"/>
          <c:order val="0"/>
          <c:tx>
            <c:strRef>
              <c:f>ChartSupport!$A$389</c:f>
              <c:strCache>
                <c:ptCount val="1"/>
                <c:pt idx="0">
                  <c:v>Agricultural yield (ton/ha)</c:v>
                </c:pt>
              </c:strCache>
            </c:strRef>
          </c:tx>
          <c:spPr>
            <a:ln w="25400">
              <a:solidFill>
                <a:schemeClr val="accent1"/>
              </a:solidFill>
              <a:prstDash val="solid"/>
            </a:ln>
          </c:spPr>
          <c:marker>
            <c:symbol val="none"/>
          </c:marker>
          <c:cat>
            <c:strRef>
              <c:f>ChartSupport!$AA$355:$BY$355</c:f>
              <c:strCache>
                <c:ptCount val="23"/>
                <c:pt idx="0">
                  <c:v>2Q13</c:v>
                </c:pt>
                <c:pt idx="1">
                  <c:v>3Q13</c:v>
                </c:pt>
                <c:pt idx="2">
                  <c:v>4Q13</c:v>
                </c:pt>
                <c:pt idx="3">
                  <c:v>1Q14</c:v>
                </c:pt>
                <c:pt idx="4">
                  <c:v>2Q14</c:v>
                </c:pt>
                <c:pt idx="5">
                  <c:v>3Q14</c:v>
                </c:pt>
                <c:pt idx="6">
                  <c:v>4Q14</c:v>
                </c:pt>
                <c:pt idx="7">
                  <c:v>1Q15</c:v>
                </c:pt>
                <c:pt idx="8">
                  <c:v>2Q15</c:v>
                </c:pt>
                <c:pt idx="9">
                  <c:v>3Q15</c:v>
                </c:pt>
                <c:pt idx="10">
                  <c:v>4Q15</c:v>
                </c:pt>
                <c:pt idx="11">
                  <c:v>1Q16</c:v>
                </c:pt>
                <c:pt idx="12">
                  <c:v>2Q16</c:v>
                </c:pt>
                <c:pt idx="13">
                  <c:v>3Q16</c:v>
                </c:pt>
                <c:pt idx="14">
                  <c:v>4Q16</c:v>
                </c:pt>
                <c:pt idx="15">
                  <c:v>1Q17</c:v>
                </c:pt>
                <c:pt idx="16">
                  <c:v>2Q17</c:v>
                </c:pt>
                <c:pt idx="17">
                  <c:v>3Q17</c:v>
                </c:pt>
                <c:pt idx="18">
                  <c:v>4Q17</c:v>
                </c:pt>
                <c:pt idx="19">
                  <c:v>1Q18</c:v>
                </c:pt>
                <c:pt idx="20">
                  <c:v>2Q18e</c:v>
                </c:pt>
                <c:pt idx="21">
                  <c:v>3Q18e</c:v>
                </c:pt>
                <c:pt idx="22">
                  <c:v>4Q18e</c:v>
                </c:pt>
              </c:strCache>
            </c:strRef>
          </c:cat>
          <c:val>
            <c:numRef>
              <c:f>ChartSupport!$AA$389:$BY$389</c:f>
              <c:numCache>
                <c:formatCode>_(* #,##0_);_(* \(#,##0\);_(* "-"??_);_(@_)</c:formatCode>
                <c:ptCount val="23"/>
                <c:pt idx="0">
                  <c:v>90.2</c:v>
                </c:pt>
                <c:pt idx="1">
                  <c:v>84.889977105062329</c:v>
                </c:pt>
                <c:pt idx="2">
                  <c:v>88.58</c:v>
                </c:pt>
                <c:pt idx="3">
                  <c:v>81.790000000000006</c:v>
                </c:pt>
                <c:pt idx="4">
                  <c:v>116.55536001312122</c:v>
                </c:pt>
                <c:pt idx="5">
                  <c:v>98.027327935222672</c:v>
                </c:pt>
                <c:pt idx="6">
                  <c:v>99.47</c:v>
                </c:pt>
                <c:pt idx="7">
                  <c:v>93.33</c:v>
                </c:pt>
                <c:pt idx="8">
                  <c:v>83.266525140950407</c:v>
                </c:pt>
                <c:pt idx="9">
                  <c:v>87.770362461365551</c:v>
                </c:pt>
                <c:pt idx="10">
                  <c:v>87.6</c:v>
                </c:pt>
                <c:pt idx="11">
                  <c:v>83.2</c:v>
                </c:pt>
                <c:pt idx="12">
                  <c:v>85.171289984268498</c:v>
                </c:pt>
                <c:pt idx="13">
                  <c:v>91.02590735913374</c:v>
                </c:pt>
                <c:pt idx="14">
                  <c:v>85.9</c:v>
                </c:pt>
                <c:pt idx="15">
                  <c:v>85.4</c:v>
                </c:pt>
                <c:pt idx="16">
                  <c:v>76.486268871315602</c:v>
                </c:pt>
                <c:pt idx="17">
                  <c:v>65.469588941433216</c:v>
                </c:pt>
                <c:pt idx="18">
                  <c:v>78.7</c:v>
                </c:pt>
                <c:pt idx="19">
                  <c:v>86</c:v>
                </c:pt>
                <c:pt idx="20">
                  <c:v>91.083924624497243</c:v>
                </c:pt>
                <c:pt idx="21">
                  <c:v>91.083924624497243</c:v>
                </c:pt>
                <c:pt idx="22">
                  <c:v>91.083924624497243</c:v>
                </c:pt>
              </c:numCache>
            </c:numRef>
          </c:val>
          <c:smooth val="0"/>
        </c:ser>
        <c:dLbls>
          <c:showLegendKey val="0"/>
          <c:showVal val="0"/>
          <c:showCatName val="0"/>
          <c:showSerName val="0"/>
          <c:showPercent val="0"/>
          <c:showBubbleSize val="0"/>
        </c:dLbls>
        <c:marker val="1"/>
        <c:smooth val="0"/>
        <c:axId val="897868160"/>
        <c:axId val="897869696"/>
      </c:lineChart>
      <c:scatterChart>
        <c:scatterStyle val="lineMarker"/>
        <c:varyColors val="0"/>
        <c:ser>
          <c:idx val="0"/>
          <c:order val="1"/>
          <c:tx>
            <c:v>Line1</c:v>
          </c:tx>
          <c:spPr>
            <a:ln w="25400">
              <a:solidFill>
                <a:srgbClr val="FF0000"/>
              </a:solidFill>
            </a:ln>
          </c:spPr>
          <c:marker>
            <c:symbol val="none"/>
          </c:marker>
          <c:xVal>
            <c:numRef>
              <c:f>ChartSupport!$O$428:$P$428</c:f>
              <c:numCache>
                <c:formatCode>General</c:formatCode>
                <c:ptCount val="2"/>
                <c:pt idx="0">
                  <c:v>13</c:v>
                </c:pt>
                <c:pt idx="1">
                  <c:v>13</c:v>
                </c:pt>
              </c:numCache>
            </c:numRef>
          </c:xVal>
          <c:yVal>
            <c:numRef>
              <c:f>ChartSupport!$O$431:$P$431</c:f>
              <c:numCache>
                <c:formatCode>General</c:formatCode>
                <c:ptCount val="2"/>
                <c:pt idx="0">
                  <c:v>0</c:v>
                </c:pt>
                <c:pt idx="1">
                  <c:v>10000</c:v>
                </c:pt>
              </c:numCache>
            </c:numRef>
          </c:yVal>
          <c:smooth val="0"/>
        </c:ser>
        <c:ser>
          <c:idx val="1"/>
          <c:order val="2"/>
          <c:tx>
            <c:v>Line2</c:v>
          </c:tx>
          <c:spPr>
            <a:ln w="25400">
              <a:solidFill>
                <a:srgbClr val="FF0000"/>
              </a:solidFill>
            </a:ln>
          </c:spPr>
          <c:marker>
            <c:symbol val="none"/>
          </c:marker>
          <c:xVal>
            <c:numRef>
              <c:f>ChartSupport!$O$429:$P$429</c:f>
              <c:numCache>
                <c:formatCode>General</c:formatCode>
                <c:ptCount val="2"/>
                <c:pt idx="0">
                  <c:v>17</c:v>
                </c:pt>
                <c:pt idx="1">
                  <c:v>17</c:v>
                </c:pt>
              </c:numCache>
            </c:numRef>
          </c:xVal>
          <c:yVal>
            <c:numRef>
              <c:f>ChartSupport!$O$431:$P$431</c:f>
              <c:numCache>
                <c:formatCode>General</c:formatCode>
                <c:ptCount val="2"/>
                <c:pt idx="0">
                  <c:v>0</c:v>
                </c:pt>
                <c:pt idx="1">
                  <c:v>10000</c:v>
                </c:pt>
              </c:numCache>
            </c:numRef>
          </c:yVal>
          <c:smooth val="0"/>
        </c:ser>
        <c:ser>
          <c:idx val="3"/>
          <c:order val="3"/>
          <c:tx>
            <c:v>Line 3</c:v>
          </c:tx>
          <c:spPr>
            <a:ln>
              <a:solidFill>
                <a:srgbClr val="FF0000"/>
              </a:solidFill>
              <a:prstDash val="dash"/>
            </a:ln>
          </c:spPr>
          <c:marker>
            <c:symbol val="none"/>
          </c:marker>
          <c:xVal>
            <c:numRef>
              <c:f>ChartSupport!$O$430:$P$430</c:f>
              <c:numCache>
                <c:formatCode>General</c:formatCode>
                <c:ptCount val="2"/>
                <c:pt idx="0">
                  <c:v>21</c:v>
                </c:pt>
                <c:pt idx="1">
                  <c:v>21</c:v>
                </c:pt>
              </c:numCache>
            </c:numRef>
          </c:xVal>
          <c:yVal>
            <c:numRef>
              <c:f>ChartSupport!$O$431:$P$431</c:f>
              <c:numCache>
                <c:formatCode>General</c:formatCode>
                <c:ptCount val="2"/>
                <c:pt idx="0">
                  <c:v>0</c:v>
                </c:pt>
                <c:pt idx="1">
                  <c:v>10000</c:v>
                </c:pt>
              </c:numCache>
            </c:numRef>
          </c:yVal>
          <c:smooth val="0"/>
        </c:ser>
        <c:dLbls>
          <c:showLegendKey val="0"/>
          <c:showVal val="0"/>
          <c:showCatName val="0"/>
          <c:showSerName val="0"/>
          <c:showPercent val="0"/>
          <c:showBubbleSize val="0"/>
        </c:dLbls>
        <c:axId val="897875968"/>
        <c:axId val="897877504"/>
      </c:scatterChart>
      <c:catAx>
        <c:axId val="897868160"/>
        <c:scaling>
          <c:orientation val="minMax"/>
        </c:scaling>
        <c:delete val="0"/>
        <c:axPos val="b"/>
        <c:numFmt formatCode="mmm\-yy" sourceLinked="0"/>
        <c:majorTickMark val="out"/>
        <c:minorTickMark val="none"/>
        <c:tickLblPos val="nextTo"/>
        <c:spPr>
          <a:ln w="3175">
            <a:solidFill>
              <a:srgbClr val="808080"/>
            </a:solidFill>
            <a:prstDash val="solid"/>
          </a:ln>
        </c:spPr>
        <c:txPr>
          <a:bodyPr rot="-5400000" vert="horz"/>
          <a:lstStyle/>
          <a:p>
            <a:pPr>
              <a:defRPr/>
            </a:pPr>
            <a:endParaRPr lang="en-US"/>
          </a:p>
        </c:txPr>
        <c:crossAx val="897869696"/>
        <c:crosses val="autoZero"/>
        <c:auto val="1"/>
        <c:lblAlgn val="ctr"/>
        <c:lblOffset val="100"/>
        <c:tickMarkSkip val="1"/>
        <c:noMultiLvlLbl val="0"/>
      </c:catAx>
      <c:valAx>
        <c:axId val="897869696"/>
        <c:scaling>
          <c:orientation val="minMax"/>
        </c:scaling>
        <c:delete val="0"/>
        <c:axPos val="l"/>
        <c:title>
          <c:tx>
            <c:rich>
              <a:bodyPr rot="0" vert="horz"/>
              <a:lstStyle/>
              <a:p>
                <a:pPr>
                  <a:defRPr/>
                </a:pPr>
                <a:r>
                  <a:rPr lang="en-US"/>
                  <a:t>Ton/ha</a:t>
                </a:r>
              </a:p>
            </c:rich>
          </c:tx>
          <c:layout>
            <c:manualLayout>
              <c:xMode val="edge"/>
              <c:yMode val="edge"/>
              <c:x val="8.909854720258624E-2"/>
              <c:y val="2.9915077115551598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7868160"/>
        <c:crosses val="autoZero"/>
        <c:crossBetween val="midCat"/>
      </c:valAx>
      <c:valAx>
        <c:axId val="897875968"/>
        <c:scaling>
          <c:orientation val="minMax"/>
        </c:scaling>
        <c:delete val="1"/>
        <c:axPos val="b"/>
        <c:numFmt formatCode="General" sourceLinked="1"/>
        <c:majorTickMark val="out"/>
        <c:minorTickMark val="none"/>
        <c:tickLblPos val="nextTo"/>
        <c:crossAx val="897877504"/>
        <c:crosses val="autoZero"/>
        <c:crossBetween val="midCat"/>
      </c:valAx>
      <c:valAx>
        <c:axId val="897877504"/>
        <c:scaling>
          <c:orientation val="minMax"/>
          <c:max val="10000"/>
        </c:scaling>
        <c:delete val="0"/>
        <c:axPos val="l"/>
        <c:numFmt formatCode="General" sourceLinked="1"/>
        <c:majorTickMark val="none"/>
        <c:minorTickMark val="none"/>
        <c:tickLblPos val="none"/>
        <c:spPr>
          <a:ln>
            <a:noFill/>
          </a:ln>
        </c:spPr>
        <c:crossAx val="897875968"/>
        <c:crosses val="autoZero"/>
        <c:crossBetween val="midCat"/>
      </c:valAx>
      <c:spPr>
        <a:noFill/>
        <a:ln w="25400">
          <a:noFill/>
        </a:ln>
      </c:spPr>
    </c:plotArea>
    <c:legend>
      <c:legendPos val="t"/>
      <c:legendEntry>
        <c:idx val="1"/>
        <c:delete val="1"/>
      </c:legendEntry>
      <c:legendEntry>
        <c:idx val="2"/>
        <c:delete val="1"/>
      </c:legendEntry>
      <c:legendEntry>
        <c:idx val="3"/>
        <c:delete val="1"/>
      </c:legendEntry>
      <c:layout>
        <c:manualLayout>
          <c:xMode val="edge"/>
          <c:yMode val="edge"/>
          <c:x val="0.19306855396565703"/>
          <c:y val="4.3364586566470568E-2"/>
          <c:w val="0.52832828675420307"/>
          <c:h val="6.9164466852895373E-2"/>
        </c:manualLayout>
      </c:layout>
      <c:overlay val="0"/>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443807175644191E-2"/>
          <c:y val="2.5636324089847326E-2"/>
          <c:w val="0.87566363793722601"/>
          <c:h val="0.79495268138801267"/>
        </c:manualLayout>
      </c:layout>
      <c:lineChart>
        <c:grouping val="standard"/>
        <c:varyColors val="0"/>
        <c:ser>
          <c:idx val="2"/>
          <c:order val="0"/>
          <c:tx>
            <c:strRef>
              <c:f>ChartSupport!$A$390</c:f>
              <c:strCache>
                <c:ptCount val="1"/>
                <c:pt idx="0">
                  <c:v>TRS yield (kg/ton)</c:v>
                </c:pt>
              </c:strCache>
            </c:strRef>
          </c:tx>
          <c:spPr>
            <a:ln w="25400">
              <a:solidFill>
                <a:schemeClr val="accent1"/>
              </a:solidFill>
              <a:prstDash val="solid"/>
            </a:ln>
          </c:spPr>
          <c:marker>
            <c:symbol val="none"/>
          </c:marker>
          <c:cat>
            <c:strRef>
              <c:f>ChartSupport!$Z$355:$BY$355</c:f>
              <c:strCache>
                <c:ptCount val="24"/>
                <c:pt idx="0">
                  <c:v>1Q13</c:v>
                </c:pt>
                <c:pt idx="1">
                  <c:v>2Q13</c:v>
                </c:pt>
                <c:pt idx="2">
                  <c:v>3Q13</c:v>
                </c:pt>
                <c:pt idx="3">
                  <c:v>4Q13</c:v>
                </c:pt>
                <c:pt idx="4">
                  <c:v>1Q14</c:v>
                </c:pt>
                <c:pt idx="5">
                  <c:v>2Q14</c:v>
                </c:pt>
                <c:pt idx="6">
                  <c:v>3Q14</c:v>
                </c:pt>
                <c:pt idx="7">
                  <c:v>4Q14</c:v>
                </c:pt>
                <c:pt idx="8">
                  <c:v>1Q15</c:v>
                </c:pt>
                <c:pt idx="9">
                  <c:v>2Q15</c:v>
                </c:pt>
                <c:pt idx="10">
                  <c:v>3Q15</c:v>
                </c:pt>
                <c:pt idx="11">
                  <c:v>4Q15</c:v>
                </c:pt>
                <c:pt idx="12">
                  <c:v>1Q16</c:v>
                </c:pt>
                <c:pt idx="13">
                  <c:v>2Q16</c:v>
                </c:pt>
                <c:pt idx="14">
                  <c:v>3Q16</c:v>
                </c:pt>
                <c:pt idx="15">
                  <c:v>4Q16</c:v>
                </c:pt>
                <c:pt idx="16">
                  <c:v>1Q17</c:v>
                </c:pt>
                <c:pt idx="17">
                  <c:v>2Q17</c:v>
                </c:pt>
                <c:pt idx="18">
                  <c:v>3Q17</c:v>
                </c:pt>
                <c:pt idx="19">
                  <c:v>4Q17</c:v>
                </c:pt>
                <c:pt idx="20">
                  <c:v>1Q18</c:v>
                </c:pt>
                <c:pt idx="21">
                  <c:v>2Q18e</c:v>
                </c:pt>
                <c:pt idx="22">
                  <c:v>3Q18e</c:v>
                </c:pt>
                <c:pt idx="23">
                  <c:v>4Q18e</c:v>
                </c:pt>
              </c:strCache>
            </c:strRef>
          </c:cat>
          <c:val>
            <c:numRef>
              <c:f>ChartSupport!$Z$390:$BY$390</c:f>
              <c:numCache>
                <c:formatCode>_(* #,##0_);_(* \(#,##0\);_(* "-"??_);_(@_)</c:formatCode>
                <c:ptCount val="24"/>
                <c:pt idx="0">
                  <c:v>122.3440712816998</c:v>
                </c:pt>
                <c:pt idx="1">
                  <c:v>144.96355202120608</c:v>
                </c:pt>
                <c:pt idx="2">
                  <c:v>142.71177817349275</c:v>
                </c:pt>
                <c:pt idx="3">
                  <c:v>0</c:v>
                </c:pt>
                <c:pt idx="4">
                  <c:v>127.00703590113658</c:v>
                </c:pt>
                <c:pt idx="5">
                  <c:v>146.13744464490733</c:v>
                </c:pt>
                <c:pt idx="6">
                  <c:v>136.89271255060729</c:v>
                </c:pt>
                <c:pt idx="7">
                  <c:v>0</c:v>
                </c:pt>
                <c:pt idx="8">
                  <c:v>129.89021184475027</c:v>
                </c:pt>
                <c:pt idx="9">
                  <c:v>149.34990219767573</c:v>
                </c:pt>
                <c:pt idx="10">
                  <c:v>143.86063500983423</c:v>
                </c:pt>
                <c:pt idx="11">
                  <c:v>0</c:v>
                </c:pt>
                <c:pt idx="12">
                  <c:v>118.77446349034958</c:v>
                </c:pt>
                <c:pt idx="13">
                  <c:v>141.19035133717881</c:v>
                </c:pt>
                <c:pt idx="14">
                  <c:v>125.12532584720273</c:v>
                </c:pt>
                <c:pt idx="15">
                  <c:v>0</c:v>
                </c:pt>
                <c:pt idx="16">
                  <c:v>122.40410456877596</c:v>
                </c:pt>
                <c:pt idx="17">
                  <c:v>135.75365444524323</c:v>
                </c:pt>
                <c:pt idx="18">
                  <c:v>137.14077846489633</c:v>
                </c:pt>
                <c:pt idx="19">
                  <c:v>0</c:v>
                </c:pt>
                <c:pt idx="20">
                  <c:v>124.9570889117748</c:v>
                </c:pt>
                <c:pt idx="21">
                  <c:v>132.61717394063814</c:v>
                </c:pt>
                <c:pt idx="22">
                  <c:v>142.92573714758703</c:v>
                </c:pt>
                <c:pt idx="23">
                  <c:v>0</c:v>
                </c:pt>
              </c:numCache>
            </c:numRef>
          </c:val>
          <c:smooth val="0"/>
        </c:ser>
        <c:dLbls>
          <c:showLegendKey val="0"/>
          <c:showVal val="0"/>
          <c:showCatName val="0"/>
          <c:showSerName val="0"/>
          <c:showPercent val="0"/>
          <c:showBubbleSize val="0"/>
        </c:dLbls>
        <c:marker val="1"/>
        <c:smooth val="0"/>
        <c:axId val="897668992"/>
        <c:axId val="897670528"/>
      </c:lineChart>
      <c:scatterChart>
        <c:scatterStyle val="lineMarker"/>
        <c:varyColors val="0"/>
        <c:ser>
          <c:idx val="0"/>
          <c:order val="1"/>
          <c:tx>
            <c:v>Line1</c:v>
          </c:tx>
          <c:spPr>
            <a:ln w="25400">
              <a:solidFill>
                <a:srgbClr val="FF0000"/>
              </a:solidFill>
            </a:ln>
          </c:spPr>
          <c:marker>
            <c:symbol val="none"/>
          </c:marker>
          <c:xVal>
            <c:numRef>
              <c:f>ChartSupport!$R$428:$S$428</c:f>
              <c:numCache>
                <c:formatCode>General</c:formatCode>
                <c:ptCount val="2"/>
                <c:pt idx="0">
                  <c:v>14</c:v>
                </c:pt>
                <c:pt idx="1">
                  <c:v>14</c:v>
                </c:pt>
              </c:numCache>
            </c:numRef>
          </c:xVal>
          <c:yVal>
            <c:numRef>
              <c:f>ChartSupport!$R$431:$S$431</c:f>
              <c:numCache>
                <c:formatCode>General</c:formatCode>
                <c:ptCount val="2"/>
                <c:pt idx="0">
                  <c:v>0</c:v>
                </c:pt>
                <c:pt idx="1">
                  <c:v>10000</c:v>
                </c:pt>
              </c:numCache>
            </c:numRef>
          </c:yVal>
          <c:smooth val="0"/>
        </c:ser>
        <c:ser>
          <c:idx val="1"/>
          <c:order val="2"/>
          <c:tx>
            <c:v>Line2</c:v>
          </c:tx>
          <c:spPr>
            <a:ln w="25400">
              <a:solidFill>
                <a:srgbClr val="FF0000"/>
              </a:solidFill>
            </a:ln>
          </c:spPr>
          <c:marker>
            <c:symbol val="none"/>
          </c:marker>
          <c:xVal>
            <c:numRef>
              <c:f>ChartSupport!$R$429:$S$429</c:f>
              <c:numCache>
                <c:formatCode>General</c:formatCode>
                <c:ptCount val="2"/>
                <c:pt idx="0">
                  <c:v>18</c:v>
                </c:pt>
                <c:pt idx="1">
                  <c:v>18</c:v>
                </c:pt>
              </c:numCache>
            </c:numRef>
          </c:xVal>
          <c:yVal>
            <c:numRef>
              <c:f>ChartSupport!$R$431:$S$431</c:f>
              <c:numCache>
                <c:formatCode>General</c:formatCode>
                <c:ptCount val="2"/>
                <c:pt idx="0">
                  <c:v>0</c:v>
                </c:pt>
                <c:pt idx="1">
                  <c:v>10000</c:v>
                </c:pt>
              </c:numCache>
            </c:numRef>
          </c:yVal>
          <c:smooth val="0"/>
        </c:ser>
        <c:ser>
          <c:idx val="3"/>
          <c:order val="3"/>
          <c:tx>
            <c:v>Line 3</c:v>
          </c:tx>
          <c:spPr>
            <a:ln>
              <a:solidFill>
                <a:srgbClr val="FF0000"/>
              </a:solidFill>
              <a:prstDash val="dash"/>
            </a:ln>
          </c:spPr>
          <c:marker>
            <c:symbol val="none"/>
          </c:marker>
          <c:xVal>
            <c:numRef>
              <c:f>ChartSupport!$R$430:$S$430</c:f>
              <c:numCache>
                <c:formatCode>General</c:formatCode>
                <c:ptCount val="2"/>
                <c:pt idx="0">
                  <c:v>22</c:v>
                </c:pt>
                <c:pt idx="1">
                  <c:v>22</c:v>
                </c:pt>
              </c:numCache>
            </c:numRef>
          </c:xVal>
          <c:yVal>
            <c:numRef>
              <c:f>ChartSupport!$R$431:$S$431</c:f>
              <c:numCache>
                <c:formatCode>General</c:formatCode>
                <c:ptCount val="2"/>
                <c:pt idx="0">
                  <c:v>0</c:v>
                </c:pt>
                <c:pt idx="1">
                  <c:v>10000</c:v>
                </c:pt>
              </c:numCache>
            </c:numRef>
          </c:yVal>
          <c:smooth val="0"/>
        </c:ser>
        <c:dLbls>
          <c:showLegendKey val="0"/>
          <c:showVal val="0"/>
          <c:showCatName val="0"/>
          <c:showSerName val="0"/>
          <c:showPercent val="0"/>
          <c:showBubbleSize val="0"/>
        </c:dLbls>
        <c:axId val="897676800"/>
        <c:axId val="897678336"/>
      </c:scatterChart>
      <c:catAx>
        <c:axId val="897668992"/>
        <c:scaling>
          <c:orientation val="minMax"/>
        </c:scaling>
        <c:delete val="0"/>
        <c:axPos val="b"/>
        <c:numFmt formatCode="mmm\-yy" sourceLinked="0"/>
        <c:majorTickMark val="out"/>
        <c:minorTickMark val="none"/>
        <c:tickLblPos val="nextTo"/>
        <c:spPr>
          <a:ln w="3175">
            <a:solidFill>
              <a:srgbClr val="808080"/>
            </a:solidFill>
            <a:prstDash val="solid"/>
          </a:ln>
        </c:spPr>
        <c:txPr>
          <a:bodyPr rot="-5400000" vert="horz"/>
          <a:lstStyle/>
          <a:p>
            <a:pPr>
              <a:defRPr/>
            </a:pPr>
            <a:endParaRPr lang="en-US"/>
          </a:p>
        </c:txPr>
        <c:crossAx val="897670528"/>
        <c:crosses val="autoZero"/>
        <c:auto val="1"/>
        <c:lblAlgn val="ctr"/>
        <c:lblOffset val="100"/>
        <c:tickMarkSkip val="1"/>
        <c:noMultiLvlLbl val="0"/>
      </c:catAx>
      <c:valAx>
        <c:axId val="897670528"/>
        <c:scaling>
          <c:orientation val="minMax"/>
        </c:scaling>
        <c:delete val="0"/>
        <c:axPos val="l"/>
        <c:title>
          <c:tx>
            <c:rich>
              <a:bodyPr rot="0" vert="horz"/>
              <a:lstStyle/>
              <a:p>
                <a:pPr>
                  <a:defRPr/>
                </a:pPr>
                <a:r>
                  <a:rPr lang="en-US"/>
                  <a:t>Kg/ton</a:t>
                </a:r>
              </a:p>
            </c:rich>
          </c:tx>
          <c:layout>
            <c:manualLayout>
              <c:xMode val="edge"/>
              <c:yMode val="edge"/>
              <c:x val="9.2662463087253968E-2"/>
              <c:y val="3.4251535772198659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7668992"/>
        <c:crosses val="autoZero"/>
        <c:crossBetween val="midCat"/>
      </c:valAx>
      <c:valAx>
        <c:axId val="897676800"/>
        <c:scaling>
          <c:orientation val="minMax"/>
        </c:scaling>
        <c:delete val="1"/>
        <c:axPos val="b"/>
        <c:numFmt formatCode="General" sourceLinked="1"/>
        <c:majorTickMark val="out"/>
        <c:minorTickMark val="none"/>
        <c:tickLblPos val="nextTo"/>
        <c:crossAx val="897678336"/>
        <c:crosses val="autoZero"/>
        <c:crossBetween val="midCat"/>
      </c:valAx>
      <c:valAx>
        <c:axId val="897678336"/>
        <c:scaling>
          <c:orientation val="minMax"/>
          <c:max val="10000"/>
        </c:scaling>
        <c:delete val="0"/>
        <c:axPos val="l"/>
        <c:numFmt formatCode="General" sourceLinked="1"/>
        <c:majorTickMark val="none"/>
        <c:minorTickMark val="none"/>
        <c:tickLblPos val="none"/>
        <c:spPr>
          <a:ln>
            <a:noFill/>
          </a:ln>
        </c:spPr>
        <c:crossAx val="897676800"/>
        <c:crosses val="autoZero"/>
        <c:crossBetween val="midCat"/>
      </c:valAx>
      <c:spPr>
        <a:noFill/>
        <a:ln w="25400">
          <a:noFill/>
        </a:ln>
      </c:spPr>
    </c:plotArea>
    <c:legend>
      <c:legendPos val="t"/>
      <c:legendEntry>
        <c:idx val="1"/>
        <c:delete val="1"/>
      </c:legendEntry>
      <c:legendEntry>
        <c:idx val="2"/>
        <c:delete val="1"/>
      </c:legendEntry>
      <c:legendEntry>
        <c:idx val="3"/>
        <c:delete val="1"/>
      </c:legendEntry>
      <c:layout>
        <c:manualLayout>
          <c:xMode val="edge"/>
          <c:yMode val="edge"/>
          <c:x val="0.17349965805811243"/>
          <c:y val="2.6018751939882342E-2"/>
          <c:w val="0.41065270350172628"/>
          <c:h val="6.9164466852895373E-2"/>
        </c:manualLayout>
      </c:layout>
      <c:overlay val="0"/>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081095995076087"/>
          <c:y val="4.7619325362107515E-2"/>
          <c:w val="0.77504651541198855"/>
          <c:h val="0.81266841644794396"/>
        </c:manualLayout>
      </c:layout>
      <c:lineChart>
        <c:grouping val="standard"/>
        <c:varyColors val="0"/>
        <c:ser>
          <c:idx val="4"/>
          <c:order val="0"/>
          <c:tx>
            <c:v>Sugar sales ('000 tons)</c:v>
          </c:tx>
          <c:spPr>
            <a:ln w="25400">
              <a:solidFill>
                <a:srgbClr val="2270AB"/>
              </a:solidFill>
              <a:prstDash val="solid"/>
            </a:ln>
          </c:spPr>
          <c:marker>
            <c:symbol val="none"/>
          </c:marke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ChartSupport!$B$392:$BY$392</c:f>
              <c:numCache>
                <c:formatCode>_(* #,##0_);_(* \(#,##0\);_(* "-"??_);_(@_)</c:formatCode>
                <c:ptCount val="48"/>
                <c:pt idx="0">
                  <c:v>135.20600000000002</c:v>
                </c:pt>
                <c:pt idx="1">
                  <c:v>184.16800000000001</c:v>
                </c:pt>
                <c:pt idx="2">
                  <c:v>166.79500000000002</c:v>
                </c:pt>
                <c:pt idx="3">
                  <c:v>190.173</c:v>
                </c:pt>
                <c:pt idx="4">
                  <c:v>163.96799999999999</c:v>
                </c:pt>
                <c:pt idx="5">
                  <c:v>172.58199999999999</c:v>
                </c:pt>
                <c:pt idx="6">
                  <c:v>110.054</c:v>
                </c:pt>
                <c:pt idx="7">
                  <c:v>159.143</c:v>
                </c:pt>
                <c:pt idx="8">
                  <c:v>35.57</c:v>
                </c:pt>
                <c:pt idx="9">
                  <c:v>109.80499999999999</c:v>
                </c:pt>
                <c:pt idx="10">
                  <c:v>139</c:v>
                </c:pt>
                <c:pt idx="11">
                  <c:v>133.30000000000001</c:v>
                </c:pt>
                <c:pt idx="12">
                  <c:v>172.2</c:v>
                </c:pt>
                <c:pt idx="13">
                  <c:v>228.2</c:v>
                </c:pt>
                <c:pt idx="14">
                  <c:v>192.6</c:v>
                </c:pt>
                <c:pt idx="15">
                  <c:v>225.7</c:v>
                </c:pt>
                <c:pt idx="16">
                  <c:v>217.5</c:v>
                </c:pt>
                <c:pt idx="17">
                  <c:v>270</c:v>
                </c:pt>
                <c:pt idx="18">
                  <c:v>230.1</c:v>
                </c:pt>
                <c:pt idx="19">
                  <c:v>118.5</c:v>
                </c:pt>
                <c:pt idx="20">
                  <c:v>219.4</c:v>
                </c:pt>
                <c:pt idx="21">
                  <c:v>297.5</c:v>
                </c:pt>
                <c:pt idx="22">
                  <c:v>198</c:v>
                </c:pt>
                <c:pt idx="23">
                  <c:v>110.80000000000001</c:v>
                </c:pt>
                <c:pt idx="24">
                  <c:v>136</c:v>
                </c:pt>
                <c:pt idx="25">
                  <c:v>414.2</c:v>
                </c:pt>
                <c:pt idx="26">
                  <c:v>173.9</c:v>
                </c:pt>
                <c:pt idx="27">
                  <c:v>252.3</c:v>
                </c:pt>
                <c:pt idx="28">
                  <c:v>256.80000000000007</c:v>
                </c:pt>
                <c:pt idx="29">
                  <c:v>324.89999999999998</c:v>
                </c:pt>
                <c:pt idx="30">
                  <c:v>185.6</c:v>
                </c:pt>
                <c:pt idx="31">
                  <c:v>223.9</c:v>
                </c:pt>
                <c:pt idx="32">
                  <c:v>233.9</c:v>
                </c:pt>
                <c:pt idx="33">
                  <c:v>287.5</c:v>
                </c:pt>
                <c:pt idx="34">
                  <c:v>316.8</c:v>
                </c:pt>
                <c:pt idx="35">
                  <c:v>338.9</c:v>
                </c:pt>
                <c:pt idx="36">
                  <c:v>202.8</c:v>
                </c:pt>
                <c:pt idx="37">
                  <c:v>279.3</c:v>
                </c:pt>
                <c:pt idx="38">
                  <c:v>356.3</c:v>
                </c:pt>
                <c:pt idx="39">
                  <c:v>362.59999999999997</c:v>
                </c:pt>
                <c:pt idx="40">
                  <c:v>329.1</c:v>
                </c:pt>
                <c:pt idx="41">
                  <c:v>327.40000000000003</c:v>
                </c:pt>
                <c:pt idx="42">
                  <c:v>283.40000000000003</c:v>
                </c:pt>
                <c:pt idx="43">
                  <c:v>373.8</c:v>
                </c:pt>
                <c:pt idx="44">
                  <c:v>372</c:v>
                </c:pt>
                <c:pt idx="45">
                  <c:v>304.24401188024819</c:v>
                </c:pt>
                <c:pt idx="46">
                  <c:v>311.56031459427254</c:v>
                </c:pt>
                <c:pt idx="47">
                  <c:v>407.23148929956733</c:v>
                </c:pt>
              </c:numCache>
            </c:numRef>
          </c:val>
          <c:smooth val="0"/>
        </c:ser>
        <c:dLbls>
          <c:showLegendKey val="0"/>
          <c:showVal val="0"/>
          <c:showCatName val="0"/>
          <c:showSerName val="0"/>
          <c:showPercent val="0"/>
          <c:showBubbleSize val="0"/>
        </c:dLbls>
        <c:marker val="1"/>
        <c:smooth val="0"/>
        <c:axId val="897743488"/>
        <c:axId val="897745280"/>
      </c:lineChart>
      <c:lineChart>
        <c:grouping val="stacked"/>
        <c:varyColors val="0"/>
        <c:ser>
          <c:idx val="6"/>
          <c:order val="1"/>
          <c:tx>
            <c:strRef>
              <c:f>ChartSupport!$A$391</c:f>
              <c:strCache>
                <c:ptCount val="1"/>
                <c:pt idx="0">
                  <c:v>Average Sugar Price (R$/ton)</c:v>
                </c:pt>
              </c:strCache>
            </c:strRef>
          </c:tx>
          <c:spPr>
            <a:ln w="15875">
              <a:solidFill>
                <a:srgbClr val="FF0000"/>
              </a:solidFill>
              <a:prstDash val="sysDash"/>
            </a:ln>
          </c:spPr>
          <c:marker>
            <c:symbol val="none"/>
          </c:marke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ChartSupport!$B$391:$BY$391</c:f>
              <c:numCache>
                <c:formatCode>_(* #,##0_);_(* \(#,##0\);_(* "-"??_);_(@_)</c:formatCode>
                <c:ptCount val="48"/>
                <c:pt idx="0">
                  <c:v>530.86401491058086</c:v>
                </c:pt>
                <c:pt idx="1">
                  <c:v>747.76834194865557</c:v>
                </c:pt>
                <c:pt idx="2">
                  <c:v>581.3303756107797</c:v>
                </c:pt>
                <c:pt idx="3">
                  <c:v>541.71727847801742</c:v>
                </c:pt>
                <c:pt idx="4">
                  <c:v>467.79859484777529</c:v>
                </c:pt>
                <c:pt idx="5">
                  <c:v>453.39606679723255</c:v>
                </c:pt>
                <c:pt idx="6">
                  <c:v>402.51149435731548</c:v>
                </c:pt>
                <c:pt idx="7">
                  <c:v>468.74823272151463</c:v>
                </c:pt>
                <c:pt idx="8">
                  <c:v>400.9277481023334</c:v>
                </c:pt>
                <c:pt idx="9">
                  <c:v>404.64459724056286</c:v>
                </c:pt>
                <c:pt idx="10">
                  <c:v>587.89928057553959</c:v>
                </c:pt>
                <c:pt idx="11">
                  <c:v>665.3413353338334</c:v>
                </c:pt>
                <c:pt idx="12">
                  <c:v>608.66434378629503</c:v>
                </c:pt>
                <c:pt idx="13">
                  <c:v>601.74846625766872</c:v>
                </c:pt>
                <c:pt idx="14">
                  <c:v>731.32917964693672</c:v>
                </c:pt>
                <c:pt idx="15">
                  <c:v>882.88435976960579</c:v>
                </c:pt>
                <c:pt idx="16">
                  <c:v>815.84827586206893</c:v>
                </c:pt>
                <c:pt idx="17">
                  <c:v>790.14444444444439</c:v>
                </c:pt>
                <c:pt idx="18">
                  <c:v>855.7279443720123</c:v>
                </c:pt>
                <c:pt idx="19">
                  <c:v>966.12658227848101</c:v>
                </c:pt>
                <c:pt idx="20">
                  <c:v>899.0154968094804</c:v>
                </c:pt>
                <c:pt idx="21">
                  <c:v>916.88403361344535</c:v>
                </c:pt>
                <c:pt idx="22">
                  <c:v>963.25757575757575</c:v>
                </c:pt>
                <c:pt idx="23">
                  <c:v>956.19133574007208</c:v>
                </c:pt>
                <c:pt idx="24">
                  <c:v>1071.9338235294117</c:v>
                </c:pt>
                <c:pt idx="25">
                  <c:v>983.59005311443741</c:v>
                </c:pt>
                <c:pt idx="26">
                  <c:v>947.60207015526157</c:v>
                </c:pt>
                <c:pt idx="27">
                  <c:v>920.93539437177958</c:v>
                </c:pt>
                <c:pt idx="28">
                  <c:v>892.09112149532689</c:v>
                </c:pt>
                <c:pt idx="29">
                  <c:v>911.24038165589423</c:v>
                </c:pt>
                <c:pt idx="30">
                  <c:v>912.65086206896558</c:v>
                </c:pt>
                <c:pt idx="31">
                  <c:v>847.41402411790989</c:v>
                </c:pt>
                <c:pt idx="32">
                  <c:v>871.58614792646426</c:v>
                </c:pt>
                <c:pt idx="33">
                  <c:v>868.80347826086961</c:v>
                </c:pt>
                <c:pt idx="34">
                  <c:v>899.80429292929284</c:v>
                </c:pt>
                <c:pt idx="35">
                  <c:v>1022.2514015933906</c:v>
                </c:pt>
                <c:pt idx="36">
                  <c:v>962.20907297830388</c:v>
                </c:pt>
                <c:pt idx="37">
                  <c:v>1038.499820981024</c:v>
                </c:pt>
                <c:pt idx="38">
                  <c:v>1070.2975021049676</c:v>
                </c:pt>
                <c:pt idx="39">
                  <c:v>1081.6050744622173</c:v>
                </c:pt>
                <c:pt idx="40">
                  <c:v>1177.1801883925857</c:v>
                </c:pt>
                <c:pt idx="41">
                  <c:v>1181.0354306658521</c:v>
                </c:pt>
                <c:pt idx="42">
                  <c:v>1227.6958362738178</c:v>
                </c:pt>
                <c:pt idx="43">
                  <c:v>1398.1273408239699</c:v>
                </c:pt>
                <c:pt idx="44">
                  <c:v>1485.6263440860216</c:v>
                </c:pt>
                <c:pt idx="45">
                  <c:v>1408.3313146170381</c:v>
                </c:pt>
                <c:pt idx="46">
                  <c:v>1407.1027539009983</c:v>
                </c:pt>
                <c:pt idx="47">
                  <c:v>1337.1077796109391</c:v>
                </c:pt>
              </c:numCache>
            </c:numRef>
          </c:val>
          <c:smooth val="0"/>
        </c:ser>
        <c:dLbls>
          <c:showLegendKey val="0"/>
          <c:showVal val="0"/>
          <c:showCatName val="0"/>
          <c:showSerName val="0"/>
          <c:showPercent val="0"/>
          <c:showBubbleSize val="0"/>
        </c:dLbls>
        <c:marker val="1"/>
        <c:smooth val="0"/>
        <c:axId val="897747200"/>
        <c:axId val="897757184"/>
      </c:lineChart>
      <c:scatterChart>
        <c:scatterStyle val="lineMarker"/>
        <c:varyColors val="0"/>
        <c:ser>
          <c:idx val="3"/>
          <c:order val="5"/>
          <c:tx>
            <c:v>zeroline</c:v>
          </c:tx>
          <c:spPr>
            <a:ln w="3175">
              <a:solidFill>
                <a:schemeClr val="bg1">
                  <a:lumMod val="50000"/>
                </a:schemeClr>
              </a:solidFill>
            </a:ln>
          </c:spPr>
          <c:marker>
            <c:symbol val="none"/>
          </c:marker>
          <c:yVal>
            <c:numRef>
              <c:f>ChartSupport!$B$421:$BY$421</c:f>
              <c:numCache>
                <c:formatCode>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yVal>
          <c:smooth val="0"/>
        </c:ser>
        <c:dLbls>
          <c:showLegendKey val="0"/>
          <c:showVal val="0"/>
          <c:showCatName val="0"/>
          <c:showSerName val="0"/>
          <c:showPercent val="0"/>
          <c:showBubbleSize val="0"/>
        </c:dLbls>
        <c:axId val="897743488"/>
        <c:axId val="897745280"/>
      </c:scatterChart>
      <c:scatterChart>
        <c:scatterStyle val="lineMarker"/>
        <c:varyColors val="0"/>
        <c:ser>
          <c:idx val="0"/>
          <c:order val="2"/>
          <c:tx>
            <c:v>Line1</c:v>
          </c:tx>
          <c:spPr>
            <a:ln w="25400">
              <a:solidFill>
                <a:srgbClr val="FF0000"/>
              </a:solidFill>
            </a:ln>
          </c:spPr>
          <c:marker>
            <c:symbol val="none"/>
          </c:marker>
          <c:xVal>
            <c:numRef>
              <c:f>ChartSupport!$U$428:$V$428</c:f>
              <c:numCache>
                <c:formatCode>General</c:formatCode>
                <c:ptCount val="2"/>
                <c:pt idx="0">
                  <c:v>38</c:v>
                </c:pt>
                <c:pt idx="1">
                  <c:v>38</c:v>
                </c:pt>
              </c:numCache>
            </c:numRef>
          </c:xVal>
          <c:yVal>
            <c:numRef>
              <c:f>ChartSupport!$U$431:$V$431</c:f>
              <c:numCache>
                <c:formatCode>General</c:formatCode>
                <c:ptCount val="2"/>
                <c:pt idx="0">
                  <c:v>0</c:v>
                </c:pt>
                <c:pt idx="1">
                  <c:v>10000</c:v>
                </c:pt>
              </c:numCache>
            </c:numRef>
          </c:yVal>
          <c:smooth val="0"/>
        </c:ser>
        <c:ser>
          <c:idx val="1"/>
          <c:order val="3"/>
          <c:tx>
            <c:v>Line2</c:v>
          </c:tx>
          <c:spPr>
            <a:ln w="25400">
              <a:solidFill>
                <a:srgbClr val="FF0000"/>
              </a:solidFill>
            </a:ln>
          </c:spPr>
          <c:marker>
            <c:symbol val="none"/>
          </c:marker>
          <c:xVal>
            <c:numRef>
              <c:f>ChartSupport!$U$429:$V$429</c:f>
              <c:numCache>
                <c:formatCode>General</c:formatCode>
                <c:ptCount val="2"/>
                <c:pt idx="0">
                  <c:v>42</c:v>
                </c:pt>
                <c:pt idx="1">
                  <c:v>42</c:v>
                </c:pt>
              </c:numCache>
            </c:numRef>
          </c:xVal>
          <c:yVal>
            <c:numRef>
              <c:f>ChartSupport!$U$431:$V$431</c:f>
              <c:numCache>
                <c:formatCode>General</c:formatCode>
                <c:ptCount val="2"/>
                <c:pt idx="0">
                  <c:v>0</c:v>
                </c:pt>
                <c:pt idx="1">
                  <c:v>10000</c:v>
                </c:pt>
              </c:numCache>
            </c:numRef>
          </c:yVal>
          <c:smooth val="0"/>
        </c:ser>
        <c:ser>
          <c:idx val="2"/>
          <c:order val="4"/>
          <c:tx>
            <c:v>Line3</c:v>
          </c:tx>
          <c:spPr>
            <a:ln w="25400">
              <a:solidFill>
                <a:srgbClr val="FF0000"/>
              </a:solidFill>
              <a:prstDash val="dash"/>
            </a:ln>
          </c:spPr>
          <c:marker>
            <c:symbol val="none"/>
          </c:marker>
          <c:xVal>
            <c:numRef>
              <c:f>ChartSupport!$U$430:$V$430</c:f>
              <c:numCache>
                <c:formatCode>General</c:formatCode>
                <c:ptCount val="2"/>
                <c:pt idx="0">
                  <c:v>46</c:v>
                </c:pt>
                <c:pt idx="1">
                  <c:v>46</c:v>
                </c:pt>
              </c:numCache>
            </c:numRef>
          </c:xVal>
          <c:yVal>
            <c:numRef>
              <c:f>ChartSupport!$U$431:$V$431</c:f>
              <c:numCache>
                <c:formatCode>General</c:formatCode>
                <c:ptCount val="2"/>
                <c:pt idx="0">
                  <c:v>0</c:v>
                </c:pt>
                <c:pt idx="1">
                  <c:v>10000</c:v>
                </c:pt>
              </c:numCache>
            </c:numRef>
          </c:yVal>
          <c:smooth val="0"/>
        </c:ser>
        <c:dLbls>
          <c:showLegendKey val="0"/>
          <c:showVal val="0"/>
          <c:showCatName val="0"/>
          <c:showSerName val="0"/>
          <c:showPercent val="0"/>
          <c:showBubbleSize val="0"/>
        </c:dLbls>
        <c:axId val="897747200"/>
        <c:axId val="897757184"/>
      </c:scatterChart>
      <c:catAx>
        <c:axId val="897743488"/>
        <c:scaling>
          <c:orientation val="minMax"/>
        </c:scaling>
        <c:delete val="0"/>
        <c:axPos val="b"/>
        <c:numFmt formatCode="m/d/yyyy" sourceLinked="0"/>
        <c:majorTickMark val="out"/>
        <c:minorTickMark val="none"/>
        <c:tickLblPos val="low"/>
        <c:spPr>
          <a:ln w="3175">
            <a:solidFill>
              <a:srgbClr val="808080"/>
            </a:solidFill>
            <a:prstDash val="solid"/>
          </a:ln>
        </c:spPr>
        <c:txPr>
          <a:bodyPr rot="-5400000" vert="horz"/>
          <a:lstStyle/>
          <a:p>
            <a:pPr>
              <a:defRPr/>
            </a:pPr>
            <a:endParaRPr lang="en-US"/>
          </a:p>
        </c:txPr>
        <c:crossAx val="897745280"/>
        <c:crossesAt val="-200"/>
        <c:auto val="1"/>
        <c:lblAlgn val="ctr"/>
        <c:lblOffset val="100"/>
        <c:tickLblSkip val="2"/>
        <c:tickMarkSkip val="1"/>
        <c:noMultiLvlLbl val="0"/>
      </c:catAx>
      <c:valAx>
        <c:axId val="897745280"/>
        <c:scaling>
          <c:orientation val="minMax"/>
          <c:max val="500"/>
        </c:scaling>
        <c:delete val="0"/>
        <c:axPos val="l"/>
        <c:title>
          <c:tx>
            <c:rich>
              <a:bodyPr rot="0" vert="horz"/>
              <a:lstStyle/>
              <a:p>
                <a:pPr>
                  <a:defRPr/>
                </a:pPr>
                <a:r>
                  <a:rPr lang="en-US"/>
                  <a:t>'000 tons</a:t>
                </a:r>
              </a:p>
            </c:rich>
          </c:tx>
          <c:layout>
            <c:manualLayout>
              <c:xMode val="edge"/>
              <c:yMode val="edge"/>
              <c:x val="0.11886499147910581"/>
              <c:y val="1.3403943895410627E-2"/>
            </c:manualLayout>
          </c:layout>
          <c:overlay val="0"/>
        </c:title>
        <c:numFmt formatCode="_(* #,##0_);_(* \(#,##0\);_(* &quot;-&quot;??_);_(@_)" sourceLinked="1"/>
        <c:majorTickMark val="out"/>
        <c:minorTickMark val="none"/>
        <c:tickLblPos val="nextTo"/>
        <c:spPr>
          <a:ln w="3175">
            <a:solidFill>
              <a:srgbClr val="808080"/>
            </a:solidFill>
            <a:prstDash val="solid"/>
          </a:ln>
        </c:spPr>
        <c:txPr>
          <a:bodyPr rot="0" vert="horz"/>
          <a:lstStyle/>
          <a:p>
            <a:pPr>
              <a:defRPr/>
            </a:pPr>
            <a:endParaRPr lang="en-US"/>
          </a:p>
        </c:txPr>
        <c:crossAx val="897743488"/>
        <c:crosses val="autoZero"/>
        <c:crossBetween val="between"/>
      </c:valAx>
      <c:catAx>
        <c:axId val="897747200"/>
        <c:scaling>
          <c:orientation val="minMax"/>
        </c:scaling>
        <c:delete val="1"/>
        <c:axPos val="b"/>
        <c:majorTickMark val="out"/>
        <c:minorTickMark val="none"/>
        <c:tickLblPos val="nextTo"/>
        <c:crossAx val="897757184"/>
        <c:crosses val="autoZero"/>
        <c:auto val="1"/>
        <c:lblAlgn val="ctr"/>
        <c:lblOffset val="100"/>
        <c:noMultiLvlLbl val="0"/>
      </c:catAx>
      <c:valAx>
        <c:axId val="897757184"/>
        <c:scaling>
          <c:orientation val="minMax"/>
          <c:max val="1800"/>
          <c:min val="300"/>
        </c:scaling>
        <c:delete val="0"/>
        <c:axPos val="r"/>
        <c:title>
          <c:tx>
            <c:rich>
              <a:bodyPr rot="0" vert="horz"/>
              <a:lstStyle/>
              <a:p>
                <a:pPr>
                  <a:defRPr/>
                </a:pPr>
                <a:r>
                  <a:rPr lang="en-US"/>
                  <a:t>R$/ton</a:t>
                </a:r>
              </a:p>
            </c:rich>
          </c:tx>
          <c:layout>
            <c:manualLayout>
              <c:xMode val="edge"/>
              <c:yMode val="edge"/>
              <c:x val="0.75292116787288377"/>
              <c:y val="1.7675383169696381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897747200"/>
        <c:crosses val="max"/>
        <c:crossBetween val="between"/>
      </c:valAx>
      <c:spPr>
        <a:noFill/>
        <a:ln w="25400">
          <a:noFill/>
        </a:ln>
      </c:spPr>
    </c:plotArea>
    <c:legend>
      <c:legendPos val="r"/>
      <c:legendEntry>
        <c:idx val="2"/>
        <c:delete val="1"/>
      </c:legendEntry>
      <c:legendEntry>
        <c:idx val="3"/>
        <c:delete val="1"/>
      </c:legendEntry>
      <c:legendEntry>
        <c:idx val="4"/>
        <c:delete val="1"/>
      </c:legendEntry>
      <c:legendEntry>
        <c:idx val="5"/>
        <c:delete val="1"/>
      </c:legendEntry>
      <c:layout>
        <c:manualLayout>
          <c:xMode val="edge"/>
          <c:yMode val="edge"/>
          <c:x val="0.13162467899059785"/>
          <c:y val="7.6388645863711524E-2"/>
          <c:w val="0.54866056837234978"/>
          <c:h val="0.14208516820312847"/>
        </c:manualLayout>
      </c:layout>
      <c:overlay val="0"/>
      <c:spPr>
        <a:no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081095995076087"/>
          <c:y val="4.7619325362107515E-2"/>
          <c:w val="0.77504651541198855"/>
          <c:h val="0.81266841644794396"/>
        </c:manualLayout>
      </c:layout>
      <c:lineChart>
        <c:grouping val="standard"/>
        <c:varyColors val="0"/>
        <c:ser>
          <c:idx val="4"/>
          <c:order val="0"/>
          <c:tx>
            <c:v>Ethanol volume ('000 cbm)</c:v>
          </c:tx>
          <c:spPr>
            <a:ln w="25400">
              <a:solidFill>
                <a:srgbClr val="2270AB"/>
              </a:solidFill>
              <a:prstDash val="solid"/>
            </a:ln>
          </c:spPr>
          <c:marker>
            <c:symbol val="none"/>
          </c:marke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ChartSupport!$B$394:$BY$394</c:f>
              <c:numCache>
                <c:formatCode>_(* #,##0_);_(* \(#,##0\);_(* "-"??_);_(@_)</c:formatCode>
                <c:ptCount val="48"/>
                <c:pt idx="0">
                  <c:v>103.71</c:v>
                </c:pt>
                <c:pt idx="1">
                  <c:v>114.27700000000002</c:v>
                </c:pt>
                <c:pt idx="2">
                  <c:v>96.531000000000006</c:v>
                </c:pt>
                <c:pt idx="3">
                  <c:v>85.843999999999994</c:v>
                </c:pt>
                <c:pt idx="4">
                  <c:v>116.56299999999999</c:v>
                </c:pt>
                <c:pt idx="5">
                  <c:v>127.79899999999999</c:v>
                </c:pt>
                <c:pt idx="6">
                  <c:v>104.23399999999999</c:v>
                </c:pt>
                <c:pt idx="7">
                  <c:v>189.251</c:v>
                </c:pt>
                <c:pt idx="8">
                  <c:v>93.97</c:v>
                </c:pt>
                <c:pt idx="9">
                  <c:v>171.35799999999998</c:v>
                </c:pt>
                <c:pt idx="10">
                  <c:v>151.9</c:v>
                </c:pt>
                <c:pt idx="11">
                  <c:v>208.60000000000002</c:v>
                </c:pt>
                <c:pt idx="12">
                  <c:v>140.6</c:v>
                </c:pt>
                <c:pt idx="13">
                  <c:v>171.9</c:v>
                </c:pt>
                <c:pt idx="14">
                  <c:v>170.20000000000002</c:v>
                </c:pt>
                <c:pt idx="15">
                  <c:v>126.69999999999999</c:v>
                </c:pt>
                <c:pt idx="16">
                  <c:v>113.19999999999999</c:v>
                </c:pt>
                <c:pt idx="17">
                  <c:v>112.8</c:v>
                </c:pt>
                <c:pt idx="18">
                  <c:v>163.19999999999999</c:v>
                </c:pt>
                <c:pt idx="19">
                  <c:v>134.6</c:v>
                </c:pt>
                <c:pt idx="20">
                  <c:v>82.6</c:v>
                </c:pt>
                <c:pt idx="21">
                  <c:v>74.399999999999991</c:v>
                </c:pt>
                <c:pt idx="22">
                  <c:v>127.7</c:v>
                </c:pt>
                <c:pt idx="23">
                  <c:v>116.9</c:v>
                </c:pt>
                <c:pt idx="24">
                  <c:v>87.699999999999989</c:v>
                </c:pt>
                <c:pt idx="25">
                  <c:v>89.9</c:v>
                </c:pt>
                <c:pt idx="26">
                  <c:v>152.60000000000002</c:v>
                </c:pt>
                <c:pt idx="27">
                  <c:v>120.7</c:v>
                </c:pt>
                <c:pt idx="28">
                  <c:v>170.9</c:v>
                </c:pt>
                <c:pt idx="29">
                  <c:v>177</c:v>
                </c:pt>
                <c:pt idx="30">
                  <c:v>133.29999999999998</c:v>
                </c:pt>
                <c:pt idx="31">
                  <c:v>157.4</c:v>
                </c:pt>
                <c:pt idx="32">
                  <c:v>171.3</c:v>
                </c:pt>
                <c:pt idx="33">
                  <c:v>132.80000000000001</c:v>
                </c:pt>
                <c:pt idx="34">
                  <c:v>155.10000000000002</c:v>
                </c:pt>
                <c:pt idx="35">
                  <c:v>254.3</c:v>
                </c:pt>
                <c:pt idx="36">
                  <c:v>132.69999999999999</c:v>
                </c:pt>
                <c:pt idx="37">
                  <c:v>212.79999999999998</c:v>
                </c:pt>
                <c:pt idx="38">
                  <c:v>241.10000000000002</c:v>
                </c:pt>
                <c:pt idx="39">
                  <c:v>208.5</c:v>
                </c:pt>
                <c:pt idx="40">
                  <c:v>160</c:v>
                </c:pt>
                <c:pt idx="41">
                  <c:v>188.20000000000002</c:v>
                </c:pt>
                <c:pt idx="42">
                  <c:v>171.39999999999998</c:v>
                </c:pt>
                <c:pt idx="43">
                  <c:v>178.89999999999998</c:v>
                </c:pt>
                <c:pt idx="44">
                  <c:v>145.20000000000002</c:v>
                </c:pt>
                <c:pt idx="45">
                  <c:v>233.3404706083341</c:v>
                </c:pt>
                <c:pt idx="46">
                  <c:v>234.85114910228205</c:v>
                </c:pt>
                <c:pt idx="47">
                  <c:v>266.16465862520289</c:v>
                </c:pt>
              </c:numCache>
            </c:numRef>
          </c:val>
          <c:smooth val="0"/>
        </c:ser>
        <c:dLbls>
          <c:showLegendKey val="0"/>
          <c:showVal val="0"/>
          <c:showCatName val="0"/>
          <c:showSerName val="0"/>
          <c:showPercent val="0"/>
          <c:showBubbleSize val="0"/>
        </c:dLbls>
        <c:marker val="1"/>
        <c:smooth val="0"/>
        <c:axId val="897820544"/>
        <c:axId val="897822080"/>
      </c:lineChart>
      <c:lineChart>
        <c:grouping val="stacked"/>
        <c:varyColors val="0"/>
        <c:ser>
          <c:idx val="6"/>
          <c:order val="1"/>
          <c:tx>
            <c:strRef>
              <c:f>ChartSupport!$A$393</c:f>
              <c:strCache>
                <c:ptCount val="1"/>
                <c:pt idx="0">
                  <c:v>Average Ethanol Price (R$/cbm)</c:v>
                </c:pt>
              </c:strCache>
            </c:strRef>
          </c:tx>
          <c:spPr>
            <a:ln w="15875">
              <a:solidFill>
                <a:srgbClr val="FF0000"/>
              </a:solidFill>
              <a:prstDash val="sysDash"/>
            </a:ln>
          </c:spPr>
          <c:marker>
            <c:symbol val="none"/>
          </c:marke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ChartSupport!$B$393:$BY$393</c:f>
              <c:numCache>
                <c:formatCode>_(* #,##0_);_(* \(#,##0\);_(* "-"??_);_(@_)</c:formatCode>
                <c:ptCount val="48"/>
                <c:pt idx="0">
                  <c:v>814.27056214444144</c:v>
                </c:pt>
                <c:pt idx="1">
                  <c:v>955.86163444962665</c:v>
                </c:pt>
                <c:pt idx="2">
                  <c:v>842.63086469631514</c:v>
                </c:pt>
                <c:pt idx="3">
                  <c:v>868.84348352826066</c:v>
                </c:pt>
                <c:pt idx="4">
                  <c:v>774.7569983614012</c:v>
                </c:pt>
                <c:pt idx="5">
                  <c:v>673.51857213280232</c:v>
                </c:pt>
                <c:pt idx="6">
                  <c:v>733.11971141853905</c:v>
                </c:pt>
                <c:pt idx="7">
                  <c:v>793.7395310989109</c:v>
                </c:pt>
                <c:pt idx="8">
                  <c:v>721.75162285835927</c:v>
                </c:pt>
                <c:pt idx="9">
                  <c:v>755.9787112361256</c:v>
                </c:pt>
                <c:pt idx="10">
                  <c:v>782.60697827518106</c:v>
                </c:pt>
                <c:pt idx="11">
                  <c:v>792.32023010546493</c:v>
                </c:pt>
                <c:pt idx="12">
                  <c:v>637.78805120910386</c:v>
                </c:pt>
                <c:pt idx="13">
                  <c:v>749.32518906340897</c:v>
                </c:pt>
                <c:pt idx="14">
                  <c:v>949.57109283196235</c:v>
                </c:pt>
                <c:pt idx="15">
                  <c:v>1126.6061562746647</c:v>
                </c:pt>
                <c:pt idx="16">
                  <c:v>777.47349823321565</c:v>
                </c:pt>
                <c:pt idx="17">
                  <c:v>883.78546099290782</c:v>
                </c:pt>
                <c:pt idx="18">
                  <c:v>1059.7610294117646</c:v>
                </c:pt>
                <c:pt idx="19">
                  <c:v>1191.1887072808322</c:v>
                </c:pt>
                <c:pt idx="20">
                  <c:v>1340.5084745762713</c:v>
                </c:pt>
                <c:pt idx="21">
                  <c:v>1189.5026881720432</c:v>
                </c:pt>
                <c:pt idx="22">
                  <c:v>1300.9318715740017</c:v>
                </c:pt>
                <c:pt idx="23">
                  <c:v>1195.1668092386651</c:v>
                </c:pt>
                <c:pt idx="24">
                  <c:v>1220.0342075256558</c:v>
                </c:pt>
                <c:pt idx="25">
                  <c:v>1157.0300333704115</c:v>
                </c:pt>
                <c:pt idx="26">
                  <c:v>1198.840104849279</c:v>
                </c:pt>
                <c:pt idx="27">
                  <c:v>1261.0604805302401</c:v>
                </c:pt>
                <c:pt idx="28">
                  <c:v>1290.1111761263896</c:v>
                </c:pt>
                <c:pt idx="29">
                  <c:v>1286.920903954802</c:v>
                </c:pt>
                <c:pt idx="30">
                  <c:v>1263.2633158289577</c:v>
                </c:pt>
                <c:pt idx="31">
                  <c:v>1426.1372299872935</c:v>
                </c:pt>
                <c:pt idx="32">
                  <c:v>1438.1727962638645</c:v>
                </c:pt>
                <c:pt idx="33">
                  <c:v>1267.8388554216867</c:v>
                </c:pt>
                <c:pt idx="34">
                  <c:v>1298.2398452611217</c:v>
                </c:pt>
                <c:pt idx="35">
                  <c:v>1377.7821470703893</c:v>
                </c:pt>
                <c:pt idx="36">
                  <c:v>1351.8462697814621</c:v>
                </c:pt>
                <c:pt idx="37">
                  <c:v>1421.2828947368423</c:v>
                </c:pt>
                <c:pt idx="38">
                  <c:v>1675.8772293654083</c:v>
                </c:pt>
                <c:pt idx="39">
                  <c:v>1994.0959232613909</c:v>
                </c:pt>
                <c:pt idx="40">
                  <c:v>1617.3687500000001</c:v>
                </c:pt>
                <c:pt idx="41">
                  <c:v>1633.4643995749202</c:v>
                </c:pt>
                <c:pt idx="42">
                  <c:v>1992.4445740956828</c:v>
                </c:pt>
                <c:pt idx="43">
                  <c:v>1851.1682504192288</c:v>
                </c:pt>
                <c:pt idx="44">
                  <c:v>1602.7272727272725</c:v>
                </c:pt>
                <c:pt idx="45">
                  <c:v>1693.4261010425971</c:v>
                </c:pt>
                <c:pt idx="46">
                  <c:v>1680.9140248840508</c:v>
                </c:pt>
                <c:pt idx="47">
                  <c:v>1747.1454111187877</c:v>
                </c:pt>
              </c:numCache>
            </c:numRef>
          </c:val>
          <c:smooth val="0"/>
        </c:ser>
        <c:dLbls>
          <c:showLegendKey val="0"/>
          <c:showVal val="0"/>
          <c:showCatName val="0"/>
          <c:showSerName val="0"/>
          <c:showPercent val="0"/>
          <c:showBubbleSize val="0"/>
        </c:dLbls>
        <c:marker val="1"/>
        <c:smooth val="0"/>
        <c:axId val="897824256"/>
        <c:axId val="897825792"/>
      </c:lineChart>
      <c:scatterChart>
        <c:scatterStyle val="lineMarker"/>
        <c:varyColors val="0"/>
        <c:ser>
          <c:idx val="3"/>
          <c:order val="5"/>
          <c:tx>
            <c:v>zeroline</c:v>
          </c:tx>
          <c:spPr>
            <a:ln w="3175">
              <a:solidFill>
                <a:schemeClr val="bg1">
                  <a:lumMod val="50000"/>
                </a:schemeClr>
              </a:solidFill>
            </a:ln>
          </c:spPr>
          <c:marker>
            <c:symbol val="none"/>
          </c:marker>
          <c:yVal>
            <c:numRef>
              <c:f>ChartSupport!$B$421:$BY$421</c:f>
              <c:numCache>
                <c:formatCode>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yVal>
          <c:smooth val="0"/>
        </c:ser>
        <c:dLbls>
          <c:showLegendKey val="0"/>
          <c:showVal val="0"/>
          <c:showCatName val="0"/>
          <c:showSerName val="0"/>
          <c:showPercent val="0"/>
          <c:showBubbleSize val="0"/>
        </c:dLbls>
        <c:axId val="897820544"/>
        <c:axId val="897822080"/>
      </c:scatterChart>
      <c:scatterChart>
        <c:scatterStyle val="lineMarker"/>
        <c:varyColors val="0"/>
        <c:ser>
          <c:idx val="0"/>
          <c:order val="2"/>
          <c:tx>
            <c:v>Line1</c:v>
          </c:tx>
          <c:spPr>
            <a:ln w="25400">
              <a:solidFill>
                <a:srgbClr val="FF0000"/>
              </a:solidFill>
            </a:ln>
          </c:spPr>
          <c:marker>
            <c:symbol val="none"/>
          </c:marker>
          <c:xVal>
            <c:numRef>
              <c:f>ChartSupport!$U$428:$V$428</c:f>
              <c:numCache>
                <c:formatCode>General</c:formatCode>
                <c:ptCount val="2"/>
                <c:pt idx="0">
                  <c:v>38</c:v>
                </c:pt>
                <c:pt idx="1">
                  <c:v>38</c:v>
                </c:pt>
              </c:numCache>
            </c:numRef>
          </c:xVal>
          <c:yVal>
            <c:numRef>
              <c:f>ChartSupport!$U$431:$V$431</c:f>
              <c:numCache>
                <c:formatCode>General</c:formatCode>
                <c:ptCount val="2"/>
                <c:pt idx="0">
                  <c:v>0</c:v>
                </c:pt>
                <c:pt idx="1">
                  <c:v>10000</c:v>
                </c:pt>
              </c:numCache>
            </c:numRef>
          </c:yVal>
          <c:smooth val="0"/>
        </c:ser>
        <c:ser>
          <c:idx val="1"/>
          <c:order val="3"/>
          <c:tx>
            <c:v>Line2</c:v>
          </c:tx>
          <c:spPr>
            <a:ln w="25400">
              <a:solidFill>
                <a:srgbClr val="FF0000"/>
              </a:solidFill>
            </a:ln>
          </c:spPr>
          <c:marker>
            <c:symbol val="none"/>
          </c:marker>
          <c:xVal>
            <c:numRef>
              <c:f>ChartSupport!$U$429:$V$429</c:f>
              <c:numCache>
                <c:formatCode>General</c:formatCode>
                <c:ptCount val="2"/>
                <c:pt idx="0">
                  <c:v>42</c:v>
                </c:pt>
                <c:pt idx="1">
                  <c:v>42</c:v>
                </c:pt>
              </c:numCache>
            </c:numRef>
          </c:xVal>
          <c:yVal>
            <c:numRef>
              <c:f>ChartSupport!$U$431:$V$431</c:f>
              <c:numCache>
                <c:formatCode>General</c:formatCode>
                <c:ptCount val="2"/>
                <c:pt idx="0">
                  <c:v>0</c:v>
                </c:pt>
                <c:pt idx="1">
                  <c:v>10000</c:v>
                </c:pt>
              </c:numCache>
            </c:numRef>
          </c:yVal>
          <c:smooth val="0"/>
        </c:ser>
        <c:ser>
          <c:idx val="2"/>
          <c:order val="4"/>
          <c:tx>
            <c:v>Line3</c:v>
          </c:tx>
          <c:spPr>
            <a:ln w="25400">
              <a:solidFill>
                <a:srgbClr val="FF0000"/>
              </a:solidFill>
              <a:prstDash val="dash"/>
            </a:ln>
          </c:spPr>
          <c:marker>
            <c:symbol val="none"/>
          </c:marker>
          <c:xVal>
            <c:numRef>
              <c:f>ChartSupport!$U$430:$V$430</c:f>
              <c:numCache>
                <c:formatCode>General</c:formatCode>
                <c:ptCount val="2"/>
                <c:pt idx="0">
                  <c:v>46</c:v>
                </c:pt>
                <c:pt idx="1">
                  <c:v>46</c:v>
                </c:pt>
              </c:numCache>
            </c:numRef>
          </c:xVal>
          <c:yVal>
            <c:numRef>
              <c:f>ChartSupport!$U$431:$V$431</c:f>
              <c:numCache>
                <c:formatCode>General</c:formatCode>
                <c:ptCount val="2"/>
                <c:pt idx="0">
                  <c:v>0</c:v>
                </c:pt>
                <c:pt idx="1">
                  <c:v>10000</c:v>
                </c:pt>
              </c:numCache>
            </c:numRef>
          </c:yVal>
          <c:smooth val="0"/>
        </c:ser>
        <c:dLbls>
          <c:showLegendKey val="0"/>
          <c:showVal val="0"/>
          <c:showCatName val="0"/>
          <c:showSerName val="0"/>
          <c:showPercent val="0"/>
          <c:showBubbleSize val="0"/>
        </c:dLbls>
        <c:axId val="897824256"/>
        <c:axId val="897825792"/>
      </c:scatterChart>
      <c:catAx>
        <c:axId val="897820544"/>
        <c:scaling>
          <c:orientation val="minMax"/>
        </c:scaling>
        <c:delete val="0"/>
        <c:axPos val="b"/>
        <c:numFmt formatCode="m/d/yyyy" sourceLinked="0"/>
        <c:majorTickMark val="out"/>
        <c:minorTickMark val="none"/>
        <c:tickLblPos val="low"/>
        <c:spPr>
          <a:ln w="3175">
            <a:solidFill>
              <a:srgbClr val="808080"/>
            </a:solidFill>
            <a:prstDash val="solid"/>
          </a:ln>
        </c:spPr>
        <c:txPr>
          <a:bodyPr rot="-5400000" vert="horz"/>
          <a:lstStyle/>
          <a:p>
            <a:pPr>
              <a:defRPr/>
            </a:pPr>
            <a:endParaRPr lang="en-US"/>
          </a:p>
        </c:txPr>
        <c:crossAx val="897822080"/>
        <c:crossesAt val="-200"/>
        <c:auto val="1"/>
        <c:lblAlgn val="ctr"/>
        <c:lblOffset val="100"/>
        <c:tickLblSkip val="2"/>
        <c:tickMarkSkip val="1"/>
        <c:noMultiLvlLbl val="0"/>
      </c:catAx>
      <c:valAx>
        <c:axId val="897822080"/>
        <c:scaling>
          <c:orientation val="minMax"/>
        </c:scaling>
        <c:delete val="0"/>
        <c:axPos val="l"/>
        <c:title>
          <c:tx>
            <c:rich>
              <a:bodyPr rot="0" vert="horz"/>
              <a:lstStyle/>
              <a:p>
                <a:pPr>
                  <a:defRPr/>
                </a:pPr>
                <a:r>
                  <a:rPr lang="en-US"/>
                  <a:t>'000 cbm</a:t>
                </a:r>
              </a:p>
            </c:rich>
          </c:tx>
          <c:layout>
            <c:manualLayout>
              <c:xMode val="edge"/>
              <c:yMode val="edge"/>
              <c:x val="0.11886499147910581"/>
              <c:y val="1.3403943895410627E-2"/>
            </c:manualLayout>
          </c:layout>
          <c:overlay val="0"/>
        </c:title>
        <c:numFmt formatCode="#,##0_);\(#,##0\)" sourceLinked="0"/>
        <c:majorTickMark val="out"/>
        <c:minorTickMark val="none"/>
        <c:tickLblPos val="nextTo"/>
        <c:spPr>
          <a:ln w="3175">
            <a:solidFill>
              <a:srgbClr val="808080"/>
            </a:solidFill>
            <a:prstDash val="solid"/>
          </a:ln>
        </c:spPr>
        <c:txPr>
          <a:bodyPr rot="0" vert="horz"/>
          <a:lstStyle/>
          <a:p>
            <a:pPr>
              <a:defRPr/>
            </a:pPr>
            <a:endParaRPr lang="en-US"/>
          </a:p>
        </c:txPr>
        <c:crossAx val="897820544"/>
        <c:crosses val="autoZero"/>
        <c:crossBetween val="between"/>
      </c:valAx>
      <c:catAx>
        <c:axId val="897824256"/>
        <c:scaling>
          <c:orientation val="minMax"/>
        </c:scaling>
        <c:delete val="1"/>
        <c:axPos val="b"/>
        <c:majorTickMark val="out"/>
        <c:minorTickMark val="none"/>
        <c:tickLblPos val="nextTo"/>
        <c:crossAx val="897825792"/>
        <c:crosses val="autoZero"/>
        <c:auto val="1"/>
        <c:lblAlgn val="ctr"/>
        <c:lblOffset val="100"/>
        <c:noMultiLvlLbl val="0"/>
      </c:catAx>
      <c:valAx>
        <c:axId val="897825792"/>
        <c:scaling>
          <c:orientation val="minMax"/>
          <c:max val="1800"/>
          <c:min val="300"/>
        </c:scaling>
        <c:delete val="0"/>
        <c:axPos val="r"/>
        <c:title>
          <c:tx>
            <c:rich>
              <a:bodyPr rot="0" vert="horz"/>
              <a:lstStyle/>
              <a:p>
                <a:pPr>
                  <a:defRPr/>
                </a:pPr>
                <a:r>
                  <a:rPr lang="en-US"/>
                  <a:t>R$/cbm</a:t>
                </a:r>
              </a:p>
            </c:rich>
          </c:tx>
          <c:layout>
            <c:manualLayout>
              <c:xMode val="edge"/>
              <c:yMode val="edge"/>
              <c:x val="0.74573338710019743"/>
              <c:y val="1.7675383169696381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897824256"/>
        <c:crosses val="max"/>
        <c:crossBetween val="between"/>
      </c:valAx>
      <c:spPr>
        <a:noFill/>
        <a:ln w="25400">
          <a:noFill/>
        </a:ln>
      </c:spPr>
    </c:plotArea>
    <c:legend>
      <c:legendPos val="r"/>
      <c:legendEntry>
        <c:idx val="2"/>
        <c:delete val="1"/>
      </c:legendEntry>
      <c:legendEntry>
        <c:idx val="3"/>
        <c:delete val="1"/>
      </c:legendEntry>
      <c:legendEntry>
        <c:idx val="4"/>
        <c:delete val="1"/>
      </c:legendEntry>
      <c:legendEntry>
        <c:idx val="5"/>
        <c:delete val="1"/>
      </c:legendEntry>
      <c:layout>
        <c:manualLayout>
          <c:xMode val="edge"/>
          <c:yMode val="edge"/>
          <c:x val="6.3238130113837984E-2"/>
          <c:y val="0.66059402524120958"/>
          <c:w val="0.69960396459876473"/>
          <c:h val="0.16066426881824958"/>
        </c:manualLayout>
      </c:layout>
      <c:overlay val="0"/>
      <c:spPr>
        <a:no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081095995076087"/>
          <c:y val="4.7619325362107515E-2"/>
          <c:w val="0.77504651541198855"/>
          <c:h val="0.79520911243339731"/>
        </c:manualLayout>
      </c:layout>
      <c:lineChart>
        <c:grouping val="standard"/>
        <c:varyColors val="0"/>
        <c:ser>
          <c:idx val="4"/>
          <c:order val="0"/>
          <c:tx>
            <c:v>Cogen volume ('000 MWh)</c:v>
          </c:tx>
          <c:spPr>
            <a:ln w="25400">
              <a:solidFill>
                <a:srgbClr val="2270AB"/>
              </a:solidFill>
              <a:prstDash val="solid"/>
            </a:ln>
          </c:spPr>
          <c:marker>
            <c:symbol val="none"/>
          </c:marker>
          <c:cat>
            <c:strRef>
              <c:f>ChartSupport!$J$355:$BY$355</c:f>
              <c:strCache>
                <c:ptCount val="40"/>
                <c:pt idx="0">
                  <c:v>1Q09</c:v>
                </c:pt>
                <c:pt idx="1">
                  <c:v>2Q09</c:v>
                </c:pt>
                <c:pt idx="2">
                  <c:v>3Q09</c:v>
                </c:pt>
                <c:pt idx="3">
                  <c:v>4Q09</c:v>
                </c:pt>
                <c:pt idx="4">
                  <c:v>1Q10</c:v>
                </c:pt>
                <c:pt idx="5">
                  <c:v>2Q10</c:v>
                </c:pt>
                <c:pt idx="6">
                  <c:v>3Q10</c:v>
                </c:pt>
                <c:pt idx="7">
                  <c:v>4Q10</c:v>
                </c:pt>
                <c:pt idx="8">
                  <c:v>1Q11</c:v>
                </c:pt>
                <c:pt idx="9">
                  <c:v>2Q11</c:v>
                </c:pt>
                <c:pt idx="10">
                  <c:v>3Q11</c:v>
                </c:pt>
                <c:pt idx="11">
                  <c:v>4Q11</c:v>
                </c:pt>
                <c:pt idx="12">
                  <c:v>1Q12</c:v>
                </c:pt>
                <c:pt idx="13">
                  <c:v>2Q12</c:v>
                </c:pt>
                <c:pt idx="14">
                  <c:v>3Q12</c:v>
                </c:pt>
                <c:pt idx="15">
                  <c:v>4Q12</c:v>
                </c:pt>
                <c:pt idx="16">
                  <c:v>1Q13</c:v>
                </c:pt>
                <c:pt idx="17">
                  <c:v>2Q13</c:v>
                </c:pt>
                <c:pt idx="18">
                  <c:v>3Q13</c:v>
                </c:pt>
                <c:pt idx="19">
                  <c:v>4Q13</c:v>
                </c:pt>
                <c:pt idx="20">
                  <c:v>1Q14</c:v>
                </c:pt>
                <c:pt idx="21">
                  <c:v>2Q14</c:v>
                </c:pt>
                <c:pt idx="22">
                  <c:v>3Q14</c:v>
                </c:pt>
                <c:pt idx="23">
                  <c:v>4Q14</c:v>
                </c:pt>
                <c:pt idx="24">
                  <c:v>1Q15</c:v>
                </c:pt>
                <c:pt idx="25">
                  <c:v>2Q15</c:v>
                </c:pt>
                <c:pt idx="26">
                  <c:v>3Q15</c:v>
                </c:pt>
                <c:pt idx="27">
                  <c:v>4Q15</c:v>
                </c:pt>
                <c:pt idx="28">
                  <c:v>1Q16</c:v>
                </c:pt>
                <c:pt idx="29">
                  <c:v>2Q16</c:v>
                </c:pt>
                <c:pt idx="30">
                  <c:v>3Q16</c:v>
                </c:pt>
                <c:pt idx="31">
                  <c:v>4Q16</c:v>
                </c:pt>
                <c:pt idx="32">
                  <c:v>1Q17</c:v>
                </c:pt>
                <c:pt idx="33">
                  <c:v>2Q17</c:v>
                </c:pt>
                <c:pt idx="34">
                  <c:v>3Q17</c:v>
                </c:pt>
                <c:pt idx="35">
                  <c:v>4Q17</c:v>
                </c:pt>
                <c:pt idx="36">
                  <c:v>1Q18</c:v>
                </c:pt>
                <c:pt idx="37">
                  <c:v>2Q18e</c:v>
                </c:pt>
                <c:pt idx="38">
                  <c:v>3Q18e</c:v>
                </c:pt>
                <c:pt idx="39">
                  <c:v>4Q18e</c:v>
                </c:pt>
              </c:strCache>
            </c:strRef>
          </c:cat>
          <c:val>
            <c:numRef>
              <c:f>ChartSupport!$J$396:$BY$396</c:f>
              <c:numCache>
                <c:formatCode>_(* #,##0_);_(* \(#,##0\);_(* "-"??_);_(@_)</c:formatCode>
                <c:ptCount val="40"/>
                <c:pt idx="0">
                  <c:v>5.1409999999999982</c:v>
                </c:pt>
                <c:pt idx="1">
                  <c:v>39.920999999999999</c:v>
                </c:pt>
                <c:pt idx="2">
                  <c:v>50.13</c:v>
                </c:pt>
                <c:pt idx="3">
                  <c:v>10.061</c:v>
                </c:pt>
                <c:pt idx="4">
                  <c:v>52.364999999999995</c:v>
                </c:pt>
                <c:pt idx="5">
                  <c:v>64.102000000000004</c:v>
                </c:pt>
                <c:pt idx="6">
                  <c:v>56.65</c:v>
                </c:pt>
                <c:pt idx="7">
                  <c:v>1E-3</c:v>
                </c:pt>
                <c:pt idx="8">
                  <c:v>34.299074999999995</c:v>
                </c:pt>
                <c:pt idx="9">
                  <c:v>63.900925000000015</c:v>
                </c:pt>
                <c:pt idx="10">
                  <c:v>78.900000000000006</c:v>
                </c:pt>
                <c:pt idx="11">
                  <c:v>7.3</c:v>
                </c:pt>
                <c:pt idx="12">
                  <c:v>31.8</c:v>
                </c:pt>
                <c:pt idx="13">
                  <c:v>84</c:v>
                </c:pt>
                <c:pt idx="14">
                  <c:v>78.900000000000006</c:v>
                </c:pt>
                <c:pt idx="15">
                  <c:v>54.7</c:v>
                </c:pt>
                <c:pt idx="16">
                  <c:v>45.5</c:v>
                </c:pt>
                <c:pt idx="17">
                  <c:v>81.2</c:v>
                </c:pt>
                <c:pt idx="18">
                  <c:v>104.1</c:v>
                </c:pt>
                <c:pt idx="19">
                  <c:v>29.9</c:v>
                </c:pt>
                <c:pt idx="20">
                  <c:v>92.800000000000011</c:v>
                </c:pt>
                <c:pt idx="21">
                  <c:v>162.69999999999999</c:v>
                </c:pt>
                <c:pt idx="22">
                  <c:v>181.8</c:v>
                </c:pt>
                <c:pt idx="23">
                  <c:v>8.1999999999999993</c:v>
                </c:pt>
                <c:pt idx="24">
                  <c:v>191.8</c:v>
                </c:pt>
                <c:pt idx="25">
                  <c:v>233.9</c:v>
                </c:pt>
                <c:pt idx="26">
                  <c:v>212.2</c:v>
                </c:pt>
                <c:pt idx="27">
                  <c:v>1.1000000000000001</c:v>
                </c:pt>
                <c:pt idx="28">
                  <c:v>272</c:v>
                </c:pt>
                <c:pt idx="29">
                  <c:v>307</c:v>
                </c:pt>
                <c:pt idx="30">
                  <c:v>235.2</c:v>
                </c:pt>
                <c:pt idx="31">
                  <c:v>17</c:v>
                </c:pt>
                <c:pt idx="32">
                  <c:v>275.2</c:v>
                </c:pt>
                <c:pt idx="33">
                  <c:v>285.89999999999998</c:v>
                </c:pt>
                <c:pt idx="34">
                  <c:v>185.5</c:v>
                </c:pt>
                <c:pt idx="35">
                  <c:v>168</c:v>
                </c:pt>
                <c:pt idx="36">
                  <c:v>310.60000000000002</c:v>
                </c:pt>
                <c:pt idx="37">
                  <c:v>288.23978065474824</c:v>
                </c:pt>
                <c:pt idx="38">
                  <c:v>180.77046992221662</c:v>
                </c:pt>
                <c:pt idx="39">
                  <c:v>120.38974942303525</c:v>
                </c:pt>
              </c:numCache>
            </c:numRef>
          </c:val>
          <c:smooth val="0"/>
        </c:ser>
        <c:dLbls>
          <c:showLegendKey val="0"/>
          <c:showVal val="0"/>
          <c:showCatName val="0"/>
          <c:showSerName val="0"/>
          <c:showPercent val="0"/>
          <c:showBubbleSize val="0"/>
        </c:dLbls>
        <c:marker val="1"/>
        <c:smooth val="0"/>
        <c:axId val="898188416"/>
        <c:axId val="898189952"/>
      </c:lineChart>
      <c:lineChart>
        <c:grouping val="stacked"/>
        <c:varyColors val="0"/>
        <c:ser>
          <c:idx val="6"/>
          <c:order val="1"/>
          <c:tx>
            <c:strRef>
              <c:f>ChartSupport!$A$395</c:f>
              <c:strCache>
                <c:ptCount val="1"/>
                <c:pt idx="0">
                  <c:v>Cogeneration (R$/MWh)</c:v>
                </c:pt>
              </c:strCache>
            </c:strRef>
          </c:tx>
          <c:spPr>
            <a:ln w="15875">
              <a:solidFill>
                <a:srgbClr val="FF0000"/>
              </a:solidFill>
              <a:prstDash val="sysDash"/>
            </a:ln>
          </c:spPr>
          <c:marker>
            <c:symbol val="none"/>
          </c:marker>
          <c:cat>
            <c:strRef>
              <c:f>ChartSupport!$J$355:$BY$355</c:f>
              <c:strCache>
                <c:ptCount val="40"/>
                <c:pt idx="0">
                  <c:v>1Q09</c:v>
                </c:pt>
                <c:pt idx="1">
                  <c:v>2Q09</c:v>
                </c:pt>
                <c:pt idx="2">
                  <c:v>3Q09</c:v>
                </c:pt>
                <c:pt idx="3">
                  <c:v>4Q09</c:v>
                </c:pt>
                <c:pt idx="4">
                  <c:v>1Q10</c:v>
                </c:pt>
                <c:pt idx="5">
                  <c:v>2Q10</c:v>
                </c:pt>
                <c:pt idx="6">
                  <c:v>3Q10</c:v>
                </c:pt>
                <c:pt idx="7">
                  <c:v>4Q10</c:v>
                </c:pt>
                <c:pt idx="8">
                  <c:v>1Q11</c:v>
                </c:pt>
                <c:pt idx="9">
                  <c:v>2Q11</c:v>
                </c:pt>
                <c:pt idx="10">
                  <c:v>3Q11</c:v>
                </c:pt>
                <c:pt idx="11">
                  <c:v>4Q11</c:v>
                </c:pt>
                <c:pt idx="12">
                  <c:v>1Q12</c:v>
                </c:pt>
                <c:pt idx="13">
                  <c:v>2Q12</c:v>
                </c:pt>
                <c:pt idx="14">
                  <c:v>3Q12</c:v>
                </c:pt>
                <c:pt idx="15">
                  <c:v>4Q12</c:v>
                </c:pt>
                <c:pt idx="16">
                  <c:v>1Q13</c:v>
                </c:pt>
                <c:pt idx="17">
                  <c:v>2Q13</c:v>
                </c:pt>
                <c:pt idx="18">
                  <c:v>3Q13</c:v>
                </c:pt>
                <c:pt idx="19">
                  <c:v>4Q13</c:v>
                </c:pt>
                <c:pt idx="20">
                  <c:v>1Q14</c:v>
                </c:pt>
                <c:pt idx="21">
                  <c:v>2Q14</c:v>
                </c:pt>
                <c:pt idx="22">
                  <c:v>3Q14</c:v>
                </c:pt>
                <c:pt idx="23">
                  <c:v>4Q14</c:v>
                </c:pt>
                <c:pt idx="24">
                  <c:v>1Q15</c:v>
                </c:pt>
                <c:pt idx="25">
                  <c:v>2Q15</c:v>
                </c:pt>
                <c:pt idx="26">
                  <c:v>3Q15</c:v>
                </c:pt>
                <c:pt idx="27">
                  <c:v>4Q15</c:v>
                </c:pt>
                <c:pt idx="28">
                  <c:v>1Q16</c:v>
                </c:pt>
                <c:pt idx="29">
                  <c:v>2Q16</c:v>
                </c:pt>
                <c:pt idx="30">
                  <c:v>3Q16</c:v>
                </c:pt>
                <c:pt idx="31">
                  <c:v>4Q16</c:v>
                </c:pt>
                <c:pt idx="32">
                  <c:v>1Q17</c:v>
                </c:pt>
                <c:pt idx="33">
                  <c:v>2Q17</c:v>
                </c:pt>
                <c:pt idx="34">
                  <c:v>3Q17</c:v>
                </c:pt>
                <c:pt idx="35">
                  <c:v>4Q17</c:v>
                </c:pt>
                <c:pt idx="36">
                  <c:v>1Q18</c:v>
                </c:pt>
                <c:pt idx="37">
                  <c:v>2Q18e</c:v>
                </c:pt>
                <c:pt idx="38">
                  <c:v>3Q18e</c:v>
                </c:pt>
                <c:pt idx="39">
                  <c:v>4Q18e</c:v>
                </c:pt>
              </c:strCache>
            </c:strRef>
          </c:cat>
          <c:val>
            <c:numRef>
              <c:f>ChartSupport!$J$395:$BY$395</c:f>
              <c:numCache>
                <c:formatCode>_(* #,##0_);_(* \(#,##0\);_(* "-"??_);_(@_)</c:formatCode>
                <c:ptCount val="40"/>
                <c:pt idx="0">
                  <c:v>249.17331258510026</c:v>
                </c:pt>
                <c:pt idx="1">
                  <c:v>181.70887502818067</c:v>
                </c:pt>
                <c:pt idx="2">
                  <c:v>139.97606223818073</c:v>
                </c:pt>
                <c:pt idx="3">
                  <c:v>88.758572706490412</c:v>
                </c:pt>
                <c:pt idx="4">
                  <c:v>103.77160317005635</c:v>
                </c:pt>
                <c:pt idx="5">
                  <c:v>140.4792362172787</c:v>
                </c:pt>
                <c:pt idx="6">
                  <c:v>138.7819947043248</c:v>
                </c:pt>
                <c:pt idx="7">
                  <c:v>0</c:v>
                </c:pt>
                <c:pt idx="8">
                  <c:v>166.73919048837325</c:v>
                </c:pt>
                <c:pt idx="9">
                  <c:v>165.05238382699463</c:v>
                </c:pt>
                <c:pt idx="10">
                  <c:v>87.655259822560197</c:v>
                </c:pt>
                <c:pt idx="11">
                  <c:v>104.79452054794521</c:v>
                </c:pt>
                <c:pt idx="12">
                  <c:v>126.06918238993711</c:v>
                </c:pt>
                <c:pt idx="13">
                  <c:v>121.85714285714286</c:v>
                </c:pt>
                <c:pt idx="14">
                  <c:v>110.54499366286437</c:v>
                </c:pt>
                <c:pt idx="15">
                  <c:v>84.57038391224863</c:v>
                </c:pt>
                <c:pt idx="16">
                  <c:v>153.31868131868131</c:v>
                </c:pt>
                <c:pt idx="17">
                  <c:v>160.03694581280789</c:v>
                </c:pt>
                <c:pt idx="18">
                  <c:v>184.4956772334294</c:v>
                </c:pt>
                <c:pt idx="19">
                  <c:v>174.98327759197326</c:v>
                </c:pt>
                <c:pt idx="20">
                  <c:v>95.560344827586192</c:v>
                </c:pt>
                <c:pt idx="21">
                  <c:v>156.75476336816229</c:v>
                </c:pt>
                <c:pt idx="22">
                  <c:v>222.84928492849284</c:v>
                </c:pt>
                <c:pt idx="23">
                  <c:v>291.34146341463418</c:v>
                </c:pt>
                <c:pt idx="24">
                  <c:v>256.89781021897807</c:v>
                </c:pt>
                <c:pt idx="25">
                  <c:v>264.78837109876014</c:v>
                </c:pt>
                <c:pt idx="26">
                  <c:v>345.63619227144204</c:v>
                </c:pt>
                <c:pt idx="27">
                  <c:v>593.63636363636363</c:v>
                </c:pt>
                <c:pt idx="28">
                  <c:v>249.30882352941177</c:v>
                </c:pt>
                <c:pt idx="29">
                  <c:v>214.34853420195441</c:v>
                </c:pt>
                <c:pt idx="30">
                  <c:v>208.47363945578232</c:v>
                </c:pt>
                <c:pt idx="31">
                  <c:v>171.94117647058823</c:v>
                </c:pt>
                <c:pt idx="32">
                  <c:v>158.82994186046511</c:v>
                </c:pt>
                <c:pt idx="33">
                  <c:v>170.3707590066457</c:v>
                </c:pt>
                <c:pt idx="34">
                  <c:v>164.67924528301887</c:v>
                </c:pt>
                <c:pt idx="35">
                  <c:v>173.3452380952381</c:v>
                </c:pt>
                <c:pt idx="36">
                  <c:v>213.17450096587248</c:v>
                </c:pt>
                <c:pt idx="37">
                  <c:v>183.5</c:v>
                </c:pt>
                <c:pt idx="38">
                  <c:v>183.49999999999997</c:v>
                </c:pt>
                <c:pt idx="39">
                  <c:v>106.94115637608874</c:v>
                </c:pt>
              </c:numCache>
            </c:numRef>
          </c:val>
          <c:smooth val="0"/>
        </c:ser>
        <c:dLbls>
          <c:showLegendKey val="0"/>
          <c:showVal val="0"/>
          <c:showCatName val="0"/>
          <c:showSerName val="0"/>
          <c:showPercent val="0"/>
          <c:showBubbleSize val="0"/>
        </c:dLbls>
        <c:marker val="1"/>
        <c:smooth val="0"/>
        <c:axId val="898204416"/>
        <c:axId val="898205952"/>
      </c:lineChart>
      <c:scatterChart>
        <c:scatterStyle val="lineMarker"/>
        <c:varyColors val="0"/>
        <c:ser>
          <c:idx val="0"/>
          <c:order val="2"/>
          <c:tx>
            <c:v>Line1</c:v>
          </c:tx>
          <c:spPr>
            <a:ln w="25400">
              <a:solidFill>
                <a:srgbClr val="FF0000"/>
              </a:solidFill>
            </a:ln>
          </c:spPr>
          <c:marker>
            <c:symbol val="none"/>
          </c:marker>
          <c:xVal>
            <c:numRef>
              <c:f>ChartSupport!$H$428:$I$428</c:f>
              <c:numCache>
                <c:formatCode>General</c:formatCode>
                <c:ptCount val="2"/>
                <c:pt idx="0">
                  <c:v>30</c:v>
                </c:pt>
                <c:pt idx="1">
                  <c:v>30</c:v>
                </c:pt>
              </c:numCache>
            </c:numRef>
          </c:xVal>
          <c:yVal>
            <c:numRef>
              <c:f>ChartSupport!$H$431:$I$431</c:f>
              <c:numCache>
                <c:formatCode>General</c:formatCode>
                <c:ptCount val="2"/>
                <c:pt idx="0">
                  <c:v>0</c:v>
                </c:pt>
                <c:pt idx="1">
                  <c:v>10000</c:v>
                </c:pt>
              </c:numCache>
            </c:numRef>
          </c:yVal>
          <c:smooth val="0"/>
        </c:ser>
        <c:ser>
          <c:idx val="1"/>
          <c:order val="3"/>
          <c:tx>
            <c:v>Line2</c:v>
          </c:tx>
          <c:spPr>
            <a:ln w="25400">
              <a:solidFill>
                <a:srgbClr val="FF0000"/>
              </a:solidFill>
            </a:ln>
          </c:spPr>
          <c:marker>
            <c:symbol val="none"/>
          </c:marker>
          <c:xVal>
            <c:numRef>
              <c:f>ChartSupport!$H$429:$I$429</c:f>
              <c:numCache>
                <c:formatCode>General</c:formatCode>
                <c:ptCount val="2"/>
                <c:pt idx="0">
                  <c:v>34</c:v>
                </c:pt>
                <c:pt idx="1">
                  <c:v>34</c:v>
                </c:pt>
              </c:numCache>
            </c:numRef>
          </c:xVal>
          <c:yVal>
            <c:numRef>
              <c:f>ChartSupport!$H$431:$I$431</c:f>
              <c:numCache>
                <c:formatCode>General</c:formatCode>
                <c:ptCount val="2"/>
                <c:pt idx="0">
                  <c:v>0</c:v>
                </c:pt>
                <c:pt idx="1">
                  <c:v>10000</c:v>
                </c:pt>
              </c:numCache>
            </c:numRef>
          </c:yVal>
          <c:smooth val="0"/>
        </c:ser>
        <c:ser>
          <c:idx val="2"/>
          <c:order val="4"/>
          <c:tx>
            <c:v>Line3</c:v>
          </c:tx>
          <c:spPr>
            <a:ln w="25400">
              <a:solidFill>
                <a:srgbClr val="FF0000"/>
              </a:solidFill>
              <a:prstDash val="dash"/>
            </a:ln>
          </c:spPr>
          <c:marker>
            <c:symbol val="none"/>
          </c:marker>
          <c:xVal>
            <c:numRef>
              <c:f>ChartSupport!$H$430:$I$430</c:f>
              <c:numCache>
                <c:formatCode>General</c:formatCode>
                <c:ptCount val="2"/>
                <c:pt idx="0">
                  <c:v>38</c:v>
                </c:pt>
                <c:pt idx="1">
                  <c:v>38</c:v>
                </c:pt>
              </c:numCache>
            </c:numRef>
          </c:xVal>
          <c:yVal>
            <c:numRef>
              <c:f>ChartSupport!$H$431:$I$431</c:f>
              <c:numCache>
                <c:formatCode>General</c:formatCode>
                <c:ptCount val="2"/>
                <c:pt idx="0">
                  <c:v>0</c:v>
                </c:pt>
                <c:pt idx="1">
                  <c:v>10000</c:v>
                </c:pt>
              </c:numCache>
            </c:numRef>
          </c:yVal>
          <c:smooth val="0"/>
        </c:ser>
        <c:dLbls>
          <c:showLegendKey val="0"/>
          <c:showVal val="0"/>
          <c:showCatName val="0"/>
          <c:showSerName val="0"/>
          <c:showPercent val="0"/>
          <c:showBubbleSize val="0"/>
        </c:dLbls>
        <c:axId val="898204416"/>
        <c:axId val="898205952"/>
      </c:scatterChart>
      <c:catAx>
        <c:axId val="898188416"/>
        <c:scaling>
          <c:orientation val="minMax"/>
        </c:scaling>
        <c:delete val="0"/>
        <c:axPos val="b"/>
        <c:numFmt formatCode="m/d/yyyy" sourceLinked="0"/>
        <c:majorTickMark val="out"/>
        <c:minorTickMark val="none"/>
        <c:tickLblPos val="low"/>
        <c:spPr>
          <a:ln w="3175">
            <a:solidFill>
              <a:srgbClr val="808080"/>
            </a:solidFill>
            <a:prstDash val="solid"/>
          </a:ln>
        </c:spPr>
        <c:txPr>
          <a:bodyPr rot="-5400000" vert="horz"/>
          <a:lstStyle/>
          <a:p>
            <a:pPr>
              <a:defRPr/>
            </a:pPr>
            <a:endParaRPr lang="en-US"/>
          </a:p>
        </c:txPr>
        <c:crossAx val="898189952"/>
        <c:crossesAt val="-200"/>
        <c:auto val="1"/>
        <c:lblAlgn val="ctr"/>
        <c:lblOffset val="100"/>
        <c:tickLblSkip val="2"/>
        <c:tickMarkSkip val="1"/>
        <c:noMultiLvlLbl val="0"/>
      </c:catAx>
      <c:valAx>
        <c:axId val="898189952"/>
        <c:scaling>
          <c:orientation val="minMax"/>
          <c:max val="400"/>
        </c:scaling>
        <c:delete val="0"/>
        <c:axPos val="l"/>
        <c:title>
          <c:tx>
            <c:rich>
              <a:bodyPr rot="0" vert="horz"/>
              <a:lstStyle/>
              <a:p>
                <a:pPr>
                  <a:defRPr/>
                </a:pPr>
                <a:r>
                  <a:rPr lang="en-US"/>
                  <a:t>'000 MWh</a:t>
                </a:r>
              </a:p>
            </c:rich>
          </c:tx>
          <c:layout>
            <c:manualLayout>
              <c:xMode val="edge"/>
              <c:yMode val="edge"/>
              <c:x val="0.11886499147910581"/>
              <c:y val="1.3403943895410627E-2"/>
            </c:manualLayout>
          </c:layout>
          <c:overlay val="0"/>
        </c:title>
        <c:numFmt formatCode="_(* #,##0_);_(* \(#,##0\);_(* &quot;-&quot;??_);_(@_)" sourceLinked="1"/>
        <c:majorTickMark val="out"/>
        <c:minorTickMark val="none"/>
        <c:tickLblPos val="nextTo"/>
        <c:spPr>
          <a:ln w="3175">
            <a:solidFill>
              <a:srgbClr val="808080"/>
            </a:solidFill>
            <a:prstDash val="solid"/>
          </a:ln>
        </c:spPr>
        <c:txPr>
          <a:bodyPr rot="0" vert="horz"/>
          <a:lstStyle/>
          <a:p>
            <a:pPr>
              <a:defRPr/>
            </a:pPr>
            <a:endParaRPr lang="en-US"/>
          </a:p>
        </c:txPr>
        <c:crossAx val="898188416"/>
        <c:crosses val="autoZero"/>
        <c:crossBetween val="midCat"/>
      </c:valAx>
      <c:catAx>
        <c:axId val="898204416"/>
        <c:scaling>
          <c:orientation val="minMax"/>
        </c:scaling>
        <c:delete val="1"/>
        <c:axPos val="b"/>
        <c:majorTickMark val="out"/>
        <c:minorTickMark val="none"/>
        <c:tickLblPos val="nextTo"/>
        <c:crossAx val="898205952"/>
        <c:crosses val="autoZero"/>
        <c:auto val="1"/>
        <c:lblAlgn val="ctr"/>
        <c:lblOffset val="100"/>
        <c:noMultiLvlLbl val="0"/>
      </c:catAx>
      <c:valAx>
        <c:axId val="898205952"/>
        <c:scaling>
          <c:orientation val="minMax"/>
          <c:max val="600"/>
          <c:min val="0"/>
        </c:scaling>
        <c:delete val="0"/>
        <c:axPos val="r"/>
        <c:title>
          <c:tx>
            <c:rich>
              <a:bodyPr rot="0" vert="horz"/>
              <a:lstStyle/>
              <a:p>
                <a:pPr>
                  <a:defRPr/>
                </a:pPr>
                <a:r>
                  <a:rPr lang="en-US"/>
                  <a:t>R$/MWh</a:t>
                </a:r>
              </a:p>
            </c:rich>
          </c:tx>
          <c:layout>
            <c:manualLayout>
              <c:xMode val="edge"/>
              <c:yMode val="edge"/>
              <c:x val="0.72773549588852249"/>
              <c:y val="1.7675239302077567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898204416"/>
        <c:crosses val="max"/>
        <c:crossBetween val="between"/>
      </c:valAx>
      <c:spPr>
        <a:noFill/>
        <a:ln w="25400">
          <a:noFill/>
        </a:ln>
      </c:spPr>
    </c:plotArea>
    <c:legend>
      <c:legendPos val="r"/>
      <c:legendEntry>
        <c:idx val="2"/>
        <c:delete val="1"/>
      </c:legendEntry>
      <c:legendEntry>
        <c:idx val="3"/>
        <c:delete val="1"/>
      </c:legendEntry>
      <c:legendEntry>
        <c:idx val="4"/>
        <c:delete val="1"/>
      </c:legendEntry>
      <c:layout>
        <c:manualLayout>
          <c:xMode val="edge"/>
          <c:yMode val="edge"/>
          <c:x val="5.2422126479473086E-2"/>
          <c:y val="8.234405884449629E-2"/>
          <c:w val="0.57741169146309546"/>
          <c:h val="0.15654904248080101"/>
        </c:manualLayout>
      </c:layout>
      <c:overlay val="0"/>
      <c:spPr>
        <a:no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userShapes r:id="rId1"/>
</c:chartSpace>
</file>

<file path=xl/charts/chart1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682642202593321E-2"/>
          <c:y val="4.7318611987381701E-2"/>
          <c:w val="0.87566363793722601"/>
          <c:h val="0.79495268138801267"/>
        </c:manualLayout>
      </c:layout>
      <c:areaChart>
        <c:grouping val="stacked"/>
        <c:varyColors val="0"/>
        <c:ser>
          <c:idx val="2"/>
          <c:order val="0"/>
          <c:tx>
            <c:strRef>
              <c:f>ChartSupport!$A$398</c:f>
              <c:strCache>
                <c:ptCount val="1"/>
                <c:pt idx="0">
                  <c:v>Sugar </c:v>
                </c:pt>
              </c:strCache>
            </c:strRef>
          </c:tx>
          <c:spPr>
            <a:ln w="25400">
              <a:noFill/>
              <a:prstDash val="solid"/>
            </a:ln>
          </c:spP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ChartSupport!$B$398:$BY$398</c:f>
              <c:numCache>
                <c:formatCode>_(* #,##0_);_(* \(#,##0\);_(* "-"??_);_(@_)</c:formatCode>
                <c:ptCount val="48"/>
                <c:pt idx="0">
                  <c:v>71.775999999999996</c:v>
                </c:pt>
                <c:pt idx="1">
                  <c:v>137.715</c:v>
                </c:pt>
                <c:pt idx="2">
                  <c:v>96.962999999999994</c:v>
                </c:pt>
                <c:pt idx="3">
                  <c:v>103.02000000000001</c:v>
                </c:pt>
                <c:pt idx="4">
                  <c:v>76.704000000000008</c:v>
                </c:pt>
                <c:pt idx="5">
                  <c:v>78.24799999999999</c:v>
                </c:pt>
                <c:pt idx="6">
                  <c:v>44.298000000000002</c:v>
                </c:pt>
                <c:pt idx="7">
                  <c:v>74.597999999999999</c:v>
                </c:pt>
                <c:pt idx="8">
                  <c:v>14.260999999999999</c:v>
                </c:pt>
                <c:pt idx="9">
                  <c:v>44.432000000000002</c:v>
                </c:pt>
                <c:pt idx="10">
                  <c:v>81.718000000000004</c:v>
                </c:pt>
                <c:pt idx="11">
                  <c:v>88.69</c:v>
                </c:pt>
                <c:pt idx="12">
                  <c:v>104.812</c:v>
                </c:pt>
                <c:pt idx="13">
                  <c:v>137.31899999999999</c:v>
                </c:pt>
                <c:pt idx="14">
                  <c:v>140.85400000000001</c:v>
                </c:pt>
                <c:pt idx="15">
                  <c:v>199.26700000000002</c:v>
                </c:pt>
                <c:pt idx="16">
                  <c:v>177.447</c:v>
                </c:pt>
                <c:pt idx="17">
                  <c:v>213.339</c:v>
                </c:pt>
                <c:pt idx="18">
                  <c:v>196.90300000000002</c:v>
                </c:pt>
                <c:pt idx="19">
                  <c:v>114.486</c:v>
                </c:pt>
                <c:pt idx="20">
                  <c:v>197.244</c:v>
                </c:pt>
                <c:pt idx="21">
                  <c:v>272.77300000000002</c:v>
                </c:pt>
                <c:pt idx="22">
                  <c:v>190.72499999999999</c:v>
                </c:pt>
                <c:pt idx="23">
                  <c:v>105.946</c:v>
                </c:pt>
                <c:pt idx="24">
                  <c:v>145.78299999999999</c:v>
                </c:pt>
                <c:pt idx="25">
                  <c:v>407.40299999999996</c:v>
                </c:pt>
                <c:pt idx="26">
                  <c:v>164.78800000000001</c:v>
                </c:pt>
                <c:pt idx="27">
                  <c:v>232.352</c:v>
                </c:pt>
                <c:pt idx="28">
                  <c:v>229.089</c:v>
                </c:pt>
                <c:pt idx="29">
                  <c:v>296.06200000000001</c:v>
                </c:pt>
                <c:pt idx="30">
                  <c:v>169.38800000000001</c:v>
                </c:pt>
                <c:pt idx="31">
                  <c:v>189.73600000000002</c:v>
                </c:pt>
                <c:pt idx="32">
                  <c:v>203.864</c:v>
                </c:pt>
                <c:pt idx="33">
                  <c:v>249.78100000000001</c:v>
                </c:pt>
                <c:pt idx="34">
                  <c:v>285.05799999999999</c:v>
                </c:pt>
                <c:pt idx="35">
                  <c:v>346.44100000000003</c:v>
                </c:pt>
                <c:pt idx="36">
                  <c:v>195.13600000000002</c:v>
                </c:pt>
                <c:pt idx="37">
                  <c:v>290.053</c:v>
                </c:pt>
                <c:pt idx="38">
                  <c:v>381.34699999999998</c:v>
                </c:pt>
                <c:pt idx="39">
                  <c:v>392.19</c:v>
                </c:pt>
                <c:pt idx="40">
                  <c:v>387.41</c:v>
                </c:pt>
                <c:pt idx="41">
                  <c:v>386.67099999999999</c:v>
                </c:pt>
                <c:pt idx="42">
                  <c:v>347.92899999999997</c:v>
                </c:pt>
                <c:pt idx="43">
                  <c:v>522.62</c:v>
                </c:pt>
                <c:pt idx="44">
                  <c:v>552.65300000000002</c:v>
                </c:pt>
                <c:pt idx="45">
                  <c:v>428.4763692156717</c:v>
                </c:pt>
                <c:pt idx="46">
                  <c:v>438.39737667186228</c:v>
                </c:pt>
                <c:pt idx="47">
                  <c:v>544.51239244500039</c:v>
                </c:pt>
              </c:numCache>
            </c:numRef>
          </c:val>
        </c:ser>
        <c:ser>
          <c:idx val="4"/>
          <c:order val="4"/>
          <c:tx>
            <c:strRef>
              <c:f>ChartSupport!$A$399</c:f>
              <c:strCache>
                <c:ptCount val="1"/>
                <c:pt idx="0">
                  <c:v>Ethanol</c:v>
                </c:pt>
              </c:strCache>
            </c:strRef>
          </c:tx>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ChartSupport!$B$399:$BY$399</c:f>
              <c:numCache>
                <c:formatCode>_(* #,##0_);_(* \(#,##0\);_(* "-"??_);_(@_)</c:formatCode>
                <c:ptCount val="48"/>
                <c:pt idx="0">
                  <c:v>84.448000000000008</c:v>
                </c:pt>
                <c:pt idx="1">
                  <c:v>109.233</c:v>
                </c:pt>
                <c:pt idx="2">
                  <c:v>81.34</c:v>
                </c:pt>
                <c:pt idx="3">
                  <c:v>74.584999999999994</c:v>
                </c:pt>
                <c:pt idx="4">
                  <c:v>90.308000000000007</c:v>
                </c:pt>
                <c:pt idx="5">
                  <c:v>86.075000000000003</c:v>
                </c:pt>
                <c:pt idx="6">
                  <c:v>76.415999999999997</c:v>
                </c:pt>
                <c:pt idx="7">
                  <c:v>150.21600000000001</c:v>
                </c:pt>
                <c:pt idx="8">
                  <c:v>67.823000000000008</c:v>
                </c:pt>
                <c:pt idx="9">
                  <c:v>129.54300000000001</c:v>
                </c:pt>
                <c:pt idx="10">
                  <c:v>118.878</c:v>
                </c:pt>
                <c:pt idx="11">
                  <c:v>165.27799999999999</c:v>
                </c:pt>
                <c:pt idx="12">
                  <c:v>89.673000000000002</c:v>
                </c:pt>
                <c:pt idx="13">
                  <c:v>128.809</c:v>
                </c:pt>
                <c:pt idx="14">
                  <c:v>161.61699999999999</c:v>
                </c:pt>
                <c:pt idx="15">
                  <c:v>142.74100000000001</c:v>
                </c:pt>
                <c:pt idx="16">
                  <c:v>88.01</c:v>
                </c:pt>
                <c:pt idx="17">
                  <c:v>99.691000000000003</c:v>
                </c:pt>
                <c:pt idx="18">
                  <c:v>172.95299999999997</c:v>
                </c:pt>
                <c:pt idx="19">
                  <c:v>160.334</c:v>
                </c:pt>
                <c:pt idx="20">
                  <c:v>110.726</c:v>
                </c:pt>
                <c:pt idx="21">
                  <c:v>88.498999999999995</c:v>
                </c:pt>
                <c:pt idx="22">
                  <c:v>166.12900000000002</c:v>
                </c:pt>
                <c:pt idx="23">
                  <c:v>139.71499999999997</c:v>
                </c:pt>
                <c:pt idx="24">
                  <c:v>106.997</c:v>
                </c:pt>
                <c:pt idx="25">
                  <c:v>104.017</c:v>
                </c:pt>
                <c:pt idx="26">
                  <c:v>182.94300000000001</c:v>
                </c:pt>
                <c:pt idx="27">
                  <c:v>152.20999999999998</c:v>
                </c:pt>
                <c:pt idx="28">
                  <c:v>220.48</c:v>
                </c:pt>
                <c:pt idx="29">
                  <c:v>227.78499999999997</c:v>
                </c:pt>
                <c:pt idx="30">
                  <c:v>168.39300000000003</c:v>
                </c:pt>
                <c:pt idx="31">
                  <c:v>224.47399999999999</c:v>
                </c:pt>
                <c:pt idx="32">
                  <c:v>246.35900000000001</c:v>
                </c:pt>
                <c:pt idx="33">
                  <c:v>168.369</c:v>
                </c:pt>
                <c:pt idx="34">
                  <c:v>201.357</c:v>
                </c:pt>
                <c:pt idx="35">
                  <c:v>350.37</c:v>
                </c:pt>
                <c:pt idx="36">
                  <c:v>179.39</c:v>
                </c:pt>
                <c:pt idx="37">
                  <c:v>302.44900000000001</c:v>
                </c:pt>
                <c:pt idx="38">
                  <c:v>404.05399999999997</c:v>
                </c:pt>
                <c:pt idx="39">
                  <c:v>415.76900000000001</c:v>
                </c:pt>
                <c:pt idx="40">
                  <c:v>258.779</c:v>
                </c:pt>
                <c:pt idx="41">
                  <c:v>307.41800000000001</c:v>
                </c:pt>
                <c:pt idx="42">
                  <c:v>341.505</c:v>
                </c:pt>
                <c:pt idx="43">
                  <c:v>331.17399999999998</c:v>
                </c:pt>
                <c:pt idx="44">
                  <c:v>232.71600000000001</c:v>
                </c:pt>
                <c:pt idx="45">
                  <c:v>395.14484335771596</c:v>
                </c:pt>
                <c:pt idx="46">
                  <c:v>394.76459028616131</c:v>
                </c:pt>
                <c:pt idx="47">
                  <c:v>465.02836191902185</c:v>
                </c:pt>
              </c:numCache>
            </c:numRef>
          </c:val>
        </c:ser>
        <c:ser>
          <c:idx val="5"/>
          <c:order val="5"/>
          <c:tx>
            <c:strRef>
              <c:f>ChartSupport!$A$400</c:f>
              <c:strCache>
                <c:ptCount val="1"/>
                <c:pt idx="0">
                  <c:v>Cogen</c:v>
                </c:pt>
              </c:strCache>
            </c:strRef>
          </c:tx>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ChartSupport!$B$400:$BY$400</c:f>
              <c:numCache>
                <c:formatCode>_(* #,##0_);_(* \(#,##0\);_(* "-"??_);_(@_)</c:formatCode>
                <c:ptCount val="48"/>
                <c:pt idx="0">
                  <c:v>0</c:v>
                </c:pt>
                <c:pt idx="1">
                  <c:v>0</c:v>
                </c:pt>
                <c:pt idx="2">
                  <c:v>0</c:v>
                </c:pt>
                <c:pt idx="3">
                  <c:v>0</c:v>
                </c:pt>
                <c:pt idx="4">
                  <c:v>0</c:v>
                </c:pt>
                <c:pt idx="5">
                  <c:v>0</c:v>
                </c:pt>
                <c:pt idx="6">
                  <c:v>0</c:v>
                </c:pt>
                <c:pt idx="7">
                  <c:v>0</c:v>
                </c:pt>
                <c:pt idx="8">
                  <c:v>1.2809999999999999</c:v>
                </c:pt>
                <c:pt idx="9">
                  <c:v>7.2539999999999996</c:v>
                </c:pt>
                <c:pt idx="10">
                  <c:v>7.0170000000000003</c:v>
                </c:pt>
                <c:pt idx="11">
                  <c:v>0.89300000000000002</c:v>
                </c:pt>
                <c:pt idx="12">
                  <c:v>5.4340000000000002</c:v>
                </c:pt>
                <c:pt idx="13">
                  <c:v>9.0050000000000008</c:v>
                </c:pt>
                <c:pt idx="14">
                  <c:v>7.8620000000000001</c:v>
                </c:pt>
                <c:pt idx="15">
                  <c:v>0</c:v>
                </c:pt>
                <c:pt idx="16">
                  <c:v>5.7190000000000003</c:v>
                </c:pt>
                <c:pt idx="17">
                  <c:v>10.547000000000001</c:v>
                </c:pt>
                <c:pt idx="18">
                  <c:v>6.9160000000000004</c:v>
                </c:pt>
                <c:pt idx="19">
                  <c:v>0.76500000000000001</c:v>
                </c:pt>
                <c:pt idx="20">
                  <c:v>4.0090000000000003</c:v>
                </c:pt>
                <c:pt idx="21">
                  <c:v>10.236000000000001</c:v>
                </c:pt>
                <c:pt idx="22">
                  <c:v>8.7219999999999995</c:v>
                </c:pt>
                <c:pt idx="23">
                  <c:v>4.6260000000000003</c:v>
                </c:pt>
                <c:pt idx="24">
                  <c:v>6.976</c:v>
                </c:pt>
                <c:pt idx="25">
                  <c:v>12.994999999999999</c:v>
                </c:pt>
                <c:pt idx="26">
                  <c:v>19.206</c:v>
                </c:pt>
                <c:pt idx="27">
                  <c:v>5.2320000000000002</c:v>
                </c:pt>
                <c:pt idx="28">
                  <c:v>8.8680000000000003</c:v>
                </c:pt>
                <c:pt idx="29">
                  <c:v>25.504000000000001</c:v>
                </c:pt>
                <c:pt idx="30">
                  <c:v>40.514000000000003</c:v>
                </c:pt>
                <c:pt idx="31">
                  <c:v>2.3889999999999998</c:v>
                </c:pt>
                <c:pt idx="32">
                  <c:v>49.273000000000003</c:v>
                </c:pt>
                <c:pt idx="33">
                  <c:v>61.933999999999997</c:v>
                </c:pt>
                <c:pt idx="34">
                  <c:v>73.343999999999994</c:v>
                </c:pt>
                <c:pt idx="35">
                  <c:v>0.65300000000000002</c:v>
                </c:pt>
                <c:pt idx="36">
                  <c:v>67.811999999999998</c:v>
                </c:pt>
                <c:pt idx="37">
                  <c:v>65.805000000000007</c:v>
                </c:pt>
                <c:pt idx="38">
                  <c:v>49.033000000000001</c:v>
                </c:pt>
                <c:pt idx="39">
                  <c:v>2.923</c:v>
                </c:pt>
                <c:pt idx="40">
                  <c:v>43.71</c:v>
                </c:pt>
                <c:pt idx="41">
                  <c:v>48.709000000000003</c:v>
                </c:pt>
                <c:pt idx="42">
                  <c:v>30.547999999999998</c:v>
                </c:pt>
                <c:pt idx="43">
                  <c:v>29.122</c:v>
                </c:pt>
                <c:pt idx="44">
                  <c:v>66.212000000000003</c:v>
                </c:pt>
                <c:pt idx="45">
                  <c:v>52.891999750146297</c:v>
                </c:pt>
                <c:pt idx="46">
                  <c:v>33.171381230726745</c:v>
                </c:pt>
                <c:pt idx="47">
                  <c:v>12.874619019126953</c:v>
                </c:pt>
              </c:numCache>
            </c:numRef>
          </c:val>
        </c:ser>
        <c:ser>
          <c:idx val="6"/>
          <c:order val="6"/>
          <c:tx>
            <c:strRef>
              <c:f>ChartSupport!$A$401</c:f>
              <c:strCache>
                <c:ptCount val="1"/>
                <c:pt idx="0">
                  <c:v>Others</c:v>
                </c:pt>
              </c:strCache>
            </c:strRef>
          </c:tx>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ChartSupport!$B$401:$BY$401</c:f>
              <c:numCache>
                <c:formatCode>_(* #,##0_);_(* \(#,##0\);_(* "-"??_);_(@_)</c:formatCode>
                <c:ptCount val="48"/>
                <c:pt idx="0">
                  <c:v>39.405999999999999</c:v>
                </c:pt>
                <c:pt idx="1">
                  <c:v>12.591999999999999</c:v>
                </c:pt>
                <c:pt idx="2">
                  <c:v>9.2989999999999995</c:v>
                </c:pt>
                <c:pt idx="3">
                  <c:v>6.1619999999999999</c:v>
                </c:pt>
                <c:pt idx="4">
                  <c:v>7.5519999999999996</c:v>
                </c:pt>
                <c:pt idx="5">
                  <c:v>14.749000000000001</c:v>
                </c:pt>
                <c:pt idx="6">
                  <c:v>6.5719999999999992</c:v>
                </c:pt>
                <c:pt idx="7">
                  <c:v>6.6850000000000005</c:v>
                </c:pt>
                <c:pt idx="8">
                  <c:v>8.6890000000000001</c:v>
                </c:pt>
                <c:pt idx="9">
                  <c:v>13.085000000000001</c:v>
                </c:pt>
                <c:pt idx="10">
                  <c:v>13.2</c:v>
                </c:pt>
                <c:pt idx="11">
                  <c:v>12.398</c:v>
                </c:pt>
                <c:pt idx="12">
                  <c:v>17.536999999999999</c:v>
                </c:pt>
                <c:pt idx="13">
                  <c:v>11.164000000000001</c:v>
                </c:pt>
                <c:pt idx="14">
                  <c:v>13.824</c:v>
                </c:pt>
                <c:pt idx="15">
                  <c:v>13.37</c:v>
                </c:pt>
                <c:pt idx="16">
                  <c:v>14.306000000000001</c:v>
                </c:pt>
                <c:pt idx="17">
                  <c:v>15.173000000000002</c:v>
                </c:pt>
                <c:pt idx="18">
                  <c:v>13.513999999999999</c:v>
                </c:pt>
                <c:pt idx="19">
                  <c:v>4.9729999999999999</c:v>
                </c:pt>
                <c:pt idx="20">
                  <c:v>16.966999999999999</c:v>
                </c:pt>
                <c:pt idx="21">
                  <c:v>26.613</c:v>
                </c:pt>
                <c:pt idx="22">
                  <c:v>14.861000000000001</c:v>
                </c:pt>
                <c:pt idx="23">
                  <c:v>9.1890000000000001</c:v>
                </c:pt>
                <c:pt idx="24">
                  <c:v>30.555999999999997</c:v>
                </c:pt>
                <c:pt idx="25">
                  <c:v>22.499000000000002</c:v>
                </c:pt>
                <c:pt idx="26">
                  <c:v>27.978999999999999</c:v>
                </c:pt>
                <c:pt idx="27">
                  <c:v>14.02</c:v>
                </c:pt>
                <c:pt idx="28">
                  <c:v>35.312000000000005</c:v>
                </c:pt>
                <c:pt idx="29">
                  <c:v>65.143000000000001</c:v>
                </c:pt>
                <c:pt idx="30">
                  <c:v>46.516999999999996</c:v>
                </c:pt>
                <c:pt idx="31">
                  <c:v>21.524000000000001</c:v>
                </c:pt>
                <c:pt idx="32">
                  <c:v>5.125</c:v>
                </c:pt>
                <c:pt idx="33">
                  <c:v>27.422999999999998</c:v>
                </c:pt>
                <c:pt idx="34">
                  <c:v>25.229999999999997</c:v>
                </c:pt>
                <c:pt idx="35">
                  <c:v>15.003</c:v>
                </c:pt>
                <c:pt idx="36">
                  <c:v>20.426000000000002</c:v>
                </c:pt>
                <c:pt idx="37">
                  <c:v>19.956</c:v>
                </c:pt>
                <c:pt idx="38">
                  <c:v>3.6640000000000001</c:v>
                </c:pt>
                <c:pt idx="39">
                  <c:v>6.931</c:v>
                </c:pt>
                <c:pt idx="40">
                  <c:v>14.45</c:v>
                </c:pt>
                <c:pt idx="41">
                  <c:v>23.492999999999999</c:v>
                </c:pt>
                <c:pt idx="42">
                  <c:v>16.484999999999999</c:v>
                </c:pt>
                <c:pt idx="43">
                  <c:v>11.034000000000001</c:v>
                </c:pt>
                <c:pt idx="44">
                  <c:v>15.169</c:v>
                </c:pt>
                <c:pt idx="45">
                  <c:v>25.842299999999998</c:v>
                </c:pt>
                <c:pt idx="46">
                  <c:v>18.133500000000002</c:v>
                </c:pt>
                <c:pt idx="47">
                  <c:v>12.864500000000001</c:v>
                </c:pt>
              </c:numCache>
            </c:numRef>
          </c:val>
        </c:ser>
        <c:dLbls>
          <c:showLegendKey val="0"/>
          <c:showVal val="0"/>
          <c:showCatName val="0"/>
          <c:showSerName val="0"/>
          <c:showPercent val="0"/>
          <c:showBubbleSize val="0"/>
        </c:dLbls>
        <c:axId val="898019328"/>
        <c:axId val="898020864"/>
      </c:areaChart>
      <c:scatterChart>
        <c:scatterStyle val="lineMarker"/>
        <c:varyColors val="0"/>
        <c:ser>
          <c:idx val="0"/>
          <c:order val="1"/>
          <c:tx>
            <c:v>Line1</c:v>
          </c:tx>
          <c:spPr>
            <a:ln w="25400">
              <a:solidFill>
                <a:srgbClr val="FF0000"/>
              </a:solidFill>
            </a:ln>
          </c:spPr>
          <c:marker>
            <c:symbol val="none"/>
          </c:marker>
          <c:xVal>
            <c:numRef>
              <c:f>ChartSupport!$U$428:$V$428</c:f>
              <c:numCache>
                <c:formatCode>General</c:formatCode>
                <c:ptCount val="2"/>
                <c:pt idx="0">
                  <c:v>38</c:v>
                </c:pt>
                <c:pt idx="1">
                  <c:v>38</c:v>
                </c:pt>
              </c:numCache>
            </c:numRef>
          </c:xVal>
          <c:yVal>
            <c:numRef>
              <c:f>ChartSupport!$U$431:$V$431</c:f>
              <c:numCache>
                <c:formatCode>General</c:formatCode>
                <c:ptCount val="2"/>
                <c:pt idx="0">
                  <c:v>0</c:v>
                </c:pt>
                <c:pt idx="1">
                  <c:v>10000</c:v>
                </c:pt>
              </c:numCache>
            </c:numRef>
          </c:yVal>
          <c:smooth val="0"/>
        </c:ser>
        <c:ser>
          <c:idx val="1"/>
          <c:order val="2"/>
          <c:tx>
            <c:v>Line2</c:v>
          </c:tx>
          <c:spPr>
            <a:ln w="25400">
              <a:solidFill>
                <a:srgbClr val="FF0000"/>
              </a:solidFill>
            </a:ln>
          </c:spPr>
          <c:marker>
            <c:symbol val="none"/>
          </c:marker>
          <c:xVal>
            <c:numRef>
              <c:f>ChartSupport!$U$429:$V$429</c:f>
              <c:numCache>
                <c:formatCode>General</c:formatCode>
                <c:ptCount val="2"/>
                <c:pt idx="0">
                  <c:v>42</c:v>
                </c:pt>
                <c:pt idx="1">
                  <c:v>42</c:v>
                </c:pt>
              </c:numCache>
            </c:numRef>
          </c:xVal>
          <c:yVal>
            <c:numRef>
              <c:f>ChartSupport!$U$431:$V$431</c:f>
              <c:numCache>
                <c:formatCode>General</c:formatCode>
                <c:ptCount val="2"/>
                <c:pt idx="0">
                  <c:v>0</c:v>
                </c:pt>
                <c:pt idx="1">
                  <c:v>10000</c:v>
                </c:pt>
              </c:numCache>
            </c:numRef>
          </c:yVal>
          <c:smooth val="0"/>
        </c:ser>
        <c:ser>
          <c:idx val="3"/>
          <c:order val="3"/>
          <c:tx>
            <c:v>Line3</c:v>
          </c:tx>
          <c:spPr>
            <a:ln w="25400">
              <a:solidFill>
                <a:srgbClr val="FF0000"/>
              </a:solidFill>
              <a:prstDash val="dash"/>
            </a:ln>
          </c:spPr>
          <c:marker>
            <c:symbol val="none"/>
          </c:marker>
          <c:xVal>
            <c:numRef>
              <c:f>ChartSupport!$U$430:$V$430</c:f>
              <c:numCache>
                <c:formatCode>General</c:formatCode>
                <c:ptCount val="2"/>
                <c:pt idx="0">
                  <c:v>46</c:v>
                </c:pt>
                <c:pt idx="1">
                  <c:v>46</c:v>
                </c:pt>
              </c:numCache>
            </c:numRef>
          </c:xVal>
          <c:yVal>
            <c:numRef>
              <c:f>ChartSupport!$U$431:$V$431</c:f>
              <c:numCache>
                <c:formatCode>General</c:formatCode>
                <c:ptCount val="2"/>
                <c:pt idx="0">
                  <c:v>0</c:v>
                </c:pt>
                <c:pt idx="1">
                  <c:v>10000</c:v>
                </c:pt>
              </c:numCache>
            </c:numRef>
          </c:yVal>
          <c:smooth val="0"/>
        </c:ser>
        <c:dLbls>
          <c:showLegendKey val="0"/>
          <c:showVal val="0"/>
          <c:showCatName val="0"/>
          <c:showSerName val="0"/>
          <c:showPercent val="0"/>
          <c:showBubbleSize val="0"/>
        </c:dLbls>
        <c:axId val="898022784"/>
        <c:axId val="898049152"/>
      </c:scatterChart>
      <c:catAx>
        <c:axId val="898019328"/>
        <c:scaling>
          <c:orientation val="minMax"/>
        </c:scaling>
        <c:delete val="0"/>
        <c:axPos val="b"/>
        <c:numFmt formatCode="mmm\-yy" sourceLinked="0"/>
        <c:majorTickMark val="out"/>
        <c:minorTickMark val="none"/>
        <c:tickLblPos val="nextTo"/>
        <c:spPr>
          <a:ln w="3175">
            <a:solidFill>
              <a:srgbClr val="808080"/>
            </a:solidFill>
            <a:prstDash val="solid"/>
          </a:ln>
        </c:spPr>
        <c:txPr>
          <a:bodyPr rot="-5400000" vert="horz"/>
          <a:lstStyle/>
          <a:p>
            <a:pPr>
              <a:defRPr/>
            </a:pPr>
            <a:endParaRPr lang="en-US"/>
          </a:p>
        </c:txPr>
        <c:crossAx val="898020864"/>
        <c:crosses val="autoZero"/>
        <c:auto val="1"/>
        <c:lblAlgn val="ctr"/>
        <c:lblOffset val="100"/>
        <c:tickLblSkip val="2"/>
        <c:tickMarkSkip val="1"/>
        <c:noMultiLvlLbl val="0"/>
      </c:catAx>
      <c:valAx>
        <c:axId val="898020864"/>
        <c:scaling>
          <c:orientation val="minMax"/>
        </c:scaling>
        <c:delete val="0"/>
        <c:axPos val="l"/>
        <c:title>
          <c:tx>
            <c:rich>
              <a:bodyPr rot="0" vert="horz"/>
              <a:lstStyle/>
              <a:p>
                <a:pPr>
                  <a:defRPr/>
                </a:pPr>
                <a:r>
                  <a:rPr lang="en-US" sz="900" b="0" i="0" baseline="0">
                    <a:solidFill>
                      <a:schemeClr val="bg1">
                        <a:lumMod val="50000"/>
                      </a:schemeClr>
                    </a:solidFill>
                    <a:effectLst/>
                    <a:latin typeface="Arial" panose="020B0604020202020204" pitchFamily="34" charset="0"/>
                    <a:cs typeface="Arial" panose="020B0604020202020204" pitchFamily="34" charset="0"/>
                  </a:rPr>
                  <a:t>R$ mn</a:t>
                </a:r>
                <a:endParaRPr lang="en-US" sz="900">
                  <a:solidFill>
                    <a:schemeClr val="bg1">
                      <a:lumMod val="50000"/>
                    </a:schemeClr>
                  </a:solidFill>
                  <a:effectLst/>
                  <a:latin typeface="Arial" panose="020B0604020202020204" pitchFamily="34" charset="0"/>
                  <a:cs typeface="Arial" panose="020B0604020202020204" pitchFamily="34" charset="0"/>
                </a:endParaRPr>
              </a:p>
            </c:rich>
          </c:tx>
          <c:layout>
            <c:manualLayout>
              <c:xMode val="edge"/>
              <c:yMode val="edge"/>
              <c:x val="0.15681339907073749"/>
              <c:y val="5.1597352780693412E-2"/>
            </c:manualLayout>
          </c:layout>
          <c:overlay val="0"/>
        </c:title>
        <c:numFmt formatCode="_(* #,##0_);_(* \(#,##0\);_(* &quot;-&quot;_);_(@_)" sourceLinked="0"/>
        <c:majorTickMark val="out"/>
        <c:minorTickMark val="none"/>
        <c:tickLblPos val="nextTo"/>
        <c:spPr>
          <a:ln w="3175">
            <a:solidFill>
              <a:srgbClr val="808080"/>
            </a:solidFill>
            <a:prstDash val="solid"/>
          </a:ln>
        </c:spPr>
        <c:txPr>
          <a:bodyPr rot="0" vert="horz"/>
          <a:lstStyle/>
          <a:p>
            <a:pPr>
              <a:defRPr/>
            </a:pPr>
            <a:endParaRPr lang="en-US"/>
          </a:p>
        </c:txPr>
        <c:crossAx val="898019328"/>
        <c:crosses val="autoZero"/>
        <c:crossBetween val="between"/>
      </c:valAx>
      <c:valAx>
        <c:axId val="898022784"/>
        <c:scaling>
          <c:orientation val="minMax"/>
        </c:scaling>
        <c:delete val="1"/>
        <c:axPos val="b"/>
        <c:numFmt formatCode="General" sourceLinked="1"/>
        <c:majorTickMark val="out"/>
        <c:minorTickMark val="none"/>
        <c:tickLblPos val="nextTo"/>
        <c:crossAx val="898049152"/>
        <c:crosses val="autoZero"/>
        <c:crossBetween val="midCat"/>
      </c:valAx>
      <c:valAx>
        <c:axId val="898049152"/>
        <c:scaling>
          <c:orientation val="minMax"/>
          <c:max val="10000"/>
        </c:scaling>
        <c:delete val="0"/>
        <c:axPos val="l"/>
        <c:numFmt formatCode="General" sourceLinked="1"/>
        <c:majorTickMark val="none"/>
        <c:minorTickMark val="none"/>
        <c:tickLblPos val="none"/>
        <c:spPr>
          <a:ln>
            <a:noFill/>
          </a:ln>
        </c:spPr>
        <c:crossAx val="898022784"/>
        <c:crosses val="autoZero"/>
        <c:crossBetween val="midCat"/>
      </c:valAx>
      <c:spPr>
        <a:noFill/>
        <a:ln w="25400">
          <a:noFill/>
        </a:ln>
      </c:spPr>
    </c:plotArea>
    <c:legend>
      <c:legendPos val="l"/>
      <c:legendEntry>
        <c:idx val="4"/>
        <c:delete val="1"/>
      </c:legendEntry>
      <c:legendEntry>
        <c:idx val="5"/>
        <c:delete val="1"/>
      </c:legendEntry>
      <c:legendEntry>
        <c:idx val="6"/>
        <c:delete val="1"/>
      </c:legendEntry>
      <c:layout>
        <c:manualLayout>
          <c:xMode val="edge"/>
          <c:yMode val="edge"/>
          <c:x val="0.17416361743928882"/>
          <c:y val="5.0085056022246367E-2"/>
          <c:w val="0.59999730599743906"/>
          <c:h val="0.23312862068565193"/>
        </c:manualLayout>
      </c:layout>
      <c:overlay val="0"/>
      <c:txPr>
        <a:bodyPr/>
        <a:lstStyle/>
        <a:p>
          <a:pPr>
            <a:defRPr sz="9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682642202593321E-2"/>
          <c:y val="4.7318611987381701E-2"/>
          <c:w val="0.87566363793722601"/>
          <c:h val="0.79495268138801267"/>
        </c:manualLayout>
      </c:layout>
      <c:areaChart>
        <c:grouping val="stacked"/>
        <c:varyColors val="0"/>
        <c:ser>
          <c:idx val="2"/>
          <c:order val="0"/>
          <c:tx>
            <c:strRef>
              <c:f>ChartSupport!$A$405</c:f>
              <c:strCache>
                <c:ptCount val="1"/>
                <c:pt idx="0">
                  <c:v>S&amp;E</c:v>
                </c:pt>
              </c:strCache>
            </c:strRef>
          </c:tx>
          <c:spPr>
            <a:solidFill>
              <a:schemeClr val="accent1"/>
            </a:solidFill>
            <a:ln w="25400">
              <a:noFill/>
              <a:prstDash val="solid"/>
            </a:ln>
          </c:spPr>
          <c:cat>
            <c:strRef>
              <c:f>ChartSupport!$AB$355:$AT$355</c:f>
              <c:strCache>
                <c:ptCount val="19"/>
                <c:pt idx="0">
                  <c:v>3Q13</c:v>
                </c:pt>
                <c:pt idx="1">
                  <c:v>4Q13</c:v>
                </c:pt>
                <c:pt idx="2">
                  <c:v>1Q14</c:v>
                </c:pt>
                <c:pt idx="3">
                  <c:v>2Q14</c:v>
                </c:pt>
                <c:pt idx="4">
                  <c:v>3Q14</c:v>
                </c:pt>
                <c:pt idx="5">
                  <c:v>4Q14</c:v>
                </c:pt>
                <c:pt idx="6">
                  <c:v>1Q15</c:v>
                </c:pt>
                <c:pt idx="7">
                  <c:v>2Q15</c:v>
                </c:pt>
                <c:pt idx="8">
                  <c:v>3Q15</c:v>
                </c:pt>
                <c:pt idx="9">
                  <c:v>4Q15</c:v>
                </c:pt>
                <c:pt idx="10">
                  <c:v>1Q16</c:v>
                </c:pt>
                <c:pt idx="11">
                  <c:v>2Q16</c:v>
                </c:pt>
                <c:pt idx="12">
                  <c:v>3Q16</c:v>
                </c:pt>
                <c:pt idx="13">
                  <c:v>4Q16</c:v>
                </c:pt>
                <c:pt idx="14">
                  <c:v>1Q17</c:v>
                </c:pt>
                <c:pt idx="15">
                  <c:v>2Q17</c:v>
                </c:pt>
                <c:pt idx="16">
                  <c:v>3Q17</c:v>
                </c:pt>
                <c:pt idx="17">
                  <c:v>4Q17</c:v>
                </c:pt>
                <c:pt idx="18">
                  <c:v>1Q18</c:v>
                </c:pt>
              </c:strCache>
            </c:strRef>
          </c:cat>
          <c:val>
            <c:numRef>
              <c:f>ChartSupport!$AB$405:$AT$405</c:f>
              <c:numCache>
                <c:formatCode>_(* #,##0_);_(* \(#,##0\);_(* "-"??_);_(@_)</c:formatCode>
                <c:ptCount val="19"/>
                <c:pt idx="0">
                  <c:v>142.756</c:v>
                </c:pt>
                <c:pt idx="1">
                  <c:v>145.37300000000005</c:v>
                </c:pt>
                <c:pt idx="2">
                  <c:v>202.05099999999999</c:v>
                </c:pt>
                <c:pt idx="3">
                  <c:v>212.792</c:v>
                </c:pt>
                <c:pt idx="4">
                  <c:v>124.13200000000001</c:v>
                </c:pt>
                <c:pt idx="5">
                  <c:v>138.31100000000004</c:v>
                </c:pt>
                <c:pt idx="6">
                  <c:v>180.70299999999997</c:v>
                </c:pt>
                <c:pt idx="7">
                  <c:v>173.77600000000001</c:v>
                </c:pt>
                <c:pt idx="8">
                  <c:v>210.38200000000001</c:v>
                </c:pt>
                <c:pt idx="9">
                  <c:v>310.93399999999997</c:v>
                </c:pt>
                <c:pt idx="10">
                  <c:v>151.87100000000001</c:v>
                </c:pt>
                <c:pt idx="11">
                  <c:v>264.44900000000001</c:v>
                </c:pt>
                <c:pt idx="12">
                  <c:v>376.48700000000002</c:v>
                </c:pt>
                <c:pt idx="13">
                  <c:v>340.7349999999999</c:v>
                </c:pt>
                <c:pt idx="14">
                  <c:v>295.54399999999998</c:v>
                </c:pt>
                <c:pt idx="15">
                  <c:v>326.4956658586791</c:v>
                </c:pt>
                <c:pt idx="16">
                  <c:v>302.85575879023583</c:v>
                </c:pt>
                <c:pt idx="17">
                  <c:v>354.75977111079806</c:v>
                </c:pt>
                <c:pt idx="18">
                  <c:v>420.92600785615622</c:v>
                </c:pt>
              </c:numCache>
            </c:numRef>
          </c:val>
        </c:ser>
        <c:ser>
          <c:idx val="4"/>
          <c:order val="2"/>
          <c:tx>
            <c:strRef>
              <c:f>ChartSupport!$A$406</c:f>
              <c:strCache>
                <c:ptCount val="1"/>
                <c:pt idx="0">
                  <c:v>Cogen</c:v>
                </c:pt>
              </c:strCache>
            </c:strRef>
          </c:tx>
          <c:spPr>
            <a:solidFill>
              <a:schemeClr val="accent2"/>
            </a:solidFill>
          </c:spPr>
          <c:cat>
            <c:strRef>
              <c:f>ChartSupport!$AB$355:$AT$355</c:f>
              <c:strCache>
                <c:ptCount val="19"/>
                <c:pt idx="0">
                  <c:v>3Q13</c:v>
                </c:pt>
                <c:pt idx="1">
                  <c:v>4Q13</c:v>
                </c:pt>
                <c:pt idx="2">
                  <c:v>1Q14</c:v>
                </c:pt>
                <c:pt idx="3">
                  <c:v>2Q14</c:v>
                </c:pt>
                <c:pt idx="4">
                  <c:v>3Q14</c:v>
                </c:pt>
                <c:pt idx="5">
                  <c:v>4Q14</c:v>
                </c:pt>
                <c:pt idx="6">
                  <c:v>1Q15</c:v>
                </c:pt>
                <c:pt idx="7">
                  <c:v>2Q15</c:v>
                </c:pt>
                <c:pt idx="8">
                  <c:v>3Q15</c:v>
                </c:pt>
                <c:pt idx="9">
                  <c:v>4Q15</c:v>
                </c:pt>
                <c:pt idx="10">
                  <c:v>1Q16</c:v>
                </c:pt>
                <c:pt idx="11">
                  <c:v>2Q16</c:v>
                </c:pt>
                <c:pt idx="12">
                  <c:v>3Q16</c:v>
                </c:pt>
                <c:pt idx="13">
                  <c:v>4Q16</c:v>
                </c:pt>
                <c:pt idx="14">
                  <c:v>1Q17</c:v>
                </c:pt>
                <c:pt idx="15">
                  <c:v>2Q17</c:v>
                </c:pt>
                <c:pt idx="16">
                  <c:v>3Q17</c:v>
                </c:pt>
                <c:pt idx="17">
                  <c:v>4Q17</c:v>
                </c:pt>
                <c:pt idx="18">
                  <c:v>1Q18</c:v>
                </c:pt>
              </c:strCache>
            </c:strRef>
          </c:cat>
          <c:val>
            <c:numRef>
              <c:f>ChartSupport!$AB$406:$AT$406</c:f>
              <c:numCache>
                <c:formatCode>_(* #,##0_);_(* \(#,##0\);_(* "-"??_);_(@_)</c:formatCode>
                <c:ptCount val="19"/>
                <c:pt idx="0">
                  <c:v>12.416</c:v>
                </c:pt>
                <c:pt idx="1">
                  <c:v>-0.86400000000000077</c:v>
                </c:pt>
                <c:pt idx="2">
                  <c:v>7.6219999999999999</c:v>
                </c:pt>
                <c:pt idx="3">
                  <c:v>20.378</c:v>
                </c:pt>
                <c:pt idx="4">
                  <c:v>35.673000000000002</c:v>
                </c:pt>
                <c:pt idx="5">
                  <c:v>1.9200000000000017</c:v>
                </c:pt>
                <c:pt idx="6">
                  <c:v>45.134999999999998</c:v>
                </c:pt>
                <c:pt idx="7">
                  <c:v>39.550999999999995</c:v>
                </c:pt>
                <c:pt idx="8">
                  <c:v>71.414000000000001</c:v>
                </c:pt>
                <c:pt idx="9">
                  <c:v>18.850999999999999</c:v>
                </c:pt>
                <c:pt idx="10">
                  <c:v>49.46</c:v>
                </c:pt>
                <c:pt idx="11">
                  <c:v>42.036000000000001</c:v>
                </c:pt>
                <c:pt idx="12">
                  <c:v>30.733000000000001</c:v>
                </c:pt>
                <c:pt idx="13">
                  <c:v>1.1959999999999837</c:v>
                </c:pt>
                <c:pt idx="14">
                  <c:v>30.594999999999999</c:v>
                </c:pt>
                <c:pt idx="15">
                  <c:v>33.799146309673979</c:v>
                </c:pt>
                <c:pt idx="16">
                  <c:v>31.351920323834229</c:v>
                </c:pt>
                <c:pt idx="17">
                  <c:v>36.725073752587988</c:v>
                </c:pt>
                <c:pt idx="18">
                  <c:v>43.57466641298452</c:v>
                </c:pt>
              </c:numCache>
            </c:numRef>
          </c:val>
        </c:ser>
        <c:ser>
          <c:idx val="6"/>
          <c:order val="3"/>
          <c:tx>
            <c:strRef>
              <c:f>ChartSupport!$A$401</c:f>
              <c:strCache>
                <c:ptCount val="1"/>
                <c:pt idx="0">
                  <c:v>Others</c:v>
                </c:pt>
              </c:strCache>
            </c:strRef>
          </c:tx>
          <c:spPr>
            <a:solidFill>
              <a:schemeClr val="accent3"/>
            </a:solidFill>
          </c:spPr>
          <c:cat>
            <c:strRef>
              <c:f>ChartSupport!$AB$355:$AT$355</c:f>
              <c:strCache>
                <c:ptCount val="19"/>
                <c:pt idx="0">
                  <c:v>3Q13</c:v>
                </c:pt>
                <c:pt idx="1">
                  <c:v>4Q13</c:v>
                </c:pt>
                <c:pt idx="2">
                  <c:v>1Q14</c:v>
                </c:pt>
                <c:pt idx="3">
                  <c:v>2Q14</c:v>
                </c:pt>
                <c:pt idx="4">
                  <c:v>3Q14</c:v>
                </c:pt>
                <c:pt idx="5">
                  <c:v>4Q14</c:v>
                </c:pt>
                <c:pt idx="6">
                  <c:v>1Q15</c:v>
                </c:pt>
                <c:pt idx="7">
                  <c:v>2Q15</c:v>
                </c:pt>
                <c:pt idx="8">
                  <c:v>3Q15</c:v>
                </c:pt>
                <c:pt idx="9">
                  <c:v>4Q15</c:v>
                </c:pt>
                <c:pt idx="10">
                  <c:v>1Q16</c:v>
                </c:pt>
                <c:pt idx="11">
                  <c:v>2Q16</c:v>
                </c:pt>
                <c:pt idx="12">
                  <c:v>3Q16</c:v>
                </c:pt>
                <c:pt idx="13">
                  <c:v>4Q16</c:v>
                </c:pt>
                <c:pt idx="14">
                  <c:v>1Q17</c:v>
                </c:pt>
                <c:pt idx="15">
                  <c:v>2Q17</c:v>
                </c:pt>
                <c:pt idx="16">
                  <c:v>3Q17</c:v>
                </c:pt>
                <c:pt idx="17">
                  <c:v>4Q17</c:v>
                </c:pt>
                <c:pt idx="18">
                  <c:v>1Q18</c:v>
                </c:pt>
              </c:strCache>
            </c:strRef>
          </c:cat>
          <c:val>
            <c:numRef>
              <c:f>ChartSupport!$AB$401:$AT$401</c:f>
              <c:numCache>
                <c:formatCode>_(* #,##0_);_(* \(#,##0\);_(* "-"??_);_(@_)</c:formatCode>
                <c:ptCount val="19"/>
                <c:pt idx="0">
                  <c:v>27.978999999999999</c:v>
                </c:pt>
                <c:pt idx="1">
                  <c:v>14.02</c:v>
                </c:pt>
                <c:pt idx="2">
                  <c:v>35.312000000000005</c:v>
                </c:pt>
                <c:pt idx="3">
                  <c:v>65.143000000000001</c:v>
                </c:pt>
                <c:pt idx="4">
                  <c:v>46.516999999999996</c:v>
                </c:pt>
                <c:pt idx="5">
                  <c:v>21.524000000000001</c:v>
                </c:pt>
                <c:pt idx="6">
                  <c:v>5.125</c:v>
                </c:pt>
                <c:pt idx="7">
                  <c:v>27.422999999999998</c:v>
                </c:pt>
                <c:pt idx="8">
                  <c:v>25.229999999999997</c:v>
                </c:pt>
                <c:pt idx="9">
                  <c:v>15.003</c:v>
                </c:pt>
                <c:pt idx="10">
                  <c:v>20.426000000000002</c:v>
                </c:pt>
                <c:pt idx="11">
                  <c:v>19.956</c:v>
                </c:pt>
                <c:pt idx="12">
                  <c:v>3.6640000000000001</c:v>
                </c:pt>
                <c:pt idx="13">
                  <c:v>6.931</c:v>
                </c:pt>
                <c:pt idx="14">
                  <c:v>14.45</c:v>
                </c:pt>
                <c:pt idx="15">
                  <c:v>23.492999999999999</c:v>
                </c:pt>
                <c:pt idx="16">
                  <c:v>16.484999999999999</c:v>
                </c:pt>
                <c:pt idx="17">
                  <c:v>11.034000000000001</c:v>
                </c:pt>
                <c:pt idx="18">
                  <c:v>15.169</c:v>
                </c:pt>
              </c:numCache>
            </c:numRef>
          </c:val>
        </c:ser>
        <c:dLbls>
          <c:showLegendKey val="0"/>
          <c:showVal val="0"/>
          <c:showCatName val="0"/>
          <c:showSerName val="0"/>
          <c:showPercent val="0"/>
          <c:showBubbleSize val="0"/>
        </c:dLbls>
        <c:axId val="898083072"/>
        <c:axId val="898093056"/>
      </c:areaChart>
      <c:scatterChart>
        <c:scatterStyle val="lineMarker"/>
        <c:varyColors val="0"/>
        <c:ser>
          <c:idx val="1"/>
          <c:order val="1"/>
          <c:tx>
            <c:v>Line2</c:v>
          </c:tx>
          <c:spPr>
            <a:ln w="25400">
              <a:solidFill>
                <a:srgbClr val="FF0000"/>
              </a:solidFill>
            </a:ln>
          </c:spPr>
          <c:marker>
            <c:symbol val="none"/>
          </c:marker>
          <c:xVal>
            <c:numRef>
              <c:f>ChartSupport!$AG$429:$AH$429</c:f>
              <c:numCache>
                <c:formatCode>General</c:formatCode>
                <c:ptCount val="2"/>
                <c:pt idx="0">
                  <c:v>16</c:v>
                </c:pt>
                <c:pt idx="1">
                  <c:v>16</c:v>
                </c:pt>
              </c:numCache>
            </c:numRef>
          </c:xVal>
          <c:yVal>
            <c:numRef>
              <c:f>ChartSupport!$AG$431:$AH$431</c:f>
              <c:numCache>
                <c:formatCode>General</c:formatCode>
                <c:ptCount val="2"/>
                <c:pt idx="0">
                  <c:v>0</c:v>
                </c:pt>
                <c:pt idx="1">
                  <c:v>10000</c:v>
                </c:pt>
              </c:numCache>
            </c:numRef>
          </c:yVal>
          <c:smooth val="0"/>
        </c:ser>
        <c:ser>
          <c:idx val="0"/>
          <c:order val="4"/>
          <c:tx>
            <c:v>Line 1</c:v>
          </c:tx>
          <c:spPr>
            <a:ln>
              <a:solidFill>
                <a:srgbClr val="FF0000"/>
              </a:solidFill>
            </a:ln>
          </c:spPr>
          <c:marker>
            <c:symbol val="none"/>
          </c:marker>
          <c:xVal>
            <c:numRef>
              <c:f>ChartSupport!$AG$428:$AH$428</c:f>
              <c:numCache>
                <c:formatCode>General</c:formatCode>
                <c:ptCount val="2"/>
                <c:pt idx="0">
                  <c:v>12</c:v>
                </c:pt>
                <c:pt idx="1">
                  <c:v>12</c:v>
                </c:pt>
              </c:numCache>
            </c:numRef>
          </c:xVal>
          <c:yVal>
            <c:numRef>
              <c:f>ChartSupport!$AG$431:$AH$431</c:f>
              <c:numCache>
                <c:formatCode>General</c:formatCode>
                <c:ptCount val="2"/>
                <c:pt idx="0">
                  <c:v>0</c:v>
                </c:pt>
                <c:pt idx="1">
                  <c:v>10000</c:v>
                </c:pt>
              </c:numCache>
            </c:numRef>
          </c:yVal>
          <c:smooth val="0"/>
        </c:ser>
        <c:dLbls>
          <c:showLegendKey val="0"/>
          <c:showVal val="0"/>
          <c:showCatName val="0"/>
          <c:showSerName val="0"/>
          <c:showPercent val="0"/>
          <c:showBubbleSize val="0"/>
        </c:dLbls>
        <c:axId val="898094976"/>
        <c:axId val="898096512"/>
      </c:scatterChart>
      <c:catAx>
        <c:axId val="898083072"/>
        <c:scaling>
          <c:orientation val="minMax"/>
        </c:scaling>
        <c:delete val="0"/>
        <c:axPos val="b"/>
        <c:numFmt formatCode="mmm\-yy" sourceLinked="0"/>
        <c:majorTickMark val="out"/>
        <c:minorTickMark val="none"/>
        <c:tickLblPos val="nextTo"/>
        <c:spPr>
          <a:ln w="3175">
            <a:solidFill>
              <a:srgbClr val="808080"/>
            </a:solidFill>
            <a:prstDash val="solid"/>
          </a:ln>
        </c:spPr>
        <c:txPr>
          <a:bodyPr rot="-5400000" vert="horz"/>
          <a:lstStyle/>
          <a:p>
            <a:pPr>
              <a:defRPr/>
            </a:pPr>
            <a:endParaRPr lang="en-US"/>
          </a:p>
        </c:txPr>
        <c:crossAx val="898093056"/>
        <c:crosses val="autoZero"/>
        <c:auto val="1"/>
        <c:lblAlgn val="ctr"/>
        <c:lblOffset val="100"/>
        <c:tickMarkSkip val="1"/>
        <c:noMultiLvlLbl val="0"/>
      </c:catAx>
      <c:valAx>
        <c:axId val="898093056"/>
        <c:scaling>
          <c:orientation val="minMax"/>
        </c:scaling>
        <c:delete val="0"/>
        <c:axPos val="l"/>
        <c:title>
          <c:tx>
            <c:rich>
              <a:bodyPr rot="0" vert="horz"/>
              <a:lstStyle/>
              <a:p>
                <a:pPr>
                  <a:defRPr/>
                </a:pPr>
                <a:r>
                  <a:rPr lang="en-US"/>
                  <a:t>R$ mn</a:t>
                </a:r>
              </a:p>
            </c:rich>
          </c:tx>
          <c:layout>
            <c:manualLayout>
              <c:xMode val="edge"/>
              <c:yMode val="edge"/>
              <c:x val="0.12117399019102443"/>
              <c:y val="3.8587981252846869E-2"/>
            </c:manualLayout>
          </c:layout>
          <c:overlay val="0"/>
        </c:title>
        <c:numFmt formatCode="_(* #,##0_);_(* \(#,##0\);_(* &quot;-&quot;_);_(@_)" sourceLinked="0"/>
        <c:majorTickMark val="out"/>
        <c:minorTickMark val="none"/>
        <c:tickLblPos val="nextTo"/>
        <c:spPr>
          <a:ln w="3175">
            <a:solidFill>
              <a:srgbClr val="808080"/>
            </a:solidFill>
            <a:prstDash val="solid"/>
          </a:ln>
        </c:spPr>
        <c:txPr>
          <a:bodyPr rot="0" vert="horz"/>
          <a:lstStyle/>
          <a:p>
            <a:pPr>
              <a:defRPr/>
            </a:pPr>
            <a:endParaRPr lang="en-US"/>
          </a:p>
        </c:txPr>
        <c:crossAx val="898083072"/>
        <c:crosses val="autoZero"/>
        <c:crossBetween val="midCat"/>
      </c:valAx>
      <c:valAx>
        <c:axId val="898094976"/>
        <c:scaling>
          <c:orientation val="minMax"/>
        </c:scaling>
        <c:delete val="1"/>
        <c:axPos val="b"/>
        <c:numFmt formatCode="General" sourceLinked="1"/>
        <c:majorTickMark val="out"/>
        <c:minorTickMark val="none"/>
        <c:tickLblPos val="nextTo"/>
        <c:crossAx val="898096512"/>
        <c:crosses val="autoZero"/>
        <c:crossBetween val="midCat"/>
      </c:valAx>
      <c:valAx>
        <c:axId val="898096512"/>
        <c:scaling>
          <c:orientation val="minMax"/>
          <c:max val="10000"/>
        </c:scaling>
        <c:delete val="0"/>
        <c:axPos val="l"/>
        <c:numFmt formatCode="General" sourceLinked="1"/>
        <c:majorTickMark val="none"/>
        <c:minorTickMark val="none"/>
        <c:tickLblPos val="none"/>
        <c:spPr>
          <a:ln>
            <a:noFill/>
          </a:ln>
        </c:spPr>
        <c:crossAx val="898094976"/>
        <c:crosses val="autoZero"/>
        <c:crossBetween val="midCat"/>
      </c:valAx>
      <c:spPr>
        <a:noFill/>
        <a:ln w="25400">
          <a:noFill/>
        </a:ln>
      </c:spPr>
    </c:plotArea>
    <c:legend>
      <c:legendPos val="l"/>
      <c:legendEntry>
        <c:idx val="3"/>
        <c:delete val="1"/>
      </c:legendEntry>
      <c:legendEntry>
        <c:idx val="4"/>
        <c:delete val="1"/>
      </c:legendEntry>
      <c:layout>
        <c:manualLayout>
          <c:xMode val="edge"/>
          <c:yMode val="edge"/>
          <c:x val="0.2990188626421697"/>
          <c:y val="9.532132103119012E-2"/>
          <c:w val="0.20157816272965878"/>
          <c:h val="0.20544450348614399"/>
        </c:manualLayout>
      </c:layout>
      <c:overlay val="0"/>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1644908616188E-2"/>
          <c:y val="4.7169956177390976E-2"/>
          <c:w val="0.85378590078328986"/>
          <c:h val="0.73899598011245859"/>
        </c:manualLayout>
      </c:layout>
      <c:lineChart>
        <c:grouping val="standard"/>
        <c:varyColors val="0"/>
        <c:ser>
          <c:idx val="2"/>
          <c:order val="0"/>
          <c:tx>
            <c:strRef>
              <c:f>ChartSupport!$A$372</c:f>
              <c:strCache>
                <c:ptCount val="1"/>
                <c:pt idx="0">
                  <c:v>Net Debt/EBITDA</c:v>
                </c:pt>
              </c:strCache>
            </c:strRef>
          </c:tx>
          <c:spPr>
            <a:ln w="25400">
              <a:solidFill>
                <a:schemeClr val="accent1"/>
              </a:solidFill>
              <a:prstDash val="solid"/>
            </a:ln>
          </c:spPr>
          <c:marker>
            <c:symbol val="none"/>
          </c:marke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ChartSupport!$B$372:$BY$372</c:f>
              <c:numCache>
                <c:formatCode>_(* #,##0.0_);_(* \(#,##0.0\);_(* "-"??_);_(@_)</c:formatCode>
                <c:ptCount val="48"/>
                <c:pt idx="3">
                  <c:v>-0.23435791842236539</c:v>
                </c:pt>
                <c:pt idx="4">
                  <c:v>0.58242028358786435</c:v>
                </c:pt>
                <c:pt idx="5">
                  <c:v>1.8613388021918165</c:v>
                </c:pt>
                <c:pt idx="6">
                  <c:v>3.1397568991601021</c:v>
                </c:pt>
                <c:pt idx="7">
                  <c:v>3.912387732171001</c:v>
                </c:pt>
                <c:pt idx="8">
                  <c:v>6.0175180191565207</c:v>
                </c:pt>
                <c:pt idx="9">
                  <c:v>6.7846671854898917</c:v>
                </c:pt>
                <c:pt idx="10">
                  <c:v>6.0296665572106631</c:v>
                </c:pt>
                <c:pt idx="11">
                  <c:v>4.9617317905918048</c:v>
                </c:pt>
                <c:pt idx="12">
                  <c:v>4.1827754709796752</c:v>
                </c:pt>
                <c:pt idx="13">
                  <c:v>3.6807905940518513</c:v>
                </c:pt>
                <c:pt idx="14">
                  <c:v>3.0179902467028805</c:v>
                </c:pt>
                <c:pt idx="15">
                  <c:v>1.6935161912846257</c:v>
                </c:pt>
                <c:pt idx="16">
                  <c:v>1.472766347495198</c:v>
                </c:pt>
                <c:pt idx="17">
                  <c:v>1.4899779932195325</c:v>
                </c:pt>
                <c:pt idx="18">
                  <c:v>0.91233121410042606</c:v>
                </c:pt>
                <c:pt idx="19">
                  <c:v>0.84132736515274686</c:v>
                </c:pt>
                <c:pt idx="20">
                  <c:v>0.80056628172838495</c:v>
                </c:pt>
                <c:pt idx="21">
                  <c:v>1.0536019837241006</c:v>
                </c:pt>
                <c:pt idx="22">
                  <c:v>1.4034539028665443</c:v>
                </c:pt>
                <c:pt idx="23">
                  <c:v>1.5685575936317466</c:v>
                </c:pt>
                <c:pt idx="24">
                  <c:v>2.1632020987811766</c:v>
                </c:pt>
                <c:pt idx="25">
                  <c:v>2.0039951018715843</c:v>
                </c:pt>
                <c:pt idx="26">
                  <c:v>2.287086963012857</c:v>
                </c:pt>
                <c:pt idx="27">
                  <c:v>2.0674939899144094</c:v>
                </c:pt>
                <c:pt idx="28">
                  <c:v>1.869343274414073</c:v>
                </c:pt>
                <c:pt idx="29">
                  <c:v>1.8814936052988824</c:v>
                </c:pt>
                <c:pt idx="30">
                  <c:v>2.074118723088656</c:v>
                </c:pt>
                <c:pt idx="31">
                  <c:v>2.0078317498433917</c:v>
                </c:pt>
                <c:pt idx="32">
                  <c:v>2.0064146603262087</c:v>
                </c:pt>
                <c:pt idx="33">
                  <c:v>2.8735360596877602</c:v>
                </c:pt>
                <c:pt idx="34">
                  <c:v>2.8210330597843885</c:v>
                </c:pt>
                <c:pt idx="35">
                  <c:v>2.2785405739676148</c:v>
                </c:pt>
                <c:pt idx="36">
                  <c:v>2.3770203830272685</c:v>
                </c:pt>
                <c:pt idx="37">
                  <c:v>2.7388525905547918</c:v>
                </c:pt>
                <c:pt idx="38">
                  <c:v>2.501801231233256</c:v>
                </c:pt>
                <c:pt idx="39">
                  <c:v>2.0880132512883836</c:v>
                </c:pt>
                <c:pt idx="40">
                  <c:v>1.9041048605677084</c:v>
                </c:pt>
                <c:pt idx="41">
                  <c:v>1.9050233968774495</c:v>
                </c:pt>
                <c:pt idx="42">
                  <c:v>2.045922091148265</c:v>
                </c:pt>
                <c:pt idx="43">
                  <c:v>1.7626109967005472</c:v>
                </c:pt>
                <c:pt idx="44">
                  <c:v>1.6688076245073811</c:v>
                </c:pt>
                <c:pt idx="45">
                  <c:v>6.6649424408535571</c:v>
                </c:pt>
                <c:pt idx="46">
                  <c:v>6.4147524278804564</c:v>
                </c:pt>
                <c:pt idx="47">
                  <c:v>5.0372875108653759</c:v>
                </c:pt>
              </c:numCache>
            </c:numRef>
          </c:val>
          <c:smooth val="0"/>
        </c:ser>
        <c:ser>
          <c:idx val="4"/>
          <c:order val="4"/>
          <c:tx>
            <c:v>zeroline</c:v>
          </c:tx>
          <c:spPr>
            <a:ln w="3175">
              <a:solidFill>
                <a:schemeClr val="bg1">
                  <a:lumMod val="50000"/>
                </a:schemeClr>
              </a:solidFill>
            </a:ln>
          </c:spPr>
          <c:marker>
            <c:symbol val="none"/>
          </c:marke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ChartSupport!$B$421:$BY$421</c:f>
              <c:numCache>
                <c:formatCode>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898139264"/>
        <c:axId val="898140800"/>
      </c:lineChart>
      <c:scatterChart>
        <c:scatterStyle val="lineMarker"/>
        <c:varyColors val="0"/>
        <c:ser>
          <c:idx val="0"/>
          <c:order val="1"/>
          <c:tx>
            <c:v>Line1</c:v>
          </c:tx>
          <c:spPr>
            <a:ln w="25400">
              <a:solidFill>
                <a:srgbClr val="FF0000"/>
              </a:solidFill>
            </a:ln>
          </c:spPr>
          <c:marker>
            <c:symbol val="none"/>
          </c:marker>
          <c:xVal>
            <c:numRef>
              <c:f>ChartSupport!$U$428:$V$428</c:f>
              <c:numCache>
                <c:formatCode>General</c:formatCode>
                <c:ptCount val="2"/>
                <c:pt idx="0">
                  <c:v>38</c:v>
                </c:pt>
                <c:pt idx="1">
                  <c:v>38</c:v>
                </c:pt>
              </c:numCache>
            </c:numRef>
          </c:xVal>
          <c:yVal>
            <c:numRef>
              <c:f>ChartSupport!$U$431:$V$431</c:f>
              <c:numCache>
                <c:formatCode>General</c:formatCode>
                <c:ptCount val="2"/>
                <c:pt idx="0">
                  <c:v>0</c:v>
                </c:pt>
                <c:pt idx="1">
                  <c:v>10000</c:v>
                </c:pt>
              </c:numCache>
            </c:numRef>
          </c:yVal>
          <c:smooth val="0"/>
        </c:ser>
        <c:ser>
          <c:idx val="1"/>
          <c:order val="2"/>
          <c:tx>
            <c:v>Line2</c:v>
          </c:tx>
          <c:spPr>
            <a:ln w="25400">
              <a:solidFill>
                <a:srgbClr val="FF0000"/>
              </a:solidFill>
            </a:ln>
          </c:spPr>
          <c:marker>
            <c:symbol val="none"/>
          </c:marker>
          <c:xVal>
            <c:numRef>
              <c:f>ChartSupport!$U$429:$V$429</c:f>
              <c:numCache>
                <c:formatCode>General</c:formatCode>
                <c:ptCount val="2"/>
                <c:pt idx="0">
                  <c:v>42</c:v>
                </c:pt>
                <c:pt idx="1">
                  <c:v>42</c:v>
                </c:pt>
              </c:numCache>
            </c:numRef>
          </c:xVal>
          <c:yVal>
            <c:numRef>
              <c:f>ChartSupport!$U$431:$V$431</c:f>
              <c:numCache>
                <c:formatCode>General</c:formatCode>
                <c:ptCount val="2"/>
                <c:pt idx="0">
                  <c:v>0</c:v>
                </c:pt>
                <c:pt idx="1">
                  <c:v>10000</c:v>
                </c:pt>
              </c:numCache>
            </c:numRef>
          </c:yVal>
          <c:smooth val="0"/>
        </c:ser>
        <c:ser>
          <c:idx val="3"/>
          <c:order val="3"/>
          <c:tx>
            <c:v>Line3</c:v>
          </c:tx>
          <c:spPr>
            <a:ln w="25400">
              <a:solidFill>
                <a:srgbClr val="FF0000"/>
              </a:solidFill>
              <a:prstDash val="dash"/>
            </a:ln>
          </c:spPr>
          <c:marker>
            <c:symbol val="none"/>
          </c:marker>
          <c:xVal>
            <c:numRef>
              <c:f>ChartSupport!$U$430:$V$430</c:f>
              <c:numCache>
                <c:formatCode>General</c:formatCode>
                <c:ptCount val="2"/>
                <c:pt idx="0">
                  <c:v>46</c:v>
                </c:pt>
                <c:pt idx="1">
                  <c:v>46</c:v>
                </c:pt>
              </c:numCache>
            </c:numRef>
          </c:xVal>
          <c:yVal>
            <c:numRef>
              <c:f>ChartSupport!$U$431:$V$431</c:f>
              <c:numCache>
                <c:formatCode>General</c:formatCode>
                <c:ptCount val="2"/>
                <c:pt idx="0">
                  <c:v>0</c:v>
                </c:pt>
                <c:pt idx="1">
                  <c:v>10000</c:v>
                </c:pt>
              </c:numCache>
            </c:numRef>
          </c:yVal>
          <c:smooth val="0"/>
        </c:ser>
        <c:dLbls>
          <c:showLegendKey val="0"/>
          <c:showVal val="0"/>
          <c:showCatName val="0"/>
          <c:showSerName val="0"/>
          <c:showPercent val="0"/>
          <c:showBubbleSize val="0"/>
        </c:dLbls>
        <c:axId val="898147072"/>
        <c:axId val="898148608"/>
      </c:scatterChart>
      <c:catAx>
        <c:axId val="898139264"/>
        <c:scaling>
          <c:orientation val="minMax"/>
        </c:scaling>
        <c:delete val="0"/>
        <c:axPos val="b"/>
        <c:numFmt formatCode="m/d/yyyy" sourceLinked="0"/>
        <c:majorTickMark val="out"/>
        <c:minorTickMark val="none"/>
        <c:tickLblPos val="low"/>
        <c:spPr>
          <a:ln w="3175">
            <a:solidFill>
              <a:srgbClr val="808080"/>
            </a:solidFill>
            <a:prstDash val="solid"/>
          </a:ln>
        </c:spPr>
        <c:txPr>
          <a:bodyPr rot="-5400000" vert="horz"/>
          <a:lstStyle/>
          <a:p>
            <a:pPr>
              <a:defRPr/>
            </a:pPr>
            <a:endParaRPr lang="en-US"/>
          </a:p>
        </c:txPr>
        <c:crossAx val="898140800"/>
        <c:crossesAt val="-500"/>
        <c:auto val="1"/>
        <c:lblAlgn val="ctr"/>
        <c:lblOffset val="100"/>
        <c:tickLblSkip val="2"/>
        <c:tickMarkSkip val="1"/>
        <c:noMultiLvlLbl val="0"/>
      </c:catAx>
      <c:valAx>
        <c:axId val="898140800"/>
        <c:scaling>
          <c:orientation val="minMax"/>
          <c:max val="10"/>
        </c:scaling>
        <c:delete val="0"/>
        <c:axPos val="l"/>
        <c:title>
          <c:tx>
            <c:rich>
              <a:bodyPr rot="0" vert="horz"/>
              <a:lstStyle/>
              <a:p>
                <a:pPr>
                  <a:defRPr/>
                </a:pPr>
                <a:r>
                  <a:rPr lang="en-US"/>
                  <a:t>x</a:t>
                </a:r>
              </a:p>
            </c:rich>
          </c:tx>
          <c:layout>
            <c:manualLayout>
              <c:xMode val="edge"/>
              <c:yMode val="edge"/>
              <c:x val="0.10798793256111097"/>
              <c:y val="3.3389683351921919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8139264"/>
        <c:crosses val="autoZero"/>
        <c:crossBetween val="between"/>
      </c:valAx>
      <c:catAx>
        <c:axId val="898147072"/>
        <c:scaling>
          <c:orientation val="minMax"/>
        </c:scaling>
        <c:delete val="1"/>
        <c:axPos val="b"/>
        <c:numFmt formatCode="General" sourceLinked="1"/>
        <c:majorTickMark val="out"/>
        <c:minorTickMark val="none"/>
        <c:tickLblPos val="nextTo"/>
        <c:crossAx val="898148608"/>
        <c:crosses val="autoZero"/>
        <c:auto val="1"/>
        <c:lblAlgn val="ctr"/>
        <c:lblOffset val="100"/>
        <c:noMultiLvlLbl val="1"/>
      </c:catAx>
      <c:valAx>
        <c:axId val="898148608"/>
        <c:scaling>
          <c:orientation val="minMax"/>
          <c:max val="10000"/>
        </c:scaling>
        <c:delete val="0"/>
        <c:axPos val="l"/>
        <c:numFmt formatCode="General" sourceLinked="1"/>
        <c:majorTickMark val="none"/>
        <c:minorTickMark val="none"/>
        <c:tickLblPos val="none"/>
        <c:spPr>
          <a:ln>
            <a:noFill/>
          </a:ln>
        </c:spPr>
        <c:crossAx val="898147072"/>
        <c:crosses val="autoZero"/>
        <c:crossBetween val="between"/>
      </c:valAx>
      <c:spPr>
        <a:noFill/>
        <a:ln w="25400">
          <a:noFill/>
        </a:ln>
      </c:spPr>
    </c:plotArea>
    <c:legend>
      <c:legendPos val="t"/>
      <c:legendEntry>
        <c:idx val="1"/>
        <c:delete val="1"/>
      </c:legendEntry>
      <c:legendEntry>
        <c:idx val="2"/>
        <c:delete val="1"/>
      </c:legendEntry>
      <c:legendEntry>
        <c:idx val="3"/>
        <c:delete val="1"/>
      </c:legendEntry>
      <c:legendEntry>
        <c:idx val="4"/>
        <c:delete val="1"/>
      </c:legendEntry>
      <c:layout>
        <c:manualLayout>
          <c:xMode val="edge"/>
          <c:yMode val="edge"/>
          <c:x val="0.22024606510113454"/>
          <c:y val="4.3223992515102019E-2"/>
          <c:w val="0.40832476421217562"/>
          <c:h val="6.8940225983201181E-2"/>
        </c:manualLayout>
      </c:layout>
      <c:overlay val="0"/>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893668828006601E-2"/>
          <c:y val="4.7169956177390976E-2"/>
          <c:w val="0.85372451291934126"/>
          <c:h val="0.90251849486074731"/>
        </c:manualLayout>
      </c:layout>
      <c:lineChart>
        <c:grouping val="standard"/>
        <c:varyColors val="0"/>
        <c:ser>
          <c:idx val="2"/>
          <c:order val="0"/>
          <c:tx>
            <c:strRef>
              <c:f>ChartSupport!$A$358</c:f>
              <c:strCache>
                <c:ptCount val="1"/>
                <c:pt idx="0">
                  <c:v>Gross revenues growth (%)</c:v>
                </c:pt>
              </c:strCache>
            </c:strRef>
          </c:tx>
          <c:spPr>
            <a:ln w="25400">
              <a:solidFill>
                <a:schemeClr val="accent1"/>
              </a:solidFill>
              <a:prstDash val="solid"/>
            </a:ln>
          </c:spPr>
          <c:marker>
            <c:symbol val="none"/>
          </c:marker>
          <c:cat>
            <c:strRef>
              <c:f>ChartSupport!$F$355:$BY$355</c:f>
              <c:strCache>
                <c:ptCount val="44"/>
                <c:pt idx="0">
                  <c:v>1Q08</c:v>
                </c:pt>
                <c:pt idx="1">
                  <c:v>2Q08</c:v>
                </c:pt>
                <c:pt idx="2">
                  <c:v>3Q08</c:v>
                </c:pt>
                <c:pt idx="3">
                  <c:v>4Q08</c:v>
                </c:pt>
                <c:pt idx="4">
                  <c:v>1Q09</c:v>
                </c:pt>
                <c:pt idx="5">
                  <c:v>2Q09</c:v>
                </c:pt>
                <c:pt idx="6">
                  <c:v>3Q09</c:v>
                </c:pt>
                <c:pt idx="7">
                  <c:v>4Q09</c:v>
                </c:pt>
                <c:pt idx="8">
                  <c:v>1Q10</c:v>
                </c:pt>
                <c:pt idx="9">
                  <c:v>2Q10</c:v>
                </c:pt>
                <c:pt idx="10">
                  <c:v>3Q10</c:v>
                </c:pt>
                <c:pt idx="11">
                  <c:v>4Q10</c:v>
                </c:pt>
                <c:pt idx="12">
                  <c:v>1Q11</c:v>
                </c:pt>
                <c:pt idx="13">
                  <c:v>2Q11</c:v>
                </c:pt>
                <c:pt idx="14">
                  <c:v>3Q11</c:v>
                </c:pt>
                <c:pt idx="15">
                  <c:v>4Q11</c:v>
                </c:pt>
                <c:pt idx="16">
                  <c:v>1Q12</c:v>
                </c:pt>
                <c:pt idx="17">
                  <c:v>2Q12</c:v>
                </c:pt>
                <c:pt idx="18">
                  <c:v>3Q12</c:v>
                </c:pt>
                <c:pt idx="19">
                  <c:v>4Q12</c:v>
                </c:pt>
                <c:pt idx="20">
                  <c:v>1Q13</c:v>
                </c:pt>
                <c:pt idx="21">
                  <c:v>2Q13</c:v>
                </c:pt>
                <c:pt idx="22">
                  <c:v>3Q13</c:v>
                </c:pt>
                <c:pt idx="23">
                  <c:v>4Q13</c:v>
                </c:pt>
                <c:pt idx="24">
                  <c:v>1Q14</c:v>
                </c:pt>
                <c:pt idx="25">
                  <c:v>2Q14</c:v>
                </c:pt>
                <c:pt idx="26">
                  <c:v>3Q14</c:v>
                </c:pt>
                <c:pt idx="27">
                  <c:v>4Q14</c:v>
                </c:pt>
                <c:pt idx="28">
                  <c:v>1Q15</c:v>
                </c:pt>
                <c:pt idx="29">
                  <c:v>2Q15</c:v>
                </c:pt>
                <c:pt idx="30">
                  <c:v>3Q15</c:v>
                </c:pt>
                <c:pt idx="31">
                  <c:v>4Q15</c:v>
                </c:pt>
                <c:pt idx="32">
                  <c:v>1Q16</c:v>
                </c:pt>
                <c:pt idx="33">
                  <c:v>2Q16</c:v>
                </c:pt>
                <c:pt idx="34">
                  <c:v>3Q16</c:v>
                </c:pt>
                <c:pt idx="35">
                  <c:v>4Q16</c:v>
                </c:pt>
                <c:pt idx="36">
                  <c:v>1Q17</c:v>
                </c:pt>
                <c:pt idx="37">
                  <c:v>2Q17</c:v>
                </c:pt>
                <c:pt idx="38">
                  <c:v>3Q17</c:v>
                </c:pt>
                <c:pt idx="39">
                  <c:v>4Q17</c:v>
                </c:pt>
                <c:pt idx="40">
                  <c:v>1Q18</c:v>
                </c:pt>
                <c:pt idx="41">
                  <c:v>2Q18e</c:v>
                </c:pt>
                <c:pt idx="42">
                  <c:v>3Q18e</c:v>
                </c:pt>
                <c:pt idx="43">
                  <c:v>4Q18e</c:v>
                </c:pt>
              </c:strCache>
            </c:strRef>
          </c:cat>
          <c:val>
            <c:numRef>
              <c:f>ChartSupport!$F$358:$BY$358</c:f>
              <c:numCache>
                <c:formatCode>0%</c:formatCode>
                <c:ptCount val="44"/>
                <c:pt idx="0">
                  <c:v>-0.13216130949659366</c:v>
                </c:pt>
                <c:pt idx="1">
                  <c:v>-0.3048845622480808</c:v>
                </c:pt>
                <c:pt idx="2">
                  <c:v>-0.29476578668661768</c:v>
                </c:pt>
                <c:pt idx="3">
                  <c:v>0.27703007948052205</c:v>
                </c:pt>
                <c:pt idx="4">
                  <c:v>-0.45517768235820977</c:v>
                </c:pt>
                <c:pt idx="5">
                  <c:v>0.11294494900598817</c:v>
                </c:pt>
                <c:pt idx="6">
                  <c:v>0.69991182386817674</c:v>
                </c:pt>
                <c:pt idx="7">
                  <c:v>0.16696341103111556</c:v>
                </c:pt>
                <c:pt idx="8">
                  <c:v>1.3330915772169036</c:v>
                </c:pt>
                <c:pt idx="9">
                  <c:v>0.41830366183699397</c:v>
                </c:pt>
                <c:pt idx="10">
                  <c:v>0.432121929277129</c:v>
                </c:pt>
                <c:pt idx="11">
                  <c:v>0.26366407382114376</c:v>
                </c:pt>
                <c:pt idx="12">
                  <c:v>0.26070503388390365</c:v>
                </c:pt>
                <c:pt idx="13">
                  <c:v>0.15966795607362605</c:v>
                </c:pt>
                <c:pt idx="14">
                  <c:v>0.18179451554758219</c:v>
                </c:pt>
                <c:pt idx="15">
                  <c:v>-0.19542987296122416</c:v>
                </c:pt>
                <c:pt idx="16">
                  <c:v>0.14566483870543534</c:v>
                </c:pt>
                <c:pt idx="17">
                  <c:v>0.16617975452912237</c:v>
                </c:pt>
                <c:pt idx="18">
                  <c:v>-3.6607645248955434E-2</c:v>
                </c:pt>
                <c:pt idx="19">
                  <c:v>-8.3548492791611917E-2</c:v>
                </c:pt>
                <c:pt idx="20">
                  <c:v>-0.11650357276092638</c:v>
                </c:pt>
                <c:pt idx="21">
                  <c:v>0.35349463333165354</c:v>
                </c:pt>
                <c:pt idx="22">
                  <c:v>3.478263030748896E-2</c:v>
                </c:pt>
                <c:pt idx="23">
                  <c:v>0.50263674423759652</c:v>
                </c:pt>
                <c:pt idx="24">
                  <c:v>0.663928515746804</c:v>
                </c:pt>
                <c:pt idx="25">
                  <c:v>0.12003283373577722</c:v>
                </c:pt>
                <c:pt idx="26">
                  <c:v>6.7476720363347287E-2</c:v>
                </c:pt>
                <c:pt idx="27">
                  <c:v>9.2567257292006211E-2</c:v>
                </c:pt>
                <c:pt idx="28">
                  <c:v>1.9942335884687301E-2</c:v>
                </c:pt>
                <c:pt idx="29">
                  <c:v>-0.16130043260167248</c:v>
                </c:pt>
                <c:pt idx="30">
                  <c:v>0.36827053966182532</c:v>
                </c:pt>
                <c:pt idx="31">
                  <c:v>0.60775184344743161</c:v>
                </c:pt>
                <c:pt idx="32">
                  <c:v>-9.6554403599665606E-2</c:v>
                </c:pt>
                <c:pt idx="33">
                  <c:v>0.28437537746104602</c:v>
                </c:pt>
                <c:pt idx="34">
                  <c:v>0.38294188163210952</c:v>
                </c:pt>
                <c:pt idx="35">
                  <c:v>0.14333373968873198</c:v>
                </c:pt>
                <c:pt idx="36">
                  <c:v>0.41488717153485699</c:v>
                </c:pt>
                <c:pt idx="37">
                  <c:v>0.10874401572882464</c:v>
                </c:pt>
                <c:pt idx="38">
                  <c:v>-8.8386865098050382E-2</c:v>
                </c:pt>
                <c:pt idx="39">
                  <c:v>0.11489072834736613</c:v>
                </c:pt>
                <c:pt idx="40">
                  <c:v>0.3962335058669928</c:v>
                </c:pt>
                <c:pt idx="41">
                  <c:v>0.39464785981583983</c:v>
                </c:pt>
                <c:pt idx="42">
                  <c:v>0.32904218138101293</c:v>
                </c:pt>
                <c:pt idx="43">
                  <c:v>0.26875805864898394</c:v>
                </c:pt>
              </c:numCache>
            </c:numRef>
          </c:val>
          <c:smooth val="0"/>
        </c:ser>
        <c:dLbls>
          <c:showLegendKey val="0"/>
          <c:showVal val="0"/>
          <c:showCatName val="0"/>
          <c:showSerName val="0"/>
          <c:showPercent val="0"/>
          <c:showBubbleSize val="0"/>
        </c:dLbls>
        <c:marker val="1"/>
        <c:smooth val="0"/>
        <c:axId val="898518400"/>
        <c:axId val="898536576"/>
      </c:lineChart>
      <c:scatterChart>
        <c:scatterStyle val="lineMarker"/>
        <c:varyColors val="0"/>
        <c:ser>
          <c:idx val="0"/>
          <c:order val="1"/>
          <c:tx>
            <c:v>Line1</c:v>
          </c:tx>
          <c:spPr>
            <a:ln w="25400">
              <a:solidFill>
                <a:srgbClr val="FF0000"/>
              </a:solidFill>
            </a:ln>
          </c:spPr>
          <c:marker>
            <c:symbol val="none"/>
          </c:marker>
          <c:xVal>
            <c:numRef>
              <c:f>ChartSupport!$AA$428:$AB$428</c:f>
              <c:numCache>
                <c:formatCode>General</c:formatCode>
                <c:ptCount val="2"/>
                <c:pt idx="0">
                  <c:v>34</c:v>
                </c:pt>
                <c:pt idx="1">
                  <c:v>34</c:v>
                </c:pt>
              </c:numCache>
            </c:numRef>
          </c:xVal>
          <c:yVal>
            <c:numRef>
              <c:f>ChartSupport!$AA$431:$AB$431</c:f>
              <c:numCache>
                <c:formatCode>General</c:formatCode>
                <c:ptCount val="2"/>
                <c:pt idx="0">
                  <c:v>0</c:v>
                </c:pt>
                <c:pt idx="1">
                  <c:v>10000</c:v>
                </c:pt>
              </c:numCache>
            </c:numRef>
          </c:yVal>
          <c:smooth val="0"/>
        </c:ser>
        <c:ser>
          <c:idx val="1"/>
          <c:order val="2"/>
          <c:tx>
            <c:v>Line2</c:v>
          </c:tx>
          <c:spPr>
            <a:ln w="25400">
              <a:solidFill>
                <a:srgbClr val="FF0000"/>
              </a:solidFill>
            </a:ln>
          </c:spPr>
          <c:marker>
            <c:symbol val="none"/>
          </c:marker>
          <c:xVal>
            <c:numRef>
              <c:f>ChartSupport!$AA$429:$AB$429</c:f>
              <c:numCache>
                <c:formatCode>General</c:formatCode>
                <c:ptCount val="2"/>
                <c:pt idx="0">
                  <c:v>38</c:v>
                </c:pt>
                <c:pt idx="1">
                  <c:v>38</c:v>
                </c:pt>
              </c:numCache>
            </c:numRef>
          </c:xVal>
          <c:yVal>
            <c:numRef>
              <c:f>ChartSupport!$AA$431:$AB$431</c:f>
              <c:numCache>
                <c:formatCode>General</c:formatCode>
                <c:ptCount val="2"/>
                <c:pt idx="0">
                  <c:v>0</c:v>
                </c:pt>
                <c:pt idx="1">
                  <c:v>10000</c:v>
                </c:pt>
              </c:numCache>
            </c:numRef>
          </c:yVal>
          <c:smooth val="0"/>
        </c:ser>
        <c:ser>
          <c:idx val="3"/>
          <c:order val="3"/>
          <c:tx>
            <c:v>Line3</c:v>
          </c:tx>
          <c:spPr>
            <a:ln w="25400">
              <a:solidFill>
                <a:srgbClr val="FF0000"/>
              </a:solidFill>
              <a:prstDash val="dash"/>
            </a:ln>
          </c:spPr>
          <c:marker>
            <c:symbol val="none"/>
          </c:marker>
          <c:xVal>
            <c:numRef>
              <c:f>ChartSupport!$AA$430:$AB$430</c:f>
              <c:numCache>
                <c:formatCode>General</c:formatCode>
                <c:ptCount val="2"/>
                <c:pt idx="0">
                  <c:v>42</c:v>
                </c:pt>
                <c:pt idx="1">
                  <c:v>42</c:v>
                </c:pt>
              </c:numCache>
            </c:numRef>
          </c:xVal>
          <c:yVal>
            <c:numRef>
              <c:f>ChartSupport!$AA$431:$AB$431</c:f>
              <c:numCache>
                <c:formatCode>General</c:formatCode>
                <c:ptCount val="2"/>
                <c:pt idx="0">
                  <c:v>0</c:v>
                </c:pt>
                <c:pt idx="1">
                  <c:v>10000</c:v>
                </c:pt>
              </c:numCache>
            </c:numRef>
          </c:yVal>
          <c:smooth val="0"/>
        </c:ser>
        <c:dLbls>
          <c:showLegendKey val="0"/>
          <c:showVal val="0"/>
          <c:showCatName val="0"/>
          <c:showSerName val="0"/>
          <c:showPercent val="0"/>
          <c:showBubbleSize val="0"/>
        </c:dLbls>
        <c:axId val="898538112"/>
        <c:axId val="898544000"/>
      </c:scatterChart>
      <c:catAx>
        <c:axId val="898518400"/>
        <c:scaling>
          <c:orientation val="minMax"/>
        </c:scaling>
        <c:delete val="0"/>
        <c:axPos val="b"/>
        <c:numFmt formatCode="m/d/yyyy" sourceLinked="0"/>
        <c:majorTickMark val="out"/>
        <c:minorTickMark val="none"/>
        <c:tickLblPos val="low"/>
        <c:spPr>
          <a:ln w="3175">
            <a:solidFill>
              <a:srgbClr val="808080"/>
            </a:solidFill>
            <a:prstDash val="solid"/>
          </a:ln>
        </c:spPr>
        <c:txPr>
          <a:bodyPr rot="-5400000" vert="horz"/>
          <a:lstStyle/>
          <a:p>
            <a:pPr>
              <a:defRPr/>
            </a:pPr>
            <a:endParaRPr lang="en-US"/>
          </a:p>
        </c:txPr>
        <c:crossAx val="898536576"/>
        <c:crossesAt val="-0.60000000000000009"/>
        <c:auto val="1"/>
        <c:lblAlgn val="ctr"/>
        <c:lblOffset val="100"/>
        <c:tickLblSkip val="2"/>
        <c:tickMarkSkip val="1"/>
        <c:noMultiLvlLbl val="0"/>
      </c:catAx>
      <c:valAx>
        <c:axId val="898536576"/>
        <c:scaling>
          <c:orientation val="minMax"/>
        </c:scaling>
        <c:delete val="0"/>
        <c:axPos val="l"/>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8518400"/>
        <c:crosses val="autoZero"/>
        <c:crossBetween val="midCat"/>
      </c:valAx>
      <c:valAx>
        <c:axId val="898538112"/>
        <c:scaling>
          <c:orientation val="minMax"/>
        </c:scaling>
        <c:delete val="1"/>
        <c:axPos val="b"/>
        <c:numFmt formatCode="General" sourceLinked="1"/>
        <c:majorTickMark val="out"/>
        <c:minorTickMark val="none"/>
        <c:tickLblPos val="nextTo"/>
        <c:crossAx val="898544000"/>
        <c:crosses val="autoZero"/>
        <c:crossBetween val="midCat"/>
      </c:valAx>
      <c:valAx>
        <c:axId val="898544000"/>
        <c:scaling>
          <c:orientation val="minMax"/>
          <c:max val="10000"/>
        </c:scaling>
        <c:delete val="0"/>
        <c:axPos val="l"/>
        <c:numFmt formatCode="General" sourceLinked="1"/>
        <c:majorTickMark val="none"/>
        <c:minorTickMark val="none"/>
        <c:tickLblPos val="none"/>
        <c:spPr>
          <a:ln>
            <a:noFill/>
          </a:ln>
        </c:spPr>
        <c:crossAx val="898538112"/>
        <c:crosses val="autoZero"/>
        <c:crossBetween val="midCat"/>
      </c:valAx>
      <c:spPr>
        <a:noFill/>
        <a:ln w="25400">
          <a:noFill/>
        </a:ln>
      </c:spPr>
    </c:plotArea>
    <c:legend>
      <c:legendPos val="t"/>
      <c:legendEntry>
        <c:idx val="1"/>
        <c:delete val="1"/>
      </c:legendEntry>
      <c:legendEntry>
        <c:idx val="2"/>
        <c:delete val="1"/>
      </c:legendEntry>
      <c:legendEntry>
        <c:idx val="3"/>
        <c:delete val="1"/>
      </c:legendEntry>
      <c:layout>
        <c:manualLayout>
          <c:xMode val="edge"/>
          <c:yMode val="edge"/>
          <c:x val="0.14060616270980811"/>
          <c:y val="4.3223992515102019E-2"/>
          <c:w val="0.5751914310355013"/>
          <c:h val="6.8940225983201181E-2"/>
        </c:manualLayout>
      </c:layout>
      <c:overlay val="0"/>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682642202593321E-2"/>
          <c:y val="4.7318611987381701E-2"/>
          <c:w val="0.87566363793722601"/>
          <c:h val="0.79495268138801267"/>
        </c:manualLayout>
      </c:layout>
      <c:lineChart>
        <c:grouping val="standard"/>
        <c:varyColors val="0"/>
        <c:ser>
          <c:idx val="2"/>
          <c:order val="0"/>
          <c:tx>
            <c:v>Revenue (R$ mn)</c:v>
          </c:tx>
          <c:spPr>
            <a:ln w="25400">
              <a:solidFill>
                <a:schemeClr val="accent1"/>
              </a:solidFill>
              <a:prstDash val="solid"/>
            </a:ln>
          </c:spPr>
          <c:marker>
            <c:symbol val="none"/>
          </c:marke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ChartSupport!$B$356:$BY$356</c:f>
              <c:numCache>
                <c:formatCode>#,##0_);\(#,##0\)</c:formatCode>
                <c:ptCount val="48"/>
                <c:pt idx="0">
                  <c:v>218.71</c:v>
                </c:pt>
                <c:pt idx="1">
                  <c:v>280.84399999999999</c:v>
                </c:pt>
                <c:pt idx="2">
                  <c:v>205.83799999999999</c:v>
                </c:pt>
                <c:pt idx="3">
                  <c:v>201.43299999999999</c:v>
                </c:pt>
                <c:pt idx="4">
                  <c:v>189.80500000000001</c:v>
                </c:pt>
                <c:pt idx="5">
                  <c:v>195.21899999999999</c:v>
                </c:pt>
                <c:pt idx="6">
                  <c:v>145.16399999999999</c:v>
                </c:pt>
                <c:pt idx="7">
                  <c:v>257.23599999999999</c:v>
                </c:pt>
                <c:pt idx="8">
                  <c:v>103.41</c:v>
                </c:pt>
                <c:pt idx="9">
                  <c:v>217.268</c:v>
                </c:pt>
                <c:pt idx="10">
                  <c:v>246.76599999999999</c:v>
                </c:pt>
                <c:pt idx="11">
                  <c:v>300.185</c:v>
                </c:pt>
                <c:pt idx="12">
                  <c:v>241.26499999999999</c:v>
                </c:pt>
                <c:pt idx="13">
                  <c:v>308.15199999999999</c:v>
                </c:pt>
                <c:pt idx="14">
                  <c:v>353.399</c:v>
                </c:pt>
                <c:pt idx="15">
                  <c:v>379.33300000000003</c:v>
                </c:pt>
                <c:pt idx="16">
                  <c:v>304.16399999999999</c:v>
                </c:pt>
                <c:pt idx="17">
                  <c:v>357.35399999999998</c:v>
                </c:pt>
                <c:pt idx="18">
                  <c:v>417.64499999999998</c:v>
                </c:pt>
                <c:pt idx="19">
                  <c:v>305.2</c:v>
                </c:pt>
                <c:pt idx="20">
                  <c:v>348.47</c:v>
                </c:pt>
                <c:pt idx="21">
                  <c:v>416.73899999999998</c:v>
                </c:pt>
                <c:pt idx="22">
                  <c:v>402.35599999999999</c:v>
                </c:pt>
                <c:pt idx="23">
                  <c:v>279.70100000000002</c:v>
                </c:pt>
                <c:pt idx="24">
                  <c:v>307.87200000000001</c:v>
                </c:pt>
                <c:pt idx="25">
                  <c:v>564.05399999999997</c:v>
                </c:pt>
                <c:pt idx="26">
                  <c:v>416.351</c:v>
                </c:pt>
                <c:pt idx="27">
                  <c:v>420.28899999999999</c:v>
                </c:pt>
                <c:pt idx="28">
                  <c:v>512.27700000000004</c:v>
                </c:pt>
                <c:pt idx="29">
                  <c:v>631.75900000000001</c:v>
                </c:pt>
                <c:pt idx="30">
                  <c:v>444.44499999999999</c:v>
                </c:pt>
                <c:pt idx="31">
                  <c:v>459.19400000000002</c:v>
                </c:pt>
                <c:pt idx="32">
                  <c:v>522.49300000000005</c:v>
                </c:pt>
                <c:pt idx="33">
                  <c:v>529.85599999999999</c:v>
                </c:pt>
                <c:pt idx="34">
                  <c:v>608.12099999999998</c:v>
                </c:pt>
                <c:pt idx="35">
                  <c:v>738.27</c:v>
                </c:pt>
                <c:pt idx="36">
                  <c:v>472.04399999999998</c:v>
                </c:pt>
                <c:pt idx="37">
                  <c:v>680.53399999999999</c:v>
                </c:pt>
                <c:pt idx="38">
                  <c:v>840.99599999999998</c:v>
                </c:pt>
                <c:pt idx="39">
                  <c:v>844.08900000000006</c:v>
                </c:pt>
                <c:pt idx="40">
                  <c:v>667.88900000000001</c:v>
                </c:pt>
                <c:pt idx="41">
                  <c:v>754.53800000000001</c:v>
                </c:pt>
                <c:pt idx="42">
                  <c:v>766.66300000000001</c:v>
                </c:pt>
                <c:pt idx="43">
                  <c:v>941.06700000000001</c:v>
                </c:pt>
                <c:pt idx="44">
                  <c:v>932.529</c:v>
                </c:pt>
                <c:pt idx="45">
                  <c:v>1052.3148068497242</c:v>
                </c:pt>
                <c:pt idx="46">
                  <c:v>1018.9274659041116</c:v>
                </c:pt>
                <c:pt idx="47">
                  <c:v>1193.9863399786234</c:v>
                </c:pt>
              </c:numCache>
            </c:numRef>
          </c:val>
          <c:smooth val="0"/>
        </c:ser>
        <c:dLbls>
          <c:showLegendKey val="0"/>
          <c:showVal val="0"/>
          <c:showCatName val="0"/>
          <c:showSerName val="0"/>
          <c:showPercent val="0"/>
          <c:showBubbleSize val="0"/>
        </c:dLbls>
        <c:marker val="1"/>
        <c:smooth val="0"/>
        <c:axId val="898657280"/>
        <c:axId val="898663168"/>
      </c:lineChart>
      <c:scatterChart>
        <c:scatterStyle val="lineMarker"/>
        <c:varyColors val="0"/>
        <c:ser>
          <c:idx val="1"/>
          <c:order val="1"/>
          <c:tx>
            <c:v>Line2</c:v>
          </c:tx>
          <c:spPr>
            <a:ln w="25400">
              <a:solidFill>
                <a:srgbClr val="FF0000"/>
              </a:solidFill>
            </a:ln>
          </c:spPr>
          <c:marker>
            <c:symbol val="none"/>
          </c:marker>
          <c:xVal>
            <c:numRef>
              <c:f>ChartSupport!$U$429:$V$429</c:f>
              <c:numCache>
                <c:formatCode>General</c:formatCode>
                <c:ptCount val="2"/>
                <c:pt idx="0">
                  <c:v>42</c:v>
                </c:pt>
                <c:pt idx="1">
                  <c:v>42</c:v>
                </c:pt>
              </c:numCache>
            </c:numRef>
          </c:xVal>
          <c:yVal>
            <c:numRef>
              <c:f>ChartSupport!$U$431:$V$431</c:f>
              <c:numCache>
                <c:formatCode>General</c:formatCode>
                <c:ptCount val="2"/>
                <c:pt idx="0">
                  <c:v>0</c:v>
                </c:pt>
                <c:pt idx="1">
                  <c:v>10000</c:v>
                </c:pt>
              </c:numCache>
            </c:numRef>
          </c:yVal>
          <c:smooth val="0"/>
        </c:ser>
        <c:ser>
          <c:idx val="3"/>
          <c:order val="2"/>
          <c:tx>
            <c:v>Line3</c:v>
          </c:tx>
          <c:spPr>
            <a:ln w="25400">
              <a:solidFill>
                <a:srgbClr val="FF0000"/>
              </a:solidFill>
              <a:prstDash val="dash"/>
            </a:ln>
          </c:spPr>
          <c:marker>
            <c:symbol val="none"/>
          </c:marker>
          <c:xVal>
            <c:numRef>
              <c:f>ChartSupport!$U$430:$V$430</c:f>
              <c:numCache>
                <c:formatCode>General</c:formatCode>
                <c:ptCount val="2"/>
                <c:pt idx="0">
                  <c:v>46</c:v>
                </c:pt>
                <c:pt idx="1">
                  <c:v>46</c:v>
                </c:pt>
              </c:numCache>
            </c:numRef>
          </c:xVal>
          <c:yVal>
            <c:numRef>
              <c:f>ChartSupport!$U$431:$V$431</c:f>
              <c:numCache>
                <c:formatCode>General</c:formatCode>
                <c:ptCount val="2"/>
                <c:pt idx="0">
                  <c:v>0</c:v>
                </c:pt>
                <c:pt idx="1">
                  <c:v>10000</c:v>
                </c:pt>
              </c:numCache>
            </c:numRef>
          </c:yVal>
          <c:smooth val="0"/>
        </c:ser>
        <c:ser>
          <c:idx val="0"/>
          <c:order val="3"/>
          <c:marker>
            <c:symbol val="none"/>
          </c:marker>
          <c:yVal>
            <c:numLit>
              <c:formatCode>General</c:formatCode>
              <c:ptCount val="1"/>
              <c:pt idx="0">
                <c:v>1</c:v>
              </c:pt>
            </c:numLit>
          </c:yVal>
          <c:smooth val="0"/>
        </c:ser>
        <c:ser>
          <c:idx val="4"/>
          <c:order val="4"/>
          <c:tx>
            <c:v>EBITDA margin (%)</c:v>
          </c:tx>
          <c:marker>
            <c:symbol val="none"/>
          </c:marker>
          <c:yVal>
            <c:numRef>
              <c:f>ChartSupport!$B$356:$BY$356</c:f>
              <c:numCache>
                <c:formatCode>#,##0_);\(#,##0\)</c:formatCode>
                <c:ptCount val="48"/>
                <c:pt idx="0">
                  <c:v>218.71</c:v>
                </c:pt>
                <c:pt idx="1">
                  <c:v>280.84399999999999</c:v>
                </c:pt>
                <c:pt idx="2">
                  <c:v>205.83799999999999</c:v>
                </c:pt>
                <c:pt idx="3">
                  <c:v>201.43299999999999</c:v>
                </c:pt>
                <c:pt idx="4">
                  <c:v>189.80500000000001</c:v>
                </c:pt>
                <c:pt idx="5">
                  <c:v>195.21899999999999</c:v>
                </c:pt>
                <c:pt idx="6">
                  <c:v>145.16399999999999</c:v>
                </c:pt>
                <c:pt idx="7">
                  <c:v>257.23599999999999</c:v>
                </c:pt>
                <c:pt idx="8">
                  <c:v>103.41</c:v>
                </c:pt>
                <c:pt idx="9">
                  <c:v>217.268</c:v>
                </c:pt>
                <c:pt idx="10">
                  <c:v>246.76599999999999</c:v>
                </c:pt>
                <c:pt idx="11">
                  <c:v>300.185</c:v>
                </c:pt>
                <c:pt idx="12">
                  <c:v>241.26499999999999</c:v>
                </c:pt>
                <c:pt idx="13">
                  <c:v>308.15199999999999</c:v>
                </c:pt>
                <c:pt idx="14">
                  <c:v>353.399</c:v>
                </c:pt>
                <c:pt idx="15">
                  <c:v>379.33300000000003</c:v>
                </c:pt>
                <c:pt idx="16">
                  <c:v>304.16399999999999</c:v>
                </c:pt>
                <c:pt idx="17">
                  <c:v>357.35399999999998</c:v>
                </c:pt>
                <c:pt idx="18">
                  <c:v>417.64499999999998</c:v>
                </c:pt>
                <c:pt idx="19">
                  <c:v>305.2</c:v>
                </c:pt>
                <c:pt idx="20">
                  <c:v>348.47</c:v>
                </c:pt>
                <c:pt idx="21">
                  <c:v>416.73899999999998</c:v>
                </c:pt>
                <c:pt idx="22">
                  <c:v>402.35599999999999</c:v>
                </c:pt>
                <c:pt idx="23">
                  <c:v>279.70100000000002</c:v>
                </c:pt>
                <c:pt idx="24">
                  <c:v>307.87200000000001</c:v>
                </c:pt>
                <c:pt idx="25">
                  <c:v>564.05399999999997</c:v>
                </c:pt>
                <c:pt idx="26">
                  <c:v>416.351</c:v>
                </c:pt>
                <c:pt idx="27">
                  <c:v>420.28899999999999</c:v>
                </c:pt>
                <c:pt idx="28">
                  <c:v>512.27700000000004</c:v>
                </c:pt>
                <c:pt idx="29">
                  <c:v>631.75900000000001</c:v>
                </c:pt>
                <c:pt idx="30">
                  <c:v>444.44499999999999</c:v>
                </c:pt>
                <c:pt idx="31">
                  <c:v>459.19400000000002</c:v>
                </c:pt>
                <c:pt idx="32">
                  <c:v>522.49300000000005</c:v>
                </c:pt>
                <c:pt idx="33">
                  <c:v>529.85599999999999</c:v>
                </c:pt>
                <c:pt idx="34">
                  <c:v>608.12099999999998</c:v>
                </c:pt>
                <c:pt idx="35">
                  <c:v>738.27</c:v>
                </c:pt>
                <c:pt idx="36">
                  <c:v>472.04399999999998</c:v>
                </c:pt>
                <c:pt idx="37">
                  <c:v>680.53399999999999</c:v>
                </c:pt>
                <c:pt idx="38">
                  <c:v>840.99599999999998</c:v>
                </c:pt>
                <c:pt idx="39">
                  <c:v>844.08900000000006</c:v>
                </c:pt>
                <c:pt idx="40">
                  <c:v>667.88900000000001</c:v>
                </c:pt>
                <c:pt idx="41">
                  <c:v>754.53800000000001</c:v>
                </c:pt>
                <c:pt idx="42">
                  <c:v>766.66300000000001</c:v>
                </c:pt>
                <c:pt idx="43">
                  <c:v>941.06700000000001</c:v>
                </c:pt>
                <c:pt idx="44">
                  <c:v>932.529</c:v>
                </c:pt>
                <c:pt idx="45">
                  <c:v>1052.3148068497242</c:v>
                </c:pt>
                <c:pt idx="46">
                  <c:v>1018.9274659041116</c:v>
                </c:pt>
                <c:pt idx="47">
                  <c:v>1193.9863399786234</c:v>
                </c:pt>
              </c:numCache>
            </c:numRef>
          </c:yVal>
          <c:smooth val="0"/>
        </c:ser>
        <c:ser>
          <c:idx val="5"/>
          <c:order val="5"/>
          <c:tx>
            <c:v>Line1</c:v>
          </c:tx>
          <c:spPr>
            <a:ln>
              <a:solidFill>
                <a:srgbClr val="FF0000"/>
              </a:solidFill>
            </a:ln>
          </c:spPr>
          <c:marker>
            <c:symbol val="none"/>
          </c:marker>
          <c:xVal>
            <c:numRef>
              <c:f>ChartSupport!$U$428:$V$428</c:f>
              <c:numCache>
                <c:formatCode>General</c:formatCode>
                <c:ptCount val="2"/>
                <c:pt idx="0">
                  <c:v>38</c:v>
                </c:pt>
                <c:pt idx="1">
                  <c:v>38</c:v>
                </c:pt>
              </c:numCache>
            </c:numRef>
          </c:xVal>
          <c:yVal>
            <c:numRef>
              <c:f>ChartSupport!$U$431:$V$431</c:f>
              <c:numCache>
                <c:formatCode>General</c:formatCode>
                <c:ptCount val="2"/>
                <c:pt idx="0">
                  <c:v>0</c:v>
                </c:pt>
                <c:pt idx="1">
                  <c:v>10000</c:v>
                </c:pt>
              </c:numCache>
            </c:numRef>
          </c:yVal>
          <c:smooth val="0"/>
        </c:ser>
        <c:dLbls>
          <c:showLegendKey val="0"/>
          <c:showVal val="0"/>
          <c:showCatName val="0"/>
          <c:showSerName val="0"/>
          <c:showPercent val="0"/>
          <c:showBubbleSize val="0"/>
        </c:dLbls>
        <c:axId val="898665088"/>
        <c:axId val="898666880"/>
      </c:scatterChart>
      <c:catAx>
        <c:axId val="898657280"/>
        <c:scaling>
          <c:orientation val="minMax"/>
        </c:scaling>
        <c:delete val="0"/>
        <c:axPos val="b"/>
        <c:numFmt formatCode="mmm\-yy" sourceLinked="0"/>
        <c:majorTickMark val="out"/>
        <c:minorTickMark val="none"/>
        <c:tickLblPos val="nextTo"/>
        <c:spPr>
          <a:ln w="3175">
            <a:solidFill>
              <a:srgbClr val="808080"/>
            </a:solidFill>
            <a:prstDash val="solid"/>
          </a:ln>
        </c:spPr>
        <c:txPr>
          <a:bodyPr rot="-5400000" vert="horz"/>
          <a:lstStyle/>
          <a:p>
            <a:pPr>
              <a:defRPr/>
            </a:pPr>
            <a:endParaRPr lang="en-US"/>
          </a:p>
        </c:txPr>
        <c:crossAx val="898663168"/>
        <c:crosses val="autoZero"/>
        <c:auto val="1"/>
        <c:lblAlgn val="ctr"/>
        <c:lblOffset val="100"/>
        <c:tickLblSkip val="2"/>
        <c:tickMarkSkip val="1"/>
        <c:noMultiLvlLbl val="0"/>
      </c:catAx>
      <c:valAx>
        <c:axId val="898663168"/>
        <c:scaling>
          <c:orientation val="minMax"/>
        </c:scaling>
        <c:delete val="0"/>
        <c:axPos val="l"/>
        <c:title>
          <c:tx>
            <c:rich>
              <a:bodyPr rot="0" vert="horz"/>
              <a:lstStyle/>
              <a:p>
                <a:pPr>
                  <a:defRPr/>
                </a:pPr>
                <a:r>
                  <a:rPr lang="en-US"/>
                  <a:t>R$ mn</a:t>
                </a:r>
              </a:p>
            </c:rich>
          </c:tx>
          <c:layout>
            <c:manualLayout>
              <c:xMode val="edge"/>
              <c:yMode val="edge"/>
              <c:x val="0.10591901004367978"/>
              <c:y val="3.3938461729298597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8657280"/>
        <c:crosses val="autoZero"/>
        <c:crossBetween val="midCat"/>
      </c:valAx>
      <c:valAx>
        <c:axId val="898665088"/>
        <c:scaling>
          <c:orientation val="minMax"/>
        </c:scaling>
        <c:delete val="1"/>
        <c:axPos val="b"/>
        <c:numFmt formatCode="General" sourceLinked="1"/>
        <c:majorTickMark val="out"/>
        <c:minorTickMark val="none"/>
        <c:tickLblPos val="nextTo"/>
        <c:crossAx val="898666880"/>
        <c:crosses val="autoZero"/>
        <c:crossBetween val="midCat"/>
      </c:valAx>
      <c:valAx>
        <c:axId val="898666880"/>
        <c:scaling>
          <c:orientation val="minMax"/>
          <c:max val="10000"/>
        </c:scaling>
        <c:delete val="0"/>
        <c:axPos val="l"/>
        <c:numFmt formatCode="General" sourceLinked="1"/>
        <c:majorTickMark val="none"/>
        <c:minorTickMark val="none"/>
        <c:tickLblPos val="none"/>
        <c:spPr>
          <a:ln>
            <a:solidFill>
              <a:srgbClr val="808080"/>
            </a:solidFill>
          </a:ln>
        </c:spPr>
        <c:crossAx val="898665088"/>
        <c:crosses val="autoZero"/>
        <c:crossBetween val="midCat"/>
      </c:valAx>
      <c:spPr>
        <a:noFill/>
        <a:ln w="25400">
          <a:noFill/>
        </a:ln>
      </c:spPr>
    </c:plotArea>
    <c:legend>
      <c:legendPos val="t"/>
      <c:legendEntry>
        <c:idx val="1"/>
        <c:delete val="1"/>
      </c:legendEntry>
      <c:legendEntry>
        <c:idx val="2"/>
        <c:delete val="1"/>
      </c:legendEntry>
      <c:legendEntry>
        <c:idx val="3"/>
        <c:delete val="1"/>
      </c:legendEntry>
      <c:legendEntry>
        <c:idx val="5"/>
        <c:delete val="1"/>
      </c:legendEntry>
      <c:layout>
        <c:manualLayout>
          <c:xMode val="edge"/>
          <c:yMode val="edge"/>
          <c:x val="0.12414319582951543"/>
          <c:y val="1.8533645681204511E-2"/>
          <c:w val="0.63520241929027033"/>
          <c:h val="0.15730212870595386"/>
        </c:manualLayout>
      </c:layout>
      <c:overlay val="0"/>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6412533175820228E-2"/>
          <c:y val="5.3491528088277111E-2"/>
          <c:w val="0.79859281171611729"/>
          <c:h val="0.77539645158879866"/>
        </c:manualLayout>
      </c:layout>
      <c:lineChart>
        <c:grouping val="standard"/>
        <c:varyColors val="0"/>
        <c:ser>
          <c:idx val="4"/>
          <c:order val="0"/>
          <c:tx>
            <c:v>Revenue</c:v>
          </c:tx>
          <c:spPr>
            <a:ln w="25400">
              <a:solidFill>
                <a:srgbClr val="2270AB"/>
              </a:solidFill>
              <a:prstDash val="solid"/>
            </a:ln>
          </c:spPr>
          <c:marker>
            <c:symbol val="none"/>
          </c:marke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ChartSupport!$B$356:$BY$356</c:f>
              <c:numCache>
                <c:formatCode>#,##0_);\(#,##0\)</c:formatCode>
                <c:ptCount val="48"/>
                <c:pt idx="0">
                  <c:v>218.71</c:v>
                </c:pt>
                <c:pt idx="1">
                  <c:v>280.84399999999999</c:v>
                </c:pt>
                <c:pt idx="2">
                  <c:v>205.83799999999999</c:v>
                </c:pt>
                <c:pt idx="3">
                  <c:v>201.43299999999999</c:v>
                </c:pt>
                <c:pt idx="4">
                  <c:v>189.80500000000001</c:v>
                </c:pt>
                <c:pt idx="5">
                  <c:v>195.21899999999999</c:v>
                </c:pt>
                <c:pt idx="6">
                  <c:v>145.16399999999999</c:v>
                </c:pt>
                <c:pt idx="7">
                  <c:v>257.23599999999999</c:v>
                </c:pt>
                <c:pt idx="8">
                  <c:v>103.41</c:v>
                </c:pt>
                <c:pt idx="9">
                  <c:v>217.268</c:v>
                </c:pt>
                <c:pt idx="10">
                  <c:v>246.76599999999999</c:v>
                </c:pt>
                <c:pt idx="11">
                  <c:v>300.185</c:v>
                </c:pt>
                <c:pt idx="12">
                  <c:v>241.26499999999999</c:v>
                </c:pt>
                <c:pt idx="13">
                  <c:v>308.15199999999999</c:v>
                </c:pt>
                <c:pt idx="14">
                  <c:v>353.399</c:v>
                </c:pt>
                <c:pt idx="15">
                  <c:v>379.33300000000003</c:v>
                </c:pt>
                <c:pt idx="16">
                  <c:v>304.16399999999999</c:v>
                </c:pt>
                <c:pt idx="17">
                  <c:v>357.35399999999998</c:v>
                </c:pt>
                <c:pt idx="18">
                  <c:v>417.64499999999998</c:v>
                </c:pt>
                <c:pt idx="19">
                  <c:v>305.2</c:v>
                </c:pt>
                <c:pt idx="20">
                  <c:v>348.47</c:v>
                </c:pt>
                <c:pt idx="21">
                  <c:v>416.73899999999998</c:v>
                </c:pt>
                <c:pt idx="22">
                  <c:v>402.35599999999999</c:v>
                </c:pt>
                <c:pt idx="23">
                  <c:v>279.70100000000002</c:v>
                </c:pt>
                <c:pt idx="24">
                  <c:v>307.87200000000001</c:v>
                </c:pt>
                <c:pt idx="25">
                  <c:v>564.05399999999997</c:v>
                </c:pt>
                <c:pt idx="26">
                  <c:v>416.351</c:v>
                </c:pt>
                <c:pt idx="27">
                  <c:v>420.28899999999999</c:v>
                </c:pt>
                <c:pt idx="28">
                  <c:v>512.27700000000004</c:v>
                </c:pt>
                <c:pt idx="29">
                  <c:v>631.75900000000001</c:v>
                </c:pt>
                <c:pt idx="30">
                  <c:v>444.44499999999999</c:v>
                </c:pt>
                <c:pt idx="31">
                  <c:v>459.19400000000002</c:v>
                </c:pt>
                <c:pt idx="32">
                  <c:v>522.49300000000005</c:v>
                </c:pt>
                <c:pt idx="33">
                  <c:v>529.85599999999999</c:v>
                </c:pt>
                <c:pt idx="34">
                  <c:v>608.12099999999998</c:v>
                </c:pt>
                <c:pt idx="35">
                  <c:v>738.27</c:v>
                </c:pt>
                <c:pt idx="36">
                  <c:v>472.04399999999998</c:v>
                </c:pt>
                <c:pt idx="37">
                  <c:v>680.53399999999999</c:v>
                </c:pt>
                <c:pt idx="38">
                  <c:v>840.99599999999998</c:v>
                </c:pt>
                <c:pt idx="39">
                  <c:v>844.08900000000006</c:v>
                </c:pt>
                <c:pt idx="40">
                  <c:v>667.88900000000001</c:v>
                </c:pt>
                <c:pt idx="41">
                  <c:v>754.53800000000001</c:v>
                </c:pt>
                <c:pt idx="42">
                  <c:v>766.66300000000001</c:v>
                </c:pt>
                <c:pt idx="43">
                  <c:v>941.06700000000001</c:v>
                </c:pt>
                <c:pt idx="44">
                  <c:v>932.529</c:v>
                </c:pt>
                <c:pt idx="45">
                  <c:v>1052.3148068497242</c:v>
                </c:pt>
                <c:pt idx="46">
                  <c:v>1018.9274659041116</c:v>
                </c:pt>
                <c:pt idx="47">
                  <c:v>1193.9863399786234</c:v>
                </c:pt>
              </c:numCache>
            </c:numRef>
          </c:val>
          <c:smooth val="0"/>
        </c:ser>
        <c:dLbls>
          <c:showLegendKey val="0"/>
          <c:showVal val="0"/>
          <c:showCatName val="0"/>
          <c:showSerName val="0"/>
          <c:showPercent val="0"/>
          <c:showBubbleSize val="0"/>
        </c:dLbls>
        <c:marker val="1"/>
        <c:smooth val="0"/>
        <c:axId val="898710528"/>
        <c:axId val="898724608"/>
      </c:lineChart>
      <c:lineChart>
        <c:grouping val="stacked"/>
        <c:varyColors val="0"/>
        <c:ser>
          <c:idx val="6"/>
          <c:order val="1"/>
          <c:tx>
            <c:strRef>
              <c:f>ChartSupport!$A$362</c:f>
              <c:strCache>
                <c:ptCount val="1"/>
                <c:pt idx="0">
                  <c:v>EBITDA margin</c:v>
                </c:pt>
              </c:strCache>
            </c:strRef>
          </c:tx>
          <c:spPr>
            <a:ln w="15875">
              <a:solidFill>
                <a:srgbClr val="FFC000"/>
              </a:solidFill>
              <a:prstDash val="sysDash"/>
            </a:ln>
          </c:spPr>
          <c:marker>
            <c:symbol val="none"/>
          </c:marker>
          <c:cat>
            <c:strRef>
              <c:f>ChartSupport!$B$355:$BY$355</c:f>
              <c:strCache>
                <c:ptCount val="48"/>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pt idx="24">
                  <c:v>1Q13</c:v>
                </c:pt>
                <c:pt idx="25">
                  <c:v>2Q13</c:v>
                </c:pt>
                <c:pt idx="26">
                  <c:v>3Q13</c:v>
                </c:pt>
                <c:pt idx="27">
                  <c:v>4Q13</c:v>
                </c:pt>
                <c:pt idx="28">
                  <c:v>1Q14</c:v>
                </c:pt>
                <c:pt idx="29">
                  <c:v>2Q14</c:v>
                </c:pt>
                <c:pt idx="30">
                  <c:v>3Q14</c:v>
                </c:pt>
                <c:pt idx="31">
                  <c:v>4Q14</c:v>
                </c:pt>
                <c:pt idx="32">
                  <c:v>1Q15</c:v>
                </c:pt>
                <c:pt idx="33">
                  <c:v>2Q15</c:v>
                </c:pt>
                <c:pt idx="34">
                  <c:v>3Q15</c:v>
                </c:pt>
                <c:pt idx="35">
                  <c:v>4Q15</c:v>
                </c:pt>
                <c:pt idx="36">
                  <c:v>1Q16</c:v>
                </c:pt>
                <c:pt idx="37">
                  <c:v>2Q16</c:v>
                </c:pt>
                <c:pt idx="38">
                  <c:v>3Q16</c:v>
                </c:pt>
                <c:pt idx="39">
                  <c:v>4Q16</c:v>
                </c:pt>
                <c:pt idx="40">
                  <c:v>1Q17</c:v>
                </c:pt>
                <c:pt idx="41">
                  <c:v>2Q17</c:v>
                </c:pt>
                <c:pt idx="42">
                  <c:v>3Q17</c:v>
                </c:pt>
                <c:pt idx="43">
                  <c:v>4Q17</c:v>
                </c:pt>
                <c:pt idx="44">
                  <c:v>1Q18</c:v>
                </c:pt>
                <c:pt idx="45">
                  <c:v>2Q18e</c:v>
                </c:pt>
                <c:pt idx="46">
                  <c:v>3Q18e</c:v>
                </c:pt>
                <c:pt idx="47">
                  <c:v>4Q18e</c:v>
                </c:pt>
              </c:strCache>
            </c:strRef>
          </c:cat>
          <c:val>
            <c:numRef>
              <c:f>ChartSupport!$B$362:$BY$362</c:f>
              <c:numCache>
                <c:formatCode>0%</c:formatCode>
                <c:ptCount val="48"/>
                <c:pt idx="0">
                  <c:v>0.4005571742575269</c:v>
                </c:pt>
                <c:pt idx="1">
                  <c:v>0.31992633148519883</c:v>
                </c:pt>
                <c:pt idx="2">
                  <c:v>0.29643765225132057</c:v>
                </c:pt>
                <c:pt idx="3">
                  <c:v>0.21347373003564335</c:v>
                </c:pt>
                <c:pt idx="4">
                  <c:v>0.15482089560788959</c:v>
                </c:pt>
                <c:pt idx="5">
                  <c:v>2.8753957927302624E-2</c:v>
                </c:pt>
                <c:pt idx="6">
                  <c:v>0.21355058686736952</c:v>
                </c:pt>
                <c:pt idx="7">
                  <c:v>0.29812526997840177</c:v>
                </c:pt>
                <c:pt idx="8">
                  <c:v>5.1045016077170359E-2</c:v>
                </c:pt>
                <c:pt idx="9">
                  <c:v>0.21820979553606809</c:v>
                </c:pt>
                <c:pt idx="10">
                  <c:v>0.42922161437576989</c:v>
                </c:pt>
                <c:pt idx="11">
                  <c:v>0.37903449101617159</c:v>
                </c:pt>
                <c:pt idx="12">
                  <c:v>0.19240302591340733</c:v>
                </c:pt>
                <c:pt idx="13">
                  <c:v>0.30011142275329467</c:v>
                </c:pt>
                <c:pt idx="14">
                  <c:v>0.38493692871047053</c:v>
                </c:pt>
                <c:pt idx="15">
                  <c:v>0.41865962062823425</c:v>
                </c:pt>
                <c:pt idx="16">
                  <c:v>0.44645140496967944</c:v>
                </c:pt>
                <c:pt idx="17">
                  <c:v>0.42949119119591916</c:v>
                </c:pt>
                <c:pt idx="18">
                  <c:v>0.49660376391611255</c:v>
                </c:pt>
                <c:pt idx="19">
                  <c:v>0.35423112568617648</c:v>
                </c:pt>
                <c:pt idx="20">
                  <c:v>0.44721050135583745</c:v>
                </c:pt>
                <c:pt idx="21">
                  <c:v>0.4665755723120048</c:v>
                </c:pt>
                <c:pt idx="22">
                  <c:v>0.47141527882916984</c:v>
                </c:pt>
                <c:pt idx="23">
                  <c:v>0.27140886107171491</c:v>
                </c:pt>
                <c:pt idx="24">
                  <c:v>0.41125612700774683</c:v>
                </c:pt>
                <c:pt idx="25">
                  <c:v>0.42563990982112332</c:v>
                </c:pt>
                <c:pt idx="26">
                  <c:v>0.39627414437500641</c:v>
                </c:pt>
                <c:pt idx="27">
                  <c:v>0.35433232709199541</c:v>
                </c:pt>
                <c:pt idx="28">
                  <c:v>0.43077240567230674</c:v>
                </c:pt>
                <c:pt idx="29">
                  <c:v>0.38811770334616774</c:v>
                </c:pt>
                <c:pt idx="30">
                  <c:v>0.38455599182697292</c:v>
                </c:pt>
                <c:pt idx="31">
                  <c:v>0.31139428881843678</c:v>
                </c:pt>
                <c:pt idx="32">
                  <c:v>0.44435571126796847</c:v>
                </c:pt>
                <c:pt idx="33">
                  <c:v>0.60837978589457875</c:v>
                </c:pt>
                <c:pt idx="34">
                  <c:v>0.47654392319829331</c:v>
                </c:pt>
                <c:pt idx="35">
                  <c:v>0.41438952779204841</c:v>
                </c:pt>
                <c:pt idx="36">
                  <c:v>0.43481557013654903</c:v>
                </c:pt>
                <c:pt idx="37">
                  <c:v>0.51327116212338586</c:v>
                </c:pt>
                <c:pt idx="38">
                  <c:v>0.43892641046708647</c:v>
                </c:pt>
                <c:pt idx="39">
                  <c:v>0.42841355402988368</c:v>
                </c:pt>
                <c:pt idx="40">
                  <c:v>0.43304575032972797</c:v>
                </c:pt>
                <c:pt idx="41">
                  <c:v>0.43794370050535097</c:v>
                </c:pt>
                <c:pt idx="42">
                  <c:v>0.43416417432462501</c:v>
                </c:pt>
                <c:pt idx="43">
                  <c:v>0.58818850047551752</c:v>
                </c:pt>
                <c:pt idx="44">
                  <c:v>0.49565518183731833</c:v>
                </c:pt>
                <c:pt idx="45">
                  <c:v>0.51840912246703552</c:v>
                </c:pt>
                <c:pt idx="46">
                  <c:v>0.47211659030937869</c:v>
                </c:pt>
                <c:pt idx="47">
                  <c:v>0.44427988768686105</c:v>
                </c:pt>
              </c:numCache>
            </c:numRef>
          </c:val>
          <c:smooth val="0"/>
        </c:ser>
        <c:dLbls>
          <c:showLegendKey val="0"/>
          <c:showVal val="0"/>
          <c:showCatName val="0"/>
          <c:showSerName val="0"/>
          <c:showPercent val="0"/>
          <c:showBubbleSize val="0"/>
        </c:dLbls>
        <c:marker val="1"/>
        <c:smooth val="0"/>
        <c:axId val="898726528"/>
        <c:axId val="898732416"/>
      </c:lineChart>
      <c:scatterChart>
        <c:scatterStyle val="lineMarker"/>
        <c:varyColors val="0"/>
        <c:ser>
          <c:idx val="1"/>
          <c:order val="2"/>
          <c:tx>
            <c:v>Line2</c:v>
          </c:tx>
          <c:spPr>
            <a:ln w="25400">
              <a:solidFill>
                <a:srgbClr val="FF0000"/>
              </a:solidFill>
            </a:ln>
          </c:spPr>
          <c:marker>
            <c:symbol val="none"/>
          </c:marker>
          <c:xVal>
            <c:numRef>
              <c:f>ChartSupport!$U$429:$V$429</c:f>
              <c:numCache>
                <c:formatCode>General</c:formatCode>
                <c:ptCount val="2"/>
                <c:pt idx="0">
                  <c:v>42</c:v>
                </c:pt>
                <c:pt idx="1">
                  <c:v>42</c:v>
                </c:pt>
              </c:numCache>
            </c:numRef>
          </c:xVal>
          <c:yVal>
            <c:numRef>
              <c:f>ChartSupport!$U$431:$V$431</c:f>
              <c:numCache>
                <c:formatCode>General</c:formatCode>
                <c:ptCount val="2"/>
                <c:pt idx="0">
                  <c:v>0</c:v>
                </c:pt>
                <c:pt idx="1">
                  <c:v>10000</c:v>
                </c:pt>
              </c:numCache>
            </c:numRef>
          </c:yVal>
          <c:smooth val="0"/>
        </c:ser>
        <c:ser>
          <c:idx val="2"/>
          <c:order val="3"/>
          <c:tx>
            <c:v>Line3</c:v>
          </c:tx>
          <c:spPr>
            <a:ln w="25400">
              <a:solidFill>
                <a:srgbClr val="FF0000"/>
              </a:solidFill>
              <a:prstDash val="dash"/>
            </a:ln>
          </c:spPr>
          <c:marker>
            <c:symbol val="none"/>
          </c:marker>
          <c:xVal>
            <c:numRef>
              <c:f>ChartSupport!$U$430:$V$430</c:f>
              <c:numCache>
                <c:formatCode>General</c:formatCode>
                <c:ptCount val="2"/>
                <c:pt idx="0">
                  <c:v>46</c:v>
                </c:pt>
                <c:pt idx="1">
                  <c:v>46</c:v>
                </c:pt>
              </c:numCache>
            </c:numRef>
          </c:xVal>
          <c:yVal>
            <c:numRef>
              <c:f>ChartSupport!$U$431:$V$431</c:f>
              <c:numCache>
                <c:formatCode>General</c:formatCode>
                <c:ptCount val="2"/>
                <c:pt idx="0">
                  <c:v>0</c:v>
                </c:pt>
                <c:pt idx="1">
                  <c:v>10000</c:v>
                </c:pt>
              </c:numCache>
            </c:numRef>
          </c:yVal>
          <c:smooth val="0"/>
        </c:ser>
        <c:ser>
          <c:idx val="0"/>
          <c:order val="4"/>
          <c:tx>
            <c:v>Line 1</c:v>
          </c:tx>
          <c:spPr>
            <a:ln w="25400">
              <a:solidFill>
                <a:srgbClr val="FF0000"/>
              </a:solidFill>
            </a:ln>
          </c:spPr>
          <c:marker>
            <c:symbol val="none"/>
          </c:marker>
          <c:xVal>
            <c:numRef>
              <c:f>ChartSupport!$U$428:$V$428</c:f>
              <c:numCache>
                <c:formatCode>General</c:formatCode>
                <c:ptCount val="2"/>
                <c:pt idx="0">
                  <c:v>38</c:v>
                </c:pt>
                <c:pt idx="1">
                  <c:v>38</c:v>
                </c:pt>
              </c:numCache>
            </c:numRef>
          </c:xVal>
          <c:yVal>
            <c:numRef>
              <c:f>ChartSupport!$U$431:$V$431</c:f>
              <c:numCache>
                <c:formatCode>General</c:formatCode>
                <c:ptCount val="2"/>
                <c:pt idx="0">
                  <c:v>0</c:v>
                </c:pt>
                <c:pt idx="1">
                  <c:v>10000</c:v>
                </c:pt>
              </c:numCache>
            </c:numRef>
          </c:yVal>
          <c:smooth val="0"/>
        </c:ser>
        <c:dLbls>
          <c:showLegendKey val="0"/>
          <c:showVal val="0"/>
          <c:showCatName val="0"/>
          <c:showSerName val="0"/>
          <c:showPercent val="0"/>
          <c:showBubbleSize val="0"/>
        </c:dLbls>
        <c:axId val="898726528"/>
        <c:axId val="898732416"/>
      </c:scatterChart>
      <c:catAx>
        <c:axId val="898710528"/>
        <c:scaling>
          <c:orientation val="minMax"/>
        </c:scaling>
        <c:delete val="0"/>
        <c:axPos val="b"/>
        <c:numFmt formatCode="m/d/yyyy" sourceLinked="0"/>
        <c:majorTickMark val="out"/>
        <c:minorTickMark val="none"/>
        <c:tickLblPos val="low"/>
        <c:spPr>
          <a:ln w="3175">
            <a:solidFill>
              <a:srgbClr val="808080"/>
            </a:solidFill>
            <a:prstDash val="solid"/>
          </a:ln>
        </c:spPr>
        <c:txPr>
          <a:bodyPr rot="-5400000" vert="horz"/>
          <a:lstStyle/>
          <a:p>
            <a:pPr>
              <a:defRPr sz="1000"/>
            </a:pPr>
            <a:endParaRPr lang="en-US"/>
          </a:p>
        </c:txPr>
        <c:crossAx val="898724608"/>
        <c:crossesAt val="-200"/>
        <c:auto val="1"/>
        <c:lblAlgn val="ctr"/>
        <c:lblOffset val="100"/>
        <c:tickLblSkip val="2"/>
        <c:tickMarkSkip val="1"/>
        <c:noMultiLvlLbl val="0"/>
      </c:catAx>
      <c:valAx>
        <c:axId val="898724608"/>
        <c:scaling>
          <c:orientation val="minMax"/>
        </c:scaling>
        <c:delete val="0"/>
        <c:axPos val="l"/>
        <c:title>
          <c:tx>
            <c:rich>
              <a:bodyPr rot="0" vert="horz"/>
              <a:lstStyle/>
              <a:p>
                <a:pPr>
                  <a:defRPr/>
                </a:pPr>
                <a:r>
                  <a:rPr lang="en-US"/>
                  <a:t> </a:t>
                </a:r>
              </a:p>
              <a:p>
                <a:pPr>
                  <a:defRPr/>
                </a:pPr>
                <a:r>
                  <a:rPr lang="en-US"/>
                  <a:t>R$ mn</a:t>
                </a:r>
              </a:p>
            </c:rich>
          </c:tx>
          <c:layout>
            <c:manualLayout>
              <c:xMode val="edge"/>
              <c:yMode val="edge"/>
              <c:x val="0.12565532366135465"/>
              <c:y val="3.6515285086158365E-4"/>
            </c:manualLayout>
          </c:layout>
          <c:overlay val="0"/>
        </c:title>
        <c:numFmt formatCode="#,##0_);\(#,##0\)" sourceLinked="1"/>
        <c:majorTickMark val="out"/>
        <c:minorTickMark val="none"/>
        <c:tickLblPos val="nextTo"/>
        <c:spPr>
          <a:ln w="3175">
            <a:solidFill>
              <a:srgbClr val="808080"/>
            </a:solidFill>
            <a:prstDash val="solid"/>
          </a:ln>
        </c:spPr>
        <c:txPr>
          <a:bodyPr rot="0" vert="horz"/>
          <a:lstStyle/>
          <a:p>
            <a:pPr>
              <a:defRPr/>
            </a:pPr>
            <a:endParaRPr lang="en-US"/>
          </a:p>
        </c:txPr>
        <c:crossAx val="898710528"/>
        <c:crosses val="autoZero"/>
        <c:crossBetween val="midCat"/>
      </c:valAx>
      <c:catAx>
        <c:axId val="898726528"/>
        <c:scaling>
          <c:orientation val="minMax"/>
        </c:scaling>
        <c:delete val="1"/>
        <c:axPos val="b"/>
        <c:majorTickMark val="out"/>
        <c:minorTickMark val="none"/>
        <c:tickLblPos val="nextTo"/>
        <c:crossAx val="898732416"/>
        <c:crosses val="autoZero"/>
        <c:auto val="1"/>
        <c:lblAlgn val="ctr"/>
        <c:lblOffset val="100"/>
        <c:noMultiLvlLbl val="0"/>
      </c:catAx>
      <c:valAx>
        <c:axId val="898732416"/>
        <c:scaling>
          <c:orientation val="minMax"/>
          <c:max val="0.70000000000000007"/>
          <c:min val="0"/>
        </c:scaling>
        <c:delete val="0"/>
        <c:axPos val="r"/>
        <c:title>
          <c:tx>
            <c:rich>
              <a:bodyPr rot="0" vert="horz"/>
              <a:lstStyle/>
              <a:p>
                <a:pPr>
                  <a:defRPr/>
                </a:pPr>
                <a:r>
                  <a:rPr lang="en-US"/>
                  <a:t>Margin</a:t>
                </a:r>
                <a:r>
                  <a:rPr lang="en-US" baseline="0"/>
                  <a:t> </a:t>
                </a:r>
              </a:p>
              <a:p>
                <a:pPr>
                  <a:defRPr/>
                </a:pPr>
                <a:r>
                  <a:rPr lang="en-US" baseline="0"/>
                  <a:t>(%)</a:t>
                </a:r>
                <a:endParaRPr lang="en-US"/>
              </a:p>
            </c:rich>
          </c:tx>
          <c:layout>
            <c:manualLayout>
              <c:xMode val="edge"/>
              <c:yMode val="edge"/>
              <c:x val="0.77957428569015463"/>
              <c:y val="1.3461822610546773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898726528"/>
        <c:crosses val="max"/>
        <c:crossBetween val="between"/>
      </c:valAx>
      <c:spPr>
        <a:noFill/>
        <a:ln w="25400">
          <a:noFill/>
        </a:ln>
      </c:spPr>
    </c:plotArea>
    <c:legend>
      <c:legendPos val="r"/>
      <c:legendEntry>
        <c:idx val="2"/>
        <c:delete val="1"/>
      </c:legendEntry>
      <c:legendEntry>
        <c:idx val="3"/>
        <c:delete val="1"/>
      </c:legendEntry>
      <c:legendEntry>
        <c:idx val="4"/>
        <c:delete val="1"/>
      </c:legendEntry>
      <c:layout>
        <c:manualLayout>
          <c:xMode val="edge"/>
          <c:yMode val="edge"/>
          <c:x val="0.24926124990498391"/>
          <c:y val="1.3322179953738722E-2"/>
          <c:w val="0.37679410458402485"/>
          <c:h val="0.13194748643424647"/>
        </c:manualLayout>
      </c:layout>
      <c:overlay val="0"/>
      <c:spPr>
        <a:no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4875066611114182E-2"/>
          <c:y val="2.5787468105067678E-2"/>
          <c:w val="0.86207078241255264"/>
          <c:h val="0.82371680193837138"/>
        </c:manualLayout>
      </c:layout>
      <c:scatterChart>
        <c:scatterStyle val="smoothMarker"/>
        <c:varyColors val="0"/>
        <c:ser>
          <c:idx val="0"/>
          <c:order val="0"/>
          <c:spPr>
            <a:ln w="15875"/>
          </c:spPr>
          <c:marker>
            <c:symbol val="circle"/>
            <c:size val="4"/>
          </c:marker>
          <c:dPt>
            <c:idx val="7"/>
            <c:bubble3D val="0"/>
            <c:spPr>
              <a:ln w="15875" cmpd="sng">
                <a:solidFill>
                  <a:schemeClr val="accent1"/>
                </a:solidFill>
                <a:prstDash val="solid"/>
                <a:tailEnd type="none"/>
              </a:ln>
            </c:spPr>
          </c:dPt>
          <c:dPt>
            <c:idx val="8"/>
            <c:bubble3D val="0"/>
            <c:spPr>
              <a:ln w="12700">
                <a:solidFill>
                  <a:schemeClr val="accent1"/>
                </a:solidFill>
                <a:prstDash val="solid"/>
                <a:tailEnd type="arrow"/>
              </a:ln>
            </c:spPr>
          </c:dPt>
          <c:dPt>
            <c:idx val="9"/>
            <c:marker>
              <c:spPr>
                <a:ln w="19050">
                  <a:headEnd type="none" w="med" len="med"/>
                  <a:tailEnd type="none" w="med" len="med"/>
                </a:ln>
              </c:spPr>
            </c:marker>
            <c:bubble3D val="0"/>
            <c:spPr>
              <a:ln w="19050">
                <a:solidFill>
                  <a:srgbClr val="FF0000"/>
                </a:solidFill>
                <a:prstDash val="dash"/>
                <a:headEnd type="none" w="med" len="med"/>
                <a:tailEnd type="none" w="med" len="med"/>
              </a:ln>
            </c:spPr>
          </c:dPt>
          <c:dPt>
            <c:idx val="10"/>
            <c:marker>
              <c:spPr>
                <a:ln w="19050">
                  <a:solidFill>
                    <a:srgbClr val="FF0000"/>
                  </a:solidFill>
                  <a:prstDash val="dash"/>
                  <a:headEnd type="none" w="med" len="med"/>
                  <a:tailEnd type="arrow" w="med" len="med"/>
                </a:ln>
              </c:spPr>
            </c:marker>
            <c:bubble3D val="0"/>
            <c:spPr>
              <a:ln w="19050">
                <a:solidFill>
                  <a:srgbClr val="FF0000"/>
                </a:solidFill>
                <a:prstDash val="dash"/>
                <a:headEnd type="none" w="med" len="med"/>
                <a:tailEnd type="arrow" w="med" len="med"/>
              </a:ln>
            </c:spPr>
          </c:dPt>
          <c:dLbls>
            <c:dLbl>
              <c:idx val="0"/>
              <c:layout>
                <c:manualLayout>
                  <c:x val="-6.6202042085938148E-2"/>
                  <c:y val="-4.4450651808051578E-2"/>
                </c:manualLayout>
              </c:layout>
              <c:tx>
                <c:rich>
                  <a:bodyPr/>
                  <a:lstStyle/>
                  <a:p>
                    <a:r>
                      <a:rPr lang="en-US"/>
                      <a:t>2009</a:t>
                    </a:r>
                  </a:p>
                </c:rich>
              </c:tx>
              <c:showLegendKey val="0"/>
              <c:showVal val="1"/>
              <c:showCatName val="0"/>
              <c:showSerName val="0"/>
              <c:showPercent val="0"/>
              <c:showBubbleSize val="0"/>
            </c:dLbl>
            <c:dLbl>
              <c:idx val="1"/>
              <c:layout>
                <c:manualLayout>
                  <c:x val="-0.35305964883506308"/>
                  <c:y val="-3.4939153380148545E-2"/>
                </c:manualLayout>
              </c:layout>
              <c:tx>
                <c:rich>
                  <a:bodyPr/>
                  <a:lstStyle/>
                  <a:p>
                    <a:r>
                      <a:rPr lang="en-US"/>
                      <a:t>2010</a:t>
                    </a:r>
                  </a:p>
                </c:rich>
              </c:tx>
              <c:showLegendKey val="0"/>
              <c:showVal val="1"/>
              <c:showCatName val="0"/>
              <c:showSerName val="0"/>
              <c:showPercent val="0"/>
              <c:showBubbleSize val="0"/>
            </c:dLbl>
            <c:dLbl>
              <c:idx val="2"/>
              <c:layout>
                <c:manualLayout>
                  <c:x val="-4.962956609104837E-2"/>
                  <c:y val="-3.9597210111526948E-2"/>
                </c:manualLayout>
              </c:layout>
              <c:tx>
                <c:rich>
                  <a:bodyPr/>
                  <a:lstStyle/>
                  <a:p>
                    <a:r>
                      <a:rPr lang="en-US"/>
                      <a:t>2011</a:t>
                    </a:r>
                  </a:p>
                </c:rich>
              </c:tx>
              <c:showLegendKey val="0"/>
              <c:showVal val="1"/>
              <c:showCatName val="0"/>
              <c:showSerName val="0"/>
              <c:showPercent val="0"/>
              <c:showBubbleSize val="0"/>
            </c:dLbl>
            <c:dLbl>
              <c:idx val="3"/>
              <c:layout>
                <c:manualLayout>
                  <c:x val="-3.2771524079834011E-2"/>
                  <c:y val="5.2591492427508872E-2"/>
                </c:manualLayout>
              </c:layout>
              <c:tx>
                <c:rich>
                  <a:bodyPr/>
                  <a:lstStyle/>
                  <a:p>
                    <a:r>
                      <a:rPr lang="en-US"/>
                      <a:t>2012</a:t>
                    </a:r>
                  </a:p>
                </c:rich>
              </c:tx>
              <c:showLegendKey val="0"/>
              <c:showVal val="1"/>
              <c:showCatName val="0"/>
              <c:showSerName val="0"/>
              <c:showPercent val="0"/>
              <c:showBubbleSize val="0"/>
            </c:dLbl>
            <c:dLbl>
              <c:idx val="4"/>
              <c:layout>
                <c:manualLayout>
                  <c:x val="-1.5969016046948246E-2"/>
                  <c:y val="-2.6642142089791994E-2"/>
                </c:manualLayout>
              </c:layout>
              <c:tx>
                <c:rich>
                  <a:bodyPr/>
                  <a:lstStyle/>
                  <a:p>
                    <a:r>
                      <a:rPr lang="en-US"/>
                      <a:t>2013</a:t>
                    </a:r>
                  </a:p>
                </c:rich>
              </c:tx>
              <c:showLegendKey val="0"/>
              <c:showVal val="1"/>
              <c:showCatName val="0"/>
              <c:showSerName val="0"/>
              <c:showPercent val="0"/>
              <c:showBubbleSize val="0"/>
            </c:dLbl>
            <c:dLbl>
              <c:idx val="5"/>
              <c:layout>
                <c:manualLayout>
                  <c:x val="-2.5938873178287181E-2"/>
                  <c:y val="2.6398140074351338E-2"/>
                </c:manualLayout>
              </c:layout>
              <c:tx>
                <c:rich>
                  <a:bodyPr/>
                  <a:lstStyle/>
                  <a:p>
                    <a:r>
                      <a:rPr lang="en-US"/>
                      <a:t>2014</a:t>
                    </a:r>
                  </a:p>
                </c:rich>
              </c:tx>
              <c:showLegendKey val="0"/>
              <c:showVal val="1"/>
              <c:showCatName val="0"/>
              <c:showSerName val="0"/>
              <c:showPercent val="0"/>
              <c:showBubbleSize val="0"/>
            </c:dLbl>
            <c:dLbl>
              <c:idx val="6"/>
              <c:layout>
                <c:manualLayout>
                  <c:x val="-6.6252539851662309E-2"/>
                  <c:y val="-3.0535234415137429E-2"/>
                </c:manualLayout>
              </c:layout>
              <c:tx>
                <c:rich>
                  <a:bodyPr/>
                  <a:lstStyle/>
                  <a:p>
                    <a:r>
                      <a:rPr lang="en-US"/>
                      <a:t>2015</a:t>
                    </a:r>
                  </a:p>
                </c:rich>
              </c:tx>
              <c:showLegendKey val="0"/>
              <c:showVal val="1"/>
              <c:showCatName val="0"/>
              <c:showSerName val="0"/>
              <c:showPercent val="0"/>
              <c:showBubbleSize val="0"/>
            </c:dLbl>
            <c:dLbl>
              <c:idx val="7"/>
              <c:layout>
                <c:manualLayout>
                  <c:x val="-5.3644514917793422E-2"/>
                  <c:y val="3.3528459452850982E-2"/>
                </c:manualLayout>
              </c:layout>
              <c:tx>
                <c:rich>
                  <a:bodyPr/>
                  <a:lstStyle/>
                  <a:p>
                    <a:r>
                      <a:rPr lang="en-US"/>
                      <a:t>2016</a:t>
                    </a:r>
                  </a:p>
                </c:rich>
              </c:tx>
              <c:showLegendKey val="0"/>
              <c:showVal val="1"/>
              <c:showCatName val="0"/>
              <c:showSerName val="0"/>
              <c:showPercent val="0"/>
              <c:showBubbleSize val="0"/>
            </c:dLbl>
            <c:dLbl>
              <c:idx val="8"/>
              <c:layout>
                <c:manualLayout>
                  <c:x val="-9.8360826081309263E-2"/>
                  <c:y val="3.0581792880433244E-2"/>
                </c:manualLayout>
              </c:layout>
              <c:tx>
                <c:rich>
                  <a:bodyPr/>
                  <a:lstStyle/>
                  <a:p>
                    <a:r>
                      <a:rPr lang="en-US"/>
                      <a:t>2017</a:t>
                    </a:r>
                  </a:p>
                </c:rich>
              </c:tx>
              <c:showLegendKey val="0"/>
              <c:showVal val="1"/>
              <c:showCatName val="0"/>
              <c:showSerName val="0"/>
              <c:showPercent val="0"/>
              <c:showBubbleSize val="0"/>
            </c:dLbl>
            <c:dLbl>
              <c:idx val="9"/>
              <c:layout>
                <c:manualLayout>
                  <c:x val="-8.1867874287794115E-2"/>
                  <c:y val="2.6398219043284193E-2"/>
                </c:manualLayout>
              </c:layout>
              <c:tx>
                <c:rich>
                  <a:bodyPr/>
                  <a:lstStyle/>
                  <a:p>
                    <a:r>
                      <a:rPr lang="en-US"/>
                      <a:t>2018e</a:t>
                    </a:r>
                  </a:p>
                </c:rich>
              </c:tx>
              <c:showLegendKey val="0"/>
              <c:showVal val="1"/>
              <c:showCatName val="0"/>
              <c:showSerName val="0"/>
              <c:showPercent val="0"/>
              <c:showBubbleSize val="0"/>
            </c:dLbl>
            <c:dLbl>
              <c:idx val="10"/>
              <c:layout>
                <c:manualLayout>
                  <c:x val="-5.3858677375072231E-2"/>
                  <c:y val="-4.7245569755530389E-2"/>
                </c:manualLayout>
              </c:layout>
              <c:tx>
                <c:rich>
                  <a:bodyPr/>
                  <a:lstStyle/>
                  <a:p>
                    <a:r>
                      <a:rPr lang="en-US"/>
                      <a:t>2019e</a:t>
                    </a:r>
                  </a:p>
                </c:rich>
              </c:tx>
              <c:showLegendKey val="0"/>
              <c:showVal val="1"/>
              <c:showCatName val="0"/>
              <c:showSerName val="0"/>
              <c:showPercent val="0"/>
              <c:showBubbleSize val="0"/>
            </c:dLbl>
            <c:showLegendKey val="0"/>
            <c:showVal val="1"/>
            <c:showCatName val="0"/>
            <c:showSerName val="0"/>
            <c:showPercent val="0"/>
            <c:showBubbleSize val="0"/>
            <c:showLeaderLines val="0"/>
          </c:dLbls>
          <c:xVal>
            <c:numRef>
              <c:f>ChartSupport!$G$19:$Q$19</c:f>
              <c:numCache>
                <c:formatCode>0.0%</c:formatCode>
                <c:ptCount val="11"/>
                <c:pt idx="0">
                  <c:v>8.7059599674349286E-2</c:v>
                </c:pt>
                <c:pt idx="1">
                  <c:v>0.52791877517131658</c:v>
                </c:pt>
                <c:pt idx="2">
                  <c:v>9.4433636500389495E-2</c:v>
                </c:pt>
                <c:pt idx="3">
                  <c:v>5.5567910500776918E-2</c:v>
                </c:pt>
                <c:pt idx="4">
                  <c:v>0.19675710868404295</c:v>
                </c:pt>
                <c:pt idx="5">
                  <c:v>0.20522263754198633</c:v>
                </c:pt>
                <c:pt idx="6">
                  <c:v>0.17927361806369135</c:v>
                </c:pt>
                <c:pt idx="7">
                  <c:v>0.17298450602581683</c:v>
                </c:pt>
                <c:pt idx="8">
                  <c:v>0.10101383049440504</c:v>
                </c:pt>
                <c:pt idx="9">
                  <c:v>0.21775052562685882</c:v>
                </c:pt>
                <c:pt idx="10">
                  <c:v>3.4274784684021009E-2</c:v>
                </c:pt>
              </c:numCache>
            </c:numRef>
          </c:xVal>
          <c:yVal>
            <c:numRef>
              <c:f>ChartSupport!$G$39:$Q$39</c:f>
              <c:numCache>
                <c:formatCode>0.0%</c:formatCode>
                <c:ptCount val="11"/>
                <c:pt idx="0">
                  <c:v>0.31400503329489704</c:v>
                </c:pt>
                <c:pt idx="1">
                  <c:v>0.33915891846941471</c:v>
                </c:pt>
                <c:pt idx="2">
                  <c:v>0.43715193802759467</c:v>
                </c:pt>
                <c:pt idx="3">
                  <c:v>0.42621745587019666</c:v>
                </c:pt>
                <c:pt idx="4">
                  <c:v>0.39839726642847745</c:v>
                </c:pt>
                <c:pt idx="5">
                  <c:v>0.38099447681937826</c:v>
                </c:pt>
                <c:pt idx="6">
                  <c:v>0.48672522602726165</c:v>
                </c:pt>
                <c:pt idx="7">
                  <c:v>0.45311414365220232</c:v>
                </c:pt>
                <c:pt idx="8">
                  <c:v>0.48100391557177408</c:v>
                </c:pt>
                <c:pt idx="9">
                  <c:v>0.48103280154086298</c:v>
                </c:pt>
                <c:pt idx="10">
                  <c:v>0.47067842251844494</c:v>
                </c:pt>
              </c:numCache>
            </c:numRef>
          </c:yVal>
          <c:smooth val="1"/>
        </c:ser>
        <c:dLbls>
          <c:showLegendKey val="0"/>
          <c:showVal val="0"/>
          <c:showCatName val="0"/>
          <c:showSerName val="0"/>
          <c:showPercent val="0"/>
          <c:showBubbleSize val="0"/>
        </c:dLbls>
        <c:axId val="898777472"/>
        <c:axId val="898779008"/>
      </c:scatterChart>
      <c:valAx>
        <c:axId val="898777472"/>
        <c:scaling>
          <c:orientation val="minMax"/>
          <c:max val="0.30000000000000004"/>
          <c:min val="0"/>
        </c:scaling>
        <c:delete val="0"/>
        <c:axPos val="b"/>
        <c:numFmt formatCode="0%" sourceLinked="0"/>
        <c:majorTickMark val="out"/>
        <c:minorTickMark val="none"/>
        <c:tickLblPos val="nextTo"/>
        <c:txPr>
          <a:bodyPr/>
          <a:lstStyle/>
          <a:p>
            <a:pPr>
              <a:defRPr sz="900">
                <a:solidFill>
                  <a:schemeClr val="bg1">
                    <a:lumMod val="50000"/>
                  </a:schemeClr>
                </a:solidFill>
                <a:latin typeface="Arial" panose="020B0604020202020204" pitchFamily="34" charset="0"/>
                <a:cs typeface="Arial" panose="020B0604020202020204" pitchFamily="34" charset="0"/>
              </a:defRPr>
            </a:pPr>
            <a:endParaRPr lang="en-US"/>
          </a:p>
        </c:txPr>
        <c:crossAx val="898779008"/>
        <c:crosses val="autoZero"/>
        <c:crossBetween val="midCat"/>
      </c:valAx>
      <c:valAx>
        <c:axId val="898779008"/>
        <c:scaling>
          <c:orientation val="minMax"/>
          <c:max val="0.55000000000000004"/>
          <c:min val="0.30000000000000004"/>
        </c:scaling>
        <c:delete val="0"/>
        <c:axPos val="l"/>
        <c:numFmt formatCode="0%" sourceLinked="0"/>
        <c:majorTickMark val="out"/>
        <c:minorTickMark val="none"/>
        <c:tickLblPos val="nextTo"/>
        <c:txPr>
          <a:bodyPr/>
          <a:lstStyle/>
          <a:p>
            <a:pPr>
              <a:defRPr sz="900">
                <a:solidFill>
                  <a:schemeClr val="bg1">
                    <a:lumMod val="50000"/>
                  </a:schemeClr>
                </a:solidFill>
                <a:latin typeface="Arial" panose="020B0604020202020204" pitchFamily="34" charset="0"/>
                <a:cs typeface="Arial" panose="020B0604020202020204" pitchFamily="34" charset="0"/>
              </a:defRPr>
            </a:pPr>
            <a:endParaRPr lang="en-US"/>
          </a:p>
        </c:txPr>
        <c:crossAx val="898777472"/>
        <c:crosses val="autoZero"/>
        <c:crossBetween val="midCat"/>
        <c:majorUnit val="5.000000000000001E-2"/>
      </c:valAx>
      <c:spPr>
        <a:blipFill>
          <a:blip xmlns:r="http://schemas.openxmlformats.org/officeDocument/2006/relationships" r:embed="rId1"/>
          <a:stretch>
            <a:fillRect/>
          </a:stretch>
        </a:blipFill>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1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589676290463686E-2"/>
          <c:y val="4.7022015548490691E-2"/>
          <c:w val="0.83989814645380545"/>
          <c:h val="0.77329395357136921"/>
        </c:manualLayout>
      </c:layout>
      <c:areaChart>
        <c:grouping val="standard"/>
        <c:varyColors val="0"/>
        <c:ser>
          <c:idx val="1"/>
          <c:order val="0"/>
          <c:tx>
            <c:v>Bull-Bear Scenario</c:v>
          </c:tx>
          <c:spPr>
            <a:solidFill>
              <a:schemeClr val="bg1">
                <a:lumMod val="85000"/>
              </a:schemeClr>
            </a:solidFill>
            <a:ln w="25400">
              <a:noFill/>
            </a:ln>
          </c:spPr>
          <c:cat>
            <c:strRef>
              <c:f>ChartSupport!$E$7:$W$7</c:f>
              <c:strCache>
                <c:ptCount val="19"/>
                <c:pt idx="0">
                  <c:v>2007</c:v>
                </c:pt>
                <c:pt idx="1">
                  <c:v>2008</c:v>
                </c:pt>
                <c:pt idx="2">
                  <c:v>2009</c:v>
                </c:pt>
                <c:pt idx="3">
                  <c:v>2010</c:v>
                </c:pt>
                <c:pt idx="4">
                  <c:v>2011</c:v>
                </c:pt>
                <c:pt idx="5">
                  <c:v>2012</c:v>
                </c:pt>
                <c:pt idx="6">
                  <c:v>2013</c:v>
                </c:pt>
                <c:pt idx="7">
                  <c:v>2014</c:v>
                </c:pt>
                <c:pt idx="8">
                  <c:v>2015</c:v>
                </c:pt>
                <c:pt idx="9">
                  <c:v>2016</c:v>
                </c:pt>
                <c:pt idx="10">
                  <c:v>2017</c:v>
                </c:pt>
                <c:pt idx="11">
                  <c:v>2018E</c:v>
                </c:pt>
                <c:pt idx="12">
                  <c:v>2019E</c:v>
                </c:pt>
                <c:pt idx="13">
                  <c:v>2020E</c:v>
                </c:pt>
                <c:pt idx="14">
                  <c:v>2021E</c:v>
                </c:pt>
                <c:pt idx="15">
                  <c:v>2022E</c:v>
                </c:pt>
                <c:pt idx="16">
                  <c:v>2023E</c:v>
                </c:pt>
                <c:pt idx="17">
                  <c:v>2024E</c:v>
                </c:pt>
                <c:pt idx="18">
                  <c:v>2025E</c:v>
                </c:pt>
              </c:strCache>
            </c:strRef>
          </c:cat>
          <c:val>
            <c:numRef>
              <c:f>ChartSupport!$E$203:$W$203</c:f>
              <c:numCache>
                <c:formatCode>_(* #,##0_);_(* \(#,##0\);_(* "-"??_);_(@_)</c:formatCode>
                <c:ptCount val="19"/>
                <c:pt idx="0">
                  <c:v>9500</c:v>
                </c:pt>
                <c:pt idx="1">
                  <c:v>12000</c:v>
                </c:pt>
                <c:pt idx="2">
                  <c:v>12900</c:v>
                </c:pt>
                <c:pt idx="3">
                  <c:v>13100</c:v>
                </c:pt>
                <c:pt idx="4">
                  <c:v>14500</c:v>
                </c:pt>
                <c:pt idx="5">
                  <c:v>14800</c:v>
                </c:pt>
                <c:pt idx="6">
                  <c:v>16000</c:v>
                </c:pt>
                <c:pt idx="7">
                  <c:v>20000</c:v>
                </c:pt>
                <c:pt idx="8">
                  <c:v>20000</c:v>
                </c:pt>
                <c:pt idx="9">
                  <c:v>20024</c:v>
                </c:pt>
                <c:pt idx="10">
                  <c:v>24000</c:v>
                </c:pt>
                <c:pt idx="11" formatCode="#,##0">
                  <c:v>24000</c:v>
                </c:pt>
                <c:pt idx="12" formatCode="#,##0">
                  <c:v>24000</c:v>
                </c:pt>
                <c:pt idx="13" formatCode="#,##0">
                  <c:v>24500</c:v>
                </c:pt>
                <c:pt idx="14" formatCode="#,##0">
                  <c:v>25000</c:v>
                </c:pt>
                <c:pt idx="15" formatCode="#,##0">
                  <c:v>25500</c:v>
                </c:pt>
                <c:pt idx="16" formatCode="#,##0">
                  <c:v>26000</c:v>
                </c:pt>
                <c:pt idx="17" formatCode="#,##0">
                  <c:v>26500</c:v>
                </c:pt>
                <c:pt idx="18" formatCode="#,##0">
                  <c:v>27000</c:v>
                </c:pt>
              </c:numCache>
            </c:numRef>
          </c:val>
        </c:ser>
        <c:ser>
          <c:idx val="3"/>
          <c:order val="1"/>
          <c:tx>
            <c:strRef>
              <c:f>ChartSupport!$A$163</c:f>
              <c:strCache>
                <c:ptCount val="1"/>
                <c:pt idx="0">
                  <c:v>Bear</c:v>
                </c:pt>
              </c:strCache>
            </c:strRef>
          </c:tx>
          <c:spPr>
            <a:solidFill>
              <a:schemeClr val="bg1"/>
            </a:solidFill>
            <a:ln w="25400">
              <a:noFill/>
            </a:ln>
          </c:spPr>
          <c:cat>
            <c:strRef>
              <c:f>ChartSupport!$E$7:$W$7</c:f>
              <c:strCache>
                <c:ptCount val="19"/>
                <c:pt idx="0">
                  <c:v>2007</c:v>
                </c:pt>
                <c:pt idx="1">
                  <c:v>2008</c:v>
                </c:pt>
                <c:pt idx="2">
                  <c:v>2009</c:v>
                </c:pt>
                <c:pt idx="3">
                  <c:v>2010</c:v>
                </c:pt>
                <c:pt idx="4">
                  <c:v>2011</c:v>
                </c:pt>
                <c:pt idx="5">
                  <c:v>2012</c:v>
                </c:pt>
                <c:pt idx="6">
                  <c:v>2013</c:v>
                </c:pt>
                <c:pt idx="7">
                  <c:v>2014</c:v>
                </c:pt>
                <c:pt idx="8">
                  <c:v>2015</c:v>
                </c:pt>
                <c:pt idx="9">
                  <c:v>2016</c:v>
                </c:pt>
                <c:pt idx="10">
                  <c:v>2017</c:v>
                </c:pt>
                <c:pt idx="11">
                  <c:v>2018E</c:v>
                </c:pt>
                <c:pt idx="12">
                  <c:v>2019E</c:v>
                </c:pt>
                <c:pt idx="13">
                  <c:v>2020E</c:v>
                </c:pt>
                <c:pt idx="14">
                  <c:v>2021E</c:v>
                </c:pt>
                <c:pt idx="15">
                  <c:v>2022E</c:v>
                </c:pt>
                <c:pt idx="16">
                  <c:v>2023E</c:v>
                </c:pt>
                <c:pt idx="17">
                  <c:v>2024E</c:v>
                </c:pt>
                <c:pt idx="18">
                  <c:v>2025E</c:v>
                </c:pt>
              </c:strCache>
            </c:strRef>
          </c:cat>
          <c:val>
            <c:numRef>
              <c:f>ChartSupport!$E$201:$W$201</c:f>
              <c:numCache>
                <c:formatCode>_(* #,##0_);_(* \(#,##0\);_(* "-"??_);_(@_)</c:formatCode>
                <c:ptCount val="19"/>
                <c:pt idx="0">
                  <c:v>9500</c:v>
                </c:pt>
                <c:pt idx="1">
                  <c:v>12000</c:v>
                </c:pt>
                <c:pt idx="2">
                  <c:v>12900</c:v>
                </c:pt>
                <c:pt idx="3">
                  <c:v>13100</c:v>
                </c:pt>
                <c:pt idx="4">
                  <c:v>14500</c:v>
                </c:pt>
                <c:pt idx="5">
                  <c:v>14800</c:v>
                </c:pt>
                <c:pt idx="6">
                  <c:v>16000</c:v>
                </c:pt>
                <c:pt idx="7">
                  <c:v>20000</c:v>
                </c:pt>
                <c:pt idx="8">
                  <c:v>20000</c:v>
                </c:pt>
                <c:pt idx="9">
                  <c:v>20024</c:v>
                </c:pt>
                <c:pt idx="10">
                  <c:v>24000</c:v>
                </c:pt>
                <c:pt idx="11" formatCode="#,##0">
                  <c:v>24000</c:v>
                </c:pt>
                <c:pt idx="12" formatCode="#,##0">
                  <c:v>24000</c:v>
                </c:pt>
                <c:pt idx="13" formatCode="#,##0">
                  <c:v>24000</c:v>
                </c:pt>
                <c:pt idx="14" formatCode="#,##0">
                  <c:v>24500</c:v>
                </c:pt>
                <c:pt idx="15" formatCode="#,##0">
                  <c:v>25000</c:v>
                </c:pt>
                <c:pt idx="16" formatCode="#,##0">
                  <c:v>25500</c:v>
                </c:pt>
                <c:pt idx="17" formatCode="#,##0">
                  <c:v>26000</c:v>
                </c:pt>
                <c:pt idx="18" formatCode="#,##0">
                  <c:v>26500</c:v>
                </c:pt>
              </c:numCache>
            </c:numRef>
          </c:val>
        </c:ser>
        <c:dLbls>
          <c:showLegendKey val="0"/>
          <c:showVal val="0"/>
          <c:showCatName val="0"/>
          <c:showSerName val="0"/>
          <c:showPercent val="0"/>
          <c:showBubbleSize val="0"/>
        </c:dLbls>
        <c:axId val="898259200"/>
        <c:axId val="898260992"/>
      </c:areaChart>
      <c:lineChart>
        <c:grouping val="standard"/>
        <c:varyColors val="0"/>
        <c:ser>
          <c:idx val="2"/>
          <c:order val="2"/>
          <c:tx>
            <c:strRef>
              <c:f>ChartSupport!$A$205</c:f>
              <c:strCache>
                <c:ptCount val="1"/>
                <c:pt idx="0">
                  <c:v>Crushed Sugarcane ('000 tons)</c:v>
                </c:pt>
              </c:strCache>
            </c:strRef>
          </c:tx>
          <c:spPr>
            <a:ln w="25400">
              <a:solidFill>
                <a:schemeClr val="accent1"/>
              </a:solidFill>
              <a:prstDash val="solid"/>
            </a:ln>
          </c:spPr>
          <c:marker>
            <c:symbol val="none"/>
          </c:marker>
          <c:cat>
            <c:strRef>
              <c:f>ChartSupport!$E$12:$W$12</c:f>
              <c:strCache>
                <c:ptCount val="19"/>
                <c:pt idx="0">
                  <c:v>2007</c:v>
                </c:pt>
                <c:pt idx="1">
                  <c:v>2008</c:v>
                </c:pt>
                <c:pt idx="2">
                  <c:v>2009</c:v>
                </c:pt>
                <c:pt idx="3">
                  <c:v>2010</c:v>
                </c:pt>
                <c:pt idx="4">
                  <c:v>2011</c:v>
                </c:pt>
                <c:pt idx="5">
                  <c:v>2012</c:v>
                </c:pt>
                <c:pt idx="6">
                  <c:v>2013</c:v>
                </c:pt>
                <c:pt idx="7">
                  <c:v>2014</c:v>
                </c:pt>
                <c:pt idx="8">
                  <c:v>2015</c:v>
                </c:pt>
                <c:pt idx="9">
                  <c:v>2016</c:v>
                </c:pt>
                <c:pt idx="10">
                  <c:v>2017</c:v>
                </c:pt>
                <c:pt idx="11">
                  <c:v>2018E</c:v>
                </c:pt>
                <c:pt idx="12">
                  <c:v>2019E</c:v>
                </c:pt>
                <c:pt idx="13">
                  <c:v>2020E</c:v>
                </c:pt>
                <c:pt idx="14">
                  <c:v>2021E</c:v>
                </c:pt>
                <c:pt idx="15">
                  <c:v>2022E</c:v>
                </c:pt>
                <c:pt idx="16">
                  <c:v>2023E</c:v>
                </c:pt>
                <c:pt idx="17">
                  <c:v>2024E</c:v>
                </c:pt>
                <c:pt idx="18">
                  <c:v>2025E</c:v>
                </c:pt>
              </c:strCache>
            </c:strRef>
          </c:cat>
          <c:val>
            <c:numRef>
              <c:f>ChartSupport!$E$202:$W$202</c:f>
              <c:numCache>
                <c:formatCode>_(* #,##0_);_(* \(#,##0\);_(* "-"??_);_(@_)</c:formatCode>
                <c:ptCount val="19"/>
                <c:pt idx="0">
                  <c:v>9500</c:v>
                </c:pt>
                <c:pt idx="1">
                  <c:v>12000</c:v>
                </c:pt>
                <c:pt idx="2">
                  <c:v>12900</c:v>
                </c:pt>
                <c:pt idx="3">
                  <c:v>13100</c:v>
                </c:pt>
                <c:pt idx="4">
                  <c:v>14500</c:v>
                </c:pt>
                <c:pt idx="5">
                  <c:v>14800</c:v>
                </c:pt>
                <c:pt idx="6">
                  <c:v>16000</c:v>
                </c:pt>
                <c:pt idx="7">
                  <c:v>20000</c:v>
                </c:pt>
                <c:pt idx="8">
                  <c:v>20000</c:v>
                </c:pt>
                <c:pt idx="9">
                  <c:v>20024</c:v>
                </c:pt>
                <c:pt idx="10">
                  <c:v>24000</c:v>
                </c:pt>
                <c:pt idx="11" formatCode="#,##0">
                  <c:v>24000</c:v>
                </c:pt>
                <c:pt idx="12" formatCode="#,##0">
                  <c:v>24000</c:v>
                </c:pt>
                <c:pt idx="13" formatCode="#,##0">
                  <c:v>24500</c:v>
                </c:pt>
                <c:pt idx="14" formatCode="#,##0">
                  <c:v>25000</c:v>
                </c:pt>
                <c:pt idx="15" formatCode="#,##0">
                  <c:v>25500</c:v>
                </c:pt>
                <c:pt idx="16" formatCode="#,##0">
                  <c:v>26000</c:v>
                </c:pt>
                <c:pt idx="17" formatCode="#,##0">
                  <c:v>26500</c:v>
                </c:pt>
                <c:pt idx="18" formatCode="#,##0">
                  <c:v>27000</c:v>
                </c:pt>
              </c:numCache>
            </c:numRef>
          </c:val>
          <c:smooth val="0"/>
        </c:ser>
        <c:dLbls>
          <c:showLegendKey val="0"/>
          <c:showVal val="0"/>
          <c:showCatName val="0"/>
          <c:showSerName val="0"/>
          <c:showPercent val="0"/>
          <c:showBubbleSize val="0"/>
        </c:dLbls>
        <c:marker val="1"/>
        <c:smooth val="0"/>
        <c:axId val="898259200"/>
        <c:axId val="898260992"/>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ChartSupport!$E$12:$W$12</c:f>
              <c:strCache>
                <c:ptCount val="19"/>
                <c:pt idx="0">
                  <c:v>2007</c:v>
                </c:pt>
                <c:pt idx="1">
                  <c:v>2008</c:v>
                </c:pt>
                <c:pt idx="2">
                  <c:v>2009</c:v>
                </c:pt>
                <c:pt idx="3">
                  <c:v>2010</c:v>
                </c:pt>
                <c:pt idx="4">
                  <c:v>2011</c:v>
                </c:pt>
                <c:pt idx="5">
                  <c:v>2012</c:v>
                </c:pt>
                <c:pt idx="6">
                  <c:v>2013</c:v>
                </c:pt>
                <c:pt idx="7">
                  <c:v>2014</c:v>
                </c:pt>
                <c:pt idx="8">
                  <c:v>2015</c:v>
                </c:pt>
                <c:pt idx="9">
                  <c:v>2016</c:v>
                </c:pt>
                <c:pt idx="10">
                  <c:v>2017</c:v>
                </c:pt>
                <c:pt idx="11">
                  <c:v>2018E</c:v>
                </c:pt>
                <c:pt idx="12">
                  <c:v>2019E</c:v>
                </c:pt>
                <c:pt idx="13">
                  <c:v>2020E</c:v>
                </c:pt>
                <c:pt idx="14">
                  <c:v>2021E</c:v>
                </c:pt>
                <c:pt idx="15">
                  <c:v>2022E</c:v>
                </c:pt>
                <c:pt idx="16">
                  <c:v>2023E</c:v>
                </c:pt>
                <c:pt idx="17">
                  <c:v>2024E</c:v>
                </c:pt>
                <c:pt idx="18">
                  <c:v>2025E</c:v>
                </c:pt>
              </c:strCache>
            </c:strRef>
          </c:cat>
          <c:val>
            <c:numRef>
              <c:f>ChartSupport!$E$179:$W$179</c:f>
              <c:numCache>
                <c:formatCode>0</c:formatCode>
                <c:ptCount val="19"/>
                <c:pt idx="0">
                  <c:v>10.401666666666666</c:v>
                </c:pt>
                <c:pt idx="1">
                  <c:v>12.4</c:v>
                </c:pt>
                <c:pt idx="2">
                  <c:v>18.787500000000001</c:v>
                </c:pt>
                <c:pt idx="3">
                  <c:v>23.440833333333334</c:v>
                </c:pt>
                <c:pt idx="4">
                  <c:v>25.258333333333336</c:v>
                </c:pt>
                <c:pt idx="5">
                  <c:v>20.410833333333333</c:v>
                </c:pt>
                <c:pt idx="6">
                  <c:v>17.066666666666666</c:v>
                </c:pt>
                <c:pt idx="7">
                  <c:v>15.978333333333333</c:v>
                </c:pt>
                <c:pt idx="8">
                  <c:v>13.149166666666668</c:v>
                </c:pt>
                <c:pt idx="9">
                  <c:v>19.252499999999998</c:v>
                </c:pt>
                <c:pt idx="10">
                  <c:v>17.805000000000003</c:v>
                </c:pt>
                <c:pt idx="11">
                  <c:v>16.244658605325153</c:v>
                </c:pt>
                <c:pt idx="12">
                  <c:v>16.31531880717511</c:v>
                </c:pt>
                <c:pt idx="13">
                  <c:v>16.498655235130911</c:v>
                </c:pt>
                <c:pt idx="14">
                  <c:v>19.747444770453257</c:v>
                </c:pt>
                <c:pt idx="15">
                  <c:v>20.93514679550681</c:v>
                </c:pt>
                <c:pt idx="16">
                  <c:v>17.432162450241776</c:v>
                </c:pt>
                <c:pt idx="17">
                  <c:v>15.017906650666538</c:v>
                </c:pt>
                <c:pt idx="18">
                  <c:v>17.055276269110166</c:v>
                </c:pt>
              </c:numCache>
            </c:numRef>
          </c:val>
          <c:smooth val="0"/>
        </c:ser>
        <c:dLbls>
          <c:showLegendKey val="0"/>
          <c:showVal val="0"/>
          <c:showCatName val="0"/>
          <c:showSerName val="0"/>
          <c:showPercent val="0"/>
          <c:showBubbleSize val="0"/>
        </c:dLbls>
        <c:marker val="1"/>
        <c:smooth val="0"/>
        <c:axId val="898263296"/>
        <c:axId val="898285568"/>
      </c:lineChart>
      <c:catAx>
        <c:axId val="898259200"/>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a:pPr>
            <a:endParaRPr lang="en-US"/>
          </a:p>
        </c:txPr>
        <c:crossAx val="898260992"/>
        <c:crosses val="autoZero"/>
        <c:auto val="1"/>
        <c:lblAlgn val="ctr"/>
        <c:lblOffset val="100"/>
        <c:tickLblSkip val="1"/>
        <c:tickMarkSkip val="1"/>
        <c:noMultiLvlLbl val="0"/>
      </c:catAx>
      <c:valAx>
        <c:axId val="898260992"/>
        <c:scaling>
          <c:orientation val="minMax"/>
          <c:min val="5000"/>
        </c:scaling>
        <c:delete val="0"/>
        <c:axPos val="r"/>
        <c:title>
          <c:tx>
            <c:rich>
              <a:bodyPr rot="0" vert="horz"/>
              <a:lstStyle/>
              <a:p>
                <a:pPr algn="ctr" rtl="0">
                  <a:defRPr/>
                </a:pPr>
                <a:r>
                  <a:rPr lang="en-US"/>
                  <a:t>US$ cents/lb</a:t>
                </a:r>
              </a:p>
            </c:rich>
          </c:tx>
          <c:layout>
            <c:manualLayout>
              <c:xMode val="edge"/>
              <c:yMode val="edge"/>
              <c:x val="8.6663036801250912E-2"/>
              <c:y val="5.3210579446799945E-3"/>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8259200"/>
        <c:crosses val="max"/>
        <c:crossBetween val="midCat"/>
        <c:dispUnits>
          <c:builtInUnit val="thousands"/>
        </c:dispUnits>
      </c:valAx>
      <c:catAx>
        <c:axId val="898263296"/>
        <c:scaling>
          <c:orientation val="minMax"/>
        </c:scaling>
        <c:delete val="1"/>
        <c:axPos val="b"/>
        <c:majorTickMark val="out"/>
        <c:minorTickMark val="none"/>
        <c:tickLblPos val="nextTo"/>
        <c:crossAx val="898285568"/>
        <c:crosses val="autoZero"/>
        <c:auto val="1"/>
        <c:lblAlgn val="ctr"/>
        <c:lblOffset val="100"/>
        <c:noMultiLvlLbl val="0"/>
      </c:catAx>
      <c:valAx>
        <c:axId val="898285568"/>
        <c:scaling>
          <c:orientation val="minMax"/>
          <c:min val="5"/>
        </c:scaling>
        <c:delete val="0"/>
        <c:axPos val="l"/>
        <c:title>
          <c:tx>
            <c:rich>
              <a:bodyPr rot="0" vert="horz"/>
              <a:lstStyle/>
              <a:p>
                <a:pPr algn="ctr" rtl="0">
                  <a:defRPr/>
                </a:pPr>
                <a:r>
                  <a:rPr lang="en-US"/>
                  <a:t>Mn tn</a:t>
                </a:r>
              </a:p>
            </c:rich>
          </c:tx>
          <c:layout>
            <c:manualLayout>
              <c:xMode val="edge"/>
              <c:yMode val="edge"/>
              <c:x val="0.80920928163137107"/>
              <c:y val="3.8110068804291589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898263296"/>
        <c:crosses val="autoZero"/>
        <c:crossBetween val="midCat"/>
      </c:valAx>
      <c:spPr>
        <a:noFill/>
        <a:ln w="25400">
          <a:noFill/>
        </a:ln>
      </c:spPr>
    </c:plotArea>
    <c:legend>
      <c:legendPos val="r"/>
      <c:legendEntry>
        <c:idx val="1"/>
        <c:delete val="1"/>
      </c:legendEntry>
      <c:layout>
        <c:manualLayout>
          <c:xMode val="edge"/>
          <c:yMode val="edge"/>
          <c:x val="0.27183557553104015"/>
          <c:y val="0.63822930670251588"/>
          <c:w val="0.57638999125109369"/>
          <c:h val="0.18013923564432494"/>
        </c:manualLayout>
      </c:layout>
      <c:overlay val="0"/>
      <c:spPr>
        <a:no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userShapes r:id="rId1"/>
</c:chartSpace>
</file>

<file path=xl/charts/chart1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589676290463686E-2"/>
          <c:y val="4.7022015548490691E-2"/>
          <c:w val="0.78045512927905292"/>
          <c:h val="0.77329395357136921"/>
        </c:manualLayout>
      </c:layout>
      <c:areaChart>
        <c:grouping val="standard"/>
        <c:varyColors val="0"/>
        <c:ser>
          <c:idx val="1"/>
          <c:order val="0"/>
          <c:tx>
            <c:v>Bull-Bear Scenario</c:v>
          </c:tx>
          <c:spPr>
            <a:solidFill>
              <a:schemeClr val="bg1">
                <a:lumMod val="85000"/>
              </a:schemeClr>
            </a:solidFill>
            <a:ln w="25400">
              <a:noFill/>
            </a:ln>
          </c:spPr>
          <c:cat>
            <c:strRef>
              <c:f>ChartSupport!$E$7:$W$7</c:f>
              <c:strCache>
                <c:ptCount val="19"/>
                <c:pt idx="0">
                  <c:v>2007</c:v>
                </c:pt>
                <c:pt idx="1">
                  <c:v>2008</c:v>
                </c:pt>
                <c:pt idx="2">
                  <c:v>2009</c:v>
                </c:pt>
                <c:pt idx="3">
                  <c:v>2010</c:v>
                </c:pt>
                <c:pt idx="4">
                  <c:v>2011</c:v>
                </c:pt>
                <c:pt idx="5">
                  <c:v>2012</c:v>
                </c:pt>
                <c:pt idx="6">
                  <c:v>2013</c:v>
                </c:pt>
                <c:pt idx="7">
                  <c:v>2014</c:v>
                </c:pt>
                <c:pt idx="8">
                  <c:v>2015</c:v>
                </c:pt>
                <c:pt idx="9">
                  <c:v>2016</c:v>
                </c:pt>
                <c:pt idx="10">
                  <c:v>2017</c:v>
                </c:pt>
                <c:pt idx="11">
                  <c:v>2018E</c:v>
                </c:pt>
                <c:pt idx="12">
                  <c:v>2019E</c:v>
                </c:pt>
                <c:pt idx="13">
                  <c:v>2020E</c:v>
                </c:pt>
                <c:pt idx="14">
                  <c:v>2021E</c:v>
                </c:pt>
                <c:pt idx="15">
                  <c:v>2022E</c:v>
                </c:pt>
                <c:pt idx="16">
                  <c:v>2023E</c:v>
                </c:pt>
                <c:pt idx="17">
                  <c:v>2024E</c:v>
                </c:pt>
                <c:pt idx="18">
                  <c:v>2025E</c:v>
                </c:pt>
              </c:strCache>
            </c:strRef>
          </c:cat>
          <c:val>
            <c:numRef>
              <c:f>ChartSupport!$E$203:$W$203</c:f>
              <c:numCache>
                <c:formatCode>_(* #,##0_);_(* \(#,##0\);_(* "-"??_);_(@_)</c:formatCode>
                <c:ptCount val="19"/>
                <c:pt idx="0">
                  <c:v>9500</c:v>
                </c:pt>
                <c:pt idx="1">
                  <c:v>12000</c:v>
                </c:pt>
                <c:pt idx="2">
                  <c:v>12900</c:v>
                </c:pt>
                <c:pt idx="3">
                  <c:v>13100</c:v>
                </c:pt>
                <c:pt idx="4">
                  <c:v>14500</c:v>
                </c:pt>
                <c:pt idx="5">
                  <c:v>14800</c:v>
                </c:pt>
                <c:pt idx="6">
                  <c:v>16000</c:v>
                </c:pt>
                <c:pt idx="7">
                  <c:v>20000</c:v>
                </c:pt>
                <c:pt idx="8">
                  <c:v>20000</c:v>
                </c:pt>
                <c:pt idx="9">
                  <c:v>20024</c:v>
                </c:pt>
                <c:pt idx="10">
                  <c:v>24000</c:v>
                </c:pt>
                <c:pt idx="11" formatCode="#,##0">
                  <c:v>24000</c:v>
                </c:pt>
                <c:pt idx="12" formatCode="#,##0">
                  <c:v>24000</c:v>
                </c:pt>
                <c:pt idx="13" formatCode="#,##0">
                  <c:v>24500</c:v>
                </c:pt>
                <c:pt idx="14" formatCode="#,##0">
                  <c:v>25000</c:v>
                </c:pt>
                <c:pt idx="15" formatCode="#,##0">
                  <c:v>25500</c:v>
                </c:pt>
                <c:pt idx="16" formatCode="#,##0">
                  <c:v>26000</c:v>
                </c:pt>
                <c:pt idx="17" formatCode="#,##0">
                  <c:v>26500</c:v>
                </c:pt>
                <c:pt idx="18" formatCode="#,##0">
                  <c:v>27000</c:v>
                </c:pt>
              </c:numCache>
            </c:numRef>
          </c:val>
        </c:ser>
        <c:ser>
          <c:idx val="3"/>
          <c:order val="1"/>
          <c:tx>
            <c:strRef>
              <c:f>ChartSupport!$A$163</c:f>
              <c:strCache>
                <c:ptCount val="1"/>
                <c:pt idx="0">
                  <c:v>Bear</c:v>
                </c:pt>
              </c:strCache>
            </c:strRef>
          </c:tx>
          <c:spPr>
            <a:solidFill>
              <a:schemeClr val="bg1"/>
            </a:solidFill>
            <a:ln w="25400">
              <a:noFill/>
            </a:ln>
          </c:spPr>
          <c:cat>
            <c:strRef>
              <c:f>ChartSupport!$E$7:$W$7</c:f>
              <c:strCache>
                <c:ptCount val="19"/>
                <c:pt idx="0">
                  <c:v>2007</c:v>
                </c:pt>
                <c:pt idx="1">
                  <c:v>2008</c:v>
                </c:pt>
                <c:pt idx="2">
                  <c:v>2009</c:v>
                </c:pt>
                <c:pt idx="3">
                  <c:v>2010</c:v>
                </c:pt>
                <c:pt idx="4">
                  <c:v>2011</c:v>
                </c:pt>
                <c:pt idx="5">
                  <c:v>2012</c:v>
                </c:pt>
                <c:pt idx="6">
                  <c:v>2013</c:v>
                </c:pt>
                <c:pt idx="7">
                  <c:v>2014</c:v>
                </c:pt>
                <c:pt idx="8">
                  <c:v>2015</c:v>
                </c:pt>
                <c:pt idx="9">
                  <c:v>2016</c:v>
                </c:pt>
                <c:pt idx="10">
                  <c:v>2017</c:v>
                </c:pt>
                <c:pt idx="11">
                  <c:v>2018E</c:v>
                </c:pt>
                <c:pt idx="12">
                  <c:v>2019E</c:v>
                </c:pt>
                <c:pt idx="13">
                  <c:v>2020E</c:v>
                </c:pt>
                <c:pt idx="14">
                  <c:v>2021E</c:v>
                </c:pt>
                <c:pt idx="15">
                  <c:v>2022E</c:v>
                </c:pt>
                <c:pt idx="16">
                  <c:v>2023E</c:v>
                </c:pt>
                <c:pt idx="17">
                  <c:v>2024E</c:v>
                </c:pt>
                <c:pt idx="18">
                  <c:v>2025E</c:v>
                </c:pt>
              </c:strCache>
            </c:strRef>
          </c:cat>
          <c:val>
            <c:numRef>
              <c:f>ChartSupport!$E$201:$W$201</c:f>
              <c:numCache>
                <c:formatCode>_(* #,##0_);_(* \(#,##0\);_(* "-"??_);_(@_)</c:formatCode>
                <c:ptCount val="19"/>
                <c:pt idx="0">
                  <c:v>9500</c:v>
                </c:pt>
                <c:pt idx="1">
                  <c:v>12000</c:v>
                </c:pt>
                <c:pt idx="2">
                  <c:v>12900</c:v>
                </c:pt>
                <c:pt idx="3">
                  <c:v>13100</c:v>
                </c:pt>
                <c:pt idx="4">
                  <c:v>14500</c:v>
                </c:pt>
                <c:pt idx="5">
                  <c:v>14800</c:v>
                </c:pt>
                <c:pt idx="6">
                  <c:v>16000</c:v>
                </c:pt>
                <c:pt idx="7">
                  <c:v>20000</c:v>
                </c:pt>
                <c:pt idx="8">
                  <c:v>20000</c:v>
                </c:pt>
                <c:pt idx="9">
                  <c:v>20024</c:v>
                </c:pt>
                <c:pt idx="10">
                  <c:v>24000</c:v>
                </c:pt>
                <c:pt idx="11" formatCode="#,##0">
                  <c:v>24000</c:v>
                </c:pt>
                <c:pt idx="12" formatCode="#,##0">
                  <c:v>24000</c:v>
                </c:pt>
                <c:pt idx="13" formatCode="#,##0">
                  <c:v>24000</c:v>
                </c:pt>
                <c:pt idx="14" formatCode="#,##0">
                  <c:v>24500</c:v>
                </c:pt>
                <c:pt idx="15" formatCode="#,##0">
                  <c:v>25000</c:v>
                </c:pt>
                <c:pt idx="16" formatCode="#,##0">
                  <c:v>25500</c:v>
                </c:pt>
                <c:pt idx="17" formatCode="#,##0">
                  <c:v>26000</c:v>
                </c:pt>
                <c:pt idx="18" formatCode="#,##0">
                  <c:v>26500</c:v>
                </c:pt>
              </c:numCache>
            </c:numRef>
          </c:val>
        </c:ser>
        <c:dLbls>
          <c:showLegendKey val="0"/>
          <c:showVal val="0"/>
          <c:showCatName val="0"/>
          <c:showSerName val="0"/>
          <c:showPercent val="0"/>
          <c:showBubbleSize val="0"/>
        </c:dLbls>
        <c:axId val="898328448"/>
        <c:axId val="898329984"/>
      </c:areaChart>
      <c:lineChart>
        <c:grouping val="standard"/>
        <c:varyColors val="0"/>
        <c:ser>
          <c:idx val="2"/>
          <c:order val="2"/>
          <c:tx>
            <c:v>Capacity</c:v>
          </c:tx>
          <c:spPr>
            <a:ln w="25400">
              <a:solidFill>
                <a:schemeClr val="accent1"/>
              </a:solidFill>
              <a:prstDash val="solid"/>
            </a:ln>
          </c:spPr>
          <c:marker>
            <c:symbol val="none"/>
          </c:marker>
          <c:cat>
            <c:strRef>
              <c:f>ChartSupport!$E$12:$W$12</c:f>
              <c:strCache>
                <c:ptCount val="19"/>
                <c:pt idx="0">
                  <c:v>2007</c:v>
                </c:pt>
                <c:pt idx="1">
                  <c:v>2008</c:v>
                </c:pt>
                <c:pt idx="2">
                  <c:v>2009</c:v>
                </c:pt>
                <c:pt idx="3">
                  <c:v>2010</c:v>
                </c:pt>
                <c:pt idx="4">
                  <c:v>2011</c:v>
                </c:pt>
                <c:pt idx="5">
                  <c:v>2012</c:v>
                </c:pt>
                <c:pt idx="6">
                  <c:v>2013</c:v>
                </c:pt>
                <c:pt idx="7">
                  <c:v>2014</c:v>
                </c:pt>
                <c:pt idx="8">
                  <c:v>2015</c:v>
                </c:pt>
                <c:pt idx="9">
                  <c:v>2016</c:v>
                </c:pt>
                <c:pt idx="10">
                  <c:v>2017</c:v>
                </c:pt>
                <c:pt idx="11">
                  <c:v>2018E</c:v>
                </c:pt>
                <c:pt idx="12">
                  <c:v>2019E</c:v>
                </c:pt>
                <c:pt idx="13">
                  <c:v>2020E</c:v>
                </c:pt>
                <c:pt idx="14">
                  <c:v>2021E</c:v>
                </c:pt>
                <c:pt idx="15">
                  <c:v>2022E</c:v>
                </c:pt>
                <c:pt idx="16">
                  <c:v>2023E</c:v>
                </c:pt>
                <c:pt idx="17">
                  <c:v>2024E</c:v>
                </c:pt>
                <c:pt idx="18">
                  <c:v>2025E</c:v>
                </c:pt>
              </c:strCache>
            </c:strRef>
          </c:cat>
          <c:val>
            <c:numRef>
              <c:f>ChartSupport!$E$202:$W$202</c:f>
              <c:numCache>
                <c:formatCode>_(* #,##0_);_(* \(#,##0\);_(* "-"??_);_(@_)</c:formatCode>
                <c:ptCount val="19"/>
                <c:pt idx="0">
                  <c:v>9500</c:v>
                </c:pt>
                <c:pt idx="1">
                  <c:v>12000</c:v>
                </c:pt>
                <c:pt idx="2">
                  <c:v>12900</c:v>
                </c:pt>
                <c:pt idx="3">
                  <c:v>13100</c:v>
                </c:pt>
                <c:pt idx="4">
                  <c:v>14500</c:v>
                </c:pt>
                <c:pt idx="5">
                  <c:v>14800</c:v>
                </c:pt>
                <c:pt idx="6">
                  <c:v>16000</c:v>
                </c:pt>
                <c:pt idx="7">
                  <c:v>20000</c:v>
                </c:pt>
                <c:pt idx="8">
                  <c:v>20000</c:v>
                </c:pt>
                <c:pt idx="9">
                  <c:v>20024</c:v>
                </c:pt>
                <c:pt idx="10">
                  <c:v>24000</c:v>
                </c:pt>
                <c:pt idx="11" formatCode="#,##0">
                  <c:v>24000</c:v>
                </c:pt>
                <c:pt idx="12" formatCode="#,##0">
                  <c:v>24000</c:v>
                </c:pt>
                <c:pt idx="13" formatCode="#,##0">
                  <c:v>24500</c:v>
                </c:pt>
                <c:pt idx="14" formatCode="#,##0">
                  <c:v>25000</c:v>
                </c:pt>
                <c:pt idx="15" formatCode="#,##0">
                  <c:v>25500</c:v>
                </c:pt>
                <c:pt idx="16" formatCode="#,##0">
                  <c:v>26000</c:v>
                </c:pt>
                <c:pt idx="17" formatCode="#,##0">
                  <c:v>26500</c:v>
                </c:pt>
                <c:pt idx="18" formatCode="#,##0">
                  <c:v>27000</c:v>
                </c:pt>
              </c:numCache>
            </c:numRef>
          </c:val>
          <c:smooth val="0"/>
        </c:ser>
        <c:ser>
          <c:idx val="4"/>
          <c:order val="4"/>
          <c:tx>
            <c:v>Crushed</c:v>
          </c:tx>
          <c:marker>
            <c:symbol val="none"/>
          </c:marker>
          <c:val>
            <c:numRef>
              <c:f>ChartSupport!$E$207:$W$207</c:f>
              <c:numCache>
                <c:formatCode>_(* #,##0_);_(* \(#,##0\);_(* "-"??_);_(@_)</c:formatCode>
                <c:ptCount val="19"/>
                <c:pt idx="0">
                  <c:v>9276</c:v>
                </c:pt>
                <c:pt idx="1">
                  <c:v>10218</c:v>
                </c:pt>
                <c:pt idx="2">
                  <c:v>12001</c:v>
                </c:pt>
                <c:pt idx="3">
                  <c:v>12923</c:v>
                </c:pt>
                <c:pt idx="4">
                  <c:v>13067</c:v>
                </c:pt>
                <c:pt idx="5">
                  <c:v>10590</c:v>
                </c:pt>
                <c:pt idx="6">
                  <c:v>12885</c:v>
                </c:pt>
                <c:pt idx="7">
                  <c:v>15593</c:v>
                </c:pt>
                <c:pt idx="8">
                  <c:v>18718</c:v>
                </c:pt>
                <c:pt idx="9">
                  <c:v>20024</c:v>
                </c:pt>
                <c:pt idx="10">
                  <c:v>19281</c:v>
                </c:pt>
                <c:pt idx="11">
                  <c:v>22299.999999999996</c:v>
                </c:pt>
                <c:pt idx="12">
                  <c:v>23414.999999999996</c:v>
                </c:pt>
                <c:pt idx="13">
                  <c:v>23883.3</c:v>
                </c:pt>
                <c:pt idx="14">
                  <c:v>24599.798999999995</c:v>
                </c:pt>
                <c:pt idx="15">
                  <c:v>25042.595381999992</c:v>
                </c:pt>
                <c:pt idx="16">
                  <c:v>25493.362098875994</c:v>
                </c:pt>
                <c:pt idx="17">
                  <c:v>25952.242616655767</c:v>
                </c:pt>
                <c:pt idx="18">
                  <c:v>26419.382983755571</c:v>
                </c:pt>
              </c:numCache>
            </c:numRef>
          </c:val>
          <c:smooth val="0"/>
        </c:ser>
        <c:dLbls>
          <c:showLegendKey val="0"/>
          <c:showVal val="0"/>
          <c:showCatName val="0"/>
          <c:showSerName val="0"/>
          <c:showPercent val="0"/>
          <c:showBubbleSize val="0"/>
        </c:dLbls>
        <c:marker val="1"/>
        <c:smooth val="0"/>
        <c:axId val="898328448"/>
        <c:axId val="898329984"/>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ChartSupport!$E$12:$W$12</c:f>
              <c:strCache>
                <c:ptCount val="19"/>
                <c:pt idx="0">
                  <c:v>2007</c:v>
                </c:pt>
                <c:pt idx="1">
                  <c:v>2008</c:v>
                </c:pt>
                <c:pt idx="2">
                  <c:v>2009</c:v>
                </c:pt>
                <c:pt idx="3">
                  <c:v>2010</c:v>
                </c:pt>
                <c:pt idx="4">
                  <c:v>2011</c:v>
                </c:pt>
                <c:pt idx="5">
                  <c:v>2012</c:v>
                </c:pt>
                <c:pt idx="6">
                  <c:v>2013</c:v>
                </c:pt>
                <c:pt idx="7">
                  <c:v>2014</c:v>
                </c:pt>
                <c:pt idx="8">
                  <c:v>2015</c:v>
                </c:pt>
                <c:pt idx="9">
                  <c:v>2016</c:v>
                </c:pt>
                <c:pt idx="10">
                  <c:v>2017</c:v>
                </c:pt>
                <c:pt idx="11">
                  <c:v>2018E</c:v>
                </c:pt>
                <c:pt idx="12">
                  <c:v>2019E</c:v>
                </c:pt>
                <c:pt idx="13">
                  <c:v>2020E</c:v>
                </c:pt>
                <c:pt idx="14">
                  <c:v>2021E</c:v>
                </c:pt>
                <c:pt idx="15">
                  <c:v>2022E</c:v>
                </c:pt>
                <c:pt idx="16">
                  <c:v>2023E</c:v>
                </c:pt>
                <c:pt idx="17">
                  <c:v>2024E</c:v>
                </c:pt>
                <c:pt idx="18">
                  <c:v>2025E</c:v>
                </c:pt>
              </c:strCache>
            </c:strRef>
          </c:cat>
          <c:val>
            <c:numRef>
              <c:f>ChartSupport!$E$179:$W$179</c:f>
              <c:numCache>
                <c:formatCode>0</c:formatCode>
                <c:ptCount val="19"/>
                <c:pt idx="0">
                  <c:v>10.401666666666666</c:v>
                </c:pt>
                <c:pt idx="1">
                  <c:v>12.4</c:v>
                </c:pt>
                <c:pt idx="2">
                  <c:v>18.787500000000001</c:v>
                </c:pt>
                <c:pt idx="3">
                  <c:v>23.440833333333334</c:v>
                </c:pt>
                <c:pt idx="4">
                  <c:v>25.258333333333336</c:v>
                </c:pt>
                <c:pt idx="5">
                  <c:v>20.410833333333333</c:v>
                </c:pt>
                <c:pt idx="6">
                  <c:v>17.066666666666666</c:v>
                </c:pt>
                <c:pt idx="7">
                  <c:v>15.978333333333333</c:v>
                </c:pt>
                <c:pt idx="8">
                  <c:v>13.149166666666668</c:v>
                </c:pt>
                <c:pt idx="9">
                  <c:v>19.252499999999998</c:v>
                </c:pt>
                <c:pt idx="10">
                  <c:v>17.805000000000003</c:v>
                </c:pt>
                <c:pt idx="11">
                  <c:v>16.244658605325153</c:v>
                </c:pt>
                <c:pt idx="12">
                  <c:v>16.31531880717511</c:v>
                </c:pt>
                <c:pt idx="13">
                  <c:v>16.498655235130911</c:v>
                </c:pt>
                <c:pt idx="14">
                  <c:v>19.747444770453257</c:v>
                </c:pt>
                <c:pt idx="15">
                  <c:v>20.93514679550681</c:v>
                </c:pt>
                <c:pt idx="16">
                  <c:v>17.432162450241776</c:v>
                </c:pt>
                <c:pt idx="17">
                  <c:v>15.017906650666538</c:v>
                </c:pt>
                <c:pt idx="18">
                  <c:v>17.055276269110166</c:v>
                </c:pt>
              </c:numCache>
            </c:numRef>
          </c:val>
          <c:smooth val="0"/>
        </c:ser>
        <c:dLbls>
          <c:showLegendKey val="0"/>
          <c:showVal val="0"/>
          <c:showCatName val="0"/>
          <c:showSerName val="0"/>
          <c:showPercent val="0"/>
          <c:showBubbleSize val="0"/>
        </c:dLbls>
        <c:marker val="1"/>
        <c:smooth val="0"/>
        <c:axId val="898348544"/>
        <c:axId val="898350080"/>
      </c:lineChart>
      <c:catAx>
        <c:axId val="898328448"/>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a:pPr>
            <a:endParaRPr lang="en-US"/>
          </a:p>
        </c:txPr>
        <c:crossAx val="898329984"/>
        <c:crosses val="autoZero"/>
        <c:auto val="1"/>
        <c:lblAlgn val="ctr"/>
        <c:lblOffset val="100"/>
        <c:tickLblSkip val="1"/>
        <c:tickMarkSkip val="1"/>
        <c:noMultiLvlLbl val="0"/>
      </c:catAx>
      <c:valAx>
        <c:axId val="898329984"/>
        <c:scaling>
          <c:orientation val="minMax"/>
        </c:scaling>
        <c:delete val="0"/>
        <c:axPos val="r"/>
        <c:title>
          <c:tx>
            <c:rich>
              <a:bodyPr rot="0" vert="horz"/>
              <a:lstStyle/>
              <a:p>
                <a:pPr algn="ctr" rtl="0">
                  <a:defRPr/>
                </a:pPr>
                <a:r>
                  <a:rPr lang="en-US"/>
                  <a:t>US$ cents/lb</a:t>
                </a:r>
              </a:p>
            </c:rich>
          </c:tx>
          <c:layout>
            <c:manualLayout>
              <c:xMode val="edge"/>
              <c:yMode val="edge"/>
              <c:x val="8.6663036801250912E-2"/>
              <c:y val="5.3210579446799945E-3"/>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8328448"/>
        <c:crosses val="max"/>
        <c:crossBetween val="midCat"/>
      </c:valAx>
      <c:catAx>
        <c:axId val="898348544"/>
        <c:scaling>
          <c:orientation val="minMax"/>
        </c:scaling>
        <c:delete val="1"/>
        <c:axPos val="b"/>
        <c:majorTickMark val="out"/>
        <c:minorTickMark val="none"/>
        <c:tickLblPos val="nextTo"/>
        <c:crossAx val="898350080"/>
        <c:crosses val="autoZero"/>
        <c:auto val="1"/>
        <c:lblAlgn val="ctr"/>
        <c:lblOffset val="100"/>
        <c:noMultiLvlLbl val="0"/>
      </c:catAx>
      <c:valAx>
        <c:axId val="898350080"/>
        <c:scaling>
          <c:orientation val="minMax"/>
        </c:scaling>
        <c:delete val="0"/>
        <c:axPos val="l"/>
        <c:title>
          <c:tx>
            <c:rich>
              <a:bodyPr rot="0" vert="horz"/>
              <a:lstStyle/>
              <a:p>
                <a:pPr algn="ctr" rtl="0">
                  <a:defRPr/>
                </a:pPr>
                <a:r>
                  <a:rPr lang="en-US"/>
                  <a:t>000 tn</a:t>
                </a:r>
              </a:p>
            </c:rich>
          </c:tx>
          <c:layout>
            <c:manualLayout>
              <c:xMode val="edge"/>
              <c:yMode val="edge"/>
              <c:x val="0.73759259942180189"/>
              <c:y val="1.7628654275547221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898348544"/>
        <c:crosses val="autoZero"/>
        <c:crossBetween val="midCat"/>
      </c:valAx>
      <c:spPr>
        <a:noFill/>
        <a:ln w="25400">
          <a:noFill/>
        </a:ln>
      </c:spPr>
    </c:plotArea>
    <c:legend>
      <c:legendPos val="r"/>
      <c:legendEntry>
        <c:idx val="1"/>
        <c:delete val="1"/>
      </c:legendEntry>
      <c:layout>
        <c:manualLayout>
          <c:xMode val="edge"/>
          <c:yMode val="edge"/>
          <c:x val="0.33270983609654264"/>
          <c:y val="0.63822915067404462"/>
          <c:w val="0.54416195965726633"/>
          <c:h val="0.17743908181814663"/>
        </c:manualLayout>
      </c:layout>
      <c:overlay val="0"/>
      <c:spPr>
        <a:no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7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589676290463686E-2"/>
          <c:y val="4.7022015548490691E-2"/>
          <c:w val="0.78045512927905292"/>
          <c:h val="0.77329395357136921"/>
        </c:manualLayout>
      </c:layout>
      <c:areaChart>
        <c:grouping val="standard"/>
        <c:varyColors val="0"/>
        <c:ser>
          <c:idx val="1"/>
          <c:order val="0"/>
          <c:tx>
            <c:v>Bull-Bear Scenario</c:v>
          </c:tx>
          <c:spPr>
            <a:solidFill>
              <a:schemeClr val="bg1">
                <a:lumMod val="85000"/>
              </a:schemeClr>
            </a:solidFill>
            <a:ln w="25400">
              <a:noFill/>
            </a:ln>
          </c:spPr>
          <c:cat>
            <c:strRef>
              <c:f>ChartSupport!$E$7:$W$7</c:f>
              <c:strCache>
                <c:ptCount val="19"/>
                <c:pt idx="0">
                  <c:v>2007</c:v>
                </c:pt>
                <c:pt idx="1">
                  <c:v>2008</c:v>
                </c:pt>
                <c:pt idx="2">
                  <c:v>2009</c:v>
                </c:pt>
                <c:pt idx="3">
                  <c:v>2010</c:v>
                </c:pt>
                <c:pt idx="4">
                  <c:v>2011</c:v>
                </c:pt>
                <c:pt idx="5">
                  <c:v>2012</c:v>
                </c:pt>
                <c:pt idx="6">
                  <c:v>2013</c:v>
                </c:pt>
                <c:pt idx="7">
                  <c:v>2014</c:v>
                </c:pt>
                <c:pt idx="8">
                  <c:v>2015</c:v>
                </c:pt>
                <c:pt idx="9">
                  <c:v>2016</c:v>
                </c:pt>
                <c:pt idx="10">
                  <c:v>2017</c:v>
                </c:pt>
                <c:pt idx="11">
                  <c:v>2018E</c:v>
                </c:pt>
                <c:pt idx="12">
                  <c:v>2019E</c:v>
                </c:pt>
                <c:pt idx="13">
                  <c:v>2020E</c:v>
                </c:pt>
                <c:pt idx="14">
                  <c:v>2021E</c:v>
                </c:pt>
                <c:pt idx="15">
                  <c:v>2022E</c:v>
                </c:pt>
                <c:pt idx="16">
                  <c:v>2023E</c:v>
                </c:pt>
                <c:pt idx="17">
                  <c:v>2024E</c:v>
                </c:pt>
                <c:pt idx="18">
                  <c:v>2025E</c:v>
                </c:pt>
              </c:strCache>
            </c:strRef>
          </c:cat>
          <c:val>
            <c:numRef>
              <c:f>ChartSupport!$E$203:$W$203</c:f>
              <c:numCache>
                <c:formatCode>_(* #,##0_);_(* \(#,##0\);_(* "-"??_);_(@_)</c:formatCode>
                <c:ptCount val="19"/>
                <c:pt idx="0">
                  <c:v>9500</c:v>
                </c:pt>
                <c:pt idx="1">
                  <c:v>12000</c:v>
                </c:pt>
                <c:pt idx="2">
                  <c:v>12900</c:v>
                </c:pt>
                <c:pt idx="3">
                  <c:v>13100</c:v>
                </c:pt>
                <c:pt idx="4">
                  <c:v>14500</c:v>
                </c:pt>
                <c:pt idx="5">
                  <c:v>14800</c:v>
                </c:pt>
                <c:pt idx="6">
                  <c:v>16000</c:v>
                </c:pt>
                <c:pt idx="7">
                  <c:v>20000</c:v>
                </c:pt>
                <c:pt idx="8">
                  <c:v>20000</c:v>
                </c:pt>
                <c:pt idx="9">
                  <c:v>20024</c:v>
                </c:pt>
                <c:pt idx="10">
                  <c:v>24000</c:v>
                </c:pt>
                <c:pt idx="11" formatCode="#,##0">
                  <c:v>24000</c:v>
                </c:pt>
                <c:pt idx="12" formatCode="#,##0">
                  <c:v>24000</c:v>
                </c:pt>
                <c:pt idx="13" formatCode="#,##0">
                  <c:v>24500</c:v>
                </c:pt>
                <c:pt idx="14" formatCode="#,##0">
                  <c:v>25000</c:v>
                </c:pt>
                <c:pt idx="15" formatCode="#,##0">
                  <c:v>25500</c:v>
                </c:pt>
                <c:pt idx="16" formatCode="#,##0">
                  <c:v>26000</c:v>
                </c:pt>
                <c:pt idx="17" formatCode="#,##0">
                  <c:v>26500</c:v>
                </c:pt>
                <c:pt idx="18" formatCode="#,##0">
                  <c:v>27000</c:v>
                </c:pt>
              </c:numCache>
            </c:numRef>
          </c:val>
        </c:ser>
        <c:ser>
          <c:idx val="3"/>
          <c:order val="1"/>
          <c:tx>
            <c:strRef>
              <c:f>ChartSupport!$A$163</c:f>
              <c:strCache>
                <c:ptCount val="1"/>
                <c:pt idx="0">
                  <c:v>Bear</c:v>
                </c:pt>
              </c:strCache>
            </c:strRef>
          </c:tx>
          <c:spPr>
            <a:solidFill>
              <a:schemeClr val="bg1"/>
            </a:solidFill>
            <a:ln w="25400">
              <a:noFill/>
            </a:ln>
          </c:spPr>
          <c:cat>
            <c:strRef>
              <c:f>ChartSupport!$E$7:$W$7</c:f>
              <c:strCache>
                <c:ptCount val="19"/>
                <c:pt idx="0">
                  <c:v>2007</c:v>
                </c:pt>
                <c:pt idx="1">
                  <c:v>2008</c:v>
                </c:pt>
                <c:pt idx="2">
                  <c:v>2009</c:v>
                </c:pt>
                <c:pt idx="3">
                  <c:v>2010</c:v>
                </c:pt>
                <c:pt idx="4">
                  <c:v>2011</c:v>
                </c:pt>
                <c:pt idx="5">
                  <c:v>2012</c:v>
                </c:pt>
                <c:pt idx="6">
                  <c:v>2013</c:v>
                </c:pt>
                <c:pt idx="7">
                  <c:v>2014</c:v>
                </c:pt>
                <c:pt idx="8">
                  <c:v>2015</c:v>
                </c:pt>
                <c:pt idx="9">
                  <c:v>2016</c:v>
                </c:pt>
                <c:pt idx="10">
                  <c:v>2017</c:v>
                </c:pt>
                <c:pt idx="11">
                  <c:v>2018E</c:v>
                </c:pt>
                <c:pt idx="12">
                  <c:v>2019E</c:v>
                </c:pt>
                <c:pt idx="13">
                  <c:v>2020E</c:v>
                </c:pt>
                <c:pt idx="14">
                  <c:v>2021E</c:v>
                </c:pt>
                <c:pt idx="15">
                  <c:v>2022E</c:v>
                </c:pt>
                <c:pt idx="16">
                  <c:v>2023E</c:v>
                </c:pt>
                <c:pt idx="17">
                  <c:v>2024E</c:v>
                </c:pt>
                <c:pt idx="18">
                  <c:v>2025E</c:v>
                </c:pt>
              </c:strCache>
            </c:strRef>
          </c:cat>
          <c:val>
            <c:numRef>
              <c:f>ChartSupport!$E$201:$W$201</c:f>
              <c:numCache>
                <c:formatCode>_(* #,##0_);_(* \(#,##0\);_(* "-"??_);_(@_)</c:formatCode>
                <c:ptCount val="19"/>
                <c:pt idx="0">
                  <c:v>9500</c:v>
                </c:pt>
                <c:pt idx="1">
                  <c:v>12000</c:v>
                </c:pt>
                <c:pt idx="2">
                  <c:v>12900</c:v>
                </c:pt>
                <c:pt idx="3">
                  <c:v>13100</c:v>
                </c:pt>
                <c:pt idx="4">
                  <c:v>14500</c:v>
                </c:pt>
                <c:pt idx="5">
                  <c:v>14800</c:v>
                </c:pt>
                <c:pt idx="6">
                  <c:v>16000</c:v>
                </c:pt>
                <c:pt idx="7">
                  <c:v>20000</c:v>
                </c:pt>
                <c:pt idx="8">
                  <c:v>20000</c:v>
                </c:pt>
                <c:pt idx="9">
                  <c:v>20024</c:v>
                </c:pt>
                <c:pt idx="10">
                  <c:v>24000</c:v>
                </c:pt>
                <c:pt idx="11" formatCode="#,##0">
                  <c:v>24000</c:v>
                </c:pt>
                <c:pt idx="12" formatCode="#,##0">
                  <c:v>24000</c:v>
                </c:pt>
                <c:pt idx="13" formatCode="#,##0">
                  <c:v>24000</c:v>
                </c:pt>
                <c:pt idx="14" formatCode="#,##0">
                  <c:v>24500</c:v>
                </c:pt>
                <c:pt idx="15" formatCode="#,##0">
                  <c:v>25000</c:v>
                </c:pt>
                <c:pt idx="16" formatCode="#,##0">
                  <c:v>25500</c:v>
                </c:pt>
                <c:pt idx="17" formatCode="#,##0">
                  <c:v>26000</c:v>
                </c:pt>
                <c:pt idx="18" formatCode="#,##0">
                  <c:v>26500</c:v>
                </c:pt>
              </c:numCache>
            </c:numRef>
          </c:val>
        </c:ser>
        <c:dLbls>
          <c:showLegendKey val="0"/>
          <c:showVal val="0"/>
          <c:showCatName val="0"/>
          <c:showSerName val="0"/>
          <c:showPercent val="0"/>
          <c:showBubbleSize val="0"/>
        </c:dLbls>
        <c:axId val="898396544"/>
        <c:axId val="898398080"/>
      </c:areaChart>
      <c:lineChart>
        <c:grouping val="standard"/>
        <c:varyColors val="0"/>
        <c:ser>
          <c:idx val="2"/>
          <c:order val="2"/>
          <c:tx>
            <c:v>Capacity</c:v>
          </c:tx>
          <c:spPr>
            <a:ln w="25400">
              <a:solidFill>
                <a:schemeClr val="accent1"/>
              </a:solidFill>
              <a:prstDash val="solid"/>
            </a:ln>
          </c:spPr>
          <c:marker>
            <c:symbol val="none"/>
          </c:marker>
          <c:cat>
            <c:strRef>
              <c:f>ChartSupport!$E$12:$W$12</c:f>
              <c:strCache>
                <c:ptCount val="19"/>
                <c:pt idx="0">
                  <c:v>2007</c:v>
                </c:pt>
                <c:pt idx="1">
                  <c:v>2008</c:v>
                </c:pt>
                <c:pt idx="2">
                  <c:v>2009</c:v>
                </c:pt>
                <c:pt idx="3">
                  <c:v>2010</c:v>
                </c:pt>
                <c:pt idx="4">
                  <c:v>2011</c:v>
                </c:pt>
                <c:pt idx="5">
                  <c:v>2012</c:v>
                </c:pt>
                <c:pt idx="6">
                  <c:v>2013</c:v>
                </c:pt>
                <c:pt idx="7">
                  <c:v>2014</c:v>
                </c:pt>
                <c:pt idx="8">
                  <c:v>2015</c:v>
                </c:pt>
                <c:pt idx="9">
                  <c:v>2016</c:v>
                </c:pt>
                <c:pt idx="10">
                  <c:v>2017</c:v>
                </c:pt>
                <c:pt idx="11">
                  <c:v>2018E</c:v>
                </c:pt>
                <c:pt idx="12">
                  <c:v>2019E</c:v>
                </c:pt>
                <c:pt idx="13">
                  <c:v>2020E</c:v>
                </c:pt>
                <c:pt idx="14">
                  <c:v>2021E</c:v>
                </c:pt>
                <c:pt idx="15">
                  <c:v>2022E</c:v>
                </c:pt>
                <c:pt idx="16">
                  <c:v>2023E</c:v>
                </c:pt>
                <c:pt idx="17">
                  <c:v>2024E</c:v>
                </c:pt>
                <c:pt idx="18">
                  <c:v>2025E</c:v>
                </c:pt>
              </c:strCache>
            </c:strRef>
          </c:cat>
          <c:val>
            <c:numRef>
              <c:f>ChartSupport!$E$202:$W$202</c:f>
              <c:numCache>
                <c:formatCode>_(* #,##0_);_(* \(#,##0\);_(* "-"??_);_(@_)</c:formatCode>
                <c:ptCount val="19"/>
                <c:pt idx="0">
                  <c:v>9500</c:v>
                </c:pt>
                <c:pt idx="1">
                  <c:v>12000</c:v>
                </c:pt>
                <c:pt idx="2">
                  <c:v>12900</c:v>
                </c:pt>
                <c:pt idx="3">
                  <c:v>13100</c:v>
                </c:pt>
                <c:pt idx="4">
                  <c:v>14500</c:v>
                </c:pt>
                <c:pt idx="5">
                  <c:v>14800</c:v>
                </c:pt>
                <c:pt idx="6">
                  <c:v>16000</c:v>
                </c:pt>
                <c:pt idx="7">
                  <c:v>20000</c:v>
                </c:pt>
                <c:pt idx="8">
                  <c:v>20000</c:v>
                </c:pt>
                <c:pt idx="9">
                  <c:v>20024</c:v>
                </c:pt>
                <c:pt idx="10">
                  <c:v>24000</c:v>
                </c:pt>
                <c:pt idx="11" formatCode="#,##0">
                  <c:v>24000</c:v>
                </c:pt>
                <c:pt idx="12" formatCode="#,##0">
                  <c:v>24000</c:v>
                </c:pt>
                <c:pt idx="13" formatCode="#,##0">
                  <c:v>24500</c:v>
                </c:pt>
                <c:pt idx="14" formatCode="#,##0">
                  <c:v>25000</c:v>
                </c:pt>
                <c:pt idx="15" formatCode="#,##0">
                  <c:v>25500</c:v>
                </c:pt>
                <c:pt idx="16" formatCode="#,##0">
                  <c:v>26000</c:v>
                </c:pt>
                <c:pt idx="17" formatCode="#,##0">
                  <c:v>26500</c:v>
                </c:pt>
                <c:pt idx="18" formatCode="#,##0">
                  <c:v>27000</c:v>
                </c:pt>
              </c:numCache>
            </c:numRef>
          </c:val>
          <c:smooth val="0"/>
        </c:ser>
        <c:ser>
          <c:idx val="4"/>
          <c:order val="4"/>
          <c:tx>
            <c:v>Crushed</c:v>
          </c:tx>
          <c:marker>
            <c:symbol val="none"/>
          </c:marker>
          <c:val>
            <c:numRef>
              <c:f>ChartSupport!$E$207:$W$207</c:f>
              <c:numCache>
                <c:formatCode>_(* #,##0_);_(* \(#,##0\);_(* "-"??_);_(@_)</c:formatCode>
                <c:ptCount val="19"/>
                <c:pt idx="0">
                  <c:v>9276</c:v>
                </c:pt>
                <c:pt idx="1">
                  <c:v>10218</c:v>
                </c:pt>
                <c:pt idx="2">
                  <c:v>12001</c:v>
                </c:pt>
                <c:pt idx="3">
                  <c:v>12923</c:v>
                </c:pt>
                <c:pt idx="4">
                  <c:v>13067</c:v>
                </c:pt>
                <c:pt idx="5">
                  <c:v>10590</c:v>
                </c:pt>
                <c:pt idx="6">
                  <c:v>12885</c:v>
                </c:pt>
                <c:pt idx="7">
                  <c:v>15593</c:v>
                </c:pt>
                <c:pt idx="8">
                  <c:v>18718</c:v>
                </c:pt>
                <c:pt idx="9">
                  <c:v>20024</c:v>
                </c:pt>
                <c:pt idx="10">
                  <c:v>19281</c:v>
                </c:pt>
                <c:pt idx="11">
                  <c:v>22299.999999999996</c:v>
                </c:pt>
                <c:pt idx="12">
                  <c:v>23414.999999999996</c:v>
                </c:pt>
                <c:pt idx="13">
                  <c:v>23883.3</c:v>
                </c:pt>
                <c:pt idx="14">
                  <c:v>24599.798999999995</c:v>
                </c:pt>
                <c:pt idx="15">
                  <c:v>25042.595381999992</c:v>
                </c:pt>
                <c:pt idx="16">
                  <c:v>25493.362098875994</c:v>
                </c:pt>
                <c:pt idx="17">
                  <c:v>25952.242616655767</c:v>
                </c:pt>
                <c:pt idx="18">
                  <c:v>26419.382983755571</c:v>
                </c:pt>
              </c:numCache>
            </c:numRef>
          </c:val>
          <c:smooth val="0"/>
        </c:ser>
        <c:dLbls>
          <c:showLegendKey val="0"/>
          <c:showVal val="0"/>
          <c:showCatName val="0"/>
          <c:showSerName val="0"/>
          <c:showPercent val="0"/>
          <c:showBubbleSize val="0"/>
        </c:dLbls>
        <c:marker val="1"/>
        <c:smooth val="0"/>
        <c:axId val="898396544"/>
        <c:axId val="898398080"/>
      </c:lineChart>
      <c:lineChart>
        <c:grouping val="standard"/>
        <c:varyColors val="0"/>
        <c:ser>
          <c:idx val="0"/>
          <c:order val="3"/>
          <c:tx>
            <c:strRef>
              <c:f>ChartSupport!$A$294</c:f>
              <c:strCache>
                <c:ptCount val="1"/>
                <c:pt idx="0">
                  <c:v>Total area (ha) </c:v>
                </c:pt>
              </c:strCache>
            </c:strRef>
          </c:tx>
          <c:spPr>
            <a:ln w="15875">
              <a:solidFill>
                <a:schemeClr val="accent3">
                  <a:lumMod val="50000"/>
                </a:schemeClr>
              </a:solidFill>
              <a:prstDash val="sysDash"/>
            </a:ln>
          </c:spPr>
          <c:marker>
            <c:symbol val="none"/>
          </c:marker>
          <c:cat>
            <c:strRef>
              <c:f>ChartSupport!$E$12:$W$12</c:f>
              <c:strCache>
                <c:ptCount val="19"/>
                <c:pt idx="0">
                  <c:v>2007</c:v>
                </c:pt>
                <c:pt idx="1">
                  <c:v>2008</c:v>
                </c:pt>
                <c:pt idx="2">
                  <c:v>2009</c:v>
                </c:pt>
                <c:pt idx="3">
                  <c:v>2010</c:v>
                </c:pt>
                <c:pt idx="4">
                  <c:v>2011</c:v>
                </c:pt>
                <c:pt idx="5">
                  <c:v>2012</c:v>
                </c:pt>
                <c:pt idx="6">
                  <c:v>2013</c:v>
                </c:pt>
                <c:pt idx="7">
                  <c:v>2014</c:v>
                </c:pt>
                <c:pt idx="8">
                  <c:v>2015</c:v>
                </c:pt>
                <c:pt idx="9">
                  <c:v>2016</c:v>
                </c:pt>
                <c:pt idx="10">
                  <c:v>2017</c:v>
                </c:pt>
                <c:pt idx="11">
                  <c:v>2018E</c:v>
                </c:pt>
                <c:pt idx="12">
                  <c:v>2019E</c:v>
                </c:pt>
                <c:pt idx="13">
                  <c:v>2020E</c:v>
                </c:pt>
                <c:pt idx="14">
                  <c:v>2021E</c:v>
                </c:pt>
                <c:pt idx="15">
                  <c:v>2022E</c:v>
                </c:pt>
                <c:pt idx="16">
                  <c:v>2023E</c:v>
                </c:pt>
                <c:pt idx="17">
                  <c:v>2024E</c:v>
                </c:pt>
                <c:pt idx="18">
                  <c:v>2025E</c:v>
                </c:pt>
              </c:strCache>
            </c:strRef>
          </c:cat>
          <c:val>
            <c:numRef>
              <c:f>ChartSupport!$E$294:$W$294</c:f>
              <c:numCache>
                <c:formatCode>#,##0</c:formatCode>
                <c:ptCount val="19"/>
                <c:pt idx="0">
                  <c:v>50000</c:v>
                </c:pt>
                <c:pt idx="1">
                  <c:v>50000</c:v>
                </c:pt>
                <c:pt idx="2">
                  <c:v>50000</c:v>
                </c:pt>
                <c:pt idx="3">
                  <c:v>50000</c:v>
                </c:pt>
                <c:pt idx="4">
                  <c:v>50000</c:v>
                </c:pt>
                <c:pt idx="5">
                  <c:v>50000</c:v>
                </c:pt>
                <c:pt idx="6">
                  <c:v>50000</c:v>
                </c:pt>
                <c:pt idx="7">
                  <c:v>52600</c:v>
                </c:pt>
                <c:pt idx="8">
                  <c:v>52600</c:v>
                </c:pt>
                <c:pt idx="9">
                  <c:v>52600</c:v>
                </c:pt>
                <c:pt idx="10">
                  <c:v>55000</c:v>
                </c:pt>
                <c:pt idx="11">
                  <c:v>55000</c:v>
                </c:pt>
                <c:pt idx="12">
                  <c:v>55000</c:v>
                </c:pt>
                <c:pt idx="13">
                  <c:v>56100</c:v>
                </c:pt>
                <c:pt idx="14">
                  <c:v>57200</c:v>
                </c:pt>
                <c:pt idx="15">
                  <c:v>58300</c:v>
                </c:pt>
                <c:pt idx="16">
                  <c:v>59400</c:v>
                </c:pt>
                <c:pt idx="17">
                  <c:v>60500</c:v>
                </c:pt>
                <c:pt idx="18">
                  <c:v>61600</c:v>
                </c:pt>
              </c:numCache>
            </c:numRef>
          </c:val>
          <c:smooth val="0"/>
        </c:ser>
        <c:dLbls>
          <c:showLegendKey val="0"/>
          <c:showVal val="0"/>
          <c:showCatName val="0"/>
          <c:showSerName val="0"/>
          <c:showPercent val="0"/>
          <c:showBubbleSize val="0"/>
        </c:dLbls>
        <c:marker val="1"/>
        <c:smooth val="0"/>
        <c:axId val="898400256"/>
        <c:axId val="898401792"/>
      </c:lineChart>
      <c:catAx>
        <c:axId val="898396544"/>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a:pPr>
            <a:endParaRPr lang="en-US"/>
          </a:p>
        </c:txPr>
        <c:crossAx val="898398080"/>
        <c:crosses val="autoZero"/>
        <c:auto val="1"/>
        <c:lblAlgn val="ctr"/>
        <c:lblOffset val="100"/>
        <c:tickLblSkip val="1"/>
        <c:tickMarkSkip val="1"/>
        <c:noMultiLvlLbl val="0"/>
      </c:catAx>
      <c:valAx>
        <c:axId val="898398080"/>
        <c:scaling>
          <c:orientation val="minMax"/>
        </c:scaling>
        <c:delete val="0"/>
        <c:axPos val="r"/>
        <c:title>
          <c:tx>
            <c:rich>
              <a:bodyPr rot="0" vert="horz"/>
              <a:lstStyle/>
              <a:p>
                <a:pPr algn="ctr" rtl="0">
                  <a:defRPr/>
                </a:pPr>
                <a:r>
                  <a:rPr lang="en-US"/>
                  <a:t>ha</a:t>
                </a:r>
              </a:p>
            </c:rich>
          </c:tx>
          <c:layout>
            <c:manualLayout>
              <c:xMode val="edge"/>
              <c:yMode val="edge"/>
              <c:x val="0.14037541225394815"/>
              <c:y val="1.7609731427163308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8396544"/>
        <c:crosses val="max"/>
        <c:crossBetween val="midCat"/>
      </c:valAx>
      <c:catAx>
        <c:axId val="898400256"/>
        <c:scaling>
          <c:orientation val="minMax"/>
        </c:scaling>
        <c:delete val="1"/>
        <c:axPos val="b"/>
        <c:majorTickMark val="out"/>
        <c:minorTickMark val="none"/>
        <c:tickLblPos val="nextTo"/>
        <c:crossAx val="898401792"/>
        <c:crosses val="autoZero"/>
        <c:auto val="1"/>
        <c:lblAlgn val="ctr"/>
        <c:lblOffset val="100"/>
        <c:noMultiLvlLbl val="0"/>
      </c:catAx>
      <c:valAx>
        <c:axId val="898401792"/>
        <c:scaling>
          <c:orientation val="minMax"/>
        </c:scaling>
        <c:delete val="0"/>
        <c:axPos val="l"/>
        <c:title>
          <c:tx>
            <c:rich>
              <a:bodyPr rot="0" vert="horz"/>
              <a:lstStyle/>
              <a:p>
                <a:pPr algn="ctr" rtl="0">
                  <a:defRPr/>
                </a:pPr>
                <a:r>
                  <a:rPr lang="en-US"/>
                  <a:t>000 tn</a:t>
                </a:r>
              </a:p>
            </c:rich>
          </c:tx>
          <c:layout>
            <c:manualLayout>
              <c:xMode val="edge"/>
              <c:yMode val="edge"/>
              <c:x val="0.73759259942180189"/>
              <c:y val="1.7628654275547221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898400256"/>
        <c:crosses val="autoZero"/>
        <c:crossBetween val="midCat"/>
      </c:valAx>
      <c:spPr>
        <a:noFill/>
        <a:ln w="25400">
          <a:noFill/>
        </a:ln>
      </c:spPr>
    </c:plotArea>
    <c:legend>
      <c:legendPos val="r"/>
      <c:legendEntry>
        <c:idx val="1"/>
        <c:delete val="1"/>
      </c:legendEntry>
      <c:layout>
        <c:manualLayout>
          <c:xMode val="edge"/>
          <c:yMode val="edge"/>
          <c:x val="0.33270983609654264"/>
          <c:y val="0.63822915067404462"/>
          <c:w val="0.54416195965726633"/>
          <c:h val="0.17743908181814663"/>
        </c:manualLayout>
      </c:layout>
      <c:overlay val="0"/>
      <c:spPr>
        <a:no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7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589676290463686E-2"/>
          <c:y val="4.7022015548490691E-2"/>
          <c:w val="0.79044564741907264"/>
          <c:h val="0.81901414762179114"/>
        </c:manualLayout>
      </c:layout>
      <c:areaChart>
        <c:grouping val="standard"/>
        <c:varyColors val="0"/>
        <c:ser>
          <c:idx val="1"/>
          <c:order val="0"/>
          <c:tx>
            <c:v>Bull-Bear Scenario</c:v>
          </c:tx>
          <c:spPr>
            <a:solidFill>
              <a:schemeClr val="bg1">
                <a:lumMod val="85000"/>
              </a:schemeClr>
            </a:solidFill>
            <a:ln w="25400">
              <a:noFill/>
            </a:ln>
          </c:spPr>
          <c:cat>
            <c:strRef>
              <c:f>ChartSupport!$K$7:$W$7</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ChartSupport!$K$233:$W$233</c:f>
              <c:numCache>
                <c:formatCode>_(* #,##0_);_(* \(#,##0\);_(* "-"??_);_(@_)</c:formatCode>
                <c:ptCount val="13"/>
                <c:pt idx="0">
                  <c:v>1793</c:v>
                </c:pt>
                <c:pt idx="1">
                  <c:v>2136</c:v>
                </c:pt>
                <c:pt idx="2">
                  <c:v>2650</c:v>
                </c:pt>
                <c:pt idx="3">
                  <c:v>2581</c:v>
                </c:pt>
                <c:pt idx="4">
                  <c:v>2512</c:v>
                </c:pt>
                <c:pt idx="5" formatCode="#,##0">
                  <c:v>2999.3499999999995</c:v>
                </c:pt>
                <c:pt idx="6" formatCode="#,##0">
                  <c:v>3185.9619749999988</c:v>
                </c:pt>
                <c:pt idx="7" formatCode="#,##0">
                  <c:v>3265.8102040724984</c:v>
                </c:pt>
                <c:pt idx="8" formatCode="#,##0">
                  <c:v>3380.4804337506462</c:v>
                </c:pt>
                <c:pt idx="9" formatCode="#,##0">
                  <c:v>3470.6406494019661</c:v>
                </c:pt>
                <c:pt idx="10" formatCode="#,##0">
                  <c:v>3563.2061499281981</c:v>
                </c:pt>
                <c:pt idx="11" formatCode="#,##0">
                  <c:v>3658.2411170518239</c:v>
                </c:pt>
                <c:pt idx="12" formatCode="#,##0">
                  <c:v>3755.811445394449</c:v>
                </c:pt>
              </c:numCache>
            </c:numRef>
          </c:val>
        </c:ser>
        <c:ser>
          <c:idx val="3"/>
          <c:order val="1"/>
          <c:tx>
            <c:strRef>
              <c:f>ChartSupport!$A$163</c:f>
              <c:strCache>
                <c:ptCount val="1"/>
                <c:pt idx="0">
                  <c:v>Bear</c:v>
                </c:pt>
              </c:strCache>
            </c:strRef>
          </c:tx>
          <c:spPr>
            <a:solidFill>
              <a:schemeClr val="bg1"/>
            </a:solidFill>
            <a:ln w="25400">
              <a:noFill/>
            </a:ln>
          </c:spPr>
          <c:cat>
            <c:strRef>
              <c:f>ChartSupport!$K$7:$W$7</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ChartSupport!$K$231:$W$231</c:f>
              <c:numCache>
                <c:formatCode>_(* #,##0_);_(* \(#,##0\);_(* "-"??_);_(@_)</c:formatCode>
                <c:ptCount val="13"/>
                <c:pt idx="0">
                  <c:v>1793</c:v>
                </c:pt>
                <c:pt idx="1">
                  <c:v>2136</c:v>
                </c:pt>
                <c:pt idx="2">
                  <c:v>2650</c:v>
                </c:pt>
                <c:pt idx="3">
                  <c:v>2581</c:v>
                </c:pt>
                <c:pt idx="4">
                  <c:v>2512</c:v>
                </c:pt>
                <c:pt idx="5" formatCode="#,##0">
                  <c:v>2925.7473</c:v>
                </c:pt>
                <c:pt idx="6" formatCode="#,##0">
                  <c:v>3093.3821711924988</c:v>
                </c:pt>
                <c:pt idx="7" formatCode="#,##0">
                  <c:v>3164.8668700222361</c:v>
                </c:pt>
                <c:pt idx="8" formatCode="#,##0">
                  <c:v>3266.6299510087183</c:v>
                </c:pt>
                <c:pt idx="9" formatCode="#,##0">
                  <c:v>3336.2081604771702</c:v>
                </c:pt>
                <c:pt idx="10" formatCode="#,##0">
                  <c:v>3407.2680529525128</c:v>
                </c:pt>
                <c:pt idx="11" formatCode="#,##0">
                  <c:v>3479.8411761547409</c:v>
                </c:pt>
                <c:pt idx="12" formatCode="#,##0">
                  <c:v>3553.9597494304671</c:v>
                </c:pt>
              </c:numCache>
            </c:numRef>
          </c:val>
        </c:ser>
        <c:dLbls>
          <c:showLegendKey val="0"/>
          <c:showVal val="0"/>
          <c:showCatName val="0"/>
          <c:showSerName val="0"/>
          <c:showPercent val="0"/>
          <c:showBubbleSize val="0"/>
        </c:dLbls>
        <c:axId val="899180416"/>
        <c:axId val="899181952"/>
      </c:areaChart>
      <c:lineChart>
        <c:grouping val="standard"/>
        <c:varyColors val="0"/>
        <c:ser>
          <c:idx val="2"/>
          <c:order val="2"/>
          <c:tx>
            <c:strRef>
              <c:f>ChartSupport!$A$230</c:f>
              <c:strCache>
                <c:ptCount val="1"/>
                <c:pt idx="0">
                  <c:v>TRS (000 tn)</c:v>
                </c:pt>
              </c:strCache>
            </c:strRef>
          </c:tx>
          <c:spPr>
            <a:ln w="25400">
              <a:solidFill>
                <a:schemeClr val="accent1"/>
              </a:solidFill>
              <a:prstDash val="solid"/>
            </a:ln>
          </c:spPr>
          <c:marker>
            <c:symbol val="none"/>
          </c:marker>
          <c:cat>
            <c:strRef>
              <c:f>ChartSupport!$K$12:$W$12</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ChartSupport!$K$232:$W$232</c:f>
              <c:numCache>
                <c:formatCode>_(* #,##0_);_(* \(#,##0\);_(* "-"??_);_(@_)</c:formatCode>
                <c:ptCount val="13"/>
                <c:pt idx="0">
                  <c:v>1793</c:v>
                </c:pt>
                <c:pt idx="1">
                  <c:v>2136</c:v>
                </c:pt>
                <c:pt idx="2">
                  <c:v>2650</c:v>
                </c:pt>
                <c:pt idx="3">
                  <c:v>2581</c:v>
                </c:pt>
                <c:pt idx="4">
                  <c:v>2512</c:v>
                </c:pt>
                <c:pt idx="5" formatCode="#,##0">
                  <c:v>2977.0499999999997</c:v>
                </c:pt>
                <c:pt idx="6" formatCode="#,##0">
                  <c:v>3162.5469749999988</c:v>
                </c:pt>
                <c:pt idx="7" formatCode="#,##0">
                  <c:v>3241.9269040724985</c:v>
                </c:pt>
                <c:pt idx="8" formatCode="#,##0">
                  <c:v>3355.8806347506461</c:v>
                </c:pt>
                <c:pt idx="9" formatCode="#,##0">
                  <c:v>3433.3679186070385</c:v>
                </c:pt>
                <c:pt idx="10" formatCode="#,##0">
                  <c:v>3512.6443838476744</c:v>
                </c:pt>
                <c:pt idx="11" formatCode="#,##0">
                  <c:v>3593.7513426707169</c:v>
                </c:pt>
                <c:pt idx="12" formatCode="#,##0">
                  <c:v>3676.7310611729831</c:v>
                </c:pt>
              </c:numCache>
            </c:numRef>
          </c:val>
          <c:smooth val="0"/>
        </c:ser>
        <c:dLbls>
          <c:showLegendKey val="0"/>
          <c:showVal val="0"/>
          <c:showCatName val="0"/>
          <c:showSerName val="0"/>
          <c:showPercent val="0"/>
          <c:showBubbleSize val="0"/>
        </c:dLbls>
        <c:marker val="1"/>
        <c:smooth val="0"/>
        <c:axId val="899180416"/>
        <c:axId val="899181952"/>
      </c:lineChart>
      <c:lineChart>
        <c:grouping val="standard"/>
        <c:varyColors val="0"/>
        <c:ser>
          <c:idx val="0"/>
          <c:order val="3"/>
          <c:tx>
            <c:strRef>
              <c:f>ChartSupport!$A$179</c:f>
              <c:strCache>
                <c:ptCount val="1"/>
                <c:pt idx="0">
                  <c:v>Sugar Prices NY11 (US$c/lb)</c:v>
                </c:pt>
              </c:strCache>
            </c:strRef>
          </c:tx>
          <c:spPr>
            <a:ln w="15875">
              <a:solidFill>
                <a:srgbClr val="FF0000"/>
              </a:solidFill>
              <a:prstDash val="sysDash"/>
            </a:ln>
          </c:spPr>
          <c:marker>
            <c:symbol val="none"/>
          </c:marker>
          <c:cat>
            <c:strRef>
              <c:f>ChartSupport!$K$12:$W$12</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ChartSupport!$K$179:$W$179</c:f>
              <c:numCache>
                <c:formatCode>0</c:formatCode>
                <c:ptCount val="13"/>
                <c:pt idx="0">
                  <c:v>17.066666666666666</c:v>
                </c:pt>
                <c:pt idx="1">
                  <c:v>15.978333333333333</c:v>
                </c:pt>
                <c:pt idx="2">
                  <c:v>13.149166666666668</c:v>
                </c:pt>
                <c:pt idx="3">
                  <c:v>19.252499999999998</c:v>
                </c:pt>
                <c:pt idx="4">
                  <c:v>17.805000000000003</c:v>
                </c:pt>
                <c:pt idx="5">
                  <c:v>16.244658605325153</c:v>
                </c:pt>
                <c:pt idx="6">
                  <c:v>16.31531880717511</c:v>
                </c:pt>
                <c:pt idx="7">
                  <c:v>16.498655235130911</c:v>
                </c:pt>
                <c:pt idx="8">
                  <c:v>19.747444770453257</c:v>
                </c:pt>
                <c:pt idx="9">
                  <c:v>20.93514679550681</c:v>
                </c:pt>
                <c:pt idx="10">
                  <c:v>17.432162450241776</c:v>
                </c:pt>
                <c:pt idx="11">
                  <c:v>15.017906650666538</c:v>
                </c:pt>
                <c:pt idx="12">
                  <c:v>17.055276269110166</c:v>
                </c:pt>
              </c:numCache>
            </c:numRef>
          </c:val>
          <c:smooth val="0"/>
        </c:ser>
        <c:dLbls>
          <c:showLegendKey val="0"/>
          <c:showVal val="0"/>
          <c:showCatName val="0"/>
          <c:showSerName val="0"/>
          <c:showPercent val="0"/>
          <c:showBubbleSize val="0"/>
        </c:dLbls>
        <c:marker val="1"/>
        <c:smooth val="0"/>
        <c:axId val="899188224"/>
        <c:axId val="899189760"/>
      </c:lineChart>
      <c:catAx>
        <c:axId val="899180416"/>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a:pPr>
            <a:endParaRPr lang="en-US"/>
          </a:p>
        </c:txPr>
        <c:crossAx val="899181952"/>
        <c:crosses val="autoZero"/>
        <c:auto val="1"/>
        <c:lblAlgn val="ctr"/>
        <c:lblOffset val="100"/>
        <c:tickLblSkip val="1"/>
        <c:tickMarkSkip val="1"/>
        <c:noMultiLvlLbl val="0"/>
      </c:catAx>
      <c:valAx>
        <c:axId val="899181952"/>
        <c:scaling>
          <c:orientation val="minMax"/>
          <c:min val="120"/>
        </c:scaling>
        <c:delete val="0"/>
        <c:axPos val="r"/>
        <c:title>
          <c:tx>
            <c:rich>
              <a:bodyPr rot="0" vert="horz"/>
              <a:lstStyle/>
              <a:p>
                <a:pPr algn="ctr" rtl="0">
                  <a:defRPr/>
                </a:pPr>
                <a:r>
                  <a:rPr lang="en-US"/>
                  <a:t>US$ cents/lb</a:t>
                </a:r>
              </a:p>
            </c:rich>
          </c:tx>
          <c:layout>
            <c:manualLayout>
              <c:xMode val="edge"/>
              <c:yMode val="edge"/>
              <c:x val="0.10084743396437147"/>
              <c:y val="1.2184938421158874E-3"/>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9180416"/>
        <c:crosses val="max"/>
        <c:crossBetween val="midCat"/>
      </c:valAx>
      <c:catAx>
        <c:axId val="899188224"/>
        <c:scaling>
          <c:orientation val="minMax"/>
        </c:scaling>
        <c:delete val="1"/>
        <c:axPos val="b"/>
        <c:majorTickMark val="out"/>
        <c:minorTickMark val="none"/>
        <c:tickLblPos val="nextTo"/>
        <c:crossAx val="899189760"/>
        <c:crosses val="autoZero"/>
        <c:auto val="1"/>
        <c:lblAlgn val="ctr"/>
        <c:lblOffset val="100"/>
        <c:noMultiLvlLbl val="0"/>
      </c:catAx>
      <c:valAx>
        <c:axId val="899189760"/>
        <c:scaling>
          <c:orientation val="minMax"/>
        </c:scaling>
        <c:delete val="0"/>
        <c:axPos val="l"/>
        <c:title>
          <c:tx>
            <c:rich>
              <a:bodyPr rot="0" vert="horz"/>
              <a:lstStyle/>
              <a:p>
                <a:pPr algn="ctr" rtl="0">
                  <a:defRPr/>
                </a:pPr>
                <a:r>
                  <a:rPr lang="en-US"/>
                  <a:t>000 ton</a:t>
                </a:r>
              </a:p>
            </c:rich>
          </c:tx>
          <c:layout>
            <c:manualLayout>
              <c:xMode val="edge"/>
              <c:yMode val="edge"/>
              <c:x val="0.7478650850425963"/>
              <c:y val="2.5489725369694641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899188224"/>
        <c:crosses val="autoZero"/>
        <c:crossBetween val="midCat"/>
      </c:valAx>
      <c:spPr>
        <a:noFill/>
        <a:ln w="25400">
          <a:noFill/>
        </a:ln>
      </c:spPr>
    </c:plotArea>
    <c:legend>
      <c:legendPos val="r"/>
      <c:legendEntry>
        <c:idx val="1"/>
        <c:delete val="1"/>
      </c:legendEntry>
      <c:layout>
        <c:manualLayout>
          <c:xMode val="edge"/>
          <c:yMode val="edge"/>
          <c:x val="0.27648401865278754"/>
          <c:y val="0.70166122527367003"/>
          <c:w val="0.57638999125109369"/>
          <c:h val="0.15104607308701798"/>
        </c:manualLayout>
      </c:layout>
      <c:overlay val="0"/>
      <c:spPr>
        <a:no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userShapes r:id="rId1"/>
</c:chartSpace>
</file>

<file path=xl/charts/chart17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589676290463686E-2"/>
          <c:y val="4.7022015548490691E-2"/>
          <c:w val="0.79044564741907264"/>
          <c:h val="0.81901414762179114"/>
        </c:manualLayout>
      </c:layout>
      <c:areaChart>
        <c:grouping val="standard"/>
        <c:varyColors val="0"/>
        <c:ser>
          <c:idx val="1"/>
          <c:order val="0"/>
          <c:tx>
            <c:v>Bull-Bear Scenario</c:v>
          </c:tx>
          <c:spPr>
            <a:solidFill>
              <a:schemeClr val="bg1">
                <a:lumMod val="85000"/>
              </a:schemeClr>
            </a:solidFill>
            <a:ln w="25400">
              <a:noFill/>
            </a:ln>
          </c:spPr>
          <c:cat>
            <c:strRef>
              <c:f>ChartSupport!$K$7:$W$7</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ChartSupport!$K$233:$W$233</c:f>
              <c:numCache>
                <c:formatCode>_(* #,##0_);_(* \(#,##0\);_(* "-"??_);_(@_)</c:formatCode>
                <c:ptCount val="13"/>
                <c:pt idx="0">
                  <c:v>1793</c:v>
                </c:pt>
                <c:pt idx="1">
                  <c:v>2136</c:v>
                </c:pt>
                <c:pt idx="2">
                  <c:v>2650</c:v>
                </c:pt>
                <c:pt idx="3">
                  <c:v>2581</c:v>
                </c:pt>
                <c:pt idx="4">
                  <c:v>2512</c:v>
                </c:pt>
                <c:pt idx="5" formatCode="#,##0">
                  <c:v>2999.3499999999995</c:v>
                </c:pt>
                <c:pt idx="6" formatCode="#,##0">
                  <c:v>3185.9619749999988</c:v>
                </c:pt>
                <c:pt idx="7" formatCode="#,##0">
                  <c:v>3265.8102040724984</c:v>
                </c:pt>
                <c:pt idx="8" formatCode="#,##0">
                  <c:v>3380.4804337506462</c:v>
                </c:pt>
                <c:pt idx="9" formatCode="#,##0">
                  <c:v>3470.6406494019661</c:v>
                </c:pt>
                <c:pt idx="10" formatCode="#,##0">
                  <c:v>3563.2061499281981</c:v>
                </c:pt>
                <c:pt idx="11" formatCode="#,##0">
                  <c:v>3658.2411170518239</c:v>
                </c:pt>
                <c:pt idx="12" formatCode="#,##0">
                  <c:v>3755.811445394449</c:v>
                </c:pt>
              </c:numCache>
            </c:numRef>
          </c:val>
        </c:ser>
        <c:ser>
          <c:idx val="3"/>
          <c:order val="1"/>
          <c:tx>
            <c:strRef>
              <c:f>ChartSupport!$A$163</c:f>
              <c:strCache>
                <c:ptCount val="1"/>
                <c:pt idx="0">
                  <c:v>Bear</c:v>
                </c:pt>
              </c:strCache>
            </c:strRef>
          </c:tx>
          <c:spPr>
            <a:solidFill>
              <a:schemeClr val="bg1"/>
            </a:solidFill>
            <a:ln w="25400">
              <a:noFill/>
            </a:ln>
          </c:spPr>
          <c:cat>
            <c:strRef>
              <c:f>ChartSupport!$K$7:$W$7</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ChartSupport!$K$231:$W$231</c:f>
              <c:numCache>
                <c:formatCode>_(* #,##0_);_(* \(#,##0\);_(* "-"??_);_(@_)</c:formatCode>
                <c:ptCount val="13"/>
                <c:pt idx="0">
                  <c:v>1793</c:v>
                </c:pt>
                <c:pt idx="1">
                  <c:v>2136</c:v>
                </c:pt>
                <c:pt idx="2">
                  <c:v>2650</c:v>
                </c:pt>
                <c:pt idx="3">
                  <c:v>2581</c:v>
                </c:pt>
                <c:pt idx="4">
                  <c:v>2512</c:v>
                </c:pt>
                <c:pt idx="5" formatCode="#,##0">
                  <c:v>2925.7473</c:v>
                </c:pt>
                <c:pt idx="6" formatCode="#,##0">
                  <c:v>3093.3821711924988</c:v>
                </c:pt>
                <c:pt idx="7" formatCode="#,##0">
                  <c:v>3164.8668700222361</c:v>
                </c:pt>
                <c:pt idx="8" formatCode="#,##0">
                  <c:v>3266.6299510087183</c:v>
                </c:pt>
                <c:pt idx="9" formatCode="#,##0">
                  <c:v>3336.2081604771702</c:v>
                </c:pt>
                <c:pt idx="10" formatCode="#,##0">
                  <c:v>3407.2680529525128</c:v>
                </c:pt>
                <c:pt idx="11" formatCode="#,##0">
                  <c:v>3479.8411761547409</c:v>
                </c:pt>
                <c:pt idx="12" formatCode="#,##0">
                  <c:v>3553.9597494304671</c:v>
                </c:pt>
              </c:numCache>
            </c:numRef>
          </c:val>
        </c:ser>
        <c:dLbls>
          <c:showLegendKey val="0"/>
          <c:showVal val="0"/>
          <c:showCatName val="0"/>
          <c:showSerName val="0"/>
          <c:showPercent val="0"/>
          <c:showBubbleSize val="0"/>
        </c:dLbls>
        <c:axId val="899241088"/>
        <c:axId val="899242624"/>
      </c:areaChart>
      <c:lineChart>
        <c:grouping val="standard"/>
        <c:varyColors val="0"/>
        <c:ser>
          <c:idx val="2"/>
          <c:order val="2"/>
          <c:tx>
            <c:strRef>
              <c:f>ChartSupport!$A$230</c:f>
              <c:strCache>
                <c:ptCount val="1"/>
                <c:pt idx="0">
                  <c:v>TRS (000 tn)</c:v>
                </c:pt>
              </c:strCache>
            </c:strRef>
          </c:tx>
          <c:spPr>
            <a:ln w="25400">
              <a:solidFill>
                <a:schemeClr val="accent1"/>
              </a:solidFill>
              <a:prstDash val="solid"/>
            </a:ln>
          </c:spPr>
          <c:marker>
            <c:symbol val="none"/>
          </c:marker>
          <c:cat>
            <c:strRef>
              <c:f>ChartSupport!$K$12:$W$12</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ChartSupport!$K$232:$W$232</c:f>
              <c:numCache>
                <c:formatCode>_(* #,##0_);_(* \(#,##0\);_(* "-"??_);_(@_)</c:formatCode>
                <c:ptCount val="13"/>
                <c:pt idx="0">
                  <c:v>1793</c:v>
                </c:pt>
                <c:pt idx="1">
                  <c:v>2136</c:v>
                </c:pt>
                <c:pt idx="2">
                  <c:v>2650</c:v>
                </c:pt>
                <c:pt idx="3">
                  <c:v>2581</c:v>
                </c:pt>
                <c:pt idx="4">
                  <c:v>2512</c:v>
                </c:pt>
                <c:pt idx="5" formatCode="#,##0">
                  <c:v>2977.0499999999997</c:v>
                </c:pt>
                <c:pt idx="6" formatCode="#,##0">
                  <c:v>3162.5469749999988</c:v>
                </c:pt>
                <c:pt idx="7" formatCode="#,##0">
                  <c:v>3241.9269040724985</c:v>
                </c:pt>
                <c:pt idx="8" formatCode="#,##0">
                  <c:v>3355.8806347506461</c:v>
                </c:pt>
                <c:pt idx="9" formatCode="#,##0">
                  <c:v>3433.3679186070385</c:v>
                </c:pt>
                <c:pt idx="10" formatCode="#,##0">
                  <c:v>3512.6443838476744</c:v>
                </c:pt>
                <c:pt idx="11" formatCode="#,##0">
                  <c:v>3593.7513426707169</c:v>
                </c:pt>
                <c:pt idx="12" formatCode="#,##0">
                  <c:v>3676.7310611729831</c:v>
                </c:pt>
              </c:numCache>
            </c:numRef>
          </c:val>
          <c:smooth val="0"/>
        </c:ser>
        <c:dLbls>
          <c:showLegendKey val="0"/>
          <c:showVal val="0"/>
          <c:showCatName val="0"/>
          <c:showSerName val="0"/>
          <c:showPercent val="0"/>
          <c:showBubbleSize val="0"/>
        </c:dLbls>
        <c:marker val="1"/>
        <c:smooth val="0"/>
        <c:axId val="899241088"/>
        <c:axId val="899242624"/>
      </c:lineChart>
      <c:lineChart>
        <c:grouping val="standard"/>
        <c:varyColors val="0"/>
        <c:ser>
          <c:idx val="0"/>
          <c:order val="3"/>
          <c:tx>
            <c:strRef>
              <c:f>ChartSupport!$A$235</c:f>
              <c:strCache>
                <c:ptCount val="1"/>
                <c:pt idx="0">
                  <c:v>Calculated</c:v>
                </c:pt>
              </c:strCache>
            </c:strRef>
          </c:tx>
          <c:spPr>
            <a:ln w="15875">
              <a:solidFill>
                <a:srgbClr val="FF0000"/>
              </a:solidFill>
              <a:prstDash val="sysDash"/>
            </a:ln>
          </c:spPr>
          <c:marker>
            <c:symbol val="none"/>
          </c:marker>
          <c:cat>
            <c:strRef>
              <c:f>ChartSupport!$K$12:$W$12</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ChartSupport!$K$235:$W$235</c:f>
              <c:numCache>
                <c:formatCode>_(* #,##0_);_(* \(#,##0\);_(* "-"??_);_(@_)</c:formatCode>
                <c:ptCount val="13"/>
                <c:pt idx="0">
                  <c:v>1803.0816399999999</c:v>
                </c:pt>
                <c:pt idx="1">
                  <c:v>2145.0521799999997</c:v>
                </c:pt>
                <c:pt idx="2">
                  <c:v>2465.0345899999998</c:v>
                </c:pt>
                <c:pt idx="3">
                  <c:v>2635.9530399999999</c:v>
                </c:pt>
                <c:pt idx="4">
                  <c:v>2585.9814900000001</c:v>
                </c:pt>
                <c:pt idx="5" formatCode="#,##0">
                  <c:v>2977.0499999999997</c:v>
                </c:pt>
                <c:pt idx="6" formatCode="#,##0">
                  <c:v>3162.5469749999988</c:v>
                </c:pt>
                <c:pt idx="7" formatCode="#,##0">
                  <c:v>3241.9269040724985</c:v>
                </c:pt>
                <c:pt idx="8" formatCode="#,##0">
                  <c:v>3355.8806347506461</c:v>
                </c:pt>
                <c:pt idx="9" formatCode="#,##0">
                  <c:v>3433.3679186070385</c:v>
                </c:pt>
                <c:pt idx="10" formatCode="#,##0">
                  <c:v>3512.6443838476744</c:v>
                </c:pt>
                <c:pt idx="11" formatCode="#,##0">
                  <c:v>3593.7513426707169</c:v>
                </c:pt>
                <c:pt idx="12" formatCode="#,##0">
                  <c:v>3676.7310611729831</c:v>
                </c:pt>
              </c:numCache>
            </c:numRef>
          </c:val>
          <c:smooth val="0"/>
        </c:ser>
        <c:dLbls>
          <c:showLegendKey val="0"/>
          <c:showVal val="0"/>
          <c:showCatName val="0"/>
          <c:showSerName val="0"/>
          <c:showPercent val="0"/>
          <c:showBubbleSize val="0"/>
        </c:dLbls>
        <c:marker val="1"/>
        <c:smooth val="0"/>
        <c:axId val="899248512"/>
        <c:axId val="899250048"/>
      </c:lineChart>
      <c:catAx>
        <c:axId val="899241088"/>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a:pPr>
            <a:endParaRPr lang="en-US"/>
          </a:p>
        </c:txPr>
        <c:crossAx val="899242624"/>
        <c:crosses val="autoZero"/>
        <c:auto val="1"/>
        <c:lblAlgn val="ctr"/>
        <c:lblOffset val="100"/>
        <c:tickLblSkip val="1"/>
        <c:tickMarkSkip val="1"/>
        <c:noMultiLvlLbl val="0"/>
      </c:catAx>
      <c:valAx>
        <c:axId val="899242624"/>
        <c:scaling>
          <c:orientation val="minMax"/>
          <c:min val="120"/>
        </c:scaling>
        <c:delete val="1"/>
        <c:axPos val="r"/>
        <c:numFmt formatCode="#,##0" sourceLinked="0"/>
        <c:majorTickMark val="out"/>
        <c:minorTickMark val="none"/>
        <c:tickLblPos val="nextTo"/>
        <c:crossAx val="899241088"/>
        <c:crosses val="max"/>
        <c:crossBetween val="midCat"/>
      </c:valAx>
      <c:catAx>
        <c:axId val="899248512"/>
        <c:scaling>
          <c:orientation val="minMax"/>
        </c:scaling>
        <c:delete val="1"/>
        <c:axPos val="b"/>
        <c:majorTickMark val="out"/>
        <c:minorTickMark val="none"/>
        <c:tickLblPos val="nextTo"/>
        <c:crossAx val="899250048"/>
        <c:crosses val="autoZero"/>
        <c:auto val="1"/>
        <c:lblAlgn val="ctr"/>
        <c:lblOffset val="100"/>
        <c:noMultiLvlLbl val="0"/>
      </c:catAx>
      <c:valAx>
        <c:axId val="899250048"/>
        <c:scaling>
          <c:orientation val="minMax"/>
        </c:scaling>
        <c:delete val="0"/>
        <c:axPos val="l"/>
        <c:title>
          <c:tx>
            <c:rich>
              <a:bodyPr rot="0" vert="horz"/>
              <a:lstStyle/>
              <a:p>
                <a:pPr algn="ctr" rtl="0">
                  <a:defRPr/>
                </a:pPr>
                <a:r>
                  <a:rPr lang="en-US"/>
                  <a:t>000 ton</a:t>
                </a:r>
              </a:p>
            </c:rich>
          </c:tx>
          <c:layout>
            <c:manualLayout>
              <c:xMode val="edge"/>
              <c:yMode val="edge"/>
              <c:x val="0.11844961872574025"/>
              <c:y val="3.7684847320914157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899248512"/>
        <c:crosses val="autoZero"/>
        <c:crossBetween val="midCat"/>
      </c:valAx>
      <c:spPr>
        <a:noFill/>
        <a:ln w="25400">
          <a:noFill/>
        </a:ln>
      </c:spPr>
    </c:plotArea>
    <c:legend>
      <c:legendPos val="r"/>
      <c:legendEntry>
        <c:idx val="1"/>
        <c:delete val="1"/>
      </c:legendEntry>
      <c:layout>
        <c:manualLayout>
          <c:xMode val="edge"/>
          <c:yMode val="edge"/>
          <c:x val="0.27648401865278754"/>
          <c:y val="0.65986391199532668"/>
          <c:w val="0.57638999125109369"/>
          <c:h val="0.19284344942775569"/>
        </c:manualLayout>
      </c:layout>
      <c:overlay val="0"/>
      <c:spPr>
        <a:no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7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589676290463686E-2"/>
          <c:y val="4.7022015548490691E-2"/>
          <c:w val="0.79044564741907264"/>
          <c:h val="0.81901414762179114"/>
        </c:manualLayout>
      </c:layout>
      <c:lineChart>
        <c:grouping val="standard"/>
        <c:varyColors val="0"/>
        <c:ser>
          <c:idx val="2"/>
          <c:order val="0"/>
          <c:tx>
            <c:strRef>
              <c:f>Q_IS!$A$45</c:f>
              <c:strCache>
                <c:ptCount val="1"/>
                <c:pt idx="0">
                  <c:v>Sugar ('000 tons)</c:v>
                </c:pt>
              </c:strCache>
            </c:strRef>
          </c:tx>
          <c:spPr>
            <a:ln w="25400">
              <a:solidFill>
                <a:schemeClr val="accent1"/>
              </a:solidFill>
              <a:prstDash val="solid"/>
            </a:ln>
          </c:spPr>
          <c:marker>
            <c:symbol val="none"/>
          </c:marker>
          <c:cat>
            <c:numRef>
              <c:f>Q_IS!$B$4:$U$4</c:f>
              <c:numCache>
                <c:formatCode>0</c:formatCode>
                <c:ptCount val="13"/>
                <c:pt idx="0">
                  <c:v>2013</c:v>
                </c:pt>
                <c:pt idx="1">
                  <c:v>2014</c:v>
                </c:pt>
                <c:pt idx="2">
                  <c:v>2015</c:v>
                </c:pt>
                <c:pt idx="3">
                  <c:v>2016</c:v>
                </c:pt>
                <c:pt idx="4">
                  <c:v>2017</c:v>
                </c:pt>
                <c:pt idx="5" formatCode="General&quot;E&quot;">
                  <c:v>2018</c:v>
                </c:pt>
                <c:pt idx="6" formatCode="General&quot;E&quot;">
                  <c:v>2019</c:v>
                </c:pt>
                <c:pt idx="7" formatCode="General&quot;E&quot;">
                  <c:v>2020</c:v>
                </c:pt>
                <c:pt idx="8" formatCode="General&quot;E&quot;">
                  <c:v>2021</c:v>
                </c:pt>
                <c:pt idx="9" formatCode="General&quot;E&quot;">
                  <c:v>2022</c:v>
                </c:pt>
                <c:pt idx="10" formatCode="General&quot;E&quot;">
                  <c:v>2023</c:v>
                </c:pt>
                <c:pt idx="11" formatCode="General&quot;E&quot;">
                  <c:v>2024</c:v>
                </c:pt>
                <c:pt idx="12" formatCode="General&quot;E&quot;">
                  <c:v>2025</c:v>
                </c:pt>
              </c:numCache>
            </c:numRef>
          </c:cat>
          <c:val>
            <c:numRef>
              <c:f>Q_IS!$B$45:$U$45</c:f>
              <c:numCache>
                <c:formatCode>_(* #,##0_);_(* \(#,##0\);_(* "-"??_);_(@_)</c:formatCode>
                <c:ptCount val="13"/>
                <c:pt idx="0">
                  <c:v>969</c:v>
                </c:pt>
                <c:pt idx="1">
                  <c:v>986</c:v>
                </c:pt>
                <c:pt idx="2">
                  <c:v>1231</c:v>
                </c:pt>
                <c:pt idx="3">
                  <c:v>1230</c:v>
                </c:pt>
                <c:pt idx="4">
                  <c:v>1301</c:v>
                </c:pt>
                <c:pt idx="5">
                  <c:v>1395.035815774088</c:v>
                </c:pt>
                <c:pt idx="6">
                  <c:v>1481.9590867445954</c:v>
                </c:pt>
                <c:pt idx="7">
                  <c:v>1519.1562598218848</c:v>
                </c:pt>
                <c:pt idx="8">
                  <c:v>1572.5546023546237</c:v>
                </c:pt>
                <c:pt idx="9">
                  <c:v>1608.8648881229919</c:v>
                </c:pt>
                <c:pt idx="10">
                  <c:v>1646.0135783897517</c:v>
                </c:pt>
                <c:pt idx="11">
                  <c:v>1684.0200319147707</c:v>
                </c:pt>
                <c:pt idx="12">
                  <c:v>1722.9040544516822</c:v>
                </c:pt>
              </c:numCache>
            </c:numRef>
          </c:val>
          <c:smooth val="0"/>
        </c:ser>
        <c:ser>
          <c:idx val="0"/>
          <c:order val="1"/>
          <c:tx>
            <c:strRef>
              <c:f>Q_IS!$A$47</c:f>
              <c:strCache>
                <c:ptCount val="1"/>
                <c:pt idx="0">
                  <c:v>Ethanol ('000 m3)</c:v>
                </c:pt>
              </c:strCache>
            </c:strRef>
          </c:tx>
          <c:spPr>
            <a:ln w="15875">
              <a:solidFill>
                <a:srgbClr val="FF0000"/>
              </a:solidFill>
              <a:prstDash val="sysDash"/>
            </a:ln>
          </c:spPr>
          <c:marker>
            <c:symbol val="none"/>
          </c:marker>
          <c:cat>
            <c:numRef>
              <c:f>Q_IS!$B$4:$U$4</c:f>
              <c:numCache>
                <c:formatCode>0</c:formatCode>
                <c:ptCount val="13"/>
                <c:pt idx="0">
                  <c:v>2013</c:v>
                </c:pt>
                <c:pt idx="1">
                  <c:v>2014</c:v>
                </c:pt>
                <c:pt idx="2">
                  <c:v>2015</c:v>
                </c:pt>
                <c:pt idx="3">
                  <c:v>2016</c:v>
                </c:pt>
                <c:pt idx="4">
                  <c:v>2017</c:v>
                </c:pt>
                <c:pt idx="5" formatCode="General&quot;E&quot;">
                  <c:v>2018</c:v>
                </c:pt>
                <c:pt idx="6" formatCode="General&quot;E&quot;">
                  <c:v>2019</c:v>
                </c:pt>
                <c:pt idx="7" formatCode="General&quot;E&quot;">
                  <c:v>2020</c:v>
                </c:pt>
                <c:pt idx="8" formatCode="General&quot;E&quot;">
                  <c:v>2021</c:v>
                </c:pt>
                <c:pt idx="9" formatCode="General&quot;E&quot;">
                  <c:v>2022</c:v>
                </c:pt>
                <c:pt idx="10" formatCode="General&quot;E&quot;">
                  <c:v>2023</c:v>
                </c:pt>
                <c:pt idx="11" formatCode="General&quot;E&quot;">
                  <c:v>2024</c:v>
                </c:pt>
                <c:pt idx="12" formatCode="General&quot;E&quot;">
                  <c:v>2025</c:v>
                </c:pt>
              </c:numCache>
            </c:numRef>
          </c:cat>
          <c:val>
            <c:numRef>
              <c:f>Q_IS!$B$47:$U$47</c:f>
              <c:numCache>
                <c:formatCode>_(* #,##0_);_(* \(#,##0\);_(* "-"??_);_(@_)</c:formatCode>
                <c:ptCount val="13"/>
                <c:pt idx="0">
                  <c:v>451</c:v>
                </c:pt>
                <c:pt idx="1">
                  <c:v>640</c:v>
                </c:pt>
                <c:pt idx="2">
                  <c:v>791</c:v>
                </c:pt>
                <c:pt idx="3">
                  <c:v>751</c:v>
                </c:pt>
                <c:pt idx="4">
                  <c:v>667</c:v>
                </c:pt>
                <c:pt idx="5">
                  <c:v>875.65101041468256</c:v>
                </c:pt>
                <c:pt idx="6">
                  <c:v>930.21193938383522</c:v>
                </c:pt>
                <c:pt idx="7">
                  <c:v>953.56025906236937</c:v>
                </c:pt>
                <c:pt idx="8">
                  <c:v>987.07790216841147</c:v>
                </c:pt>
                <c:pt idx="9">
                  <c:v>1009.86953092948</c:v>
                </c:pt>
                <c:pt idx="10">
                  <c:v>1033.1874183986417</c:v>
                </c:pt>
                <c:pt idx="11">
                  <c:v>1057.0437158894663</c:v>
                </c:pt>
                <c:pt idx="12">
                  <c:v>1081.450855289354</c:v>
                </c:pt>
              </c:numCache>
            </c:numRef>
          </c:val>
          <c:smooth val="0"/>
        </c:ser>
        <c:dLbls>
          <c:showLegendKey val="0"/>
          <c:showVal val="0"/>
          <c:showCatName val="0"/>
          <c:showSerName val="0"/>
          <c:showPercent val="0"/>
          <c:showBubbleSize val="0"/>
        </c:dLbls>
        <c:marker val="1"/>
        <c:smooth val="0"/>
        <c:axId val="899277952"/>
        <c:axId val="899279488"/>
      </c:lineChart>
      <c:lineChart>
        <c:grouping val="standard"/>
        <c:varyColors val="0"/>
        <c:ser>
          <c:idx val="1"/>
          <c:order val="2"/>
          <c:tx>
            <c:strRef>
              <c:f>Q_IS!$A$49</c:f>
              <c:strCache>
                <c:ptCount val="1"/>
                <c:pt idx="0">
                  <c:v>Cogeneration ('000 MWh)</c:v>
                </c:pt>
              </c:strCache>
            </c:strRef>
          </c:tx>
          <c:marker>
            <c:symbol val="none"/>
          </c:marker>
          <c:val>
            <c:numRef>
              <c:f>Q_IS!$B$49:$U$49</c:f>
              <c:numCache>
                <c:formatCode>_(* #,##0_);_(* \(#,##0\);_(* "-"??_);_(@_)</c:formatCode>
                <c:ptCount val="13"/>
                <c:pt idx="0">
                  <c:v>176</c:v>
                </c:pt>
                <c:pt idx="1">
                  <c:v>442</c:v>
                </c:pt>
                <c:pt idx="2">
                  <c:v>720</c:v>
                </c:pt>
                <c:pt idx="3">
                  <c:v>741</c:v>
                </c:pt>
                <c:pt idx="4">
                  <c:v>720</c:v>
                </c:pt>
                <c:pt idx="5">
                  <c:v>900.00000000000011</c:v>
                </c:pt>
                <c:pt idx="6">
                  <c:v>900.00000000000011</c:v>
                </c:pt>
                <c:pt idx="7">
                  <c:v>918.75</c:v>
                </c:pt>
                <c:pt idx="8">
                  <c:v>937.5</c:v>
                </c:pt>
                <c:pt idx="9">
                  <c:v>956.25</c:v>
                </c:pt>
                <c:pt idx="10">
                  <c:v>974.99999999999989</c:v>
                </c:pt>
                <c:pt idx="11">
                  <c:v>993.74999999999977</c:v>
                </c:pt>
                <c:pt idx="12">
                  <c:v>1012.4999999999998</c:v>
                </c:pt>
              </c:numCache>
            </c:numRef>
          </c:val>
          <c:smooth val="0"/>
        </c:ser>
        <c:dLbls>
          <c:showLegendKey val="0"/>
          <c:showVal val="0"/>
          <c:showCatName val="0"/>
          <c:showSerName val="0"/>
          <c:showPercent val="0"/>
          <c:showBubbleSize val="0"/>
        </c:dLbls>
        <c:marker val="1"/>
        <c:smooth val="0"/>
        <c:axId val="899293952"/>
        <c:axId val="899295488"/>
      </c:lineChart>
      <c:catAx>
        <c:axId val="899277952"/>
        <c:scaling>
          <c:orientation val="minMax"/>
        </c:scaling>
        <c:delete val="0"/>
        <c:axPos val="b"/>
        <c:numFmt formatCode="0" sourceLinked="1"/>
        <c:majorTickMark val="out"/>
        <c:minorTickMark val="none"/>
        <c:tickLblPos val="nextTo"/>
        <c:spPr>
          <a:ln w="3175">
            <a:solidFill>
              <a:srgbClr val="808080"/>
            </a:solidFill>
            <a:prstDash val="solid"/>
          </a:ln>
        </c:spPr>
        <c:txPr>
          <a:bodyPr rot="-5400000" vert="horz"/>
          <a:lstStyle/>
          <a:p>
            <a:pPr>
              <a:defRPr/>
            </a:pPr>
            <a:endParaRPr lang="en-US"/>
          </a:p>
        </c:txPr>
        <c:crossAx val="899279488"/>
        <c:crosses val="autoZero"/>
        <c:auto val="1"/>
        <c:lblAlgn val="ctr"/>
        <c:lblOffset val="100"/>
        <c:tickLblSkip val="1"/>
        <c:tickMarkSkip val="1"/>
        <c:noMultiLvlLbl val="0"/>
      </c:catAx>
      <c:valAx>
        <c:axId val="899279488"/>
        <c:scaling>
          <c:orientation val="minMax"/>
          <c:min val="120"/>
        </c:scaling>
        <c:delete val="0"/>
        <c:axPos val="r"/>
        <c:title>
          <c:tx>
            <c:rich>
              <a:bodyPr rot="0" vert="horz"/>
              <a:lstStyle/>
              <a:p>
                <a:pPr algn="ctr" rtl="0">
                  <a:defRPr/>
                </a:pPr>
                <a:r>
                  <a:rPr lang="en-US"/>
                  <a:t>000 Tn / m3</a:t>
                </a:r>
              </a:p>
            </c:rich>
          </c:tx>
          <c:layout>
            <c:manualLayout>
              <c:xMode val="edge"/>
              <c:yMode val="edge"/>
              <c:x val="0.12242746783255085"/>
              <c:y val="2.1543755201331539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9277952"/>
        <c:crosses val="max"/>
        <c:crossBetween val="midCat"/>
      </c:valAx>
      <c:catAx>
        <c:axId val="899293952"/>
        <c:scaling>
          <c:orientation val="minMax"/>
        </c:scaling>
        <c:delete val="1"/>
        <c:axPos val="b"/>
        <c:numFmt formatCode="0" sourceLinked="1"/>
        <c:majorTickMark val="out"/>
        <c:minorTickMark val="none"/>
        <c:tickLblPos val="nextTo"/>
        <c:crossAx val="899295488"/>
        <c:crosses val="autoZero"/>
        <c:auto val="1"/>
        <c:lblAlgn val="ctr"/>
        <c:lblOffset val="100"/>
        <c:noMultiLvlLbl val="0"/>
      </c:catAx>
      <c:valAx>
        <c:axId val="899295488"/>
        <c:scaling>
          <c:orientation val="minMax"/>
        </c:scaling>
        <c:delete val="0"/>
        <c:axPos val="l"/>
        <c:title>
          <c:tx>
            <c:rich>
              <a:bodyPr rot="0" vert="horz"/>
              <a:lstStyle/>
              <a:p>
                <a:pPr algn="ctr" rtl="0">
                  <a:defRPr/>
                </a:pPr>
                <a:r>
                  <a:rPr lang="en-US"/>
                  <a:t>000 MWh</a:t>
                </a:r>
              </a:p>
            </c:rich>
          </c:tx>
          <c:layout>
            <c:manualLayout>
              <c:xMode val="edge"/>
              <c:yMode val="edge"/>
              <c:x val="0.71189848696734748"/>
              <c:y val="2.1424684719288139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899293952"/>
        <c:crosses val="autoZero"/>
        <c:crossBetween val="midCat"/>
      </c:valAx>
      <c:spPr>
        <a:noFill/>
        <a:ln w="25400">
          <a:noFill/>
        </a:ln>
      </c:spPr>
    </c:plotArea>
    <c:legend>
      <c:legendPos val="r"/>
      <c:layout>
        <c:manualLayout>
          <c:xMode val="edge"/>
          <c:yMode val="edge"/>
          <c:x val="0.43114039037635787"/>
          <c:y val="0.65242202091509716"/>
          <c:w val="0.46900528850592488"/>
          <c:h val="0.1994859484027911"/>
        </c:manualLayout>
      </c:layout>
      <c:overlay val="0"/>
      <c:spPr>
        <a:no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8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0518945462289326E-2"/>
          <c:y val="2.2144207840238614E-2"/>
          <c:w val="0.79044564741907264"/>
          <c:h val="0.79989327297455282"/>
        </c:manualLayout>
      </c:layout>
      <c:areaChart>
        <c:grouping val="standard"/>
        <c:varyColors val="0"/>
        <c:ser>
          <c:idx val="1"/>
          <c:order val="0"/>
          <c:tx>
            <c:v>Bull-Bear Scenario</c:v>
          </c:tx>
          <c:spPr>
            <a:solidFill>
              <a:schemeClr val="bg1">
                <a:lumMod val="85000"/>
              </a:schemeClr>
            </a:solidFill>
            <a:ln w="25400">
              <a:noFill/>
            </a:ln>
          </c:spPr>
          <c:cat>
            <c:strRef>
              <c:f>ChartSupport!$D$7:$W$7</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ChartSupport!$D$240:$W$240</c:f>
              <c:numCache>
                <c:formatCode>#,##0.0</c:formatCode>
                <c:ptCount val="20"/>
                <c:pt idx="0">
                  <c:v>#N/A</c:v>
                </c:pt>
                <c:pt idx="1">
                  <c:v>#N/A</c:v>
                </c:pt>
                <c:pt idx="2">
                  <c:v>#N/A</c:v>
                </c:pt>
                <c:pt idx="3">
                  <c:v>#N/A</c:v>
                </c:pt>
                <c:pt idx="4" formatCode="_(* #,##0_);_(* \(#,##0\);_(* &quot;-&quot;_);_(@_)">
                  <c:v>335.65811965811963</c:v>
                </c:pt>
                <c:pt idx="5" formatCode="_(* #,##0_);_(* \(#,##0\);_(* &quot;-&quot;_);_(@_)">
                  <c:v>294.35051546391753</c:v>
                </c:pt>
                <c:pt idx="6" formatCode="_(* #,##0_);_(* \(#,##0\);_(* &quot;-&quot;_);_(@_)">
                  <c:v>421.47545219638238</c:v>
                </c:pt>
                <c:pt idx="7" formatCode="_(* #,##0_);_(* \(#,##0\);_(* &quot;-&quot;_);_(@_)">
                  <c:v>404.72858617131061</c:v>
                </c:pt>
                <c:pt idx="8" formatCode="_(* #,##0_);_(* \(#,##0\);_(* &quot;-&quot;_);_(@_)">
                  <c:v>419.89350912778906</c:v>
                </c:pt>
                <c:pt idx="9" formatCode="_(* #,##0_);_(* \(#,##0\);_(* &quot;-&quot;_);_(@_)">
                  <c:v>380.00568643379364</c:v>
                </c:pt>
                <c:pt idx="10" formatCode="_(* #,##0_);_(* \(#,##0\);_(* &quot;-&quot;_);_(@_)">
                  <c:v>464.8130081300813</c:v>
                </c:pt>
                <c:pt idx="11" formatCode="_(* #,##0_);_(* \(#,##0\);_(* &quot;-&quot;_);_(@_)">
                  <c:v>540.44734819369705</c:v>
                </c:pt>
                <c:pt idx="12" formatCode="_(* #,##0_);_(* \(#,##0\);_(* &quot;-&quot;_);_(@_)">
                  <c:v>526.67410344040832</c:v>
                </c:pt>
                <c:pt idx="13" formatCode="_(* #,##0_);_(* \(#,##0\);_(* &quot;-&quot;_);_(@_)">
                  <c:v>523.53822730849174</c:v>
                </c:pt>
                <c:pt idx="14" formatCode="_(* #,##0_);_(* \(#,##0\);_(* &quot;-&quot;_);_(@_)">
                  <c:v>559.89902235009538</c:v>
                </c:pt>
                <c:pt idx="15" formatCode="_(* #,##0_);_(* \(#,##0\);_(* &quot;-&quot;_);_(@_)">
                  <c:v>582.70162857595983</c:v>
                </c:pt>
                <c:pt idx="16" formatCode="_(* #,##0_);_(* \(#,##0\);_(* &quot;-&quot;_);_(@_)">
                  <c:v>559.66779145191219</c:v>
                </c:pt>
                <c:pt idx="17" formatCode="_(* #,##0_);_(* \(#,##0\);_(* &quot;-&quot;_);_(@_)">
                  <c:v>531.23264410094566</c:v>
                </c:pt>
                <c:pt idx="18" formatCode="_(* #,##0_);_(* \(#,##0\);_(* &quot;-&quot;_);_(@_)">
                  <c:v>545.25826136251146</c:v>
                </c:pt>
                <c:pt idx="19" formatCode="_(* #,##0_);_(* \(#,##0\);_(* &quot;-&quot;_);_(@_)">
                  <c:v>512.54276568076079</c:v>
                </c:pt>
              </c:numCache>
            </c:numRef>
          </c:val>
        </c:ser>
        <c:ser>
          <c:idx val="3"/>
          <c:order val="1"/>
          <c:tx>
            <c:strRef>
              <c:f>ChartSupport!$A$163</c:f>
              <c:strCache>
                <c:ptCount val="1"/>
                <c:pt idx="0">
                  <c:v>Bear</c:v>
                </c:pt>
              </c:strCache>
            </c:strRef>
          </c:tx>
          <c:spPr>
            <a:solidFill>
              <a:schemeClr val="bg1"/>
            </a:solidFill>
            <a:ln w="25400">
              <a:noFill/>
            </a:ln>
          </c:spPr>
          <c:cat>
            <c:strRef>
              <c:f>ChartSupport!$D$7:$W$7</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ChartSupport!$D$238:$W$238</c:f>
              <c:numCache>
                <c:formatCode>#,##0.0</c:formatCode>
                <c:ptCount val="20"/>
                <c:pt idx="0">
                  <c:v>#N/A</c:v>
                </c:pt>
                <c:pt idx="1">
                  <c:v>#N/A</c:v>
                </c:pt>
                <c:pt idx="2">
                  <c:v>#N/A</c:v>
                </c:pt>
                <c:pt idx="3">
                  <c:v>#N/A</c:v>
                </c:pt>
                <c:pt idx="4" formatCode="_(* #,##0_);_(* \(#,##0\);_(* &quot;-&quot;_);_(@_)">
                  <c:v>335.65811965811963</c:v>
                </c:pt>
                <c:pt idx="5" formatCode="_(* #,##0_);_(* \(#,##0\);_(* &quot;-&quot;_);_(@_)">
                  <c:v>294.35051546391753</c:v>
                </c:pt>
                <c:pt idx="6" formatCode="_(* #,##0_);_(* \(#,##0\);_(* &quot;-&quot;_);_(@_)">
                  <c:v>421.47545219638238</c:v>
                </c:pt>
                <c:pt idx="7" formatCode="_(* #,##0_);_(* \(#,##0\);_(* &quot;-&quot;_);_(@_)">
                  <c:v>404.72858617131061</c:v>
                </c:pt>
                <c:pt idx="8" formatCode="_(* #,##0_);_(* \(#,##0\);_(* &quot;-&quot;_);_(@_)">
                  <c:v>419.89350912778906</c:v>
                </c:pt>
                <c:pt idx="9" formatCode="_(* #,##0_);_(* \(#,##0\);_(* &quot;-&quot;_);_(@_)">
                  <c:v>380.00568643379364</c:v>
                </c:pt>
                <c:pt idx="10" formatCode="_(* #,##0_);_(* \(#,##0\);_(* &quot;-&quot;_);_(@_)">
                  <c:v>464.8130081300813</c:v>
                </c:pt>
                <c:pt idx="11" formatCode="_(* #,##0_);_(* \(#,##0\);_(* &quot;-&quot;_);_(@_)">
                  <c:v>540.44734819369705</c:v>
                </c:pt>
                <c:pt idx="12" formatCode="_(* #,##0_);_(* \(#,##0\);_(* &quot;-&quot;_);_(@_)">
                  <c:v>479.91831690064578</c:v>
                </c:pt>
                <c:pt idx="13" formatCode="_(* #,##0_);_(* \(#,##0\);_(* &quot;-&quot;_);_(@_)">
                  <c:v>486.08876544259061</c:v>
                </c:pt>
                <c:pt idx="14" formatCode="_(* #,##0_);_(* \(#,##0\);_(* &quot;-&quot;_);_(@_)">
                  <c:v>544.47384605578645</c:v>
                </c:pt>
                <c:pt idx="15" formatCode="_(* #,##0_);_(* \(#,##0\);_(* &quot;-&quot;_);_(@_)">
                  <c:v>604.81004024030096</c:v>
                </c:pt>
                <c:pt idx="16" formatCode="_(* #,##0_);_(* \(#,##0\);_(* &quot;-&quot;_);_(@_)">
                  <c:v>600.27840526943953</c:v>
                </c:pt>
                <c:pt idx="17" formatCode="_(* #,##0_);_(* \(#,##0\);_(* &quot;-&quot;_);_(@_)">
                  <c:v>581.54349688836533</c:v>
                </c:pt>
                <c:pt idx="18" formatCode="_(* #,##0_);_(* \(#,##0\);_(* &quot;-&quot;_);_(@_)">
                  <c:v>618.80890643268424</c:v>
                </c:pt>
                <c:pt idx="19" formatCode="_(* #,##0_);_(* \(#,##0\);_(* &quot;-&quot;_);_(@_)">
                  <c:v>597.15059470754022</c:v>
                </c:pt>
              </c:numCache>
            </c:numRef>
          </c:val>
        </c:ser>
        <c:dLbls>
          <c:showLegendKey val="0"/>
          <c:showVal val="0"/>
          <c:showCatName val="0"/>
          <c:showSerName val="0"/>
          <c:showPercent val="0"/>
          <c:showBubbleSize val="0"/>
        </c:dLbls>
        <c:axId val="899353984"/>
        <c:axId val="899368064"/>
      </c:areaChart>
      <c:areaChart>
        <c:grouping val="standard"/>
        <c:varyColors val="0"/>
        <c:ser>
          <c:idx val="4"/>
          <c:order val="4"/>
          <c:tx>
            <c:strRef>
              <c:f>ChartSupport!$A$242</c:f>
              <c:strCache>
                <c:ptCount val="1"/>
                <c:pt idx="0">
                  <c:v>Sugar gross margin</c:v>
                </c:pt>
              </c:strCache>
            </c:strRef>
          </c:tx>
          <c:spPr>
            <a:solidFill>
              <a:schemeClr val="accent6">
                <a:lumMod val="60000"/>
                <a:lumOff val="40000"/>
              </a:schemeClr>
            </a:solidFill>
          </c:spPr>
          <c:val>
            <c:numRef>
              <c:f>ChartSupport!$D$242:$W$242</c:f>
              <c:numCache>
                <c:formatCode>#,##0.0</c:formatCode>
                <c:ptCount val="20"/>
                <c:pt idx="0">
                  <c:v>#N/A</c:v>
                </c:pt>
                <c:pt idx="1">
                  <c:v>#N/A</c:v>
                </c:pt>
                <c:pt idx="2">
                  <c:v>#N/A</c:v>
                </c:pt>
                <c:pt idx="3">
                  <c:v>#N/A</c:v>
                </c:pt>
                <c:pt idx="4" formatCode="_(* #,##0_);_(* \(#,##0\);_(* &quot;-&quot;_);_(@_)">
                  <c:v>375.53401421265107</c:v>
                </c:pt>
                <c:pt idx="5" formatCode="_(* #,##0_);_(* \(#,##0\);_(* &quot;-&quot;_);_(@_)">
                  <c:v>545.37084306275074</c:v>
                </c:pt>
                <c:pt idx="6" formatCode="_(* #,##0_);_(* \(#,##0\);_(* &quot;-&quot;_);_(@_)">
                  <c:v>507.16674741602066</c:v>
                </c:pt>
                <c:pt idx="7" formatCode="_(* #,##0_);_(* \(#,##0\);_(* &quot;-&quot;_);_(@_)">
                  <c:v>568.76659924151477</c:v>
                </c:pt>
                <c:pt idx="8" formatCode="_(* #,##0_);_(* \(#,##0\);_(* &quot;-&quot;_);_(@_)">
                  <c:v>472.23118820877261</c:v>
                </c:pt>
                <c:pt idx="9" formatCode="_(* #,##0_);_(* \(#,##0\);_(* &quot;-&quot;_);_(@_)">
                  <c:v>545.27423880620313</c:v>
                </c:pt>
                <c:pt idx="10" formatCode="_(* #,##0_);_(* \(#,##0\);_(* &quot;-&quot;_);_(@_)">
                  <c:v>583.25526830622175</c:v>
                </c:pt>
                <c:pt idx="11" formatCode="_(* #,##0_);_(* \(#,##0\);_(* &quot;-&quot;_);_(@_)">
                  <c:v>711.45947984923509</c:v>
                </c:pt>
                <c:pt idx="12" formatCode="_(* #,##0_);_(* \(#,##0\);_(* &quot;-&quot;_);_(@_)">
                  <c:v>900.74668989322049</c:v>
                </c:pt>
                <c:pt idx="13" formatCode="_(* #,##0_);_(* \(#,##0\);_(* &quot;-&quot;_);_(@_)">
                  <c:v>690.75077956208816</c:v>
                </c:pt>
                <c:pt idx="14" formatCode="_(* #,##0_);_(* \(#,##0\);_(* &quot;-&quot;_);_(@_)">
                  <c:v>711.91398658106232</c:v>
                </c:pt>
                <c:pt idx="15" formatCode="_(* #,##0_);_(* \(#,##0\);_(* &quot;-&quot;_);_(@_)">
                  <c:v>901.01792151546294</c:v>
                </c:pt>
                <c:pt idx="16" formatCode="_(* #,##0_);_(* \(#,##0\);_(* &quot;-&quot;_);_(@_)">
                  <c:v>967.84607548317945</c:v>
                </c:pt>
                <c:pt idx="17" formatCode="_(* #,##0_);_(* \(#,##0\);_(* &quot;-&quot;_);_(@_)">
                  <c:v>733.18359913036886</c:v>
                </c:pt>
                <c:pt idx="18" formatCode="_(* #,##0_);_(* \(#,##0\);_(* &quot;-&quot;_);_(@_)">
                  <c:v>571.58067674738174</c:v>
                </c:pt>
                <c:pt idx="19" formatCode="_(* #,##0_);_(* \(#,##0\);_(* &quot;-&quot;_);_(@_)">
                  <c:v>756.07056550843856</c:v>
                </c:pt>
              </c:numCache>
            </c:numRef>
          </c:val>
        </c:ser>
        <c:dLbls>
          <c:showLegendKey val="0"/>
          <c:showVal val="0"/>
          <c:showCatName val="0"/>
          <c:showSerName val="0"/>
          <c:showPercent val="0"/>
          <c:showBubbleSize val="0"/>
        </c:dLbls>
        <c:axId val="899369984"/>
        <c:axId val="899375872"/>
      </c:areaChart>
      <c:lineChart>
        <c:grouping val="standard"/>
        <c:varyColors val="0"/>
        <c:ser>
          <c:idx val="2"/>
          <c:order val="2"/>
          <c:tx>
            <c:strRef>
              <c:f>ChartSupport!$A$237</c:f>
              <c:strCache>
                <c:ptCount val="1"/>
                <c:pt idx="0">
                  <c:v>Sugar Cash cost (R$/ton)</c:v>
                </c:pt>
              </c:strCache>
            </c:strRef>
          </c:tx>
          <c:spPr>
            <a:ln w="25400">
              <a:solidFill>
                <a:schemeClr val="accent1"/>
              </a:solidFill>
              <a:prstDash val="solid"/>
            </a:ln>
          </c:spPr>
          <c:marker>
            <c:symbol val="none"/>
          </c:marker>
          <c:cat>
            <c:strRef>
              <c:f>ChartSupport!$D$210:$W$210</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ChartSupport!$D$239:$W$239</c:f>
              <c:numCache>
                <c:formatCode>#,##0.0</c:formatCode>
                <c:ptCount val="20"/>
                <c:pt idx="0">
                  <c:v>#N/A</c:v>
                </c:pt>
                <c:pt idx="1">
                  <c:v>#N/A</c:v>
                </c:pt>
                <c:pt idx="2">
                  <c:v>#N/A</c:v>
                </c:pt>
                <c:pt idx="3">
                  <c:v>#N/A</c:v>
                </c:pt>
                <c:pt idx="4" formatCode="_(* #,##0_);_(* \(#,##0\);_(* &quot;-&quot;_);_(@_)">
                  <c:v>335.65811965811963</c:v>
                </c:pt>
                <c:pt idx="5" formatCode="_(* #,##0_);_(* \(#,##0\);_(* &quot;-&quot;_);_(@_)">
                  <c:v>294.35051546391753</c:v>
                </c:pt>
                <c:pt idx="6" formatCode="_(* #,##0_);_(* \(#,##0\);_(* &quot;-&quot;_);_(@_)">
                  <c:v>421.47545219638238</c:v>
                </c:pt>
                <c:pt idx="7" formatCode="_(* #,##0_);_(* \(#,##0\);_(* &quot;-&quot;_);_(@_)">
                  <c:v>404.72858617131061</c:v>
                </c:pt>
                <c:pt idx="8" formatCode="_(* #,##0_);_(* \(#,##0\);_(* &quot;-&quot;_);_(@_)">
                  <c:v>419.89350912778906</c:v>
                </c:pt>
                <c:pt idx="9" formatCode="_(* #,##0_);_(* \(#,##0\);_(* &quot;-&quot;_);_(@_)">
                  <c:v>380.00568643379364</c:v>
                </c:pt>
                <c:pt idx="10" formatCode="_(* #,##0_);_(* \(#,##0\);_(* &quot;-&quot;_);_(@_)">
                  <c:v>464.8130081300813</c:v>
                </c:pt>
                <c:pt idx="11" formatCode="_(* #,##0_);_(* \(#,##0\);_(* &quot;-&quot;_);_(@_)">
                  <c:v>540.44734819369705</c:v>
                </c:pt>
                <c:pt idx="12" formatCode="_(* #,##0_);_(* \(#,##0\);_(* &quot;-&quot;_);_(@_)">
                  <c:v>507.1305245299186</c:v>
                </c:pt>
                <c:pt idx="13" formatCode="_(* #,##0_);_(* \(#,##0\);_(* &quot;-&quot;_);_(@_)">
                  <c:v>512.53864833248508</c:v>
                </c:pt>
                <c:pt idx="14" formatCode="_(* #,##0_);_(* \(#,##0\);_(* &quot;-&quot;_);_(@_)">
                  <c:v>533.19481983669561</c:v>
                </c:pt>
                <c:pt idx="15" formatCode="_(* #,##0_);_(* \(#,##0\);_(* &quot;-&quot;_);_(@_)">
                  <c:v>589.26822832689129</c:v>
                </c:pt>
                <c:pt idx="16" formatCode="_(* #,##0_);_(* \(#,##0\);_(* &quot;-&quot;_);_(@_)">
                  <c:v>619.00142861769882</c:v>
                </c:pt>
                <c:pt idx="17" formatCode="_(* #,##0_);_(* \(#,##0\);_(* &quot;-&quot;_);_(@_)">
                  <c:v>593.91317171006688</c:v>
                </c:pt>
                <c:pt idx="18" formatCode="_(* #,##0_);_(* \(#,##0\);_(* &quot;-&quot;_);_(@_)">
                  <c:v>576.69103480975548</c:v>
                </c:pt>
                <c:pt idx="19" formatCode="_(* #,##0_);_(* \(#,##0\);_(* &quot;-&quot;_);_(@_)">
                  <c:v>553.62339341736526</c:v>
                </c:pt>
              </c:numCache>
            </c:numRef>
          </c:val>
          <c:smooth val="0"/>
        </c:ser>
        <c:dLbls>
          <c:showLegendKey val="0"/>
          <c:showVal val="0"/>
          <c:showCatName val="0"/>
          <c:showSerName val="0"/>
          <c:showPercent val="0"/>
          <c:showBubbleSize val="0"/>
        </c:dLbls>
        <c:marker val="1"/>
        <c:smooth val="0"/>
        <c:axId val="899353984"/>
        <c:axId val="899368064"/>
      </c:lineChart>
      <c:lineChart>
        <c:grouping val="standard"/>
        <c:varyColors val="0"/>
        <c:ser>
          <c:idx val="0"/>
          <c:order val="3"/>
          <c:tx>
            <c:strRef>
              <c:f>ChartSupport!$A$162</c:f>
              <c:strCache>
                <c:ptCount val="1"/>
                <c:pt idx="0">
                  <c:v>Sugar Prices (R$/ton)</c:v>
                </c:pt>
              </c:strCache>
            </c:strRef>
          </c:tx>
          <c:spPr>
            <a:ln w="15875">
              <a:solidFill>
                <a:srgbClr val="FF0000"/>
              </a:solidFill>
              <a:prstDash val="sysDash"/>
            </a:ln>
          </c:spPr>
          <c:marker>
            <c:symbol val="none"/>
          </c:marker>
          <c:cat>
            <c:strRef>
              <c:f>ChartSupport!$D$12:$W$12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ChartSupport!$D$164:$W$164</c:f>
              <c:numCache>
                <c:formatCode>#,##0</c:formatCode>
                <c:ptCount val="20"/>
                <c:pt idx="0">
                  <c:v>549.87709759784548</c:v>
                </c:pt>
                <c:pt idx="1">
                  <c:v>624.90574295252998</c:v>
                </c:pt>
                <c:pt idx="2">
                  <c:v>452.08478127006822</c:v>
                </c:pt>
                <c:pt idx="3">
                  <c:v>548.48455829542741</c:v>
                </c:pt>
                <c:pt idx="4">
                  <c:v>711.1921338707707</c:v>
                </c:pt>
                <c:pt idx="5">
                  <c:v>839.72135852666827</c:v>
                </c:pt>
                <c:pt idx="6">
                  <c:v>928.64219961240303</c:v>
                </c:pt>
                <c:pt idx="7">
                  <c:v>973.49518541282532</c:v>
                </c:pt>
                <c:pt idx="8">
                  <c:v>892.12469733656167</c:v>
                </c:pt>
                <c:pt idx="9">
                  <c:v>925.27992523999671</c:v>
                </c:pt>
                <c:pt idx="10">
                  <c:v>1048.068276436303</c:v>
                </c:pt>
                <c:pt idx="11">
                  <c:v>1251.9068280429321</c:v>
                </c:pt>
                <c:pt idx="12">
                  <c:v>1407.8772144231391</c:v>
                </c:pt>
                <c:pt idx="13">
                  <c:v>1203.2894278945732</c:v>
                </c:pt>
                <c:pt idx="14">
                  <c:v>1245.1088064177579</c:v>
                </c:pt>
                <c:pt idx="15">
                  <c:v>1490.2861498423542</c:v>
                </c:pt>
                <c:pt idx="16">
                  <c:v>1586.8475041008783</c:v>
                </c:pt>
                <c:pt idx="17">
                  <c:v>1327.0967708404357</c:v>
                </c:pt>
                <c:pt idx="18">
                  <c:v>1148.2717115571372</c:v>
                </c:pt>
                <c:pt idx="19">
                  <c:v>1309.6939589258038</c:v>
                </c:pt>
              </c:numCache>
            </c:numRef>
          </c:val>
          <c:smooth val="0"/>
        </c:ser>
        <c:dLbls>
          <c:showLegendKey val="0"/>
          <c:showVal val="0"/>
          <c:showCatName val="0"/>
          <c:showSerName val="0"/>
          <c:showPercent val="0"/>
          <c:showBubbleSize val="0"/>
        </c:dLbls>
        <c:marker val="1"/>
        <c:smooth val="0"/>
        <c:axId val="899369984"/>
        <c:axId val="899375872"/>
      </c:lineChart>
      <c:catAx>
        <c:axId val="899353984"/>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99368064"/>
        <c:crosses val="autoZero"/>
        <c:auto val="1"/>
        <c:lblAlgn val="ctr"/>
        <c:lblOffset val="100"/>
        <c:tickLblSkip val="1"/>
        <c:tickMarkSkip val="1"/>
        <c:noMultiLvlLbl val="0"/>
      </c:catAx>
      <c:valAx>
        <c:axId val="899368064"/>
        <c:scaling>
          <c:orientation val="minMax"/>
        </c:scaling>
        <c:delete val="1"/>
        <c:axPos val="r"/>
        <c:title>
          <c:tx>
            <c:rich>
              <a:bodyPr rot="0" vert="horz"/>
              <a:lstStyle/>
              <a:p>
                <a:pPr algn="ctr" rtl="0">
                  <a:defRPr sz="900"/>
                </a:pPr>
                <a:r>
                  <a:rPr lang="en-US" sz="900" b="0" i="0" baseline="0">
                    <a:solidFill>
                      <a:schemeClr val="bg1">
                        <a:lumMod val="50000"/>
                      </a:schemeClr>
                    </a:solidFill>
                    <a:effectLst/>
                  </a:rPr>
                  <a:t>BRL/Tn</a:t>
                </a:r>
                <a:endParaRPr lang="en-US" sz="900">
                  <a:solidFill>
                    <a:schemeClr val="bg1">
                      <a:lumMod val="50000"/>
                    </a:schemeClr>
                  </a:solidFill>
                  <a:effectLst/>
                </a:endParaRPr>
              </a:p>
            </c:rich>
          </c:tx>
          <c:layout>
            <c:manualLayout>
              <c:xMode val="edge"/>
              <c:yMode val="edge"/>
              <c:x val="0.12929175853018371"/>
              <c:y val="1.2185519492990205E-3"/>
            </c:manualLayout>
          </c:layout>
          <c:overlay val="0"/>
        </c:title>
        <c:numFmt formatCode="#,##0" sourceLinked="0"/>
        <c:majorTickMark val="out"/>
        <c:minorTickMark val="none"/>
        <c:tickLblPos val="nextTo"/>
        <c:crossAx val="899353984"/>
        <c:crosses val="max"/>
        <c:crossBetween val="between"/>
      </c:valAx>
      <c:catAx>
        <c:axId val="899369984"/>
        <c:scaling>
          <c:orientation val="minMax"/>
        </c:scaling>
        <c:delete val="1"/>
        <c:axPos val="b"/>
        <c:majorTickMark val="out"/>
        <c:minorTickMark val="none"/>
        <c:tickLblPos val="nextTo"/>
        <c:crossAx val="899375872"/>
        <c:crosses val="autoZero"/>
        <c:auto val="1"/>
        <c:lblAlgn val="ctr"/>
        <c:lblOffset val="100"/>
        <c:noMultiLvlLbl val="0"/>
      </c:catAx>
      <c:valAx>
        <c:axId val="899375872"/>
        <c:scaling>
          <c:orientation val="minMax"/>
          <c:max val="2000"/>
          <c:min val="0"/>
        </c:scaling>
        <c:delete val="0"/>
        <c:axPos val="l"/>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99369984"/>
        <c:crosses val="autoZero"/>
        <c:crossBetween val="between"/>
      </c:valAx>
      <c:spPr>
        <a:noFill/>
        <a:ln w="25400">
          <a:noFill/>
        </a:ln>
      </c:spPr>
    </c:plotArea>
    <c:legend>
      <c:legendPos val="r"/>
      <c:legendEntry>
        <c:idx val="1"/>
        <c:delete val="1"/>
      </c:legendEntry>
      <c:layout>
        <c:manualLayout>
          <c:xMode val="edge"/>
          <c:yMode val="edge"/>
          <c:x val="0.24657945756780403"/>
          <c:y val="2.2632994046475926E-3"/>
          <c:w val="0.57351195100612429"/>
          <c:h val="0.19285865181486461"/>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8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589676290463686E-2"/>
          <c:y val="4.7022015548490691E-2"/>
          <c:w val="0.79044564741907264"/>
          <c:h val="0.79052768813182583"/>
        </c:manualLayout>
      </c:layout>
      <c:areaChart>
        <c:grouping val="standard"/>
        <c:varyColors val="0"/>
        <c:ser>
          <c:idx val="1"/>
          <c:order val="0"/>
          <c:tx>
            <c:v>Bull-Bear Scenario</c:v>
          </c:tx>
          <c:spPr>
            <a:solidFill>
              <a:schemeClr val="bg1">
                <a:lumMod val="85000"/>
              </a:schemeClr>
            </a:solidFill>
            <a:ln w="25400">
              <a:noFill/>
            </a:ln>
          </c:spPr>
          <c:cat>
            <c:strRef>
              <c:f>ChartSupport!$D$7:$W$7</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ChartSupport!$D$252:$W$252</c:f>
              <c:numCache>
                <c:formatCode>#,##0.0</c:formatCode>
                <c:ptCount val="20"/>
                <c:pt idx="0">
                  <c:v>#N/A</c:v>
                </c:pt>
                <c:pt idx="1">
                  <c:v>#N/A</c:v>
                </c:pt>
                <c:pt idx="2">
                  <c:v>#N/A</c:v>
                </c:pt>
                <c:pt idx="3">
                  <c:v>#N/A</c:v>
                </c:pt>
                <c:pt idx="4" formatCode="_(* #,##0_);_(* \(#,##0\);_(* &quot;-&quot;_);_(@_)">
                  <c:v>491.00674536256315</c:v>
                </c:pt>
                <c:pt idx="5" formatCode="_(* #,##0_);_(* \(#,##0\);_(* &quot;-&quot;_);_(@_)">
                  <c:v>403.21238938053096</c:v>
                </c:pt>
                <c:pt idx="6" formatCode="_(* #,##0_);_(* \(#,##0\);_(* &quot;-&quot;_);_(@_)">
                  <c:v>749.8733509234828</c:v>
                </c:pt>
                <c:pt idx="7" formatCode="_(* #,##0_);_(* \(#,##0\);_(* &quot;-&quot;_);_(@_)">
                  <c:v>691.68292682926835</c:v>
                </c:pt>
                <c:pt idx="8" formatCode="_(* #,##0_);_(* \(#,##0\);_(* &quot;-&quot;_);_(@_)">
                  <c:v>676.73593749999998</c:v>
                </c:pt>
                <c:pt idx="9" formatCode="_(* #,##0_);_(* \(#,##0\);_(* &quot;-&quot;_);_(@_)">
                  <c:v>612.83059418457651</c:v>
                </c:pt>
                <c:pt idx="10" formatCode="_(* #,##0_);_(* \(#,##0\);_(* &quot;-&quot;_);_(@_)">
                  <c:v>833.66577896138483</c:v>
                </c:pt>
                <c:pt idx="11" formatCode="_(* #,##0_);_(* \(#,##0\);_(* &quot;-&quot;_);_(@_)">
                  <c:v>943.14992503748135</c:v>
                </c:pt>
                <c:pt idx="12" formatCode="_(* #,##0_);_(* \(#,##0\);_(* &quot;-&quot;_);_(@_)">
                  <c:v>917.69912188993624</c:v>
                </c:pt>
                <c:pt idx="13" formatCode="_(* #,##0_);_(* \(#,##0\);_(* &quot;-&quot;_);_(@_)">
                  <c:v>910.8584906676017</c:v>
                </c:pt>
                <c:pt idx="14" formatCode="_(* #,##0_);_(* \(#,##0\);_(* &quot;-&quot;_);_(@_)">
                  <c:v>972.75317827878075</c:v>
                </c:pt>
                <c:pt idx="15" formatCode="_(* #,##0_);_(* \(#,##0\);_(* &quot;-&quot;_);_(@_)">
                  <c:v>1010.9106700695612</c:v>
                </c:pt>
                <c:pt idx="16" formatCode="_(* #,##0_);_(* \(#,##0\);_(* &quot;-&quot;_);_(@_)">
                  <c:v>976.00454615485694</c:v>
                </c:pt>
                <c:pt idx="17" formatCode="_(* #,##0_);_(* \(#,##0\);_(* &quot;-&quot;_);_(@_)">
                  <c:v>931.29652128130317</c:v>
                </c:pt>
                <c:pt idx="18" formatCode="_(* #,##0_);_(* \(#,##0\);_(* &quot;-&quot;_);_(@_)">
                  <c:v>960.54111741869417</c:v>
                </c:pt>
                <c:pt idx="19" formatCode="_(* #,##0_);_(* \(#,##0\);_(* &quot;-&quot;_);_(@_)">
                  <c:v>907.71135596066597</c:v>
                </c:pt>
              </c:numCache>
            </c:numRef>
          </c:val>
        </c:ser>
        <c:ser>
          <c:idx val="3"/>
          <c:order val="1"/>
          <c:tx>
            <c:strRef>
              <c:f>ChartSupport!$A$163</c:f>
              <c:strCache>
                <c:ptCount val="1"/>
                <c:pt idx="0">
                  <c:v>Bear</c:v>
                </c:pt>
              </c:strCache>
            </c:strRef>
          </c:tx>
          <c:spPr>
            <a:solidFill>
              <a:schemeClr val="bg1"/>
            </a:solidFill>
            <a:ln w="25400">
              <a:noFill/>
            </a:ln>
          </c:spPr>
          <c:cat>
            <c:strRef>
              <c:f>ChartSupport!$D$7:$W$7</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ChartSupport!$D$250:$W$250</c:f>
              <c:numCache>
                <c:formatCode>#,##0.0</c:formatCode>
                <c:ptCount val="20"/>
                <c:pt idx="0">
                  <c:v>#N/A</c:v>
                </c:pt>
                <c:pt idx="1">
                  <c:v>#N/A</c:v>
                </c:pt>
                <c:pt idx="2">
                  <c:v>#N/A</c:v>
                </c:pt>
                <c:pt idx="3">
                  <c:v>#N/A</c:v>
                </c:pt>
                <c:pt idx="4" formatCode="_(* #,##0_);_(* \(#,##0\);_(* &quot;-&quot;_);_(@_)">
                  <c:v>491.00674536256315</c:v>
                </c:pt>
                <c:pt idx="5" formatCode="_(* #,##0_);_(* \(#,##0\);_(* &quot;-&quot;_);_(@_)">
                  <c:v>403.21238938053096</c:v>
                </c:pt>
                <c:pt idx="6" formatCode="_(* #,##0_);_(* \(#,##0\);_(* &quot;-&quot;_);_(@_)">
                  <c:v>749.8733509234828</c:v>
                </c:pt>
                <c:pt idx="7" formatCode="_(* #,##0_);_(* \(#,##0\);_(* &quot;-&quot;_);_(@_)">
                  <c:v>691.68292682926835</c:v>
                </c:pt>
                <c:pt idx="8" formatCode="_(* #,##0_);_(* \(#,##0\);_(* &quot;-&quot;_);_(@_)">
                  <c:v>676.73593749999998</c:v>
                </c:pt>
                <c:pt idx="9" formatCode="_(* #,##0_);_(* \(#,##0\);_(* &quot;-&quot;_);_(@_)">
                  <c:v>612.83059418457651</c:v>
                </c:pt>
                <c:pt idx="10" formatCode="_(* #,##0_);_(* \(#,##0\);_(* &quot;-&quot;_);_(@_)">
                  <c:v>833.66577896138483</c:v>
                </c:pt>
                <c:pt idx="11" formatCode="_(* #,##0_);_(* \(#,##0\);_(* &quot;-&quot;_);_(@_)">
                  <c:v>943.14992503748135</c:v>
                </c:pt>
                <c:pt idx="12" formatCode="_(* #,##0_);_(* \(#,##0\);_(* &quot;-&quot;_);_(@_)">
                  <c:v>837.51900369531154</c:v>
                </c:pt>
                <c:pt idx="13" formatCode="_(* #,##0_);_(* \(#,##0\);_(* &quot;-&quot;_);_(@_)">
                  <c:v>848.28722764762358</c:v>
                </c:pt>
                <c:pt idx="14" formatCode="_(* #,##0_);_(* \(#,##0\);_(* &quot;-&quot;_);_(@_)">
                  <c:v>950.17668013117475</c:v>
                </c:pt>
                <c:pt idx="15" formatCode="_(* #,##0_);_(* \(#,##0\);_(* &quot;-&quot;_);_(@_)">
                  <c:v>1055.4710759911329</c:v>
                </c:pt>
                <c:pt idx="16" formatCode="_(* #,##0_);_(* \(#,##0\);_(* &quot;-&quot;_);_(@_)">
                  <c:v>1047.5627918680818</c:v>
                </c:pt>
                <c:pt idx="17" formatCode="_(* #,##0_);_(* \(#,##0\);_(* &quot;-&quot;_);_(@_)">
                  <c:v>1014.8679743354378</c:v>
                </c:pt>
                <c:pt idx="18" formatCode="_(* #,##0_);_(* \(#,##0\);_(* &quot;-&quot;_);_(@_)">
                  <c:v>1079.9008925941444</c:v>
                </c:pt>
                <c:pt idx="19" formatCode="_(* #,##0_);_(* \(#,##0\);_(* &quot;-&quot;_);_(@_)">
                  <c:v>1042.1043613533493</c:v>
                </c:pt>
              </c:numCache>
            </c:numRef>
          </c:val>
        </c:ser>
        <c:dLbls>
          <c:showLegendKey val="0"/>
          <c:showVal val="0"/>
          <c:showCatName val="0"/>
          <c:showSerName val="0"/>
          <c:showPercent val="0"/>
          <c:showBubbleSize val="0"/>
        </c:dLbls>
        <c:axId val="899426176"/>
        <c:axId val="899427712"/>
      </c:areaChart>
      <c:areaChart>
        <c:grouping val="standard"/>
        <c:varyColors val="0"/>
        <c:ser>
          <c:idx val="4"/>
          <c:order val="4"/>
          <c:tx>
            <c:strRef>
              <c:f>ChartSupport!$A$254</c:f>
              <c:strCache>
                <c:ptCount val="1"/>
                <c:pt idx="0">
                  <c:v>Ethanol gross margin</c:v>
                </c:pt>
              </c:strCache>
            </c:strRef>
          </c:tx>
          <c:spPr>
            <a:solidFill>
              <a:schemeClr val="accent6">
                <a:lumMod val="60000"/>
                <a:lumOff val="40000"/>
              </a:schemeClr>
            </a:solidFill>
          </c:spPr>
          <c:val>
            <c:numRef>
              <c:f>ChartSupport!$D$254:$W$254</c:f>
              <c:numCache>
                <c:formatCode>#,##0.0</c:formatCode>
                <c:ptCount val="20"/>
                <c:pt idx="0">
                  <c:v>#N/A</c:v>
                </c:pt>
                <c:pt idx="1">
                  <c:v>#N/A</c:v>
                </c:pt>
                <c:pt idx="2">
                  <c:v>#N/A</c:v>
                </c:pt>
                <c:pt idx="3">
                  <c:v>#N/A</c:v>
                </c:pt>
                <c:pt idx="4" formatCode="_(* #,##0_);_(* \(#,##0\);_(* &quot;-&quot;_);_(@_)">
                  <c:v>366.9486205711421</c:v>
                </c:pt>
                <c:pt idx="5" formatCode="_(* #,##0_);_(* \(#,##0\);_(* &quot;-&quot;_);_(@_)">
                  <c:v>591.55369807411876</c:v>
                </c:pt>
                <c:pt idx="6" formatCode="_(* #,##0_);_(* \(#,##0\);_(* &quot;-&quot;_);_(@_)">
                  <c:v>508.39770039689574</c:v>
                </c:pt>
                <c:pt idx="7" formatCode="_(* #,##0_);_(* \(#,##0\);_(* &quot;-&quot;_);_(@_)">
                  <c:v>519.86543164455566</c:v>
                </c:pt>
                <c:pt idx="8" formatCode="_(* #,##0_);_(* \(#,##0\);_(* &quot;-&quot;_);_(@_)">
                  <c:v>640.41564408471652</c:v>
                </c:pt>
                <c:pt idx="9" formatCode="_(* #,##0_);_(* \(#,##0\);_(* &quot;-&quot;_);_(@_)">
                  <c:v>736.2764986104894</c:v>
                </c:pt>
                <c:pt idx="10" formatCode="_(* #,##0_);_(* \(#,##0\);_(* &quot;-&quot;_);_(@_)">
                  <c:v>803.6449128625145</c:v>
                </c:pt>
                <c:pt idx="11" formatCode="_(* #,##0_);_(* \(#,##0\);_(* &quot;-&quot;_);_(@_)">
                  <c:v>830.72894094189996</c:v>
                </c:pt>
                <c:pt idx="12" formatCode="_(* #,##0_);_(* \(#,##0\);_(* &quot;-&quot;_);_(@_)">
                  <c:v>806.36071863375332</c:v>
                </c:pt>
                <c:pt idx="13" formatCode="_(* #,##0_);_(* \(#,##0\);_(* &quot;-&quot;_);_(@_)">
                  <c:v>946.704287494818</c:v>
                </c:pt>
                <c:pt idx="14" formatCode="_(* #,##0_);_(* \(#,##0\);_(* &quot;-&quot;_);_(@_)">
                  <c:v>1040.3150668045364</c:v>
                </c:pt>
                <c:pt idx="15" formatCode="_(* #,##0_);_(* \(#,##0\);_(* &quot;-&quot;_);_(@_)">
                  <c:v>1016.8941000648929</c:v>
                </c:pt>
                <c:pt idx="16" formatCode="_(* #,##0_);_(* \(#,##0\);_(* &quot;-&quot;_);_(@_)">
                  <c:v>1014.091678132535</c:v>
                </c:pt>
                <c:pt idx="17" formatCode="_(* #,##0_);_(* \(#,##0\);_(* &quot;-&quot;_);_(@_)">
                  <c:v>1108.1377886632488</c:v>
                </c:pt>
                <c:pt idx="18" formatCode="_(* #,##0_);_(* \(#,##0\);_(* &quot;-&quot;_);_(@_)">
                  <c:v>1189.6628443387269</c:v>
                </c:pt>
                <c:pt idx="19" formatCode="_(* #,##0_);_(* \(#,##0\);_(* &quot;-&quot;_);_(@_)">
                  <c:v>1377.7968579776298</c:v>
                </c:pt>
              </c:numCache>
            </c:numRef>
          </c:val>
        </c:ser>
        <c:dLbls>
          <c:showLegendKey val="0"/>
          <c:showVal val="0"/>
          <c:showCatName val="0"/>
          <c:showSerName val="0"/>
          <c:showPercent val="0"/>
          <c:showBubbleSize val="0"/>
        </c:dLbls>
        <c:axId val="899433984"/>
        <c:axId val="899435520"/>
      </c:areaChart>
      <c:lineChart>
        <c:grouping val="standard"/>
        <c:varyColors val="0"/>
        <c:ser>
          <c:idx val="2"/>
          <c:order val="2"/>
          <c:tx>
            <c:strRef>
              <c:f>ChartSupport!$A$249</c:f>
              <c:strCache>
                <c:ptCount val="1"/>
                <c:pt idx="0">
                  <c:v>Ethanol Cash cost (R$/cbm)</c:v>
                </c:pt>
              </c:strCache>
            </c:strRef>
          </c:tx>
          <c:spPr>
            <a:ln w="25400">
              <a:solidFill>
                <a:schemeClr val="accent1"/>
              </a:solidFill>
              <a:prstDash val="solid"/>
            </a:ln>
          </c:spPr>
          <c:marker>
            <c:symbol val="none"/>
          </c:marker>
          <c:cat>
            <c:strRef>
              <c:f>ChartSupport!$D$12:$W$12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ChartSupport!$D$251:$W$251</c:f>
              <c:numCache>
                <c:formatCode>#,##0.0</c:formatCode>
                <c:ptCount val="20"/>
                <c:pt idx="0">
                  <c:v>#N/A</c:v>
                </c:pt>
                <c:pt idx="1">
                  <c:v>#N/A</c:v>
                </c:pt>
                <c:pt idx="2">
                  <c:v>#N/A</c:v>
                </c:pt>
                <c:pt idx="3">
                  <c:v>#N/A</c:v>
                </c:pt>
                <c:pt idx="4" formatCode="_(* #,##0_);_(* \(#,##0\);_(* &quot;-&quot;_);_(@_)">
                  <c:v>491.00674536256315</c:v>
                </c:pt>
                <c:pt idx="5" formatCode="_(* #,##0_);_(* \(#,##0\);_(* &quot;-&quot;_);_(@_)">
                  <c:v>403.21238938053096</c:v>
                </c:pt>
                <c:pt idx="6" formatCode="_(* #,##0_);_(* \(#,##0\);_(* &quot;-&quot;_);_(@_)">
                  <c:v>749.8733509234828</c:v>
                </c:pt>
                <c:pt idx="7" formatCode="_(* #,##0_);_(* \(#,##0\);_(* &quot;-&quot;_);_(@_)">
                  <c:v>691.68292682926835</c:v>
                </c:pt>
                <c:pt idx="8" formatCode="_(* #,##0_);_(* \(#,##0\);_(* &quot;-&quot;_);_(@_)">
                  <c:v>676.73593749999998</c:v>
                </c:pt>
                <c:pt idx="9" formatCode="_(* #,##0_);_(* \(#,##0\);_(* &quot;-&quot;_);_(@_)">
                  <c:v>612.83059418457651</c:v>
                </c:pt>
                <c:pt idx="10" formatCode="_(* #,##0_);_(* \(#,##0\);_(* &quot;-&quot;_);_(@_)">
                  <c:v>833.66577896138483</c:v>
                </c:pt>
                <c:pt idx="11" formatCode="_(* #,##0_);_(* \(#,##0\);_(* &quot;-&quot;_);_(@_)">
                  <c:v>943.14992503748135</c:v>
                </c:pt>
                <c:pt idx="12" formatCode="_(* #,##0_);_(* \(#,##0\);_(* &quot;-&quot;_);_(@_)">
                  <c:v>885.00779547388561</c:v>
                </c:pt>
                <c:pt idx="13" formatCode="_(* #,##0_);_(* \(#,##0\);_(* &quot;-&quot;_);_(@_)">
                  <c:v>894.44566500184544</c:v>
                </c:pt>
                <c:pt idx="14" formatCode="_(* #,##0_);_(* \(#,##0\);_(* &quot;-&quot;_);_(@_)">
                  <c:v>930.49333305104676</c:v>
                </c:pt>
                <c:pt idx="15" formatCode="_(* #,##0_);_(* \(#,##0\);_(* &quot;-&quot;_);_(@_)">
                  <c:v>1028.3486212504993</c:v>
                </c:pt>
                <c:pt idx="16" formatCode="_(* #,##0_);_(* \(#,##0\);_(* &quot;-&quot;_);_(@_)">
                  <c:v>1080.2368684944267</c:v>
                </c:pt>
                <c:pt idx="17" formatCode="_(* #,##0_);_(* \(#,##0\);_(* &quot;-&quot;_);_(@_)">
                  <c:v>1036.4546430827597</c:v>
                </c:pt>
                <c:pt idx="18" formatCode="_(* #,##0_);_(* \(#,##0\);_(* &quot;-&quot;_);_(@_)">
                  <c:v>1006.3998057691858</c:v>
                </c:pt>
                <c:pt idx="19" formatCode="_(* #,##0_);_(* \(#,##0\);_(* &quot;-&quot;_);_(@_)">
                  <c:v>966.14381353841839</c:v>
                </c:pt>
              </c:numCache>
            </c:numRef>
          </c:val>
          <c:smooth val="0"/>
        </c:ser>
        <c:dLbls>
          <c:showLegendKey val="0"/>
          <c:showVal val="0"/>
          <c:showCatName val="0"/>
          <c:showSerName val="0"/>
          <c:showPercent val="0"/>
          <c:showBubbleSize val="0"/>
        </c:dLbls>
        <c:marker val="1"/>
        <c:smooth val="0"/>
        <c:axId val="899426176"/>
        <c:axId val="899427712"/>
      </c:lineChart>
      <c:lineChart>
        <c:grouping val="standard"/>
        <c:varyColors val="0"/>
        <c:ser>
          <c:idx val="0"/>
          <c:order val="3"/>
          <c:tx>
            <c:strRef>
              <c:f>ChartSupport!$A$172</c:f>
              <c:strCache>
                <c:ptCount val="1"/>
                <c:pt idx="0">
                  <c:v>Ethanol Prices (R$/cbm)</c:v>
                </c:pt>
              </c:strCache>
            </c:strRef>
          </c:tx>
          <c:spPr>
            <a:ln w="15875">
              <a:solidFill>
                <a:srgbClr val="FF0000"/>
              </a:solidFill>
              <a:prstDash val="sysDash"/>
            </a:ln>
          </c:spPr>
          <c:marker>
            <c:symbol val="none"/>
          </c:marker>
          <c:cat>
            <c:strRef>
              <c:f>ChartSupport!$D$12:$W$12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ChartSupport!$D$174:$W$174</c:f>
              <c:numCache>
                <c:formatCode>#,##0</c:formatCode>
                <c:ptCount val="20"/>
                <c:pt idx="0">
                  <c:v>850.76573527607229</c:v>
                </c:pt>
                <c:pt idx="1">
                  <c:v>916.0210009941004</c:v>
                </c:pt>
                <c:pt idx="2">
                  <c:v>749.30788867466026</c:v>
                </c:pt>
                <c:pt idx="3">
                  <c:v>769.57647434872933</c:v>
                </c:pt>
                <c:pt idx="4">
                  <c:v>857.95536593370525</c:v>
                </c:pt>
                <c:pt idx="5">
                  <c:v>994.76608745464966</c:v>
                </c:pt>
                <c:pt idx="6">
                  <c:v>1258.2710513203785</c:v>
                </c:pt>
                <c:pt idx="7">
                  <c:v>1211.548358473824</c:v>
                </c:pt>
                <c:pt idx="8">
                  <c:v>1317.1515815847165</c:v>
                </c:pt>
                <c:pt idx="9">
                  <c:v>1349.1070927950659</c:v>
                </c:pt>
                <c:pt idx="10">
                  <c:v>1637.3106918238993</c:v>
                </c:pt>
                <c:pt idx="11">
                  <c:v>1773.8788659793813</c:v>
                </c:pt>
                <c:pt idx="12">
                  <c:v>1691.3685141076389</c:v>
                </c:pt>
                <c:pt idx="13">
                  <c:v>1841.1499524966634</c:v>
                </c:pt>
                <c:pt idx="14">
                  <c:v>1970.8083998555833</c:v>
                </c:pt>
                <c:pt idx="15">
                  <c:v>2045.2427213153921</c:v>
                </c:pt>
                <c:pt idx="16">
                  <c:v>2094.3285466269617</c:v>
                </c:pt>
                <c:pt idx="17">
                  <c:v>2144.5924317460085</c:v>
                </c:pt>
                <c:pt idx="18">
                  <c:v>2196.0626501079128</c:v>
                </c:pt>
                <c:pt idx="19">
                  <c:v>2343.940671516048</c:v>
                </c:pt>
              </c:numCache>
            </c:numRef>
          </c:val>
          <c:smooth val="0"/>
        </c:ser>
        <c:dLbls>
          <c:showLegendKey val="0"/>
          <c:showVal val="0"/>
          <c:showCatName val="0"/>
          <c:showSerName val="0"/>
          <c:showPercent val="0"/>
          <c:showBubbleSize val="0"/>
        </c:dLbls>
        <c:marker val="1"/>
        <c:smooth val="0"/>
        <c:axId val="899433984"/>
        <c:axId val="899435520"/>
      </c:lineChart>
      <c:catAx>
        <c:axId val="899426176"/>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99427712"/>
        <c:crosses val="autoZero"/>
        <c:auto val="1"/>
        <c:lblAlgn val="ctr"/>
        <c:lblOffset val="100"/>
        <c:tickLblSkip val="1"/>
        <c:tickMarkSkip val="1"/>
        <c:noMultiLvlLbl val="0"/>
      </c:catAx>
      <c:valAx>
        <c:axId val="899427712"/>
        <c:scaling>
          <c:orientation val="minMax"/>
        </c:scaling>
        <c:delete val="1"/>
        <c:axPos val="r"/>
        <c:title>
          <c:tx>
            <c:rich>
              <a:bodyPr rot="0" vert="horz"/>
              <a:lstStyle/>
              <a:p>
                <a:pPr algn="ctr" rtl="0">
                  <a:defRPr sz="900"/>
                </a:pPr>
                <a:r>
                  <a:rPr lang="en-US" sz="900" b="0" i="0" baseline="0">
                    <a:solidFill>
                      <a:schemeClr val="bg1">
                        <a:lumMod val="50000"/>
                      </a:schemeClr>
                    </a:solidFill>
                    <a:effectLst/>
                  </a:rPr>
                  <a:t>BRL/m3</a:t>
                </a:r>
                <a:endParaRPr lang="en-US" sz="900">
                  <a:solidFill>
                    <a:schemeClr val="bg1">
                      <a:lumMod val="50000"/>
                    </a:schemeClr>
                  </a:solidFill>
                  <a:effectLst/>
                </a:endParaRPr>
              </a:p>
            </c:rich>
          </c:tx>
          <c:layout>
            <c:manualLayout>
              <c:xMode val="edge"/>
              <c:yMode val="edge"/>
              <c:x val="0.12928251968503934"/>
              <c:y val="1.7628832981243198E-2"/>
            </c:manualLayout>
          </c:layout>
          <c:overlay val="0"/>
        </c:title>
        <c:numFmt formatCode="#,##0" sourceLinked="0"/>
        <c:majorTickMark val="out"/>
        <c:minorTickMark val="none"/>
        <c:tickLblPos val="nextTo"/>
        <c:crossAx val="899426176"/>
        <c:crosses val="max"/>
        <c:crossBetween val="between"/>
      </c:valAx>
      <c:catAx>
        <c:axId val="899433984"/>
        <c:scaling>
          <c:orientation val="minMax"/>
        </c:scaling>
        <c:delete val="1"/>
        <c:axPos val="b"/>
        <c:majorTickMark val="out"/>
        <c:minorTickMark val="none"/>
        <c:tickLblPos val="nextTo"/>
        <c:crossAx val="899435520"/>
        <c:crosses val="autoZero"/>
        <c:auto val="1"/>
        <c:lblAlgn val="ctr"/>
        <c:lblOffset val="100"/>
        <c:noMultiLvlLbl val="0"/>
      </c:catAx>
      <c:valAx>
        <c:axId val="899435520"/>
        <c:scaling>
          <c:orientation val="minMax"/>
          <c:max val="3000"/>
          <c:min val="0"/>
        </c:scaling>
        <c:delete val="0"/>
        <c:axPos val="l"/>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99433984"/>
        <c:crosses val="autoZero"/>
        <c:crossBetween val="between"/>
      </c:valAx>
      <c:spPr>
        <a:noFill/>
        <a:ln w="25400">
          <a:noFill/>
        </a:ln>
      </c:spPr>
    </c:plotArea>
    <c:legend>
      <c:legendPos val="r"/>
      <c:legendEntry>
        <c:idx val="1"/>
        <c:delete val="1"/>
      </c:legendEntry>
      <c:layout>
        <c:manualLayout>
          <c:xMode val="edge"/>
          <c:yMode val="edge"/>
          <c:x val="0.25027611548556428"/>
          <c:y val="6.8654375520132696E-3"/>
          <c:w val="0.56208097987751537"/>
          <c:h val="0.19010050572946674"/>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8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589676290463686E-2"/>
          <c:y val="4.7022015548490691E-2"/>
          <c:w val="0.79044564741907264"/>
          <c:h val="0.80173115283666463"/>
        </c:manualLayout>
      </c:layout>
      <c:areaChart>
        <c:grouping val="standard"/>
        <c:varyColors val="0"/>
        <c:ser>
          <c:idx val="1"/>
          <c:order val="0"/>
          <c:tx>
            <c:v>Bull-Bear Scenario</c:v>
          </c:tx>
          <c:spPr>
            <a:solidFill>
              <a:schemeClr val="bg1">
                <a:lumMod val="85000"/>
              </a:schemeClr>
            </a:solidFill>
            <a:ln w="25400">
              <a:noFill/>
            </a:ln>
          </c:spPr>
          <c:cat>
            <c:strRef>
              <c:f>ChartSupport!$K$7:$W$7</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ChartSupport!$K$223:$W$223</c:f>
              <c:numCache>
                <c:formatCode>#,##0.0</c:formatCode>
                <c:ptCount val="13"/>
                <c:pt idx="0">
                  <c:v>260.60000000000002</c:v>
                </c:pt>
                <c:pt idx="1">
                  <c:v>445.5</c:v>
                </c:pt>
                <c:pt idx="2">
                  <c:v>639</c:v>
                </c:pt>
                <c:pt idx="3">
                  <c:v>831.2</c:v>
                </c:pt>
                <c:pt idx="4">
                  <c:v>914.5</c:v>
                </c:pt>
                <c:pt idx="5">
                  <c:v>898.55000000000007</c:v>
                </c:pt>
                <c:pt idx="6">
                  <c:v>898.55000000000007</c:v>
                </c:pt>
                <c:pt idx="7">
                  <c:v>919.14177083333345</c:v>
                </c:pt>
                <c:pt idx="8">
                  <c:v>939.77556568877571</c:v>
                </c:pt>
                <c:pt idx="9">
                  <c:v>960.45062813392883</c:v>
                </c:pt>
                <c:pt idx="10">
                  <c:v>981.16622991720953</c:v>
                </c:pt>
                <c:pt idx="11">
                  <c:v>1001.9216693962273</c:v>
                </c:pt>
                <c:pt idx="12">
                  <c:v>1022.7162700818093</c:v>
                </c:pt>
              </c:numCache>
            </c:numRef>
          </c:val>
        </c:ser>
        <c:ser>
          <c:idx val="3"/>
          <c:order val="1"/>
          <c:tx>
            <c:strRef>
              <c:f>ChartSupport!$A$163</c:f>
              <c:strCache>
                <c:ptCount val="1"/>
                <c:pt idx="0">
                  <c:v>Bear</c:v>
                </c:pt>
              </c:strCache>
            </c:strRef>
          </c:tx>
          <c:spPr>
            <a:solidFill>
              <a:schemeClr val="bg1"/>
            </a:solidFill>
            <a:ln w="25400">
              <a:noFill/>
            </a:ln>
          </c:spPr>
          <c:cat>
            <c:strRef>
              <c:f>ChartSupport!$K$7:$W$7</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ChartSupport!$K$221:$W$221</c:f>
              <c:numCache>
                <c:formatCode>#,##0.0</c:formatCode>
                <c:ptCount val="13"/>
                <c:pt idx="0">
                  <c:v>260.60000000000002</c:v>
                </c:pt>
                <c:pt idx="1">
                  <c:v>445.5</c:v>
                </c:pt>
                <c:pt idx="2">
                  <c:v>639</c:v>
                </c:pt>
                <c:pt idx="3">
                  <c:v>831.2</c:v>
                </c:pt>
                <c:pt idx="4">
                  <c:v>914.5</c:v>
                </c:pt>
                <c:pt idx="5">
                  <c:v>901.45</c:v>
                </c:pt>
                <c:pt idx="6">
                  <c:v>901.45</c:v>
                </c:pt>
                <c:pt idx="7">
                  <c:v>901.45</c:v>
                </c:pt>
                <c:pt idx="8">
                  <c:v>918.3521874999999</c:v>
                </c:pt>
                <c:pt idx="9">
                  <c:v>935.21988073979583</c:v>
                </c:pt>
                <c:pt idx="10">
                  <c:v>952.05383859311212</c:v>
                </c:pt>
                <c:pt idx="11">
                  <c:v>968.85478868593168</c:v>
                </c:pt>
                <c:pt idx="12">
                  <c:v>985.62342925934195</c:v>
                </c:pt>
              </c:numCache>
            </c:numRef>
          </c:val>
        </c:ser>
        <c:dLbls>
          <c:showLegendKey val="0"/>
          <c:showVal val="0"/>
          <c:showCatName val="0"/>
          <c:showSerName val="0"/>
          <c:showPercent val="0"/>
          <c:showBubbleSize val="0"/>
        </c:dLbls>
        <c:axId val="899493888"/>
        <c:axId val="899495424"/>
      </c:areaChart>
      <c:lineChart>
        <c:grouping val="standard"/>
        <c:varyColors val="0"/>
        <c:ser>
          <c:idx val="2"/>
          <c:order val="2"/>
          <c:tx>
            <c:strRef>
              <c:f>ChartSupport!$A$220</c:f>
              <c:strCache>
                <c:ptCount val="1"/>
                <c:pt idx="0">
                  <c:v>Cogeneration ('000 MWh)</c:v>
                </c:pt>
              </c:strCache>
            </c:strRef>
          </c:tx>
          <c:spPr>
            <a:ln w="25400">
              <a:solidFill>
                <a:schemeClr val="accent1"/>
              </a:solidFill>
              <a:prstDash val="solid"/>
            </a:ln>
          </c:spPr>
          <c:marker>
            <c:symbol val="none"/>
          </c:marker>
          <c:cat>
            <c:strRef>
              <c:f>ChartSupport!$K$12:$W$12</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ChartSupport!$K$222:$W$222</c:f>
              <c:numCache>
                <c:formatCode>#,##0.0</c:formatCode>
                <c:ptCount val="13"/>
                <c:pt idx="0">
                  <c:v>260.60000000000002</c:v>
                </c:pt>
                <c:pt idx="1">
                  <c:v>445.5</c:v>
                </c:pt>
                <c:pt idx="2">
                  <c:v>639</c:v>
                </c:pt>
                <c:pt idx="3">
                  <c:v>831.2</c:v>
                </c:pt>
                <c:pt idx="4">
                  <c:v>914.5</c:v>
                </c:pt>
                <c:pt idx="5">
                  <c:v>900.00000000000011</c:v>
                </c:pt>
                <c:pt idx="6">
                  <c:v>900.00000000000011</c:v>
                </c:pt>
                <c:pt idx="7">
                  <c:v>918.75</c:v>
                </c:pt>
                <c:pt idx="8">
                  <c:v>937.5</c:v>
                </c:pt>
                <c:pt idx="9">
                  <c:v>956.25</c:v>
                </c:pt>
                <c:pt idx="10">
                  <c:v>974.99999999999989</c:v>
                </c:pt>
                <c:pt idx="11">
                  <c:v>993.74999999999977</c:v>
                </c:pt>
                <c:pt idx="12">
                  <c:v>1012.4999999999998</c:v>
                </c:pt>
              </c:numCache>
            </c:numRef>
          </c:val>
          <c:smooth val="0"/>
        </c:ser>
        <c:dLbls>
          <c:showLegendKey val="0"/>
          <c:showVal val="0"/>
          <c:showCatName val="0"/>
          <c:showSerName val="0"/>
          <c:showPercent val="0"/>
          <c:showBubbleSize val="0"/>
        </c:dLbls>
        <c:marker val="1"/>
        <c:smooth val="0"/>
        <c:axId val="899493888"/>
        <c:axId val="899495424"/>
      </c:lineChart>
      <c:lineChart>
        <c:grouping val="standard"/>
        <c:varyColors val="0"/>
        <c:ser>
          <c:idx val="0"/>
          <c:order val="3"/>
          <c:tx>
            <c:strRef>
              <c:f>ChartSupport!$A$182</c:f>
              <c:strCache>
                <c:ptCount val="1"/>
                <c:pt idx="0">
                  <c:v>Cogen Prices R$/MWh)</c:v>
                </c:pt>
              </c:strCache>
            </c:strRef>
          </c:tx>
          <c:spPr>
            <a:ln w="15875">
              <a:solidFill>
                <a:srgbClr val="FF0000"/>
              </a:solidFill>
              <a:prstDash val="sysDash"/>
            </a:ln>
          </c:spPr>
          <c:marker>
            <c:symbol val="none"/>
          </c:marker>
          <c:cat>
            <c:strRef>
              <c:f>ChartSupport!$K$12:$W$12</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ChartSupport!$K$184:$W$184</c:f>
              <c:numCache>
                <c:formatCode>0</c:formatCode>
                <c:ptCount val="13"/>
                <c:pt idx="0">
                  <c:v>170.40675364543361</c:v>
                </c:pt>
                <c:pt idx="1">
                  <c:v>173.45230078563412</c:v>
                </c:pt>
                <c:pt idx="2">
                  <c:v>295.95305164319251</c:v>
                </c:pt>
                <c:pt idx="3">
                  <c:v>223.25914340712222</c:v>
                </c:pt>
                <c:pt idx="4">
                  <c:v>166.30836522689995</c:v>
                </c:pt>
                <c:pt idx="5">
                  <c:v>183.49999999999997</c:v>
                </c:pt>
                <c:pt idx="6">
                  <c:v>181.66666666666666</c:v>
                </c:pt>
                <c:pt idx="7">
                  <c:v>187.24</c:v>
                </c:pt>
                <c:pt idx="8">
                  <c:v>193.05856</c:v>
                </c:pt>
                <c:pt idx="9">
                  <c:v>199.13313664</c:v>
                </c:pt>
                <c:pt idx="10">
                  <c:v>205.47499465216001</c:v>
                </c:pt>
                <c:pt idx="11">
                  <c:v>212.09589441685506</c:v>
                </c:pt>
                <c:pt idx="12">
                  <c:v>219.00811377119669</c:v>
                </c:pt>
              </c:numCache>
            </c:numRef>
          </c:val>
          <c:smooth val="0"/>
        </c:ser>
        <c:dLbls>
          <c:showLegendKey val="0"/>
          <c:showVal val="0"/>
          <c:showCatName val="0"/>
          <c:showSerName val="0"/>
          <c:showPercent val="0"/>
          <c:showBubbleSize val="0"/>
        </c:dLbls>
        <c:marker val="1"/>
        <c:smooth val="0"/>
        <c:axId val="899497344"/>
        <c:axId val="899523712"/>
      </c:lineChart>
      <c:catAx>
        <c:axId val="899493888"/>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a:pPr>
            <a:endParaRPr lang="en-US"/>
          </a:p>
        </c:txPr>
        <c:crossAx val="899495424"/>
        <c:crosses val="autoZero"/>
        <c:auto val="1"/>
        <c:lblAlgn val="ctr"/>
        <c:lblOffset val="100"/>
        <c:tickLblSkip val="1"/>
        <c:tickMarkSkip val="1"/>
        <c:noMultiLvlLbl val="0"/>
      </c:catAx>
      <c:valAx>
        <c:axId val="899495424"/>
        <c:scaling>
          <c:orientation val="minMax"/>
        </c:scaling>
        <c:delete val="0"/>
        <c:axPos val="r"/>
        <c:title>
          <c:tx>
            <c:rich>
              <a:bodyPr rot="0" vert="horz"/>
              <a:lstStyle/>
              <a:p>
                <a:pPr algn="ctr" rtl="0">
                  <a:defRPr/>
                </a:pPr>
                <a:r>
                  <a:rPr lang="en-US"/>
                  <a:t>BRL/MWh</a:t>
                </a:r>
              </a:p>
            </c:rich>
          </c:tx>
          <c:layout>
            <c:manualLayout>
              <c:xMode val="edge"/>
              <c:yMode val="edge"/>
              <c:x val="0.10439361959213778"/>
              <c:y val="1.3870274463340023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9493888"/>
        <c:crosses val="max"/>
        <c:crossBetween val="midCat"/>
      </c:valAx>
      <c:catAx>
        <c:axId val="899497344"/>
        <c:scaling>
          <c:orientation val="minMax"/>
        </c:scaling>
        <c:delete val="1"/>
        <c:axPos val="b"/>
        <c:majorTickMark val="out"/>
        <c:minorTickMark val="none"/>
        <c:tickLblPos val="nextTo"/>
        <c:crossAx val="899523712"/>
        <c:crosses val="autoZero"/>
        <c:auto val="1"/>
        <c:lblAlgn val="ctr"/>
        <c:lblOffset val="100"/>
        <c:noMultiLvlLbl val="0"/>
      </c:catAx>
      <c:valAx>
        <c:axId val="899523712"/>
        <c:scaling>
          <c:orientation val="minMax"/>
        </c:scaling>
        <c:delete val="0"/>
        <c:axPos val="l"/>
        <c:title>
          <c:tx>
            <c:rich>
              <a:bodyPr rot="0" vert="horz"/>
              <a:lstStyle/>
              <a:p>
                <a:pPr algn="ctr" rtl="0">
                  <a:defRPr/>
                </a:pPr>
                <a:r>
                  <a:rPr lang="en-US"/>
                  <a:t>000 MWh</a:t>
                </a:r>
              </a:p>
            </c:rich>
          </c:tx>
          <c:layout>
            <c:manualLayout>
              <c:xMode val="edge"/>
              <c:yMode val="edge"/>
              <c:x val="0.70211977163738559"/>
              <c:y val="3.0051099088664292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899497344"/>
        <c:crosses val="autoZero"/>
        <c:crossBetween val="midCat"/>
      </c:valAx>
      <c:spPr>
        <a:noFill/>
        <a:ln w="25400">
          <a:noFill/>
        </a:ln>
      </c:spPr>
    </c:plotArea>
    <c:legend>
      <c:legendPos val="r"/>
      <c:legendEntry>
        <c:idx val="1"/>
        <c:delete val="1"/>
      </c:legendEntry>
      <c:layout>
        <c:manualLayout>
          <c:xMode val="edge"/>
          <c:yMode val="edge"/>
          <c:x val="0.16856300962379703"/>
          <c:y val="0.63546924012547223"/>
          <c:w val="0.57638999125109369"/>
          <c:h val="0.1879691500100949"/>
        </c:manualLayout>
      </c:layout>
      <c:overlay val="0"/>
      <c:spPr>
        <a:no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8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589676290463686E-2"/>
          <c:y val="4.7022015548490691E-2"/>
          <c:w val="0.79044564741907264"/>
          <c:h val="0.80173115283666463"/>
        </c:manualLayout>
      </c:layout>
      <c:areaChart>
        <c:grouping val="standard"/>
        <c:varyColors val="0"/>
        <c:ser>
          <c:idx val="1"/>
          <c:order val="0"/>
          <c:tx>
            <c:v>Bull-Bear Scenario</c:v>
          </c:tx>
          <c:spPr>
            <a:solidFill>
              <a:schemeClr val="bg1">
                <a:lumMod val="85000"/>
              </a:schemeClr>
            </a:solidFill>
            <a:ln w="25400">
              <a:noFill/>
            </a:ln>
          </c:spPr>
          <c:cat>
            <c:strRef>
              <c:f>ChartSupport!$K$7:$W$7</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ChartSupport!$K$267:$W$267</c:f>
              <c:numCache>
                <c:formatCode>0%</c:formatCode>
                <c:ptCount val="13"/>
                <c:pt idx="0">
                  <c:v>0.8</c:v>
                </c:pt>
                <c:pt idx="1">
                  <c:v>0.8</c:v>
                </c:pt>
                <c:pt idx="2">
                  <c:v>0.8</c:v>
                </c:pt>
                <c:pt idx="3">
                  <c:v>0.8</c:v>
                </c:pt>
                <c:pt idx="4">
                  <c:v>0.8</c:v>
                </c:pt>
                <c:pt idx="5">
                  <c:v>0.5</c:v>
                </c:pt>
                <c:pt idx="6">
                  <c:v>0.5</c:v>
                </c:pt>
                <c:pt idx="7">
                  <c:v>0.5</c:v>
                </c:pt>
                <c:pt idx="8">
                  <c:v>0.5</c:v>
                </c:pt>
                <c:pt idx="9">
                  <c:v>0.5</c:v>
                </c:pt>
                <c:pt idx="10">
                  <c:v>0.5</c:v>
                </c:pt>
                <c:pt idx="11">
                  <c:v>0.5</c:v>
                </c:pt>
                <c:pt idx="12">
                  <c:v>0.5</c:v>
                </c:pt>
              </c:numCache>
            </c:numRef>
          </c:val>
        </c:ser>
        <c:ser>
          <c:idx val="3"/>
          <c:order val="1"/>
          <c:tx>
            <c:strRef>
              <c:f>ChartSupport!$A$163</c:f>
              <c:strCache>
                <c:ptCount val="1"/>
                <c:pt idx="0">
                  <c:v>Bear</c:v>
                </c:pt>
              </c:strCache>
            </c:strRef>
          </c:tx>
          <c:spPr>
            <a:solidFill>
              <a:schemeClr val="bg1"/>
            </a:solidFill>
            <a:ln w="25400">
              <a:noFill/>
            </a:ln>
          </c:spPr>
          <c:cat>
            <c:strRef>
              <c:f>ChartSupport!$K$7:$W$7</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ChartSupport!$K$269:$W$269</c:f>
              <c:numCache>
                <c:formatCode>0%</c:formatCode>
                <c:ptCount val="13"/>
                <c:pt idx="0">
                  <c:v>0.8</c:v>
                </c:pt>
                <c:pt idx="1">
                  <c:v>0.8</c:v>
                </c:pt>
                <c:pt idx="2">
                  <c:v>0.8</c:v>
                </c:pt>
                <c:pt idx="3">
                  <c:v>0.8</c:v>
                </c:pt>
                <c:pt idx="4">
                  <c:v>0.8</c:v>
                </c:pt>
                <c:pt idx="5">
                  <c:v>0.5</c:v>
                </c:pt>
                <c:pt idx="6">
                  <c:v>0.5</c:v>
                </c:pt>
                <c:pt idx="7">
                  <c:v>0.5</c:v>
                </c:pt>
                <c:pt idx="8">
                  <c:v>0.5</c:v>
                </c:pt>
                <c:pt idx="9">
                  <c:v>0.5</c:v>
                </c:pt>
                <c:pt idx="10">
                  <c:v>0.5</c:v>
                </c:pt>
                <c:pt idx="11">
                  <c:v>0.5</c:v>
                </c:pt>
                <c:pt idx="12">
                  <c:v>0.5</c:v>
                </c:pt>
              </c:numCache>
            </c:numRef>
          </c:val>
        </c:ser>
        <c:dLbls>
          <c:showLegendKey val="0"/>
          <c:showVal val="0"/>
          <c:showCatName val="0"/>
          <c:showSerName val="0"/>
          <c:showPercent val="0"/>
          <c:showBubbleSize val="0"/>
        </c:dLbls>
        <c:axId val="898959232"/>
        <c:axId val="898960768"/>
      </c:areaChart>
      <c:lineChart>
        <c:grouping val="standard"/>
        <c:varyColors val="0"/>
        <c:ser>
          <c:idx val="2"/>
          <c:order val="2"/>
          <c:tx>
            <c:strRef>
              <c:f>ChartSupport!$A$266</c:f>
              <c:strCache>
                <c:ptCount val="1"/>
                <c:pt idx="0">
                  <c:v>Cogen Gross Margin (%)</c:v>
                </c:pt>
              </c:strCache>
            </c:strRef>
          </c:tx>
          <c:spPr>
            <a:ln w="25400">
              <a:solidFill>
                <a:schemeClr val="accent1"/>
              </a:solidFill>
              <a:prstDash val="solid"/>
            </a:ln>
          </c:spPr>
          <c:marker>
            <c:symbol val="none"/>
          </c:marker>
          <c:cat>
            <c:strRef>
              <c:f>ChartSupport!$K$12:$W$12</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ChartSupport!$K$268:$W$268</c:f>
              <c:numCache>
                <c:formatCode>0%</c:formatCode>
                <c:ptCount val="13"/>
                <c:pt idx="0">
                  <c:v>0.8</c:v>
                </c:pt>
                <c:pt idx="1">
                  <c:v>0.8</c:v>
                </c:pt>
                <c:pt idx="2">
                  <c:v>0.8</c:v>
                </c:pt>
                <c:pt idx="3">
                  <c:v>0.8</c:v>
                </c:pt>
                <c:pt idx="4">
                  <c:v>0.8</c:v>
                </c:pt>
                <c:pt idx="5">
                  <c:v>0.5</c:v>
                </c:pt>
                <c:pt idx="6">
                  <c:v>0.5</c:v>
                </c:pt>
                <c:pt idx="7">
                  <c:v>0.5</c:v>
                </c:pt>
                <c:pt idx="8">
                  <c:v>0.5</c:v>
                </c:pt>
                <c:pt idx="9">
                  <c:v>0.5</c:v>
                </c:pt>
                <c:pt idx="10">
                  <c:v>0.5</c:v>
                </c:pt>
                <c:pt idx="11">
                  <c:v>0.5</c:v>
                </c:pt>
                <c:pt idx="12">
                  <c:v>0.5</c:v>
                </c:pt>
              </c:numCache>
            </c:numRef>
          </c:val>
          <c:smooth val="0"/>
        </c:ser>
        <c:dLbls>
          <c:showLegendKey val="0"/>
          <c:showVal val="0"/>
          <c:showCatName val="0"/>
          <c:showSerName val="0"/>
          <c:showPercent val="0"/>
          <c:showBubbleSize val="0"/>
        </c:dLbls>
        <c:marker val="1"/>
        <c:smooth val="0"/>
        <c:axId val="898959232"/>
        <c:axId val="898960768"/>
      </c:lineChart>
      <c:lineChart>
        <c:grouping val="standard"/>
        <c:varyColors val="0"/>
        <c:ser>
          <c:idx val="0"/>
          <c:order val="3"/>
          <c:tx>
            <c:strRef>
              <c:f>ChartSupport!$A$182</c:f>
              <c:strCache>
                <c:ptCount val="1"/>
                <c:pt idx="0">
                  <c:v>Cogen Prices R$/MWh)</c:v>
                </c:pt>
              </c:strCache>
            </c:strRef>
          </c:tx>
          <c:spPr>
            <a:ln w="15875">
              <a:solidFill>
                <a:srgbClr val="FF0000"/>
              </a:solidFill>
              <a:prstDash val="sysDash"/>
            </a:ln>
          </c:spPr>
          <c:marker>
            <c:symbol val="none"/>
          </c:marker>
          <c:cat>
            <c:strRef>
              <c:f>ChartSupport!$K$12:$W$12</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ChartSupport!$K$184:$W$184</c:f>
              <c:numCache>
                <c:formatCode>0</c:formatCode>
                <c:ptCount val="13"/>
                <c:pt idx="0">
                  <c:v>170.40675364543361</c:v>
                </c:pt>
                <c:pt idx="1">
                  <c:v>173.45230078563412</c:v>
                </c:pt>
                <c:pt idx="2">
                  <c:v>295.95305164319251</c:v>
                </c:pt>
                <c:pt idx="3">
                  <c:v>223.25914340712222</c:v>
                </c:pt>
                <c:pt idx="4">
                  <c:v>166.30836522689995</c:v>
                </c:pt>
                <c:pt idx="5">
                  <c:v>183.49999999999997</c:v>
                </c:pt>
                <c:pt idx="6">
                  <c:v>181.66666666666666</c:v>
                </c:pt>
                <c:pt idx="7">
                  <c:v>187.24</c:v>
                </c:pt>
                <c:pt idx="8">
                  <c:v>193.05856</c:v>
                </c:pt>
                <c:pt idx="9">
                  <c:v>199.13313664</c:v>
                </c:pt>
                <c:pt idx="10">
                  <c:v>205.47499465216001</c:v>
                </c:pt>
                <c:pt idx="11">
                  <c:v>212.09589441685506</c:v>
                </c:pt>
                <c:pt idx="12">
                  <c:v>219.00811377119669</c:v>
                </c:pt>
              </c:numCache>
            </c:numRef>
          </c:val>
          <c:smooth val="0"/>
        </c:ser>
        <c:dLbls>
          <c:showLegendKey val="0"/>
          <c:showVal val="0"/>
          <c:showCatName val="0"/>
          <c:showSerName val="0"/>
          <c:showPercent val="0"/>
          <c:showBubbleSize val="0"/>
        </c:dLbls>
        <c:marker val="1"/>
        <c:smooth val="0"/>
        <c:axId val="898962944"/>
        <c:axId val="898964480"/>
      </c:lineChart>
      <c:catAx>
        <c:axId val="898959232"/>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a:pPr>
            <a:endParaRPr lang="en-US"/>
          </a:p>
        </c:txPr>
        <c:crossAx val="898960768"/>
        <c:crosses val="autoZero"/>
        <c:auto val="1"/>
        <c:lblAlgn val="ctr"/>
        <c:lblOffset val="100"/>
        <c:tickLblSkip val="1"/>
        <c:tickMarkSkip val="1"/>
        <c:noMultiLvlLbl val="0"/>
      </c:catAx>
      <c:valAx>
        <c:axId val="898960768"/>
        <c:scaling>
          <c:orientation val="minMax"/>
          <c:min val="0.30000000000000004"/>
        </c:scaling>
        <c:delete val="0"/>
        <c:axPos val="r"/>
        <c:title>
          <c:tx>
            <c:rich>
              <a:bodyPr rot="0" vert="horz"/>
              <a:lstStyle/>
              <a:p>
                <a:pPr algn="ctr" rtl="0">
                  <a:defRPr/>
                </a:pPr>
                <a:r>
                  <a:rPr lang="en-US"/>
                  <a:t>BRL/MWh</a:t>
                </a:r>
              </a:p>
            </c:rich>
          </c:tx>
          <c:layout>
            <c:manualLayout>
              <c:xMode val="edge"/>
              <c:yMode val="edge"/>
              <c:x val="0.10439361959213778"/>
              <c:y val="1.3870274463340023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8959232"/>
        <c:crosses val="max"/>
        <c:crossBetween val="midCat"/>
      </c:valAx>
      <c:catAx>
        <c:axId val="898962944"/>
        <c:scaling>
          <c:orientation val="minMax"/>
        </c:scaling>
        <c:delete val="1"/>
        <c:axPos val="b"/>
        <c:majorTickMark val="out"/>
        <c:minorTickMark val="none"/>
        <c:tickLblPos val="nextTo"/>
        <c:crossAx val="898964480"/>
        <c:crosses val="autoZero"/>
        <c:auto val="1"/>
        <c:lblAlgn val="ctr"/>
        <c:lblOffset val="100"/>
        <c:noMultiLvlLbl val="0"/>
      </c:catAx>
      <c:valAx>
        <c:axId val="898964480"/>
        <c:scaling>
          <c:orientation val="minMax"/>
        </c:scaling>
        <c:delete val="0"/>
        <c:axPos val="l"/>
        <c:title>
          <c:tx>
            <c:rich>
              <a:bodyPr rot="0" vert="horz"/>
              <a:lstStyle/>
              <a:p>
                <a:pPr algn="ctr" rtl="0">
                  <a:defRPr/>
                </a:pPr>
                <a:r>
                  <a:rPr lang="en-US"/>
                  <a:t>%</a:t>
                </a:r>
              </a:p>
            </c:rich>
          </c:tx>
          <c:layout>
            <c:manualLayout>
              <c:xMode val="edge"/>
              <c:yMode val="edge"/>
              <c:x val="0.80523086614173234"/>
              <c:y val="2.5986172460149799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898962944"/>
        <c:crosses val="autoZero"/>
        <c:crossBetween val="midCat"/>
      </c:valAx>
      <c:spPr>
        <a:noFill/>
        <a:ln w="25400">
          <a:noFill/>
        </a:ln>
      </c:spPr>
    </c:plotArea>
    <c:legend>
      <c:legendPos val="r"/>
      <c:legendEntry>
        <c:idx val="1"/>
        <c:delete val="1"/>
      </c:legendEntry>
      <c:layout>
        <c:manualLayout>
          <c:xMode val="edge"/>
          <c:yMode val="edge"/>
          <c:x val="0.16856300962379703"/>
          <c:y val="0.63546924012547223"/>
          <c:w val="0.57638999125109369"/>
          <c:h val="0.1879691500100949"/>
        </c:manualLayout>
      </c:layout>
      <c:overlay val="0"/>
      <c:spPr>
        <a:no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8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0518945462289326E-2"/>
          <c:y val="2.2144207840238614E-2"/>
          <c:w val="0.79044564741907264"/>
          <c:h val="0.79989327297455282"/>
        </c:manualLayout>
      </c:layout>
      <c:areaChart>
        <c:grouping val="standard"/>
        <c:varyColors val="0"/>
        <c:ser>
          <c:idx val="1"/>
          <c:order val="0"/>
          <c:tx>
            <c:v>Bull-Bear Scenario</c:v>
          </c:tx>
          <c:spPr>
            <a:solidFill>
              <a:schemeClr val="bg1">
                <a:lumMod val="85000"/>
              </a:schemeClr>
            </a:solidFill>
            <a:ln w="25400">
              <a:noFill/>
            </a:ln>
          </c:spPr>
          <c:cat>
            <c:strRef>
              <c:f>ChartSupport!$D$7:$W$7</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ChartSupport!$D$257:$W$257</c:f>
              <c:numCache>
                <c:formatCode>#,##0.0</c:formatCode>
                <c:ptCount val="20"/>
                <c:pt idx="0">
                  <c:v>#N/A</c:v>
                </c:pt>
                <c:pt idx="1">
                  <c:v>#N/A</c:v>
                </c:pt>
                <c:pt idx="2">
                  <c:v>#N/A</c:v>
                </c:pt>
                <c:pt idx="3">
                  <c:v>#N/A</c:v>
                </c:pt>
                <c:pt idx="4" formatCode="0%">
                  <c:v>0.59530994258509617</c:v>
                </c:pt>
                <c:pt idx="5" formatCode="0%">
                  <c:v>0.63403994730658308</c:v>
                </c:pt>
                <c:pt idx="6" formatCode="0%">
                  <c:v>0.57450432836346521</c:v>
                </c:pt>
                <c:pt idx="7" formatCode="0%">
                  <c:v>0.58731845703474383</c:v>
                </c:pt>
                <c:pt idx="8" formatCode="0%">
                  <c:v>0.53180235990202129</c:v>
                </c:pt>
                <c:pt idx="9" formatCode="0%">
                  <c:v>0.57050150255199705</c:v>
                </c:pt>
                <c:pt idx="10" formatCode="0%">
                  <c:v>0.54579615962120553</c:v>
                </c:pt>
                <c:pt idx="11" formatCode="0%">
                  <c:v>0.57247405191441236</c:v>
                </c:pt>
                <c:pt idx="12" formatCode="0%">
                  <c:v>0.640244491872625</c:v>
                </c:pt>
                <c:pt idx="13" formatCode="0%">
                  <c:v>0.5032715014847019</c:v>
                </c:pt>
                <c:pt idx="14" formatCode="0%">
                  <c:v>0.54189768089738022</c:v>
                </c:pt>
                <c:pt idx="15" formatCode="0%">
                  <c:v>0.57274656120645362</c:v>
                </c:pt>
                <c:pt idx="16" formatCode="0%">
                  <c:v>0.52792312960717924</c:v>
                </c:pt>
                <c:pt idx="17" formatCode="0%">
                  <c:v>0.45726864725449379</c:v>
                </c:pt>
                <c:pt idx="18" formatCode="0%">
                  <c:v>0.46621997936047932</c:v>
                </c:pt>
                <c:pt idx="19" formatCode="0%">
                  <c:v>0.49885866632133968</c:v>
                </c:pt>
              </c:numCache>
            </c:numRef>
          </c:val>
        </c:ser>
        <c:ser>
          <c:idx val="3"/>
          <c:order val="1"/>
          <c:tx>
            <c:strRef>
              <c:f>ChartSupport!$A$163</c:f>
              <c:strCache>
                <c:ptCount val="1"/>
                <c:pt idx="0">
                  <c:v>Bear</c:v>
                </c:pt>
              </c:strCache>
            </c:strRef>
          </c:tx>
          <c:spPr>
            <a:solidFill>
              <a:schemeClr val="bg1"/>
            </a:solidFill>
            <a:ln w="25400">
              <a:noFill/>
            </a:ln>
          </c:spPr>
          <c:cat>
            <c:strRef>
              <c:f>ChartSupport!$D$7:$W$7</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ChartSupport!$D$259:$W$259</c:f>
              <c:numCache>
                <c:formatCode>#,##0.0</c:formatCode>
                <c:ptCount val="20"/>
                <c:pt idx="0">
                  <c:v>#N/A</c:v>
                </c:pt>
                <c:pt idx="1">
                  <c:v>#N/A</c:v>
                </c:pt>
                <c:pt idx="2">
                  <c:v>#N/A</c:v>
                </c:pt>
                <c:pt idx="3">
                  <c:v>#N/A</c:v>
                </c:pt>
                <c:pt idx="4" formatCode="0%">
                  <c:v>0.59530994258509617</c:v>
                </c:pt>
                <c:pt idx="5" formatCode="0%">
                  <c:v>0.63403994730658308</c:v>
                </c:pt>
                <c:pt idx="6" formatCode="0%">
                  <c:v>0.57450432836346521</c:v>
                </c:pt>
                <c:pt idx="7" formatCode="0%">
                  <c:v>0.58731845703474383</c:v>
                </c:pt>
                <c:pt idx="8" formatCode="0%">
                  <c:v>0.53180235990202129</c:v>
                </c:pt>
                <c:pt idx="9" formatCode="0%">
                  <c:v>0.57050150255199705</c:v>
                </c:pt>
                <c:pt idx="10" formatCode="0%">
                  <c:v>0.54579615962120553</c:v>
                </c:pt>
                <c:pt idx="11" formatCode="0%">
                  <c:v>0.57247405191441236</c:v>
                </c:pt>
                <c:pt idx="12" formatCode="0%">
                  <c:v>0.65230411397221089</c:v>
                </c:pt>
                <c:pt idx="13" formatCode="0%">
                  <c:v>0.63370450704957426</c:v>
                </c:pt>
                <c:pt idx="14" formatCode="0%">
                  <c:v>0.66021537311495726</c:v>
                </c:pt>
                <c:pt idx="15" formatCode="0%">
                  <c:v>0.67281326518478402</c:v>
                </c:pt>
                <c:pt idx="16" formatCode="0%">
                  <c:v>0.6448279233610108</c:v>
                </c:pt>
                <c:pt idx="17" formatCode="0%">
                  <c:v>0.61505222530622028</c:v>
                </c:pt>
                <c:pt idx="18" formatCode="0%">
                  <c:v>0.63060429655318917</c:v>
                </c:pt>
                <c:pt idx="19" formatCode="0%">
                  <c:v>0.68175774354927388</c:v>
                </c:pt>
              </c:numCache>
            </c:numRef>
          </c:val>
        </c:ser>
        <c:dLbls>
          <c:showLegendKey val="0"/>
          <c:showVal val="0"/>
          <c:showCatName val="0"/>
          <c:showSerName val="0"/>
          <c:showPercent val="0"/>
          <c:showBubbleSize val="0"/>
        </c:dLbls>
        <c:axId val="899001728"/>
        <c:axId val="899024000"/>
      </c:areaChart>
      <c:lineChart>
        <c:grouping val="standard"/>
        <c:varyColors val="0"/>
        <c:ser>
          <c:idx val="2"/>
          <c:order val="2"/>
          <c:tx>
            <c:strRef>
              <c:f>ChartSupport!$A$256</c:f>
              <c:strCache>
                <c:ptCount val="1"/>
                <c:pt idx="0">
                  <c:v>Sugar Gross Margin (%)</c:v>
                </c:pt>
              </c:strCache>
            </c:strRef>
          </c:tx>
          <c:spPr>
            <a:ln w="25400">
              <a:solidFill>
                <a:schemeClr val="accent1"/>
              </a:solidFill>
              <a:prstDash val="solid"/>
            </a:ln>
          </c:spPr>
          <c:marker>
            <c:symbol val="none"/>
          </c:marker>
          <c:cat>
            <c:strRef>
              <c:f>ChartSupport!$D$210:$W$210</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ChartSupport!$D$258:$W$258</c:f>
              <c:numCache>
                <c:formatCode>#,##0.0</c:formatCode>
                <c:ptCount val="20"/>
                <c:pt idx="0">
                  <c:v>#N/A</c:v>
                </c:pt>
                <c:pt idx="1">
                  <c:v>#N/A</c:v>
                </c:pt>
                <c:pt idx="2">
                  <c:v>#N/A</c:v>
                </c:pt>
                <c:pt idx="3">
                  <c:v>#N/A</c:v>
                </c:pt>
                <c:pt idx="4" formatCode="0%">
                  <c:v>0.59530994258509617</c:v>
                </c:pt>
                <c:pt idx="5" formatCode="0%">
                  <c:v>0.63403994730658308</c:v>
                </c:pt>
                <c:pt idx="6" formatCode="0%">
                  <c:v>0.57450432836346521</c:v>
                </c:pt>
                <c:pt idx="7" formatCode="0%">
                  <c:v>0.58731845703474383</c:v>
                </c:pt>
                <c:pt idx="8" formatCode="0%">
                  <c:v>0.53180235990202129</c:v>
                </c:pt>
                <c:pt idx="9" formatCode="0%">
                  <c:v>0.57050150255199705</c:v>
                </c:pt>
                <c:pt idx="10" formatCode="0%">
                  <c:v>0.54579615962120553</c:v>
                </c:pt>
                <c:pt idx="11" formatCode="0%">
                  <c:v>0.57247405191441236</c:v>
                </c:pt>
                <c:pt idx="12" formatCode="0%">
                  <c:v>0.63979065835104854</c:v>
                </c:pt>
                <c:pt idx="13" formatCode="0%">
                  <c:v>0.57278351634501423</c:v>
                </c:pt>
                <c:pt idx="14" formatCode="0%">
                  <c:v>0.57059124886384605</c:v>
                </c:pt>
                <c:pt idx="15" formatCode="0%">
                  <c:v>0.60350042892929268</c:v>
                </c:pt>
                <c:pt idx="16" formatCode="0%">
                  <c:v>0.60883918068424969</c:v>
                </c:pt>
                <c:pt idx="17" formatCode="0%">
                  <c:v>0.55123468491874372</c:v>
                </c:pt>
                <c:pt idx="18" formatCode="0%">
                  <c:v>0.49638639865534995</c:v>
                </c:pt>
                <c:pt idx="19" formatCode="0%">
                  <c:v>0.57611941458523397</c:v>
                </c:pt>
              </c:numCache>
            </c:numRef>
          </c:val>
          <c:smooth val="0"/>
        </c:ser>
        <c:dLbls>
          <c:showLegendKey val="0"/>
          <c:showVal val="0"/>
          <c:showCatName val="0"/>
          <c:showSerName val="0"/>
          <c:showPercent val="0"/>
          <c:showBubbleSize val="0"/>
        </c:dLbls>
        <c:marker val="1"/>
        <c:smooth val="0"/>
        <c:axId val="899001728"/>
        <c:axId val="899024000"/>
      </c:lineChart>
      <c:lineChart>
        <c:grouping val="standard"/>
        <c:varyColors val="0"/>
        <c:ser>
          <c:idx val="0"/>
          <c:order val="3"/>
          <c:tx>
            <c:strRef>
              <c:f>ChartSupport!$A$162</c:f>
              <c:strCache>
                <c:ptCount val="1"/>
                <c:pt idx="0">
                  <c:v>Sugar Prices (R$/ton)</c:v>
                </c:pt>
              </c:strCache>
            </c:strRef>
          </c:tx>
          <c:spPr>
            <a:ln w="15875">
              <a:solidFill>
                <a:srgbClr val="FF0000"/>
              </a:solidFill>
              <a:prstDash val="sysDash"/>
            </a:ln>
          </c:spPr>
          <c:marker>
            <c:symbol val="none"/>
          </c:marker>
          <c:cat>
            <c:strRef>
              <c:f>ChartSupport!$D$12:$W$12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ChartSupport!$D$164:$W$164</c:f>
              <c:numCache>
                <c:formatCode>#,##0</c:formatCode>
                <c:ptCount val="20"/>
                <c:pt idx="0">
                  <c:v>549.87709759784548</c:v>
                </c:pt>
                <c:pt idx="1">
                  <c:v>624.90574295252998</c:v>
                </c:pt>
                <c:pt idx="2">
                  <c:v>452.08478127006822</c:v>
                </c:pt>
                <c:pt idx="3">
                  <c:v>548.48455829542741</c:v>
                </c:pt>
                <c:pt idx="4">
                  <c:v>711.1921338707707</c:v>
                </c:pt>
                <c:pt idx="5">
                  <c:v>839.72135852666827</c:v>
                </c:pt>
                <c:pt idx="6">
                  <c:v>928.64219961240303</c:v>
                </c:pt>
                <c:pt idx="7">
                  <c:v>973.49518541282532</c:v>
                </c:pt>
                <c:pt idx="8">
                  <c:v>892.12469733656167</c:v>
                </c:pt>
                <c:pt idx="9">
                  <c:v>925.27992523999671</c:v>
                </c:pt>
                <c:pt idx="10">
                  <c:v>1048.068276436303</c:v>
                </c:pt>
                <c:pt idx="11">
                  <c:v>1251.9068280429321</c:v>
                </c:pt>
                <c:pt idx="12">
                  <c:v>1407.8772144231391</c:v>
                </c:pt>
                <c:pt idx="13">
                  <c:v>1203.2894278945732</c:v>
                </c:pt>
                <c:pt idx="14">
                  <c:v>1245.1088064177579</c:v>
                </c:pt>
                <c:pt idx="15">
                  <c:v>1490.2861498423542</c:v>
                </c:pt>
                <c:pt idx="16">
                  <c:v>1586.8475041008783</c:v>
                </c:pt>
                <c:pt idx="17">
                  <c:v>1327.0967708404357</c:v>
                </c:pt>
                <c:pt idx="18">
                  <c:v>1148.2717115571372</c:v>
                </c:pt>
                <c:pt idx="19">
                  <c:v>1309.6939589258038</c:v>
                </c:pt>
              </c:numCache>
            </c:numRef>
          </c:val>
          <c:smooth val="0"/>
        </c:ser>
        <c:dLbls>
          <c:showLegendKey val="0"/>
          <c:showVal val="0"/>
          <c:showCatName val="0"/>
          <c:showSerName val="0"/>
          <c:showPercent val="0"/>
          <c:showBubbleSize val="0"/>
        </c:dLbls>
        <c:marker val="1"/>
        <c:smooth val="0"/>
        <c:axId val="899025920"/>
        <c:axId val="899031808"/>
      </c:lineChart>
      <c:catAx>
        <c:axId val="899001728"/>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99024000"/>
        <c:crosses val="autoZero"/>
        <c:auto val="1"/>
        <c:lblAlgn val="ctr"/>
        <c:lblOffset val="100"/>
        <c:tickLblSkip val="1"/>
        <c:tickMarkSkip val="1"/>
        <c:noMultiLvlLbl val="0"/>
      </c:catAx>
      <c:valAx>
        <c:axId val="899024000"/>
        <c:scaling>
          <c:orientation val="minMax"/>
          <c:max val="0.70000000000000007"/>
          <c:min val="0.30000000000000004"/>
        </c:scaling>
        <c:delete val="0"/>
        <c:axPos val="r"/>
        <c:title>
          <c:tx>
            <c:rich>
              <a:bodyPr rot="0" vert="horz"/>
              <a:lstStyle/>
              <a:p>
                <a:pPr algn="ctr" rtl="0">
                  <a:defRPr sz="900"/>
                </a:pPr>
                <a:r>
                  <a:rPr lang="en-US" sz="900" b="0" i="0" baseline="0">
                    <a:solidFill>
                      <a:schemeClr val="bg1">
                        <a:lumMod val="50000"/>
                      </a:schemeClr>
                    </a:solidFill>
                    <a:effectLst/>
                  </a:rPr>
                  <a:t>BRL/Tn</a:t>
                </a:r>
                <a:endParaRPr lang="en-US" sz="900">
                  <a:solidFill>
                    <a:schemeClr val="bg1">
                      <a:lumMod val="50000"/>
                    </a:schemeClr>
                  </a:solidFill>
                  <a:effectLst/>
                </a:endParaRPr>
              </a:p>
            </c:rich>
          </c:tx>
          <c:layout>
            <c:manualLayout>
              <c:xMode val="edge"/>
              <c:yMode val="edge"/>
              <c:x val="0.10084743396437147"/>
              <c:y val="1.2184938421158874E-3"/>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99001728"/>
        <c:crosses val="max"/>
        <c:crossBetween val="midCat"/>
      </c:valAx>
      <c:catAx>
        <c:axId val="899025920"/>
        <c:scaling>
          <c:orientation val="minMax"/>
        </c:scaling>
        <c:delete val="1"/>
        <c:axPos val="b"/>
        <c:majorTickMark val="out"/>
        <c:minorTickMark val="none"/>
        <c:tickLblPos val="nextTo"/>
        <c:crossAx val="899031808"/>
        <c:crosses val="autoZero"/>
        <c:auto val="1"/>
        <c:lblAlgn val="ctr"/>
        <c:lblOffset val="100"/>
        <c:noMultiLvlLbl val="0"/>
      </c:catAx>
      <c:valAx>
        <c:axId val="899031808"/>
        <c:scaling>
          <c:orientation val="minMax"/>
        </c:scaling>
        <c:delete val="0"/>
        <c:axPos val="l"/>
        <c:title>
          <c:tx>
            <c:rich>
              <a:bodyPr rot="0" vert="horz"/>
              <a:lstStyle/>
              <a:p>
                <a:pPr algn="ctr" rtl="0">
                  <a:defRPr sz="900"/>
                </a:pPr>
                <a:r>
                  <a:rPr lang="en-US" sz="900"/>
                  <a:t>%</a:t>
                </a:r>
              </a:p>
            </c:rich>
          </c:tx>
          <c:layout>
            <c:manualLayout>
              <c:xMode val="edge"/>
              <c:yMode val="edge"/>
              <c:x val="0.8193662992125984"/>
              <c:y val="1.3526342743742398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99025920"/>
        <c:crosses val="autoZero"/>
        <c:crossBetween val="midCat"/>
      </c:valAx>
      <c:spPr>
        <a:noFill/>
        <a:ln w="25400">
          <a:noFill/>
        </a:ln>
      </c:spPr>
    </c:plotArea>
    <c:legend>
      <c:legendPos val="r"/>
      <c:legendEntry>
        <c:idx val="1"/>
        <c:delete val="1"/>
      </c:legendEntry>
      <c:layout>
        <c:manualLayout>
          <c:xMode val="edge"/>
          <c:yMode val="edge"/>
          <c:x val="0.25724612423447069"/>
          <c:y val="0.63234460021765571"/>
          <c:w val="0.57638999125109369"/>
          <c:h val="0.17155889359983847"/>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8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589676290463686E-2"/>
          <c:y val="4.7022015548490691E-2"/>
          <c:w val="0.79044564741907264"/>
          <c:h val="0.79052768813182583"/>
        </c:manualLayout>
      </c:layout>
      <c:areaChart>
        <c:grouping val="standard"/>
        <c:varyColors val="0"/>
        <c:ser>
          <c:idx val="1"/>
          <c:order val="0"/>
          <c:tx>
            <c:v>Bull-Bear Scenario</c:v>
          </c:tx>
          <c:spPr>
            <a:solidFill>
              <a:schemeClr val="bg1">
                <a:lumMod val="85000"/>
              </a:schemeClr>
            </a:solidFill>
            <a:ln w="25400">
              <a:noFill/>
            </a:ln>
          </c:spPr>
          <c:cat>
            <c:strRef>
              <c:f>ChartSupport!$D$7:$W$7</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ChartSupport!$D$262:$W$262</c:f>
              <c:numCache>
                <c:formatCode>#,##0.0</c:formatCode>
                <c:ptCount val="20"/>
                <c:pt idx="0">
                  <c:v>#N/A</c:v>
                </c:pt>
                <c:pt idx="1">
                  <c:v>#N/A</c:v>
                </c:pt>
                <c:pt idx="2">
                  <c:v>#N/A</c:v>
                </c:pt>
                <c:pt idx="3">
                  <c:v>#N/A</c:v>
                </c:pt>
                <c:pt idx="4" formatCode="0%">
                  <c:v>0.44310283491253505</c:v>
                </c:pt>
                <c:pt idx="5" formatCode="0%">
                  <c:v>0.56270071157231194</c:v>
                </c:pt>
                <c:pt idx="6" formatCode="0%">
                  <c:v>0.43730176015205813</c:v>
                </c:pt>
                <c:pt idx="7" formatCode="0%">
                  <c:v>0.42883848500272803</c:v>
                </c:pt>
                <c:pt idx="8" formatCode="0%">
                  <c:v>0.485086187321149</c:v>
                </c:pt>
                <c:pt idx="9" formatCode="0%">
                  <c:v>0.49634008102213817</c:v>
                </c:pt>
                <c:pt idx="10" formatCode="0%">
                  <c:v>0.51901261617839356</c:v>
                </c:pt>
                <c:pt idx="11" formatCode="0%">
                  <c:v>0.49221674145213767</c:v>
                </c:pt>
                <c:pt idx="12" formatCode="0%">
                  <c:v>0.45179745481281891</c:v>
                </c:pt>
                <c:pt idx="13" formatCode="0%">
                  <c:v>0.4935459475828804</c:v>
                </c:pt>
                <c:pt idx="14" formatCode="0%">
                  <c:v>0.47968530065734849</c:v>
                </c:pt>
                <c:pt idx="15" formatCode="0%">
                  <c:v>0.44644174728489028</c:v>
                </c:pt>
                <c:pt idx="16" formatCode="0%">
                  <c:v>0.46346551307372225</c:v>
                </c:pt>
                <c:pt idx="17" formatCode="0%">
                  <c:v>0.49239354585817013</c:v>
                </c:pt>
                <c:pt idx="18" formatCode="0%">
                  <c:v>0.4725254224022285</c:v>
                </c:pt>
                <c:pt idx="19" formatCode="0%">
                  <c:v>0.5231004012229008</c:v>
                </c:pt>
              </c:numCache>
            </c:numRef>
          </c:val>
        </c:ser>
        <c:ser>
          <c:idx val="3"/>
          <c:order val="1"/>
          <c:tx>
            <c:strRef>
              <c:f>ChartSupport!$A$163</c:f>
              <c:strCache>
                <c:ptCount val="1"/>
                <c:pt idx="0">
                  <c:v>Bear</c:v>
                </c:pt>
              </c:strCache>
            </c:strRef>
          </c:tx>
          <c:spPr>
            <a:solidFill>
              <a:schemeClr val="bg1"/>
            </a:solidFill>
            <a:ln w="25400">
              <a:noFill/>
            </a:ln>
          </c:spPr>
          <c:cat>
            <c:strRef>
              <c:f>ChartSupport!$D$7:$W$7</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ChartSupport!$D$264:$W$264</c:f>
              <c:numCache>
                <c:formatCode>#,##0.0</c:formatCode>
                <c:ptCount val="20"/>
                <c:pt idx="0">
                  <c:v>#N/A</c:v>
                </c:pt>
                <c:pt idx="1">
                  <c:v>#N/A</c:v>
                </c:pt>
                <c:pt idx="2">
                  <c:v>#N/A</c:v>
                </c:pt>
                <c:pt idx="3">
                  <c:v>#N/A</c:v>
                </c:pt>
                <c:pt idx="4" formatCode="0%">
                  <c:v>0.44310283491253505</c:v>
                </c:pt>
                <c:pt idx="5" formatCode="0%">
                  <c:v>0.56270071157231194</c:v>
                </c:pt>
                <c:pt idx="6" formatCode="0%">
                  <c:v>0.43730176015205813</c:v>
                </c:pt>
                <c:pt idx="7" formatCode="0%">
                  <c:v>0.42883848500272803</c:v>
                </c:pt>
                <c:pt idx="8" formatCode="0%">
                  <c:v>0.485086187321149</c:v>
                </c:pt>
                <c:pt idx="9" formatCode="0%">
                  <c:v>0.49634008102213817</c:v>
                </c:pt>
                <c:pt idx="10" formatCode="0%">
                  <c:v>0.51901261617839356</c:v>
                </c:pt>
                <c:pt idx="11" formatCode="0%">
                  <c:v>0.49221674145213767</c:v>
                </c:pt>
                <c:pt idx="12" formatCode="0%">
                  <c:v>0.50675277476254965</c:v>
                </c:pt>
                <c:pt idx="13" formatCode="0%">
                  <c:v>0.5416895598062984</c:v>
                </c:pt>
                <c:pt idx="14" formatCode="0%">
                  <c:v>0.52906903081601531</c:v>
                </c:pt>
                <c:pt idx="15" formatCode="0%">
                  <c:v>0.52703738096630581</c:v>
                </c:pt>
                <c:pt idx="16" formatCode="0%">
                  <c:v>0.55407023467969696</c:v>
                </c:pt>
                <c:pt idx="17" formatCode="0%">
                  <c:v>0.58446978216718992</c:v>
                </c:pt>
                <c:pt idx="18" formatCode="0%">
                  <c:v>0.58146610365302087</c:v>
                </c:pt>
                <c:pt idx="19" formatCode="0%">
                  <c:v>0.62943827813593878</c:v>
                </c:pt>
              </c:numCache>
            </c:numRef>
          </c:val>
        </c:ser>
        <c:dLbls>
          <c:showLegendKey val="0"/>
          <c:showVal val="0"/>
          <c:showCatName val="0"/>
          <c:showSerName val="0"/>
          <c:showPercent val="0"/>
          <c:showBubbleSize val="0"/>
        </c:dLbls>
        <c:axId val="899089536"/>
        <c:axId val="899091072"/>
      </c:areaChart>
      <c:lineChart>
        <c:grouping val="standard"/>
        <c:varyColors val="0"/>
        <c:ser>
          <c:idx val="2"/>
          <c:order val="2"/>
          <c:tx>
            <c:strRef>
              <c:f>ChartSupport!$A$261</c:f>
              <c:strCache>
                <c:ptCount val="1"/>
                <c:pt idx="0">
                  <c:v>Ethanol Gross Margin (%)</c:v>
                </c:pt>
              </c:strCache>
            </c:strRef>
          </c:tx>
          <c:spPr>
            <a:ln w="25400">
              <a:solidFill>
                <a:schemeClr val="accent1"/>
              </a:solidFill>
              <a:prstDash val="solid"/>
            </a:ln>
          </c:spPr>
          <c:marker>
            <c:symbol val="none"/>
          </c:marker>
          <c:cat>
            <c:strRef>
              <c:f>ChartSupport!$D$12:$W$12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ChartSupport!$D$263:$W$263</c:f>
              <c:numCache>
                <c:formatCode>#,##0.0</c:formatCode>
                <c:ptCount val="20"/>
                <c:pt idx="0">
                  <c:v>#N/A</c:v>
                </c:pt>
                <c:pt idx="1">
                  <c:v>#N/A</c:v>
                </c:pt>
                <c:pt idx="2">
                  <c:v>#N/A</c:v>
                </c:pt>
                <c:pt idx="3">
                  <c:v>#N/A</c:v>
                </c:pt>
                <c:pt idx="4" formatCode="0%">
                  <c:v>0.44310283491253505</c:v>
                </c:pt>
                <c:pt idx="5" formatCode="0%">
                  <c:v>0.56270071157231194</c:v>
                </c:pt>
                <c:pt idx="6" formatCode="0%">
                  <c:v>0.43730176015205813</c:v>
                </c:pt>
                <c:pt idx="7" formatCode="0%">
                  <c:v>0.42883848500272803</c:v>
                </c:pt>
                <c:pt idx="8" formatCode="0%">
                  <c:v>0.485086187321149</c:v>
                </c:pt>
                <c:pt idx="9" formatCode="0%">
                  <c:v>0.49634008102213817</c:v>
                </c:pt>
                <c:pt idx="10" formatCode="0%">
                  <c:v>0.51901261617839356</c:v>
                </c:pt>
                <c:pt idx="11" formatCode="0%">
                  <c:v>0.49221674145213767</c:v>
                </c:pt>
                <c:pt idx="12" formatCode="0%">
                  <c:v>0.47907371147576061</c:v>
                </c:pt>
                <c:pt idx="13" formatCode="0%">
                  <c:v>0.51798925907754279</c:v>
                </c:pt>
                <c:pt idx="14" formatCode="0%">
                  <c:v>0.53143002841686016</c:v>
                </c:pt>
                <c:pt idx="15" formatCode="0%">
                  <c:v>0.5010086840201301</c:v>
                </c:pt>
                <c:pt idx="16" formatCode="0%">
                  <c:v>0.4881152423738484</c:v>
                </c:pt>
                <c:pt idx="17" formatCode="0%">
                  <c:v>0.5203731216200681</c:v>
                </c:pt>
                <c:pt idx="18" formatCode="0%">
                  <c:v>0.54519649678958049</c:v>
                </c:pt>
                <c:pt idx="19" formatCode="0%">
                  <c:v>0.59093422521959482</c:v>
                </c:pt>
              </c:numCache>
            </c:numRef>
          </c:val>
          <c:smooth val="0"/>
        </c:ser>
        <c:dLbls>
          <c:showLegendKey val="0"/>
          <c:showVal val="0"/>
          <c:showCatName val="0"/>
          <c:showSerName val="0"/>
          <c:showPercent val="0"/>
          <c:showBubbleSize val="0"/>
        </c:dLbls>
        <c:marker val="1"/>
        <c:smooth val="0"/>
        <c:axId val="899089536"/>
        <c:axId val="899091072"/>
      </c:lineChart>
      <c:lineChart>
        <c:grouping val="standard"/>
        <c:varyColors val="0"/>
        <c:ser>
          <c:idx val="0"/>
          <c:order val="3"/>
          <c:tx>
            <c:strRef>
              <c:f>ChartSupport!$A$172</c:f>
              <c:strCache>
                <c:ptCount val="1"/>
                <c:pt idx="0">
                  <c:v>Ethanol Prices (R$/cbm)</c:v>
                </c:pt>
              </c:strCache>
            </c:strRef>
          </c:tx>
          <c:spPr>
            <a:ln w="15875">
              <a:solidFill>
                <a:srgbClr val="FF0000"/>
              </a:solidFill>
              <a:prstDash val="sysDash"/>
            </a:ln>
          </c:spPr>
          <c:marker>
            <c:symbol val="none"/>
          </c:marker>
          <c:cat>
            <c:strRef>
              <c:f>ChartSupport!$D$12:$W$12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ChartSupport!$D$174:$W$174</c:f>
              <c:numCache>
                <c:formatCode>#,##0</c:formatCode>
                <c:ptCount val="20"/>
                <c:pt idx="0">
                  <c:v>850.76573527607229</c:v>
                </c:pt>
                <c:pt idx="1">
                  <c:v>916.0210009941004</c:v>
                </c:pt>
                <c:pt idx="2">
                  <c:v>749.30788867466026</c:v>
                </c:pt>
                <c:pt idx="3">
                  <c:v>769.57647434872933</c:v>
                </c:pt>
                <c:pt idx="4">
                  <c:v>857.95536593370525</c:v>
                </c:pt>
                <c:pt idx="5">
                  <c:v>994.76608745464966</c:v>
                </c:pt>
                <c:pt idx="6">
                  <c:v>1258.2710513203785</c:v>
                </c:pt>
                <c:pt idx="7">
                  <c:v>1211.548358473824</c:v>
                </c:pt>
                <c:pt idx="8">
                  <c:v>1317.1515815847165</c:v>
                </c:pt>
                <c:pt idx="9">
                  <c:v>1349.1070927950659</c:v>
                </c:pt>
                <c:pt idx="10">
                  <c:v>1637.3106918238993</c:v>
                </c:pt>
                <c:pt idx="11">
                  <c:v>1773.8788659793813</c:v>
                </c:pt>
                <c:pt idx="12">
                  <c:v>1691.3685141076389</c:v>
                </c:pt>
                <c:pt idx="13">
                  <c:v>1841.1499524966634</c:v>
                </c:pt>
                <c:pt idx="14">
                  <c:v>1970.8083998555833</c:v>
                </c:pt>
                <c:pt idx="15">
                  <c:v>2045.2427213153921</c:v>
                </c:pt>
                <c:pt idx="16">
                  <c:v>2094.3285466269617</c:v>
                </c:pt>
                <c:pt idx="17">
                  <c:v>2144.5924317460085</c:v>
                </c:pt>
                <c:pt idx="18">
                  <c:v>2196.0626501079128</c:v>
                </c:pt>
                <c:pt idx="19">
                  <c:v>2343.940671516048</c:v>
                </c:pt>
              </c:numCache>
            </c:numRef>
          </c:val>
          <c:smooth val="0"/>
        </c:ser>
        <c:dLbls>
          <c:showLegendKey val="0"/>
          <c:showVal val="0"/>
          <c:showCatName val="0"/>
          <c:showSerName val="0"/>
          <c:showPercent val="0"/>
          <c:showBubbleSize val="0"/>
        </c:dLbls>
        <c:marker val="1"/>
        <c:smooth val="0"/>
        <c:axId val="899105536"/>
        <c:axId val="899107072"/>
      </c:lineChart>
      <c:catAx>
        <c:axId val="899089536"/>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899091072"/>
        <c:crosses val="autoZero"/>
        <c:auto val="1"/>
        <c:lblAlgn val="ctr"/>
        <c:lblOffset val="100"/>
        <c:tickLblSkip val="1"/>
        <c:tickMarkSkip val="1"/>
        <c:noMultiLvlLbl val="0"/>
      </c:catAx>
      <c:valAx>
        <c:axId val="899091072"/>
        <c:scaling>
          <c:orientation val="minMax"/>
          <c:min val="0.30000000000000004"/>
        </c:scaling>
        <c:delete val="0"/>
        <c:axPos val="r"/>
        <c:title>
          <c:tx>
            <c:rich>
              <a:bodyPr rot="0" vert="horz"/>
              <a:lstStyle/>
              <a:p>
                <a:pPr algn="ctr" rtl="0">
                  <a:defRPr sz="900"/>
                </a:pPr>
                <a:r>
                  <a:rPr lang="en-US" sz="900" b="0" i="0" baseline="0">
                    <a:solidFill>
                      <a:schemeClr val="bg1">
                        <a:lumMod val="50000"/>
                      </a:schemeClr>
                    </a:solidFill>
                    <a:effectLst/>
                  </a:rPr>
                  <a:t>BRL/m3</a:t>
                </a:r>
                <a:endParaRPr lang="en-US" sz="900">
                  <a:solidFill>
                    <a:schemeClr val="bg1">
                      <a:lumMod val="50000"/>
                    </a:schemeClr>
                  </a:solidFill>
                  <a:effectLst/>
                </a:endParaRPr>
              </a:p>
            </c:rich>
          </c:tx>
          <c:layout>
            <c:manualLayout>
              <c:xMode val="edge"/>
              <c:yMode val="edge"/>
              <c:x val="0.10439353325515162"/>
              <c:y val="1.7628750252372299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99089536"/>
        <c:crosses val="max"/>
        <c:crossBetween val="midCat"/>
      </c:valAx>
      <c:catAx>
        <c:axId val="899105536"/>
        <c:scaling>
          <c:orientation val="minMax"/>
        </c:scaling>
        <c:delete val="1"/>
        <c:axPos val="b"/>
        <c:majorTickMark val="out"/>
        <c:minorTickMark val="none"/>
        <c:tickLblPos val="nextTo"/>
        <c:crossAx val="899107072"/>
        <c:crosses val="autoZero"/>
        <c:auto val="1"/>
        <c:lblAlgn val="ctr"/>
        <c:lblOffset val="100"/>
        <c:noMultiLvlLbl val="0"/>
      </c:catAx>
      <c:valAx>
        <c:axId val="899107072"/>
        <c:scaling>
          <c:orientation val="minMax"/>
        </c:scaling>
        <c:delete val="0"/>
        <c:axPos val="l"/>
        <c:title>
          <c:tx>
            <c:rich>
              <a:bodyPr rot="0" vert="horz"/>
              <a:lstStyle/>
              <a:p>
                <a:pPr algn="ctr" rtl="0">
                  <a:defRPr sz="900"/>
                </a:pPr>
                <a:r>
                  <a:rPr lang="en-US" sz="900"/>
                  <a:t>%</a:t>
                </a:r>
              </a:p>
            </c:rich>
          </c:tx>
          <c:layout>
            <c:manualLayout>
              <c:xMode val="edge"/>
              <c:yMode val="edge"/>
              <c:x val="0.82648692913385824"/>
              <c:y val="2.1731323218743999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899105536"/>
        <c:crosses val="autoZero"/>
        <c:crossBetween val="midCat"/>
      </c:valAx>
      <c:spPr>
        <a:noFill/>
        <a:ln w="25400">
          <a:noFill/>
        </a:ln>
      </c:spPr>
    </c:plotArea>
    <c:legend>
      <c:legendPos val="r"/>
      <c:legendEntry>
        <c:idx val="1"/>
        <c:delete val="1"/>
      </c:legendEntry>
      <c:layout>
        <c:manualLayout>
          <c:xMode val="edge"/>
          <c:yMode val="edge"/>
          <c:x val="0.25738722659667546"/>
          <c:y val="0.64101177901542783"/>
          <c:w val="0.57638999125109369"/>
          <c:h val="0.17566145770240257"/>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8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589676290463686E-2"/>
          <c:y val="4.7022015548490691E-2"/>
          <c:w val="0.79044564741907264"/>
          <c:h val="0.80173115283666463"/>
        </c:manualLayout>
      </c:layout>
      <c:areaChart>
        <c:grouping val="standard"/>
        <c:varyColors val="0"/>
        <c:ser>
          <c:idx val="1"/>
          <c:order val="0"/>
          <c:tx>
            <c:v>Bull-Bear Scenario</c:v>
          </c:tx>
          <c:spPr>
            <a:solidFill>
              <a:schemeClr val="bg1">
                <a:lumMod val="85000"/>
              </a:schemeClr>
            </a:solidFill>
            <a:ln w="25400">
              <a:noFill/>
            </a:ln>
          </c:spPr>
          <c:cat>
            <c:strRef>
              <c:f>ChartSupport!$K$7:$W$7</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ChartSupport!$K$272:$W$272</c:f>
              <c:numCache>
                <c:formatCode>0%</c:formatCode>
                <c:ptCount val="13"/>
                <c:pt idx="0">
                  <c:v>1.712567593157571</c:v>
                </c:pt>
                <c:pt idx="1">
                  <c:v>1.7736414785271699</c:v>
                </c:pt>
                <c:pt idx="2">
                  <c:v>1.3827237265291275</c:v>
                </c:pt>
                <c:pt idx="3">
                  <c:v>1.0317335807137262</c:v>
                </c:pt>
                <c:pt idx="4">
                  <c:v>1.8472565473994829</c:v>
                </c:pt>
                <c:pt idx="5">
                  <c:v>1.4502461678757324</c:v>
                </c:pt>
                <c:pt idx="6">
                  <c:v>1.168344245665806</c:v>
                </c:pt>
                <c:pt idx="7">
                  <c:v>1.168344245665806</c:v>
                </c:pt>
                <c:pt idx="8">
                  <c:v>1.168344245665806</c:v>
                </c:pt>
                <c:pt idx="9">
                  <c:v>1.168344245665806</c:v>
                </c:pt>
                <c:pt idx="10">
                  <c:v>1.168344245665806</c:v>
                </c:pt>
                <c:pt idx="11">
                  <c:v>1.168344245665806</c:v>
                </c:pt>
                <c:pt idx="12">
                  <c:v>1.168344245665806</c:v>
                </c:pt>
              </c:numCache>
            </c:numRef>
          </c:val>
        </c:ser>
        <c:ser>
          <c:idx val="3"/>
          <c:order val="1"/>
          <c:tx>
            <c:strRef>
              <c:f>ChartSupport!$A$163</c:f>
              <c:strCache>
                <c:ptCount val="1"/>
                <c:pt idx="0">
                  <c:v>Bear</c:v>
                </c:pt>
              </c:strCache>
            </c:strRef>
          </c:tx>
          <c:spPr>
            <a:solidFill>
              <a:schemeClr val="bg1"/>
            </a:solidFill>
            <a:ln w="25400">
              <a:noFill/>
            </a:ln>
          </c:spPr>
          <c:cat>
            <c:strRef>
              <c:f>ChartSupport!$K$7:$W$7</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ChartSupport!$K$274:$W$274</c:f>
              <c:numCache>
                <c:formatCode>0%</c:formatCode>
                <c:ptCount val="13"/>
                <c:pt idx="0">
                  <c:v>1.712567593157571</c:v>
                </c:pt>
                <c:pt idx="1">
                  <c:v>1.7736414785271699</c:v>
                </c:pt>
                <c:pt idx="2">
                  <c:v>1.3827237265291275</c:v>
                </c:pt>
                <c:pt idx="3">
                  <c:v>1.0317335807137262</c:v>
                </c:pt>
                <c:pt idx="4">
                  <c:v>1.8472565473994829</c:v>
                </c:pt>
                <c:pt idx="5">
                  <c:v>1.437059228884447</c:v>
                </c:pt>
                <c:pt idx="6">
                  <c:v>1.168344245665806</c:v>
                </c:pt>
                <c:pt idx="7">
                  <c:v>1.168344245665806</c:v>
                </c:pt>
                <c:pt idx="8">
                  <c:v>1.168344245665806</c:v>
                </c:pt>
                <c:pt idx="9">
                  <c:v>1.168344245665806</c:v>
                </c:pt>
                <c:pt idx="10">
                  <c:v>1.168344245665806</c:v>
                </c:pt>
                <c:pt idx="11">
                  <c:v>1.168344245665806</c:v>
                </c:pt>
                <c:pt idx="12">
                  <c:v>1.168344245665806</c:v>
                </c:pt>
              </c:numCache>
            </c:numRef>
          </c:val>
        </c:ser>
        <c:dLbls>
          <c:showLegendKey val="0"/>
          <c:showVal val="0"/>
          <c:showCatName val="0"/>
          <c:showSerName val="0"/>
          <c:showPercent val="0"/>
          <c:showBubbleSize val="0"/>
        </c:dLbls>
        <c:axId val="899142784"/>
        <c:axId val="899144320"/>
      </c:areaChart>
      <c:lineChart>
        <c:grouping val="standard"/>
        <c:varyColors val="0"/>
        <c:ser>
          <c:idx val="2"/>
          <c:order val="2"/>
          <c:tx>
            <c:strRef>
              <c:f>ChartSupport!$A$271</c:f>
              <c:strCache>
                <c:ptCount val="1"/>
                <c:pt idx="0">
                  <c:v>Others Gross Margin (%)</c:v>
                </c:pt>
              </c:strCache>
            </c:strRef>
          </c:tx>
          <c:spPr>
            <a:ln w="25400">
              <a:solidFill>
                <a:schemeClr val="accent1"/>
              </a:solidFill>
              <a:prstDash val="solid"/>
            </a:ln>
          </c:spPr>
          <c:marker>
            <c:symbol val="none"/>
          </c:marker>
          <c:cat>
            <c:strRef>
              <c:f>ChartSupport!$K$12:$W$12</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ChartSupport!$K$273:$W$273</c:f>
              <c:numCache>
                <c:formatCode>0%</c:formatCode>
                <c:ptCount val="13"/>
                <c:pt idx="0">
                  <c:v>1.712567593157571</c:v>
                </c:pt>
                <c:pt idx="1">
                  <c:v>1.7736414785271699</c:v>
                </c:pt>
                <c:pt idx="2">
                  <c:v>1.3827237265291275</c:v>
                </c:pt>
                <c:pt idx="3">
                  <c:v>1.0317335807137262</c:v>
                </c:pt>
                <c:pt idx="4">
                  <c:v>1.8472565473994829</c:v>
                </c:pt>
                <c:pt idx="5">
                  <c:v>1.4451206783810064</c:v>
                </c:pt>
                <c:pt idx="6">
                  <c:v>1.168344245665806</c:v>
                </c:pt>
                <c:pt idx="7">
                  <c:v>1.168344245665806</c:v>
                </c:pt>
                <c:pt idx="8">
                  <c:v>1.168344245665806</c:v>
                </c:pt>
                <c:pt idx="9">
                  <c:v>1.168344245665806</c:v>
                </c:pt>
                <c:pt idx="10">
                  <c:v>1.168344245665806</c:v>
                </c:pt>
                <c:pt idx="11">
                  <c:v>1.168344245665806</c:v>
                </c:pt>
                <c:pt idx="12">
                  <c:v>1.168344245665806</c:v>
                </c:pt>
              </c:numCache>
            </c:numRef>
          </c:val>
          <c:smooth val="0"/>
        </c:ser>
        <c:dLbls>
          <c:showLegendKey val="0"/>
          <c:showVal val="0"/>
          <c:showCatName val="0"/>
          <c:showSerName val="0"/>
          <c:showPercent val="0"/>
          <c:showBubbleSize val="0"/>
        </c:dLbls>
        <c:marker val="1"/>
        <c:smooth val="0"/>
        <c:axId val="899142784"/>
        <c:axId val="899144320"/>
      </c:lineChart>
      <c:catAx>
        <c:axId val="899142784"/>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a:pPr>
            <a:endParaRPr lang="en-US"/>
          </a:p>
        </c:txPr>
        <c:crossAx val="899144320"/>
        <c:crosses val="autoZero"/>
        <c:auto val="1"/>
        <c:lblAlgn val="ctr"/>
        <c:lblOffset val="100"/>
        <c:tickLblSkip val="1"/>
        <c:tickMarkSkip val="1"/>
        <c:noMultiLvlLbl val="0"/>
      </c:catAx>
      <c:valAx>
        <c:axId val="899144320"/>
        <c:scaling>
          <c:orientation val="minMax"/>
        </c:scaling>
        <c:delete val="0"/>
        <c:axPos val="r"/>
        <c:title>
          <c:tx>
            <c:rich>
              <a:bodyPr rot="0" vert="horz"/>
              <a:lstStyle/>
              <a:p>
                <a:pPr algn="ctr" rtl="0">
                  <a:defRPr/>
                </a:pPr>
                <a:r>
                  <a:rPr lang="en-US"/>
                  <a:t>BRL/MWh</a:t>
                </a:r>
              </a:p>
            </c:rich>
          </c:tx>
          <c:layout>
            <c:manualLayout>
              <c:xMode val="edge"/>
              <c:yMode val="edge"/>
              <c:x val="0.10439361959213778"/>
              <c:y val="1.3870274463340023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9142784"/>
        <c:crosses val="max"/>
        <c:crossBetween val="midCat"/>
      </c:valAx>
      <c:spPr>
        <a:noFill/>
        <a:ln w="25400">
          <a:noFill/>
        </a:ln>
      </c:spPr>
    </c:plotArea>
    <c:legend>
      <c:legendPos val="r"/>
      <c:legendEntry>
        <c:idx val="1"/>
        <c:delete val="1"/>
      </c:legendEntry>
      <c:layout>
        <c:manualLayout>
          <c:xMode val="edge"/>
          <c:yMode val="edge"/>
          <c:x val="0.16856300962379703"/>
          <c:y val="0.63546924012547223"/>
          <c:w val="0.57638999125109369"/>
          <c:h val="0.1879691500100949"/>
        </c:manualLayout>
      </c:layout>
      <c:overlay val="0"/>
      <c:spPr>
        <a:no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8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589676290463686E-2"/>
          <c:y val="4.7022015548490691E-2"/>
          <c:w val="0.79044564741907264"/>
          <c:h val="0.80173115283666463"/>
        </c:manualLayout>
      </c:layout>
      <c:areaChart>
        <c:grouping val="standard"/>
        <c:varyColors val="0"/>
        <c:ser>
          <c:idx val="1"/>
          <c:order val="0"/>
          <c:tx>
            <c:v>Bull-Bear Scenario</c:v>
          </c:tx>
          <c:spPr>
            <a:solidFill>
              <a:schemeClr val="bg1">
                <a:lumMod val="85000"/>
              </a:schemeClr>
            </a:solidFill>
            <a:ln w="25400">
              <a:noFill/>
            </a:ln>
          </c:spPr>
          <c:cat>
            <c:strRef>
              <c:f>ChartSupport!$K$7:$W$7</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ChartSupport!$K$277:$W$277</c:f>
              <c:numCache>
                <c:formatCode>0%</c:formatCode>
                <c:ptCount val="13"/>
                <c:pt idx="0">
                  <c:v>0.12226925557243322</c:v>
                </c:pt>
                <c:pt idx="1">
                  <c:v>0.11582906034924355</c:v>
                </c:pt>
                <c:pt idx="2">
                  <c:v>0.11091055160887715</c:v>
                </c:pt>
                <c:pt idx="3">
                  <c:v>9.7209812057656816E-2</c:v>
                </c:pt>
                <c:pt idx="4">
                  <c:v>9.0266284189655127E-2</c:v>
                </c:pt>
                <c:pt idx="5">
                  <c:v>8.6625133579375596E-2</c:v>
                </c:pt>
                <c:pt idx="6">
                  <c:v>9.6411051514776414E-2</c:v>
                </c:pt>
                <c:pt idx="7">
                  <c:v>8.7255081311423857E-2</c:v>
                </c:pt>
                <c:pt idx="8">
                  <c:v>8.0636040439683726E-2</c:v>
                </c:pt>
                <c:pt idx="9">
                  <c:v>8.6564614299349085E-2</c:v>
                </c:pt>
                <c:pt idx="10">
                  <c:v>9.5145736074098777E-2</c:v>
                </c:pt>
                <c:pt idx="11">
                  <c:v>9.3733540890546155E-2</c:v>
                </c:pt>
                <c:pt idx="12">
                  <c:v>9.2571389795007883E-2</c:v>
                </c:pt>
              </c:numCache>
            </c:numRef>
          </c:val>
        </c:ser>
        <c:ser>
          <c:idx val="3"/>
          <c:order val="1"/>
          <c:tx>
            <c:strRef>
              <c:f>ChartSupport!$A$163</c:f>
              <c:strCache>
                <c:ptCount val="1"/>
                <c:pt idx="0">
                  <c:v>Bear</c:v>
                </c:pt>
              </c:strCache>
            </c:strRef>
          </c:tx>
          <c:spPr>
            <a:solidFill>
              <a:schemeClr val="bg1"/>
            </a:solidFill>
            <a:ln w="25400">
              <a:noFill/>
            </a:ln>
          </c:spPr>
          <c:cat>
            <c:strRef>
              <c:f>ChartSupport!$K$7:$W$7</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ChartSupport!$K$279:$W$279</c:f>
              <c:numCache>
                <c:formatCode>0%</c:formatCode>
                <c:ptCount val="13"/>
                <c:pt idx="0">
                  <c:v>0.12226925557243322</c:v>
                </c:pt>
                <c:pt idx="1">
                  <c:v>0.11582906034924355</c:v>
                </c:pt>
                <c:pt idx="2">
                  <c:v>0.11091055160887715</c:v>
                </c:pt>
                <c:pt idx="3">
                  <c:v>9.7209812057656816E-2</c:v>
                </c:pt>
                <c:pt idx="4">
                  <c:v>9.0266284189655127E-2</c:v>
                </c:pt>
                <c:pt idx="5">
                  <c:v>7.2919317937779032E-2</c:v>
                </c:pt>
                <c:pt idx="6">
                  <c:v>7.1986869151626151E-2</c:v>
                </c:pt>
                <c:pt idx="7">
                  <c:v>6.7093949944741091E-2</c:v>
                </c:pt>
                <c:pt idx="8">
                  <c:v>6.4423782011486422E-2</c:v>
                </c:pt>
                <c:pt idx="9">
                  <c:v>6.8938335778940416E-2</c:v>
                </c:pt>
                <c:pt idx="10">
                  <c:v>7.3745242680308576E-2</c:v>
                </c:pt>
                <c:pt idx="11">
                  <c:v>7.1826802535265688E-2</c:v>
                </c:pt>
                <c:pt idx="12">
                  <c:v>6.8042663666980294E-2</c:v>
                </c:pt>
              </c:numCache>
            </c:numRef>
          </c:val>
        </c:ser>
        <c:dLbls>
          <c:showLegendKey val="0"/>
          <c:showVal val="0"/>
          <c:showCatName val="0"/>
          <c:showSerName val="0"/>
          <c:showPercent val="0"/>
          <c:showBubbleSize val="0"/>
        </c:dLbls>
        <c:axId val="899902848"/>
        <c:axId val="899912832"/>
      </c:areaChart>
      <c:lineChart>
        <c:grouping val="standard"/>
        <c:varyColors val="0"/>
        <c:ser>
          <c:idx val="2"/>
          <c:order val="2"/>
          <c:tx>
            <c:strRef>
              <c:f>ChartSupport!$A$276</c:f>
              <c:strCache>
                <c:ptCount val="1"/>
                <c:pt idx="0">
                  <c:v>SG&amp;A / Revenue (%)</c:v>
                </c:pt>
              </c:strCache>
            </c:strRef>
          </c:tx>
          <c:spPr>
            <a:ln w="25400">
              <a:solidFill>
                <a:schemeClr val="accent1"/>
              </a:solidFill>
              <a:prstDash val="solid"/>
            </a:ln>
          </c:spPr>
          <c:marker>
            <c:symbol val="none"/>
          </c:marker>
          <c:cat>
            <c:strRef>
              <c:f>ChartSupport!$K$12:$W$12</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ChartSupport!$K$278:$W$278</c:f>
              <c:numCache>
                <c:formatCode>0%</c:formatCode>
                <c:ptCount val="13"/>
                <c:pt idx="0">
                  <c:v>0.12226925557243322</c:v>
                </c:pt>
                <c:pt idx="1">
                  <c:v>0.11582906034924355</c:v>
                </c:pt>
                <c:pt idx="2">
                  <c:v>0.11091055160887715</c:v>
                </c:pt>
                <c:pt idx="3">
                  <c:v>9.7209812057656816E-2</c:v>
                </c:pt>
                <c:pt idx="4">
                  <c:v>9.0266284189655127E-2</c:v>
                </c:pt>
                <c:pt idx="5">
                  <c:v>7.9450430348279727E-2</c:v>
                </c:pt>
                <c:pt idx="6">
                  <c:v>8.1954043182386763E-2</c:v>
                </c:pt>
                <c:pt idx="7">
                  <c:v>7.9993694324694262E-2</c:v>
                </c:pt>
                <c:pt idx="8">
                  <c:v>7.3562412640739108E-2</c:v>
                </c:pt>
                <c:pt idx="9">
                  <c:v>7.2402053852102355E-2</c:v>
                </c:pt>
                <c:pt idx="10">
                  <c:v>8.013614578365405E-2</c:v>
                </c:pt>
                <c:pt idx="11">
                  <c:v>8.6629259337431888E-2</c:v>
                </c:pt>
                <c:pt idx="12">
                  <c:v>8.1540290484610409E-2</c:v>
                </c:pt>
              </c:numCache>
            </c:numRef>
          </c:val>
          <c:smooth val="0"/>
        </c:ser>
        <c:dLbls>
          <c:showLegendKey val="0"/>
          <c:showVal val="0"/>
          <c:showCatName val="0"/>
          <c:showSerName val="0"/>
          <c:showPercent val="0"/>
          <c:showBubbleSize val="0"/>
        </c:dLbls>
        <c:marker val="1"/>
        <c:smooth val="0"/>
        <c:axId val="899902848"/>
        <c:axId val="899912832"/>
      </c:lineChart>
      <c:lineChart>
        <c:grouping val="standard"/>
        <c:varyColors val="0"/>
        <c:ser>
          <c:idx val="0"/>
          <c:order val="3"/>
          <c:tx>
            <c:strRef>
              <c:f>ChartSupport!$A$177</c:f>
              <c:strCache>
                <c:ptCount val="1"/>
                <c:pt idx="0">
                  <c:v>Sugar Prices</c:v>
                </c:pt>
              </c:strCache>
            </c:strRef>
          </c:tx>
          <c:spPr>
            <a:ln w="15875">
              <a:solidFill>
                <a:srgbClr val="FF0000"/>
              </a:solidFill>
              <a:prstDash val="sysDash"/>
            </a:ln>
          </c:spPr>
          <c:marker>
            <c:symbol val="none"/>
          </c:marker>
          <c:cat>
            <c:strRef>
              <c:f>ChartSupport!$K$12:$W$12</c:f>
              <c:strCache>
                <c:ptCount val="13"/>
                <c:pt idx="0">
                  <c:v>2013</c:v>
                </c:pt>
                <c:pt idx="1">
                  <c:v>2014</c:v>
                </c:pt>
                <c:pt idx="2">
                  <c:v>2015</c:v>
                </c:pt>
                <c:pt idx="3">
                  <c:v>2016</c:v>
                </c:pt>
                <c:pt idx="4">
                  <c:v>2017</c:v>
                </c:pt>
                <c:pt idx="5">
                  <c:v>2018E</c:v>
                </c:pt>
                <c:pt idx="6">
                  <c:v>2019E</c:v>
                </c:pt>
                <c:pt idx="7">
                  <c:v>2020E</c:v>
                </c:pt>
                <c:pt idx="8">
                  <c:v>2021E</c:v>
                </c:pt>
                <c:pt idx="9">
                  <c:v>2022E</c:v>
                </c:pt>
                <c:pt idx="10">
                  <c:v>2023E</c:v>
                </c:pt>
                <c:pt idx="11">
                  <c:v>2024E</c:v>
                </c:pt>
                <c:pt idx="12">
                  <c:v>2025E</c:v>
                </c:pt>
              </c:strCache>
            </c:strRef>
          </c:cat>
          <c:val>
            <c:numRef>
              <c:f>ChartSupport!$K$179:$W$179</c:f>
              <c:numCache>
                <c:formatCode>0</c:formatCode>
                <c:ptCount val="13"/>
                <c:pt idx="0">
                  <c:v>17.066666666666666</c:v>
                </c:pt>
                <c:pt idx="1">
                  <c:v>15.978333333333333</c:v>
                </c:pt>
                <c:pt idx="2">
                  <c:v>13.149166666666668</c:v>
                </c:pt>
                <c:pt idx="3">
                  <c:v>19.252499999999998</c:v>
                </c:pt>
                <c:pt idx="4">
                  <c:v>17.805000000000003</c:v>
                </c:pt>
                <c:pt idx="5">
                  <c:v>16.244658605325153</c:v>
                </c:pt>
                <c:pt idx="6">
                  <c:v>16.31531880717511</c:v>
                </c:pt>
                <c:pt idx="7">
                  <c:v>16.498655235130911</c:v>
                </c:pt>
                <c:pt idx="8">
                  <c:v>19.747444770453257</c:v>
                </c:pt>
                <c:pt idx="9">
                  <c:v>20.93514679550681</c:v>
                </c:pt>
                <c:pt idx="10">
                  <c:v>17.432162450241776</c:v>
                </c:pt>
                <c:pt idx="11">
                  <c:v>15.017906650666538</c:v>
                </c:pt>
                <c:pt idx="12">
                  <c:v>17.055276269110166</c:v>
                </c:pt>
              </c:numCache>
            </c:numRef>
          </c:val>
          <c:smooth val="0"/>
        </c:ser>
        <c:dLbls>
          <c:showLegendKey val="0"/>
          <c:showVal val="0"/>
          <c:showCatName val="0"/>
          <c:showSerName val="0"/>
          <c:showPercent val="0"/>
          <c:showBubbleSize val="0"/>
        </c:dLbls>
        <c:marker val="1"/>
        <c:smooth val="0"/>
        <c:axId val="899914752"/>
        <c:axId val="899920640"/>
      </c:lineChart>
      <c:catAx>
        <c:axId val="899902848"/>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a:pPr>
            <a:endParaRPr lang="en-US"/>
          </a:p>
        </c:txPr>
        <c:crossAx val="899912832"/>
        <c:crosses val="autoZero"/>
        <c:auto val="1"/>
        <c:lblAlgn val="ctr"/>
        <c:lblOffset val="100"/>
        <c:tickLblSkip val="1"/>
        <c:tickMarkSkip val="1"/>
        <c:noMultiLvlLbl val="0"/>
      </c:catAx>
      <c:valAx>
        <c:axId val="899912832"/>
        <c:scaling>
          <c:orientation val="minMax"/>
        </c:scaling>
        <c:delete val="0"/>
        <c:axPos val="r"/>
        <c:title>
          <c:tx>
            <c:rich>
              <a:bodyPr rot="0" vert="horz"/>
              <a:lstStyle/>
              <a:p>
                <a:pPr algn="ctr" rtl="0">
                  <a:defRPr/>
                </a:pPr>
                <a:r>
                  <a:rPr lang="en-US"/>
                  <a:t>BRL/MWh</a:t>
                </a:r>
              </a:p>
            </c:rich>
          </c:tx>
          <c:layout>
            <c:manualLayout>
              <c:xMode val="edge"/>
              <c:yMode val="edge"/>
              <c:x val="0.10439361959213778"/>
              <c:y val="1.3870274463340023E-2"/>
            </c:manualLayout>
          </c:layout>
          <c:overlay val="0"/>
        </c:title>
        <c:numFmt formatCode="0%" sourceLinked="0"/>
        <c:majorTickMark val="out"/>
        <c:minorTickMark val="none"/>
        <c:tickLblPos val="nextTo"/>
        <c:spPr>
          <a:ln w="3175">
            <a:solidFill>
              <a:srgbClr val="808080"/>
            </a:solidFill>
            <a:prstDash val="solid"/>
          </a:ln>
        </c:spPr>
        <c:txPr>
          <a:bodyPr rot="0" vert="horz"/>
          <a:lstStyle/>
          <a:p>
            <a:pPr>
              <a:defRPr/>
            </a:pPr>
            <a:endParaRPr lang="en-US"/>
          </a:p>
        </c:txPr>
        <c:crossAx val="899902848"/>
        <c:crosses val="max"/>
        <c:crossBetween val="midCat"/>
      </c:valAx>
      <c:catAx>
        <c:axId val="899914752"/>
        <c:scaling>
          <c:orientation val="minMax"/>
        </c:scaling>
        <c:delete val="1"/>
        <c:axPos val="b"/>
        <c:majorTickMark val="out"/>
        <c:minorTickMark val="none"/>
        <c:tickLblPos val="nextTo"/>
        <c:crossAx val="899920640"/>
        <c:crosses val="autoZero"/>
        <c:auto val="1"/>
        <c:lblAlgn val="ctr"/>
        <c:lblOffset val="100"/>
        <c:noMultiLvlLbl val="0"/>
      </c:catAx>
      <c:valAx>
        <c:axId val="899920640"/>
        <c:scaling>
          <c:orientation val="minMax"/>
        </c:scaling>
        <c:delete val="0"/>
        <c:axPos val="l"/>
        <c:title>
          <c:tx>
            <c:rich>
              <a:bodyPr rot="0" vert="horz"/>
              <a:lstStyle/>
              <a:p>
                <a:pPr algn="ctr" rtl="0">
                  <a:defRPr/>
                </a:pPr>
                <a:r>
                  <a:rPr lang="en-US"/>
                  <a:t>%</a:t>
                </a:r>
              </a:p>
            </c:rich>
          </c:tx>
          <c:layout>
            <c:manualLayout>
              <c:xMode val="edge"/>
              <c:yMode val="edge"/>
              <c:x val="0.80523086614173234"/>
              <c:y val="2.5986172460149799E-2"/>
            </c:manualLayout>
          </c:layout>
          <c:overlay val="0"/>
        </c:title>
        <c:numFmt formatCode="0" sourceLinked="0"/>
        <c:majorTickMark val="cross"/>
        <c:minorTickMark val="none"/>
        <c:tickLblPos val="nextTo"/>
        <c:spPr>
          <a:ln w="3175">
            <a:solidFill>
              <a:srgbClr val="808080"/>
            </a:solidFill>
            <a:prstDash val="solid"/>
          </a:ln>
        </c:spPr>
        <c:txPr>
          <a:bodyPr rot="0" vert="horz"/>
          <a:lstStyle/>
          <a:p>
            <a:pPr>
              <a:defRPr/>
            </a:pPr>
            <a:endParaRPr lang="en-US"/>
          </a:p>
        </c:txPr>
        <c:crossAx val="899914752"/>
        <c:crosses val="autoZero"/>
        <c:crossBetween val="midCat"/>
      </c:valAx>
      <c:spPr>
        <a:noFill/>
        <a:ln w="25400">
          <a:noFill/>
        </a:ln>
      </c:spPr>
    </c:plotArea>
    <c:legend>
      <c:legendPos val="r"/>
      <c:legendEntry>
        <c:idx val="1"/>
        <c:delete val="1"/>
      </c:legendEntry>
      <c:layout>
        <c:manualLayout>
          <c:xMode val="edge"/>
          <c:yMode val="edge"/>
          <c:x val="0.16856300962379703"/>
          <c:y val="0.63546924012547223"/>
          <c:w val="0.57638999125109369"/>
          <c:h val="0.1879691500100949"/>
        </c:manualLayout>
      </c:layout>
      <c:overlay val="0"/>
      <c:spPr>
        <a:noFill/>
        <a:ln w="25400">
          <a:noFill/>
        </a:ln>
      </c:spPr>
      <c:txPr>
        <a:bodyPr/>
        <a:lstStyle/>
        <a:p>
          <a:pPr>
            <a:defRPr sz="800"/>
          </a:pPr>
          <a:endParaRPr lang="en-US"/>
        </a:p>
      </c:txPr>
    </c:legend>
    <c:plotVisOnly val="1"/>
    <c:dispBlanksAs val="gap"/>
    <c:showDLblsOverMax val="0"/>
  </c:chart>
  <c:spPr>
    <a:no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8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320754716981132"/>
          <c:y val="4.7169956177390976E-2"/>
          <c:w val="0.84905660377358494"/>
          <c:h val="0.81551593786625731"/>
        </c:manualLayout>
      </c:layout>
      <c:areaChart>
        <c:grouping val="stacked"/>
        <c:varyColors val="0"/>
        <c:ser>
          <c:idx val="0"/>
          <c:order val="0"/>
          <c:tx>
            <c:strRef>
              <c:f>ChartSupport!$A$282</c:f>
              <c:strCache>
                <c:ptCount val="1"/>
                <c:pt idx="0">
                  <c:v>Sugar</c:v>
                </c:pt>
              </c:strCache>
            </c:strRef>
          </c:tx>
          <c:cat>
            <c:strRef>
              <c:f>ChartSupport!$I$4:$W$4</c:f>
              <c:strCache>
                <c:ptCount val="15"/>
                <c:pt idx="0">
                  <c:v>2011</c:v>
                </c:pt>
                <c:pt idx="1">
                  <c:v>2012</c:v>
                </c:pt>
                <c:pt idx="2">
                  <c:v>2013</c:v>
                </c:pt>
                <c:pt idx="3">
                  <c:v>2014</c:v>
                </c:pt>
                <c:pt idx="4">
                  <c:v>2015</c:v>
                </c:pt>
                <c:pt idx="5">
                  <c:v>2016</c:v>
                </c:pt>
                <c:pt idx="6">
                  <c:v>2017</c:v>
                </c:pt>
                <c:pt idx="7">
                  <c:v>2018E</c:v>
                </c:pt>
                <c:pt idx="8">
                  <c:v>2019E</c:v>
                </c:pt>
                <c:pt idx="9">
                  <c:v>2020E</c:v>
                </c:pt>
                <c:pt idx="10">
                  <c:v>2021E</c:v>
                </c:pt>
                <c:pt idx="11">
                  <c:v>2022E</c:v>
                </c:pt>
                <c:pt idx="12">
                  <c:v>2023E</c:v>
                </c:pt>
                <c:pt idx="13">
                  <c:v>2024E</c:v>
                </c:pt>
                <c:pt idx="14">
                  <c:v>2025E</c:v>
                </c:pt>
              </c:strCache>
            </c:strRef>
          </c:cat>
          <c:val>
            <c:numRef>
              <c:f>ChartSupport!$I$282:$W$282</c:f>
              <c:numCache>
                <c:formatCode>_(* #,##0_);_(* \(#,##0\);_(* "-"_);_(@_)</c:formatCode>
                <c:ptCount val="15"/>
                <c:pt idx="0">
                  <c:v>355.96600000000001</c:v>
                </c:pt>
                <c:pt idx="1">
                  <c:v>342.75</c:v>
                </c:pt>
                <c:pt idx="2">
                  <c:v>439.67700000000002</c:v>
                </c:pt>
                <c:pt idx="3">
                  <c:v>351.82900000000001</c:v>
                </c:pt>
                <c:pt idx="4">
                  <c:v>480.26499999999999</c:v>
                </c:pt>
                <c:pt idx="5">
                  <c:v>520.21900000000005</c:v>
                </c:pt>
                <c:pt idx="6">
                  <c:v>782.11199999999997</c:v>
                </c:pt>
                <c:pt idx="7">
                  <c:v>1085.4211436269286</c:v>
                </c:pt>
                <c:pt idx="8">
                  <c:v>833.77523229599399</c:v>
                </c:pt>
                <c:pt idx="9">
                  <c:v>880.80750104456365</c:v>
                </c:pt>
                <c:pt idx="10">
                  <c:v>1202.1634743468278</c:v>
                </c:pt>
                <c:pt idx="11">
                  <c:v>1329.7069063477907</c:v>
                </c:pt>
                <c:pt idx="12">
                  <c:v>967.57021915772054</c:v>
                </c:pt>
                <c:pt idx="13">
                  <c:v>710.3551910304684</c:v>
                </c:pt>
                <c:pt idx="14">
                  <c:v>1035.0907974979129</c:v>
                </c:pt>
              </c:numCache>
            </c:numRef>
          </c:val>
        </c:ser>
        <c:ser>
          <c:idx val="1"/>
          <c:order val="1"/>
          <c:tx>
            <c:strRef>
              <c:f>ChartSupport!$A$283</c:f>
              <c:strCache>
                <c:ptCount val="1"/>
                <c:pt idx="0">
                  <c:v>Ethanol</c:v>
                </c:pt>
              </c:strCache>
            </c:strRef>
          </c:tx>
          <c:cat>
            <c:strRef>
              <c:f>ChartSupport!$I$4:$W$4</c:f>
              <c:strCache>
                <c:ptCount val="15"/>
                <c:pt idx="0">
                  <c:v>2011</c:v>
                </c:pt>
                <c:pt idx="1">
                  <c:v>2012</c:v>
                </c:pt>
                <c:pt idx="2">
                  <c:v>2013</c:v>
                </c:pt>
                <c:pt idx="3">
                  <c:v>2014</c:v>
                </c:pt>
                <c:pt idx="4">
                  <c:v>2015</c:v>
                </c:pt>
                <c:pt idx="5">
                  <c:v>2016</c:v>
                </c:pt>
                <c:pt idx="6">
                  <c:v>2017</c:v>
                </c:pt>
                <c:pt idx="7">
                  <c:v>2018E</c:v>
                </c:pt>
                <c:pt idx="8">
                  <c:v>2019E</c:v>
                </c:pt>
                <c:pt idx="9">
                  <c:v>2020E</c:v>
                </c:pt>
                <c:pt idx="10">
                  <c:v>2021E</c:v>
                </c:pt>
                <c:pt idx="11">
                  <c:v>2022E</c:v>
                </c:pt>
                <c:pt idx="12">
                  <c:v>2023E</c:v>
                </c:pt>
                <c:pt idx="13">
                  <c:v>2024E</c:v>
                </c:pt>
                <c:pt idx="14">
                  <c:v>2025E</c:v>
                </c:pt>
              </c:strCache>
            </c:strRef>
          </c:cat>
          <c:val>
            <c:numRef>
              <c:f>ChartSupport!$I$283:$W$283</c:f>
              <c:numCache>
                <c:formatCode>_(* #,##0_);_(* \(#,##0\);_(* "-"_);_(@_)</c:formatCode>
                <c:ptCount val="15"/>
                <c:pt idx="0">
                  <c:v>239.49799999999999</c:v>
                </c:pt>
                <c:pt idx="1">
                  <c:v>171.54599999999999</c:v>
                </c:pt>
                <c:pt idx="2">
                  <c:v>176.023</c:v>
                </c:pt>
                <c:pt idx="3">
                  <c:v>325.45699999999999</c:v>
                </c:pt>
                <c:pt idx="4">
                  <c:v>395.53</c:v>
                </c:pt>
                <c:pt idx="5">
                  <c:v>613.322</c:v>
                </c:pt>
                <c:pt idx="6">
                  <c:v>534.37699999999995</c:v>
                </c:pt>
                <c:pt idx="7">
                  <c:v>630.89793856831238</c:v>
                </c:pt>
                <c:pt idx="8">
                  <c:v>807.57610876893693</c:v>
                </c:pt>
                <c:pt idx="9">
                  <c:v>915.46799225878112</c:v>
                </c:pt>
                <c:pt idx="10">
                  <c:v>923.5880265590099</c:v>
                </c:pt>
                <c:pt idx="11">
                  <c:v>939.94016750781043</c:v>
                </c:pt>
                <c:pt idx="12">
                  <c:v>1056.5536977431084</c:v>
                </c:pt>
                <c:pt idx="13">
                  <c:v>1164.7450409830858</c:v>
                </c:pt>
                <c:pt idx="14">
                  <c:v>1393.3722617919086</c:v>
                </c:pt>
              </c:numCache>
            </c:numRef>
          </c:val>
        </c:ser>
        <c:ser>
          <c:idx val="2"/>
          <c:order val="2"/>
          <c:tx>
            <c:strRef>
              <c:f>ChartSupport!$A$284</c:f>
              <c:strCache>
                <c:ptCount val="1"/>
                <c:pt idx="0">
                  <c:v>Cogen</c:v>
                </c:pt>
              </c:strCache>
            </c:strRef>
          </c:tx>
          <c:cat>
            <c:strRef>
              <c:f>ChartSupport!$I$4:$W$4</c:f>
              <c:strCache>
                <c:ptCount val="15"/>
                <c:pt idx="0">
                  <c:v>2011</c:v>
                </c:pt>
                <c:pt idx="1">
                  <c:v>2012</c:v>
                </c:pt>
                <c:pt idx="2">
                  <c:v>2013</c:v>
                </c:pt>
                <c:pt idx="3">
                  <c:v>2014</c:v>
                </c:pt>
                <c:pt idx="4">
                  <c:v>2015</c:v>
                </c:pt>
                <c:pt idx="5">
                  <c:v>2016</c:v>
                </c:pt>
                <c:pt idx="6">
                  <c:v>2017</c:v>
                </c:pt>
                <c:pt idx="7">
                  <c:v>2018E</c:v>
                </c:pt>
                <c:pt idx="8">
                  <c:v>2019E</c:v>
                </c:pt>
                <c:pt idx="9">
                  <c:v>2020E</c:v>
                </c:pt>
                <c:pt idx="10">
                  <c:v>2021E</c:v>
                </c:pt>
                <c:pt idx="11">
                  <c:v>2022E</c:v>
                </c:pt>
                <c:pt idx="12">
                  <c:v>2023E</c:v>
                </c:pt>
                <c:pt idx="13">
                  <c:v>2024E</c:v>
                </c:pt>
                <c:pt idx="14">
                  <c:v>2025E</c:v>
                </c:pt>
              </c:strCache>
            </c:strRef>
          </c:cat>
          <c:val>
            <c:numRef>
              <c:f>ChartSupport!$I$284:$W$284</c:f>
              <c:numCache>
                <c:formatCode>_(* #,##0_);_(* \(#,##0\);_(* "-"_);_(@_)</c:formatCode>
                <c:ptCount val="15"/>
                <c:pt idx="0">
                  <c:v>0</c:v>
                </c:pt>
                <c:pt idx="1">
                  <c:v>0</c:v>
                </c:pt>
                <c:pt idx="2">
                  <c:v>26.98</c:v>
                </c:pt>
                <c:pt idx="3">
                  <c:v>65.593000000000004</c:v>
                </c:pt>
                <c:pt idx="4">
                  <c:v>174.95099999999999</c:v>
                </c:pt>
                <c:pt idx="5">
                  <c:v>123.425</c:v>
                </c:pt>
                <c:pt idx="6">
                  <c:v>84.957999999999998</c:v>
                </c:pt>
                <c:pt idx="7">
                  <c:v>118.29242754512381</c:v>
                </c:pt>
                <c:pt idx="8">
                  <c:v>117.11057767864212</c:v>
                </c:pt>
                <c:pt idx="9">
                  <c:v>123.21805546592871</c:v>
                </c:pt>
                <c:pt idx="10">
                  <c:v>129.63990531769946</c:v>
                </c:pt>
                <c:pt idx="11">
                  <c:v>136.39339793697121</c:v>
                </c:pt>
                <c:pt idx="12">
                  <c:v>143.49671522430944</c:v>
                </c:pt>
                <c:pt idx="13">
                  <c:v>150.96899702713156</c:v>
                </c:pt>
                <c:pt idx="14">
                  <c:v>158.83039023887028</c:v>
                </c:pt>
              </c:numCache>
            </c:numRef>
          </c:val>
        </c:ser>
        <c:ser>
          <c:idx val="4"/>
          <c:order val="3"/>
          <c:tx>
            <c:strRef>
              <c:f>ChartSupport!$A$285</c:f>
              <c:strCache>
                <c:ptCount val="1"/>
                <c:pt idx="0">
                  <c:v>Others</c:v>
                </c:pt>
              </c:strCache>
            </c:strRef>
          </c:tx>
          <c:cat>
            <c:strRef>
              <c:f>ChartSupport!$I$4:$W$4</c:f>
              <c:strCache>
                <c:ptCount val="15"/>
                <c:pt idx="0">
                  <c:v>2011</c:v>
                </c:pt>
                <c:pt idx="1">
                  <c:v>2012</c:v>
                </c:pt>
                <c:pt idx="2">
                  <c:v>2013</c:v>
                </c:pt>
                <c:pt idx="3">
                  <c:v>2014</c:v>
                </c:pt>
                <c:pt idx="4">
                  <c:v>2015</c:v>
                </c:pt>
                <c:pt idx="5">
                  <c:v>2016</c:v>
                </c:pt>
                <c:pt idx="6">
                  <c:v>2017</c:v>
                </c:pt>
                <c:pt idx="7">
                  <c:v>2018E</c:v>
                </c:pt>
                <c:pt idx="8">
                  <c:v>2019E</c:v>
                </c:pt>
                <c:pt idx="9">
                  <c:v>2020E</c:v>
                </c:pt>
                <c:pt idx="10">
                  <c:v>2021E</c:v>
                </c:pt>
                <c:pt idx="11">
                  <c:v>2022E</c:v>
                </c:pt>
                <c:pt idx="12">
                  <c:v>2023E</c:v>
                </c:pt>
                <c:pt idx="13">
                  <c:v>2024E</c:v>
                </c:pt>
                <c:pt idx="14">
                  <c:v>2025E</c:v>
                </c:pt>
              </c:strCache>
            </c:strRef>
          </c:cat>
          <c:val>
            <c:numRef>
              <c:f>ChartSupport!$I$285:$W$285</c:f>
              <c:numCache>
                <c:formatCode>_(* #,##0_);_(* \(#,##0\);_(* "-"_);_(@_)</c:formatCode>
                <c:ptCount val="15"/>
                <c:pt idx="0">
                  <c:v>0</c:v>
                </c:pt>
                <c:pt idx="1">
                  <c:v>0</c:v>
                </c:pt>
                <c:pt idx="2">
                  <c:v>7.4219999999999997</c:v>
                </c:pt>
                <c:pt idx="3">
                  <c:v>23.722000000000001</c:v>
                </c:pt>
                <c:pt idx="4">
                  <c:v>40.847000000000001</c:v>
                </c:pt>
                <c:pt idx="5">
                  <c:v>44.274000000000001</c:v>
                </c:pt>
                <c:pt idx="6">
                  <c:v>43.637</c:v>
                </c:pt>
                <c:pt idx="7">
                  <c:v>-74.899456936901544</c:v>
                </c:pt>
                <c:pt idx="8">
                  <c:v>22.378982405681526</c:v>
                </c:pt>
                <c:pt idx="9">
                  <c:v>34.187323357561596</c:v>
                </c:pt>
                <c:pt idx="10">
                  <c:v>43.927850071744274</c:v>
                </c:pt>
                <c:pt idx="11">
                  <c:v>52.656977515012102</c:v>
                </c:pt>
                <c:pt idx="12">
                  <c:v>59.783799224528735</c:v>
                </c:pt>
                <c:pt idx="13">
                  <c:v>64.733457613049438</c:v>
                </c:pt>
                <c:pt idx="14">
                  <c:v>66.994411451118822</c:v>
                </c:pt>
              </c:numCache>
            </c:numRef>
          </c:val>
        </c:ser>
        <c:dLbls>
          <c:showLegendKey val="0"/>
          <c:showVal val="0"/>
          <c:showCatName val="0"/>
          <c:showSerName val="0"/>
          <c:showPercent val="0"/>
          <c:showBubbleSize val="0"/>
        </c:dLbls>
        <c:axId val="899947904"/>
        <c:axId val="899961984"/>
      </c:areaChart>
      <c:catAx>
        <c:axId val="899947904"/>
        <c:scaling>
          <c:orientation val="minMax"/>
        </c:scaling>
        <c:delete val="0"/>
        <c:axPos val="b"/>
        <c:numFmt formatCode="General" sourceLinked="1"/>
        <c:majorTickMark val="out"/>
        <c:minorTickMark val="none"/>
        <c:tickLblPos val="low"/>
        <c:txPr>
          <a:bodyPr rot="-5400000" vert="horz"/>
          <a:lstStyle/>
          <a:p>
            <a:pPr>
              <a:defRPr sz="900">
                <a:solidFill>
                  <a:schemeClr val="bg1">
                    <a:lumMod val="50000"/>
                  </a:schemeClr>
                </a:solidFill>
              </a:defRPr>
            </a:pPr>
            <a:endParaRPr lang="en-US"/>
          </a:p>
        </c:txPr>
        <c:crossAx val="899961984"/>
        <c:crosses val="autoZero"/>
        <c:auto val="1"/>
        <c:lblAlgn val="ctr"/>
        <c:lblOffset val="100"/>
        <c:tickLblSkip val="1"/>
        <c:tickMarkSkip val="1"/>
        <c:noMultiLvlLbl val="0"/>
      </c:catAx>
      <c:valAx>
        <c:axId val="899961984"/>
        <c:scaling>
          <c:orientation val="minMax"/>
        </c:scaling>
        <c:delete val="0"/>
        <c:axPos val="l"/>
        <c:numFmt formatCode="_(* #,##0_);_(* \(#,##0\);_(* &quot;-&quot;_);_(@_)" sourceLinked="1"/>
        <c:majorTickMark val="out"/>
        <c:minorTickMark val="none"/>
        <c:tickLblPos val="nextTo"/>
        <c:txPr>
          <a:bodyPr rot="0" vert="horz"/>
          <a:lstStyle/>
          <a:p>
            <a:pPr>
              <a:defRPr sz="900">
                <a:solidFill>
                  <a:schemeClr val="bg1">
                    <a:lumMod val="50000"/>
                  </a:schemeClr>
                </a:solidFill>
              </a:defRPr>
            </a:pPr>
            <a:endParaRPr lang="en-US"/>
          </a:p>
        </c:txPr>
        <c:crossAx val="899947904"/>
        <c:crosses val="autoZero"/>
        <c:crossBetween val="midCat"/>
      </c:valAx>
    </c:plotArea>
    <c:legend>
      <c:legendPos val="r"/>
      <c:layout>
        <c:manualLayout>
          <c:xMode val="edge"/>
          <c:yMode val="edge"/>
          <c:x val="0.25701069738516502"/>
          <c:y val="2.5003556621067041E-2"/>
          <c:w val="0.68114717596072127"/>
          <c:h val="8.2848903146365963E-2"/>
        </c:manualLayout>
      </c:layout>
      <c:overlay val="0"/>
      <c:txPr>
        <a:bodyPr/>
        <a:lstStyle/>
        <a:p>
          <a:pPr>
            <a:defRPr sz="800">
              <a:solidFill>
                <a:schemeClr val="bg1">
                  <a:lumMod val="50000"/>
                </a:schemeClr>
              </a:solidFill>
            </a:defRPr>
          </a:pPr>
          <a:endParaRPr lang="en-US"/>
        </a:p>
      </c:txPr>
    </c:legend>
    <c:plotVisOnly val="0"/>
    <c:dispBlanksAs val="zero"/>
    <c:showDLblsOverMax val="0"/>
  </c:chart>
  <c:spPr>
    <a:ln>
      <a:noFill/>
    </a:ln>
  </c:spPr>
  <c:txPr>
    <a:bodyPr/>
    <a:lstStyle/>
    <a:p>
      <a:pPr>
        <a:defRPr>
          <a:latin typeface="Arial" panose="020B0604020202020204" pitchFamily="34" charset="0"/>
          <a:cs typeface="Arial" panose="020B0604020202020204" pitchFamily="34" charset="0"/>
        </a:defRPr>
      </a:pPr>
      <a:endParaRPr lang="en-US"/>
    </a:p>
  </c:txPr>
  <c:printSettings>
    <c:headerFooter alignWithMargins="0"/>
    <c:pageMargins b="1" l="0.75" r="0.75" t="1" header="0.5" footer="0.5"/>
    <c:pageSetup paperSize="0" orientation="portrait" horizontalDpi="0" verticalDpi="0" copies="0"/>
  </c:printSettings>
</c:chartSpace>
</file>

<file path=xl/charts/chart18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320754716981132"/>
          <c:y val="4.7169956177390976E-2"/>
          <c:w val="0.84905660377358494"/>
          <c:h val="0.81551593786625731"/>
        </c:manualLayout>
      </c:layout>
      <c:lineChart>
        <c:grouping val="standard"/>
        <c:varyColors val="0"/>
        <c:ser>
          <c:idx val="0"/>
          <c:order val="0"/>
          <c:tx>
            <c:strRef>
              <c:f>ChartSupport!$A$282</c:f>
              <c:strCache>
                <c:ptCount val="1"/>
                <c:pt idx="0">
                  <c:v>Sugar</c:v>
                </c:pt>
              </c:strCache>
            </c:strRef>
          </c:tx>
          <c:marker>
            <c:symbol val="none"/>
          </c:marker>
          <c:cat>
            <c:strRef>
              <c:f>ChartSupport!$I$4:$W$4</c:f>
              <c:strCache>
                <c:ptCount val="15"/>
                <c:pt idx="0">
                  <c:v>2011</c:v>
                </c:pt>
                <c:pt idx="1">
                  <c:v>2012</c:v>
                </c:pt>
                <c:pt idx="2">
                  <c:v>2013</c:v>
                </c:pt>
                <c:pt idx="3">
                  <c:v>2014</c:v>
                </c:pt>
                <c:pt idx="4">
                  <c:v>2015</c:v>
                </c:pt>
                <c:pt idx="5">
                  <c:v>2016</c:v>
                </c:pt>
                <c:pt idx="6">
                  <c:v>2017</c:v>
                </c:pt>
                <c:pt idx="7">
                  <c:v>2018E</c:v>
                </c:pt>
                <c:pt idx="8">
                  <c:v>2019E</c:v>
                </c:pt>
                <c:pt idx="9">
                  <c:v>2020E</c:v>
                </c:pt>
                <c:pt idx="10">
                  <c:v>2021E</c:v>
                </c:pt>
                <c:pt idx="11">
                  <c:v>2022E</c:v>
                </c:pt>
                <c:pt idx="12">
                  <c:v>2023E</c:v>
                </c:pt>
                <c:pt idx="13">
                  <c:v>2024E</c:v>
                </c:pt>
                <c:pt idx="14">
                  <c:v>2025E</c:v>
                </c:pt>
              </c:strCache>
            </c:strRef>
          </c:cat>
          <c:val>
            <c:numRef>
              <c:f>ChartSupport!$I$287:$W$287</c:f>
              <c:numCache>
                <c:formatCode>0%</c:formatCode>
                <c:ptCount val="15"/>
                <c:pt idx="0">
                  <c:v>0.50694769822337737</c:v>
                </c:pt>
                <c:pt idx="1">
                  <c:v>0.4470533607586929</c:v>
                </c:pt>
                <c:pt idx="2">
                  <c:v>0.46265912960394645</c:v>
                </c:pt>
                <c:pt idx="3">
                  <c:v>0.39787328362023539</c:v>
                </c:pt>
                <c:pt idx="4">
                  <c:v>0.44095516950420838</c:v>
                </c:pt>
                <c:pt idx="5">
                  <c:v>0.41328879108307581</c:v>
                </c:pt>
                <c:pt idx="6">
                  <c:v>0.47555498805202379</c:v>
                </c:pt>
                <c:pt idx="7">
                  <c:v>0.55264741035071696</c:v>
                </c:pt>
                <c:pt idx="8">
                  <c:v>0.46895822565167894</c:v>
                </c:pt>
                <c:pt idx="9">
                  <c:v>0.46694263140266862</c:v>
                </c:pt>
                <c:pt idx="10">
                  <c:v>0.51438404652419922</c:v>
                </c:pt>
                <c:pt idx="11">
                  <c:v>0.5222759725638072</c:v>
                </c:pt>
                <c:pt idx="12">
                  <c:v>0.44416609623359188</c:v>
                </c:pt>
                <c:pt idx="13">
                  <c:v>0.36836855974328597</c:v>
                </c:pt>
                <c:pt idx="14">
                  <c:v>0.4599879415709196</c:v>
                </c:pt>
              </c:numCache>
            </c:numRef>
          </c:val>
          <c:smooth val="1"/>
        </c:ser>
        <c:ser>
          <c:idx val="1"/>
          <c:order val="1"/>
          <c:tx>
            <c:strRef>
              <c:f>ChartSupport!$A$283</c:f>
              <c:strCache>
                <c:ptCount val="1"/>
                <c:pt idx="0">
                  <c:v>Ethanol</c:v>
                </c:pt>
              </c:strCache>
            </c:strRef>
          </c:tx>
          <c:marker>
            <c:symbol val="none"/>
          </c:marker>
          <c:cat>
            <c:strRef>
              <c:f>ChartSupport!$I$4:$W$4</c:f>
              <c:strCache>
                <c:ptCount val="15"/>
                <c:pt idx="0">
                  <c:v>2011</c:v>
                </c:pt>
                <c:pt idx="1">
                  <c:v>2012</c:v>
                </c:pt>
                <c:pt idx="2">
                  <c:v>2013</c:v>
                </c:pt>
                <c:pt idx="3">
                  <c:v>2014</c:v>
                </c:pt>
                <c:pt idx="4">
                  <c:v>2015</c:v>
                </c:pt>
                <c:pt idx="5">
                  <c:v>2016</c:v>
                </c:pt>
                <c:pt idx="6">
                  <c:v>2017</c:v>
                </c:pt>
                <c:pt idx="7">
                  <c:v>2018E</c:v>
                </c:pt>
                <c:pt idx="8">
                  <c:v>2019E</c:v>
                </c:pt>
                <c:pt idx="9">
                  <c:v>2020E</c:v>
                </c:pt>
                <c:pt idx="10">
                  <c:v>2021E</c:v>
                </c:pt>
                <c:pt idx="11">
                  <c:v>2022E</c:v>
                </c:pt>
                <c:pt idx="12">
                  <c:v>2023E</c:v>
                </c:pt>
                <c:pt idx="13">
                  <c:v>2024E</c:v>
                </c:pt>
                <c:pt idx="14">
                  <c:v>2025E</c:v>
                </c:pt>
              </c:strCache>
            </c:strRef>
          </c:cat>
          <c:val>
            <c:numRef>
              <c:f>ChartSupport!$I$288:$W$288</c:f>
              <c:numCache>
                <c:formatCode>0%</c:formatCode>
                <c:ptCount val="15"/>
                <c:pt idx="0">
                  <c:v>0.45972523749469718</c:v>
                </c:pt>
                <c:pt idx="1">
                  <c:v>0.3396479695883739</c:v>
                </c:pt>
                <c:pt idx="2">
                  <c:v>0.32228846174972448</c:v>
                </c:pt>
                <c:pt idx="3">
                  <c:v>0.38692691881069935</c:v>
                </c:pt>
                <c:pt idx="4">
                  <c:v>0.41096032741339056</c:v>
                </c:pt>
                <c:pt idx="5">
                  <c:v>0.47118376352693708</c:v>
                </c:pt>
                <c:pt idx="6">
                  <c:v>0.43133983438226714</c:v>
                </c:pt>
                <c:pt idx="7">
                  <c:v>0.42408922052297315</c:v>
                </c:pt>
                <c:pt idx="8">
                  <c:v>0.46784749161328121</c:v>
                </c:pt>
                <c:pt idx="9">
                  <c:v>0.48345517026754453</c:v>
                </c:pt>
                <c:pt idx="10">
                  <c:v>0.45402470208576379</c:v>
                </c:pt>
                <c:pt idx="11">
                  <c:v>0.4410503206112889</c:v>
                </c:pt>
                <c:pt idx="12">
                  <c:v>0.47322281757289808</c:v>
                </c:pt>
                <c:pt idx="13">
                  <c:v>0.49795623929532251</c:v>
                </c:pt>
                <c:pt idx="14">
                  <c:v>0.54552133457272833</c:v>
                </c:pt>
              </c:numCache>
            </c:numRef>
          </c:val>
          <c:smooth val="1"/>
        </c:ser>
        <c:ser>
          <c:idx val="2"/>
          <c:order val="2"/>
          <c:tx>
            <c:strRef>
              <c:f>ChartSupport!$A$284</c:f>
              <c:strCache>
                <c:ptCount val="1"/>
                <c:pt idx="0">
                  <c:v>Cogen</c:v>
                </c:pt>
              </c:strCache>
            </c:strRef>
          </c:tx>
          <c:marker>
            <c:symbol val="none"/>
          </c:marker>
          <c:cat>
            <c:strRef>
              <c:f>ChartSupport!$I$4:$W$4</c:f>
              <c:strCache>
                <c:ptCount val="15"/>
                <c:pt idx="0">
                  <c:v>2011</c:v>
                </c:pt>
                <c:pt idx="1">
                  <c:v>2012</c:v>
                </c:pt>
                <c:pt idx="2">
                  <c:v>2013</c:v>
                </c:pt>
                <c:pt idx="3">
                  <c:v>2014</c:v>
                </c:pt>
                <c:pt idx="4">
                  <c:v>2015</c:v>
                </c:pt>
                <c:pt idx="5">
                  <c:v>2016</c:v>
                </c:pt>
                <c:pt idx="6">
                  <c:v>2017</c:v>
                </c:pt>
                <c:pt idx="7">
                  <c:v>2018E</c:v>
                </c:pt>
                <c:pt idx="8">
                  <c:v>2019E</c:v>
                </c:pt>
                <c:pt idx="9">
                  <c:v>2020E</c:v>
                </c:pt>
                <c:pt idx="10">
                  <c:v>2021E</c:v>
                </c:pt>
                <c:pt idx="11">
                  <c:v>2022E</c:v>
                </c:pt>
                <c:pt idx="12">
                  <c:v>2023E</c:v>
                </c:pt>
                <c:pt idx="13">
                  <c:v>2024E</c:v>
                </c:pt>
                <c:pt idx="14">
                  <c:v>2025E</c:v>
                </c:pt>
              </c:strCache>
            </c:strRef>
          </c:cat>
          <c:val>
            <c:numRef>
              <c:f>ChartSupport!$I$289:$W$289</c:f>
              <c:numCache>
                <c:formatCode>0%</c:formatCode>
                <c:ptCount val="15"/>
                <c:pt idx="0">
                  <c:v>0</c:v>
                </c:pt>
                <c:pt idx="1">
                  <c:v>0</c:v>
                </c:pt>
                <c:pt idx="2">
                  <c:v>0.60754818951540257</c:v>
                </c:pt>
                <c:pt idx="3">
                  <c:v>0.84884759230261553</c:v>
                </c:pt>
                <c:pt idx="4">
                  <c:v>0.92510866461499408</c:v>
                </c:pt>
                <c:pt idx="5">
                  <c:v>0.66510214309193683</c:v>
                </c:pt>
                <c:pt idx="6">
                  <c:v>0.55860713135072226</c:v>
                </c:pt>
                <c:pt idx="7">
                  <c:v>0.71627264635255106</c:v>
                </c:pt>
                <c:pt idx="8">
                  <c:v>0.71627264635255106</c:v>
                </c:pt>
                <c:pt idx="9">
                  <c:v>0.71627264635255106</c:v>
                </c:pt>
                <c:pt idx="10">
                  <c:v>0.71627264635255106</c:v>
                </c:pt>
                <c:pt idx="11">
                  <c:v>0.71627264635255106</c:v>
                </c:pt>
                <c:pt idx="12">
                  <c:v>0.71627264635255106</c:v>
                </c:pt>
                <c:pt idx="13">
                  <c:v>0.71627264635255106</c:v>
                </c:pt>
                <c:pt idx="14">
                  <c:v>0.71627264635255106</c:v>
                </c:pt>
              </c:numCache>
            </c:numRef>
          </c:val>
          <c:smooth val="1"/>
        </c:ser>
        <c:ser>
          <c:idx val="4"/>
          <c:order val="3"/>
          <c:tx>
            <c:strRef>
              <c:f>ChartSupport!$A$285</c:f>
              <c:strCache>
                <c:ptCount val="1"/>
                <c:pt idx="0">
                  <c:v>Others</c:v>
                </c:pt>
              </c:strCache>
            </c:strRef>
          </c:tx>
          <c:marker>
            <c:symbol val="none"/>
          </c:marker>
          <c:cat>
            <c:strRef>
              <c:f>ChartSupport!$I$4:$W$4</c:f>
              <c:strCache>
                <c:ptCount val="15"/>
                <c:pt idx="0">
                  <c:v>2011</c:v>
                </c:pt>
                <c:pt idx="1">
                  <c:v>2012</c:v>
                </c:pt>
                <c:pt idx="2">
                  <c:v>2013</c:v>
                </c:pt>
                <c:pt idx="3">
                  <c:v>2014</c:v>
                </c:pt>
                <c:pt idx="4">
                  <c:v>2015</c:v>
                </c:pt>
                <c:pt idx="5">
                  <c:v>2016</c:v>
                </c:pt>
                <c:pt idx="6">
                  <c:v>2017</c:v>
                </c:pt>
                <c:pt idx="7">
                  <c:v>2018E</c:v>
                </c:pt>
                <c:pt idx="8">
                  <c:v>2019E</c:v>
                </c:pt>
                <c:pt idx="9">
                  <c:v>2020E</c:v>
                </c:pt>
                <c:pt idx="10">
                  <c:v>2021E</c:v>
                </c:pt>
                <c:pt idx="11">
                  <c:v>2022E</c:v>
                </c:pt>
                <c:pt idx="12">
                  <c:v>2023E</c:v>
                </c:pt>
                <c:pt idx="13">
                  <c:v>2024E</c:v>
                </c:pt>
                <c:pt idx="14">
                  <c:v>2025E</c:v>
                </c:pt>
              </c:strCache>
            </c:strRef>
          </c:cat>
          <c:val>
            <c:numRef>
              <c:f>ChartSupport!$I$290:$W$290</c:f>
              <c:numCache>
                <c:formatCode>0%</c:formatCode>
                <c:ptCount val="15"/>
                <c:pt idx="0">
                  <c:v>0</c:v>
                </c:pt>
                <c:pt idx="1">
                  <c:v>0</c:v>
                </c:pt>
                <c:pt idx="2">
                  <c:v>7.808193237528141E-2</c:v>
                </c:pt>
                <c:pt idx="3">
                  <c:v>0.14079006718419868</c:v>
                </c:pt>
                <c:pt idx="4">
                  <c:v>0.37457129756992208</c:v>
                </c:pt>
                <c:pt idx="5">
                  <c:v>0.71468465996222708</c:v>
                </c:pt>
                <c:pt idx="6">
                  <c:v>0.66659028764340167</c:v>
                </c:pt>
                <c:pt idx="7">
                  <c:v>-1.040135884349682</c:v>
                </c:pt>
                <c:pt idx="8">
                  <c:v>0.25898254815328864</c:v>
                </c:pt>
                <c:pt idx="9">
                  <c:v>0.34106509484025621</c:v>
                </c:pt>
                <c:pt idx="10">
                  <c:v>0.39128581255287703</c:v>
                </c:pt>
                <c:pt idx="11">
                  <c:v>0.42640019527659634</c:v>
                </c:pt>
                <c:pt idx="12">
                  <c:v>0.4482509544463954</c:v>
                </c:pt>
                <c:pt idx="13">
                  <c:v>0.4578894651029275</c:v>
                </c:pt>
                <c:pt idx="14">
                  <c:v>0.45565599001261503</c:v>
                </c:pt>
              </c:numCache>
            </c:numRef>
          </c:val>
          <c:smooth val="1"/>
        </c:ser>
        <c:dLbls>
          <c:showLegendKey val="0"/>
          <c:showVal val="0"/>
          <c:showCatName val="0"/>
          <c:showSerName val="0"/>
          <c:showPercent val="0"/>
          <c:showBubbleSize val="0"/>
        </c:dLbls>
        <c:marker val="1"/>
        <c:smooth val="0"/>
        <c:axId val="899992576"/>
        <c:axId val="900006656"/>
      </c:lineChart>
      <c:catAx>
        <c:axId val="899992576"/>
        <c:scaling>
          <c:orientation val="minMax"/>
        </c:scaling>
        <c:delete val="0"/>
        <c:axPos val="b"/>
        <c:numFmt formatCode="General" sourceLinked="1"/>
        <c:majorTickMark val="out"/>
        <c:minorTickMark val="none"/>
        <c:tickLblPos val="low"/>
        <c:txPr>
          <a:bodyPr rot="-5400000" vert="horz"/>
          <a:lstStyle/>
          <a:p>
            <a:pPr>
              <a:defRPr sz="900">
                <a:solidFill>
                  <a:schemeClr val="bg1">
                    <a:lumMod val="50000"/>
                  </a:schemeClr>
                </a:solidFill>
              </a:defRPr>
            </a:pPr>
            <a:endParaRPr lang="en-US"/>
          </a:p>
        </c:txPr>
        <c:crossAx val="900006656"/>
        <c:crosses val="autoZero"/>
        <c:auto val="1"/>
        <c:lblAlgn val="ctr"/>
        <c:lblOffset val="100"/>
        <c:noMultiLvlLbl val="0"/>
      </c:catAx>
      <c:valAx>
        <c:axId val="900006656"/>
        <c:scaling>
          <c:orientation val="minMax"/>
          <c:min val="0"/>
        </c:scaling>
        <c:delete val="0"/>
        <c:axPos val="l"/>
        <c:numFmt formatCode="0%" sourceLinked="1"/>
        <c:majorTickMark val="out"/>
        <c:minorTickMark val="none"/>
        <c:tickLblPos val="nextTo"/>
        <c:txPr>
          <a:bodyPr rot="0" vert="horz"/>
          <a:lstStyle/>
          <a:p>
            <a:pPr>
              <a:defRPr sz="900">
                <a:solidFill>
                  <a:schemeClr val="bg1">
                    <a:lumMod val="50000"/>
                  </a:schemeClr>
                </a:solidFill>
              </a:defRPr>
            </a:pPr>
            <a:endParaRPr lang="en-US"/>
          </a:p>
        </c:txPr>
        <c:crossAx val="899992576"/>
        <c:crosses val="autoZero"/>
        <c:crossBetween val="between"/>
      </c:valAx>
    </c:plotArea>
    <c:legend>
      <c:legendPos val="r"/>
      <c:layout>
        <c:manualLayout>
          <c:xMode val="edge"/>
          <c:yMode val="edge"/>
          <c:x val="0.16963869042909741"/>
          <c:y val="2.5003556621067041E-2"/>
          <c:w val="0.83036130957090259"/>
          <c:h val="7.1312232162412378E-2"/>
        </c:manualLayout>
      </c:layout>
      <c:overlay val="0"/>
      <c:txPr>
        <a:bodyPr/>
        <a:lstStyle/>
        <a:p>
          <a:pPr>
            <a:defRPr sz="800">
              <a:solidFill>
                <a:schemeClr val="bg1">
                  <a:lumMod val="50000"/>
                </a:schemeClr>
              </a:solidFill>
            </a:defRPr>
          </a:pPr>
          <a:endParaRPr lang="en-US"/>
        </a:p>
      </c:txPr>
    </c:legend>
    <c:plotVisOnly val="0"/>
    <c:dispBlanksAs val="zero"/>
    <c:showDLblsOverMax val="0"/>
  </c:chart>
  <c:spPr>
    <a:ln>
      <a:noFill/>
    </a:ln>
  </c:spPr>
  <c:txPr>
    <a:bodyPr/>
    <a:lstStyle/>
    <a:p>
      <a:pPr>
        <a:defRPr>
          <a:latin typeface="Arial" panose="020B0604020202020204" pitchFamily="34" charset="0"/>
          <a:cs typeface="Arial" panose="020B0604020202020204" pitchFamily="34" charset="0"/>
        </a:defRPr>
      </a:pPr>
      <a:endParaRPr lang="en-US"/>
    </a:p>
  </c:txPr>
  <c:printSettings>
    <c:headerFooter alignWithMargins="0"/>
    <c:pageMargins b="1" l="0.75" r="0.75" t="1" header="0.5" footer="0.5"/>
    <c:pageSetup paperSize="0" orientation="portrait" horizontalDpi="0" verticalDpi="0" copies="0"/>
  </c:printSettings>
</c:chartSpace>
</file>

<file path=xl/charts/chart19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0032768"/>
        <c:axId val="900034560"/>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0036096"/>
        <c:axId val="900037632"/>
      </c:lineChart>
      <c:catAx>
        <c:axId val="900032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900034560"/>
        <c:crosses val="autoZero"/>
        <c:auto val="1"/>
        <c:lblAlgn val="ctr"/>
        <c:lblOffset val="100"/>
        <c:tickLblSkip val="1"/>
        <c:tickMarkSkip val="1"/>
        <c:noMultiLvlLbl val="0"/>
      </c:catAx>
      <c:valAx>
        <c:axId val="900034560"/>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0032768"/>
        <c:crosses val="autoZero"/>
        <c:crossBetween val="between"/>
      </c:valAx>
      <c:catAx>
        <c:axId val="900036096"/>
        <c:scaling>
          <c:orientation val="minMax"/>
        </c:scaling>
        <c:delete val="1"/>
        <c:axPos val="b"/>
        <c:numFmt formatCode="General" sourceLinked="1"/>
        <c:majorTickMark val="out"/>
        <c:minorTickMark val="none"/>
        <c:tickLblPos val="nextTo"/>
        <c:crossAx val="900037632"/>
        <c:crosses val="autoZero"/>
        <c:auto val="1"/>
        <c:lblAlgn val="ctr"/>
        <c:lblOffset val="100"/>
        <c:noMultiLvlLbl val="0"/>
      </c:catAx>
      <c:valAx>
        <c:axId val="900037632"/>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0036096"/>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9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0051712"/>
        <c:axId val="900053248"/>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0063232"/>
        <c:axId val="900064768"/>
      </c:lineChart>
      <c:catAx>
        <c:axId val="900051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900053248"/>
        <c:crosses val="autoZero"/>
        <c:auto val="1"/>
        <c:lblAlgn val="ctr"/>
        <c:lblOffset val="100"/>
        <c:tickLblSkip val="1"/>
        <c:tickMarkSkip val="1"/>
        <c:noMultiLvlLbl val="0"/>
      </c:catAx>
      <c:valAx>
        <c:axId val="900053248"/>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0051712"/>
        <c:crosses val="autoZero"/>
        <c:crossBetween val="between"/>
      </c:valAx>
      <c:catAx>
        <c:axId val="900063232"/>
        <c:scaling>
          <c:orientation val="minMax"/>
        </c:scaling>
        <c:delete val="1"/>
        <c:axPos val="b"/>
        <c:numFmt formatCode="General" sourceLinked="1"/>
        <c:majorTickMark val="out"/>
        <c:minorTickMark val="none"/>
        <c:tickLblPos val="nextTo"/>
        <c:crossAx val="900064768"/>
        <c:crosses val="autoZero"/>
        <c:auto val="1"/>
        <c:lblAlgn val="ctr"/>
        <c:lblOffset val="100"/>
        <c:noMultiLvlLbl val="0"/>
      </c:catAx>
      <c:valAx>
        <c:axId val="900064768"/>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0063232"/>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9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0492288"/>
        <c:axId val="900498176"/>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0499712"/>
        <c:axId val="900505600"/>
      </c:lineChart>
      <c:catAx>
        <c:axId val="900492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900498176"/>
        <c:crosses val="autoZero"/>
        <c:auto val="1"/>
        <c:lblAlgn val="ctr"/>
        <c:lblOffset val="100"/>
        <c:tickLblSkip val="1"/>
        <c:tickMarkSkip val="1"/>
        <c:noMultiLvlLbl val="0"/>
      </c:catAx>
      <c:valAx>
        <c:axId val="900498176"/>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0492288"/>
        <c:crosses val="autoZero"/>
        <c:crossBetween val="between"/>
      </c:valAx>
      <c:catAx>
        <c:axId val="900499712"/>
        <c:scaling>
          <c:orientation val="minMax"/>
        </c:scaling>
        <c:delete val="1"/>
        <c:axPos val="b"/>
        <c:numFmt formatCode="General" sourceLinked="1"/>
        <c:majorTickMark val="out"/>
        <c:minorTickMark val="none"/>
        <c:tickLblPos val="nextTo"/>
        <c:crossAx val="900505600"/>
        <c:crosses val="autoZero"/>
        <c:auto val="1"/>
        <c:lblAlgn val="ctr"/>
        <c:lblOffset val="100"/>
        <c:noMultiLvlLbl val="0"/>
      </c:catAx>
      <c:valAx>
        <c:axId val="900505600"/>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0499712"/>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9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0621824"/>
        <c:axId val="900623360"/>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0629248"/>
        <c:axId val="900630784"/>
      </c:lineChart>
      <c:catAx>
        <c:axId val="90062182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900623360"/>
        <c:crosses val="autoZero"/>
        <c:auto val="1"/>
        <c:lblAlgn val="ctr"/>
        <c:lblOffset val="100"/>
        <c:tickLblSkip val="1"/>
        <c:tickMarkSkip val="1"/>
        <c:noMultiLvlLbl val="0"/>
      </c:catAx>
      <c:valAx>
        <c:axId val="900623360"/>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0621824"/>
        <c:crosses val="autoZero"/>
        <c:crossBetween val="between"/>
      </c:valAx>
      <c:catAx>
        <c:axId val="900629248"/>
        <c:scaling>
          <c:orientation val="minMax"/>
        </c:scaling>
        <c:delete val="1"/>
        <c:axPos val="b"/>
        <c:numFmt formatCode="General" sourceLinked="1"/>
        <c:majorTickMark val="out"/>
        <c:minorTickMark val="none"/>
        <c:tickLblPos val="nextTo"/>
        <c:crossAx val="900630784"/>
        <c:crosses val="autoZero"/>
        <c:auto val="1"/>
        <c:lblAlgn val="ctr"/>
        <c:lblOffset val="100"/>
        <c:noMultiLvlLbl val="0"/>
      </c:catAx>
      <c:valAx>
        <c:axId val="900630784"/>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0629248"/>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9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2454270003366"/>
          <c:y val="4.0275872213714009E-2"/>
          <c:w val="0.78648752439759873"/>
          <c:h val="0.78005318018914438"/>
        </c:manualLayout>
      </c:layout>
      <c:lineChart>
        <c:grouping val="standard"/>
        <c:varyColors val="0"/>
        <c:ser>
          <c:idx val="6"/>
          <c:order val="0"/>
          <c:tx>
            <c:strRef>
              <c:f>ChartSupport!$A$313</c:f>
              <c:strCache>
                <c:ptCount val="1"/>
                <c:pt idx="0">
                  <c:v>Working Capital / sales</c:v>
                </c:pt>
              </c:strCache>
            </c:strRef>
          </c:tx>
          <c:spPr>
            <a:ln w="25400">
              <a:solidFill>
                <a:schemeClr val="accent1"/>
              </a:solidFill>
              <a:prstDash val="solid"/>
            </a:ln>
          </c:spPr>
          <c:marker>
            <c:symbol val="none"/>
          </c:marker>
          <c:cat>
            <c:strRef>
              <c:f>ChartSupport!$F$292:$W$292</c:f>
              <c:strCache>
                <c:ptCount val="18"/>
                <c:pt idx="0">
                  <c:v>2008</c:v>
                </c:pt>
                <c:pt idx="1">
                  <c:v>2009</c:v>
                </c:pt>
                <c:pt idx="2">
                  <c:v>2010</c:v>
                </c:pt>
                <c:pt idx="3">
                  <c:v>2011</c:v>
                </c:pt>
                <c:pt idx="4">
                  <c:v>2012</c:v>
                </c:pt>
                <c:pt idx="5">
                  <c:v>2013</c:v>
                </c:pt>
                <c:pt idx="6">
                  <c:v>2014</c:v>
                </c:pt>
                <c:pt idx="7">
                  <c:v>2015</c:v>
                </c:pt>
                <c:pt idx="8">
                  <c:v>2016</c:v>
                </c:pt>
                <c:pt idx="9">
                  <c:v>2017</c:v>
                </c:pt>
                <c:pt idx="10">
                  <c:v>2018E</c:v>
                </c:pt>
                <c:pt idx="11">
                  <c:v>2019E</c:v>
                </c:pt>
                <c:pt idx="12">
                  <c:v>2020E</c:v>
                </c:pt>
                <c:pt idx="13">
                  <c:v>2021E</c:v>
                </c:pt>
                <c:pt idx="14">
                  <c:v>2022E</c:v>
                </c:pt>
                <c:pt idx="15">
                  <c:v>2023E</c:v>
                </c:pt>
                <c:pt idx="16">
                  <c:v>2024E</c:v>
                </c:pt>
                <c:pt idx="17">
                  <c:v>2025E</c:v>
                </c:pt>
              </c:strCache>
            </c:strRef>
          </c:cat>
          <c:val>
            <c:numRef>
              <c:f>ChartSupport!$F$313:$W$313</c:f>
              <c:numCache>
                <c:formatCode>0%</c:formatCode>
                <c:ptCount val="18"/>
                <c:pt idx="0">
                  <c:v>0.23683922405322699</c:v>
                </c:pt>
                <c:pt idx="1">
                  <c:v>0.34907139712025287</c:v>
                </c:pt>
                <c:pt idx="2">
                  <c:v>1.369647743656225E-2</c:v>
                </c:pt>
                <c:pt idx="3">
                  <c:v>7.3580648449299915E-2</c:v>
                </c:pt>
                <c:pt idx="4">
                  <c:v>3.2267609858155508E-2</c:v>
                </c:pt>
                <c:pt idx="5">
                  <c:v>6.0132308040257834E-2</c:v>
                </c:pt>
                <c:pt idx="6">
                  <c:v>5.2097185663060611E-2</c:v>
                </c:pt>
                <c:pt idx="7">
                  <c:v>2.1536176834130304E-2</c:v>
                </c:pt>
                <c:pt idx="8">
                  <c:v>3.8319903467761561E-2</c:v>
                </c:pt>
                <c:pt idx="9">
                  <c:v>5.844786774838303E-2</c:v>
                </c:pt>
                <c:pt idx="10">
                  <c:v>6.1559253852271976E-2</c:v>
                </c:pt>
                <c:pt idx="11">
                  <c:v>7.7482659639042079E-2</c:v>
                </c:pt>
                <c:pt idx="12">
                  <c:v>9.031771278531206E-2</c:v>
                </c:pt>
                <c:pt idx="13">
                  <c:v>0.10415131807922773</c:v>
                </c:pt>
                <c:pt idx="14">
                  <c:v>0.11799899113412919</c:v>
                </c:pt>
                <c:pt idx="15">
                  <c:v>0.13457420479084992</c:v>
                </c:pt>
                <c:pt idx="16">
                  <c:v>0.14999004137041977</c:v>
                </c:pt>
                <c:pt idx="17">
                  <c:v>0.15457244701069117</c:v>
                </c:pt>
              </c:numCache>
            </c:numRef>
          </c:val>
          <c:smooth val="0"/>
        </c:ser>
        <c:ser>
          <c:idx val="0"/>
          <c:order val="1"/>
          <c:tx>
            <c:v>zeroline</c:v>
          </c:tx>
          <c:spPr>
            <a:ln w="3175">
              <a:solidFill>
                <a:schemeClr val="bg1">
                  <a:lumMod val="50000"/>
                </a:schemeClr>
              </a:solidFill>
            </a:ln>
          </c:spPr>
          <c:marker>
            <c:symbol val="none"/>
          </c:marker>
          <c:cat>
            <c:strRef>
              <c:f>ChartSupport!$F$292:$W$292</c:f>
              <c:strCache>
                <c:ptCount val="18"/>
                <c:pt idx="0">
                  <c:v>2008</c:v>
                </c:pt>
                <c:pt idx="1">
                  <c:v>2009</c:v>
                </c:pt>
                <c:pt idx="2">
                  <c:v>2010</c:v>
                </c:pt>
                <c:pt idx="3">
                  <c:v>2011</c:v>
                </c:pt>
                <c:pt idx="4">
                  <c:v>2012</c:v>
                </c:pt>
                <c:pt idx="5">
                  <c:v>2013</c:v>
                </c:pt>
                <c:pt idx="6">
                  <c:v>2014</c:v>
                </c:pt>
                <c:pt idx="7">
                  <c:v>2015</c:v>
                </c:pt>
                <c:pt idx="8">
                  <c:v>2016</c:v>
                </c:pt>
                <c:pt idx="9">
                  <c:v>2017</c:v>
                </c:pt>
                <c:pt idx="10">
                  <c:v>2018E</c:v>
                </c:pt>
                <c:pt idx="11">
                  <c:v>2019E</c:v>
                </c:pt>
                <c:pt idx="12">
                  <c:v>2020E</c:v>
                </c:pt>
                <c:pt idx="13">
                  <c:v>2021E</c:v>
                </c:pt>
                <c:pt idx="14">
                  <c:v>2022E</c:v>
                </c:pt>
                <c:pt idx="15">
                  <c:v>2023E</c:v>
                </c:pt>
                <c:pt idx="16">
                  <c:v>2024E</c:v>
                </c:pt>
                <c:pt idx="17">
                  <c:v>2025E</c:v>
                </c:pt>
              </c:strCache>
            </c:strRef>
          </c:cat>
          <c:val>
            <c:numRef>
              <c:f>ChartSupport!$F$421:$W$421</c:f>
              <c:numCache>
                <c:formatCode>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showLegendKey val="0"/>
          <c:showVal val="0"/>
          <c:showCatName val="0"/>
          <c:showSerName val="0"/>
          <c:showPercent val="0"/>
          <c:showBubbleSize val="0"/>
        </c:dLbls>
        <c:marker val="1"/>
        <c:smooth val="0"/>
        <c:axId val="900639360"/>
        <c:axId val="900534656"/>
      </c:lineChart>
      <c:catAx>
        <c:axId val="900639360"/>
        <c:scaling>
          <c:orientation val="minMax"/>
        </c:scaling>
        <c:delete val="0"/>
        <c:axPos val="b"/>
        <c:numFmt formatCode="General" sourceLinked="1"/>
        <c:majorTickMark val="out"/>
        <c:minorTickMark val="none"/>
        <c:tickLblPos val="low"/>
        <c:spPr>
          <a:ln w="3175">
            <a:solidFill>
              <a:srgbClr val="808080"/>
            </a:solidFill>
            <a:prstDash val="solid"/>
          </a:ln>
        </c:spPr>
        <c:txPr>
          <a:bodyPr rot="-5400000" vert="horz"/>
          <a:lstStyle/>
          <a:p>
            <a:pPr>
              <a:defRPr sz="1050" b="0" i="0" u="none" strike="noStrike" baseline="0">
                <a:solidFill>
                  <a:srgbClr val="808080"/>
                </a:solidFill>
                <a:latin typeface="Arial"/>
                <a:ea typeface="Arial"/>
                <a:cs typeface="Arial"/>
              </a:defRPr>
            </a:pPr>
            <a:endParaRPr lang="en-US"/>
          </a:p>
        </c:txPr>
        <c:crossAx val="900534656"/>
        <c:crossesAt val="-1250"/>
        <c:auto val="1"/>
        <c:lblAlgn val="ctr"/>
        <c:lblOffset val="100"/>
        <c:tickLblSkip val="1"/>
        <c:tickMarkSkip val="1"/>
        <c:noMultiLvlLbl val="0"/>
      </c:catAx>
      <c:valAx>
        <c:axId val="900534656"/>
        <c:scaling>
          <c:orientation val="minMax"/>
        </c:scaling>
        <c:delete val="0"/>
        <c:axPos val="l"/>
        <c:numFmt formatCode="0%" sourceLinked="1"/>
        <c:majorTickMark val="out"/>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900639360"/>
        <c:crosses val="autoZero"/>
        <c:crossBetween val="midCat"/>
      </c:valAx>
      <c:spPr>
        <a:noFill/>
        <a:ln w="25400">
          <a:noFill/>
        </a:ln>
      </c:spPr>
    </c:plotArea>
    <c:legend>
      <c:legendPos val="r"/>
      <c:legendEntry>
        <c:idx val="1"/>
        <c:delete val="1"/>
      </c:legendEntry>
      <c:layout>
        <c:manualLayout>
          <c:xMode val="edge"/>
          <c:yMode val="edge"/>
          <c:x val="0.28711297991358881"/>
          <c:y val="3.5817730040386055E-2"/>
          <c:w val="0.52111338292658171"/>
          <c:h val="0.11679692816175756"/>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9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0518945462289326E-2"/>
          <c:y val="2.2144207840238614E-2"/>
          <c:w val="0.79044564741907264"/>
          <c:h val="0.79989327297455282"/>
        </c:manualLayout>
      </c:layout>
      <c:areaChart>
        <c:grouping val="standard"/>
        <c:varyColors val="0"/>
        <c:ser>
          <c:idx val="1"/>
          <c:order val="0"/>
          <c:tx>
            <c:v>Bull-Bear Scenario</c:v>
          </c:tx>
          <c:spPr>
            <a:solidFill>
              <a:schemeClr val="bg1">
                <a:lumMod val="85000"/>
              </a:schemeClr>
            </a:solidFill>
            <a:ln w="25400">
              <a:noFill/>
            </a:ln>
          </c:spPr>
          <c:cat>
            <c:strRef>
              <c:f>ChartSupport!$D$7:$W$7</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ChartSupport!$D$247:$W$247</c:f>
              <c:numCache>
                <c:formatCode>General</c:formatCode>
                <c:ptCount val="20"/>
                <c:pt idx="4" formatCode="_(* #,##0.00_);_(* \(#,##0.00\);_(* &quot;-&quot;??_);_(@_)">
                  <c:v>8.5506865266653769</c:v>
                </c:pt>
                <c:pt idx="5" formatCode="_(* #,##0.00_);_(* \(#,##0.00\);_(* &quot;-&quot;??_);_(@_)">
                  <c:v>8.1997493057836568</c:v>
                </c:pt>
                <c:pt idx="6" formatCode="_(* #,##0.00_);_(* \(#,##0.00\);_(* &quot;-&quot;??_);_(@_)">
                  <c:v>10.494017508804866</c:v>
                </c:pt>
                <c:pt idx="7" formatCode="_(* #,##0.00_);_(* \(#,##0.00\);_(* &quot;-&quot;??_);_(@_)">
                  <c:v>9.1176400485895268</c:v>
                </c:pt>
                <c:pt idx="8" formatCode="_(* #,##0.00_);_(* \(#,##0.00\);_(* &quot;-&quot;??_);_(@_)">
                  <c:v>8.4174855838916933</c:v>
                </c:pt>
                <c:pt idx="9" formatCode="_(* #,##0.00_);_(* \(#,##0.00\);_(* &quot;-&quot;??_);_(@_)">
                  <c:v>5.3736150083482199</c:v>
                </c:pt>
                <c:pt idx="10" formatCode="_(* #,##0.00_);_(* \(#,##0.00\);_(* &quot;-&quot;??_);_(@_)">
                  <c:v>5.924739993026864</c:v>
                </c:pt>
                <c:pt idx="11" formatCode="_(* #,##0.00_);_(* \(#,##0.00\);_(* &quot;-&quot;??_);_(@_)">
                  <c:v>7.2101561466892363</c:v>
                </c:pt>
                <c:pt idx="12" formatCode="_(* #,##0.00_);_(* \(#,##0.00\);_(* &quot;-&quot;??_);_(@_)">
                  <c:v>7.7063808435793826</c:v>
                </c:pt>
                <c:pt idx="13" formatCode="_(* #,##0.00_);_(* \(#,##0.00\);_(* &quot;-&quot;??_);_(@_)">
                  <c:v>7.1962236990492583</c:v>
                </c:pt>
                <c:pt idx="14" formatCode="_(* #,##0.00_);_(* \(#,##0.00\);_(* &quot;-&quot;??_);_(@_)">
                  <c:v>7.696016075892218</c:v>
                </c:pt>
                <c:pt idx="15" formatCode="_(* #,##0.00_);_(* \(#,##0.00\);_(* &quot;-&quot;??_);_(@_)">
                  <c:v>8.009446207186075</c:v>
                </c:pt>
                <c:pt idx="16" formatCode="_(* #,##0.00_);_(* \(#,##0.00\);_(* &quot;-&quot;??_);_(@_)">
                  <c:v>7.6928377229417313</c:v>
                </c:pt>
                <c:pt idx="17" formatCode="_(* #,##0.00_);_(* \(#,##0.00\);_(* &quot;-&quot;??_);_(@_)">
                  <c:v>7.3019862615213054</c:v>
                </c:pt>
                <c:pt idx="18" formatCode="_(* #,##0.00_);_(* \(#,##0.00\);_(* &quot;-&quot;??_);_(@_)">
                  <c:v>7.4947734813779388</c:v>
                </c:pt>
                <c:pt idx="19" formatCode="_(* #,##0.00_);_(* \(#,##0.00\);_(* &quot;-&quot;??_);_(@_)">
                  <c:v>7.0450870724952628</c:v>
                </c:pt>
              </c:numCache>
            </c:numRef>
          </c:val>
        </c:ser>
        <c:ser>
          <c:idx val="3"/>
          <c:order val="1"/>
          <c:tx>
            <c:strRef>
              <c:f>ChartSupport!$A$163</c:f>
              <c:strCache>
                <c:ptCount val="1"/>
                <c:pt idx="0">
                  <c:v>Bear</c:v>
                </c:pt>
              </c:strCache>
            </c:strRef>
          </c:tx>
          <c:spPr>
            <a:solidFill>
              <a:schemeClr val="bg1"/>
            </a:solidFill>
            <a:ln w="25400">
              <a:noFill/>
            </a:ln>
          </c:spPr>
          <c:cat>
            <c:strRef>
              <c:f>ChartSupport!$D$7:$W$7</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ChartSupport!$D$245:$W$245</c:f>
              <c:numCache>
                <c:formatCode>#,##0.0</c:formatCode>
                <c:ptCount val="20"/>
                <c:pt idx="4" formatCode="_(* #,##0.00_);_(* \(#,##0.00\);_(* &quot;-&quot;??_);_(@_)">
                  <c:v>8.5506865266653769</c:v>
                </c:pt>
                <c:pt idx="5" formatCode="_(* #,##0.00_);_(* \(#,##0.00\);_(* &quot;-&quot;??_);_(@_)">
                  <c:v>8.1997493057836568</c:v>
                </c:pt>
                <c:pt idx="6" formatCode="_(* #,##0.00_);_(* \(#,##0.00\);_(* &quot;-&quot;??_);_(@_)">
                  <c:v>10.494017508804866</c:v>
                </c:pt>
                <c:pt idx="7" formatCode="_(* #,##0.00_);_(* \(#,##0.00\);_(* &quot;-&quot;??_);_(@_)">
                  <c:v>9.1176400485895268</c:v>
                </c:pt>
                <c:pt idx="8" formatCode="_(* #,##0.00_);_(* \(#,##0.00\);_(* &quot;-&quot;??_);_(@_)">
                  <c:v>8.4174855838916933</c:v>
                </c:pt>
                <c:pt idx="9" formatCode="_(* #,##0.00_);_(* \(#,##0.00\);_(* &quot;-&quot;??_);_(@_)">
                  <c:v>5.3736150083482199</c:v>
                </c:pt>
                <c:pt idx="10" formatCode="_(* #,##0.00_);_(* \(#,##0.00\);_(* &quot;-&quot;??_);_(@_)">
                  <c:v>5.924739993026864</c:v>
                </c:pt>
                <c:pt idx="11" formatCode="_(* #,##0.00_);_(* \(#,##0.00\);_(* &quot;-&quot;??_);_(@_)">
                  <c:v>7.2101561466892363</c:v>
                </c:pt>
                <c:pt idx="12" formatCode="_(* #,##0.00_);_(* \(#,##0.00\);_(* &quot;-&quot;??_);_(@_)">
                  <c:v>7.0222425968670459</c:v>
                </c:pt>
                <c:pt idx="13" formatCode="_(* #,##0.00_);_(* \(#,##0.00\);_(* &quot;-&quot;??_);_(@_)">
                  <c:v>6.6814672000224133</c:v>
                </c:pt>
                <c:pt idx="14" formatCode="_(* #,##0.00_);_(* \(#,##0.00\);_(* &quot;-&quot;??_);_(@_)">
                  <c:v>7.4839914071649982</c:v>
                </c:pt>
                <c:pt idx="15" formatCode="_(* #,##0.00_);_(* \(#,##0.00\);_(* &quot;-&quot;??_);_(@_)">
                  <c:v>8.3133343812840508</c:v>
                </c:pt>
                <c:pt idx="16" formatCode="_(* #,##0.00_);_(* \(#,##0.00\);_(* &quot;-&quot;??_);_(@_)">
                  <c:v>8.2510454073911514</c:v>
                </c:pt>
                <c:pt idx="17" formatCode="_(* #,##0.00_);_(* \(#,##0.00\);_(* &quot;-&quot;??_);_(@_)">
                  <c:v>7.9935272651448548</c:v>
                </c:pt>
                <c:pt idx="18" formatCode="_(* #,##0.00_);_(* \(#,##0.00\);_(* &quot;-&quot;??_);_(@_)">
                  <c:v>8.5057538979473275</c:v>
                </c:pt>
                <c:pt idx="19" formatCode="_(* #,##0.00_);_(* \(#,##0.00\);_(* &quot;-&quot;??_);_(@_)">
                  <c:v>8.2080525115191687</c:v>
                </c:pt>
              </c:numCache>
            </c:numRef>
          </c:val>
        </c:ser>
        <c:dLbls>
          <c:showLegendKey val="0"/>
          <c:showVal val="0"/>
          <c:showCatName val="0"/>
          <c:showSerName val="0"/>
          <c:showPercent val="0"/>
          <c:showBubbleSize val="0"/>
        </c:dLbls>
        <c:axId val="900575616"/>
        <c:axId val="900577152"/>
      </c:areaChart>
      <c:lineChart>
        <c:grouping val="standard"/>
        <c:varyColors val="0"/>
        <c:ser>
          <c:idx val="2"/>
          <c:order val="2"/>
          <c:tx>
            <c:strRef>
              <c:f>ChartSupport!$A$244</c:f>
              <c:strCache>
                <c:ptCount val="1"/>
                <c:pt idx="0">
                  <c:v>Sugar Cash cost (US$c/lb)</c:v>
                </c:pt>
              </c:strCache>
            </c:strRef>
          </c:tx>
          <c:spPr>
            <a:ln w="25400">
              <a:solidFill>
                <a:schemeClr val="accent1"/>
              </a:solidFill>
              <a:prstDash val="solid"/>
            </a:ln>
          </c:spPr>
          <c:marker>
            <c:symbol val="none"/>
          </c:marker>
          <c:cat>
            <c:strRef>
              <c:f>ChartSupport!$D$210:$W$210</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ChartSupport!$D$246:$W$246</c:f>
              <c:numCache>
                <c:formatCode>#,##0.0</c:formatCode>
                <c:ptCount val="20"/>
                <c:pt idx="4" formatCode="_(* #,##0.00_);_(* \(#,##0.00\);_(* &quot;-&quot;??_);_(@_)">
                  <c:v>8.5506865266653769</c:v>
                </c:pt>
                <c:pt idx="5" formatCode="_(* #,##0.00_);_(* \(#,##0.00\);_(* &quot;-&quot;??_);_(@_)">
                  <c:v>8.1997493057836568</c:v>
                </c:pt>
                <c:pt idx="6" formatCode="_(* #,##0.00_);_(* \(#,##0.00\);_(* &quot;-&quot;??_);_(@_)">
                  <c:v>10.494017508804866</c:v>
                </c:pt>
                <c:pt idx="7" formatCode="_(* #,##0.00_);_(* \(#,##0.00\);_(* &quot;-&quot;??_);_(@_)">
                  <c:v>9.1176400485895268</c:v>
                </c:pt>
                <c:pt idx="8" formatCode="_(* #,##0.00_);_(* \(#,##0.00\);_(* &quot;-&quot;??_);_(@_)">
                  <c:v>8.4174855838916933</c:v>
                </c:pt>
                <c:pt idx="9" formatCode="_(* #,##0.00_);_(* \(#,##0.00\);_(* &quot;-&quot;??_);_(@_)">
                  <c:v>5.3736150083482199</c:v>
                </c:pt>
                <c:pt idx="10" formatCode="_(* #,##0.00_);_(* \(#,##0.00\);_(* &quot;-&quot;??_);_(@_)">
                  <c:v>5.924739993026864</c:v>
                </c:pt>
                <c:pt idx="11" formatCode="_(* #,##0.00_);_(* \(#,##0.00\);_(* &quot;-&quot;??_);_(@_)">
                  <c:v>7.2101561466892363</c:v>
                </c:pt>
                <c:pt idx="12" formatCode="_(* #,##0.00_);_(* \(#,##0.00\);_(* &quot;-&quot;??_);_(@_)">
                  <c:v>7.4204160293860433</c:v>
                </c:pt>
                <c:pt idx="13" formatCode="_(* #,##0.00_);_(* \(#,##0.00\);_(* &quot;-&quot;??_);_(@_)">
                  <c:v>7.0450304780429507</c:v>
                </c:pt>
                <c:pt idx="14" formatCode="_(* #,##0.00_);_(* \(#,##0.00\);_(* &quot;-&quot;??_);_(@_)">
                  <c:v>7.3289570819786674</c:v>
                </c:pt>
                <c:pt idx="15" formatCode="_(* #,##0.00_);_(* \(#,##0.00\);_(* &quot;-&quot;??_);_(@_)">
                  <c:v>8.0997065134730875</c:v>
                </c:pt>
                <c:pt idx="16" formatCode="_(* #,##0.00_);_(* \(#,##0.00\);_(* &quot;-&quot;??_);_(@_)">
                  <c:v>8.5084001855307889</c:v>
                </c:pt>
                <c:pt idx="17" formatCode="_(* #,##0.00_);_(* \(#,##0.00\);_(* &quot;-&quot;??_);_(@_)">
                  <c:v>8.1635529527800959</c:v>
                </c:pt>
                <c:pt idx="18" formatCode="_(* #,##0.00_);_(* \(#,##0.00\);_(* &quot;-&quot;??_);_(@_)">
                  <c:v>7.926828405754299</c:v>
                </c:pt>
                <c:pt idx="19" formatCode="_(* #,##0.00_);_(* \(#,##0.00\);_(* &quot;-&quot;??_);_(@_)">
                  <c:v>7.6097552695241264</c:v>
                </c:pt>
              </c:numCache>
            </c:numRef>
          </c:val>
          <c:smooth val="0"/>
        </c:ser>
        <c:dLbls>
          <c:showLegendKey val="0"/>
          <c:showVal val="0"/>
          <c:showCatName val="0"/>
          <c:showSerName val="0"/>
          <c:showPercent val="0"/>
          <c:showBubbleSize val="0"/>
        </c:dLbls>
        <c:marker val="1"/>
        <c:smooth val="0"/>
        <c:axId val="900575616"/>
        <c:axId val="900577152"/>
      </c:lineChart>
      <c:lineChart>
        <c:grouping val="standard"/>
        <c:varyColors val="0"/>
        <c:ser>
          <c:idx val="0"/>
          <c:order val="3"/>
          <c:tx>
            <c:strRef>
              <c:f>ChartSupport!$A$167</c:f>
              <c:strCache>
                <c:ptCount val="1"/>
                <c:pt idx="0">
                  <c:v>Sugar Prices (US$c/lb)</c:v>
                </c:pt>
              </c:strCache>
            </c:strRef>
          </c:tx>
          <c:spPr>
            <a:ln w="15875">
              <a:solidFill>
                <a:srgbClr val="FF0000"/>
              </a:solidFill>
              <a:prstDash val="sysDash"/>
            </a:ln>
          </c:spPr>
          <c:marker>
            <c:symbol val="none"/>
          </c:marker>
          <c:cat>
            <c:strRef>
              <c:f>ChartSupport!$D$12:$W$12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ChartSupport!$D$169:$W$169</c:f>
              <c:numCache>
                <c:formatCode>_(* #,##0.00_);_(* \(#,##0.00\);_(* "-"??_);_(@_)</c:formatCode>
                <c:ptCount val="20"/>
                <c:pt idx="0">
                  <c:v>11.490952513499797</c:v>
                </c:pt>
                <c:pt idx="1">
                  <c:v>13.854124415246259</c:v>
                </c:pt>
                <c:pt idx="2">
                  <c:v>11.705252101273995</c:v>
                </c:pt>
                <c:pt idx="3">
                  <c:v>10.710821576290893</c:v>
                </c:pt>
                <c:pt idx="4">
                  <c:v>18.117187223574714</c:v>
                </c:pt>
                <c:pt idx="5">
                  <c:v>23.392194899943384</c:v>
                </c:pt>
                <c:pt idx="6">
                  <c:v>23.121601629142912</c:v>
                </c:pt>
                <c:pt idx="7">
                  <c:v>21.930693785667277</c:v>
                </c:pt>
                <c:pt idx="8">
                  <c:v>17.884169713561459</c:v>
                </c:pt>
                <c:pt idx="9">
                  <c:v>13.084272869319882</c:v>
                </c:pt>
                <c:pt idx="10">
                  <c:v>13.359204506357353</c:v>
                </c:pt>
                <c:pt idx="11">
                  <c:v>16.701800353844799</c:v>
                </c:pt>
                <c:pt idx="12">
                  <c:v>20.600287586704916</c:v>
                </c:pt>
                <c:pt idx="13">
                  <c:v>16.539651636036133</c:v>
                </c:pt>
                <c:pt idx="14">
                  <c:v>17.114474231809496</c:v>
                </c:pt>
                <c:pt idx="15">
                  <c:v>20.484526153886975</c:v>
                </c:pt>
                <c:pt idx="16">
                  <c:v>21.811797152797293</c:v>
                </c:pt>
                <c:pt idx="17">
                  <c:v>18.241428677234595</c:v>
                </c:pt>
                <c:pt idx="18">
                  <c:v>15.783413077850133</c:v>
                </c:pt>
                <c:pt idx="19">
                  <c:v>18.00222068630335</c:v>
                </c:pt>
              </c:numCache>
            </c:numRef>
          </c:val>
          <c:smooth val="0"/>
        </c:ser>
        <c:dLbls>
          <c:showLegendKey val="0"/>
          <c:showVal val="0"/>
          <c:showCatName val="0"/>
          <c:showSerName val="0"/>
          <c:showPercent val="0"/>
          <c:showBubbleSize val="0"/>
        </c:dLbls>
        <c:marker val="1"/>
        <c:smooth val="0"/>
        <c:axId val="900587520"/>
        <c:axId val="900589056"/>
      </c:lineChart>
      <c:catAx>
        <c:axId val="900575616"/>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900577152"/>
        <c:crosses val="autoZero"/>
        <c:auto val="1"/>
        <c:lblAlgn val="ctr"/>
        <c:lblOffset val="100"/>
        <c:tickLblSkip val="1"/>
        <c:tickMarkSkip val="1"/>
        <c:noMultiLvlLbl val="0"/>
      </c:catAx>
      <c:valAx>
        <c:axId val="900577152"/>
        <c:scaling>
          <c:orientation val="minMax"/>
        </c:scaling>
        <c:delete val="1"/>
        <c:axPos val="r"/>
        <c:title>
          <c:tx>
            <c:rich>
              <a:bodyPr rot="0" vert="horz"/>
              <a:lstStyle/>
              <a:p>
                <a:pPr algn="ctr" rtl="0">
                  <a:defRPr sz="900"/>
                </a:pPr>
                <a:r>
                  <a:rPr lang="en-US" sz="900">
                    <a:solidFill>
                      <a:schemeClr val="bg1">
                        <a:lumMod val="50000"/>
                      </a:schemeClr>
                    </a:solidFill>
                    <a:effectLst/>
                  </a:rPr>
                  <a:t>US$c/lb</a:t>
                </a:r>
              </a:p>
            </c:rich>
          </c:tx>
          <c:layout>
            <c:manualLayout>
              <c:xMode val="edge"/>
              <c:yMode val="edge"/>
              <c:x val="0.12929175853018371"/>
              <c:y val="1.2185519492990205E-3"/>
            </c:manualLayout>
          </c:layout>
          <c:overlay val="0"/>
        </c:title>
        <c:numFmt formatCode="#,##0" sourceLinked="0"/>
        <c:majorTickMark val="out"/>
        <c:minorTickMark val="none"/>
        <c:tickLblPos val="nextTo"/>
        <c:crossAx val="900575616"/>
        <c:crosses val="max"/>
        <c:crossBetween val="between"/>
      </c:valAx>
      <c:catAx>
        <c:axId val="900587520"/>
        <c:scaling>
          <c:orientation val="minMax"/>
        </c:scaling>
        <c:delete val="1"/>
        <c:axPos val="b"/>
        <c:majorTickMark val="out"/>
        <c:minorTickMark val="none"/>
        <c:tickLblPos val="nextTo"/>
        <c:crossAx val="900589056"/>
        <c:crosses val="autoZero"/>
        <c:auto val="1"/>
        <c:lblAlgn val="ctr"/>
        <c:lblOffset val="100"/>
        <c:noMultiLvlLbl val="0"/>
      </c:catAx>
      <c:valAx>
        <c:axId val="900589056"/>
        <c:scaling>
          <c:orientation val="minMax"/>
        </c:scaling>
        <c:delete val="0"/>
        <c:axPos val="l"/>
        <c:numFmt formatCode="#,##0" sourceLinked="0"/>
        <c:majorTickMark val="cross"/>
        <c:minorTickMark val="none"/>
        <c:tickLblPos val="nextTo"/>
        <c:spPr>
          <a:ln w="3175">
            <a:solidFill>
              <a:srgbClr val="80808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900587520"/>
        <c:crosses val="autoZero"/>
        <c:crossBetween val="between"/>
      </c:valAx>
      <c:spPr>
        <a:noFill/>
        <a:ln w="25400">
          <a:noFill/>
        </a:ln>
      </c:spPr>
    </c:plotArea>
    <c:legend>
      <c:legendPos val="r"/>
      <c:legendEntry>
        <c:idx val="1"/>
        <c:delete val="1"/>
      </c:legendEntry>
      <c:layout>
        <c:manualLayout>
          <c:xMode val="edge"/>
          <c:yMode val="edge"/>
          <c:x val="0.2074683464566929"/>
          <c:y val="0.68462837453641789"/>
          <c:w val="0.57351195100612429"/>
          <c:h val="0.12587809064337993"/>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9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0697472"/>
        <c:axId val="900699264"/>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0700800"/>
        <c:axId val="900710784"/>
      </c:lineChart>
      <c:catAx>
        <c:axId val="900697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900699264"/>
        <c:crosses val="autoZero"/>
        <c:auto val="1"/>
        <c:lblAlgn val="ctr"/>
        <c:lblOffset val="100"/>
        <c:tickLblSkip val="1"/>
        <c:tickMarkSkip val="1"/>
        <c:noMultiLvlLbl val="0"/>
      </c:catAx>
      <c:valAx>
        <c:axId val="90069926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0697472"/>
        <c:crosses val="autoZero"/>
        <c:crossBetween val="between"/>
      </c:valAx>
      <c:catAx>
        <c:axId val="900700800"/>
        <c:scaling>
          <c:orientation val="minMax"/>
        </c:scaling>
        <c:delete val="1"/>
        <c:axPos val="b"/>
        <c:numFmt formatCode="General" sourceLinked="1"/>
        <c:majorTickMark val="out"/>
        <c:minorTickMark val="none"/>
        <c:tickLblPos val="nextTo"/>
        <c:crossAx val="900710784"/>
        <c:crosses val="autoZero"/>
        <c:auto val="1"/>
        <c:lblAlgn val="ctr"/>
        <c:lblOffset val="100"/>
        <c:noMultiLvlLbl val="0"/>
      </c:catAx>
      <c:valAx>
        <c:axId val="900710784"/>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070080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9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0999040"/>
        <c:axId val="901000576"/>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1010560"/>
        <c:axId val="901012096"/>
      </c:lineChart>
      <c:catAx>
        <c:axId val="900999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901000576"/>
        <c:crosses val="autoZero"/>
        <c:auto val="1"/>
        <c:lblAlgn val="ctr"/>
        <c:lblOffset val="100"/>
        <c:tickLblSkip val="1"/>
        <c:tickMarkSkip val="1"/>
        <c:noMultiLvlLbl val="0"/>
      </c:catAx>
      <c:valAx>
        <c:axId val="901000576"/>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0999040"/>
        <c:crosses val="autoZero"/>
        <c:crossBetween val="between"/>
      </c:valAx>
      <c:catAx>
        <c:axId val="901010560"/>
        <c:scaling>
          <c:orientation val="minMax"/>
        </c:scaling>
        <c:delete val="1"/>
        <c:axPos val="b"/>
        <c:numFmt formatCode="General" sourceLinked="1"/>
        <c:majorTickMark val="out"/>
        <c:minorTickMark val="none"/>
        <c:tickLblPos val="nextTo"/>
        <c:crossAx val="901012096"/>
        <c:crosses val="autoZero"/>
        <c:auto val="1"/>
        <c:lblAlgn val="ctr"/>
        <c:lblOffset val="100"/>
        <c:noMultiLvlLbl val="0"/>
      </c:catAx>
      <c:valAx>
        <c:axId val="901012096"/>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101056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9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1038464"/>
        <c:axId val="901040000"/>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1041536"/>
        <c:axId val="901051520"/>
      </c:lineChart>
      <c:catAx>
        <c:axId val="901038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901040000"/>
        <c:crosses val="autoZero"/>
        <c:auto val="1"/>
        <c:lblAlgn val="ctr"/>
        <c:lblOffset val="100"/>
        <c:tickLblSkip val="1"/>
        <c:tickMarkSkip val="1"/>
        <c:noMultiLvlLbl val="0"/>
      </c:catAx>
      <c:valAx>
        <c:axId val="901040000"/>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1038464"/>
        <c:crosses val="autoZero"/>
        <c:crossBetween val="between"/>
      </c:valAx>
      <c:catAx>
        <c:axId val="901041536"/>
        <c:scaling>
          <c:orientation val="minMax"/>
        </c:scaling>
        <c:delete val="1"/>
        <c:axPos val="b"/>
        <c:numFmt formatCode="General" sourceLinked="1"/>
        <c:majorTickMark val="out"/>
        <c:minorTickMark val="none"/>
        <c:tickLblPos val="nextTo"/>
        <c:crossAx val="901051520"/>
        <c:crosses val="autoZero"/>
        <c:auto val="1"/>
        <c:lblAlgn val="ctr"/>
        <c:lblOffset val="100"/>
        <c:noMultiLvlLbl val="0"/>
      </c:catAx>
      <c:valAx>
        <c:axId val="901051520"/>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1041536"/>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19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0807296"/>
        <c:axId val="900813184"/>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0814720"/>
        <c:axId val="900816256"/>
      </c:lineChart>
      <c:catAx>
        <c:axId val="900807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900813184"/>
        <c:crosses val="autoZero"/>
        <c:auto val="1"/>
        <c:lblAlgn val="ctr"/>
        <c:lblOffset val="100"/>
        <c:tickLblSkip val="1"/>
        <c:tickMarkSkip val="1"/>
        <c:noMultiLvlLbl val="0"/>
      </c:catAx>
      <c:valAx>
        <c:axId val="90081318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0807296"/>
        <c:crosses val="autoZero"/>
        <c:crossBetween val="between"/>
      </c:valAx>
      <c:catAx>
        <c:axId val="900814720"/>
        <c:scaling>
          <c:orientation val="minMax"/>
        </c:scaling>
        <c:delete val="1"/>
        <c:axPos val="b"/>
        <c:numFmt formatCode="General" sourceLinked="1"/>
        <c:majorTickMark val="out"/>
        <c:minorTickMark val="none"/>
        <c:tickLblPos val="nextTo"/>
        <c:crossAx val="900816256"/>
        <c:crosses val="autoZero"/>
        <c:auto val="1"/>
        <c:lblAlgn val="ctr"/>
        <c:lblOffset val="100"/>
        <c:noMultiLvlLbl val="0"/>
      </c:catAx>
      <c:valAx>
        <c:axId val="900816256"/>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081472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20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1063808"/>
        <c:axId val="901065344"/>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1071232"/>
        <c:axId val="901072768"/>
      </c:lineChart>
      <c:catAx>
        <c:axId val="901063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901065344"/>
        <c:crosses val="autoZero"/>
        <c:auto val="1"/>
        <c:lblAlgn val="ctr"/>
        <c:lblOffset val="100"/>
        <c:tickLblSkip val="1"/>
        <c:tickMarkSkip val="1"/>
        <c:noMultiLvlLbl val="0"/>
      </c:catAx>
      <c:valAx>
        <c:axId val="90106534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1063808"/>
        <c:crosses val="autoZero"/>
        <c:crossBetween val="between"/>
      </c:valAx>
      <c:catAx>
        <c:axId val="901071232"/>
        <c:scaling>
          <c:orientation val="minMax"/>
        </c:scaling>
        <c:delete val="1"/>
        <c:axPos val="b"/>
        <c:numFmt formatCode="General" sourceLinked="1"/>
        <c:majorTickMark val="out"/>
        <c:minorTickMark val="none"/>
        <c:tickLblPos val="nextTo"/>
        <c:crossAx val="901072768"/>
        <c:crosses val="autoZero"/>
        <c:auto val="1"/>
        <c:lblAlgn val="ctr"/>
        <c:lblOffset val="100"/>
        <c:noMultiLvlLbl val="0"/>
      </c:catAx>
      <c:valAx>
        <c:axId val="901072768"/>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1071232"/>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20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1102976"/>
        <c:axId val="900273280"/>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0274816"/>
        <c:axId val="900276608"/>
      </c:lineChart>
      <c:catAx>
        <c:axId val="901102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900273280"/>
        <c:crosses val="autoZero"/>
        <c:auto val="1"/>
        <c:lblAlgn val="ctr"/>
        <c:lblOffset val="100"/>
        <c:tickLblSkip val="1"/>
        <c:tickMarkSkip val="1"/>
        <c:noMultiLvlLbl val="0"/>
      </c:catAx>
      <c:valAx>
        <c:axId val="900273280"/>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1102976"/>
        <c:crosses val="autoZero"/>
        <c:crossBetween val="between"/>
      </c:valAx>
      <c:catAx>
        <c:axId val="900274816"/>
        <c:scaling>
          <c:orientation val="minMax"/>
        </c:scaling>
        <c:delete val="1"/>
        <c:axPos val="b"/>
        <c:numFmt formatCode="General" sourceLinked="1"/>
        <c:majorTickMark val="out"/>
        <c:minorTickMark val="none"/>
        <c:tickLblPos val="nextTo"/>
        <c:crossAx val="900276608"/>
        <c:crosses val="autoZero"/>
        <c:auto val="1"/>
        <c:lblAlgn val="ctr"/>
        <c:lblOffset val="100"/>
        <c:noMultiLvlLbl val="0"/>
      </c:catAx>
      <c:valAx>
        <c:axId val="900276608"/>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0274816"/>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20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0294528"/>
        <c:axId val="900296064"/>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0306048"/>
        <c:axId val="900307584"/>
      </c:lineChart>
      <c:catAx>
        <c:axId val="900294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900296064"/>
        <c:crosses val="autoZero"/>
        <c:auto val="1"/>
        <c:lblAlgn val="ctr"/>
        <c:lblOffset val="100"/>
        <c:tickLblSkip val="1"/>
        <c:tickMarkSkip val="1"/>
        <c:noMultiLvlLbl val="0"/>
      </c:catAx>
      <c:valAx>
        <c:axId val="90029606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0294528"/>
        <c:crosses val="autoZero"/>
        <c:crossBetween val="between"/>
      </c:valAx>
      <c:catAx>
        <c:axId val="900306048"/>
        <c:scaling>
          <c:orientation val="minMax"/>
        </c:scaling>
        <c:delete val="1"/>
        <c:axPos val="b"/>
        <c:numFmt formatCode="General" sourceLinked="1"/>
        <c:majorTickMark val="out"/>
        <c:minorTickMark val="none"/>
        <c:tickLblPos val="nextTo"/>
        <c:crossAx val="900307584"/>
        <c:crosses val="autoZero"/>
        <c:auto val="1"/>
        <c:lblAlgn val="ctr"/>
        <c:lblOffset val="100"/>
        <c:noMultiLvlLbl val="0"/>
      </c:catAx>
      <c:valAx>
        <c:axId val="900307584"/>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0306048"/>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20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0338048"/>
        <c:axId val="900339584"/>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0341120"/>
        <c:axId val="900347008"/>
      </c:lineChart>
      <c:catAx>
        <c:axId val="900338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900339584"/>
        <c:crosses val="autoZero"/>
        <c:auto val="1"/>
        <c:lblAlgn val="ctr"/>
        <c:lblOffset val="100"/>
        <c:tickLblSkip val="1"/>
        <c:tickMarkSkip val="1"/>
        <c:noMultiLvlLbl val="0"/>
      </c:catAx>
      <c:valAx>
        <c:axId val="90033958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0338048"/>
        <c:crosses val="autoZero"/>
        <c:crossBetween val="between"/>
      </c:valAx>
      <c:catAx>
        <c:axId val="900341120"/>
        <c:scaling>
          <c:orientation val="minMax"/>
        </c:scaling>
        <c:delete val="1"/>
        <c:axPos val="b"/>
        <c:numFmt formatCode="General" sourceLinked="1"/>
        <c:majorTickMark val="out"/>
        <c:minorTickMark val="none"/>
        <c:tickLblPos val="nextTo"/>
        <c:crossAx val="900347008"/>
        <c:crosses val="autoZero"/>
        <c:auto val="1"/>
        <c:lblAlgn val="ctr"/>
        <c:lblOffset val="100"/>
        <c:noMultiLvlLbl val="0"/>
      </c:catAx>
      <c:valAx>
        <c:axId val="900347008"/>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034112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20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0381312"/>
        <c:axId val="900387200"/>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0388736"/>
        <c:axId val="900390272"/>
      </c:lineChart>
      <c:catAx>
        <c:axId val="90038131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900387200"/>
        <c:crosses val="autoZero"/>
        <c:auto val="1"/>
        <c:lblAlgn val="ctr"/>
        <c:lblOffset val="100"/>
        <c:tickLblSkip val="1"/>
        <c:tickMarkSkip val="1"/>
        <c:noMultiLvlLbl val="0"/>
      </c:catAx>
      <c:valAx>
        <c:axId val="900387200"/>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0381312"/>
        <c:crosses val="autoZero"/>
        <c:crossBetween val="between"/>
      </c:valAx>
      <c:catAx>
        <c:axId val="900388736"/>
        <c:scaling>
          <c:orientation val="minMax"/>
        </c:scaling>
        <c:delete val="1"/>
        <c:axPos val="b"/>
        <c:numFmt formatCode="General" sourceLinked="1"/>
        <c:majorTickMark val="out"/>
        <c:minorTickMark val="none"/>
        <c:tickLblPos val="nextTo"/>
        <c:crossAx val="900390272"/>
        <c:crosses val="autoZero"/>
        <c:auto val="1"/>
        <c:lblAlgn val="ctr"/>
        <c:lblOffset val="100"/>
        <c:noMultiLvlLbl val="0"/>
      </c:catAx>
      <c:valAx>
        <c:axId val="900390272"/>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0388736"/>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20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1416064"/>
        <c:axId val="901417600"/>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1427584"/>
        <c:axId val="901429120"/>
      </c:lineChart>
      <c:catAx>
        <c:axId val="901416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901417600"/>
        <c:crosses val="autoZero"/>
        <c:auto val="1"/>
        <c:lblAlgn val="ctr"/>
        <c:lblOffset val="100"/>
        <c:tickLblSkip val="1"/>
        <c:tickMarkSkip val="1"/>
        <c:noMultiLvlLbl val="0"/>
      </c:catAx>
      <c:valAx>
        <c:axId val="901417600"/>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1416064"/>
        <c:crosses val="autoZero"/>
        <c:crossBetween val="between"/>
      </c:valAx>
      <c:catAx>
        <c:axId val="901427584"/>
        <c:scaling>
          <c:orientation val="minMax"/>
        </c:scaling>
        <c:delete val="1"/>
        <c:axPos val="b"/>
        <c:numFmt formatCode="General" sourceLinked="1"/>
        <c:majorTickMark val="out"/>
        <c:minorTickMark val="none"/>
        <c:tickLblPos val="nextTo"/>
        <c:crossAx val="901429120"/>
        <c:crosses val="autoZero"/>
        <c:auto val="1"/>
        <c:lblAlgn val="ctr"/>
        <c:lblOffset val="100"/>
        <c:noMultiLvlLbl val="0"/>
      </c:catAx>
      <c:valAx>
        <c:axId val="901429120"/>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1427584"/>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20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1447040"/>
        <c:axId val="901514368"/>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1515904"/>
        <c:axId val="901529984"/>
      </c:lineChart>
      <c:catAx>
        <c:axId val="901447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901514368"/>
        <c:crosses val="autoZero"/>
        <c:auto val="1"/>
        <c:lblAlgn val="ctr"/>
        <c:lblOffset val="100"/>
        <c:tickLblSkip val="1"/>
        <c:tickMarkSkip val="1"/>
        <c:noMultiLvlLbl val="0"/>
      </c:catAx>
      <c:valAx>
        <c:axId val="901514368"/>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1447040"/>
        <c:crosses val="autoZero"/>
        <c:crossBetween val="between"/>
      </c:valAx>
      <c:catAx>
        <c:axId val="901515904"/>
        <c:scaling>
          <c:orientation val="minMax"/>
        </c:scaling>
        <c:delete val="1"/>
        <c:axPos val="b"/>
        <c:numFmt formatCode="General" sourceLinked="1"/>
        <c:majorTickMark val="out"/>
        <c:minorTickMark val="none"/>
        <c:tickLblPos val="nextTo"/>
        <c:crossAx val="901529984"/>
        <c:crosses val="autoZero"/>
        <c:auto val="1"/>
        <c:lblAlgn val="ctr"/>
        <c:lblOffset val="100"/>
        <c:noMultiLvlLbl val="0"/>
      </c:catAx>
      <c:valAx>
        <c:axId val="901529984"/>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1515904"/>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20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1564288"/>
        <c:axId val="901565824"/>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1575808"/>
        <c:axId val="901577344"/>
      </c:lineChart>
      <c:catAx>
        <c:axId val="901564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901565824"/>
        <c:crosses val="autoZero"/>
        <c:auto val="1"/>
        <c:lblAlgn val="ctr"/>
        <c:lblOffset val="100"/>
        <c:tickLblSkip val="1"/>
        <c:tickMarkSkip val="1"/>
        <c:noMultiLvlLbl val="0"/>
      </c:catAx>
      <c:valAx>
        <c:axId val="90156582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1564288"/>
        <c:crosses val="autoZero"/>
        <c:crossBetween val="between"/>
      </c:valAx>
      <c:catAx>
        <c:axId val="901575808"/>
        <c:scaling>
          <c:orientation val="minMax"/>
        </c:scaling>
        <c:delete val="1"/>
        <c:axPos val="b"/>
        <c:numFmt formatCode="General" sourceLinked="1"/>
        <c:majorTickMark val="out"/>
        <c:minorTickMark val="none"/>
        <c:tickLblPos val="nextTo"/>
        <c:crossAx val="901577344"/>
        <c:crosses val="autoZero"/>
        <c:auto val="1"/>
        <c:lblAlgn val="ctr"/>
        <c:lblOffset val="100"/>
        <c:noMultiLvlLbl val="0"/>
      </c:catAx>
      <c:valAx>
        <c:axId val="901577344"/>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1575808"/>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20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1603712"/>
        <c:axId val="901605248"/>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1606784"/>
        <c:axId val="901608576"/>
      </c:lineChart>
      <c:catAx>
        <c:axId val="901603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901605248"/>
        <c:crosses val="autoZero"/>
        <c:auto val="1"/>
        <c:lblAlgn val="ctr"/>
        <c:lblOffset val="100"/>
        <c:tickLblSkip val="1"/>
        <c:tickMarkSkip val="1"/>
        <c:noMultiLvlLbl val="0"/>
      </c:catAx>
      <c:valAx>
        <c:axId val="901605248"/>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1603712"/>
        <c:crosses val="autoZero"/>
        <c:crossBetween val="between"/>
      </c:valAx>
      <c:catAx>
        <c:axId val="901606784"/>
        <c:scaling>
          <c:orientation val="minMax"/>
        </c:scaling>
        <c:delete val="1"/>
        <c:axPos val="b"/>
        <c:numFmt formatCode="General" sourceLinked="1"/>
        <c:majorTickMark val="out"/>
        <c:minorTickMark val="none"/>
        <c:tickLblPos val="nextTo"/>
        <c:crossAx val="901608576"/>
        <c:crosses val="autoZero"/>
        <c:auto val="1"/>
        <c:lblAlgn val="ctr"/>
        <c:lblOffset val="100"/>
        <c:noMultiLvlLbl val="0"/>
      </c:catAx>
      <c:valAx>
        <c:axId val="901608576"/>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1606784"/>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20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1638784"/>
        <c:axId val="901652864"/>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1654400"/>
        <c:axId val="901655936"/>
      </c:lineChart>
      <c:catAx>
        <c:axId val="90163878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901652864"/>
        <c:crosses val="autoZero"/>
        <c:auto val="1"/>
        <c:lblAlgn val="ctr"/>
        <c:lblOffset val="100"/>
        <c:tickLblSkip val="1"/>
        <c:tickMarkSkip val="1"/>
        <c:noMultiLvlLbl val="0"/>
      </c:catAx>
      <c:valAx>
        <c:axId val="90165286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1638784"/>
        <c:crosses val="autoZero"/>
        <c:crossBetween val="between"/>
      </c:valAx>
      <c:catAx>
        <c:axId val="901654400"/>
        <c:scaling>
          <c:orientation val="minMax"/>
        </c:scaling>
        <c:delete val="1"/>
        <c:axPos val="b"/>
        <c:numFmt formatCode="General" sourceLinked="1"/>
        <c:majorTickMark val="out"/>
        <c:minorTickMark val="none"/>
        <c:tickLblPos val="nextTo"/>
        <c:crossAx val="901655936"/>
        <c:crosses val="autoZero"/>
        <c:auto val="1"/>
        <c:lblAlgn val="ctr"/>
        <c:lblOffset val="100"/>
        <c:noMultiLvlLbl val="0"/>
      </c:catAx>
      <c:valAx>
        <c:axId val="901655936"/>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1654400"/>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2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1674112"/>
        <c:axId val="901675648"/>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1681536"/>
        <c:axId val="901683072"/>
      </c:lineChart>
      <c:catAx>
        <c:axId val="901674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901675648"/>
        <c:crosses val="autoZero"/>
        <c:auto val="1"/>
        <c:lblAlgn val="ctr"/>
        <c:lblOffset val="100"/>
        <c:tickLblSkip val="1"/>
        <c:tickMarkSkip val="1"/>
        <c:noMultiLvlLbl val="0"/>
      </c:catAx>
      <c:valAx>
        <c:axId val="901675648"/>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1674112"/>
        <c:crosses val="autoZero"/>
        <c:crossBetween val="between"/>
      </c:valAx>
      <c:catAx>
        <c:axId val="901681536"/>
        <c:scaling>
          <c:orientation val="minMax"/>
        </c:scaling>
        <c:delete val="1"/>
        <c:axPos val="b"/>
        <c:numFmt formatCode="General" sourceLinked="1"/>
        <c:majorTickMark val="out"/>
        <c:minorTickMark val="none"/>
        <c:tickLblPos val="nextTo"/>
        <c:crossAx val="901683072"/>
        <c:crosses val="autoZero"/>
        <c:auto val="1"/>
        <c:lblAlgn val="ctr"/>
        <c:lblOffset val="100"/>
        <c:noMultiLvlLbl val="0"/>
      </c:catAx>
      <c:valAx>
        <c:axId val="901683072"/>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1681536"/>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2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FF"/>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1258624"/>
        <c:axId val="901268608"/>
      </c:lineChart>
      <c:lineChart>
        <c:grouping val="standard"/>
        <c:varyColors val="0"/>
        <c:ser>
          <c:idx val="1"/>
          <c:order val="1"/>
          <c:tx>
            <c:v>#REF!</c:v>
          </c:tx>
          <c:spPr>
            <a:ln w="38100">
              <a:solidFill>
                <a:srgbClr val="FF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901270144"/>
        <c:axId val="901271936"/>
      </c:lineChart>
      <c:catAx>
        <c:axId val="90125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75" b="0" i="0" u="none" strike="noStrike" baseline="0">
                <a:solidFill>
                  <a:srgbClr val="000000"/>
                </a:solidFill>
                <a:latin typeface="Arial"/>
                <a:ea typeface="Arial"/>
                <a:cs typeface="Arial"/>
              </a:defRPr>
            </a:pPr>
            <a:endParaRPr lang="en-US"/>
          </a:p>
        </c:txPr>
        <c:crossAx val="901268608"/>
        <c:crosses val="autoZero"/>
        <c:auto val="1"/>
        <c:lblAlgn val="ctr"/>
        <c:lblOffset val="100"/>
        <c:tickLblSkip val="1"/>
        <c:tickMarkSkip val="1"/>
        <c:noMultiLvlLbl val="0"/>
      </c:catAx>
      <c:valAx>
        <c:axId val="901268608"/>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1258624"/>
        <c:crosses val="autoZero"/>
        <c:crossBetween val="between"/>
      </c:valAx>
      <c:catAx>
        <c:axId val="901270144"/>
        <c:scaling>
          <c:orientation val="minMax"/>
        </c:scaling>
        <c:delete val="1"/>
        <c:axPos val="b"/>
        <c:numFmt formatCode="General" sourceLinked="1"/>
        <c:majorTickMark val="out"/>
        <c:minorTickMark val="none"/>
        <c:tickLblPos val="nextTo"/>
        <c:crossAx val="901271936"/>
        <c:crosses val="autoZero"/>
        <c:auto val="1"/>
        <c:lblAlgn val="ctr"/>
        <c:lblOffset val="100"/>
        <c:noMultiLvlLbl val="0"/>
      </c:catAx>
      <c:valAx>
        <c:axId val="901271936"/>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901270144"/>
        <c:crosses val="max"/>
        <c:crossBetween val="between"/>
      </c:valAx>
      <c:spPr>
        <a:noFill/>
        <a:ln w="25400">
          <a:noFill/>
        </a:ln>
      </c:spPr>
    </c:plotArea>
    <c:legend>
      <c:legendPos val="r"/>
      <c:overlay val="0"/>
      <c:spPr>
        <a:solidFill>
          <a:srgbClr val="FFFFFF"/>
        </a:solidFill>
        <a:ln w="25400">
          <a:noFill/>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harts/chart2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129959073101503E-2"/>
          <c:y val="4.6875E-2"/>
          <c:w val="0.82337766763604359"/>
          <c:h val="0.79825547880134617"/>
        </c:manualLayout>
      </c:layout>
      <c:lineChart>
        <c:grouping val="standard"/>
        <c:varyColors val="0"/>
        <c:ser>
          <c:idx val="2"/>
          <c:order val="0"/>
          <c:tx>
            <c:strRef>
              <c:f>ChartSupport!$A$172</c:f>
              <c:strCache>
                <c:ptCount val="1"/>
                <c:pt idx="0">
                  <c:v>Ethanol Prices (R$/cbm)</c:v>
                </c:pt>
              </c:strCache>
            </c:strRef>
          </c:tx>
          <c:spPr>
            <a:ln w="25400">
              <a:solidFill>
                <a:schemeClr val="accent2"/>
              </a:solidFill>
              <a:prstDash val="solid"/>
            </a:ln>
          </c:spPr>
          <c:marker>
            <c:symbol val="none"/>
          </c:marker>
          <c:cat>
            <c:strRef>
              <c:f>ChartSupport!$D$12:$W$12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ChartSupport!$D$197:$W$197</c:f>
              <c:numCache>
                <c:formatCode>0</c:formatCode>
                <c:ptCount val="20"/>
                <c:pt idx="0">
                  <c:v>100</c:v>
                </c:pt>
                <c:pt idx="1">
                  <c:v>107.67018028727414</c:v>
                </c:pt>
                <c:pt idx="2">
                  <c:v>88.074525995280112</c:v>
                </c:pt>
                <c:pt idx="3">
                  <c:v>90.456919271555151</c:v>
                </c:pt>
                <c:pt idx="4">
                  <c:v>100.8450776000399</c:v>
                </c:pt>
                <c:pt idx="5">
                  <c:v>116.92596988897881</c:v>
                </c:pt>
                <c:pt idx="6">
                  <c:v>147.89865166726199</c:v>
                </c:pt>
                <c:pt idx="7">
                  <c:v>142.40681168014814</c:v>
                </c:pt>
                <c:pt idx="8">
                  <c:v>154.81953809027141</c:v>
                </c:pt>
                <c:pt idx="9">
                  <c:v>158.57562626887912</c:v>
                </c:pt>
                <c:pt idx="10">
                  <c:v>192.45141452395168</c:v>
                </c:pt>
                <c:pt idx="11">
                  <c:v>208.503797511751</c:v>
                </c:pt>
                <c:pt idx="12">
                  <c:v>198.80543420790124</c:v>
                </c:pt>
                <c:pt idx="13">
                  <c:v>216.41091973446873</c:v>
                </c:pt>
                <c:pt idx="14">
                  <c:v>231.65112534957214</c:v>
                </c:pt>
                <c:pt idx="15">
                  <c:v>240.40022258909073</c:v>
                </c:pt>
                <c:pt idx="16">
                  <c:v>246.16982793122892</c:v>
                </c:pt>
                <c:pt idx="17">
                  <c:v>252.07790380157837</c:v>
                </c:pt>
                <c:pt idx="18">
                  <c:v>258.12777349281623</c:v>
                </c:pt>
                <c:pt idx="19">
                  <c:v>275.50952916027376</c:v>
                </c:pt>
              </c:numCache>
            </c:numRef>
          </c:val>
          <c:smooth val="0"/>
        </c:ser>
        <c:dLbls>
          <c:showLegendKey val="0"/>
          <c:showVal val="0"/>
          <c:showCatName val="0"/>
          <c:showSerName val="0"/>
          <c:showPercent val="0"/>
          <c:showBubbleSize val="0"/>
        </c:dLbls>
        <c:marker val="1"/>
        <c:smooth val="0"/>
        <c:axId val="901311104"/>
        <c:axId val="901329280"/>
      </c:lineChart>
      <c:lineChart>
        <c:grouping val="standard"/>
        <c:varyColors val="0"/>
        <c:ser>
          <c:idx val="0"/>
          <c:order val="1"/>
          <c:tx>
            <c:strRef>
              <c:f>ChartSupport!$A$162</c:f>
              <c:strCache>
                <c:ptCount val="1"/>
                <c:pt idx="0">
                  <c:v>Sugar Prices (R$/ton)</c:v>
                </c:pt>
              </c:strCache>
            </c:strRef>
          </c:tx>
          <c:spPr>
            <a:ln w="15875">
              <a:solidFill>
                <a:srgbClr val="FF0000"/>
              </a:solidFill>
              <a:prstDash val="sysDash"/>
            </a:ln>
          </c:spPr>
          <c:marker>
            <c:symbol val="none"/>
          </c:marker>
          <c:cat>
            <c:strRef>
              <c:f>ChartSupport!$D$12:$W$12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ChartSupport!$D$194:$W$194</c:f>
              <c:numCache>
                <c:formatCode>0</c:formatCode>
                <c:ptCount val="20"/>
                <c:pt idx="0">
                  <c:v>100</c:v>
                </c:pt>
                <c:pt idx="1">
                  <c:v>113.64462089482348</c:v>
                </c:pt>
                <c:pt idx="2">
                  <c:v>82.215604767867958</c:v>
                </c:pt>
                <c:pt idx="3">
                  <c:v>99.746754445947744</c:v>
                </c:pt>
                <c:pt idx="4">
                  <c:v>129.33656211135812</c:v>
                </c:pt>
                <c:pt idx="5">
                  <c:v>152.71073521610847</c:v>
                </c:pt>
                <c:pt idx="6">
                  <c:v>168.88177443090541</c:v>
                </c:pt>
                <c:pt idx="7">
                  <c:v>177.03868549273432</c:v>
                </c:pt>
                <c:pt idx="8">
                  <c:v>162.2407445652556</c:v>
                </c:pt>
                <c:pt idx="9">
                  <c:v>168.27031518172146</c:v>
                </c:pt>
                <c:pt idx="10">
                  <c:v>190.60045981453322</c:v>
                </c:pt>
                <c:pt idx="11">
                  <c:v>227.67029823790162</c:v>
                </c:pt>
                <c:pt idx="12">
                  <c:v>256.03488862756654</c:v>
                </c:pt>
                <c:pt idx="13">
                  <c:v>218.82879522554751</c:v>
                </c:pt>
                <c:pt idx="14">
                  <c:v>226.43401804822443</c:v>
                </c:pt>
                <c:pt idx="15">
                  <c:v>271.02168036325099</c:v>
                </c:pt>
                <c:pt idx="16">
                  <c:v>288.58221428625944</c:v>
                </c:pt>
                <c:pt idx="17">
                  <c:v>241.34425249531174</c:v>
                </c:pt>
                <c:pt idx="18">
                  <c:v>208.82333826474982</c:v>
                </c:pt>
                <c:pt idx="19">
                  <c:v>238.17939765944811</c:v>
                </c:pt>
              </c:numCache>
            </c:numRef>
          </c:val>
          <c:smooth val="0"/>
        </c:ser>
        <c:ser>
          <c:idx val="1"/>
          <c:order val="2"/>
          <c:tx>
            <c:strRef>
              <c:f>ChartSupport!$A$187</c:f>
              <c:strCache>
                <c:ptCount val="1"/>
                <c:pt idx="0">
                  <c:v>Brent Prices (R$/bbl)</c:v>
                </c:pt>
              </c:strCache>
            </c:strRef>
          </c:tx>
          <c:spPr>
            <a:ln>
              <a:solidFill>
                <a:schemeClr val="accent1"/>
              </a:solidFill>
            </a:ln>
          </c:spPr>
          <c:marker>
            <c:symbol val="none"/>
          </c:marker>
          <c:cat>
            <c:strRef>
              <c:f>ChartSupport!$D$12:$W$12</c:f>
              <c:strCache>
                <c:ptCount val="20"/>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2018E</c:v>
                </c:pt>
                <c:pt idx="13">
                  <c:v>2019E</c:v>
                </c:pt>
                <c:pt idx="14">
                  <c:v>2020E</c:v>
                </c:pt>
                <c:pt idx="15">
                  <c:v>2021E</c:v>
                </c:pt>
                <c:pt idx="16">
                  <c:v>2022E</c:v>
                </c:pt>
                <c:pt idx="17">
                  <c:v>2023E</c:v>
                </c:pt>
                <c:pt idx="18">
                  <c:v>2024E</c:v>
                </c:pt>
                <c:pt idx="19">
                  <c:v>2025E</c:v>
                </c:pt>
              </c:strCache>
            </c:strRef>
          </c:cat>
          <c:val>
            <c:numRef>
              <c:f>ChartSupport!$D$191:$W$191</c:f>
              <c:numCache>
                <c:formatCode>0</c:formatCode>
                <c:ptCount val="20"/>
                <c:pt idx="0">
                  <c:v>100</c:v>
                </c:pt>
                <c:pt idx="1">
                  <c:v>99.817885604260098</c:v>
                </c:pt>
                <c:pt idx="2">
                  <c:v>119.66856215357245</c:v>
                </c:pt>
                <c:pt idx="3">
                  <c:v>75.45334439362523</c:v>
                </c:pt>
                <c:pt idx="4">
                  <c:v>97.546493624588621</c:v>
                </c:pt>
                <c:pt idx="5">
                  <c:v>124.85361071870287</c:v>
                </c:pt>
                <c:pt idx="6">
                  <c:v>123.15660588843237</c:v>
                </c:pt>
                <c:pt idx="7">
                  <c:v>141.64342426644345</c:v>
                </c:pt>
                <c:pt idx="8">
                  <c:v>147.28971328548224</c:v>
                </c:pt>
                <c:pt idx="9">
                  <c:v>89.113890921991299</c:v>
                </c:pt>
                <c:pt idx="10">
                  <c:v>103.35634452547099</c:v>
                </c:pt>
                <c:pt idx="11">
                  <c:v>115.44027641014668</c:v>
                </c:pt>
                <c:pt idx="12">
                  <c:v>110.12560501852754</c:v>
                </c:pt>
                <c:pt idx="13">
                  <c:v>122.69569047793168</c:v>
                </c:pt>
                <c:pt idx="14">
                  <c:v>130.89159261277621</c:v>
                </c:pt>
                <c:pt idx="15">
                  <c:v>134.03299083548285</c:v>
                </c:pt>
                <c:pt idx="16">
                  <c:v>137.24978261553443</c:v>
                </c:pt>
                <c:pt idx="17">
                  <c:v>140.54377739830721</c:v>
                </c:pt>
                <c:pt idx="18">
                  <c:v>143.9168280558666</c:v>
                </c:pt>
                <c:pt idx="19">
                  <c:v>147.37083192920741</c:v>
                </c:pt>
              </c:numCache>
            </c:numRef>
          </c:val>
          <c:smooth val="0"/>
        </c:ser>
        <c:dLbls>
          <c:showLegendKey val="0"/>
          <c:showVal val="0"/>
          <c:showCatName val="0"/>
          <c:showSerName val="0"/>
          <c:showPercent val="0"/>
          <c:showBubbleSize val="0"/>
        </c:dLbls>
        <c:marker val="1"/>
        <c:smooth val="0"/>
        <c:axId val="901332352"/>
        <c:axId val="901330816"/>
      </c:lineChart>
      <c:catAx>
        <c:axId val="901311104"/>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900" b="0" i="0" u="none" strike="noStrike" baseline="0">
                <a:solidFill>
                  <a:srgbClr val="808080"/>
                </a:solidFill>
                <a:latin typeface="Arial"/>
                <a:ea typeface="Arial"/>
                <a:cs typeface="Arial"/>
              </a:defRPr>
            </a:pPr>
            <a:endParaRPr lang="en-US"/>
          </a:p>
        </c:txPr>
        <c:crossAx val="901329280"/>
        <c:crosses val="autoZero"/>
        <c:auto val="1"/>
        <c:lblAlgn val="ctr"/>
        <c:lblOffset val="100"/>
        <c:tickLblSkip val="1"/>
        <c:tickMarkSkip val="1"/>
        <c:noMultiLvlLbl val="0"/>
      </c:catAx>
      <c:valAx>
        <c:axId val="901329280"/>
        <c:scaling>
          <c:orientation val="minMax"/>
        </c:scaling>
        <c:delete val="1"/>
        <c:axPos val="r"/>
        <c:numFmt formatCode="#,##0" sourceLinked="0"/>
        <c:majorTickMark val="out"/>
        <c:minorTickMark val="none"/>
        <c:tickLblPos val="nextTo"/>
        <c:crossAx val="901311104"/>
        <c:crosses val="max"/>
        <c:crossBetween val="midCat"/>
      </c:valAx>
      <c:valAx>
        <c:axId val="901330816"/>
        <c:scaling>
          <c:orientation val="minMax"/>
        </c:scaling>
        <c:delete val="0"/>
        <c:axPos val="l"/>
        <c:numFmt formatCode="0" sourceLinked="1"/>
        <c:majorTickMark val="out"/>
        <c:minorTickMark val="none"/>
        <c:tickLblPos val="nextTo"/>
        <c:crossAx val="901332352"/>
        <c:crosses val="autoZero"/>
        <c:crossBetween val="between"/>
      </c:valAx>
      <c:catAx>
        <c:axId val="901332352"/>
        <c:scaling>
          <c:orientation val="minMax"/>
        </c:scaling>
        <c:delete val="1"/>
        <c:axPos val="b"/>
        <c:majorTickMark val="out"/>
        <c:minorTickMark val="none"/>
        <c:tickLblPos val="nextTo"/>
        <c:crossAx val="901330816"/>
        <c:crosses val="autoZero"/>
        <c:auto val="1"/>
        <c:lblAlgn val="ctr"/>
        <c:lblOffset val="100"/>
        <c:noMultiLvlLbl val="0"/>
      </c:catAx>
      <c:spPr>
        <a:noFill/>
        <a:ln w="25400">
          <a:noFill/>
        </a:ln>
      </c:spPr>
    </c:plotArea>
    <c:legend>
      <c:legendPos val="r"/>
      <c:layout>
        <c:manualLayout>
          <c:xMode val="edge"/>
          <c:yMode val="edge"/>
          <c:x val="0.16187021154721584"/>
          <c:y val="0.66214599737532809"/>
          <c:w val="0.66163672066819823"/>
          <c:h val="0.18152919947506563"/>
        </c:manualLayout>
      </c:layout>
      <c:overlay val="0"/>
      <c:spPr>
        <a:noFill/>
        <a:ln w="25400">
          <a:noFill/>
        </a:ln>
      </c:spPr>
      <c:txPr>
        <a:bodyPr/>
        <a:lstStyle/>
        <a:p>
          <a:pPr>
            <a:defRPr sz="800" b="0" i="0" u="none" strike="noStrike" baseline="0">
              <a:solidFill>
                <a:srgbClr val="80808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paperSize="0" orientation="portrait" horizontalDpi="0" verticalDpi="0" copies="0"/>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3.xml.rels><?xml version="1.0" encoding="UTF-8" standalone="yes"?>
<Relationships xmlns="http://schemas.openxmlformats.org/package/2006/relationships">
<Relationship Id="rId1" Target="#Inputs!A2" Type="http://schemas.openxmlformats.org/officeDocument/2006/relationships/hyperlink"/>
<Relationship Id="rId10" Target="#Base!A1" Type="http://schemas.openxmlformats.org/officeDocument/2006/relationships/hyperlink"/>
<Relationship Id="rId11" Target="#Bear!A1" Type="http://schemas.openxmlformats.org/officeDocument/2006/relationships/hyperlink"/>
<Relationship Id="rId12" Target="#Bull!A1" Type="http://schemas.openxmlformats.org/officeDocument/2006/relationships/hyperlink"/>
<Relationship Id="rId13" Target="#Inputs!A1" Type="http://schemas.openxmlformats.org/officeDocument/2006/relationships/hyperlink"/>
<Relationship Id="rId14" Target="#'Annual%20historicals'!A1" Type="http://schemas.openxmlformats.org/officeDocument/2006/relationships/hyperlink"/>
<Relationship Id="rId15" Target="#Ownership!A1" Type="http://schemas.openxmlformats.org/officeDocument/2006/relationships/hyperlink"/>
<Relationship Id="rId16" Target="#Macroeconomic!A1" Type="http://schemas.openxmlformats.org/officeDocument/2006/relationships/hyperlink"/>
<Relationship Id="rId17" Target="#Q_Financials!A6" Type="http://schemas.openxmlformats.org/officeDocument/2006/relationships/hyperlink"/>
<Relationship Id="rId18" Target="#'Quarterly%20historicals'!A1" Type="http://schemas.openxmlformats.org/officeDocument/2006/relationships/hyperlink"/>
<Relationship Id="rId19" Target="#Q_Financials!A45" Type="http://schemas.openxmlformats.org/officeDocument/2006/relationships/hyperlink"/>
<Relationship Id="rId2" Target="#Charts!A1" Type="http://schemas.openxmlformats.org/officeDocument/2006/relationships/hyperlink"/>
<Relationship Id="rId20" Target="#SOP!A1" Type="http://schemas.openxmlformats.org/officeDocument/2006/relationships/hyperlink"/>
<Relationship Id="rId21" Target="../media/image4.png" Type="http://schemas.openxmlformats.org/officeDocument/2006/relationships/image"/>
<Relationship Id="rId22" Target="#Q_BS!A34" Type="http://schemas.openxmlformats.org/officeDocument/2006/relationships/hyperlink"/>
<Relationship Id="rId23" Target="#Q_BS!A4" Type="http://schemas.openxmlformats.org/officeDocument/2006/relationships/hyperlink"/>
<Relationship Id="rId24" Target="#Q_BS!A94" Type="http://schemas.openxmlformats.org/officeDocument/2006/relationships/hyperlink"/>
<Relationship Id="rId3" Target="#Financials!A2" Type="http://schemas.openxmlformats.org/officeDocument/2006/relationships/hyperlink"/>
<Relationship Id="rId4" Target="#Summary!A1" Type="http://schemas.openxmlformats.org/officeDocument/2006/relationships/hyperlink"/>
<Relationship Id="rId5" Target="#MSvsConsensus!A2" Type="http://schemas.openxmlformats.org/officeDocument/2006/relationships/hyperlink"/>
<Relationship Id="rId6" Target="#DCF!A1" Type="http://schemas.openxmlformats.org/officeDocument/2006/relationships/hyperlink"/>
<Relationship Id="rId7" Target="#'MWA%20RR'!B1" Type="http://schemas.openxmlformats.org/officeDocument/2006/relationships/hyperlink"/>
<Relationship Id="rId8" Target="#Q_IS!A2" Type="http://schemas.openxmlformats.org/officeDocument/2006/relationships/hyperlink"/>
<Relationship Id="rId9" Target="#Q_Financials!A92" Type="http://schemas.openxmlformats.org/officeDocument/2006/relationships/hyperlink"/>
</Relationships>

</file>

<file path=xl/drawings/_rels/drawing4.xml.rels><?xml version="1.0" encoding="UTF-8" standalone="yes"?>
<Relationships xmlns="http://schemas.openxmlformats.org/package/2006/relationships">
<Relationship Id="rId1" Target="#Index!A1" Type="http://schemas.openxmlformats.org/officeDocument/2006/relationships/hyperlink"/>
</Relationships>

</file>

<file path=xl/drawings/_rels/drawing5.xml.rels><?xml version="1.0" encoding="UTF-8" standalone="yes"?>
<Relationships xmlns="http://schemas.openxmlformats.org/package/2006/relationships">
<Relationship Id="rId1" Target="../charts/chart1.xml" Type="http://schemas.openxmlformats.org/officeDocument/2006/relationships/chart"/>
<Relationship Id="rId10" Target="../charts/chart10.xml" Type="http://schemas.openxmlformats.org/officeDocument/2006/relationships/chart"/>
<Relationship Id="rId100" Target="../charts/chart100.xml" Type="http://schemas.openxmlformats.org/officeDocument/2006/relationships/chart"/>
<Relationship Id="rId101" Target="../charts/chart101.xml" Type="http://schemas.openxmlformats.org/officeDocument/2006/relationships/chart"/>
<Relationship Id="rId102" Target="../charts/chart102.xml" Type="http://schemas.openxmlformats.org/officeDocument/2006/relationships/chart"/>
<Relationship Id="rId103" Target="../charts/chart103.xml" Type="http://schemas.openxmlformats.org/officeDocument/2006/relationships/chart"/>
<Relationship Id="rId104" Target="../charts/chart104.xml" Type="http://schemas.openxmlformats.org/officeDocument/2006/relationships/chart"/>
<Relationship Id="rId105" Target="../charts/chart105.xml" Type="http://schemas.openxmlformats.org/officeDocument/2006/relationships/chart"/>
<Relationship Id="rId106" Target="../charts/chart106.xml" Type="http://schemas.openxmlformats.org/officeDocument/2006/relationships/chart"/>
<Relationship Id="rId107" Target="../charts/chart107.xml" Type="http://schemas.openxmlformats.org/officeDocument/2006/relationships/chart"/>
<Relationship Id="rId108" Target="../charts/chart108.xml" Type="http://schemas.openxmlformats.org/officeDocument/2006/relationships/chart"/>
<Relationship Id="rId109" Target="../charts/chart109.xml" Type="http://schemas.openxmlformats.org/officeDocument/2006/relationships/chart"/>
<Relationship Id="rId11" Target="../charts/chart11.xml" Type="http://schemas.openxmlformats.org/officeDocument/2006/relationships/chart"/>
<Relationship Id="rId110" Target="../charts/chart110.xml" Type="http://schemas.openxmlformats.org/officeDocument/2006/relationships/chart"/>
<Relationship Id="rId111" Target="../charts/chart111.xml" Type="http://schemas.openxmlformats.org/officeDocument/2006/relationships/chart"/>
<Relationship Id="rId112" Target="../charts/chart112.xml" Type="http://schemas.openxmlformats.org/officeDocument/2006/relationships/chart"/>
<Relationship Id="rId113" Target="../charts/chart113.xml" Type="http://schemas.openxmlformats.org/officeDocument/2006/relationships/chart"/>
<Relationship Id="rId114" Target="../charts/chart114.xml" Type="http://schemas.openxmlformats.org/officeDocument/2006/relationships/chart"/>
<Relationship Id="rId115" Target="../charts/chart115.xml" Type="http://schemas.openxmlformats.org/officeDocument/2006/relationships/chart"/>
<Relationship Id="rId116" Target="../charts/chart116.xml" Type="http://schemas.openxmlformats.org/officeDocument/2006/relationships/chart"/>
<Relationship Id="rId117" Target="../charts/chart117.xml" Type="http://schemas.openxmlformats.org/officeDocument/2006/relationships/chart"/>
<Relationship Id="rId118" Target="../charts/chart118.xml" Type="http://schemas.openxmlformats.org/officeDocument/2006/relationships/chart"/>
<Relationship Id="rId119" Target="../charts/chart119.xml" Type="http://schemas.openxmlformats.org/officeDocument/2006/relationships/chart"/>
<Relationship Id="rId12" Target="../charts/chart12.xml" Type="http://schemas.openxmlformats.org/officeDocument/2006/relationships/chart"/>
<Relationship Id="rId120" Target="../charts/chart120.xml" Type="http://schemas.openxmlformats.org/officeDocument/2006/relationships/chart"/>
<Relationship Id="rId121" Target="../charts/chart121.xml" Type="http://schemas.openxmlformats.org/officeDocument/2006/relationships/chart"/>
<Relationship Id="rId122" Target="../charts/chart122.xml" Type="http://schemas.openxmlformats.org/officeDocument/2006/relationships/chart"/>
<Relationship Id="rId123" Target="../charts/chart123.xml" Type="http://schemas.openxmlformats.org/officeDocument/2006/relationships/chart"/>
<Relationship Id="rId124" Target="#Index!A1" Type="http://schemas.openxmlformats.org/officeDocument/2006/relationships/hyperlink"/>
<Relationship Id="rId125" Target="../charts/chart124.xml" Type="http://schemas.openxmlformats.org/officeDocument/2006/relationships/chart"/>
<Relationship Id="rId126" Target="../charts/chart125.xml" Type="http://schemas.openxmlformats.org/officeDocument/2006/relationships/chart"/>
<Relationship Id="rId127" Target="../charts/chart126.xml" Type="http://schemas.openxmlformats.org/officeDocument/2006/relationships/chart"/>
<Relationship Id="rId128" Target="../charts/chart127.xml" Type="http://schemas.openxmlformats.org/officeDocument/2006/relationships/chart"/>
<Relationship Id="rId129" Target="../charts/chart128.xml" Type="http://schemas.openxmlformats.org/officeDocument/2006/relationships/chart"/>
<Relationship Id="rId13" Target="../charts/chart13.xml" Type="http://schemas.openxmlformats.org/officeDocument/2006/relationships/chart"/>
<Relationship Id="rId130" Target="../charts/chart129.xml" Type="http://schemas.openxmlformats.org/officeDocument/2006/relationships/chart"/>
<Relationship Id="rId131" Target="../charts/chart130.xml" Type="http://schemas.openxmlformats.org/officeDocument/2006/relationships/chart"/>
<Relationship Id="rId132" Target="../charts/chart131.xml" Type="http://schemas.openxmlformats.org/officeDocument/2006/relationships/chart"/>
<Relationship Id="rId133" Target="../charts/chart132.xml" Type="http://schemas.openxmlformats.org/officeDocument/2006/relationships/chart"/>
<Relationship Id="rId134" Target="../charts/chart133.xml" Type="http://schemas.openxmlformats.org/officeDocument/2006/relationships/chart"/>
<Relationship Id="rId135" Target="../charts/chart134.xml" Type="http://schemas.openxmlformats.org/officeDocument/2006/relationships/chart"/>
<Relationship Id="rId136" Target="../charts/chart135.xml" Type="http://schemas.openxmlformats.org/officeDocument/2006/relationships/chart"/>
<Relationship Id="rId137" Target="../charts/chart136.xml" Type="http://schemas.openxmlformats.org/officeDocument/2006/relationships/chart"/>
<Relationship Id="rId138" Target="../charts/chart137.xml" Type="http://schemas.openxmlformats.org/officeDocument/2006/relationships/chart"/>
<Relationship Id="rId139" Target="../charts/chart138.xml" Type="http://schemas.openxmlformats.org/officeDocument/2006/relationships/chart"/>
<Relationship Id="rId14" Target="../charts/chart14.xml" Type="http://schemas.openxmlformats.org/officeDocument/2006/relationships/chart"/>
<Relationship Id="rId140" Target="../charts/chart139.xml" Type="http://schemas.openxmlformats.org/officeDocument/2006/relationships/chart"/>
<Relationship Id="rId141" Target="../charts/chart140.xml" Type="http://schemas.openxmlformats.org/officeDocument/2006/relationships/chart"/>
<Relationship Id="rId142" Target="../charts/chart141.xml" Type="http://schemas.openxmlformats.org/officeDocument/2006/relationships/chart"/>
<Relationship Id="rId143" Target="../charts/chart142.xml" Type="http://schemas.openxmlformats.org/officeDocument/2006/relationships/chart"/>
<Relationship Id="rId144" Target="../charts/chart143.xml" Type="http://schemas.openxmlformats.org/officeDocument/2006/relationships/chart"/>
<Relationship Id="rId145" Target="../charts/chart144.xml" Type="http://schemas.openxmlformats.org/officeDocument/2006/relationships/chart"/>
<Relationship Id="rId146" Target="../charts/chart145.xml" Type="http://schemas.openxmlformats.org/officeDocument/2006/relationships/chart"/>
<Relationship Id="rId147" Target="../charts/chart146.xml" Type="http://schemas.openxmlformats.org/officeDocument/2006/relationships/chart"/>
<Relationship Id="rId148" Target="../charts/chart147.xml" Type="http://schemas.openxmlformats.org/officeDocument/2006/relationships/chart"/>
<Relationship Id="rId149" Target="../charts/chart148.xml" Type="http://schemas.openxmlformats.org/officeDocument/2006/relationships/chart"/>
<Relationship Id="rId15" Target="../charts/chart15.xml" Type="http://schemas.openxmlformats.org/officeDocument/2006/relationships/chart"/>
<Relationship Id="rId150" Target="../charts/chart149.xml" Type="http://schemas.openxmlformats.org/officeDocument/2006/relationships/chart"/>
<Relationship Id="rId151" Target="../charts/chart150.xml" Type="http://schemas.openxmlformats.org/officeDocument/2006/relationships/chart"/>
<Relationship Id="rId152" Target="../charts/chart151.xml" Type="http://schemas.openxmlformats.org/officeDocument/2006/relationships/chart"/>
<Relationship Id="rId153" Target="../charts/chart152.xml" Type="http://schemas.openxmlformats.org/officeDocument/2006/relationships/chart"/>
<Relationship Id="rId154" Target="../charts/chart153.xml" Type="http://schemas.openxmlformats.org/officeDocument/2006/relationships/chart"/>
<Relationship Id="rId155" Target="../charts/chart154.xml" Type="http://schemas.openxmlformats.org/officeDocument/2006/relationships/chart"/>
<Relationship Id="rId156" Target="../charts/chart155.xml" Type="http://schemas.openxmlformats.org/officeDocument/2006/relationships/chart"/>
<Relationship Id="rId157" Target="../charts/chart156.xml" Type="http://schemas.openxmlformats.org/officeDocument/2006/relationships/chart"/>
<Relationship Id="rId158" Target="../charts/chart157.xml" Type="http://schemas.openxmlformats.org/officeDocument/2006/relationships/chart"/>
<Relationship Id="rId159" Target="../charts/chart158.xml" Type="http://schemas.openxmlformats.org/officeDocument/2006/relationships/chart"/>
<Relationship Id="rId16" Target="../charts/chart16.xml" Type="http://schemas.openxmlformats.org/officeDocument/2006/relationships/chart"/>
<Relationship Id="rId160" Target="../charts/chart159.xml" Type="http://schemas.openxmlformats.org/officeDocument/2006/relationships/chart"/>
<Relationship Id="rId161" Target="../charts/chart160.xml" Type="http://schemas.openxmlformats.org/officeDocument/2006/relationships/chart"/>
<Relationship Id="rId162" Target="../charts/chart161.xml" Type="http://schemas.openxmlformats.org/officeDocument/2006/relationships/chart"/>
<Relationship Id="rId163" Target="../charts/chart162.xml" Type="http://schemas.openxmlformats.org/officeDocument/2006/relationships/chart"/>
<Relationship Id="rId164" Target="../charts/chart163.xml" Type="http://schemas.openxmlformats.org/officeDocument/2006/relationships/chart"/>
<Relationship Id="rId165" Target="../charts/chart164.xml" Type="http://schemas.openxmlformats.org/officeDocument/2006/relationships/chart"/>
<Relationship Id="rId166" Target="../charts/chart165.xml" Type="http://schemas.openxmlformats.org/officeDocument/2006/relationships/chart"/>
<Relationship Id="rId167" Target="../charts/chart166.xml" Type="http://schemas.openxmlformats.org/officeDocument/2006/relationships/chart"/>
<Relationship Id="rId168" Target="../charts/chart167.xml" Type="http://schemas.openxmlformats.org/officeDocument/2006/relationships/chart"/>
<Relationship Id="rId169" Target="../charts/chart168.xml" Type="http://schemas.openxmlformats.org/officeDocument/2006/relationships/chart"/>
<Relationship Id="rId17" Target="../charts/chart17.xml" Type="http://schemas.openxmlformats.org/officeDocument/2006/relationships/chart"/>
<Relationship Id="rId170" Target="../charts/chart169.xml" Type="http://schemas.openxmlformats.org/officeDocument/2006/relationships/chart"/>
<Relationship Id="rId171" Target="../charts/chart170.xml" Type="http://schemas.openxmlformats.org/officeDocument/2006/relationships/chart"/>
<Relationship Id="rId172" Target="../charts/chart171.xml" Type="http://schemas.openxmlformats.org/officeDocument/2006/relationships/chart"/>
<Relationship Id="rId173" Target="../charts/chart172.xml" Type="http://schemas.openxmlformats.org/officeDocument/2006/relationships/chart"/>
<Relationship Id="rId174" Target="../charts/chart173.xml" Type="http://schemas.openxmlformats.org/officeDocument/2006/relationships/chart"/>
<Relationship Id="rId175" Target="../charts/chart174.xml" Type="http://schemas.openxmlformats.org/officeDocument/2006/relationships/chart"/>
<Relationship Id="rId176" Target="../charts/chart175.xml" Type="http://schemas.openxmlformats.org/officeDocument/2006/relationships/chart"/>
<Relationship Id="rId177" Target="../charts/chart176.xml" Type="http://schemas.openxmlformats.org/officeDocument/2006/relationships/chart"/>
<Relationship Id="rId178" Target="../charts/chart177.xml" Type="http://schemas.openxmlformats.org/officeDocument/2006/relationships/chart"/>
<Relationship Id="rId179" Target="../charts/chart178.xml" Type="http://schemas.openxmlformats.org/officeDocument/2006/relationships/chart"/>
<Relationship Id="rId18" Target="../charts/chart18.xml" Type="http://schemas.openxmlformats.org/officeDocument/2006/relationships/chart"/>
<Relationship Id="rId180" Target="../charts/chart179.xml" Type="http://schemas.openxmlformats.org/officeDocument/2006/relationships/chart"/>
<Relationship Id="rId181" Target="../charts/chart180.xml" Type="http://schemas.openxmlformats.org/officeDocument/2006/relationships/chart"/>
<Relationship Id="rId182" Target="../charts/chart181.xml" Type="http://schemas.openxmlformats.org/officeDocument/2006/relationships/chart"/>
<Relationship Id="rId183" Target="../charts/chart182.xml" Type="http://schemas.openxmlformats.org/officeDocument/2006/relationships/chart"/>
<Relationship Id="rId184" Target="../charts/chart183.xml" Type="http://schemas.openxmlformats.org/officeDocument/2006/relationships/chart"/>
<Relationship Id="rId185" Target="../charts/chart184.xml" Type="http://schemas.openxmlformats.org/officeDocument/2006/relationships/chart"/>
<Relationship Id="rId186" Target="../charts/chart185.xml" Type="http://schemas.openxmlformats.org/officeDocument/2006/relationships/chart"/>
<Relationship Id="rId187" Target="../charts/chart186.xml" Type="http://schemas.openxmlformats.org/officeDocument/2006/relationships/chart"/>
<Relationship Id="rId188" Target="../charts/chart187.xml" Type="http://schemas.openxmlformats.org/officeDocument/2006/relationships/chart"/>
<Relationship Id="rId189" Target="../charts/chart188.xml" Type="http://schemas.openxmlformats.org/officeDocument/2006/relationships/chart"/>
<Relationship Id="rId19" Target="../charts/chart19.xml" Type="http://schemas.openxmlformats.org/officeDocument/2006/relationships/chart"/>
<Relationship Id="rId190" Target="../charts/chart189.xml" Type="http://schemas.openxmlformats.org/officeDocument/2006/relationships/chart"/>
<Relationship Id="rId191" Target="../charts/chart190.xml" Type="http://schemas.openxmlformats.org/officeDocument/2006/relationships/chart"/>
<Relationship Id="rId192" Target="../charts/chart191.xml" Type="http://schemas.openxmlformats.org/officeDocument/2006/relationships/chart"/>
<Relationship Id="rId193" Target="../charts/chart192.xml" Type="http://schemas.openxmlformats.org/officeDocument/2006/relationships/chart"/>
<Relationship Id="rId194" Target="../charts/chart193.xml" Type="http://schemas.openxmlformats.org/officeDocument/2006/relationships/chart"/>
<Relationship Id="rId195" Target="../charts/chart194.xml" Type="http://schemas.openxmlformats.org/officeDocument/2006/relationships/chart"/>
<Relationship Id="rId196" Target="../charts/chart195.xml" Type="http://schemas.openxmlformats.org/officeDocument/2006/relationships/chart"/>
<Relationship Id="rId197" Target="../charts/chart196.xml" Type="http://schemas.openxmlformats.org/officeDocument/2006/relationships/chart"/>
<Relationship Id="rId198" Target="../charts/chart197.xml" Type="http://schemas.openxmlformats.org/officeDocument/2006/relationships/chart"/>
<Relationship Id="rId199" Target="../charts/chart198.xml" Type="http://schemas.openxmlformats.org/officeDocument/2006/relationships/chart"/>
<Relationship Id="rId2" Target="../charts/chart2.xml" Type="http://schemas.openxmlformats.org/officeDocument/2006/relationships/chart"/>
<Relationship Id="rId20" Target="../charts/chart20.xml" Type="http://schemas.openxmlformats.org/officeDocument/2006/relationships/chart"/>
<Relationship Id="rId200" Target="../charts/chart199.xml" Type="http://schemas.openxmlformats.org/officeDocument/2006/relationships/chart"/>
<Relationship Id="rId201" Target="../charts/chart200.xml" Type="http://schemas.openxmlformats.org/officeDocument/2006/relationships/chart"/>
<Relationship Id="rId202" Target="../charts/chart201.xml" Type="http://schemas.openxmlformats.org/officeDocument/2006/relationships/chart"/>
<Relationship Id="rId203" Target="../charts/chart202.xml" Type="http://schemas.openxmlformats.org/officeDocument/2006/relationships/chart"/>
<Relationship Id="rId204" Target="../charts/chart203.xml" Type="http://schemas.openxmlformats.org/officeDocument/2006/relationships/chart"/>
<Relationship Id="rId205" Target="../charts/chart204.xml" Type="http://schemas.openxmlformats.org/officeDocument/2006/relationships/chart"/>
<Relationship Id="rId206" Target="../charts/chart205.xml" Type="http://schemas.openxmlformats.org/officeDocument/2006/relationships/chart"/>
<Relationship Id="rId207" Target="../charts/chart206.xml" Type="http://schemas.openxmlformats.org/officeDocument/2006/relationships/chart"/>
<Relationship Id="rId208" Target="../charts/chart207.xml" Type="http://schemas.openxmlformats.org/officeDocument/2006/relationships/chart"/>
<Relationship Id="rId209" Target="../charts/chart208.xml" Type="http://schemas.openxmlformats.org/officeDocument/2006/relationships/chart"/>
<Relationship Id="rId21" Target="../charts/chart21.xml" Type="http://schemas.openxmlformats.org/officeDocument/2006/relationships/chart"/>
<Relationship Id="rId210" Target="../charts/chart209.xml" Type="http://schemas.openxmlformats.org/officeDocument/2006/relationships/chart"/>
<Relationship Id="rId211" Target="../charts/chart210.xml" Type="http://schemas.openxmlformats.org/officeDocument/2006/relationships/chart"/>
<Relationship Id="rId212" Target="../charts/chart211.xml" Type="http://schemas.openxmlformats.org/officeDocument/2006/relationships/chart"/>
<Relationship Id="rId213" Target="../charts/chart212.xml" Type="http://schemas.openxmlformats.org/officeDocument/2006/relationships/chart"/>
<Relationship Id="rId22" Target="../charts/chart22.xml" Type="http://schemas.openxmlformats.org/officeDocument/2006/relationships/chart"/>
<Relationship Id="rId23" Target="../charts/chart23.xml" Type="http://schemas.openxmlformats.org/officeDocument/2006/relationships/chart"/>
<Relationship Id="rId24" Target="../charts/chart24.xml" Type="http://schemas.openxmlformats.org/officeDocument/2006/relationships/chart"/>
<Relationship Id="rId25" Target="../charts/chart25.xml" Type="http://schemas.openxmlformats.org/officeDocument/2006/relationships/chart"/>
<Relationship Id="rId26" Target="../charts/chart26.xml" Type="http://schemas.openxmlformats.org/officeDocument/2006/relationships/chart"/>
<Relationship Id="rId27" Target="../charts/chart27.xml" Type="http://schemas.openxmlformats.org/officeDocument/2006/relationships/chart"/>
<Relationship Id="rId28" Target="../charts/chart28.xml" Type="http://schemas.openxmlformats.org/officeDocument/2006/relationships/chart"/>
<Relationship Id="rId29" Target="../charts/chart29.xml" Type="http://schemas.openxmlformats.org/officeDocument/2006/relationships/chart"/>
<Relationship Id="rId3" Target="../charts/chart3.xml" Type="http://schemas.openxmlformats.org/officeDocument/2006/relationships/chart"/>
<Relationship Id="rId30" Target="../charts/chart30.xml" Type="http://schemas.openxmlformats.org/officeDocument/2006/relationships/chart"/>
<Relationship Id="rId31" Target="../charts/chart31.xml" Type="http://schemas.openxmlformats.org/officeDocument/2006/relationships/chart"/>
<Relationship Id="rId32" Target="../charts/chart32.xml" Type="http://schemas.openxmlformats.org/officeDocument/2006/relationships/chart"/>
<Relationship Id="rId33" Target="../charts/chart33.xml" Type="http://schemas.openxmlformats.org/officeDocument/2006/relationships/chart"/>
<Relationship Id="rId34" Target="../charts/chart34.xml" Type="http://schemas.openxmlformats.org/officeDocument/2006/relationships/chart"/>
<Relationship Id="rId35" Target="../charts/chart35.xml" Type="http://schemas.openxmlformats.org/officeDocument/2006/relationships/chart"/>
<Relationship Id="rId36" Target="../charts/chart36.xml" Type="http://schemas.openxmlformats.org/officeDocument/2006/relationships/chart"/>
<Relationship Id="rId37" Target="../charts/chart37.xml" Type="http://schemas.openxmlformats.org/officeDocument/2006/relationships/chart"/>
<Relationship Id="rId38" Target="../charts/chart38.xml" Type="http://schemas.openxmlformats.org/officeDocument/2006/relationships/chart"/>
<Relationship Id="rId39" Target="../charts/chart39.xml" Type="http://schemas.openxmlformats.org/officeDocument/2006/relationships/chart"/>
<Relationship Id="rId4" Target="../charts/chart4.xml" Type="http://schemas.openxmlformats.org/officeDocument/2006/relationships/chart"/>
<Relationship Id="rId40" Target="../charts/chart40.xml" Type="http://schemas.openxmlformats.org/officeDocument/2006/relationships/chart"/>
<Relationship Id="rId41" Target="../charts/chart41.xml" Type="http://schemas.openxmlformats.org/officeDocument/2006/relationships/chart"/>
<Relationship Id="rId42" Target="../charts/chart42.xml" Type="http://schemas.openxmlformats.org/officeDocument/2006/relationships/chart"/>
<Relationship Id="rId43" Target="../charts/chart43.xml" Type="http://schemas.openxmlformats.org/officeDocument/2006/relationships/chart"/>
<Relationship Id="rId44" Target="../charts/chart44.xml" Type="http://schemas.openxmlformats.org/officeDocument/2006/relationships/chart"/>
<Relationship Id="rId45" Target="../charts/chart45.xml" Type="http://schemas.openxmlformats.org/officeDocument/2006/relationships/chart"/>
<Relationship Id="rId46" Target="../charts/chart46.xml" Type="http://schemas.openxmlformats.org/officeDocument/2006/relationships/chart"/>
<Relationship Id="rId47" Target="../charts/chart47.xml" Type="http://schemas.openxmlformats.org/officeDocument/2006/relationships/chart"/>
<Relationship Id="rId48" Target="../charts/chart48.xml" Type="http://schemas.openxmlformats.org/officeDocument/2006/relationships/chart"/>
<Relationship Id="rId49" Target="../charts/chart49.xml" Type="http://schemas.openxmlformats.org/officeDocument/2006/relationships/chart"/>
<Relationship Id="rId5" Target="../charts/chart5.xml" Type="http://schemas.openxmlformats.org/officeDocument/2006/relationships/chart"/>
<Relationship Id="rId50" Target="../charts/chart50.xml" Type="http://schemas.openxmlformats.org/officeDocument/2006/relationships/chart"/>
<Relationship Id="rId51" Target="../charts/chart51.xml" Type="http://schemas.openxmlformats.org/officeDocument/2006/relationships/chart"/>
<Relationship Id="rId52" Target="../charts/chart52.xml" Type="http://schemas.openxmlformats.org/officeDocument/2006/relationships/chart"/>
<Relationship Id="rId53" Target="../charts/chart53.xml" Type="http://schemas.openxmlformats.org/officeDocument/2006/relationships/chart"/>
<Relationship Id="rId54" Target="../charts/chart54.xml" Type="http://schemas.openxmlformats.org/officeDocument/2006/relationships/chart"/>
<Relationship Id="rId55" Target="../charts/chart55.xml" Type="http://schemas.openxmlformats.org/officeDocument/2006/relationships/chart"/>
<Relationship Id="rId56" Target="../charts/chart56.xml" Type="http://schemas.openxmlformats.org/officeDocument/2006/relationships/chart"/>
<Relationship Id="rId57" Target="../charts/chart57.xml" Type="http://schemas.openxmlformats.org/officeDocument/2006/relationships/chart"/>
<Relationship Id="rId58" Target="../charts/chart58.xml" Type="http://schemas.openxmlformats.org/officeDocument/2006/relationships/chart"/>
<Relationship Id="rId59" Target="../charts/chart59.xml" Type="http://schemas.openxmlformats.org/officeDocument/2006/relationships/chart"/>
<Relationship Id="rId6" Target="../charts/chart6.xml" Type="http://schemas.openxmlformats.org/officeDocument/2006/relationships/chart"/>
<Relationship Id="rId60" Target="../charts/chart60.xml" Type="http://schemas.openxmlformats.org/officeDocument/2006/relationships/chart"/>
<Relationship Id="rId61" Target="../charts/chart61.xml" Type="http://schemas.openxmlformats.org/officeDocument/2006/relationships/chart"/>
<Relationship Id="rId62" Target="../charts/chart62.xml" Type="http://schemas.openxmlformats.org/officeDocument/2006/relationships/chart"/>
<Relationship Id="rId63" Target="../charts/chart63.xml" Type="http://schemas.openxmlformats.org/officeDocument/2006/relationships/chart"/>
<Relationship Id="rId64" Target="../charts/chart64.xml" Type="http://schemas.openxmlformats.org/officeDocument/2006/relationships/chart"/>
<Relationship Id="rId65" Target="../charts/chart65.xml" Type="http://schemas.openxmlformats.org/officeDocument/2006/relationships/chart"/>
<Relationship Id="rId66" Target="../charts/chart66.xml" Type="http://schemas.openxmlformats.org/officeDocument/2006/relationships/chart"/>
<Relationship Id="rId67" Target="../charts/chart67.xml" Type="http://schemas.openxmlformats.org/officeDocument/2006/relationships/chart"/>
<Relationship Id="rId68" Target="../charts/chart68.xml" Type="http://schemas.openxmlformats.org/officeDocument/2006/relationships/chart"/>
<Relationship Id="rId69" Target="../charts/chart69.xml" Type="http://schemas.openxmlformats.org/officeDocument/2006/relationships/chart"/>
<Relationship Id="rId7" Target="../charts/chart7.xml" Type="http://schemas.openxmlformats.org/officeDocument/2006/relationships/chart"/>
<Relationship Id="rId70" Target="../charts/chart70.xml" Type="http://schemas.openxmlformats.org/officeDocument/2006/relationships/chart"/>
<Relationship Id="rId71" Target="../charts/chart71.xml" Type="http://schemas.openxmlformats.org/officeDocument/2006/relationships/chart"/>
<Relationship Id="rId72" Target="../charts/chart72.xml" Type="http://schemas.openxmlformats.org/officeDocument/2006/relationships/chart"/>
<Relationship Id="rId73" Target="../charts/chart73.xml" Type="http://schemas.openxmlformats.org/officeDocument/2006/relationships/chart"/>
<Relationship Id="rId74" Target="../charts/chart74.xml" Type="http://schemas.openxmlformats.org/officeDocument/2006/relationships/chart"/>
<Relationship Id="rId75" Target="../charts/chart75.xml" Type="http://schemas.openxmlformats.org/officeDocument/2006/relationships/chart"/>
<Relationship Id="rId76" Target="../charts/chart76.xml" Type="http://schemas.openxmlformats.org/officeDocument/2006/relationships/chart"/>
<Relationship Id="rId77" Target="../charts/chart77.xml" Type="http://schemas.openxmlformats.org/officeDocument/2006/relationships/chart"/>
<Relationship Id="rId78" Target="../charts/chart78.xml" Type="http://schemas.openxmlformats.org/officeDocument/2006/relationships/chart"/>
<Relationship Id="rId79" Target="../charts/chart79.xml" Type="http://schemas.openxmlformats.org/officeDocument/2006/relationships/chart"/>
<Relationship Id="rId8" Target="../charts/chart8.xml" Type="http://schemas.openxmlformats.org/officeDocument/2006/relationships/chart"/>
<Relationship Id="rId80" Target="../charts/chart80.xml" Type="http://schemas.openxmlformats.org/officeDocument/2006/relationships/chart"/>
<Relationship Id="rId81" Target="../charts/chart81.xml" Type="http://schemas.openxmlformats.org/officeDocument/2006/relationships/chart"/>
<Relationship Id="rId82" Target="../charts/chart82.xml" Type="http://schemas.openxmlformats.org/officeDocument/2006/relationships/chart"/>
<Relationship Id="rId83" Target="../charts/chart83.xml" Type="http://schemas.openxmlformats.org/officeDocument/2006/relationships/chart"/>
<Relationship Id="rId84" Target="../charts/chart84.xml" Type="http://schemas.openxmlformats.org/officeDocument/2006/relationships/chart"/>
<Relationship Id="rId85" Target="../charts/chart85.xml" Type="http://schemas.openxmlformats.org/officeDocument/2006/relationships/chart"/>
<Relationship Id="rId86" Target="../charts/chart86.xml" Type="http://schemas.openxmlformats.org/officeDocument/2006/relationships/chart"/>
<Relationship Id="rId87" Target="../charts/chart87.xml" Type="http://schemas.openxmlformats.org/officeDocument/2006/relationships/chart"/>
<Relationship Id="rId88" Target="../charts/chart88.xml" Type="http://schemas.openxmlformats.org/officeDocument/2006/relationships/chart"/>
<Relationship Id="rId89" Target="../charts/chart89.xml" Type="http://schemas.openxmlformats.org/officeDocument/2006/relationships/chart"/>
<Relationship Id="rId9" Target="../charts/chart9.xml" Type="http://schemas.openxmlformats.org/officeDocument/2006/relationships/chart"/>
<Relationship Id="rId90" Target="../charts/chart90.xml" Type="http://schemas.openxmlformats.org/officeDocument/2006/relationships/chart"/>
<Relationship Id="rId91" Target="../charts/chart91.xml" Type="http://schemas.openxmlformats.org/officeDocument/2006/relationships/chart"/>
<Relationship Id="rId92" Target="../charts/chart92.xml" Type="http://schemas.openxmlformats.org/officeDocument/2006/relationships/chart"/>
<Relationship Id="rId93" Target="../charts/chart93.xml" Type="http://schemas.openxmlformats.org/officeDocument/2006/relationships/chart"/>
<Relationship Id="rId94" Target="../charts/chart94.xml" Type="http://schemas.openxmlformats.org/officeDocument/2006/relationships/chart"/>
<Relationship Id="rId95" Target="../charts/chart95.xml" Type="http://schemas.openxmlformats.org/officeDocument/2006/relationships/chart"/>
<Relationship Id="rId96" Target="../charts/chart96.xml" Type="http://schemas.openxmlformats.org/officeDocument/2006/relationships/chart"/>
<Relationship Id="rId97" Target="../charts/chart97.xml" Type="http://schemas.openxmlformats.org/officeDocument/2006/relationships/chart"/>
<Relationship Id="rId98" Target="../charts/chart98.xml" Type="http://schemas.openxmlformats.org/officeDocument/2006/relationships/chart"/>
<Relationship Id="rId99" Target="../charts/chart99.xml" Type="http://schemas.openxmlformats.org/officeDocument/2006/relationships/chart"/>
</Relationships>

</file>

<file path=xl/drawings/_rels/drawing19.xml.rels><?xml version="1.0" encoding="UTF-8" standalone="yes"?>
<Relationships xmlns="http://schemas.openxmlformats.org/package/2006/relationships">
<Relationship Id="rId1" Target="#Index!A1" Type="http://schemas.openxmlformats.org/officeDocument/2006/relationships/hyperlink"/>
</Relationships>

</file>

<file path=xl/drawings/_rels/drawing20.xml.rels><?xml version="1.0" encoding="UTF-8" standalone="yes"?>
<Relationships xmlns="http://schemas.openxmlformats.org/package/2006/relationships">
<Relationship Id="rId1" Target="#Index!A1" Type="http://schemas.openxmlformats.org/officeDocument/2006/relationships/hyperlink"/>
</Relationships>

</file>

<file path=xl/drawings/_rels/drawing21.xml.rels><?xml version="1.0" encoding="UTF-8" standalone="yes"?>
<Relationships xmlns="http://schemas.openxmlformats.org/package/2006/relationships">
<Relationship Id="rId1" Target="#Index!A1" Type="http://schemas.openxmlformats.org/officeDocument/2006/relationships/hyperlink"/>
<Relationship Id="rId2" Target="../media/image6.jpeg" Type="http://schemas.openxmlformats.org/officeDocument/2006/relationships/image"/>
<Relationship Id="rId3" Target="cid:image001.jpg@01D29CE5.012C4CD0" TargetMode="External" Type="http://schemas.openxmlformats.org/officeDocument/2006/relationships/image"/>
</Relationships>

</file>

<file path=xl/drawings/_rels/drawing22.xml.rels><?xml version="1.0" encoding="UTF-8" standalone="yes"?>
<Relationships xmlns="http://schemas.openxmlformats.org/package/2006/relationships">
<Relationship Id="rId1" Target="#Index!A1" Type="http://schemas.openxmlformats.org/officeDocument/2006/relationships/hyperlink"/>
</Relationships>

</file>

<file path=xl/drawings/_rels/drawing23.xml.rels><?xml version="1.0" encoding="UTF-8" standalone="yes"?>
<Relationships xmlns="http://schemas.openxmlformats.org/package/2006/relationships">
<Relationship Id="rId1" Target="#Index!A1" Type="http://schemas.openxmlformats.org/officeDocument/2006/relationships/hyperlink"/>
</Relationships>

</file>

<file path=xl/drawings/_rels/drawing24.xml.rels><?xml version="1.0" encoding="UTF-8" standalone="yes"?>
<Relationships xmlns="http://schemas.openxmlformats.org/package/2006/relationships">
<Relationship Id="rId1" Target="#Index!A1" Type="http://schemas.openxmlformats.org/officeDocument/2006/relationships/hyperlink"/>
</Relationships>

</file>

<file path=xl/drawings/_rels/drawing25.xml.rels><?xml version="1.0" encoding="UTF-8" standalone="yes"?>
<Relationships xmlns="http://schemas.openxmlformats.org/package/2006/relationships">
<Relationship Id="rId1" Target="#Index!A1" Type="http://schemas.openxmlformats.org/officeDocument/2006/relationships/hyperlink"/>
</Relationships>

</file>

<file path=xl/drawings/_rels/drawing26.xml.rels><?xml version="1.0" encoding="UTF-8" standalone="yes"?>
<Relationships xmlns="http://schemas.openxmlformats.org/package/2006/relationships">
<Relationship Id="rId1" Target="#Index!A1" Type="http://schemas.openxmlformats.org/officeDocument/2006/relationships/hyperlink"/>
</Relationships>

</file>

<file path=xl/drawings/_rels/drawing27.xml.rels><?xml version="1.0" encoding="UTF-8" standalone="yes"?>
<Relationships xmlns="http://schemas.openxmlformats.org/package/2006/relationships">
<Relationship Id="rId1" Target="#Index!A1" Type="http://schemas.openxmlformats.org/officeDocument/2006/relationships/hyperlink"/>
</Relationships>

</file>

<file path=xl/drawings/_rels/drawing28.xml.rels><?xml version="1.0" encoding="UTF-8" standalone="yes"?>
<Relationships xmlns="http://schemas.openxmlformats.org/package/2006/relationships">
<Relationship Id="rId1" Target="#Index!A1" Type="http://schemas.openxmlformats.org/officeDocument/2006/relationships/hyperlink"/>
</Relationships>

</file>

<file path=xl/drawings/_rels/drawing29.xml.rels><?xml version="1.0" encoding="UTF-8" standalone="yes"?>
<Relationships xmlns="http://schemas.openxmlformats.org/package/2006/relationships">
<Relationship Id="rId1" Target="#Index!A1" Type="http://schemas.openxmlformats.org/officeDocument/2006/relationships/hyperlink"/>
</Relationships>

</file>

<file path=xl/drawings/_rels/drawing30.xml.rels><?xml version="1.0" encoding="UTF-8" standalone="yes"?>
<Relationships xmlns="http://schemas.openxmlformats.org/package/2006/relationships">
<Relationship Id="rId1" Target="#Index!A1" Type="http://schemas.openxmlformats.org/officeDocument/2006/relationships/hyperlink"/>
</Relationships>

</file>

<file path=xl/drawings/_rels/drawing31.xml.rels><?xml version="1.0" encoding="UTF-8" standalone="yes"?>
<Relationships xmlns="http://schemas.openxmlformats.org/package/2006/relationships">
<Relationship Id="rId1" Target="#Index!A1" Type="http://schemas.openxmlformats.org/officeDocument/2006/relationships/hyperlink"/>
</Relationships>

</file>

<file path=xl/drawings/_rels/drawing32.xml.rels><?xml version="1.0" encoding="UTF-8" standalone="yes"?>
<Relationships xmlns="http://schemas.openxmlformats.org/package/2006/relationships">
<Relationship Id="rId1" Target="#Index!A1" Type="http://schemas.openxmlformats.org/officeDocument/2006/relationships/hyperlink"/>
</Relationships>

</file>

<file path=xl/drawings/_rels/drawing33.xml.rels><?xml version="1.0" encoding="UTF-8" standalone="yes"?>
<Relationships xmlns="http://schemas.openxmlformats.org/package/2006/relationships">
<Relationship Id="rId1" Target="#Index!A1" Type="http://schemas.openxmlformats.org/officeDocument/2006/relationships/hyperlink"/>
<Relationship Id="rId2" Target="../media/image7.png" Type="http://schemas.openxmlformats.org/officeDocument/2006/relationships/image"/>
<Relationship Id="rId3" Target="../media/image8.png" Type="http://schemas.openxmlformats.org/officeDocument/2006/relationships/image"/>
</Relationships>

</file>

<file path=xl/drawings/_rels/drawing34.xml.rels><?xml version="1.0" encoding="UTF-8" standalone="yes"?>
<Relationships xmlns="http://schemas.openxmlformats.org/package/2006/relationships">
<Relationship Id="rId1" Target="#Index!A1" Type="http://schemas.openxmlformats.org/officeDocument/2006/relationships/hyperlink"/>
</Relationships>

</file>

<file path=xl/drawings/_rels/drawing35.xml.rels><?xml version="1.0" encoding="UTF-8" standalone="yes"?>
<Relationships xmlns="http://schemas.openxmlformats.org/package/2006/relationships">
<Relationship Id="rId1" Target="../media/image9.png" Type="http://schemas.openxmlformats.org/officeDocument/2006/relationships/image"/>
<Relationship Id="rId2" Target="../media/image10.png" Type="http://schemas.openxmlformats.org/officeDocument/2006/relationships/image"/>
<Relationship Id="rId3" Target="../media/image11.png" Type="http://schemas.openxmlformats.org/officeDocument/2006/relationships/image"/>
<Relationship Id="rId4" Target="../media/image12.png" Type="http://schemas.openxmlformats.org/officeDocument/2006/relationships/image"/>
<Relationship Id="rId5" Target="../media/image13.png" Type="http://schemas.openxmlformats.org/officeDocument/2006/relationships/image"/>
</Relationships>

</file>

<file path=xl/drawings/_rels/drawing36.xml.rels><?xml version="1.0" encoding="UTF-8" standalone="yes"?>
<Relationships xmlns="http://schemas.openxmlformats.org/package/2006/relationships">
<Relationship Id="rId1" Target="#Index!A1" Type="http://schemas.openxmlformats.org/officeDocument/2006/relationships/hyperlink"/>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172</xdr:row>
      <xdr:rowOff>0</xdr:rowOff>
    </xdr:from>
    <xdr:to>
      <xdr:col>7</xdr:col>
      <xdr:colOff>390525</xdr:colOff>
      <xdr:row>195</xdr:row>
      <xdr:rowOff>104775</xdr:rowOff>
    </xdr:to>
    <xdr:pic>
      <xdr:nvPicPr>
        <xdr:cNvPr id="26783745" name="Picture 1" descr="C:\Users\mateusb\AppData\Local\Temp\MercuryPriceRatingHistoryChart\SMTO3.SA_2017_10_09_19_32_05.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647950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11</xdr:row>
          <xdr:rowOff>152400</xdr:rowOff>
        </xdr:from>
        <xdr:to>
          <xdr:col>1</xdr:col>
          <xdr:colOff>2819400</xdr:colOff>
          <xdr:row>14</xdr:row>
          <xdr:rowOff>152400</xdr:rowOff>
        </xdr:to>
        <xdr:sp macro="" textlink="">
          <xdr:nvSpPr>
            <xdr:cNvPr id="26784769" name="Button 1" hidden="1">
              <a:extLst>
                <a:ext uri="{63B3BB69-23CF-44E3-9099-C40C66FF867C}">
                  <a14:compatExt spid="_x0000_s26784769"/>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Apply Circular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3067050</xdr:colOff>
          <xdr:row>11</xdr:row>
          <xdr:rowOff>152400</xdr:rowOff>
        </xdr:from>
        <xdr:to>
          <xdr:col>2</xdr:col>
          <xdr:colOff>0</xdr:colOff>
          <xdr:row>14</xdr:row>
          <xdr:rowOff>152400</xdr:rowOff>
        </xdr:to>
        <xdr:sp macro="" textlink="">
          <xdr:nvSpPr>
            <xdr:cNvPr id="26784770" name="Button 2" hidden="1">
              <a:extLst>
                <a:ext uri="{63B3BB69-23CF-44E3-9099-C40C66FF867C}">
                  <a14:compatExt spid="_x0000_s26784770"/>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Just Display Sheets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38100</xdr:colOff>
      <xdr:row>24</xdr:row>
      <xdr:rowOff>5602</xdr:rowOff>
    </xdr:from>
    <xdr:to>
      <xdr:col>10</xdr:col>
      <xdr:colOff>1213340</xdr:colOff>
      <xdr:row>33</xdr:row>
      <xdr:rowOff>84717</xdr:rowOff>
    </xdr:to>
    <xdr:grpSp>
      <xdr:nvGrpSpPr>
        <xdr:cNvPr id="2" name="Group 1">
          <a:hlinkClick xmlns:r="http://schemas.openxmlformats.org/officeDocument/2006/relationships" r:id="rId1"/>
        </xdr:cNvPr>
        <xdr:cNvGrpSpPr/>
      </xdr:nvGrpSpPr>
      <xdr:grpSpPr>
        <a:xfrm>
          <a:off x="1157288" y="4196602"/>
          <a:ext cx="8164208" cy="1579303"/>
          <a:chOff x="1371600" y="3748367"/>
          <a:chExt cx="8156505" cy="1491056"/>
        </a:xfrm>
      </xdr:grpSpPr>
      <xdr:sp macro="" textlink="">
        <xdr:nvSpPr>
          <xdr:cNvPr id="24" name="Rectangle 3">
            <a:hlinkClick xmlns:r="http://schemas.openxmlformats.org/officeDocument/2006/relationships" r:id="rId2"/>
          </xdr:cNvPr>
          <xdr:cNvSpPr>
            <a:spLocks noChangeArrowheads="1"/>
          </xdr:cNvSpPr>
        </xdr:nvSpPr>
        <xdr:spPr bwMode="auto">
          <a:xfrm>
            <a:off x="1371600" y="4131235"/>
            <a:ext cx="1243584" cy="320040"/>
          </a:xfrm>
          <a:prstGeom prst="roundRect">
            <a:avLst/>
          </a:prstGeom>
          <a:solidFill>
            <a:srgbClr val="00B050"/>
          </a:solidFill>
          <a:ln w="9525" algn="ctr">
            <a:noFill/>
            <a:miter lim="800000"/>
            <a:headEnd/>
            <a:tailEnd/>
          </a:ln>
          <a:effectLst/>
        </xdr:spPr>
        <xdr:txBody>
          <a:bodyPr vertOverflow="clip" wrap="square" lIns="27432" tIns="27432" rIns="27432" bIns="27432" anchor="ctr" upright="1"/>
          <a:lstStyle/>
          <a:p>
            <a:pPr algn="ctr" rtl="0">
              <a:defRPr sz="1000"/>
            </a:pPr>
            <a:r>
              <a:rPr lang="en-US" sz="1000" b="1" i="0" u="none" strike="noStrike" baseline="0">
                <a:solidFill>
                  <a:srgbClr val="FFFFFF"/>
                </a:solidFill>
                <a:latin typeface="Arial"/>
                <a:cs typeface="Arial"/>
              </a:rPr>
              <a:t>Graphic Overview</a:t>
            </a:r>
          </a:p>
        </xdr:txBody>
      </xdr:sp>
      <xdr:sp macro="" textlink="">
        <xdr:nvSpPr>
          <xdr:cNvPr id="25" name="Rectangle 4">
            <a:hlinkClick xmlns:r="http://schemas.openxmlformats.org/officeDocument/2006/relationships" r:id="rId3"/>
          </xdr:cNvPr>
          <xdr:cNvSpPr>
            <a:spLocks noChangeArrowheads="1"/>
          </xdr:cNvSpPr>
        </xdr:nvSpPr>
        <xdr:spPr bwMode="auto">
          <a:xfrm>
            <a:off x="1371600" y="4502897"/>
            <a:ext cx="1243584" cy="320040"/>
          </a:xfrm>
          <a:prstGeom prst="roundRect">
            <a:avLst/>
          </a:prstGeom>
          <a:solidFill>
            <a:srgbClr val="00B050"/>
          </a:solidFill>
          <a:ln w="9525" algn="ctr">
            <a:noFill/>
            <a:miter lim="800000"/>
            <a:headEnd/>
            <a:tailEnd/>
          </a:ln>
          <a:effectLst/>
        </xdr:spPr>
        <xdr:txBody>
          <a:bodyPr vertOverflow="clip" wrap="square" lIns="27432" tIns="27432" rIns="27432" bIns="27432" anchor="ctr" upright="1"/>
          <a:lstStyle/>
          <a:p>
            <a:pPr algn="ctr" rtl="0">
              <a:defRPr sz="1000"/>
            </a:pPr>
            <a:r>
              <a:rPr lang="en-US" sz="1000" b="1" i="0" u="none" strike="noStrike" baseline="0">
                <a:solidFill>
                  <a:srgbClr val="FFFFFF"/>
                </a:solidFill>
                <a:latin typeface="Arial"/>
                <a:cs typeface="Arial"/>
              </a:rPr>
              <a:t>Financials</a:t>
            </a:r>
          </a:p>
        </xdr:txBody>
      </xdr:sp>
      <xdr:sp macro="" textlink="">
        <xdr:nvSpPr>
          <xdr:cNvPr id="26" name="Rectangle 5">
            <a:hlinkClick xmlns:r="http://schemas.openxmlformats.org/officeDocument/2006/relationships" r:id="rId4"/>
          </xdr:cNvPr>
          <xdr:cNvSpPr>
            <a:spLocks noChangeArrowheads="1"/>
          </xdr:cNvSpPr>
        </xdr:nvSpPr>
        <xdr:spPr bwMode="auto">
          <a:xfrm>
            <a:off x="1371600" y="3759573"/>
            <a:ext cx="1243584" cy="320040"/>
          </a:xfrm>
          <a:prstGeom prst="roundRect">
            <a:avLst/>
          </a:prstGeom>
          <a:solidFill>
            <a:srgbClr val="00B050"/>
          </a:solidFill>
          <a:ln w="9525" algn="ctr">
            <a:noFill/>
            <a:miter lim="800000"/>
            <a:headEnd/>
            <a:tailEnd/>
          </a:ln>
          <a:effectLst/>
        </xdr:spPr>
        <xdr:txBody>
          <a:bodyPr vertOverflow="clip" wrap="square" lIns="27432" tIns="27432" rIns="27432" bIns="27432" anchor="ctr" upright="1"/>
          <a:lstStyle/>
          <a:p>
            <a:pPr algn="ctr" rtl="0">
              <a:defRPr sz="1000"/>
            </a:pPr>
            <a:r>
              <a:rPr lang="en-US" sz="1000" b="1" i="0" u="none" strike="noStrike" baseline="0">
                <a:solidFill>
                  <a:srgbClr val="FFFFFF"/>
                </a:solidFill>
                <a:latin typeface="Arial"/>
                <a:cs typeface="Arial"/>
              </a:rPr>
              <a:t>Summary</a:t>
            </a:r>
          </a:p>
        </xdr:txBody>
      </xdr:sp>
      <xdr:sp macro="" textlink="">
        <xdr:nvSpPr>
          <xdr:cNvPr id="27" name="Rectangle 6">
            <a:hlinkClick xmlns:r="http://schemas.openxmlformats.org/officeDocument/2006/relationships" r:id="rId5"/>
          </xdr:cNvPr>
          <xdr:cNvSpPr>
            <a:spLocks noChangeArrowheads="1"/>
          </xdr:cNvSpPr>
        </xdr:nvSpPr>
        <xdr:spPr bwMode="auto">
          <a:xfrm>
            <a:off x="1371600" y="4874559"/>
            <a:ext cx="1243584" cy="320040"/>
          </a:xfrm>
          <a:prstGeom prst="roundRect">
            <a:avLst/>
          </a:prstGeom>
          <a:solidFill>
            <a:srgbClr val="00B050"/>
          </a:solidFill>
          <a:ln w="9525" algn="ctr">
            <a:noFill/>
            <a:miter lim="800000"/>
            <a:headEnd/>
            <a:tailEnd/>
          </a:ln>
          <a:effectLst/>
        </xdr:spPr>
        <xdr:txBody>
          <a:bodyPr vertOverflow="clip" wrap="square" lIns="27432" tIns="27432" rIns="27432" bIns="27432" anchor="ctr" upright="1"/>
          <a:lstStyle/>
          <a:p>
            <a:pPr algn="ctr" rtl="0">
              <a:defRPr sz="1000"/>
            </a:pPr>
            <a:r>
              <a:rPr lang="en-US" sz="1000" b="1" i="0" u="none" strike="noStrike" baseline="0">
                <a:solidFill>
                  <a:srgbClr val="FFFFFF"/>
                </a:solidFill>
                <a:latin typeface="Arial"/>
                <a:cs typeface="Arial"/>
              </a:rPr>
              <a:t>MS vs Consensus</a:t>
            </a:r>
          </a:p>
        </xdr:txBody>
      </xdr:sp>
      <xdr:sp macro="" textlink="">
        <xdr:nvSpPr>
          <xdr:cNvPr id="28" name="Rectangle 7">
            <a:hlinkClick xmlns:r="http://schemas.openxmlformats.org/officeDocument/2006/relationships" r:id="rId6"/>
          </xdr:cNvPr>
          <xdr:cNvSpPr>
            <a:spLocks noChangeArrowheads="1"/>
          </xdr:cNvSpPr>
        </xdr:nvSpPr>
        <xdr:spPr bwMode="auto">
          <a:xfrm>
            <a:off x="2733677" y="3759573"/>
            <a:ext cx="1243584" cy="320040"/>
          </a:xfrm>
          <a:prstGeom prst="roundRect">
            <a:avLst/>
          </a:prstGeom>
          <a:solidFill>
            <a:srgbClr val="FF0000"/>
          </a:solidFill>
          <a:ln w="9525" algn="ctr">
            <a:noFill/>
            <a:miter lim="800000"/>
            <a:headEnd/>
            <a:tailEnd/>
          </a:ln>
          <a:effectLst/>
        </xdr:spPr>
        <xdr:txBody>
          <a:bodyPr vertOverflow="clip" wrap="square" lIns="27432" tIns="27432" rIns="27432" bIns="27432" anchor="ctr" upright="1"/>
          <a:lstStyle/>
          <a:p>
            <a:pPr algn="ctr" rtl="0">
              <a:defRPr sz="1000"/>
            </a:pPr>
            <a:r>
              <a:rPr lang="en-US" sz="1000" b="1" i="0" u="none" strike="noStrike" baseline="0">
                <a:solidFill>
                  <a:srgbClr val="FFFFFF"/>
                </a:solidFill>
                <a:latin typeface="Arial"/>
                <a:cs typeface="Arial"/>
              </a:rPr>
              <a:t>DCF</a:t>
            </a:r>
          </a:p>
        </xdr:txBody>
      </xdr:sp>
      <xdr:sp macro="" textlink="">
        <xdr:nvSpPr>
          <xdr:cNvPr id="29" name="Rectangle 9">
            <a:hlinkClick xmlns:r="http://schemas.openxmlformats.org/officeDocument/2006/relationships" r:id="rId7"/>
          </xdr:cNvPr>
          <xdr:cNvSpPr>
            <a:spLocks noChangeArrowheads="1"/>
          </xdr:cNvSpPr>
        </xdr:nvSpPr>
        <xdr:spPr bwMode="auto">
          <a:xfrm>
            <a:off x="2711265" y="4504765"/>
            <a:ext cx="1243584" cy="320040"/>
          </a:xfrm>
          <a:prstGeom prst="roundRect">
            <a:avLst/>
          </a:prstGeom>
          <a:solidFill>
            <a:srgbClr val="FF0000"/>
          </a:solidFill>
          <a:ln w="9525" algn="ctr">
            <a:noFill/>
            <a:miter lim="800000"/>
            <a:headEnd/>
            <a:tailEnd/>
          </a:ln>
          <a:effectLst/>
        </xdr:spPr>
        <xdr:txBody>
          <a:bodyPr vertOverflow="clip" wrap="square" lIns="27432" tIns="27432" rIns="27432" bIns="27432" anchor="ctr" upright="1"/>
          <a:lstStyle/>
          <a:p>
            <a:pPr algn="ctr" rtl="0">
              <a:defRPr sz="1000"/>
            </a:pPr>
            <a:r>
              <a:rPr lang="en-US" sz="1000" b="1" i="0" u="none" strike="noStrike" baseline="0">
                <a:solidFill>
                  <a:srgbClr val="FFFFFF"/>
                </a:solidFill>
                <a:latin typeface="Arial"/>
                <a:cs typeface="Arial"/>
              </a:rPr>
              <a:t>Risk-Reward</a:t>
            </a:r>
          </a:p>
        </xdr:txBody>
      </xdr:sp>
      <xdr:sp macro="" textlink="">
        <xdr:nvSpPr>
          <xdr:cNvPr id="30" name="Rectangle 12">
            <a:hlinkClick xmlns:r="http://schemas.openxmlformats.org/officeDocument/2006/relationships" r:id="rId8"/>
          </xdr:cNvPr>
          <xdr:cNvSpPr>
            <a:spLocks noChangeArrowheads="1"/>
          </xdr:cNvSpPr>
        </xdr:nvSpPr>
        <xdr:spPr bwMode="auto">
          <a:xfrm>
            <a:off x="5448306" y="3759573"/>
            <a:ext cx="1243584" cy="320040"/>
          </a:xfrm>
          <a:prstGeom prst="roundRect">
            <a:avLst/>
          </a:prstGeom>
          <a:solidFill>
            <a:schemeClr val="accent4">
              <a:lumMod val="75000"/>
            </a:schemeClr>
          </a:solidFill>
          <a:ln w="9525" algn="ctr">
            <a:noFill/>
            <a:miter lim="800000"/>
            <a:headEnd/>
            <a:tailEnd/>
          </a:ln>
          <a:effectLst/>
        </xdr:spPr>
        <xdr:txBody>
          <a:bodyPr vertOverflow="clip" wrap="square" lIns="27432" tIns="27432" rIns="27432" bIns="27432" anchor="ctr" upright="1"/>
          <a:lstStyle/>
          <a:p>
            <a:pPr algn="ctr" rtl="0">
              <a:defRPr sz="1000"/>
            </a:pPr>
            <a:r>
              <a:rPr lang="en-US" sz="900" b="1" i="0" u="none" strike="noStrike" baseline="0">
                <a:solidFill>
                  <a:srgbClr val="FFFFFF"/>
                </a:solidFill>
                <a:latin typeface="Arial"/>
                <a:cs typeface="Arial"/>
              </a:rPr>
              <a:t>Revenue &amp; Expenses</a:t>
            </a:r>
          </a:p>
        </xdr:txBody>
      </xdr:sp>
      <xdr:sp macro="" textlink="">
        <xdr:nvSpPr>
          <xdr:cNvPr id="31" name="Rectangle 19">
            <a:hlinkClick xmlns:r="http://schemas.openxmlformats.org/officeDocument/2006/relationships" r:id="rId9"/>
          </xdr:cNvPr>
          <xdr:cNvSpPr>
            <a:spLocks noChangeArrowheads="1"/>
          </xdr:cNvSpPr>
        </xdr:nvSpPr>
        <xdr:spPr bwMode="auto">
          <a:xfrm>
            <a:off x="5432059" y="4919383"/>
            <a:ext cx="1243584" cy="320040"/>
          </a:xfrm>
          <a:prstGeom prst="roundRect">
            <a:avLst/>
          </a:prstGeom>
          <a:solidFill>
            <a:schemeClr val="accent4">
              <a:lumMod val="75000"/>
            </a:schemeClr>
          </a:solidFill>
          <a:ln w="9525" algn="ctr">
            <a:noFill/>
            <a:miter lim="800000"/>
            <a:headEnd/>
            <a:tailEnd/>
          </a:ln>
          <a:effectLst/>
        </xdr:spPr>
        <xdr:txBody>
          <a:bodyPr vertOverflow="clip" wrap="square" lIns="27432" tIns="27432" rIns="27432" bIns="27432" anchor="ctr" upright="1"/>
          <a:lstStyle/>
          <a:p>
            <a:pPr algn="ctr" rtl="0">
              <a:defRPr sz="1000"/>
            </a:pPr>
            <a:r>
              <a:rPr lang="en-US" sz="1000" b="1" i="0" u="none" strike="noStrike" baseline="0">
                <a:solidFill>
                  <a:srgbClr val="FFFFFF"/>
                </a:solidFill>
                <a:latin typeface="Arial"/>
                <a:cs typeface="Arial"/>
              </a:rPr>
              <a:t>Cash Flow</a:t>
            </a:r>
          </a:p>
        </xdr:txBody>
      </xdr:sp>
      <xdr:sp macro="" textlink="">
        <xdr:nvSpPr>
          <xdr:cNvPr id="32" name="Rectangle 20">
            <a:hlinkClick xmlns:r="http://schemas.openxmlformats.org/officeDocument/2006/relationships" r:id="rId10"/>
          </xdr:cNvPr>
          <xdr:cNvSpPr>
            <a:spLocks noChangeArrowheads="1"/>
          </xdr:cNvSpPr>
        </xdr:nvSpPr>
        <xdr:spPr bwMode="auto">
          <a:xfrm>
            <a:off x="8262110" y="3748367"/>
            <a:ext cx="1243584" cy="320040"/>
          </a:xfrm>
          <a:prstGeom prst="roundRect">
            <a:avLst/>
          </a:prstGeom>
          <a:solidFill>
            <a:schemeClr val="accent5">
              <a:lumMod val="40000"/>
              <a:lumOff val="60000"/>
            </a:schemeClr>
          </a:solidFill>
          <a:ln w="9525" algn="ctr">
            <a:noFill/>
            <a:miter lim="800000"/>
            <a:headEnd/>
            <a:tailEnd/>
          </a:ln>
          <a:effectLst/>
        </xdr:spPr>
        <xdr:txBody>
          <a:bodyPr vertOverflow="clip" wrap="square" lIns="27432" tIns="27432" rIns="27432" bIns="27432" anchor="ctr" upright="1"/>
          <a:lstStyle/>
          <a:p>
            <a:pPr algn="ctr" rtl="0">
              <a:defRPr sz="1000"/>
            </a:pPr>
            <a:r>
              <a:rPr lang="en-US" sz="1000" b="1" i="0" u="none" strike="noStrike" baseline="0">
                <a:solidFill>
                  <a:srgbClr val="FFFFFF"/>
                </a:solidFill>
                <a:latin typeface="Arial"/>
                <a:cs typeface="Arial"/>
              </a:rPr>
              <a:t>Base Case</a:t>
            </a:r>
          </a:p>
        </xdr:txBody>
      </xdr:sp>
      <xdr:sp macro="" textlink="">
        <xdr:nvSpPr>
          <xdr:cNvPr id="33" name="Rectangle 21">
            <a:hlinkClick xmlns:r="http://schemas.openxmlformats.org/officeDocument/2006/relationships" r:id="rId11"/>
          </xdr:cNvPr>
          <xdr:cNvSpPr>
            <a:spLocks noChangeArrowheads="1"/>
          </xdr:cNvSpPr>
        </xdr:nvSpPr>
        <xdr:spPr bwMode="auto">
          <a:xfrm>
            <a:off x="8284521" y="4682190"/>
            <a:ext cx="1243584" cy="320040"/>
          </a:xfrm>
          <a:prstGeom prst="roundRect">
            <a:avLst/>
          </a:prstGeom>
          <a:solidFill>
            <a:schemeClr val="accent5">
              <a:lumMod val="40000"/>
              <a:lumOff val="60000"/>
            </a:schemeClr>
          </a:solidFill>
          <a:ln w="9525" algn="ctr">
            <a:noFill/>
            <a:miter lim="800000"/>
            <a:headEnd/>
            <a:tailEnd/>
          </a:ln>
          <a:effectLst/>
        </xdr:spPr>
        <xdr:txBody>
          <a:bodyPr vertOverflow="clip" wrap="square" lIns="27432" tIns="27432" rIns="27432" bIns="27432" anchor="ctr" upright="1"/>
          <a:lstStyle/>
          <a:p>
            <a:pPr algn="ctr" rtl="0">
              <a:defRPr sz="1000"/>
            </a:pPr>
            <a:r>
              <a:rPr lang="en-US" sz="1000" b="1" i="0" u="none" strike="noStrike" baseline="0">
                <a:solidFill>
                  <a:srgbClr val="FFFFFF"/>
                </a:solidFill>
                <a:latin typeface="Arial"/>
                <a:cs typeface="Arial"/>
              </a:rPr>
              <a:t>Bear Case</a:t>
            </a:r>
          </a:p>
        </xdr:txBody>
      </xdr:sp>
      <xdr:sp macro="" textlink="">
        <xdr:nvSpPr>
          <xdr:cNvPr id="34" name="Rectangle 22">
            <a:hlinkClick xmlns:r="http://schemas.openxmlformats.org/officeDocument/2006/relationships" r:id="rId12"/>
          </xdr:cNvPr>
          <xdr:cNvSpPr>
            <a:spLocks noChangeArrowheads="1"/>
          </xdr:cNvSpPr>
        </xdr:nvSpPr>
        <xdr:spPr bwMode="auto">
          <a:xfrm>
            <a:off x="8262109" y="4209676"/>
            <a:ext cx="1243584" cy="320040"/>
          </a:xfrm>
          <a:prstGeom prst="roundRect">
            <a:avLst/>
          </a:prstGeom>
          <a:solidFill>
            <a:schemeClr val="accent5">
              <a:lumMod val="40000"/>
              <a:lumOff val="60000"/>
            </a:schemeClr>
          </a:solidFill>
          <a:ln w="9525" algn="ctr">
            <a:noFill/>
            <a:miter lim="800000"/>
            <a:headEnd/>
            <a:tailEnd/>
          </a:ln>
          <a:effectLst/>
        </xdr:spPr>
        <xdr:txBody>
          <a:bodyPr vertOverflow="clip" wrap="square" lIns="27432" tIns="27432" rIns="27432" bIns="27432" anchor="ctr" upright="1"/>
          <a:lstStyle/>
          <a:p>
            <a:pPr algn="ctr" rtl="0">
              <a:defRPr sz="1000"/>
            </a:pPr>
            <a:r>
              <a:rPr lang="en-US" sz="1000" b="1" i="0" u="none" strike="noStrike" baseline="0">
                <a:solidFill>
                  <a:srgbClr val="FFFFFF"/>
                </a:solidFill>
                <a:latin typeface="Arial"/>
                <a:cs typeface="Arial"/>
              </a:rPr>
              <a:t>Bull Case</a:t>
            </a:r>
          </a:p>
        </xdr:txBody>
      </xdr:sp>
      <xdr:sp macro="" textlink="">
        <xdr:nvSpPr>
          <xdr:cNvPr id="35" name="Rectangle 23">
            <a:hlinkClick xmlns:r="http://schemas.openxmlformats.org/officeDocument/2006/relationships" r:id="rId13"/>
          </xdr:cNvPr>
          <xdr:cNvSpPr>
            <a:spLocks noChangeArrowheads="1"/>
          </xdr:cNvSpPr>
        </xdr:nvSpPr>
        <xdr:spPr bwMode="auto">
          <a:xfrm>
            <a:off x="4095754" y="4131235"/>
            <a:ext cx="1234059" cy="320040"/>
          </a:xfrm>
          <a:prstGeom prst="roundRect">
            <a:avLst/>
          </a:prstGeom>
          <a:solidFill>
            <a:schemeClr val="accent4"/>
          </a:solidFill>
          <a:ln w="9525" algn="ctr">
            <a:noFill/>
            <a:miter lim="800000"/>
            <a:headEnd/>
            <a:tailEnd/>
          </a:ln>
          <a:effectLst/>
        </xdr:spPr>
        <xdr:txBody>
          <a:bodyPr vertOverflow="clip" wrap="square" lIns="27432" tIns="27432" rIns="27432" bIns="27432" anchor="ctr" upright="1"/>
          <a:lstStyle/>
          <a:p>
            <a:pPr algn="ctr" rtl="0">
              <a:defRPr sz="1000"/>
            </a:pPr>
            <a:r>
              <a:rPr lang="en-US" sz="1000" b="1" i="0" u="none" strike="noStrike" baseline="0">
                <a:solidFill>
                  <a:srgbClr val="FFFFFF"/>
                </a:solidFill>
                <a:latin typeface="Arial"/>
                <a:cs typeface="Arial"/>
              </a:rPr>
              <a:t>Model Inputs</a:t>
            </a:r>
          </a:p>
        </xdr:txBody>
      </xdr:sp>
      <xdr:sp macro="" textlink="">
        <xdr:nvSpPr>
          <xdr:cNvPr id="36" name="Rectangle 53">
            <a:hlinkClick xmlns:r="http://schemas.openxmlformats.org/officeDocument/2006/relationships" r:id="rId14"/>
          </xdr:cNvPr>
          <xdr:cNvSpPr>
            <a:spLocks noChangeArrowheads="1"/>
          </xdr:cNvSpPr>
        </xdr:nvSpPr>
        <xdr:spPr bwMode="auto">
          <a:xfrm>
            <a:off x="4090148" y="4502897"/>
            <a:ext cx="1234059" cy="320040"/>
          </a:xfrm>
          <a:prstGeom prst="roundRect">
            <a:avLst/>
          </a:prstGeom>
          <a:solidFill>
            <a:schemeClr val="accent4"/>
          </a:solidFill>
          <a:ln w="9525" algn="ctr">
            <a:noFill/>
            <a:miter lim="800000"/>
            <a:headEnd/>
            <a:tailEnd/>
          </a:ln>
          <a:effectLst/>
        </xdr:spPr>
        <xdr:txBody>
          <a:bodyPr vertOverflow="clip" wrap="square" lIns="27432" tIns="27432" rIns="27432" bIns="27432" anchor="ctr" upright="1"/>
          <a:lstStyle/>
          <a:p>
            <a:pPr algn="ctr" rtl="0">
              <a:defRPr sz="1000"/>
            </a:pPr>
            <a:r>
              <a:rPr lang="en-US" sz="1000" b="1" i="0" u="none" strike="noStrike" baseline="0">
                <a:solidFill>
                  <a:srgbClr val="FFFFFF"/>
                </a:solidFill>
                <a:latin typeface="Arial"/>
                <a:cs typeface="Arial"/>
              </a:rPr>
              <a:t>Annual Historicals</a:t>
            </a:r>
          </a:p>
        </xdr:txBody>
      </xdr:sp>
      <xdr:sp macro="" textlink="">
        <xdr:nvSpPr>
          <xdr:cNvPr id="37" name="Rectangle 6">
            <a:hlinkClick xmlns:r="http://schemas.openxmlformats.org/officeDocument/2006/relationships" r:id="rId15"/>
          </xdr:cNvPr>
          <xdr:cNvSpPr>
            <a:spLocks noChangeArrowheads="1"/>
          </xdr:cNvSpPr>
        </xdr:nvSpPr>
        <xdr:spPr bwMode="auto">
          <a:xfrm>
            <a:off x="2733677" y="4874559"/>
            <a:ext cx="1243584" cy="320040"/>
          </a:xfrm>
          <a:prstGeom prst="roundRect">
            <a:avLst/>
          </a:prstGeom>
          <a:solidFill>
            <a:schemeClr val="bg1">
              <a:lumMod val="65000"/>
            </a:schemeClr>
          </a:solidFill>
          <a:ln w="9525" algn="ctr">
            <a:noFill/>
            <a:miter lim="800000"/>
            <a:headEnd/>
            <a:tailEnd/>
          </a:ln>
          <a:effectLst/>
        </xdr:spPr>
        <xdr:txBody>
          <a:bodyPr vertOverflow="clip" wrap="square" lIns="27432" tIns="27432" rIns="27432" bIns="27432" anchor="ctr" upright="1"/>
          <a:lstStyle/>
          <a:p>
            <a:pPr algn="ctr" rtl="0">
              <a:defRPr sz="1000"/>
            </a:pPr>
            <a:r>
              <a:rPr lang="en-US" sz="1000" b="1" i="0" u="none" strike="noStrike" baseline="0">
                <a:solidFill>
                  <a:srgbClr val="FFFFFF"/>
                </a:solidFill>
                <a:latin typeface="Arial"/>
                <a:cs typeface="Arial"/>
              </a:rPr>
              <a:t>Shareholder Struc.</a:t>
            </a:r>
          </a:p>
        </xdr:txBody>
      </xdr:sp>
      <xdr:sp macro="" textlink="">
        <xdr:nvSpPr>
          <xdr:cNvPr id="40" name="Rectangle 53">
            <a:hlinkClick xmlns:r="http://schemas.openxmlformats.org/officeDocument/2006/relationships" r:id="rId16"/>
          </xdr:cNvPr>
          <xdr:cNvSpPr>
            <a:spLocks noChangeArrowheads="1"/>
          </xdr:cNvSpPr>
        </xdr:nvSpPr>
        <xdr:spPr bwMode="auto">
          <a:xfrm>
            <a:off x="4095754" y="3759573"/>
            <a:ext cx="1234059" cy="320040"/>
          </a:xfrm>
          <a:prstGeom prst="roundRect">
            <a:avLst/>
          </a:prstGeom>
          <a:solidFill>
            <a:schemeClr val="accent4"/>
          </a:solidFill>
          <a:ln w="9525" algn="ctr">
            <a:noFill/>
            <a:miter lim="800000"/>
            <a:headEnd/>
            <a:tailEnd/>
          </a:ln>
          <a:effectLst/>
        </xdr:spPr>
        <xdr:txBody>
          <a:bodyPr vertOverflow="clip" wrap="square" lIns="27432" tIns="27432" rIns="27432" bIns="27432" anchor="ctr" upright="1"/>
          <a:lstStyle/>
          <a:p>
            <a:pPr algn="ctr" rtl="0">
              <a:defRPr sz="1000"/>
            </a:pPr>
            <a:r>
              <a:rPr lang="en-US" sz="1000" b="1" i="0" u="none" strike="noStrike" baseline="0">
                <a:solidFill>
                  <a:srgbClr val="FFFFFF"/>
                </a:solidFill>
                <a:latin typeface="Arial"/>
                <a:cs typeface="Arial"/>
              </a:rPr>
              <a:t>Macroeconomic</a:t>
            </a:r>
          </a:p>
        </xdr:txBody>
      </xdr:sp>
      <xdr:sp macro="" textlink="">
        <xdr:nvSpPr>
          <xdr:cNvPr id="42" name="Rectangle 14">
            <a:hlinkClick xmlns:r="http://schemas.openxmlformats.org/officeDocument/2006/relationships" r:id="rId17"/>
          </xdr:cNvPr>
          <xdr:cNvSpPr>
            <a:spLocks noChangeArrowheads="1"/>
          </xdr:cNvSpPr>
        </xdr:nvSpPr>
        <xdr:spPr bwMode="auto">
          <a:xfrm>
            <a:off x="5448306" y="4131235"/>
            <a:ext cx="1243584" cy="320040"/>
          </a:xfrm>
          <a:prstGeom prst="roundRect">
            <a:avLst/>
          </a:prstGeom>
          <a:solidFill>
            <a:schemeClr val="accent4">
              <a:lumMod val="75000"/>
            </a:schemeClr>
          </a:solidFill>
          <a:ln w="9525" algn="ctr">
            <a:noFill/>
            <a:miter lim="800000"/>
            <a:headEnd/>
            <a:tailEnd/>
          </a:ln>
        </xdr:spPr>
        <xdr:txBody>
          <a:bodyPr vertOverflow="clip" wrap="square" lIns="27432" tIns="27432" rIns="27432" bIns="27432" anchor="ctr"/>
          <a:lstStyle/>
          <a:p>
            <a:pPr algn="ctr" rtl="0">
              <a:defRPr sz="1000"/>
            </a:pPr>
            <a:r>
              <a:rPr lang="en-US" sz="1000" b="1" i="0" u="none" strike="noStrike" baseline="0">
                <a:solidFill>
                  <a:srgbClr val="FFFFFF"/>
                </a:solidFill>
                <a:latin typeface="Arial"/>
                <a:cs typeface="Arial"/>
              </a:rPr>
              <a:t>Income Statement</a:t>
            </a:r>
          </a:p>
        </xdr:txBody>
      </xdr:sp>
    </xdr:grpSp>
    <xdr:clientData/>
  </xdr:twoCellAnchor>
  <xdr:twoCellAnchor>
    <xdr:from>
      <xdr:col>1</xdr:col>
      <xdr:colOff>276225</xdr:colOff>
      <xdr:row>5</xdr:row>
      <xdr:rowOff>38100</xdr:rowOff>
    </xdr:from>
    <xdr:to>
      <xdr:col>10</xdr:col>
      <xdr:colOff>990600</xdr:colOff>
      <xdr:row>18</xdr:row>
      <xdr:rowOff>133350</xdr:rowOff>
    </xdr:to>
    <xdr:sp macro="" textlink="">
      <xdr:nvSpPr>
        <xdr:cNvPr id="30883027" name="Rectangle 1"/>
        <xdr:cNvSpPr>
          <a:spLocks noChangeArrowheads="1"/>
        </xdr:cNvSpPr>
      </xdr:nvSpPr>
      <xdr:spPr bwMode="auto">
        <a:xfrm>
          <a:off x="1609725" y="914400"/>
          <a:ext cx="7696200" cy="2105025"/>
        </a:xfrm>
        <a:prstGeom prst="rect">
          <a:avLst/>
        </a:prstGeom>
        <a:noFill/>
        <a:ln w="57150" cmpd="thickThin">
          <a:solidFill>
            <a:srgbClr val="80808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933451</xdr:colOff>
      <xdr:row>40</xdr:row>
      <xdr:rowOff>76201</xdr:rowOff>
    </xdr:from>
    <xdr:to>
      <xdr:col>10</xdr:col>
      <xdr:colOff>523875</xdr:colOff>
      <xdr:row>52</xdr:row>
      <xdr:rowOff>66675</xdr:rowOff>
    </xdr:to>
    <xdr:cxnSp macro="">
      <xdr:nvCxnSpPr>
        <xdr:cNvPr id="30883029" name="Straight Arrow Connector 2"/>
        <xdr:cNvCxnSpPr>
          <a:cxnSpLocks noChangeShapeType="1"/>
        </xdr:cNvCxnSpPr>
      </xdr:nvCxnSpPr>
      <xdr:spPr bwMode="auto">
        <a:xfrm flipH="1" flipV="1">
          <a:off x="7639051" y="6772276"/>
          <a:ext cx="990599" cy="1933574"/>
        </a:xfrm>
        <a:prstGeom prst="straightConnector1">
          <a:avLst/>
        </a:prstGeom>
        <a:noFill/>
        <a:ln w="9525" algn="ctr">
          <a:solidFill>
            <a:srgbClr val="7F7F7F"/>
          </a:solidFill>
          <a:prstDash val="dash"/>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56030</xdr:colOff>
      <xdr:row>31</xdr:row>
      <xdr:rowOff>67235</xdr:rowOff>
    </xdr:from>
    <xdr:to>
      <xdr:col>5</xdr:col>
      <xdr:colOff>46236</xdr:colOff>
      <xdr:row>33</xdr:row>
      <xdr:rowOff>73510</xdr:rowOff>
    </xdr:to>
    <xdr:sp macro="" textlink="">
      <xdr:nvSpPr>
        <xdr:cNvPr id="43" name="Rectangle 53">
          <a:hlinkClick xmlns:r="http://schemas.openxmlformats.org/officeDocument/2006/relationships" r:id="rId18"/>
        </xdr:cNvPr>
        <xdr:cNvSpPr>
          <a:spLocks noChangeArrowheads="1"/>
        </xdr:cNvSpPr>
      </xdr:nvSpPr>
      <xdr:spPr bwMode="auto">
        <a:xfrm>
          <a:off x="3866030" y="5165911"/>
          <a:ext cx="1234059" cy="320040"/>
        </a:xfrm>
        <a:prstGeom prst="roundRect">
          <a:avLst/>
        </a:prstGeom>
        <a:solidFill>
          <a:schemeClr val="accent4"/>
        </a:solidFill>
        <a:ln w="9525" algn="ctr">
          <a:noFill/>
          <a:miter lim="800000"/>
          <a:headEnd/>
          <a:tailEnd/>
        </a:ln>
        <a:effectLst/>
      </xdr:spPr>
      <xdr:txBody>
        <a:bodyPr vertOverflow="clip" wrap="square" lIns="27432" tIns="27432" rIns="27432" bIns="27432" anchor="ctr" upright="1"/>
        <a:lstStyle/>
        <a:p>
          <a:pPr algn="ctr" rtl="0">
            <a:defRPr sz="1000"/>
          </a:pPr>
          <a:r>
            <a:rPr lang="en-US" sz="1000" b="1" i="0" u="none" strike="noStrike" baseline="0">
              <a:solidFill>
                <a:srgbClr val="FFFFFF"/>
              </a:solidFill>
              <a:latin typeface="Arial"/>
              <a:cs typeface="Arial"/>
            </a:rPr>
            <a:t>Qtr Historicals</a:t>
          </a:r>
        </a:p>
      </xdr:txBody>
    </xdr:sp>
    <xdr:clientData/>
  </xdr:twoCellAnchor>
  <xdr:twoCellAnchor>
    <xdr:from>
      <xdr:col>5</xdr:col>
      <xdr:colOff>179294</xdr:colOff>
      <xdr:row>29</xdr:row>
      <xdr:rowOff>0</xdr:rowOff>
    </xdr:from>
    <xdr:to>
      <xdr:col>6</xdr:col>
      <xdr:colOff>1198760</xdr:colOff>
      <xdr:row>31</xdr:row>
      <xdr:rowOff>6276</xdr:rowOff>
    </xdr:to>
    <xdr:sp macro="" textlink="">
      <xdr:nvSpPr>
        <xdr:cNvPr id="44" name="Rectangle 14">
          <a:hlinkClick xmlns:r="http://schemas.openxmlformats.org/officeDocument/2006/relationships" r:id="rId19"/>
        </xdr:cNvPr>
        <xdr:cNvSpPr>
          <a:spLocks noChangeArrowheads="1"/>
        </xdr:cNvSpPr>
      </xdr:nvSpPr>
      <xdr:spPr bwMode="auto">
        <a:xfrm>
          <a:off x="5233147" y="4784912"/>
          <a:ext cx="1243584" cy="320040"/>
        </a:xfrm>
        <a:prstGeom prst="roundRect">
          <a:avLst/>
        </a:prstGeom>
        <a:solidFill>
          <a:schemeClr val="accent4">
            <a:lumMod val="75000"/>
          </a:schemeClr>
        </a:solidFill>
        <a:ln w="9525" algn="ctr">
          <a:noFill/>
          <a:miter lim="800000"/>
          <a:headEnd/>
          <a:tailEnd/>
        </a:ln>
      </xdr:spPr>
      <xdr:txBody>
        <a:bodyPr vertOverflow="clip" wrap="square" lIns="27432" tIns="27432" rIns="27432" bIns="27432" anchor="ctr"/>
        <a:lstStyle/>
        <a:p>
          <a:pPr algn="ctr" rtl="0">
            <a:defRPr sz="1000"/>
          </a:pPr>
          <a:r>
            <a:rPr lang="en-US" sz="1000" b="1" i="0" u="none" strike="noStrike" baseline="0">
              <a:solidFill>
                <a:srgbClr val="FFFFFF"/>
              </a:solidFill>
              <a:latin typeface="Arial"/>
              <a:cs typeface="Arial"/>
            </a:rPr>
            <a:t>Balance Sheet</a:t>
          </a:r>
        </a:p>
      </xdr:txBody>
    </xdr:sp>
    <xdr:clientData/>
  </xdr:twoCellAnchor>
  <xdr:twoCellAnchor>
    <xdr:from>
      <xdr:col>2</xdr:col>
      <xdr:colOff>100852</xdr:colOff>
      <xdr:row>26</xdr:row>
      <xdr:rowOff>78441</xdr:rowOff>
    </xdr:from>
    <xdr:to>
      <xdr:col>3</xdr:col>
      <xdr:colOff>145407</xdr:colOff>
      <xdr:row>28</xdr:row>
      <xdr:rowOff>84717</xdr:rowOff>
    </xdr:to>
    <xdr:sp macro="" textlink="">
      <xdr:nvSpPr>
        <xdr:cNvPr id="45" name="Rectangle 7">
          <a:hlinkClick xmlns:r="http://schemas.openxmlformats.org/officeDocument/2006/relationships" r:id="rId20"/>
        </xdr:cNvPr>
        <xdr:cNvSpPr>
          <a:spLocks noChangeArrowheads="1"/>
        </xdr:cNvSpPr>
      </xdr:nvSpPr>
      <xdr:spPr bwMode="auto">
        <a:xfrm>
          <a:off x="2521323" y="4392706"/>
          <a:ext cx="1243584" cy="320040"/>
        </a:xfrm>
        <a:prstGeom prst="roundRect">
          <a:avLst/>
        </a:prstGeom>
        <a:solidFill>
          <a:srgbClr val="FF0000"/>
        </a:solidFill>
        <a:ln w="9525" algn="ctr">
          <a:noFill/>
          <a:miter lim="800000"/>
          <a:headEnd/>
          <a:tailEnd/>
        </a:ln>
        <a:effectLst/>
      </xdr:spPr>
      <xdr:txBody>
        <a:bodyPr vertOverflow="clip" wrap="square" lIns="27432" tIns="27432" rIns="27432" bIns="27432" anchor="ctr" upright="1"/>
        <a:lstStyle/>
        <a:p>
          <a:pPr algn="ctr" rtl="0">
            <a:defRPr sz="1000"/>
          </a:pPr>
          <a:r>
            <a:rPr lang="en-US" sz="1000" b="1" i="0" u="none" strike="noStrike" baseline="0">
              <a:solidFill>
                <a:srgbClr val="FFFFFF"/>
              </a:solidFill>
              <a:latin typeface="Arial"/>
              <a:cs typeface="Arial"/>
            </a:rPr>
            <a:t>SoP</a:t>
          </a:r>
        </a:p>
      </xdr:txBody>
    </xdr:sp>
    <xdr:clientData/>
  </xdr:twoCellAnchor>
  <xdr:twoCellAnchor editAs="oneCell">
    <xdr:from>
      <xdr:col>4</xdr:col>
      <xdr:colOff>224119</xdr:colOff>
      <xdr:row>5</xdr:row>
      <xdr:rowOff>112059</xdr:rowOff>
    </xdr:from>
    <xdr:to>
      <xdr:col>6</xdr:col>
      <xdr:colOff>1194542</xdr:colOff>
      <xdr:row>9</xdr:row>
      <xdr:rowOff>94129</xdr:rowOff>
    </xdr:to>
    <xdr:pic macro="[0]!Sheet2.Logo">
      <xdr:nvPicPr>
        <xdr:cNvPr id="3" name="Picture 2"/>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4034119" y="963706"/>
          <a:ext cx="2438394" cy="609599"/>
        </a:xfrm>
        <a:prstGeom prst="rect">
          <a:avLst/>
        </a:prstGeom>
      </xdr:spPr>
    </xdr:pic>
    <xdr:clientData/>
  </xdr:twoCellAnchor>
  <xdr:twoCellAnchor>
    <xdr:from>
      <xdr:col>7</xdr:col>
      <xdr:colOff>112059</xdr:colOff>
      <xdr:row>27</xdr:row>
      <xdr:rowOff>11206</xdr:rowOff>
    </xdr:from>
    <xdr:to>
      <xdr:col>8</xdr:col>
      <xdr:colOff>1187554</xdr:colOff>
      <xdr:row>29</xdr:row>
      <xdr:rowOff>17481</xdr:rowOff>
    </xdr:to>
    <xdr:sp macro="" textlink="">
      <xdr:nvSpPr>
        <xdr:cNvPr id="38" name="Rectangle 14">
          <a:hlinkClick xmlns:r="http://schemas.openxmlformats.org/officeDocument/2006/relationships" r:id="rId22"/>
        </xdr:cNvPr>
        <xdr:cNvSpPr>
          <a:spLocks noChangeArrowheads="1"/>
        </xdr:cNvSpPr>
      </xdr:nvSpPr>
      <xdr:spPr bwMode="auto">
        <a:xfrm>
          <a:off x="6645088" y="4482353"/>
          <a:ext cx="1243584" cy="320040"/>
        </a:xfrm>
        <a:prstGeom prst="roundRect">
          <a:avLst/>
        </a:prstGeom>
        <a:solidFill>
          <a:schemeClr val="accent4">
            <a:lumMod val="75000"/>
          </a:schemeClr>
        </a:solidFill>
        <a:ln w="9525" algn="ctr">
          <a:noFill/>
          <a:miter lim="800000"/>
          <a:headEnd/>
          <a:tailEnd/>
        </a:ln>
      </xdr:spPr>
      <xdr:txBody>
        <a:bodyPr vertOverflow="clip" wrap="square" lIns="27432" tIns="27432" rIns="27432" bIns="27432" anchor="ctr"/>
        <a:lstStyle/>
        <a:p>
          <a:pPr algn="ctr" rtl="0">
            <a:defRPr sz="1000"/>
          </a:pPr>
          <a:r>
            <a:rPr lang="en-US" sz="1000" b="1" i="0" u="none" strike="noStrike" baseline="0">
              <a:solidFill>
                <a:srgbClr val="FFFFFF"/>
              </a:solidFill>
              <a:latin typeface="Arial"/>
              <a:cs typeface="Arial"/>
            </a:rPr>
            <a:t>CapEx</a:t>
          </a:r>
        </a:p>
      </xdr:txBody>
    </xdr:sp>
    <xdr:clientData/>
  </xdr:twoCellAnchor>
  <xdr:twoCellAnchor>
    <xdr:from>
      <xdr:col>7</xdr:col>
      <xdr:colOff>96372</xdr:colOff>
      <xdr:row>24</xdr:row>
      <xdr:rowOff>40341</xdr:rowOff>
    </xdr:from>
    <xdr:to>
      <xdr:col>8</xdr:col>
      <xdr:colOff>1171867</xdr:colOff>
      <xdr:row>26</xdr:row>
      <xdr:rowOff>46616</xdr:rowOff>
    </xdr:to>
    <xdr:sp macro="" textlink="">
      <xdr:nvSpPr>
        <xdr:cNvPr id="39" name="Rectangle 14">
          <a:hlinkClick xmlns:r="http://schemas.openxmlformats.org/officeDocument/2006/relationships" r:id="rId23"/>
        </xdr:cNvPr>
        <xdr:cNvSpPr>
          <a:spLocks noChangeArrowheads="1"/>
        </xdr:cNvSpPr>
      </xdr:nvSpPr>
      <xdr:spPr bwMode="auto">
        <a:xfrm>
          <a:off x="6629401" y="4040841"/>
          <a:ext cx="1243584" cy="320040"/>
        </a:xfrm>
        <a:prstGeom prst="roundRect">
          <a:avLst/>
        </a:prstGeom>
        <a:solidFill>
          <a:schemeClr val="accent4">
            <a:lumMod val="75000"/>
          </a:schemeClr>
        </a:solidFill>
        <a:ln w="9525" algn="ctr">
          <a:noFill/>
          <a:miter lim="800000"/>
          <a:headEnd/>
          <a:tailEnd/>
        </a:ln>
      </xdr:spPr>
      <xdr:txBody>
        <a:bodyPr vertOverflow="clip" wrap="square" lIns="27432" tIns="27432" rIns="27432" bIns="27432" anchor="ctr"/>
        <a:lstStyle/>
        <a:p>
          <a:pPr algn="ctr" rtl="0">
            <a:defRPr sz="1000"/>
          </a:pPr>
          <a:r>
            <a:rPr lang="en-US" sz="1000" b="1" i="0" u="none" strike="noStrike" baseline="0">
              <a:solidFill>
                <a:srgbClr val="FFFFFF"/>
              </a:solidFill>
              <a:latin typeface="Arial"/>
              <a:cs typeface="Arial"/>
            </a:rPr>
            <a:t>Working Capital</a:t>
          </a:r>
        </a:p>
      </xdr:txBody>
    </xdr:sp>
    <xdr:clientData/>
  </xdr:twoCellAnchor>
  <xdr:twoCellAnchor>
    <xdr:from>
      <xdr:col>7</xdr:col>
      <xdr:colOff>123266</xdr:colOff>
      <xdr:row>29</xdr:row>
      <xdr:rowOff>134470</xdr:rowOff>
    </xdr:from>
    <xdr:to>
      <xdr:col>9</xdr:col>
      <xdr:colOff>10938</xdr:colOff>
      <xdr:row>32</xdr:row>
      <xdr:rowOff>44823</xdr:rowOff>
    </xdr:to>
    <xdr:sp macro="" textlink="">
      <xdr:nvSpPr>
        <xdr:cNvPr id="41" name="Rectangle 14">
          <a:hlinkClick xmlns:r="http://schemas.openxmlformats.org/officeDocument/2006/relationships" r:id="rId24"/>
        </xdr:cNvPr>
        <xdr:cNvSpPr>
          <a:spLocks noChangeArrowheads="1"/>
        </xdr:cNvSpPr>
      </xdr:nvSpPr>
      <xdr:spPr bwMode="auto">
        <a:xfrm>
          <a:off x="6656295" y="4919382"/>
          <a:ext cx="1243584" cy="381000"/>
        </a:xfrm>
        <a:prstGeom prst="roundRect">
          <a:avLst/>
        </a:prstGeom>
        <a:solidFill>
          <a:schemeClr val="accent4">
            <a:lumMod val="75000"/>
          </a:schemeClr>
        </a:solidFill>
        <a:ln w="9525" algn="ctr">
          <a:noFill/>
          <a:miter lim="800000"/>
          <a:headEnd/>
          <a:tailEnd/>
        </a:ln>
      </xdr:spPr>
      <xdr:txBody>
        <a:bodyPr vertOverflow="clip" wrap="square" lIns="27432" tIns="27432" rIns="27432" bIns="27432" anchor="ctr"/>
        <a:lstStyle/>
        <a:p>
          <a:pPr algn="ctr" rtl="0">
            <a:defRPr sz="1000"/>
          </a:pPr>
          <a:r>
            <a:rPr lang="en-US" sz="900" b="1" i="0" u="none" strike="noStrike" baseline="0">
              <a:solidFill>
                <a:srgbClr val="FFFFFF"/>
              </a:solidFill>
              <a:latin typeface="Arial"/>
              <a:cs typeface="Arial"/>
            </a:rPr>
            <a:t>Shareholder's Equity</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24</xdr:col>
      <xdr:colOff>319154</xdr:colOff>
      <xdr:row>0</xdr:row>
      <xdr:rowOff>19735</xdr:rowOff>
    </xdr:from>
    <xdr:to>
      <xdr:col>24</xdr:col>
      <xdr:colOff>1304925</xdr:colOff>
      <xdr:row>0</xdr:row>
      <xdr:rowOff>200025</xdr:rowOff>
    </xdr:to>
    <xdr:sp macro="" textlink="">
      <xdr:nvSpPr>
        <xdr:cNvPr id="2" name="Rectangle 7">
          <a:hlinkClick xmlns:r="http://schemas.openxmlformats.org/officeDocument/2006/relationships" r:id="rId1"/>
        </xdr:cNvPr>
        <xdr:cNvSpPr>
          <a:spLocks noChangeArrowheads="1"/>
        </xdr:cNvSpPr>
      </xdr:nvSpPr>
      <xdr:spPr bwMode="auto">
        <a:xfrm>
          <a:off x="8282054" y="19735"/>
          <a:ext cx="985771" cy="180290"/>
        </a:xfrm>
        <a:prstGeom prst="roundRect">
          <a:avLst/>
        </a:prstGeom>
        <a:solidFill>
          <a:srgbClr val="000000"/>
        </a:solidFill>
        <a:ln w="9525" algn="ctr">
          <a:solidFill>
            <a:srgbClr val="808080"/>
          </a:solidFill>
          <a:miter lim="800000"/>
          <a:headEnd/>
          <a:tailEnd/>
        </a:ln>
        <a:effectLst/>
      </xdr:spPr>
      <xdr:txBody>
        <a:bodyPr vertOverflow="clip" wrap="square" lIns="27432" tIns="27432" rIns="27432" bIns="27432" anchor="ctr" upright="1"/>
        <a:lstStyle/>
        <a:p>
          <a:pPr algn="ctr" rtl="0">
            <a:defRPr sz="1000"/>
          </a:pPr>
          <a:r>
            <a:rPr lang="en-US" sz="1100" b="1" i="0" u="none" strike="noStrike" baseline="0">
              <a:solidFill>
                <a:srgbClr val="FFFFFF"/>
              </a:solidFill>
              <a:latin typeface="Arial"/>
              <a:cs typeface="Arial"/>
            </a:rPr>
            <a:t>Go to Index</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19050</xdr:colOff>
      <xdr:row>4</xdr:row>
      <xdr:rowOff>48986</xdr:rowOff>
    </xdr:from>
    <xdr:to>
      <xdr:col>4</xdr:col>
      <xdr:colOff>19050</xdr:colOff>
      <xdr:row>23</xdr:row>
      <xdr:rowOff>10886</xdr:rowOff>
    </xdr:to>
    <xdr:graphicFrame macro="">
      <xdr:nvGraphicFramePr>
        <xdr:cNvPr id="31745463" name="C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1171575</xdr:colOff>
      <xdr:row>305</xdr:row>
      <xdr:rowOff>47625</xdr:rowOff>
    </xdr:from>
    <xdr:to>
      <xdr:col>12</xdr:col>
      <xdr:colOff>1095375</xdr:colOff>
      <xdr:row>305</xdr:row>
      <xdr:rowOff>47625</xdr:rowOff>
    </xdr:to>
    <xdr:graphicFrame macro="">
      <xdr:nvGraphicFramePr>
        <xdr:cNvPr id="31745464" name="Chart 10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1171575</xdr:colOff>
      <xdr:row>305</xdr:row>
      <xdr:rowOff>47625</xdr:rowOff>
    </xdr:from>
    <xdr:to>
      <xdr:col>12</xdr:col>
      <xdr:colOff>1095375</xdr:colOff>
      <xdr:row>305</xdr:row>
      <xdr:rowOff>47625</xdr:rowOff>
    </xdr:to>
    <xdr:graphicFrame macro="">
      <xdr:nvGraphicFramePr>
        <xdr:cNvPr id="31745465" name="Chart 10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0</xdr:colOff>
      <xdr:row>284</xdr:row>
      <xdr:rowOff>123825</xdr:rowOff>
    </xdr:from>
    <xdr:to>
      <xdr:col>12</xdr:col>
      <xdr:colOff>1114425</xdr:colOff>
      <xdr:row>284</xdr:row>
      <xdr:rowOff>123825</xdr:rowOff>
    </xdr:to>
    <xdr:graphicFrame macro="">
      <xdr:nvGraphicFramePr>
        <xdr:cNvPr id="31745466" name="Chart 10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0</xdr:colOff>
      <xdr:row>284</xdr:row>
      <xdr:rowOff>123825</xdr:rowOff>
    </xdr:from>
    <xdr:to>
      <xdr:col>12</xdr:col>
      <xdr:colOff>1114425</xdr:colOff>
      <xdr:row>284</xdr:row>
      <xdr:rowOff>123825</xdr:rowOff>
    </xdr:to>
    <xdr:graphicFrame macro="">
      <xdr:nvGraphicFramePr>
        <xdr:cNvPr id="31745467" name="Chart 10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1171575</xdr:colOff>
      <xdr:row>305</xdr:row>
      <xdr:rowOff>9525</xdr:rowOff>
    </xdr:from>
    <xdr:to>
      <xdr:col>9</xdr:col>
      <xdr:colOff>1095375</xdr:colOff>
      <xdr:row>305</xdr:row>
      <xdr:rowOff>9525</xdr:rowOff>
    </xdr:to>
    <xdr:graphicFrame macro="">
      <xdr:nvGraphicFramePr>
        <xdr:cNvPr id="31745468" name="Chart 10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1171575</xdr:colOff>
      <xdr:row>305</xdr:row>
      <xdr:rowOff>9525</xdr:rowOff>
    </xdr:from>
    <xdr:to>
      <xdr:col>9</xdr:col>
      <xdr:colOff>1095375</xdr:colOff>
      <xdr:row>305</xdr:row>
      <xdr:rowOff>9525</xdr:rowOff>
    </xdr:to>
    <xdr:graphicFrame macro="">
      <xdr:nvGraphicFramePr>
        <xdr:cNvPr id="31745469" name="Chart 10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0</xdr:colOff>
      <xdr:row>265</xdr:row>
      <xdr:rowOff>9525</xdr:rowOff>
    </xdr:from>
    <xdr:to>
      <xdr:col>6</xdr:col>
      <xdr:colOff>1133475</xdr:colOff>
      <xdr:row>265</xdr:row>
      <xdr:rowOff>9525</xdr:rowOff>
    </xdr:to>
    <xdr:graphicFrame macro="">
      <xdr:nvGraphicFramePr>
        <xdr:cNvPr id="31745470" name="Chart 10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0</xdr:colOff>
      <xdr:row>265</xdr:row>
      <xdr:rowOff>9525</xdr:rowOff>
    </xdr:from>
    <xdr:to>
      <xdr:col>6</xdr:col>
      <xdr:colOff>1133475</xdr:colOff>
      <xdr:row>265</xdr:row>
      <xdr:rowOff>9525</xdr:rowOff>
    </xdr:to>
    <xdr:graphicFrame macro="">
      <xdr:nvGraphicFramePr>
        <xdr:cNvPr id="31745471" name="Chart 10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0</xdr:colOff>
      <xdr:row>265</xdr:row>
      <xdr:rowOff>9525</xdr:rowOff>
    </xdr:from>
    <xdr:to>
      <xdr:col>12</xdr:col>
      <xdr:colOff>1133475</xdr:colOff>
      <xdr:row>265</xdr:row>
      <xdr:rowOff>9525</xdr:rowOff>
    </xdr:to>
    <xdr:graphicFrame macro="">
      <xdr:nvGraphicFramePr>
        <xdr:cNvPr id="31745472" name="Chart 10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0</xdr:colOff>
      <xdr:row>265</xdr:row>
      <xdr:rowOff>9525</xdr:rowOff>
    </xdr:from>
    <xdr:to>
      <xdr:col>12</xdr:col>
      <xdr:colOff>1133475</xdr:colOff>
      <xdr:row>265</xdr:row>
      <xdr:rowOff>9525</xdr:rowOff>
    </xdr:to>
    <xdr:graphicFrame macro="">
      <xdr:nvGraphicFramePr>
        <xdr:cNvPr id="31745473" name="Chart 10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1171575</xdr:colOff>
      <xdr:row>305</xdr:row>
      <xdr:rowOff>9525</xdr:rowOff>
    </xdr:from>
    <xdr:to>
      <xdr:col>12</xdr:col>
      <xdr:colOff>1095375</xdr:colOff>
      <xdr:row>305</xdr:row>
      <xdr:rowOff>9525</xdr:rowOff>
    </xdr:to>
    <xdr:graphicFrame macro="">
      <xdr:nvGraphicFramePr>
        <xdr:cNvPr id="31745474" name="Chart 10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1171575</xdr:colOff>
      <xdr:row>305</xdr:row>
      <xdr:rowOff>9525</xdr:rowOff>
    </xdr:from>
    <xdr:to>
      <xdr:col>12</xdr:col>
      <xdr:colOff>1095375</xdr:colOff>
      <xdr:row>305</xdr:row>
      <xdr:rowOff>9525</xdr:rowOff>
    </xdr:to>
    <xdr:graphicFrame macro="">
      <xdr:nvGraphicFramePr>
        <xdr:cNvPr id="31745475" name="Chart 10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0</xdr:colOff>
      <xdr:row>146</xdr:row>
      <xdr:rowOff>28575</xdr:rowOff>
    </xdr:from>
    <xdr:to>
      <xdr:col>7</xdr:col>
      <xdr:colOff>0</xdr:colOff>
      <xdr:row>164</xdr:row>
      <xdr:rowOff>142875</xdr:rowOff>
    </xdr:to>
    <xdr:graphicFrame macro="">
      <xdr:nvGraphicFramePr>
        <xdr:cNvPr id="31745476" name="R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447675</xdr:colOff>
      <xdr:row>146</xdr:row>
      <xdr:rowOff>19050</xdr:rowOff>
    </xdr:from>
    <xdr:to>
      <xdr:col>4</xdr:col>
      <xdr:colOff>0</xdr:colOff>
      <xdr:row>164</xdr:row>
      <xdr:rowOff>142875</xdr:rowOff>
    </xdr:to>
    <xdr:graphicFrame macro="">
      <xdr:nvGraphicFramePr>
        <xdr:cNvPr id="31745477" name="R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12700</xdr:colOff>
      <xdr:row>166</xdr:row>
      <xdr:rowOff>30079</xdr:rowOff>
    </xdr:from>
    <xdr:to>
      <xdr:col>10</xdr:col>
      <xdr:colOff>0</xdr:colOff>
      <xdr:row>184</xdr:row>
      <xdr:rowOff>144379</xdr:rowOff>
    </xdr:to>
    <xdr:graphicFrame macro="">
      <xdr:nvGraphicFramePr>
        <xdr:cNvPr id="31745478" name="M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10</xdr:col>
      <xdr:colOff>0</xdr:colOff>
      <xdr:row>166</xdr:row>
      <xdr:rowOff>28575</xdr:rowOff>
    </xdr:from>
    <xdr:to>
      <xdr:col>13</xdr:col>
      <xdr:colOff>0</xdr:colOff>
      <xdr:row>184</xdr:row>
      <xdr:rowOff>142875</xdr:rowOff>
    </xdr:to>
    <xdr:graphicFrame macro="">
      <xdr:nvGraphicFramePr>
        <xdr:cNvPr id="31745479" name="M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341540</xdr:colOff>
      <xdr:row>206</xdr:row>
      <xdr:rowOff>108858</xdr:rowOff>
    </xdr:from>
    <xdr:to>
      <xdr:col>3</xdr:col>
      <xdr:colOff>1129394</xdr:colOff>
      <xdr:row>225</xdr:row>
      <xdr:rowOff>6804</xdr:rowOff>
    </xdr:to>
    <xdr:graphicFrame macro="">
      <xdr:nvGraphicFramePr>
        <xdr:cNvPr id="31745480" name="EBITDA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7</xdr:col>
      <xdr:colOff>0</xdr:colOff>
      <xdr:row>206</xdr:row>
      <xdr:rowOff>28575</xdr:rowOff>
    </xdr:from>
    <xdr:to>
      <xdr:col>10</xdr:col>
      <xdr:colOff>0</xdr:colOff>
      <xdr:row>224</xdr:row>
      <xdr:rowOff>142875</xdr:rowOff>
    </xdr:to>
    <xdr:graphicFrame macro="">
      <xdr:nvGraphicFramePr>
        <xdr:cNvPr id="31745481" name="EBITDA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206</xdr:row>
      <xdr:rowOff>28575</xdr:rowOff>
    </xdr:from>
    <xdr:to>
      <xdr:col>16</xdr:col>
      <xdr:colOff>0</xdr:colOff>
      <xdr:row>224</xdr:row>
      <xdr:rowOff>142875</xdr:rowOff>
    </xdr:to>
    <xdr:graphicFrame macro="">
      <xdr:nvGraphicFramePr>
        <xdr:cNvPr id="31745482" name="EBIT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16</xdr:col>
      <xdr:colOff>0</xdr:colOff>
      <xdr:row>206</xdr:row>
      <xdr:rowOff>28575</xdr:rowOff>
    </xdr:from>
    <xdr:to>
      <xdr:col>19</xdr:col>
      <xdr:colOff>0</xdr:colOff>
      <xdr:row>224</xdr:row>
      <xdr:rowOff>142875</xdr:rowOff>
    </xdr:to>
    <xdr:graphicFrame macro="">
      <xdr:nvGraphicFramePr>
        <xdr:cNvPr id="31745483" name="EBIT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28575</xdr:colOff>
      <xdr:row>46</xdr:row>
      <xdr:rowOff>28575</xdr:rowOff>
    </xdr:from>
    <xdr:to>
      <xdr:col>4</xdr:col>
      <xdr:colOff>0</xdr:colOff>
      <xdr:row>64</xdr:row>
      <xdr:rowOff>114300</xdr:rowOff>
    </xdr:to>
    <xdr:graphicFrame macro="">
      <xdr:nvGraphicFramePr>
        <xdr:cNvPr id="31745484" name="MAI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4</xdr:col>
      <xdr:colOff>0</xdr:colOff>
      <xdr:row>46</xdr:row>
      <xdr:rowOff>28575</xdr:rowOff>
    </xdr:from>
    <xdr:to>
      <xdr:col>6</xdr:col>
      <xdr:colOff>1162050</xdr:colOff>
      <xdr:row>64</xdr:row>
      <xdr:rowOff>114300</xdr:rowOff>
    </xdr:to>
    <xdr:graphicFrame macro="">
      <xdr:nvGraphicFramePr>
        <xdr:cNvPr id="31745485" name="MAIN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xdr:col>
      <xdr:colOff>9525</xdr:colOff>
      <xdr:row>46</xdr:row>
      <xdr:rowOff>28575</xdr:rowOff>
    </xdr:from>
    <xdr:to>
      <xdr:col>9</xdr:col>
      <xdr:colOff>1171575</xdr:colOff>
      <xdr:row>64</xdr:row>
      <xdr:rowOff>114300</xdr:rowOff>
    </xdr:to>
    <xdr:graphicFrame macro="">
      <xdr:nvGraphicFramePr>
        <xdr:cNvPr id="31745486" name="MAIN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10</xdr:col>
      <xdr:colOff>38100</xdr:colOff>
      <xdr:row>46</xdr:row>
      <xdr:rowOff>28575</xdr:rowOff>
    </xdr:from>
    <xdr:to>
      <xdr:col>13</xdr:col>
      <xdr:colOff>0</xdr:colOff>
      <xdr:row>64</xdr:row>
      <xdr:rowOff>114300</xdr:rowOff>
    </xdr:to>
    <xdr:graphicFrame macro="">
      <xdr:nvGraphicFramePr>
        <xdr:cNvPr id="31745487" name="MAIN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4</xdr:col>
      <xdr:colOff>9525</xdr:colOff>
      <xdr:row>166</xdr:row>
      <xdr:rowOff>28575</xdr:rowOff>
    </xdr:from>
    <xdr:to>
      <xdr:col>6</xdr:col>
      <xdr:colOff>1171575</xdr:colOff>
      <xdr:row>184</xdr:row>
      <xdr:rowOff>114300</xdr:rowOff>
    </xdr:to>
    <xdr:graphicFrame macro="">
      <xdr:nvGraphicFramePr>
        <xdr:cNvPr id="31745488" name="M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0</xdr:col>
      <xdr:colOff>457200</xdr:colOff>
      <xdr:row>166</xdr:row>
      <xdr:rowOff>28575</xdr:rowOff>
    </xdr:from>
    <xdr:to>
      <xdr:col>3</xdr:col>
      <xdr:colOff>1152525</xdr:colOff>
      <xdr:row>184</xdr:row>
      <xdr:rowOff>114300</xdr:rowOff>
    </xdr:to>
    <xdr:graphicFrame macro="">
      <xdr:nvGraphicFramePr>
        <xdr:cNvPr id="31745489" name="M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7</xdr:col>
      <xdr:colOff>0</xdr:colOff>
      <xdr:row>146</xdr:row>
      <xdr:rowOff>28575</xdr:rowOff>
    </xdr:from>
    <xdr:to>
      <xdr:col>9</xdr:col>
      <xdr:colOff>1171575</xdr:colOff>
      <xdr:row>164</xdr:row>
      <xdr:rowOff>142875</xdr:rowOff>
    </xdr:to>
    <xdr:graphicFrame macro="">
      <xdr:nvGraphicFramePr>
        <xdr:cNvPr id="31745490" name="R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10</xdr:col>
      <xdr:colOff>0</xdr:colOff>
      <xdr:row>146</xdr:row>
      <xdr:rowOff>28576</xdr:rowOff>
    </xdr:from>
    <xdr:to>
      <xdr:col>12</xdr:col>
      <xdr:colOff>1171575</xdr:colOff>
      <xdr:row>164</xdr:row>
      <xdr:rowOff>134472</xdr:rowOff>
    </xdr:to>
    <xdr:graphicFrame macro="">
      <xdr:nvGraphicFramePr>
        <xdr:cNvPr id="31745491" name="R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4</xdr:col>
      <xdr:colOff>47625</xdr:colOff>
      <xdr:row>326</xdr:row>
      <xdr:rowOff>9525</xdr:rowOff>
    </xdr:from>
    <xdr:to>
      <xdr:col>7</xdr:col>
      <xdr:colOff>9525</xdr:colOff>
      <xdr:row>344</xdr:row>
      <xdr:rowOff>123825</xdr:rowOff>
    </xdr:to>
    <xdr:graphicFrame macro="">
      <xdr:nvGraphicFramePr>
        <xdr:cNvPr id="31745492" name="ROE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xdr:col>
      <xdr:colOff>9525</xdr:colOff>
      <xdr:row>326</xdr:row>
      <xdr:rowOff>28575</xdr:rowOff>
    </xdr:from>
    <xdr:to>
      <xdr:col>3</xdr:col>
      <xdr:colOff>1171575</xdr:colOff>
      <xdr:row>344</xdr:row>
      <xdr:rowOff>114300</xdr:rowOff>
    </xdr:to>
    <xdr:graphicFrame macro="">
      <xdr:nvGraphicFramePr>
        <xdr:cNvPr id="31745493" name="PROF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xdr:col>
      <xdr:colOff>76200</xdr:colOff>
      <xdr:row>326</xdr:row>
      <xdr:rowOff>28575</xdr:rowOff>
    </xdr:from>
    <xdr:to>
      <xdr:col>13</xdr:col>
      <xdr:colOff>0</xdr:colOff>
      <xdr:row>344</xdr:row>
      <xdr:rowOff>142875</xdr:rowOff>
    </xdr:to>
    <xdr:graphicFrame macro="">
      <xdr:nvGraphicFramePr>
        <xdr:cNvPr id="31745494" name="ROCE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7</xdr:col>
      <xdr:colOff>0</xdr:colOff>
      <xdr:row>326</xdr:row>
      <xdr:rowOff>28575</xdr:rowOff>
    </xdr:from>
    <xdr:to>
      <xdr:col>10</xdr:col>
      <xdr:colOff>0</xdr:colOff>
      <xdr:row>344</xdr:row>
      <xdr:rowOff>142875</xdr:rowOff>
    </xdr:to>
    <xdr:graphicFrame macro="">
      <xdr:nvGraphicFramePr>
        <xdr:cNvPr id="31745495" name="ROA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4</xdr:col>
      <xdr:colOff>0</xdr:colOff>
      <xdr:row>226</xdr:row>
      <xdr:rowOff>28575</xdr:rowOff>
    </xdr:from>
    <xdr:to>
      <xdr:col>7</xdr:col>
      <xdr:colOff>0</xdr:colOff>
      <xdr:row>244</xdr:row>
      <xdr:rowOff>142875</xdr:rowOff>
    </xdr:to>
    <xdr:graphicFrame macro="">
      <xdr:nvGraphicFramePr>
        <xdr:cNvPr id="31745496" name="EPS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0</xdr:col>
      <xdr:colOff>457200</xdr:colOff>
      <xdr:row>226</xdr:row>
      <xdr:rowOff>28575</xdr:rowOff>
    </xdr:from>
    <xdr:to>
      <xdr:col>4</xdr:col>
      <xdr:colOff>0</xdr:colOff>
      <xdr:row>244</xdr:row>
      <xdr:rowOff>142875</xdr:rowOff>
    </xdr:to>
    <xdr:graphicFrame macro="">
      <xdr:nvGraphicFramePr>
        <xdr:cNvPr id="31745497" name="NI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xdr:col>
      <xdr:colOff>1</xdr:colOff>
      <xdr:row>226</xdr:row>
      <xdr:rowOff>83003</xdr:rowOff>
    </xdr:from>
    <xdr:to>
      <xdr:col>10</xdr:col>
      <xdr:colOff>1</xdr:colOff>
      <xdr:row>244</xdr:row>
      <xdr:rowOff>130628</xdr:rowOff>
    </xdr:to>
    <xdr:graphicFrame macro="">
      <xdr:nvGraphicFramePr>
        <xdr:cNvPr id="31745499" name="EPS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4</xdr:col>
      <xdr:colOff>0</xdr:colOff>
      <xdr:row>266</xdr:row>
      <xdr:rowOff>47625</xdr:rowOff>
    </xdr:from>
    <xdr:to>
      <xdr:col>7</xdr:col>
      <xdr:colOff>0</xdr:colOff>
      <xdr:row>284</xdr:row>
      <xdr:rowOff>95250</xdr:rowOff>
    </xdr:to>
    <xdr:graphicFrame macro="">
      <xdr:nvGraphicFramePr>
        <xdr:cNvPr id="31745500" name="CAP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0</xdr:col>
      <xdr:colOff>457200</xdr:colOff>
      <xdr:row>266</xdr:row>
      <xdr:rowOff>28575</xdr:rowOff>
    </xdr:from>
    <xdr:to>
      <xdr:col>4</xdr:col>
      <xdr:colOff>0</xdr:colOff>
      <xdr:row>284</xdr:row>
      <xdr:rowOff>142875</xdr:rowOff>
    </xdr:to>
    <xdr:graphicFrame macro="">
      <xdr:nvGraphicFramePr>
        <xdr:cNvPr id="31745501" name="CAP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7</xdr:col>
      <xdr:colOff>0</xdr:colOff>
      <xdr:row>285</xdr:row>
      <xdr:rowOff>9525</xdr:rowOff>
    </xdr:from>
    <xdr:to>
      <xdr:col>9</xdr:col>
      <xdr:colOff>1133475</xdr:colOff>
      <xdr:row>285</xdr:row>
      <xdr:rowOff>9525</xdr:rowOff>
    </xdr:to>
    <xdr:graphicFrame macro="">
      <xdr:nvGraphicFramePr>
        <xdr:cNvPr id="31745503" name="Chart 11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7</xdr:col>
      <xdr:colOff>0</xdr:colOff>
      <xdr:row>285</xdr:row>
      <xdr:rowOff>9525</xdr:rowOff>
    </xdr:from>
    <xdr:to>
      <xdr:col>9</xdr:col>
      <xdr:colOff>1133475</xdr:colOff>
      <xdr:row>285</xdr:row>
      <xdr:rowOff>9525</xdr:rowOff>
    </xdr:to>
    <xdr:graphicFrame macro="">
      <xdr:nvGraphicFramePr>
        <xdr:cNvPr id="31745504" name="Chart 11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9</xdr:col>
      <xdr:colOff>1171575</xdr:colOff>
      <xdr:row>305</xdr:row>
      <xdr:rowOff>9525</xdr:rowOff>
    </xdr:from>
    <xdr:to>
      <xdr:col>12</xdr:col>
      <xdr:colOff>1095375</xdr:colOff>
      <xdr:row>305</xdr:row>
      <xdr:rowOff>9525</xdr:rowOff>
    </xdr:to>
    <xdr:graphicFrame macro="">
      <xdr:nvGraphicFramePr>
        <xdr:cNvPr id="31745505" name="Chart 11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9</xdr:col>
      <xdr:colOff>1171575</xdr:colOff>
      <xdr:row>305</xdr:row>
      <xdr:rowOff>9525</xdr:rowOff>
    </xdr:from>
    <xdr:to>
      <xdr:col>12</xdr:col>
      <xdr:colOff>1095375</xdr:colOff>
      <xdr:row>305</xdr:row>
      <xdr:rowOff>9525</xdr:rowOff>
    </xdr:to>
    <xdr:graphicFrame macro="">
      <xdr:nvGraphicFramePr>
        <xdr:cNvPr id="31745506" name="Chart 11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4</xdr:col>
      <xdr:colOff>0</xdr:colOff>
      <xdr:row>286</xdr:row>
      <xdr:rowOff>28575</xdr:rowOff>
    </xdr:from>
    <xdr:to>
      <xdr:col>6</xdr:col>
      <xdr:colOff>1143000</xdr:colOff>
      <xdr:row>304</xdr:row>
      <xdr:rowOff>114300</xdr:rowOff>
    </xdr:to>
    <xdr:graphicFrame macro="">
      <xdr:nvGraphicFramePr>
        <xdr:cNvPr id="31745507" name="WC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xdr:col>
      <xdr:colOff>0</xdr:colOff>
      <xdr:row>286</xdr:row>
      <xdr:rowOff>38100</xdr:rowOff>
    </xdr:from>
    <xdr:to>
      <xdr:col>4</xdr:col>
      <xdr:colOff>0</xdr:colOff>
      <xdr:row>304</xdr:row>
      <xdr:rowOff>152400</xdr:rowOff>
    </xdr:to>
    <xdr:graphicFrame macro="">
      <xdr:nvGraphicFramePr>
        <xdr:cNvPr id="31745508" name="WC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4</xdr:col>
      <xdr:colOff>0</xdr:colOff>
      <xdr:row>285</xdr:row>
      <xdr:rowOff>9525</xdr:rowOff>
    </xdr:from>
    <xdr:to>
      <xdr:col>6</xdr:col>
      <xdr:colOff>1133475</xdr:colOff>
      <xdr:row>285</xdr:row>
      <xdr:rowOff>9525</xdr:rowOff>
    </xdr:to>
    <xdr:graphicFrame macro="">
      <xdr:nvGraphicFramePr>
        <xdr:cNvPr id="31745509" name="Chart 11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4</xdr:col>
      <xdr:colOff>0</xdr:colOff>
      <xdr:row>285</xdr:row>
      <xdr:rowOff>9525</xdr:rowOff>
    </xdr:from>
    <xdr:to>
      <xdr:col>6</xdr:col>
      <xdr:colOff>1133475</xdr:colOff>
      <xdr:row>285</xdr:row>
      <xdr:rowOff>9525</xdr:rowOff>
    </xdr:to>
    <xdr:graphicFrame macro="">
      <xdr:nvGraphicFramePr>
        <xdr:cNvPr id="31745510" name="Chart 11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7</xdr:col>
      <xdr:colOff>0</xdr:colOff>
      <xdr:row>285</xdr:row>
      <xdr:rowOff>9525</xdr:rowOff>
    </xdr:from>
    <xdr:to>
      <xdr:col>9</xdr:col>
      <xdr:colOff>1133475</xdr:colOff>
      <xdr:row>285</xdr:row>
      <xdr:rowOff>9525</xdr:rowOff>
    </xdr:to>
    <xdr:graphicFrame macro="">
      <xdr:nvGraphicFramePr>
        <xdr:cNvPr id="31745511" name="Chart 11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7</xdr:col>
      <xdr:colOff>0</xdr:colOff>
      <xdr:row>285</xdr:row>
      <xdr:rowOff>9525</xdr:rowOff>
    </xdr:from>
    <xdr:to>
      <xdr:col>9</xdr:col>
      <xdr:colOff>1133475</xdr:colOff>
      <xdr:row>285</xdr:row>
      <xdr:rowOff>9525</xdr:rowOff>
    </xdr:to>
    <xdr:graphicFrame macro="">
      <xdr:nvGraphicFramePr>
        <xdr:cNvPr id="31745512" name="Chart 11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10</xdr:col>
      <xdr:colOff>0</xdr:colOff>
      <xdr:row>305</xdr:row>
      <xdr:rowOff>9525</xdr:rowOff>
    </xdr:from>
    <xdr:to>
      <xdr:col>13</xdr:col>
      <xdr:colOff>0</xdr:colOff>
      <xdr:row>305</xdr:row>
      <xdr:rowOff>9525</xdr:rowOff>
    </xdr:to>
    <xdr:graphicFrame macro="">
      <xdr:nvGraphicFramePr>
        <xdr:cNvPr id="31745513" name="Chart 11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10</xdr:col>
      <xdr:colOff>0</xdr:colOff>
      <xdr:row>305</xdr:row>
      <xdr:rowOff>9525</xdr:rowOff>
    </xdr:from>
    <xdr:to>
      <xdr:col>13</xdr:col>
      <xdr:colOff>0</xdr:colOff>
      <xdr:row>305</xdr:row>
      <xdr:rowOff>9525</xdr:rowOff>
    </xdr:to>
    <xdr:graphicFrame macro="">
      <xdr:nvGraphicFramePr>
        <xdr:cNvPr id="31745514" name="Chart 11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7</xdr:col>
      <xdr:colOff>123825</xdr:colOff>
      <xdr:row>286</xdr:row>
      <xdr:rowOff>28575</xdr:rowOff>
    </xdr:from>
    <xdr:to>
      <xdr:col>10</xdr:col>
      <xdr:colOff>0</xdr:colOff>
      <xdr:row>304</xdr:row>
      <xdr:rowOff>114300</xdr:rowOff>
    </xdr:to>
    <xdr:graphicFrame macro="">
      <xdr:nvGraphicFramePr>
        <xdr:cNvPr id="31745515" name="WC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4</xdr:col>
      <xdr:colOff>0</xdr:colOff>
      <xdr:row>306</xdr:row>
      <xdr:rowOff>28575</xdr:rowOff>
    </xdr:from>
    <xdr:to>
      <xdr:col>7</xdr:col>
      <xdr:colOff>0</xdr:colOff>
      <xdr:row>324</xdr:row>
      <xdr:rowOff>76200</xdr:rowOff>
    </xdr:to>
    <xdr:graphicFrame macro="">
      <xdr:nvGraphicFramePr>
        <xdr:cNvPr id="31745516" name="ND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twoCellAnchor>
    <xdr:from>
      <xdr:col>1</xdr:col>
      <xdr:colOff>9525</xdr:colOff>
      <xdr:row>306</xdr:row>
      <xdr:rowOff>28575</xdr:rowOff>
    </xdr:from>
    <xdr:to>
      <xdr:col>4</xdr:col>
      <xdr:colOff>0</xdr:colOff>
      <xdr:row>324</xdr:row>
      <xdr:rowOff>142875</xdr:rowOff>
    </xdr:to>
    <xdr:graphicFrame macro="">
      <xdr:nvGraphicFramePr>
        <xdr:cNvPr id="31745517" name="ND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xdr:from>
      <xdr:col>7</xdr:col>
      <xdr:colOff>38100</xdr:colOff>
      <xdr:row>306</xdr:row>
      <xdr:rowOff>66675</xdr:rowOff>
    </xdr:from>
    <xdr:to>
      <xdr:col>10</xdr:col>
      <xdr:colOff>0</xdr:colOff>
      <xdr:row>324</xdr:row>
      <xdr:rowOff>114300</xdr:rowOff>
    </xdr:to>
    <xdr:graphicFrame macro="">
      <xdr:nvGraphicFramePr>
        <xdr:cNvPr id="31745518" name="INT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twoCellAnchor>
  <xdr:twoCellAnchor>
    <xdr:from>
      <xdr:col>7</xdr:col>
      <xdr:colOff>35718</xdr:colOff>
      <xdr:row>266</xdr:row>
      <xdr:rowOff>38100</xdr:rowOff>
    </xdr:from>
    <xdr:to>
      <xdr:col>9</xdr:col>
      <xdr:colOff>1162049</xdr:colOff>
      <xdr:row>285</xdr:row>
      <xdr:rowOff>0</xdr:rowOff>
    </xdr:to>
    <xdr:graphicFrame macro="">
      <xdr:nvGraphicFramePr>
        <xdr:cNvPr id="31745519" name="CAP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xdr:from>
      <xdr:col>7</xdr:col>
      <xdr:colOff>3767</xdr:colOff>
      <xdr:row>4</xdr:row>
      <xdr:rowOff>37249</xdr:rowOff>
    </xdr:from>
    <xdr:to>
      <xdr:col>9</xdr:col>
      <xdr:colOff>1182307</xdr:colOff>
      <xdr:row>23</xdr:row>
      <xdr:rowOff>4191</xdr:rowOff>
    </xdr:to>
    <xdr:graphicFrame macro="">
      <xdr:nvGraphicFramePr>
        <xdr:cNvPr id="31745520" name="C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xdr:twoCellAnchor>
    <xdr:from>
      <xdr:col>0</xdr:col>
      <xdr:colOff>451185</xdr:colOff>
      <xdr:row>345</xdr:row>
      <xdr:rowOff>122823</xdr:rowOff>
    </xdr:from>
    <xdr:to>
      <xdr:col>3</xdr:col>
      <xdr:colOff>1173080</xdr:colOff>
      <xdr:row>364</xdr:row>
      <xdr:rowOff>140369</xdr:rowOff>
    </xdr:to>
    <xdr:graphicFrame macro="">
      <xdr:nvGraphicFramePr>
        <xdr:cNvPr id="31745521" name="PE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xdr:from>
      <xdr:col>7</xdr:col>
      <xdr:colOff>0</xdr:colOff>
      <xdr:row>346</xdr:row>
      <xdr:rowOff>0</xdr:rowOff>
    </xdr:from>
    <xdr:to>
      <xdr:col>10</xdr:col>
      <xdr:colOff>0</xdr:colOff>
      <xdr:row>365</xdr:row>
      <xdr:rowOff>0</xdr:rowOff>
    </xdr:to>
    <xdr:graphicFrame macro="">
      <xdr:nvGraphicFramePr>
        <xdr:cNvPr id="31745522" name="EV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xdr:twoCellAnchor>
    <xdr:from>
      <xdr:col>10</xdr:col>
      <xdr:colOff>0</xdr:colOff>
      <xdr:row>346</xdr:row>
      <xdr:rowOff>0</xdr:rowOff>
    </xdr:from>
    <xdr:to>
      <xdr:col>13</xdr:col>
      <xdr:colOff>0</xdr:colOff>
      <xdr:row>365</xdr:row>
      <xdr:rowOff>0</xdr:rowOff>
    </xdr:to>
    <xdr:graphicFrame macro="">
      <xdr:nvGraphicFramePr>
        <xdr:cNvPr id="31745523" name="EV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twoCellAnchor>
  <xdr:twoCellAnchor>
    <xdr:from>
      <xdr:col>16</xdr:col>
      <xdr:colOff>47625</xdr:colOff>
      <xdr:row>346</xdr:row>
      <xdr:rowOff>28575</xdr:rowOff>
    </xdr:from>
    <xdr:to>
      <xdr:col>19</xdr:col>
      <xdr:colOff>0</xdr:colOff>
      <xdr:row>364</xdr:row>
      <xdr:rowOff>76200</xdr:rowOff>
    </xdr:to>
    <xdr:graphicFrame macro="">
      <xdr:nvGraphicFramePr>
        <xdr:cNvPr id="31745524" name="FCF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
        </a:graphicData>
      </a:graphic>
    </xdr:graphicFrame>
    <xdr:clientData/>
  </xdr:twoCellAnchor>
  <xdr:twoCellAnchor>
    <xdr:from>
      <xdr:col>4</xdr:col>
      <xdr:colOff>0</xdr:colOff>
      <xdr:row>346</xdr:row>
      <xdr:rowOff>0</xdr:rowOff>
    </xdr:from>
    <xdr:to>
      <xdr:col>7</xdr:col>
      <xdr:colOff>0</xdr:colOff>
      <xdr:row>365</xdr:row>
      <xdr:rowOff>0</xdr:rowOff>
    </xdr:to>
    <xdr:graphicFrame macro="">
      <xdr:nvGraphicFramePr>
        <xdr:cNvPr id="31745525" name="PB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
        </a:graphicData>
      </a:graphic>
    </xdr:graphicFrame>
    <xdr:clientData/>
  </xdr:twoCellAnchor>
  <xdr:twoCellAnchor>
    <xdr:from>
      <xdr:col>19</xdr:col>
      <xdr:colOff>9525</xdr:colOff>
      <xdr:row>346</xdr:row>
      <xdr:rowOff>28575</xdr:rowOff>
    </xdr:from>
    <xdr:to>
      <xdr:col>22</xdr:col>
      <xdr:colOff>0</xdr:colOff>
      <xdr:row>364</xdr:row>
      <xdr:rowOff>76200</xdr:rowOff>
    </xdr:to>
    <xdr:graphicFrame macro="">
      <xdr:nvGraphicFramePr>
        <xdr:cNvPr id="31745526" name="DIVID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
        </a:graphicData>
      </a:graphic>
    </xdr:graphicFrame>
    <xdr:clientData/>
  </xdr:twoCellAnchor>
  <xdr:twoCellAnchor>
    <xdr:from>
      <xdr:col>10</xdr:col>
      <xdr:colOff>0</xdr:colOff>
      <xdr:row>266</xdr:row>
      <xdr:rowOff>28575</xdr:rowOff>
    </xdr:from>
    <xdr:to>
      <xdr:col>13</xdr:col>
      <xdr:colOff>0</xdr:colOff>
      <xdr:row>284</xdr:row>
      <xdr:rowOff>123825</xdr:rowOff>
    </xdr:to>
    <xdr:graphicFrame macro="">
      <xdr:nvGraphicFramePr>
        <xdr:cNvPr id="31745527" name="CAP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twoCellAnchor>
    <xdr:from>
      <xdr:col>1</xdr:col>
      <xdr:colOff>38100</xdr:colOff>
      <xdr:row>246</xdr:row>
      <xdr:rowOff>28575</xdr:rowOff>
    </xdr:from>
    <xdr:to>
      <xdr:col>4</xdr:col>
      <xdr:colOff>0</xdr:colOff>
      <xdr:row>264</xdr:row>
      <xdr:rowOff>114300</xdr:rowOff>
    </xdr:to>
    <xdr:graphicFrame macro="">
      <xdr:nvGraphicFramePr>
        <xdr:cNvPr id="31745528" name="CF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
        </a:graphicData>
      </a:graphic>
    </xdr:graphicFrame>
    <xdr:clientData/>
  </xdr:twoCellAnchor>
  <xdr:twoCellAnchor>
    <xdr:from>
      <xdr:col>4</xdr:col>
      <xdr:colOff>0</xdr:colOff>
      <xdr:row>246</xdr:row>
      <xdr:rowOff>28575</xdr:rowOff>
    </xdr:from>
    <xdr:to>
      <xdr:col>7</xdr:col>
      <xdr:colOff>0</xdr:colOff>
      <xdr:row>264</xdr:row>
      <xdr:rowOff>142875</xdr:rowOff>
    </xdr:to>
    <xdr:graphicFrame macro="">
      <xdr:nvGraphicFramePr>
        <xdr:cNvPr id="31745529" name="CF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
        </a:graphicData>
      </a:graphic>
    </xdr:graphicFrame>
    <xdr:clientData/>
  </xdr:twoCellAnchor>
  <xdr:twoCellAnchor>
    <xdr:from>
      <xdr:col>7</xdr:col>
      <xdr:colOff>57150</xdr:colOff>
      <xdr:row>246</xdr:row>
      <xdr:rowOff>9525</xdr:rowOff>
    </xdr:from>
    <xdr:to>
      <xdr:col>10</xdr:col>
      <xdr:colOff>19050</xdr:colOff>
      <xdr:row>264</xdr:row>
      <xdr:rowOff>123825</xdr:rowOff>
    </xdr:to>
    <xdr:graphicFrame macro="">
      <xdr:nvGraphicFramePr>
        <xdr:cNvPr id="31745531" name="CF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
        </a:graphicData>
      </a:graphic>
    </xdr:graphicFrame>
    <xdr:clientData/>
  </xdr:twoCellAnchor>
  <xdr:twoCellAnchor>
    <xdr:from>
      <xdr:col>0</xdr:col>
      <xdr:colOff>333375</xdr:colOff>
      <xdr:row>84</xdr:row>
      <xdr:rowOff>123825</xdr:rowOff>
    </xdr:from>
    <xdr:to>
      <xdr:col>3</xdr:col>
      <xdr:colOff>1114425</xdr:colOff>
      <xdr:row>84</xdr:row>
      <xdr:rowOff>123825</xdr:rowOff>
    </xdr:to>
    <xdr:graphicFrame macro="">
      <xdr:nvGraphicFramePr>
        <xdr:cNvPr id="31745532" name="Chart 11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
        </a:graphicData>
      </a:graphic>
    </xdr:graphicFrame>
    <xdr:clientData/>
  </xdr:twoCellAnchor>
  <xdr:twoCellAnchor>
    <xdr:from>
      <xdr:col>0</xdr:col>
      <xdr:colOff>333375</xdr:colOff>
      <xdr:row>84</xdr:row>
      <xdr:rowOff>123825</xdr:rowOff>
    </xdr:from>
    <xdr:to>
      <xdr:col>3</xdr:col>
      <xdr:colOff>1114425</xdr:colOff>
      <xdr:row>84</xdr:row>
      <xdr:rowOff>123825</xdr:rowOff>
    </xdr:to>
    <xdr:graphicFrame macro="">
      <xdr:nvGraphicFramePr>
        <xdr:cNvPr id="31745533" name="Chart 11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
        </a:graphicData>
      </a:graphic>
    </xdr:graphicFrame>
    <xdr:clientData/>
  </xdr:twoCellAnchor>
  <xdr:twoCellAnchor>
    <xdr:from>
      <xdr:col>0</xdr:col>
      <xdr:colOff>352425</xdr:colOff>
      <xdr:row>125</xdr:row>
      <xdr:rowOff>9525</xdr:rowOff>
    </xdr:from>
    <xdr:to>
      <xdr:col>3</xdr:col>
      <xdr:colOff>1133475</xdr:colOff>
      <xdr:row>125</xdr:row>
      <xdr:rowOff>9525</xdr:rowOff>
    </xdr:to>
    <xdr:graphicFrame macro="">
      <xdr:nvGraphicFramePr>
        <xdr:cNvPr id="31745534" name="Chart 11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
        </a:graphicData>
      </a:graphic>
    </xdr:graphicFrame>
    <xdr:clientData/>
  </xdr:twoCellAnchor>
  <xdr:twoCellAnchor>
    <xdr:from>
      <xdr:col>0</xdr:col>
      <xdr:colOff>352425</xdr:colOff>
      <xdr:row>125</xdr:row>
      <xdr:rowOff>9525</xdr:rowOff>
    </xdr:from>
    <xdr:to>
      <xdr:col>3</xdr:col>
      <xdr:colOff>1133475</xdr:colOff>
      <xdr:row>125</xdr:row>
      <xdr:rowOff>9525</xdr:rowOff>
    </xdr:to>
    <xdr:graphicFrame macro="">
      <xdr:nvGraphicFramePr>
        <xdr:cNvPr id="31745535" name="Chart 11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
        </a:graphicData>
      </a:graphic>
    </xdr:graphicFrame>
    <xdr:clientData/>
  </xdr:twoCellAnchor>
  <xdr:twoCellAnchor>
    <xdr:from>
      <xdr:col>0</xdr:col>
      <xdr:colOff>352425</xdr:colOff>
      <xdr:row>125</xdr:row>
      <xdr:rowOff>9525</xdr:rowOff>
    </xdr:from>
    <xdr:to>
      <xdr:col>3</xdr:col>
      <xdr:colOff>1133475</xdr:colOff>
      <xdr:row>125</xdr:row>
      <xdr:rowOff>9525</xdr:rowOff>
    </xdr:to>
    <xdr:graphicFrame macro="">
      <xdr:nvGraphicFramePr>
        <xdr:cNvPr id="31745536" name="Chart 11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
        </a:graphicData>
      </a:graphic>
    </xdr:graphicFrame>
    <xdr:clientData/>
  </xdr:twoCellAnchor>
  <xdr:twoCellAnchor>
    <xdr:from>
      <xdr:col>0</xdr:col>
      <xdr:colOff>352425</xdr:colOff>
      <xdr:row>125</xdr:row>
      <xdr:rowOff>9525</xdr:rowOff>
    </xdr:from>
    <xdr:to>
      <xdr:col>3</xdr:col>
      <xdr:colOff>1133475</xdr:colOff>
      <xdr:row>125</xdr:row>
      <xdr:rowOff>9525</xdr:rowOff>
    </xdr:to>
    <xdr:graphicFrame macro="">
      <xdr:nvGraphicFramePr>
        <xdr:cNvPr id="31745537" name="Chart 11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
        </a:graphicData>
      </a:graphic>
    </xdr:graphicFrame>
    <xdr:clientData/>
  </xdr:twoCellAnchor>
  <xdr:twoCellAnchor>
    <xdr:from>
      <xdr:col>1</xdr:col>
      <xdr:colOff>0</xdr:colOff>
      <xdr:row>66</xdr:row>
      <xdr:rowOff>28575</xdr:rowOff>
    </xdr:from>
    <xdr:to>
      <xdr:col>4</xdr:col>
      <xdr:colOff>0</xdr:colOff>
      <xdr:row>84</xdr:row>
      <xdr:rowOff>123825</xdr:rowOff>
    </xdr:to>
    <xdr:graphicFrame macro="">
      <xdr:nvGraphicFramePr>
        <xdr:cNvPr id="31745538" name="VOL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
        </a:graphicData>
      </a:graphic>
    </xdr:graphicFrame>
    <xdr:clientData/>
  </xdr:twoCellAnchor>
  <xdr:twoCellAnchor>
    <xdr:from>
      <xdr:col>15</xdr:col>
      <xdr:colOff>1095375</xdr:colOff>
      <xdr:row>84</xdr:row>
      <xdr:rowOff>123825</xdr:rowOff>
    </xdr:from>
    <xdr:to>
      <xdr:col>18</xdr:col>
      <xdr:colOff>1019175</xdr:colOff>
      <xdr:row>84</xdr:row>
      <xdr:rowOff>123825</xdr:rowOff>
    </xdr:to>
    <xdr:graphicFrame macro="">
      <xdr:nvGraphicFramePr>
        <xdr:cNvPr id="31745539" name="Chart 11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
        </a:graphicData>
      </a:graphic>
    </xdr:graphicFrame>
    <xdr:clientData/>
  </xdr:twoCellAnchor>
  <xdr:twoCellAnchor>
    <xdr:from>
      <xdr:col>15</xdr:col>
      <xdr:colOff>1095375</xdr:colOff>
      <xdr:row>84</xdr:row>
      <xdr:rowOff>123825</xdr:rowOff>
    </xdr:from>
    <xdr:to>
      <xdr:col>18</xdr:col>
      <xdr:colOff>1019175</xdr:colOff>
      <xdr:row>84</xdr:row>
      <xdr:rowOff>123825</xdr:rowOff>
    </xdr:to>
    <xdr:graphicFrame macro="">
      <xdr:nvGraphicFramePr>
        <xdr:cNvPr id="31745540" name="Chart 11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
        </a:graphicData>
      </a:graphic>
    </xdr:graphicFrame>
    <xdr:clientData/>
  </xdr:twoCellAnchor>
  <xdr:twoCellAnchor>
    <xdr:from>
      <xdr:col>6</xdr:col>
      <xdr:colOff>1104900</xdr:colOff>
      <xdr:row>125</xdr:row>
      <xdr:rowOff>9525</xdr:rowOff>
    </xdr:from>
    <xdr:to>
      <xdr:col>9</xdr:col>
      <xdr:colOff>1028700</xdr:colOff>
      <xdr:row>125</xdr:row>
      <xdr:rowOff>9525</xdr:rowOff>
    </xdr:to>
    <xdr:graphicFrame macro="">
      <xdr:nvGraphicFramePr>
        <xdr:cNvPr id="31745541" name="Chart 11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
        </a:graphicData>
      </a:graphic>
    </xdr:graphicFrame>
    <xdr:clientData/>
  </xdr:twoCellAnchor>
  <xdr:twoCellAnchor>
    <xdr:from>
      <xdr:col>6</xdr:col>
      <xdr:colOff>1104900</xdr:colOff>
      <xdr:row>125</xdr:row>
      <xdr:rowOff>9525</xdr:rowOff>
    </xdr:from>
    <xdr:to>
      <xdr:col>9</xdr:col>
      <xdr:colOff>1028700</xdr:colOff>
      <xdr:row>125</xdr:row>
      <xdr:rowOff>9525</xdr:rowOff>
    </xdr:to>
    <xdr:graphicFrame macro="">
      <xdr:nvGraphicFramePr>
        <xdr:cNvPr id="31745542" name="Chart 11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
        </a:graphicData>
      </a:graphic>
    </xdr:graphicFrame>
    <xdr:clientData/>
  </xdr:twoCellAnchor>
  <xdr:twoCellAnchor>
    <xdr:from>
      <xdr:col>6</xdr:col>
      <xdr:colOff>1104900</xdr:colOff>
      <xdr:row>125</xdr:row>
      <xdr:rowOff>9525</xdr:rowOff>
    </xdr:from>
    <xdr:to>
      <xdr:col>9</xdr:col>
      <xdr:colOff>1028700</xdr:colOff>
      <xdr:row>125</xdr:row>
      <xdr:rowOff>9525</xdr:rowOff>
    </xdr:to>
    <xdr:graphicFrame macro="">
      <xdr:nvGraphicFramePr>
        <xdr:cNvPr id="31745543" name="Chart 11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
        </a:graphicData>
      </a:graphic>
    </xdr:graphicFrame>
    <xdr:clientData/>
  </xdr:twoCellAnchor>
  <xdr:twoCellAnchor>
    <xdr:from>
      <xdr:col>6</xdr:col>
      <xdr:colOff>1104900</xdr:colOff>
      <xdr:row>125</xdr:row>
      <xdr:rowOff>9525</xdr:rowOff>
    </xdr:from>
    <xdr:to>
      <xdr:col>9</xdr:col>
      <xdr:colOff>1028700</xdr:colOff>
      <xdr:row>125</xdr:row>
      <xdr:rowOff>9525</xdr:rowOff>
    </xdr:to>
    <xdr:graphicFrame macro="">
      <xdr:nvGraphicFramePr>
        <xdr:cNvPr id="31745544" name="Chart 115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
        </a:graphicData>
      </a:graphic>
    </xdr:graphicFrame>
    <xdr:clientData/>
  </xdr:twoCellAnchor>
  <xdr:twoCellAnchor>
    <xdr:from>
      <xdr:col>10</xdr:col>
      <xdr:colOff>76200</xdr:colOff>
      <xdr:row>86</xdr:row>
      <xdr:rowOff>76200</xdr:rowOff>
    </xdr:from>
    <xdr:to>
      <xdr:col>12</xdr:col>
      <xdr:colOff>1162050</xdr:colOff>
      <xdr:row>104</xdr:row>
      <xdr:rowOff>123825</xdr:rowOff>
    </xdr:to>
    <xdr:graphicFrame macro="">
      <xdr:nvGraphicFramePr>
        <xdr:cNvPr id="31745545" name="VOL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0"/>
        </a:graphicData>
      </a:graphic>
    </xdr:graphicFrame>
    <xdr:clientData/>
  </xdr:twoCellAnchor>
  <xdr:twoCellAnchor>
    <xdr:from>
      <xdr:col>13</xdr:col>
      <xdr:colOff>-1</xdr:colOff>
      <xdr:row>106</xdr:row>
      <xdr:rowOff>6164</xdr:rowOff>
    </xdr:from>
    <xdr:to>
      <xdr:col>16</xdr:col>
      <xdr:colOff>0</xdr:colOff>
      <xdr:row>124</xdr:row>
      <xdr:rowOff>120464</xdr:rowOff>
    </xdr:to>
    <xdr:graphicFrame macro="">
      <xdr:nvGraphicFramePr>
        <xdr:cNvPr id="31745546" name="VOL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1"/>
        </a:graphicData>
      </a:graphic>
    </xdr:graphicFrame>
    <xdr:clientData/>
  </xdr:twoCellAnchor>
  <xdr:twoCellAnchor>
    <xdr:from>
      <xdr:col>16</xdr:col>
      <xdr:colOff>33618</xdr:colOff>
      <xdr:row>105</xdr:row>
      <xdr:rowOff>145677</xdr:rowOff>
    </xdr:from>
    <xdr:to>
      <xdr:col>19</xdr:col>
      <xdr:colOff>33617</xdr:colOff>
      <xdr:row>124</xdr:row>
      <xdr:rowOff>103094</xdr:rowOff>
    </xdr:to>
    <xdr:graphicFrame macro="">
      <xdr:nvGraphicFramePr>
        <xdr:cNvPr id="31745547" name="VOL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2"/>
        </a:graphicData>
      </a:graphic>
    </xdr:graphicFrame>
    <xdr:clientData/>
  </xdr:twoCellAnchor>
  <xdr:twoCellAnchor>
    <xdr:from>
      <xdr:col>10</xdr:col>
      <xdr:colOff>0</xdr:colOff>
      <xdr:row>56</xdr:row>
      <xdr:rowOff>123825</xdr:rowOff>
    </xdr:from>
    <xdr:to>
      <xdr:col>12</xdr:col>
      <xdr:colOff>1114425</xdr:colOff>
      <xdr:row>56</xdr:row>
      <xdr:rowOff>123825</xdr:rowOff>
    </xdr:to>
    <xdr:graphicFrame macro="">
      <xdr:nvGraphicFramePr>
        <xdr:cNvPr id="31745549" name="Chart 117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3"/>
        </a:graphicData>
      </a:graphic>
    </xdr:graphicFrame>
    <xdr:clientData/>
  </xdr:twoCellAnchor>
  <xdr:twoCellAnchor>
    <xdr:from>
      <xdr:col>10</xdr:col>
      <xdr:colOff>0</xdr:colOff>
      <xdr:row>56</xdr:row>
      <xdr:rowOff>123825</xdr:rowOff>
    </xdr:from>
    <xdr:to>
      <xdr:col>12</xdr:col>
      <xdr:colOff>1114425</xdr:colOff>
      <xdr:row>56</xdr:row>
      <xdr:rowOff>123825</xdr:rowOff>
    </xdr:to>
    <xdr:graphicFrame macro="">
      <xdr:nvGraphicFramePr>
        <xdr:cNvPr id="31745550" name="Chart 117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4"/>
        </a:graphicData>
      </a:graphic>
    </xdr:graphicFrame>
    <xdr:clientData/>
  </xdr:twoCellAnchor>
  <xdr:twoCellAnchor>
    <xdr:from>
      <xdr:col>10</xdr:col>
      <xdr:colOff>0</xdr:colOff>
      <xdr:row>57</xdr:row>
      <xdr:rowOff>9525</xdr:rowOff>
    </xdr:from>
    <xdr:to>
      <xdr:col>12</xdr:col>
      <xdr:colOff>1133475</xdr:colOff>
      <xdr:row>57</xdr:row>
      <xdr:rowOff>9525</xdr:rowOff>
    </xdr:to>
    <xdr:graphicFrame macro="">
      <xdr:nvGraphicFramePr>
        <xdr:cNvPr id="31745551" name="Chart 117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5"/>
        </a:graphicData>
      </a:graphic>
    </xdr:graphicFrame>
    <xdr:clientData/>
  </xdr:twoCellAnchor>
  <xdr:twoCellAnchor>
    <xdr:from>
      <xdr:col>10</xdr:col>
      <xdr:colOff>0</xdr:colOff>
      <xdr:row>57</xdr:row>
      <xdr:rowOff>9525</xdr:rowOff>
    </xdr:from>
    <xdr:to>
      <xdr:col>12</xdr:col>
      <xdr:colOff>1133475</xdr:colOff>
      <xdr:row>57</xdr:row>
      <xdr:rowOff>9525</xdr:rowOff>
    </xdr:to>
    <xdr:graphicFrame macro="">
      <xdr:nvGraphicFramePr>
        <xdr:cNvPr id="31745552" name="Chart 117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6"/>
        </a:graphicData>
      </a:graphic>
    </xdr:graphicFrame>
    <xdr:clientData/>
  </xdr:twoCellAnchor>
  <xdr:twoCellAnchor>
    <xdr:from>
      <xdr:col>10</xdr:col>
      <xdr:colOff>0</xdr:colOff>
      <xdr:row>57</xdr:row>
      <xdr:rowOff>9525</xdr:rowOff>
    </xdr:from>
    <xdr:to>
      <xdr:col>12</xdr:col>
      <xdr:colOff>1133475</xdr:colOff>
      <xdr:row>57</xdr:row>
      <xdr:rowOff>9525</xdr:rowOff>
    </xdr:to>
    <xdr:graphicFrame macro="">
      <xdr:nvGraphicFramePr>
        <xdr:cNvPr id="31745553" name="Chart 117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7"/>
        </a:graphicData>
      </a:graphic>
    </xdr:graphicFrame>
    <xdr:clientData/>
  </xdr:twoCellAnchor>
  <xdr:twoCellAnchor>
    <xdr:from>
      <xdr:col>10</xdr:col>
      <xdr:colOff>0</xdr:colOff>
      <xdr:row>57</xdr:row>
      <xdr:rowOff>9525</xdr:rowOff>
    </xdr:from>
    <xdr:to>
      <xdr:col>12</xdr:col>
      <xdr:colOff>1133475</xdr:colOff>
      <xdr:row>57</xdr:row>
      <xdr:rowOff>9525</xdr:rowOff>
    </xdr:to>
    <xdr:graphicFrame macro="">
      <xdr:nvGraphicFramePr>
        <xdr:cNvPr id="31745554" name="Chart 117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8"/>
        </a:graphicData>
      </a:graphic>
    </xdr:graphicFrame>
    <xdr:clientData/>
  </xdr:twoCellAnchor>
  <xdr:twoCellAnchor>
    <xdr:from>
      <xdr:col>7</xdr:col>
      <xdr:colOff>11205</xdr:colOff>
      <xdr:row>25</xdr:row>
      <xdr:rowOff>21851</xdr:rowOff>
    </xdr:from>
    <xdr:to>
      <xdr:col>9</xdr:col>
      <xdr:colOff>1182779</xdr:colOff>
      <xdr:row>43</xdr:row>
      <xdr:rowOff>31376</xdr:rowOff>
    </xdr:to>
    <xdr:graphicFrame macro="">
      <xdr:nvGraphicFramePr>
        <xdr:cNvPr id="31745555" name="C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9"/>
        </a:graphicData>
      </a:graphic>
    </xdr:graphicFrame>
    <xdr:clientData/>
  </xdr:twoCellAnchor>
  <xdr:twoCellAnchor>
    <xdr:from>
      <xdr:col>7</xdr:col>
      <xdr:colOff>0</xdr:colOff>
      <xdr:row>125</xdr:row>
      <xdr:rowOff>9525</xdr:rowOff>
    </xdr:from>
    <xdr:to>
      <xdr:col>9</xdr:col>
      <xdr:colOff>1133475</xdr:colOff>
      <xdr:row>125</xdr:row>
      <xdr:rowOff>9525</xdr:rowOff>
    </xdr:to>
    <xdr:graphicFrame macro="">
      <xdr:nvGraphicFramePr>
        <xdr:cNvPr id="31745556" name="Chart 119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0"/>
        </a:graphicData>
      </a:graphic>
    </xdr:graphicFrame>
    <xdr:clientData/>
  </xdr:twoCellAnchor>
  <xdr:twoCellAnchor>
    <xdr:from>
      <xdr:col>7</xdr:col>
      <xdr:colOff>0</xdr:colOff>
      <xdr:row>125</xdr:row>
      <xdr:rowOff>9525</xdr:rowOff>
    </xdr:from>
    <xdr:to>
      <xdr:col>9</xdr:col>
      <xdr:colOff>1133475</xdr:colOff>
      <xdr:row>125</xdr:row>
      <xdr:rowOff>9525</xdr:rowOff>
    </xdr:to>
    <xdr:graphicFrame macro="">
      <xdr:nvGraphicFramePr>
        <xdr:cNvPr id="31745557" name="Chart 119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1"/>
        </a:graphicData>
      </a:graphic>
    </xdr:graphicFrame>
    <xdr:clientData/>
  </xdr:twoCellAnchor>
  <xdr:twoCellAnchor>
    <xdr:from>
      <xdr:col>7</xdr:col>
      <xdr:colOff>0</xdr:colOff>
      <xdr:row>125</xdr:row>
      <xdr:rowOff>9525</xdr:rowOff>
    </xdr:from>
    <xdr:to>
      <xdr:col>9</xdr:col>
      <xdr:colOff>1133475</xdr:colOff>
      <xdr:row>125</xdr:row>
      <xdr:rowOff>9525</xdr:rowOff>
    </xdr:to>
    <xdr:graphicFrame macro="">
      <xdr:nvGraphicFramePr>
        <xdr:cNvPr id="31745558" name="Chart 119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2"/>
        </a:graphicData>
      </a:graphic>
    </xdr:graphicFrame>
    <xdr:clientData/>
  </xdr:twoCellAnchor>
  <xdr:twoCellAnchor>
    <xdr:from>
      <xdr:col>7</xdr:col>
      <xdr:colOff>0</xdr:colOff>
      <xdr:row>125</xdr:row>
      <xdr:rowOff>9525</xdr:rowOff>
    </xdr:from>
    <xdr:to>
      <xdr:col>9</xdr:col>
      <xdr:colOff>1133475</xdr:colOff>
      <xdr:row>125</xdr:row>
      <xdr:rowOff>9525</xdr:rowOff>
    </xdr:to>
    <xdr:graphicFrame macro="">
      <xdr:nvGraphicFramePr>
        <xdr:cNvPr id="31745559" name="Chart 119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3"/>
        </a:graphicData>
      </a:graphic>
    </xdr:graphicFrame>
    <xdr:clientData/>
  </xdr:twoCellAnchor>
  <xdr:twoCellAnchor>
    <xdr:from>
      <xdr:col>4</xdr:col>
      <xdr:colOff>0</xdr:colOff>
      <xdr:row>125</xdr:row>
      <xdr:rowOff>9525</xdr:rowOff>
    </xdr:from>
    <xdr:to>
      <xdr:col>6</xdr:col>
      <xdr:colOff>1133475</xdr:colOff>
      <xdr:row>125</xdr:row>
      <xdr:rowOff>9525</xdr:rowOff>
    </xdr:to>
    <xdr:graphicFrame macro="">
      <xdr:nvGraphicFramePr>
        <xdr:cNvPr id="31745560" name="Chart 119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4"/>
        </a:graphicData>
      </a:graphic>
    </xdr:graphicFrame>
    <xdr:clientData/>
  </xdr:twoCellAnchor>
  <xdr:twoCellAnchor>
    <xdr:from>
      <xdr:col>4</xdr:col>
      <xdr:colOff>0</xdr:colOff>
      <xdr:row>125</xdr:row>
      <xdr:rowOff>9525</xdr:rowOff>
    </xdr:from>
    <xdr:to>
      <xdr:col>6</xdr:col>
      <xdr:colOff>1133475</xdr:colOff>
      <xdr:row>125</xdr:row>
      <xdr:rowOff>9525</xdr:rowOff>
    </xdr:to>
    <xdr:graphicFrame macro="">
      <xdr:nvGraphicFramePr>
        <xdr:cNvPr id="31745561" name="Chart 11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5"/>
        </a:graphicData>
      </a:graphic>
    </xdr:graphicFrame>
    <xdr:clientData/>
  </xdr:twoCellAnchor>
  <xdr:twoCellAnchor>
    <xdr:from>
      <xdr:col>4</xdr:col>
      <xdr:colOff>0</xdr:colOff>
      <xdr:row>125</xdr:row>
      <xdr:rowOff>9525</xdr:rowOff>
    </xdr:from>
    <xdr:to>
      <xdr:col>6</xdr:col>
      <xdr:colOff>1133475</xdr:colOff>
      <xdr:row>125</xdr:row>
      <xdr:rowOff>9525</xdr:rowOff>
    </xdr:to>
    <xdr:graphicFrame macro="">
      <xdr:nvGraphicFramePr>
        <xdr:cNvPr id="31745562" name="Chart 120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6"/>
        </a:graphicData>
      </a:graphic>
    </xdr:graphicFrame>
    <xdr:clientData/>
  </xdr:twoCellAnchor>
  <xdr:twoCellAnchor>
    <xdr:from>
      <xdr:col>4</xdr:col>
      <xdr:colOff>0</xdr:colOff>
      <xdr:row>125</xdr:row>
      <xdr:rowOff>9525</xdr:rowOff>
    </xdr:from>
    <xdr:to>
      <xdr:col>6</xdr:col>
      <xdr:colOff>1133475</xdr:colOff>
      <xdr:row>125</xdr:row>
      <xdr:rowOff>9525</xdr:rowOff>
    </xdr:to>
    <xdr:graphicFrame macro="">
      <xdr:nvGraphicFramePr>
        <xdr:cNvPr id="31745563" name="Chart 120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7"/>
        </a:graphicData>
      </a:graphic>
    </xdr:graphicFrame>
    <xdr:clientData/>
  </xdr:twoCellAnchor>
  <xdr:twoCellAnchor>
    <xdr:from>
      <xdr:col>7</xdr:col>
      <xdr:colOff>0</xdr:colOff>
      <xdr:row>125</xdr:row>
      <xdr:rowOff>9525</xdr:rowOff>
    </xdr:from>
    <xdr:to>
      <xdr:col>9</xdr:col>
      <xdr:colOff>1133475</xdr:colOff>
      <xdr:row>125</xdr:row>
      <xdr:rowOff>9525</xdr:rowOff>
    </xdr:to>
    <xdr:graphicFrame macro="">
      <xdr:nvGraphicFramePr>
        <xdr:cNvPr id="31745564" name="Chart 120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8"/>
        </a:graphicData>
      </a:graphic>
    </xdr:graphicFrame>
    <xdr:clientData/>
  </xdr:twoCellAnchor>
  <xdr:twoCellAnchor>
    <xdr:from>
      <xdr:col>7</xdr:col>
      <xdr:colOff>0</xdr:colOff>
      <xdr:row>125</xdr:row>
      <xdr:rowOff>9525</xdr:rowOff>
    </xdr:from>
    <xdr:to>
      <xdr:col>9</xdr:col>
      <xdr:colOff>1133475</xdr:colOff>
      <xdr:row>125</xdr:row>
      <xdr:rowOff>9525</xdr:rowOff>
    </xdr:to>
    <xdr:graphicFrame macro="">
      <xdr:nvGraphicFramePr>
        <xdr:cNvPr id="31745565" name="Chart 120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9"/>
        </a:graphicData>
      </a:graphic>
    </xdr:graphicFrame>
    <xdr:clientData/>
  </xdr:twoCellAnchor>
  <xdr:twoCellAnchor>
    <xdr:from>
      <xdr:col>7</xdr:col>
      <xdr:colOff>0</xdr:colOff>
      <xdr:row>125</xdr:row>
      <xdr:rowOff>9525</xdr:rowOff>
    </xdr:from>
    <xdr:to>
      <xdr:col>9</xdr:col>
      <xdr:colOff>1133475</xdr:colOff>
      <xdr:row>125</xdr:row>
      <xdr:rowOff>9525</xdr:rowOff>
    </xdr:to>
    <xdr:graphicFrame macro="">
      <xdr:nvGraphicFramePr>
        <xdr:cNvPr id="31745566" name="Chart 120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0"/>
        </a:graphicData>
      </a:graphic>
    </xdr:graphicFrame>
    <xdr:clientData/>
  </xdr:twoCellAnchor>
  <xdr:twoCellAnchor>
    <xdr:from>
      <xdr:col>7</xdr:col>
      <xdr:colOff>0</xdr:colOff>
      <xdr:row>125</xdr:row>
      <xdr:rowOff>9525</xdr:rowOff>
    </xdr:from>
    <xdr:to>
      <xdr:col>9</xdr:col>
      <xdr:colOff>1133475</xdr:colOff>
      <xdr:row>125</xdr:row>
      <xdr:rowOff>9525</xdr:rowOff>
    </xdr:to>
    <xdr:graphicFrame macro="">
      <xdr:nvGraphicFramePr>
        <xdr:cNvPr id="31745567" name="Chart 120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1"/>
        </a:graphicData>
      </a:graphic>
    </xdr:graphicFrame>
    <xdr:clientData/>
  </xdr:twoCellAnchor>
  <xdr:twoCellAnchor>
    <xdr:from>
      <xdr:col>16</xdr:col>
      <xdr:colOff>0</xdr:colOff>
      <xdr:row>407</xdr:row>
      <xdr:rowOff>38100</xdr:rowOff>
    </xdr:from>
    <xdr:to>
      <xdr:col>19</xdr:col>
      <xdr:colOff>0</xdr:colOff>
      <xdr:row>425</xdr:row>
      <xdr:rowOff>142875</xdr:rowOff>
    </xdr:to>
    <xdr:graphicFrame macro="">
      <xdr:nvGraphicFramePr>
        <xdr:cNvPr id="31745568" name="NI10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2"/>
        </a:graphicData>
      </a:graphic>
    </xdr:graphicFrame>
    <xdr:clientData/>
  </xdr:twoCellAnchor>
  <xdr:twoCellAnchor>
    <xdr:from>
      <xdr:col>4</xdr:col>
      <xdr:colOff>0</xdr:colOff>
      <xdr:row>387</xdr:row>
      <xdr:rowOff>38100</xdr:rowOff>
    </xdr:from>
    <xdr:to>
      <xdr:col>7</xdr:col>
      <xdr:colOff>0</xdr:colOff>
      <xdr:row>405</xdr:row>
      <xdr:rowOff>142875</xdr:rowOff>
    </xdr:to>
    <xdr:graphicFrame macro="">
      <xdr:nvGraphicFramePr>
        <xdr:cNvPr id="31745569" name="R10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3"/>
        </a:graphicData>
      </a:graphic>
    </xdr:graphicFrame>
    <xdr:clientData/>
  </xdr:twoCellAnchor>
  <xdr:twoCellAnchor>
    <xdr:from>
      <xdr:col>4</xdr:col>
      <xdr:colOff>0</xdr:colOff>
      <xdr:row>407</xdr:row>
      <xdr:rowOff>28575</xdr:rowOff>
    </xdr:from>
    <xdr:to>
      <xdr:col>6</xdr:col>
      <xdr:colOff>1162050</xdr:colOff>
      <xdr:row>425</xdr:row>
      <xdr:rowOff>114300</xdr:rowOff>
    </xdr:to>
    <xdr:graphicFrame macro="">
      <xdr:nvGraphicFramePr>
        <xdr:cNvPr id="31745570" name="M10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4"/>
        </a:graphicData>
      </a:graphic>
    </xdr:graphicFrame>
    <xdr:clientData/>
  </xdr:twoCellAnchor>
  <xdr:twoCellAnchor>
    <xdr:from>
      <xdr:col>7</xdr:col>
      <xdr:colOff>28575</xdr:colOff>
      <xdr:row>407</xdr:row>
      <xdr:rowOff>28575</xdr:rowOff>
    </xdr:from>
    <xdr:to>
      <xdr:col>10</xdr:col>
      <xdr:colOff>0</xdr:colOff>
      <xdr:row>425</xdr:row>
      <xdr:rowOff>142875</xdr:rowOff>
    </xdr:to>
    <xdr:graphicFrame macro="">
      <xdr:nvGraphicFramePr>
        <xdr:cNvPr id="31745571" name="EBITDA10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5"/>
        </a:graphicData>
      </a:graphic>
    </xdr:graphicFrame>
    <xdr:clientData/>
  </xdr:twoCellAnchor>
  <xdr:twoCellAnchor>
    <xdr:from>
      <xdr:col>4</xdr:col>
      <xdr:colOff>28575</xdr:colOff>
      <xdr:row>25</xdr:row>
      <xdr:rowOff>57150</xdr:rowOff>
    </xdr:from>
    <xdr:to>
      <xdr:col>7</xdr:col>
      <xdr:colOff>9525</xdr:colOff>
      <xdr:row>44</xdr:row>
      <xdr:rowOff>19050</xdr:rowOff>
    </xdr:to>
    <xdr:graphicFrame macro="">
      <xdr:nvGraphicFramePr>
        <xdr:cNvPr id="31745572" name="C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6"/>
        </a:graphicData>
      </a:graphic>
    </xdr:graphicFrame>
    <xdr:clientData/>
  </xdr:twoCellAnchor>
  <xdr:twoCellAnchor>
    <xdr:from>
      <xdr:col>4</xdr:col>
      <xdr:colOff>27225</xdr:colOff>
      <xdr:row>4</xdr:row>
      <xdr:rowOff>53632</xdr:rowOff>
    </xdr:from>
    <xdr:to>
      <xdr:col>7</xdr:col>
      <xdr:colOff>1210</xdr:colOff>
      <xdr:row>22</xdr:row>
      <xdr:rowOff>124790</xdr:rowOff>
    </xdr:to>
    <xdr:graphicFrame macro="">
      <xdr:nvGraphicFramePr>
        <xdr:cNvPr id="31745573" name="C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7"/>
        </a:graphicData>
      </a:graphic>
    </xdr:graphicFrame>
    <xdr:clientData/>
  </xdr:twoCellAnchor>
  <xdr:twoCellAnchor>
    <xdr:from>
      <xdr:col>19</xdr:col>
      <xdr:colOff>0</xdr:colOff>
      <xdr:row>66</xdr:row>
      <xdr:rowOff>9525</xdr:rowOff>
    </xdr:from>
    <xdr:to>
      <xdr:col>22</xdr:col>
      <xdr:colOff>0</xdr:colOff>
      <xdr:row>84</xdr:row>
      <xdr:rowOff>123825</xdr:rowOff>
    </xdr:to>
    <xdr:graphicFrame macro="">
      <xdr:nvGraphicFramePr>
        <xdr:cNvPr id="31745574" name="VOL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8"/>
        </a:graphicData>
      </a:graphic>
    </xdr:graphicFrame>
    <xdr:clientData/>
  </xdr:twoCellAnchor>
  <xdr:twoCellAnchor>
    <xdr:from>
      <xdr:col>16</xdr:col>
      <xdr:colOff>0</xdr:colOff>
      <xdr:row>66</xdr:row>
      <xdr:rowOff>28575</xdr:rowOff>
    </xdr:from>
    <xdr:to>
      <xdr:col>19</xdr:col>
      <xdr:colOff>0</xdr:colOff>
      <xdr:row>84</xdr:row>
      <xdr:rowOff>123825</xdr:rowOff>
    </xdr:to>
    <xdr:graphicFrame macro="">
      <xdr:nvGraphicFramePr>
        <xdr:cNvPr id="31745576" name="VOL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9"/>
        </a:graphicData>
      </a:graphic>
    </xdr:graphicFrame>
    <xdr:clientData/>
  </xdr:twoCellAnchor>
  <xdr:twoCellAnchor>
    <xdr:from>
      <xdr:col>7</xdr:col>
      <xdr:colOff>19050</xdr:colOff>
      <xdr:row>447</xdr:row>
      <xdr:rowOff>38100</xdr:rowOff>
    </xdr:from>
    <xdr:to>
      <xdr:col>10</xdr:col>
      <xdr:colOff>0</xdr:colOff>
      <xdr:row>465</xdr:row>
      <xdr:rowOff>142875</xdr:rowOff>
    </xdr:to>
    <xdr:graphicFrame macro="">
      <xdr:nvGraphicFramePr>
        <xdr:cNvPr id="31745577" name="SEAS10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0"/>
        </a:graphicData>
      </a:graphic>
    </xdr:graphicFrame>
    <xdr:clientData/>
  </xdr:twoCellAnchor>
  <xdr:twoCellAnchor>
    <xdr:from>
      <xdr:col>1</xdr:col>
      <xdr:colOff>28575</xdr:colOff>
      <xdr:row>25</xdr:row>
      <xdr:rowOff>28575</xdr:rowOff>
    </xdr:from>
    <xdr:to>
      <xdr:col>4</xdr:col>
      <xdr:colOff>9525</xdr:colOff>
      <xdr:row>43</xdr:row>
      <xdr:rowOff>114300</xdr:rowOff>
    </xdr:to>
    <xdr:graphicFrame macro="">
      <xdr:nvGraphicFramePr>
        <xdr:cNvPr id="31745578" name="C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1"/>
        </a:graphicData>
      </a:graphic>
    </xdr:graphicFrame>
    <xdr:clientData/>
  </xdr:twoCellAnchor>
  <xdr:twoCellAnchor>
    <xdr:from>
      <xdr:col>1</xdr:col>
      <xdr:colOff>0</xdr:colOff>
      <xdr:row>126</xdr:row>
      <xdr:rowOff>0</xdr:rowOff>
    </xdr:from>
    <xdr:to>
      <xdr:col>4</xdr:col>
      <xdr:colOff>0</xdr:colOff>
      <xdr:row>144</xdr:row>
      <xdr:rowOff>123825</xdr:rowOff>
    </xdr:to>
    <xdr:graphicFrame macro="">
      <xdr:nvGraphicFramePr>
        <xdr:cNvPr id="31745579" name="PR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2"/>
        </a:graphicData>
      </a:graphic>
    </xdr:graphicFrame>
    <xdr:clientData/>
  </xdr:twoCellAnchor>
  <xdr:twoCellAnchor>
    <xdr:from>
      <xdr:col>7</xdr:col>
      <xdr:colOff>27215</xdr:colOff>
      <xdr:row>126</xdr:row>
      <xdr:rowOff>13607</xdr:rowOff>
    </xdr:from>
    <xdr:to>
      <xdr:col>10</xdr:col>
      <xdr:colOff>27214</xdr:colOff>
      <xdr:row>144</xdr:row>
      <xdr:rowOff>146957</xdr:rowOff>
    </xdr:to>
    <xdr:graphicFrame macro="">
      <xdr:nvGraphicFramePr>
        <xdr:cNvPr id="31745580" name="PR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3"/>
        </a:graphicData>
      </a:graphic>
    </xdr:graphicFrame>
    <xdr:clientData/>
  </xdr:twoCellAnchor>
  <xdr:twoCellAnchor>
    <xdr:from>
      <xdr:col>7</xdr:col>
      <xdr:colOff>0</xdr:colOff>
      <xdr:row>125</xdr:row>
      <xdr:rowOff>9525</xdr:rowOff>
    </xdr:from>
    <xdr:to>
      <xdr:col>9</xdr:col>
      <xdr:colOff>1133475</xdr:colOff>
      <xdr:row>125</xdr:row>
      <xdr:rowOff>9525</xdr:rowOff>
    </xdr:to>
    <xdr:graphicFrame macro="">
      <xdr:nvGraphicFramePr>
        <xdr:cNvPr id="31745581" name="Chart 130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4"/>
        </a:graphicData>
      </a:graphic>
    </xdr:graphicFrame>
    <xdr:clientData/>
  </xdr:twoCellAnchor>
  <xdr:twoCellAnchor>
    <xdr:from>
      <xdr:col>7</xdr:col>
      <xdr:colOff>0</xdr:colOff>
      <xdr:row>125</xdr:row>
      <xdr:rowOff>9525</xdr:rowOff>
    </xdr:from>
    <xdr:to>
      <xdr:col>9</xdr:col>
      <xdr:colOff>1133475</xdr:colOff>
      <xdr:row>125</xdr:row>
      <xdr:rowOff>9525</xdr:rowOff>
    </xdr:to>
    <xdr:graphicFrame macro="">
      <xdr:nvGraphicFramePr>
        <xdr:cNvPr id="31745582" name="Chart 130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5"/>
        </a:graphicData>
      </a:graphic>
    </xdr:graphicFrame>
    <xdr:clientData/>
  </xdr:twoCellAnchor>
  <xdr:twoCellAnchor>
    <xdr:from>
      <xdr:col>7</xdr:col>
      <xdr:colOff>0</xdr:colOff>
      <xdr:row>125</xdr:row>
      <xdr:rowOff>9525</xdr:rowOff>
    </xdr:from>
    <xdr:to>
      <xdr:col>9</xdr:col>
      <xdr:colOff>1133475</xdr:colOff>
      <xdr:row>125</xdr:row>
      <xdr:rowOff>9525</xdr:rowOff>
    </xdr:to>
    <xdr:graphicFrame macro="">
      <xdr:nvGraphicFramePr>
        <xdr:cNvPr id="31745583" name="Chart 130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6"/>
        </a:graphicData>
      </a:graphic>
    </xdr:graphicFrame>
    <xdr:clientData/>
  </xdr:twoCellAnchor>
  <xdr:twoCellAnchor>
    <xdr:from>
      <xdr:col>7</xdr:col>
      <xdr:colOff>0</xdr:colOff>
      <xdr:row>125</xdr:row>
      <xdr:rowOff>9525</xdr:rowOff>
    </xdr:from>
    <xdr:to>
      <xdr:col>9</xdr:col>
      <xdr:colOff>1133475</xdr:colOff>
      <xdr:row>125</xdr:row>
      <xdr:rowOff>9525</xdr:rowOff>
    </xdr:to>
    <xdr:graphicFrame macro="">
      <xdr:nvGraphicFramePr>
        <xdr:cNvPr id="31745584" name="Chart 130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7"/>
        </a:graphicData>
      </a:graphic>
    </xdr:graphicFrame>
    <xdr:clientData/>
  </xdr:twoCellAnchor>
  <xdr:twoCellAnchor>
    <xdr:from>
      <xdr:col>10</xdr:col>
      <xdr:colOff>0</xdr:colOff>
      <xdr:row>306</xdr:row>
      <xdr:rowOff>28575</xdr:rowOff>
    </xdr:from>
    <xdr:to>
      <xdr:col>12</xdr:col>
      <xdr:colOff>1171575</xdr:colOff>
      <xdr:row>324</xdr:row>
      <xdr:rowOff>95250</xdr:rowOff>
    </xdr:to>
    <xdr:graphicFrame macro="">
      <xdr:nvGraphicFramePr>
        <xdr:cNvPr id="31745585" name="COD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8"/>
        </a:graphicData>
      </a:graphic>
    </xdr:graphicFrame>
    <xdr:clientData/>
  </xdr:twoCellAnchor>
  <xdr:twoCellAnchor>
    <xdr:from>
      <xdr:col>3</xdr:col>
      <xdr:colOff>1156606</xdr:colOff>
      <xdr:row>125</xdr:row>
      <xdr:rowOff>149679</xdr:rowOff>
    </xdr:from>
    <xdr:to>
      <xdr:col>6</xdr:col>
      <xdr:colOff>1156606</xdr:colOff>
      <xdr:row>144</xdr:row>
      <xdr:rowOff>119743</xdr:rowOff>
    </xdr:to>
    <xdr:graphicFrame macro="">
      <xdr:nvGraphicFramePr>
        <xdr:cNvPr id="31745586" name="PR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9"/>
        </a:graphicData>
      </a:graphic>
    </xdr:graphicFrame>
    <xdr:clientData/>
  </xdr:twoCellAnchor>
  <xdr:twoCellAnchor>
    <xdr:from>
      <xdr:col>13</xdr:col>
      <xdr:colOff>0</xdr:colOff>
      <xdr:row>346</xdr:row>
      <xdr:rowOff>0</xdr:rowOff>
    </xdr:from>
    <xdr:to>
      <xdr:col>16</xdr:col>
      <xdr:colOff>0</xdr:colOff>
      <xdr:row>364</xdr:row>
      <xdr:rowOff>133350</xdr:rowOff>
    </xdr:to>
    <xdr:graphicFrame macro="">
      <xdr:nvGraphicFramePr>
        <xdr:cNvPr id="31745587" name="EV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0"/>
        </a:graphicData>
      </a:graphic>
    </xdr:graphicFrame>
    <xdr:clientData/>
  </xdr:twoCellAnchor>
  <xdr:twoCellAnchor>
    <xdr:from>
      <xdr:col>10</xdr:col>
      <xdr:colOff>0</xdr:colOff>
      <xdr:row>447</xdr:row>
      <xdr:rowOff>0</xdr:rowOff>
    </xdr:from>
    <xdr:to>
      <xdr:col>13</xdr:col>
      <xdr:colOff>0</xdr:colOff>
      <xdr:row>465</xdr:row>
      <xdr:rowOff>114300</xdr:rowOff>
    </xdr:to>
    <xdr:graphicFrame macro="">
      <xdr:nvGraphicFramePr>
        <xdr:cNvPr id="31745588" name="SEAS10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1"/>
        </a:graphicData>
      </a:graphic>
    </xdr:graphicFrame>
    <xdr:clientData/>
  </xdr:twoCellAnchor>
  <xdr:twoCellAnchor>
    <xdr:from>
      <xdr:col>13</xdr:col>
      <xdr:colOff>0</xdr:colOff>
      <xdr:row>447</xdr:row>
      <xdr:rowOff>0</xdr:rowOff>
    </xdr:from>
    <xdr:to>
      <xdr:col>16</xdr:col>
      <xdr:colOff>0</xdr:colOff>
      <xdr:row>465</xdr:row>
      <xdr:rowOff>123825</xdr:rowOff>
    </xdr:to>
    <xdr:graphicFrame macro="">
      <xdr:nvGraphicFramePr>
        <xdr:cNvPr id="31745589" name="SEAS10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2"/>
        </a:graphicData>
      </a:graphic>
    </xdr:graphicFrame>
    <xdr:clientData/>
  </xdr:twoCellAnchor>
  <xdr:twoCellAnchor>
    <xdr:from>
      <xdr:col>13</xdr:col>
      <xdr:colOff>0</xdr:colOff>
      <xdr:row>468</xdr:row>
      <xdr:rowOff>0</xdr:rowOff>
    </xdr:from>
    <xdr:to>
      <xdr:col>16</xdr:col>
      <xdr:colOff>0</xdr:colOff>
      <xdr:row>486</xdr:row>
      <xdr:rowOff>114300</xdr:rowOff>
    </xdr:to>
    <xdr:graphicFrame macro="">
      <xdr:nvGraphicFramePr>
        <xdr:cNvPr id="31745590" name="SEAS1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3"/>
        </a:graphicData>
      </a:graphic>
    </xdr:graphicFrame>
    <xdr:clientData/>
  </xdr:twoCellAnchor>
  <xdr:twoCellAnchor editAs="oneCell">
    <xdr:from>
      <xdr:col>20</xdr:col>
      <xdr:colOff>941481</xdr:colOff>
      <xdr:row>0</xdr:row>
      <xdr:rowOff>28200</xdr:rowOff>
    </xdr:from>
    <xdr:to>
      <xdr:col>21</xdr:col>
      <xdr:colOff>1045234</xdr:colOff>
      <xdr:row>1</xdr:row>
      <xdr:rowOff>38099</xdr:rowOff>
    </xdr:to>
    <xdr:sp macro="" textlink="">
      <xdr:nvSpPr>
        <xdr:cNvPr id="189" name="Rectangle 7">
          <a:hlinkClick xmlns:r="http://schemas.openxmlformats.org/officeDocument/2006/relationships" r:id="rId124"/>
        </xdr:cNvPr>
        <xdr:cNvSpPr>
          <a:spLocks noChangeArrowheads="1"/>
        </xdr:cNvSpPr>
      </xdr:nvSpPr>
      <xdr:spPr bwMode="auto">
        <a:xfrm>
          <a:off x="24093581" y="28200"/>
          <a:ext cx="1297552" cy="301999"/>
        </a:xfrm>
        <a:prstGeom prst="rect">
          <a:avLst/>
        </a:prstGeom>
        <a:solidFill>
          <a:srgbClr val="000000"/>
        </a:solidFill>
        <a:ln w="9525" algn="ctr">
          <a:solidFill>
            <a:srgbClr val="808080"/>
          </a:solidFill>
          <a:miter lim="800000"/>
          <a:headEnd/>
          <a:tailEnd/>
        </a:ln>
        <a:effectLst/>
      </xdr:spPr>
      <xdr:txBody>
        <a:bodyPr vertOverflow="clip" wrap="square" lIns="27432" tIns="27432" rIns="27432" bIns="27432" anchor="ctr" upright="1"/>
        <a:lstStyle/>
        <a:p>
          <a:pPr algn="ctr" rtl="0">
            <a:defRPr sz="1000"/>
          </a:pPr>
          <a:r>
            <a:rPr lang="en-US" sz="1100" b="1" i="0" u="none" strike="noStrike" baseline="0">
              <a:solidFill>
                <a:srgbClr val="FFFFFF"/>
              </a:solidFill>
              <a:latin typeface="Arial"/>
              <a:cs typeface="Arial"/>
            </a:rPr>
            <a:t>Go to Index</a:t>
          </a:r>
        </a:p>
      </xdr:txBody>
    </xdr:sp>
    <xdr:clientData/>
  </xdr:twoCellAnchor>
  <xdr:twoCellAnchor>
    <xdr:from>
      <xdr:col>7</xdr:col>
      <xdr:colOff>476440</xdr:colOff>
      <xdr:row>146</xdr:row>
      <xdr:rowOff>95267</xdr:rowOff>
    </xdr:from>
    <xdr:to>
      <xdr:col>7</xdr:col>
      <xdr:colOff>1081070</xdr:colOff>
      <xdr:row>148</xdr:row>
      <xdr:rowOff>4645</xdr:rowOff>
    </xdr:to>
    <xdr:sp macro="" textlink="">
      <xdr:nvSpPr>
        <xdr:cNvPr id="3" name="TextBox 2"/>
        <xdr:cNvSpPr txBox="1"/>
      </xdr:nvSpPr>
      <xdr:spPr>
        <a:xfrm>
          <a:off x="8074028" y="19918473"/>
          <a:ext cx="604630" cy="223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a:solidFill>
                <a:srgbClr val="808080"/>
              </a:solidFill>
              <a:latin typeface="Arial" panose="020B0604020202020204" pitchFamily="34" charset="0"/>
              <a:cs typeface="Arial" panose="020B0604020202020204" pitchFamily="34" charset="0"/>
            </a:rPr>
            <a:t>R$ mn</a:t>
          </a:r>
        </a:p>
        <a:p>
          <a:endParaRPr lang="en-US" sz="900" b="1">
            <a:solidFill>
              <a:srgbClr val="808080"/>
            </a:solidFill>
            <a:latin typeface="Arial" panose="020B0604020202020204" pitchFamily="34" charset="0"/>
            <a:cs typeface="Arial" panose="020B0604020202020204" pitchFamily="34" charset="0"/>
          </a:endParaRPr>
        </a:p>
      </xdr:txBody>
    </xdr:sp>
    <xdr:clientData/>
  </xdr:twoCellAnchor>
  <xdr:twoCellAnchor>
    <xdr:from>
      <xdr:col>10</xdr:col>
      <xdr:colOff>0</xdr:colOff>
      <xdr:row>468</xdr:row>
      <xdr:rowOff>0</xdr:rowOff>
    </xdr:from>
    <xdr:to>
      <xdr:col>13</xdr:col>
      <xdr:colOff>0</xdr:colOff>
      <xdr:row>486</xdr:row>
      <xdr:rowOff>142875</xdr:rowOff>
    </xdr:to>
    <xdr:graphicFrame macro="">
      <xdr:nvGraphicFramePr>
        <xdr:cNvPr id="31745593" name="SEAS10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5"/>
        </a:graphicData>
      </a:graphic>
    </xdr:graphicFrame>
    <xdr:clientData/>
  </xdr:twoCellAnchor>
  <xdr:twoCellAnchor>
    <xdr:from>
      <xdr:col>16</xdr:col>
      <xdr:colOff>0</xdr:colOff>
      <xdr:row>468</xdr:row>
      <xdr:rowOff>0</xdr:rowOff>
    </xdr:from>
    <xdr:to>
      <xdr:col>19</xdr:col>
      <xdr:colOff>0</xdr:colOff>
      <xdr:row>486</xdr:row>
      <xdr:rowOff>152400</xdr:rowOff>
    </xdr:to>
    <xdr:graphicFrame macro="">
      <xdr:nvGraphicFramePr>
        <xdr:cNvPr id="31745594" name="SEAS1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6"/>
        </a:graphicData>
      </a:graphic>
    </xdr:graphicFrame>
    <xdr:clientData/>
  </xdr:twoCellAnchor>
  <xdr:twoCellAnchor>
    <xdr:from>
      <xdr:col>7</xdr:col>
      <xdr:colOff>56030</xdr:colOff>
      <xdr:row>468</xdr:row>
      <xdr:rowOff>67234</xdr:rowOff>
    </xdr:from>
    <xdr:to>
      <xdr:col>9</xdr:col>
      <xdr:colOff>1163053</xdr:colOff>
      <xdr:row>486</xdr:row>
      <xdr:rowOff>133349</xdr:rowOff>
    </xdr:to>
    <xdr:graphicFrame macro="">
      <xdr:nvGraphicFramePr>
        <xdr:cNvPr id="31745595" name="SEAS10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7"/>
        </a:graphicData>
      </a:graphic>
    </xdr:graphicFrame>
    <xdr:clientData/>
  </xdr:twoCellAnchor>
  <xdr:twoCellAnchor>
    <xdr:from>
      <xdr:col>1</xdr:col>
      <xdr:colOff>0</xdr:colOff>
      <xdr:row>468</xdr:row>
      <xdr:rowOff>0</xdr:rowOff>
    </xdr:from>
    <xdr:to>
      <xdr:col>4</xdr:col>
      <xdr:colOff>0</xdr:colOff>
      <xdr:row>486</xdr:row>
      <xdr:rowOff>123825</xdr:rowOff>
    </xdr:to>
    <xdr:graphicFrame macro="">
      <xdr:nvGraphicFramePr>
        <xdr:cNvPr id="31745596" name="SEAS10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8"/>
        </a:graphicData>
      </a:graphic>
    </xdr:graphicFrame>
    <xdr:clientData/>
  </xdr:twoCellAnchor>
  <xdr:twoCellAnchor>
    <xdr:from>
      <xdr:col>4</xdr:col>
      <xdr:colOff>0</xdr:colOff>
      <xdr:row>468</xdr:row>
      <xdr:rowOff>0</xdr:rowOff>
    </xdr:from>
    <xdr:to>
      <xdr:col>7</xdr:col>
      <xdr:colOff>0</xdr:colOff>
      <xdr:row>486</xdr:row>
      <xdr:rowOff>133350</xdr:rowOff>
    </xdr:to>
    <xdr:graphicFrame macro="">
      <xdr:nvGraphicFramePr>
        <xdr:cNvPr id="31745597" name="SEAS10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9"/>
        </a:graphicData>
      </a:graphic>
    </xdr:graphicFrame>
    <xdr:clientData/>
  </xdr:twoCellAnchor>
  <xdr:twoCellAnchor>
    <xdr:from>
      <xdr:col>4</xdr:col>
      <xdr:colOff>0</xdr:colOff>
      <xdr:row>447</xdr:row>
      <xdr:rowOff>66675</xdr:rowOff>
    </xdr:from>
    <xdr:to>
      <xdr:col>7</xdr:col>
      <xdr:colOff>0</xdr:colOff>
      <xdr:row>466</xdr:row>
      <xdr:rowOff>9525</xdr:rowOff>
    </xdr:to>
    <xdr:graphicFrame macro="">
      <xdr:nvGraphicFramePr>
        <xdr:cNvPr id="31745598" name="SEAS10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0"/>
        </a:graphicData>
      </a:graphic>
    </xdr:graphicFrame>
    <xdr:clientData/>
  </xdr:twoCellAnchor>
  <xdr:twoCellAnchor>
    <xdr:from>
      <xdr:col>1</xdr:col>
      <xdr:colOff>10027</xdr:colOff>
      <xdr:row>447</xdr:row>
      <xdr:rowOff>37599</xdr:rowOff>
    </xdr:from>
    <xdr:to>
      <xdr:col>4</xdr:col>
      <xdr:colOff>10027</xdr:colOff>
      <xdr:row>466</xdr:row>
      <xdr:rowOff>9024</xdr:rowOff>
    </xdr:to>
    <xdr:graphicFrame macro="">
      <xdr:nvGraphicFramePr>
        <xdr:cNvPr id="31745599" name="SEAS10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1"/>
        </a:graphicData>
      </a:graphic>
    </xdr:graphicFrame>
    <xdr:clientData/>
  </xdr:twoCellAnchor>
  <xdr:twoCellAnchor>
    <xdr:from>
      <xdr:col>1</xdr:col>
      <xdr:colOff>38100</xdr:colOff>
      <xdr:row>427</xdr:row>
      <xdr:rowOff>28575</xdr:rowOff>
    </xdr:from>
    <xdr:to>
      <xdr:col>4</xdr:col>
      <xdr:colOff>0</xdr:colOff>
      <xdr:row>445</xdr:row>
      <xdr:rowOff>114300</xdr:rowOff>
    </xdr:to>
    <xdr:graphicFrame macro="">
      <xdr:nvGraphicFramePr>
        <xdr:cNvPr id="31745600" name="CF10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2"/>
        </a:graphicData>
      </a:graphic>
    </xdr:graphicFrame>
    <xdr:clientData/>
  </xdr:twoCellAnchor>
  <xdr:twoCellAnchor>
    <xdr:from>
      <xdr:col>4</xdr:col>
      <xdr:colOff>0</xdr:colOff>
      <xdr:row>427</xdr:row>
      <xdr:rowOff>38100</xdr:rowOff>
    </xdr:from>
    <xdr:to>
      <xdr:col>7</xdr:col>
      <xdr:colOff>0</xdr:colOff>
      <xdr:row>445</xdr:row>
      <xdr:rowOff>142875</xdr:rowOff>
    </xdr:to>
    <xdr:graphicFrame macro="">
      <xdr:nvGraphicFramePr>
        <xdr:cNvPr id="31745601" name="CAP10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3"/>
        </a:graphicData>
      </a:graphic>
    </xdr:graphicFrame>
    <xdr:clientData/>
  </xdr:twoCellAnchor>
  <xdr:twoCellAnchor>
    <xdr:from>
      <xdr:col>7</xdr:col>
      <xdr:colOff>38100</xdr:colOff>
      <xdr:row>427</xdr:row>
      <xdr:rowOff>28575</xdr:rowOff>
    </xdr:from>
    <xdr:to>
      <xdr:col>10</xdr:col>
      <xdr:colOff>0</xdr:colOff>
      <xdr:row>445</xdr:row>
      <xdr:rowOff>114300</xdr:rowOff>
    </xdr:to>
    <xdr:graphicFrame macro="">
      <xdr:nvGraphicFramePr>
        <xdr:cNvPr id="31745602" name="WC10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4"/>
        </a:graphicData>
      </a:graphic>
    </xdr:graphicFrame>
    <xdr:clientData/>
  </xdr:twoCellAnchor>
  <xdr:twoCellAnchor>
    <xdr:from>
      <xdr:col>13</xdr:col>
      <xdr:colOff>38100</xdr:colOff>
      <xdr:row>427</xdr:row>
      <xdr:rowOff>28575</xdr:rowOff>
    </xdr:from>
    <xdr:to>
      <xdr:col>16</xdr:col>
      <xdr:colOff>0</xdr:colOff>
      <xdr:row>445</xdr:row>
      <xdr:rowOff>142875</xdr:rowOff>
    </xdr:to>
    <xdr:graphicFrame macro="">
      <xdr:nvGraphicFramePr>
        <xdr:cNvPr id="31745603" name="ND10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5"/>
        </a:graphicData>
      </a:graphic>
    </xdr:graphicFrame>
    <xdr:clientData/>
  </xdr:twoCellAnchor>
  <xdr:twoCellAnchor>
    <xdr:from>
      <xdr:col>10</xdr:col>
      <xdr:colOff>21431</xdr:colOff>
      <xdr:row>427</xdr:row>
      <xdr:rowOff>28575</xdr:rowOff>
    </xdr:from>
    <xdr:to>
      <xdr:col>12</xdr:col>
      <xdr:colOff>1183481</xdr:colOff>
      <xdr:row>445</xdr:row>
      <xdr:rowOff>114300</xdr:rowOff>
    </xdr:to>
    <xdr:graphicFrame macro="">
      <xdr:nvGraphicFramePr>
        <xdr:cNvPr id="31745604" name="PROF10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6"/>
        </a:graphicData>
      </a:graphic>
    </xdr:graphicFrame>
    <xdr:clientData/>
  </xdr:twoCellAnchor>
  <xdr:twoCellAnchor>
    <xdr:from>
      <xdr:col>1</xdr:col>
      <xdr:colOff>0</xdr:colOff>
      <xdr:row>407</xdr:row>
      <xdr:rowOff>38100</xdr:rowOff>
    </xdr:from>
    <xdr:to>
      <xdr:col>4</xdr:col>
      <xdr:colOff>0</xdr:colOff>
      <xdr:row>425</xdr:row>
      <xdr:rowOff>142875</xdr:rowOff>
    </xdr:to>
    <xdr:graphicFrame macro="">
      <xdr:nvGraphicFramePr>
        <xdr:cNvPr id="31745605" name="M10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7"/>
        </a:graphicData>
      </a:graphic>
    </xdr:graphicFrame>
    <xdr:clientData/>
  </xdr:twoCellAnchor>
  <xdr:twoCellAnchor>
    <xdr:from>
      <xdr:col>13</xdr:col>
      <xdr:colOff>0</xdr:colOff>
      <xdr:row>66</xdr:row>
      <xdr:rowOff>1494</xdr:rowOff>
    </xdr:from>
    <xdr:to>
      <xdr:col>15</xdr:col>
      <xdr:colOff>1165411</xdr:colOff>
      <xdr:row>84</xdr:row>
      <xdr:rowOff>125319</xdr:rowOff>
    </xdr:to>
    <xdr:graphicFrame macro="">
      <xdr:nvGraphicFramePr>
        <xdr:cNvPr id="157" name="VOL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8"/>
        </a:graphicData>
      </a:graphic>
    </xdr:graphicFrame>
    <xdr:clientData/>
  </xdr:twoCellAnchor>
  <xdr:twoCellAnchor>
    <xdr:from>
      <xdr:col>1</xdr:col>
      <xdr:colOff>40821</xdr:colOff>
      <xdr:row>86</xdr:row>
      <xdr:rowOff>0</xdr:rowOff>
    </xdr:from>
    <xdr:to>
      <xdr:col>4</xdr:col>
      <xdr:colOff>0</xdr:colOff>
      <xdr:row>104</xdr:row>
      <xdr:rowOff>123825</xdr:rowOff>
    </xdr:to>
    <xdr:graphicFrame macro="">
      <xdr:nvGraphicFramePr>
        <xdr:cNvPr id="159" name="VOL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9"/>
        </a:graphicData>
      </a:graphic>
    </xdr:graphicFrame>
    <xdr:clientData/>
  </xdr:twoCellAnchor>
  <xdr:twoCellAnchor>
    <xdr:from>
      <xdr:col>1</xdr:col>
      <xdr:colOff>0</xdr:colOff>
      <xdr:row>106</xdr:row>
      <xdr:rowOff>0</xdr:rowOff>
    </xdr:from>
    <xdr:to>
      <xdr:col>4</xdr:col>
      <xdr:colOff>0</xdr:colOff>
      <xdr:row>124</xdr:row>
      <xdr:rowOff>123825</xdr:rowOff>
    </xdr:to>
    <xdr:graphicFrame macro="">
      <xdr:nvGraphicFramePr>
        <xdr:cNvPr id="160" name="VOL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0"/>
        </a:graphicData>
      </a:graphic>
    </xdr:graphicFrame>
    <xdr:clientData/>
  </xdr:twoCellAnchor>
  <xdr:twoCellAnchor>
    <xdr:from>
      <xdr:col>4</xdr:col>
      <xdr:colOff>0</xdr:colOff>
      <xdr:row>106</xdr:row>
      <xdr:rowOff>0</xdr:rowOff>
    </xdr:from>
    <xdr:to>
      <xdr:col>7</xdr:col>
      <xdr:colOff>0</xdr:colOff>
      <xdr:row>124</xdr:row>
      <xdr:rowOff>123825</xdr:rowOff>
    </xdr:to>
    <xdr:graphicFrame macro="">
      <xdr:nvGraphicFramePr>
        <xdr:cNvPr id="161" name="VOL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1"/>
        </a:graphicData>
      </a:graphic>
    </xdr:graphicFrame>
    <xdr:clientData/>
  </xdr:twoCellAnchor>
  <xdr:twoCellAnchor>
    <xdr:from>
      <xdr:col>7</xdr:col>
      <xdr:colOff>0</xdr:colOff>
      <xdr:row>106</xdr:row>
      <xdr:rowOff>0</xdr:rowOff>
    </xdr:from>
    <xdr:to>
      <xdr:col>10</xdr:col>
      <xdr:colOff>0</xdr:colOff>
      <xdr:row>124</xdr:row>
      <xdr:rowOff>123825</xdr:rowOff>
    </xdr:to>
    <xdr:graphicFrame macro="">
      <xdr:nvGraphicFramePr>
        <xdr:cNvPr id="162" name="VOL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2"/>
        </a:graphicData>
      </a:graphic>
    </xdr:graphicFrame>
    <xdr:clientData/>
  </xdr:twoCellAnchor>
  <xdr:twoCellAnchor>
    <xdr:from>
      <xdr:col>10</xdr:col>
      <xdr:colOff>0</xdr:colOff>
      <xdr:row>407</xdr:row>
      <xdr:rowOff>38100</xdr:rowOff>
    </xdr:from>
    <xdr:to>
      <xdr:col>13</xdr:col>
      <xdr:colOff>0</xdr:colOff>
      <xdr:row>425</xdr:row>
      <xdr:rowOff>142875</xdr:rowOff>
    </xdr:to>
    <xdr:graphicFrame macro="">
      <xdr:nvGraphicFramePr>
        <xdr:cNvPr id="150" name="EBITDA10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3"/>
        </a:graphicData>
      </a:graphic>
    </xdr:graphicFrame>
    <xdr:clientData/>
  </xdr:twoCellAnchor>
  <xdr:twoCellAnchor>
    <xdr:from>
      <xdr:col>9</xdr:col>
      <xdr:colOff>1104900</xdr:colOff>
      <xdr:row>125</xdr:row>
      <xdr:rowOff>9525</xdr:rowOff>
    </xdr:from>
    <xdr:to>
      <xdr:col>12</xdr:col>
      <xdr:colOff>1028700</xdr:colOff>
      <xdr:row>125</xdr:row>
      <xdr:rowOff>9525</xdr:rowOff>
    </xdr:to>
    <xdr:graphicFrame macro="">
      <xdr:nvGraphicFramePr>
        <xdr:cNvPr id="151" name="Chart 11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4"/>
        </a:graphicData>
      </a:graphic>
    </xdr:graphicFrame>
    <xdr:clientData/>
  </xdr:twoCellAnchor>
  <xdr:twoCellAnchor>
    <xdr:from>
      <xdr:col>9</xdr:col>
      <xdr:colOff>1104900</xdr:colOff>
      <xdr:row>125</xdr:row>
      <xdr:rowOff>9525</xdr:rowOff>
    </xdr:from>
    <xdr:to>
      <xdr:col>12</xdr:col>
      <xdr:colOff>1028700</xdr:colOff>
      <xdr:row>125</xdr:row>
      <xdr:rowOff>9525</xdr:rowOff>
    </xdr:to>
    <xdr:graphicFrame macro="">
      <xdr:nvGraphicFramePr>
        <xdr:cNvPr id="152" name="Chart 11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5"/>
        </a:graphicData>
      </a:graphic>
    </xdr:graphicFrame>
    <xdr:clientData/>
  </xdr:twoCellAnchor>
  <xdr:twoCellAnchor>
    <xdr:from>
      <xdr:col>9</xdr:col>
      <xdr:colOff>1104900</xdr:colOff>
      <xdr:row>125</xdr:row>
      <xdr:rowOff>9525</xdr:rowOff>
    </xdr:from>
    <xdr:to>
      <xdr:col>12</xdr:col>
      <xdr:colOff>1028700</xdr:colOff>
      <xdr:row>125</xdr:row>
      <xdr:rowOff>9525</xdr:rowOff>
    </xdr:to>
    <xdr:graphicFrame macro="">
      <xdr:nvGraphicFramePr>
        <xdr:cNvPr id="153" name="Chart 11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6"/>
        </a:graphicData>
      </a:graphic>
    </xdr:graphicFrame>
    <xdr:clientData/>
  </xdr:twoCellAnchor>
  <xdr:twoCellAnchor>
    <xdr:from>
      <xdr:col>9</xdr:col>
      <xdr:colOff>1104900</xdr:colOff>
      <xdr:row>125</xdr:row>
      <xdr:rowOff>9525</xdr:rowOff>
    </xdr:from>
    <xdr:to>
      <xdr:col>12</xdr:col>
      <xdr:colOff>1028700</xdr:colOff>
      <xdr:row>125</xdr:row>
      <xdr:rowOff>9525</xdr:rowOff>
    </xdr:to>
    <xdr:graphicFrame macro="">
      <xdr:nvGraphicFramePr>
        <xdr:cNvPr id="154" name="Chart 115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7"/>
        </a:graphicData>
      </a:graphic>
    </xdr:graphicFrame>
    <xdr:clientData/>
  </xdr:twoCellAnchor>
  <xdr:twoCellAnchor>
    <xdr:from>
      <xdr:col>10</xdr:col>
      <xdr:colOff>0</xdr:colOff>
      <xdr:row>125</xdr:row>
      <xdr:rowOff>9525</xdr:rowOff>
    </xdr:from>
    <xdr:to>
      <xdr:col>12</xdr:col>
      <xdr:colOff>1133475</xdr:colOff>
      <xdr:row>125</xdr:row>
      <xdr:rowOff>9525</xdr:rowOff>
    </xdr:to>
    <xdr:graphicFrame macro="">
      <xdr:nvGraphicFramePr>
        <xdr:cNvPr id="155" name="Chart 119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8"/>
        </a:graphicData>
      </a:graphic>
    </xdr:graphicFrame>
    <xdr:clientData/>
  </xdr:twoCellAnchor>
  <xdr:twoCellAnchor>
    <xdr:from>
      <xdr:col>10</xdr:col>
      <xdr:colOff>0</xdr:colOff>
      <xdr:row>125</xdr:row>
      <xdr:rowOff>9525</xdr:rowOff>
    </xdr:from>
    <xdr:to>
      <xdr:col>12</xdr:col>
      <xdr:colOff>1133475</xdr:colOff>
      <xdr:row>125</xdr:row>
      <xdr:rowOff>9525</xdr:rowOff>
    </xdr:to>
    <xdr:graphicFrame macro="">
      <xdr:nvGraphicFramePr>
        <xdr:cNvPr id="156" name="Chart 119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9"/>
        </a:graphicData>
      </a:graphic>
    </xdr:graphicFrame>
    <xdr:clientData/>
  </xdr:twoCellAnchor>
  <xdr:twoCellAnchor>
    <xdr:from>
      <xdr:col>10</xdr:col>
      <xdr:colOff>0</xdr:colOff>
      <xdr:row>125</xdr:row>
      <xdr:rowOff>9525</xdr:rowOff>
    </xdr:from>
    <xdr:to>
      <xdr:col>12</xdr:col>
      <xdr:colOff>1133475</xdr:colOff>
      <xdr:row>125</xdr:row>
      <xdr:rowOff>9525</xdr:rowOff>
    </xdr:to>
    <xdr:graphicFrame macro="">
      <xdr:nvGraphicFramePr>
        <xdr:cNvPr id="158" name="Chart 119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0"/>
        </a:graphicData>
      </a:graphic>
    </xdr:graphicFrame>
    <xdr:clientData/>
  </xdr:twoCellAnchor>
  <xdr:twoCellAnchor>
    <xdr:from>
      <xdr:col>10</xdr:col>
      <xdr:colOff>0</xdr:colOff>
      <xdr:row>125</xdr:row>
      <xdr:rowOff>9525</xdr:rowOff>
    </xdr:from>
    <xdr:to>
      <xdr:col>12</xdr:col>
      <xdr:colOff>1133475</xdr:colOff>
      <xdr:row>125</xdr:row>
      <xdr:rowOff>9525</xdr:rowOff>
    </xdr:to>
    <xdr:graphicFrame macro="">
      <xdr:nvGraphicFramePr>
        <xdr:cNvPr id="163" name="Chart 119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1"/>
        </a:graphicData>
      </a:graphic>
    </xdr:graphicFrame>
    <xdr:clientData/>
  </xdr:twoCellAnchor>
  <xdr:twoCellAnchor>
    <xdr:from>
      <xdr:col>10</xdr:col>
      <xdr:colOff>0</xdr:colOff>
      <xdr:row>125</xdr:row>
      <xdr:rowOff>9525</xdr:rowOff>
    </xdr:from>
    <xdr:to>
      <xdr:col>12</xdr:col>
      <xdr:colOff>1133475</xdr:colOff>
      <xdr:row>125</xdr:row>
      <xdr:rowOff>9525</xdr:rowOff>
    </xdr:to>
    <xdr:graphicFrame macro="">
      <xdr:nvGraphicFramePr>
        <xdr:cNvPr id="164" name="Chart 120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2"/>
        </a:graphicData>
      </a:graphic>
    </xdr:graphicFrame>
    <xdr:clientData/>
  </xdr:twoCellAnchor>
  <xdr:twoCellAnchor>
    <xdr:from>
      <xdr:col>10</xdr:col>
      <xdr:colOff>0</xdr:colOff>
      <xdr:row>125</xdr:row>
      <xdr:rowOff>9525</xdr:rowOff>
    </xdr:from>
    <xdr:to>
      <xdr:col>12</xdr:col>
      <xdr:colOff>1133475</xdr:colOff>
      <xdr:row>125</xdr:row>
      <xdr:rowOff>9525</xdr:rowOff>
    </xdr:to>
    <xdr:graphicFrame macro="">
      <xdr:nvGraphicFramePr>
        <xdr:cNvPr id="165" name="Chart 120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3"/>
        </a:graphicData>
      </a:graphic>
    </xdr:graphicFrame>
    <xdr:clientData/>
  </xdr:twoCellAnchor>
  <xdr:twoCellAnchor>
    <xdr:from>
      <xdr:col>10</xdr:col>
      <xdr:colOff>0</xdr:colOff>
      <xdr:row>125</xdr:row>
      <xdr:rowOff>9525</xdr:rowOff>
    </xdr:from>
    <xdr:to>
      <xdr:col>12</xdr:col>
      <xdr:colOff>1133475</xdr:colOff>
      <xdr:row>125</xdr:row>
      <xdr:rowOff>9525</xdr:rowOff>
    </xdr:to>
    <xdr:graphicFrame macro="">
      <xdr:nvGraphicFramePr>
        <xdr:cNvPr id="166" name="Chart 120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4"/>
        </a:graphicData>
      </a:graphic>
    </xdr:graphicFrame>
    <xdr:clientData/>
  </xdr:twoCellAnchor>
  <xdr:twoCellAnchor>
    <xdr:from>
      <xdr:col>10</xdr:col>
      <xdr:colOff>0</xdr:colOff>
      <xdr:row>125</xdr:row>
      <xdr:rowOff>9525</xdr:rowOff>
    </xdr:from>
    <xdr:to>
      <xdr:col>12</xdr:col>
      <xdr:colOff>1133475</xdr:colOff>
      <xdr:row>125</xdr:row>
      <xdr:rowOff>9525</xdr:rowOff>
    </xdr:to>
    <xdr:graphicFrame macro="">
      <xdr:nvGraphicFramePr>
        <xdr:cNvPr id="167" name="Chart 120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5"/>
        </a:graphicData>
      </a:graphic>
    </xdr:graphicFrame>
    <xdr:clientData/>
  </xdr:twoCellAnchor>
  <xdr:twoCellAnchor>
    <xdr:from>
      <xdr:col>10</xdr:col>
      <xdr:colOff>0</xdr:colOff>
      <xdr:row>125</xdr:row>
      <xdr:rowOff>9525</xdr:rowOff>
    </xdr:from>
    <xdr:to>
      <xdr:col>12</xdr:col>
      <xdr:colOff>1133475</xdr:colOff>
      <xdr:row>125</xdr:row>
      <xdr:rowOff>9525</xdr:rowOff>
    </xdr:to>
    <xdr:graphicFrame macro="">
      <xdr:nvGraphicFramePr>
        <xdr:cNvPr id="168" name="Chart 130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6"/>
        </a:graphicData>
      </a:graphic>
    </xdr:graphicFrame>
    <xdr:clientData/>
  </xdr:twoCellAnchor>
  <xdr:twoCellAnchor>
    <xdr:from>
      <xdr:col>10</xdr:col>
      <xdr:colOff>0</xdr:colOff>
      <xdr:row>125</xdr:row>
      <xdr:rowOff>9525</xdr:rowOff>
    </xdr:from>
    <xdr:to>
      <xdr:col>12</xdr:col>
      <xdr:colOff>1133475</xdr:colOff>
      <xdr:row>125</xdr:row>
      <xdr:rowOff>9525</xdr:rowOff>
    </xdr:to>
    <xdr:graphicFrame macro="">
      <xdr:nvGraphicFramePr>
        <xdr:cNvPr id="169" name="Chart 130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7"/>
        </a:graphicData>
      </a:graphic>
    </xdr:graphicFrame>
    <xdr:clientData/>
  </xdr:twoCellAnchor>
  <xdr:twoCellAnchor>
    <xdr:from>
      <xdr:col>10</xdr:col>
      <xdr:colOff>0</xdr:colOff>
      <xdr:row>125</xdr:row>
      <xdr:rowOff>9525</xdr:rowOff>
    </xdr:from>
    <xdr:to>
      <xdr:col>12</xdr:col>
      <xdr:colOff>1133475</xdr:colOff>
      <xdr:row>125</xdr:row>
      <xdr:rowOff>9525</xdr:rowOff>
    </xdr:to>
    <xdr:graphicFrame macro="">
      <xdr:nvGraphicFramePr>
        <xdr:cNvPr id="170" name="Chart 130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8"/>
        </a:graphicData>
      </a:graphic>
    </xdr:graphicFrame>
    <xdr:clientData/>
  </xdr:twoCellAnchor>
  <xdr:twoCellAnchor>
    <xdr:from>
      <xdr:col>10</xdr:col>
      <xdr:colOff>0</xdr:colOff>
      <xdr:row>125</xdr:row>
      <xdr:rowOff>9525</xdr:rowOff>
    </xdr:from>
    <xdr:to>
      <xdr:col>12</xdr:col>
      <xdr:colOff>1133475</xdr:colOff>
      <xdr:row>125</xdr:row>
      <xdr:rowOff>9525</xdr:rowOff>
    </xdr:to>
    <xdr:graphicFrame macro="">
      <xdr:nvGraphicFramePr>
        <xdr:cNvPr id="171" name="Chart 130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9"/>
        </a:graphicData>
      </a:graphic>
    </xdr:graphicFrame>
    <xdr:clientData/>
  </xdr:twoCellAnchor>
  <xdr:twoCellAnchor>
    <xdr:from>
      <xdr:col>10</xdr:col>
      <xdr:colOff>2</xdr:colOff>
      <xdr:row>126</xdr:row>
      <xdr:rowOff>0</xdr:rowOff>
    </xdr:from>
    <xdr:to>
      <xdr:col>12</xdr:col>
      <xdr:colOff>1131795</xdr:colOff>
      <xdr:row>144</xdr:row>
      <xdr:rowOff>133350</xdr:rowOff>
    </xdr:to>
    <xdr:graphicFrame macro="">
      <xdr:nvGraphicFramePr>
        <xdr:cNvPr id="172" name="PR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0"/>
        </a:graphicData>
      </a:graphic>
    </xdr:graphicFrame>
    <xdr:clientData/>
  </xdr:twoCellAnchor>
  <xdr:twoCellAnchor>
    <xdr:from>
      <xdr:col>13</xdr:col>
      <xdr:colOff>13607</xdr:colOff>
      <xdr:row>306</xdr:row>
      <xdr:rowOff>28575</xdr:rowOff>
    </xdr:from>
    <xdr:to>
      <xdr:col>16</xdr:col>
      <xdr:colOff>13607</xdr:colOff>
      <xdr:row>324</xdr:row>
      <xdr:rowOff>76200</xdr:rowOff>
    </xdr:to>
    <xdr:graphicFrame macro="">
      <xdr:nvGraphicFramePr>
        <xdr:cNvPr id="173" name="ND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1"/>
        </a:graphicData>
      </a:graphic>
    </xdr:graphicFrame>
    <xdr:clientData/>
  </xdr:twoCellAnchor>
  <xdr:twoCellAnchor>
    <xdr:from>
      <xdr:col>1</xdr:col>
      <xdr:colOff>0</xdr:colOff>
      <xdr:row>367</xdr:row>
      <xdr:rowOff>0</xdr:rowOff>
    </xdr:from>
    <xdr:to>
      <xdr:col>4</xdr:col>
      <xdr:colOff>0</xdr:colOff>
      <xdr:row>385</xdr:row>
      <xdr:rowOff>104775</xdr:rowOff>
    </xdr:to>
    <xdr:graphicFrame macro="">
      <xdr:nvGraphicFramePr>
        <xdr:cNvPr id="174" name="VOL10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2"/>
        </a:graphicData>
      </a:graphic>
    </xdr:graphicFrame>
    <xdr:clientData/>
  </xdr:twoCellAnchor>
  <xdr:twoCellAnchor>
    <xdr:from>
      <xdr:col>4</xdr:col>
      <xdr:colOff>0</xdr:colOff>
      <xdr:row>367</xdr:row>
      <xdr:rowOff>0</xdr:rowOff>
    </xdr:from>
    <xdr:to>
      <xdr:col>7</xdr:col>
      <xdr:colOff>0</xdr:colOff>
      <xdr:row>385</xdr:row>
      <xdr:rowOff>104775</xdr:rowOff>
    </xdr:to>
    <xdr:graphicFrame macro="">
      <xdr:nvGraphicFramePr>
        <xdr:cNvPr id="175" name="VOL10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3"/>
        </a:graphicData>
      </a:graphic>
    </xdr:graphicFrame>
    <xdr:clientData/>
  </xdr:twoCellAnchor>
  <xdr:twoCellAnchor>
    <xdr:from>
      <xdr:col>7</xdr:col>
      <xdr:colOff>0</xdr:colOff>
      <xdr:row>367</xdr:row>
      <xdr:rowOff>0</xdr:rowOff>
    </xdr:from>
    <xdr:to>
      <xdr:col>10</xdr:col>
      <xdr:colOff>0</xdr:colOff>
      <xdr:row>385</xdr:row>
      <xdr:rowOff>104775</xdr:rowOff>
    </xdr:to>
    <xdr:graphicFrame macro="">
      <xdr:nvGraphicFramePr>
        <xdr:cNvPr id="177" name="VOL10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4"/>
        </a:graphicData>
      </a:graphic>
    </xdr:graphicFrame>
    <xdr:clientData/>
  </xdr:twoCellAnchor>
  <xdr:twoCellAnchor>
    <xdr:from>
      <xdr:col>9</xdr:col>
      <xdr:colOff>1178719</xdr:colOff>
      <xdr:row>367</xdr:row>
      <xdr:rowOff>23812</xdr:rowOff>
    </xdr:from>
    <xdr:to>
      <xdr:col>12</xdr:col>
      <xdr:colOff>1140619</xdr:colOff>
      <xdr:row>385</xdr:row>
      <xdr:rowOff>109537</xdr:rowOff>
    </xdr:to>
    <xdr:graphicFrame macro="">
      <xdr:nvGraphicFramePr>
        <xdr:cNvPr id="179" name="VOL10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5"/>
        </a:graphicData>
      </a:graphic>
    </xdr:graphicFrame>
    <xdr:clientData/>
  </xdr:twoCellAnchor>
  <xdr:twoCellAnchor>
    <xdr:from>
      <xdr:col>13</xdr:col>
      <xdr:colOff>0</xdr:colOff>
      <xdr:row>367</xdr:row>
      <xdr:rowOff>0</xdr:rowOff>
    </xdr:from>
    <xdr:to>
      <xdr:col>15</xdr:col>
      <xdr:colOff>1152525</xdr:colOff>
      <xdr:row>385</xdr:row>
      <xdr:rowOff>85725</xdr:rowOff>
    </xdr:to>
    <xdr:graphicFrame macro="">
      <xdr:nvGraphicFramePr>
        <xdr:cNvPr id="180" name="VOL10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6"/>
        </a:graphicData>
      </a:graphic>
    </xdr:graphicFrame>
    <xdr:clientData/>
  </xdr:twoCellAnchor>
  <xdr:twoCellAnchor>
    <xdr:from>
      <xdr:col>16</xdr:col>
      <xdr:colOff>33617</xdr:colOff>
      <xdr:row>367</xdr:row>
      <xdr:rowOff>78442</xdr:rowOff>
    </xdr:from>
    <xdr:to>
      <xdr:col>18</xdr:col>
      <xdr:colOff>1186142</xdr:colOff>
      <xdr:row>386</xdr:row>
      <xdr:rowOff>7284</xdr:rowOff>
    </xdr:to>
    <xdr:graphicFrame macro="">
      <xdr:nvGraphicFramePr>
        <xdr:cNvPr id="181" name="VOL10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7"/>
        </a:graphicData>
      </a:graphic>
    </xdr:graphicFrame>
    <xdr:clientData/>
  </xdr:twoCellAnchor>
  <xdr:twoCellAnchor>
    <xdr:from>
      <xdr:col>1</xdr:col>
      <xdr:colOff>0</xdr:colOff>
      <xdr:row>387</xdr:row>
      <xdr:rowOff>0</xdr:rowOff>
    </xdr:from>
    <xdr:to>
      <xdr:col>4</xdr:col>
      <xdr:colOff>0</xdr:colOff>
      <xdr:row>405</xdr:row>
      <xdr:rowOff>104775</xdr:rowOff>
    </xdr:to>
    <xdr:graphicFrame macro="">
      <xdr:nvGraphicFramePr>
        <xdr:cNvPr id="182" name="R10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8"/>
        </a:graphicData>
      </a:graphic>
    </xdr:graphicFrame>
    <xdr:clientData/>
  </xdr:twoCellAnchor>
  <xdr:twoCellAnchor>
    <xdr:from>
      <xdr:col>13</xdr:col>
      <xdr:colOff>0</xdr:colOff>
      <xdr:row>407</xdr:row>
      <xdr:rowOff>0</xdr:rowOff>
    </xdr:from>
    <xdr:to>
      <xdr:col>16</xdr:col>
      <xdr:colOff>0</xdr:colOff>
      <xdr:row>425</xdr:row>
      <xdr:rowOff>104775</xdr:rowOff>
    </xdr:to>
    <xdr:graphicFrame macro="">
      <xdr:nvGraphicFramePr>
        <xdr:cNvPr id="183" name="EBITDA10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9"/>
        </a:graphicData>
      </a:graphic>
    </xdr:graphicFrame>
    <xdr:clientData/>
  </xdr:twoCellAnchor>
  <xdr:twoCellAnchor>
    <xdr:from>
      <xdr:col>16</xdr:col>
      <xdr:colOff>0</xdr:colOff>
      <xdr:row>427</xdr:row>
      <xdr:rowOff>0</xdr:rowOff>
    </xdr:from>
    <xdr:to>
      <xdr:col>18</xdr:col>
      <xdr:colOff>1152525</xdr:colOff>
      <xdr:row>445</xdr:row>
      <xdr:rowOff>114300</xdr:rowOff>
    </xdr:to>
    <xdr:graphicFrame macro="">
      <xdr:nvGraphicFramePr>
        <xdr:cNvPr id="184" name="ND10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0"/>
        </a:graphicData>
      </a:graphic>
    </xdr:graphicFrame>
    <xdr:clientData/>
  </xdr:twoCellAnchor>
  <xdr:oneCellAnchor>
    <xdr:from>
      <xdr:col>13</xdr:col>
      <xdr:colOff>845348</xdr:colOff>
      <xdr:row>386</xdr:row>
      <xdr:rowOff>83344</xdr:rowOff>
    </xdr:from>
    <xdr:ext cx="1988343" cy="781240"/>
    <xdr:sp macro="" textlink="">
      <xdr:nvSpPr>
        <xdr:cNvPr id="2" name="TextBox 1"/>
        <xdr:cNvSpPr txBox="1"/>
      </xdr:nvSpPr>
      <xdr:spPr>
        <a:xfrm>
          <a:off x="15597192" y="57638157"/>
          <a:ext cx="1988343"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4Q15 ethanol estimated volume (320k cbm) is close to the company's 3Q15 ethanol inventories (350k cbm). </a:t>
          </a:r>
        </a:p>
      </xdr:txBody>
    </xdr:sp>
    <xdr:clientData/>
  </xdr:oneCellAnchor>
  <xdr:twoCellAnchor>
    <xdr:from>
      <xdr:col>15</xdr:col>
      <xdr:colOff>452441</xdr:colOff>
      <xdr:row>386</xdr:row>
      <xdr:rowOff>71437</xdr:rowOff>
    </xdr:from>
    <xdr:to>
      <xdr:col>15</xdr:col>
      <xdr:colOff>464347</xdr:colOff>
      <xdr:row>388</xdr:row>
      <xdr:rowOff>140589</xdr:rowOff>
    </xdr:to>
    <xdr:cxnSp macro="">
      <xdr:nvCxnSpPr>
        <xdr:cNvPr id="5" name="Straight Arrow Connector 4"/>
        <xdr:cNvCxnSpPr>
          <a:stCxn id="2" idx="3"/>
        </xdr:cNvCxnSpPr>
      </xdr:nvCxnSpPr>
      <xdr:spPr bwMode="auto">
        <a:xfrm flipV="1">
          <a:off x="17585535" y="57626250"/>
          <a:ext cx="11906" cy="402527"/>
        </a:xfrm>
        <a:prstGeom prst="straightConnector1">
          <a:avLst/>
        </a:prstGeom>
        <a:solidFill>
          <a:srgbClr xmlns:mc="http://schemas.openxmlformats.org/markup-compatibility/2006" xmlns:a14="http://schemas.microsoft.com/office/drawing/2010/main" val="0000FF" mc:Ignorable="a14" a14:legacySpreadsheetColorIndex="1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xdr:col>
      <xdr:colOff>0</xdr:colOff>
      <xdr:row>387</xdr:row>
      <xdr:rowOff>0</xdr:rowOff>
    </xdr:from>
    <xdr:to>
      <xdr:col>9</xdr:col>
      <xdr:colOff>1162050</xdr:colOff>
      <xdr:row>405</xdr:row>
      <xdr:rowOff>114300</xdr:rowOff>
    </xdr:to>
    <xdr:graphicFrame macro="">
      <xdr:nvGraphicFramePr>
        <xdr:cNvPr id="176" name="R10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1"/>
        </a:graphicData>
      </a:graphic>
    </xdr:graphicFrame>
    <xdr:clientData/>
  </xdr:twoCellAnchor>
  <xdr:twoCellAnchor>
    <xdr:from>
      <xdr:col>9</xdr:col>
      <xdr:colOff>1176619</xdr:colOff>
      <xdr:row>387</xdr:row>
      <xdr:rowOff>4480</xdr:rowOff>
    </xdr:from>
    <xdr:to>
      <xdr:col>13</xdr:col>
      <xdr:colOff>0</xdr:colOff>
      <xdr:row>404</xdr:row>
      <xdr:rowOff>78441</xdr:rowOff>
    </xdr:to>
    <xdr:graphicFrame macro="">
      <xdr:nvGraphicFramePr>
        <xdr:cNvPr id="178" name="Gross Revenues (R$ m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2"/>
        </a:graphicData>
      </a:graphic>
    </xdr:graphicFrame>
    <xdr:clientData/>
  </xdr:twoCellAnchor>
  <xdr:twoCellAnchor>
    <xdr:from>
      <xdr:col>19</xdr:col>
      <xdr:colOff>10584</xdr:colOff>
      <xdr:row>407</xdr:row>
      <xdr:rowOff>90451</xdr:rowOff>
    </xdr:from>
    <xdr:to>
      <xdr:col>22</xdr:col>
      <xdr:colOff>211666</xdr:colOff>
      <xdr:row>426</xdr:row>
      <xdr:rowOff>31750</xdr:rowOff>
    </xdr:to>
    <xdr:graphicFrame macro="">
      <xdr:nvGraphicFramePr>
        <xdr:cNvPr id="186" name="SUM10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3"/>
        </a:graphicData>
      </a:graphic>
    </xdr:graphicFrame>
    <xdr:clientData/>
  </xdr:twoCellAnchor>
  <xdr:twoCellAnchor>
    <xdr:from>
      <xdr:col>13</xdr:col>
      <xdr:colOff>43141</xdr:colOff>
      <xdr:row>166</xdr:row>
      <xdr:rowOff>131110</xdr:rowOff>
    </xdr:from>
    <xdr:to>
      <xdr:col>16</xdr:col>
      <xdr:colOff>1181100</xdr:colOff>
      <xdr:row>184</xdr:row>
      <xdr:rowOff>106262</xdr:rowOff>
    </xdr:to>
    <xdr:graphicFrame macro="">
      <xdr:nvGraphicFramePr>
        <xdr:cNvPr id="185" name="Chart 18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4"/>
        </a:graphicData>
      </a:graphic>
    </xdr:graphicFrame>
    <xdr:clientData/>
  </xdr:twoCellAnchor>
  <xdr:twoCellAnchor>
    <xdr:from>
      <xdr:col>4</xdr:col>
      <xdr:colOff>0</xdr:colOff>
      <xdr:row>66</xdr:row>
      <xdr:rowOff>23812</xdr:rowOff>
    </xdr:from>
    <xdr:to>
      <xdr:col>6</xdr:col>
      <xdr:colOff>1165411</xdr:colOff>
      <xdr:row>84</xdr:row>
      <xdr:rowOff>123825</xdr:rowOff>
    </xdr:to>
    <xdr:graphicFrame macro="">
      <xdr:nvGraphicFramePr>
        <xdr:cNvPr id="187" name="VOL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5"/>
        </a:graphicData>
      </a:graphic>
    </xdr:graphicFrame>
    <xdr:clientData/>
  </xdr:twoCellAnchor>
  <xdr:twoCellAnchor>
    <xdr:from>
      <xdr:col>7</xdr:col>
      <xdr:colOff>0</xdr:colOff>
      <xdr:row>66</xdr:row>
      <xdr:rowOff>0</xdr:rowOff>
    </xdr:from>
    <xdr:to>
      <xdr:col>9</xdr:col>
      <xdr:colOff>1165411</xdr:colOff>
      <xdr:row>84</xdr:row>
      <xdr:rowOff>100013</xdr:rowOff>
    </xdr:to>
    <xdr:graphicFrame macro="">
      <xdr:nvGraphicFramePr>
        <xdr:cNvPr id="188" name="VOL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6"/>
        </a:graphicData>
      </a:graphic>
    </xdr:graphicFrame>
    <xdr:clientData/>
  </xdr:twoCellAnchor>
  <xdr:twoCellAnchor>
    <xdr:from>
      <xdr:col>10</xdr:col>
      <xdr:colOff>0</xdr:colOff>
      <xdr:row>66</xdr:row>
      <xdr:rowOff>0</xdr:rowOff>
    </xdr:from>
    <xdr:to>
      <xdr:col>12</xdr:col>
      <xdr:colOff>1165411</xdr:colOff>
      <xdr:row>84</xdr:row>
      <xdr:rowOff>100013</xdr:rowOff>
    </xdr:to>
    <xdr:graphicFrame macro="">
      <xdr:nvGraphicFramePr>
        <xdr:cNvPr id="190" name="VOL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7"/>
        </a:graphicData>
      </a:graphic>
    </xdr:graphicFrame>
    <xdr:clientData/>
  </xdr:twoCellAnchor>
  <xdr:twoCellAnchor>
    <xdr:from>
      <xdr:col>4</xdr:col>
      <xdr:colOff>40821</xdr:colOff>
      <xdr:row>86</xdr:row>
      <xdr:rowOff>0</xdr:rowOff>
    </xdr:from>
    <xdr:to>
      <xdr:col>7</xdr:col>
      <xdr:colOff>0</xdr:colOff>
      <xdr:row>104</xdr:row>
      <xdr:rowOff>123825</xdr:rowOff>
    </xdr:to>
    <xdr:graphicFrame macro="">
      <xdr:nvGraphicFramePr>
        <xdr:cNvPr id="191" name="VOL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8"/>
        </a:graphicData>
      </a:graphic>
    </xdr:graphicFrame>
    <xdr:clientData/>
  </xdr:twoCellAnchor>
  <xdr:twoCellAnchor>
    <xdr:from>
      <xdr:col>7</xdr:col>
      <xdr:colOff>40821</xdr:colOff>
      <xdr:row>86</xdr:row>
      <xdr:rowOff>0</xdr:rowOff>
    </xdr:from>
    <xdr:to>
      <xdr:col>10</xdr:col>
      <xdr:colOff>0</xdr:colOff>
      <xdr:row>104</xdr:row>
      <xdr:rowOff>123825</xdr:rowOff>
    </xdr:to>
    <xdr:graphicFrame macro="">
      <xdr:nvGraphicFramePr>
        <xdr:cNvPr id="192" name="VOL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9"/>
        </a:graphicData>
      </a:graphic>
    </xdr:graphicFrame>
    <xdr:clientData/>
  </xdr:twoCellAnchor>
  <xdr:twoCellAnchor>
    <xdr:from>
      <xdr:col>13</xdr:col>
      <xdr:colOff>40821</xdr:colOff>
      <xdr:row>86</xdr:row>
      <xdr:rowOff>0</xdr:rowOff>
    </xdr:from>
    <xdr:to>
      <xdr:col>16</xdr:col>
      <xdr:colOff>0</xdr:colOff>
      <xdr:row>104</xdr:row>
      <xdr:rowOff>123825</xdr:rowOff>
    </xdr:to>
    <xdr:graphicFrame macro="">
      <xdr:nvGraphicFramePr>
        <xdr:cNvPr id="193" name="VOL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0"/>
        </a:graphicData>
      </a:graphic>
    </xdr:graphicFrame>
    <xdr:clientData/>
  </xdr:twoCellAnchor>
  <xdr:twoCellAnchor>
    <xdr:from>
      <xdr:col>1</xdr:col>
      <xdr:colOff>0</xdr:colOff>
      <xdr:row>186</xdr:row>
      <xdr:rowOff>0</xdr:rowOff>
    </xdr:from>
    <xdr:to>
      <xdr:col>4</xdr:col>
      <xdr:colOff>0</xdr:colOff>
      <xdr:row>204</xdr:row>
      <xdr:rowOff>123825</xdr:rowOff>
    </xdr:to>
    <xdr:graphicFrame macro="">
      <xdr:nvGraphicFramePr>
        <xdr:cNvPr id="194" name="VOL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1"/>
        </a:graphicData>
      </a:graphic>
    </xdr:graphicFrame>
    <xdr:clientData/>
  </xdr:twoCellAnchor>
  <xdr:twoCellAnchor>
    <xdr:from>
      <xdr:col>6</xdr:col>
      <xdr:colOff>1154907</xdr:colOff>
      <xdr:row>186</xdr:row>
      <xdr:rowOff>0</xdr:rowOff>
    </xdr:from>
    <xdr:to>
      <xdr:col>9</xdr:col>
      <xdr:colOff>1154907</xdr:colOff>
      <xdr:row>204</xdr:row>
      <xdr:rowOff>123825</xdr:rowOff>
    </xdr:to>
    <xdr:graphicFrame macro="">
      <xdr:nvGraphicFramePr>
        <xdr:cNvPr id="195" name="VOL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2"/>
        </a:graphicData>
      </a:graphic>
    </xdr:graphicFrame>
    <xdr:clientData/>
  </xdr:twoCellAnchor>
  <xdr:twoCellAnchor>
    <xdr:from>
      <xdr:col>9</xdr:col>
      <xdr:colOff>1166813</xdr:colOff>
      <xdr:row>185</xdr:row>
      <xdr:rowOff>154781</xdr:rowOff>
    </xdr:from>
    <xdr:to>
      <xdr:col>12</xdr:col>
      <xdr:colOff>1166813</xdr:colOff>
      <xdr:row>204</xdr:row>
      <xdr:rowOff>111918</xdr:rowOff>
    </xdr:to>
    <xdr:graphicFrame macro="">
      <xdr:nvGraphicFramePr>
        <xdr:cNvPr id="196" name="VOL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3"/>
        </a:graphicData>
      </a:graphic>
    </xdr:graphicFrame>
    <xdr:clientData/>
  </xdr:twoCellAnchor>
  <xdr:twoCellAnchor>
    <xdr:from>
      <xdr:col>19</xdr:col>
      <xdr:colOff>11907</xdr:colOff>
      <xdr:row>186</xdr:row>
      <xdr:rowOff>11907</xdr:rowOff>
    </xdr:from>
    <xdr:to>
      <xdr:col>22</xdr:col>
      <xdr:colOff>11907</xdr:colOff>
      <xdr:row>204</xdr:row>
      <xdr:rowOff>135732</xdr:rowOff>
    </xdr:to>
    <xdr:graphicFrame macro="">
      <xdr:nvGraphicFramePr>
        <xdr:cNvPr id="199" name="VOL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4"/>
        </a:graphicData>
      </a:graphic>
    </xdr:graphicFrame>
    <xdr:clientData/>
  </xdr:twoCellAnchor>
  <xdr:twoCellAnchor>
    <xdr:from>
      <xdr:col>13</xdr:col>
      <xdr:colOff>23812</xdr:colOff>
      <xdr:row>186</xdr:row>
      <xdr:rowOff>0</xdr:rowOff>
    </xdr:from>
    <xdr:to>
      <xdr:col>16</xdr:col>
      <xdr:colOff>23812</xdr:colOff>
      <xdr:row>204</xdr:row>
      <xdr:rowOff>123825</xdr:rowOff>
    </xdr:to>
    <xdr:graphicFrame macro="">
      <xdr:nvGraphicFramePr>
        <xdr:cNvPr id="200" name="VOL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5"/>
        </a:graphicData>
      </a:graphic>
    </xdr:graphicFrame>
    <xdr:clientData/>
  </xdr:twoCellAnchor>
  <xdr:twoCellAnchor>
    <xdr:from>
      <xdr:col>16</xdr:col>
      <xdr:colOff>47625</xdr:colOff>
      <xdr:row>186</xdr:row>
      <xdr:rowOff>0</xdr:rowOff>
    </xdr:from>
    <xdr:to>
      <xdr:col>19</xdr:col>
      <xdr:colOff>47625</xdr:colOff>
      <xdr:row>204</xdr:row>
      <xdr:rowOff>123825</xdr:rowOff>
    </xdr:to>
    <xdr:graphicFrame macro="">
      <xdr:nvGraphicFramePr>
        <xdr:cNvPr id="201" name="VOL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6"/>
        </a:graphicData>
      </a:graphic>
    </xdr:graphicFrame>
    <xdr:clientData/>
  </xdr:twoCellAnchor>
  <xdr:twoCellAnchor>
    <xdr:from>
      <xdr:col>21</xdr:col>
      <xdr:colOff>1166812</xdr:colOff>
      <xdr:row>186</xdr:row>
      <xdr:rowOff>23813</xdr:rowOff>
    </xdr:from>
    <xdr:to>
      <xdr:col>24</xdr:col>
      <xdr:colOff>690562</xdr:colOff>
      <xdr:row>204</xdr:row>
      <xdr:rowOff>147638</xdr:rowOff>
    </xdr:to>
    <xdr:graphicFrame macro="">
      <xdr:nvGraphicFramePr>
        <xdr:cNvPr id="202" name="VOL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7"/>
        </a:graphicData>
      </a:graphic>
    </xdr:graphicFrame>
    <xdr:clientData/>
  </xdr:twoCellAnchor>
  <xdr:twoCellAnchor>
    <xdr:from>
      <xdr:col>19</xdr:col>
      <xdr:colOff>0</xdr:colOff>
      <xdr:row>206</xdr:row>
      <xdr:rowOff>0</xdr:rowOff>
    </xdr:from>
    <xdr:to>
      <xdr:col>22</xdr:col>
      <xdr:colOff>0</xdr:colOff>
      <xdr:row>224</xdr:row>
      <xdr:rowOff>123825</xdr:rowOff>
    </xdr:to>
    <xdr:graphicFrame macro="">
      <xdr:nvGraphicFramePr>
        <xdr:cNvPr id="203" name="VOL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8"/>
        </a:graphicData>
      </a:graphic>
    </xdr:graphicFrame>
    <xdr:clientData/>
  </xdr:twoCellAnchor>
  <xdr:twoCellAnchor>
    <xdr:from>
      <xdr:col>3</xdr:col>
      <xdr:colOff>1178718</xdr:colOff>
      <xdr:row>206</xdr:row>
      <xdr:rowOff>11906</xdr:rowOff>
    </xdr:from>
    <xdr:to>
      <xdr:col>6</xdr:col>
      <xdr:colOff>1159668</xdr:colOff>
      <xdr:row>224</xdr:row>
      <xdr:rowOff>126206</xdr:rowOff>
    </xdr:to>
    <xdr:graphicFrame macro="">
      <xdr:nvGraphicFramePr>
        <xdr:cNvPr id="198" name="R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9"/>
        </a:graphicData>
      </a:graphic>
    </xdr:graphicFrame>
    <xdr:clientData/>
  </xdr:twoCellAnchor>
  <xdr:twoCellAnchor>
    <xdr:from>
      <xdr:col>9</xdr:col>
      <xdr:colOff>1166813</xdr:colOff>
      <xdr:row>206</xdr:row>
      <xdr:rowOff>11906</xdr:rowOff>
    </xdr:from>
    <xdr:to>
      <xdr:col>12</xdr:col>
      <xdr:colOff>1083470</xdr:colOff>
      <xdr:row>224</xdr:row>
      <xdr:rowOff>107157</xdr:rowOff>
    </xdr:to>
    <xdr:graphicFrame macro="">
      <xdr:nvGraphicFramePr>
        <xdr:cNvPr id="204" name="R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0"/>
        </a:graphicData>
      </a:graphic>
    </xdr:graphicFrame>
    <xdr:clientData/>
  </xdr:twoCellAnchor>
  <xdr:twoCellAnchor>
    <xdr:from>
      <xdr:col>10</xdr:col>
      <xdr:colOff>0</xdr:colOff>
      <xdr:row>285</xdr:row>
      <xdr:rowOff>9525</xdr:rowOff>
    </xdr:from>
    <xdr:to>
      <xdr:col>12</xdr:col>
      <xdr:colOff>1133475</xdr:colOff>
      <xdr:row>285</xdr:row>
      <xdr:rowOff>9525</xdr:rowOff>
    </xdr:to>
    <xdr:graphicFrame macro="">
      <xdr:nvGraphicFramePr>
        <xdr:cNvPr id="197" name="Chart 11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1"/>
        </a:graphicData>
      </a:graphic>
    </xdr:graphicFrame>
    <xdr:clientData/>
  </xdr:twoCellAnchor>
  <xdr:twoCellAnchor>
    <xdr:from>
      <xdr:col>10</xdr:col>
      <xdr:colOff>0</xdr:colOff>
      <xdr:row>285</xdr:row>
      <xdr:rowOff>9525</xdr:rowOff>
    </xdr:from>
    <xdr:to>
      <xdr:col>12</xdr:col>
      <xdr:colOff>1133475</xdr:colOff>
      <xdr:row>285</xdr:row>
      <xdr:rowOff>9525</xdr:rowOff>
    </xdr:to>
    <xdr:graphicFrame macro="">
      <xdr:nvGraphicFramePr>
        <xdr:cNvPr id="205" name="Chart 11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2"/>
        </a:graphicData>
      </a:graphic>
    </xdr:graphicFrame>
    <xdr:clientData/>
  </xdr:twoCellAnchor>
  <xdr:twoCellAnchor>
    <xdr:from>
      <xdr:col>10</xdr:col>
      <xdr:colOff>0</xdr:colOff>
      <xdr:row>285</xdr:row>
      <xdr:rowOff>9525</xdr:rowOff>
    </xdr:from>
    <xdr:to>
      <xdr:col>12</xdr:col>
      <xdr:colOff>1133475</xdr:colOff>
      <xdr:row>285</xdr:row>
      <xdr:rowOff>9525</xdr:rowOff>
    </xdr:to>
    <xdr:graphicFrame macro="">
      <xdr:nvGraphicFramePr>
        <xdr:cNvPr id="206" name="Chart 11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3"/>
        </a:graphicData>
      </a:graphic>
    </xdr:graphicFrame>
    <xdr:clientData/>
  </xdr:twoCellAnchor>
  <xdr:twoCellAnchor>
    <xdr:from>
      <xdr:col>10</xdr:col>
      <xdr:colOff>0</xdr:colOff>
      <xdr:row>285</xdr:row>
      <xdr:rowOff>9525</xdr:rowOff>
    </xdr:from>
    <xdr:to>
      <xdr:col>12</xdr:col>
      <xdr:colOff>1133475</xdr:colOff>
      <xdr:row>285</xdr:row>
      <xdr:rowOff>9525</xdr:rowOff>
    </xdr:to>
    <xdr:graphicFrame macro="">
      <xdr:nvGraphicFramePr>
        <xdr:cNvPr id="207" name="Chart 11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4"/>
        </a:graphicData>
      </a:graphic>
    </xdr:graphicFrame>
    <xdr:clientData/>
  </xdr:twoCellAnchor>
  <xdr:twoCellAnchor>
    <xdr:from>
      <xdr:col>9</xdr:col>
      <xdr:colOff>1178717</xdr:colOff>
      <xdr:row>286</xdr:row>
      <xdr:rowOff>47625</xdr:rowOff>
    </xdr:from>
    <xdr:to>
      <xdr:col>13</xdr:col>
      <xdr:colOff>35719</xdr:colOff>
      <xdr:row>304</xdr:row>
      <xdr:rowOff>83343</xdr:rowOff>
    </xdr:to>
    <xdr:graphicFrame macro="">
      <xdr:nvGraphicFramePr>
        <xdr:cNvPr id="208" name="WC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5"/>
        </a:graphicData>
      </a:graphic>
    </xdr:graphicFrame>
    <xdr:clientData/>
  </xdr:twoCellAnchor>
  <xdr:twoCellAnchor>
    <xdr:from>
      <xdr:col>4</xdr:col>
      <xdr:colOff>71437</xdr:colOff>
      <xdr:row>186</xdr:row>
      <xdr:rowOff>95250</xdr:rowOff>
    </xdr:from>
    <xdr:to>
      <xdr:col>7</xdr:col>
      <xdr:colOff>71437</xdr:colOff>
      <xdr:row>205</xdr:row>
      <xdr:rowOff>52388</xdr:rowOff>
    </xdr:to>
    <xdr:graphicFrame macro="">
      <xdr:nvGraphicFramePr>
        <xdr:cNvPr id="210" name="VOL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6"/>
        </a:graphicData>
      </a:graphic>
    </xdr:graphicFrame>
    <xdr:clientData/>
  </xdr:twoCellAnchor>
  <xdr:twoCellAnchor>
    <xdr:from>
      <xdr:col>12</xdr:col>
      <xdr:colOff>1104900</xdr:colOff>
      <xdr:row>125</xdr:row>
      <xdr:rowOff>9525</xdr:rowOff>
    </xdr:from>
    <xdr:to>
      <xdr:col>15</xdr:col>
      <xdr:colOff>1028700</xdr:colOff>
      <xdr:row>125</xdr:row>
      <xdr:rowOff>9525</xdr:rowOff>
    </xdr:to>
    <xdr:graphicFrame macro="">
      <xdr:nvGraphicFramePr>
        <xdr:cNvPr id="209" name="Chart 11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7"/>
        </a:graphicData>
      </a:graphic>
    </xdr:graphicFrame>
    <xdr:clientData/>
  </xdr:twoCellAnchor>
  <xdr:twoCellAnchor>
    <xdr:from>
      <xdr:col>12</xdr:col>
      <xdr:colOff>1104900</xdr:colOff>
      <xdr:row>125</xdr:row>
      <xdr:rowOff>9525</xdr:rowOff>
    </xdr:from>
    <xdr:to>
      <xdr:col>15</xdr:col>
      <xdr:colOff>1028700</xdr:colOff>
      <xdr:row>125</xdr:row>
      <xdr:rowOff>9525</xdr:rowOff>
    </xdr:to>
    <xdr:graphicFrame macro="">
      <xdr:nvGraphicFramePr>
        <xdr:cNvPr id="211" name="Chart 11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8"/>
        </a:graphicData>
      </a:graphic>
    </xdr:graphicFrame>
    <xdr:clientData/>
  </xdr:twoCellAnchor>
  <xdr:twoCellAnchor>
    <xdr:from>
      <xdr:col>12</xdr:col>
      <xdr:colOff>1104900</xdr:colOff>
      <xdr:row>125</xdr:row>
      <xdr:rowOff>9525</xdr:rowOff>
    </xdr:from>
    <xdr:to>
      <xdr:col>15</xdr:col>
      <xdr:colOff>1028700</xdr:colOff>
      <xdr:row>125</xdr:row>
      <xdr:rowOff>9525</xdr:rowOff>
    </xdr:to>
    <xdr:graphicFrame macro="">
      <xdr:nvGraphicFramePr>
        <xdr:cNvPr id="212" name="Chart 11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9"/>
        </a:graphicData>
      </a:graphic>
    </xdr:graphicFrame>
    <xdr:clientData/>
  </xdr:twoCellAnchor>
  <xdr:twoCellAnchor>
    <xdr:from>
      <xdr:col>12</xdr:col>
      <xdr:colOff>1104900</xdr:colOff>
      <xdr:row>125</xdr:row>
      <xdr:rowOff>9525</xdr:rowOff>
    </xdr:from>
    <xdr:to>
      <xdr:col>15</xdr:col>
      <xdr:colOff>1028700</xdr:colOff>
      <xdr:row>125</xdr:row>
      <xdr:rowOff>9525</xdr:rowOff>
    </xdr:to>
    <xdr:graphicFrame macro="">
      <xdr:nvGraphicFramePr>
        <xdr:cNvPr id="213" name="Chart 115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0"/>
        </a:graphicData>
      </a:graphic>
    </xdr:graphicFrame>
    <xdr:clientData/>
  </xdr:twoCellAnchor>
  <xdr:twoCellAnchor>
    <xdr:from>
      <xdr:col>13</xdr:col>
      <xdr:colOff>0</xdr:colOff>
      <xdr:row>125</xdr:row>
      <xdr:rowOff>9525</xdr:rowOff>
    </xdr:from>
    <xdr:to>
      <xdr:col>15</xdr:col>
      <xdr:colOff>1133475</xdr:colOff>
      <xdr:row>125</xdr:row>
      <xdr:rowOff>9525</xdr:rowOff>
    </xdr:to>
    <xdr:graphicFrame macro="">
      <xdr:nvGraphicFramePr>
        <xdr:cNvPr id="214" name="Chart 119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1"/>
        </a:graphicData>
      </a:graphic>
    </xdr:graphicFrame>
    <xdr:clientData/>
  </xdr:twoCellAnchor>
  <xdr:twoCellAnchor>
    <xdr:from>
      <xdr:col>13</xdr:col>
      <xdr:colOff>0</xdr:colOff>
      <xdr:row>125</xdr:row>
      <xdr:rowOff>9525</xdr:rowOff>
    </xdr:from>
    <xdr:to>
      <xdr:col>15</xdr:col>
      <xdr:colOff>1133475</xdr:colOff>
      <xdr:row>125</xdr:row>
      <xdr:rowOff>9525</xdr:rowOff>
    </xdr:to>
    <xdr:graphicFrame macro="">
      <xdr:nvGraphicFramePr>
        <xdr:cNvPr id="215" name="Chart 119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2"/>
        </a:graphicData>
      </a:graphic>
    </xdr:graphicFrame>
    <xdr:clientData/>
  </xdr:twoCellAnchor>
  <xdr:twoCellAnchor>
    <xdr:from>
      <xdr:col>13</xdr:col>
      <xdr:colOff>0</xdr:colOff>
      <xdr:row>125</xdr:row>
      <xdr:rowOff>9525</xdr:rowOff>
    </xdr:from>
    <xdr:to>
      <xdr:col>15</xdr:col>
      <xdr:colOff>1133475</xdr:colOff>
      <xdr:row>125</xdr:row>
      <xdr:rowOff>9525</xdr:rowOff>
    </xdr:to>
    <xdr:graphicFrame macro="">
      <xdr:nvGraphicFramePr>
        <xdr:cNvPr id="216" name="Chart 119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3"/>
        </a:graphicData>
      </a:graphic>
    </xdr:graphicFrame>
    <xdr:clientData/>
  </xdr:twoCellAnchor>
  <xdr:twoCellAnchor>
    <xdr:from>
      <xdr:col>13</xdr:col>
      <xdr:colOff>0</xdr:colOff>
      <xdr:row>125</xdr:row>
      <xdr:rowOff>9525</xdr:rowOff>
    </xdr:from>
    <xdr:to>
      <xdr:col>15</xdr:col>
      <xdr:colOff>1133475</xdr:colOff>
      <xdr:row>125</xdr:row>
      <xdr:rowOff>9525</xdr:rowOff>
    </xdr:to>
    <xdr:graphicFrame macro="">
      <xdr:nvGraphicFramePr>
        <xdr:cNvPr id="217" name="Chart 119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4"/>
        </a:graphicData>
      </a:graphic>
    </xdr:graphicFrame>
    <xdr:clientData/>
  </xdr:twoCellAnchor>
  <xdr:twoCellAnchor>
    <xdr:from>
      <xdr:col>13</xdr:col>
      <xdr:colOff>0</xdr:colOff>
      <xdr:row>125</xdr:row>
      <xdr:rowOff>9525</xdr:rowOff>
    </xdr:from>
    <xdr:to>
      <xdr:col>15</xdr:col>
      <xdr:colOff>1133475</xdr:colOff>
      <xdr:row>125</xdr:row>
      <xdr:rowOff>9525</xdr:rowOff>
    </xdr:to>
    <xdr:graphicFrame macro="">
      <xdr:nvGraphicFramePr>
        <xdr:cNvPr id="218" name="Chart 120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5"/>
        </a:graphicData>
      </a:graphic>
    </xdr:graphicFrame>
    <xdr:clientData/>
  </xdr:twoCellAnchor>
  <xdr:twoCellAnchor>
    <xdr:from>
      <xdr:col>13</xdr:col>
      <xdr:colOff>0</xdr:colOff>
      <xdr:row>125</xdr:row>
      <xdr:rowOff>9525</xdr:rowOff>
    </xdr:from>
    <xdr:to>
      <xdr:col>15</xdr:col>
      <xdr:colOff>1133475</xdr:colOff>
      <xdr:row>125</xdr:row>
      <xdr:rowOff>9525</xdr:rowOff>
    </xdr:to>
    <xdr:graphicFrame macro="">
      <xdr:nvGraphicFramePr>
        <xdr:cNvPr id="219" name="Chart 120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6"/>
        </a:graphicData>
      </a:graphic>
    </xdr:graphicFrame>
    <xdr:clientData/>
  </xdr:twoCellAnchor>
  <xdr:twoCellAnchor>
    <xdr:from>
      <xdr:col>13</xdr:col>
      <xdr:colOff>0</xdr:colOff>
      <xdr:row>125</xdr:row>
      <xdr:rowOff>9525</xdr:rowOff>
    </xdr:from>
    <xdr:to>
      <xdr:col>15</xdr:col>
      <xdr:colOff>1133475</xdr:colOff>
      <xdr:row>125</xdr:row>
      <xdr:rowOff>9525</xdr:rowOff>
    </xdr:to>
    <xdr:graphicFrame macro="">
      <xdr:nvGraphicFramePr>
        <xdr:cNvPr id="220" name="Chart 120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7"/>
        </a:graphicData>
      </a:graphic>
    </xdr:graphicFrame>
    <xdr:clientData/>
  </xdr:twoCellAnchor>
  <xdr:twoCellAnchor>
    <xdr:from>
      <xdr:col>13</xdr:col>
      <xdr:colOff>0</xdr:colOff>
      <xdr:row>125</xdr:row>
      <xdr:rowOff>9525</xdr:rowOff>
    </xdr:from>
    <xdr:to>
      <xdr:col>15</xdr:col>
      <xdr:colOff>1133475</xdr:colOff>
      <xdr:row>125</xdr:row>
      <xdr:rowOff>9525</xdr:rowOff>
    </xdr:to>
    <xdr:graphicFrame macro="">
      <xdr:nvGraphicFramePr>
        <xdr:cNvPr id="221" name="Chart 120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8"/>
        </a:graphicData>
      </a:graphic>
    </xdr:graphicFrame>
    <xdr:clientData/>
  </xdr:twoCellAnchor>
  <xdr:twoCellAnchor>
    <xdr:from>
      <xdr:col>13</xdr:col>
      <xdr:colOff>0</xdr:colOff>
      <xdr:row>125</xdr:row>
      <xdr:rowOff>9525</xdr:rowOff>
    </xdr:from>
    <xdr:to>
      <xdr:col>15</xdr:col>
      <xdr:colOff>1133475</xdr:colOff>
      <xdr:row>125</xdr:row>
      <xdr:rowOff>9525</xdr:rowOff>
    </xdr:to>
    <xdr:graphicFrame macro="">
      <xdr:nvGraphicFramePr>
        <xdr:cNvPr id="222" name="Chart 130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9"/>
        </a:graphicData>
      </a:graphic>
    </xdr:graphicFrame>
    <xdr:clientData/>
  </xdr:twoCellAnchor>
  <xdr:twoCellAnchor>
    <xdr:from>
      <xdr:col>13</xdr:col>
      <xdr:colOff>0</xdr:colOff>
      <xdr:row>125</xdr:row>
      <xdr:rowOff>9525</xdr:rowOff>
    </xdr:from>
    <xdr:to>
      <xdr:col>15</xdr:col>
      <xdr:colOff>1133475</xdr:colOff>
      <xdr:row>125</xdr:row>
      <xdr:rowOff>9525</xdr:rowOff>
    </xdr:to>
    <xdr:graphicFrame macro="">
      <xdr:nvGraphicFramePr>
        <xdr:cNvPr id="223" name="Chart 130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0"/>
        </a:graphicData>
      </a:graphic>
    </xdr:graphicFrame>
    <xdr:clientData/>
  </xdr:twoCellAnchor>
  <xdr:twoCellAnchor>
    <xdr:from>
      <xdr:col>13</xdr:col>
      <xdr:colOff>0</xdr:colOff>
      <xdr:row>125</xdr:row>
      <xdr:rowOff>9525</xdr:rowOff>
    </xdr:from>
    <xdr:to>
      <xdr:col>15</xdr:col>
      <xdr:colOff>1133475</xdr:colOff>
      <xdr:row>125</xdr:row>
      <xdr:rowOff>9525</xdr:rowOff>
    </xdr:to>
    <xdr:graphicFrame macro="">
      <xdr:nvGraphicFramePr>
        <xdr:cNvPr id="224" name="Chart 130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1"/>
        </a:graphicData>
      </a:graphic>
    </xdr:graphicFrame>
    <xdr:clientData/>
  </xdr:twoCellAnchor>
  <xdr:twoCellAnchor>
    <xdr:from>
      <xdr:col>13</xdr:col>
      <xdr:colOff>0</xdr:colOff>
      <xdr:row>125</xdr:row>
      <xdr:rowOff>9525</xdr:rowOff>
    </xdr:from>
    <xdr:to>
      <xdr:col>15</xdr:col>
      <xdr:colOff>1133475</xdr:colOff>
      <xdr:row>125</xdr:row>
      <xdr:rowOff>9525</xdr:rowOff>
    </xdr:to>
    <xdr:graphicFrame macro="">
      <xdr:nvGraphicFramePr>
        <xdr:cNvPr id="225" name="Chart 130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2"/>
        </a:graphicData>
      </a:graphic>
    </xdr:graphicFrame>
    <xdr:clientData/>
  </xdr:twoCellAnchor>
  <xdr:twoCellAnchor>
    <xdr:from>
      <xdr:col>13</xdr:col>
      <xdr:colOff>0</xdr:colOff>
      <xdr:row>126</xdr:row>
      <xdr:rowOff>0</xdr:rowOff>
    </xdr:from>
    <xdr:to>
      <xdr:col>15</xdr:col>
      <xdr:colOff>1190624</xdr:colOff>
      <xdr:row>144</xdr:row>
      <xdr:rowOff>133350</xdr:rowOff>
    </xdr:to>
    <xdr:graphicFrame macro="">
      <xdr:nvGraphicFramePr>
        <xdr:cNvPr id="226" name="PR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3"/>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0.13061</cdr:x>
      <cdr:y>0.0211</cdr:y>
    </cdr:from>
    <cdr:to>
      <cdr:x>0.30028</cdr:x>
      <cdr:y>0.09705</cdr:y>
    </cdr:to>
    <cdr:sp macro="" textlink="">
      <cdr:nvSpPr>
        <cdr:cNvPr id="2" name="TextBox 2"/>
        <cdr:cNvSpPr txBox="1"/>
      </cdr:nvSpPr>
      <cdr:spPr>
        <a:xfrm xmlns:a="http://schemas.openxmlformats.org/drawingml/2006/main">
          <a:off x="465418" y="62006"/>
          <a:ext cx="604630" cy="223143"/>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900" b="0">
              <a:solidFill>
                <a:srgbClr val="808080"/>
              </a:solidFill>
              <a:latin typeface="Arial" panose="020B0604020202020204" pitchFamily="34" charset="0"/>
              <a:cs typeface="Arial" panose="020B0604020202020204" pitchFamily="34" charset="0"/>
            </a:rPr>
            <a:t>R$ mn</a:t>
          </a:r>
        </a:p>
        <a:p xmlns:a="http://schemas.openxmlformats.org/drawingml/2006/main">
          <a:endParaRPr lang="en-US" sz="900" b="1">
            <a:solidFill>
              <a:srgbClr val="808080"/>
            </a:solidFill>
            <a:latin typeface="Arial" panose="020B0604020202020204" pitchFamily="34" charset="0"/>
            <a:cs typeface="Arial" panose="020B0604020202020204" pitchFamily="34" charset="0"/>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0.50876</cdr:x>
      <cdr:y>0.45255</cdr:y>
    </cdr:from>
    <cdr:to>
      <cdr:x>0.53892</cdr:x>
      <cdr:y>0.50024</cdr:y>
    </cdr:to>
    <cdr:sp macro="" textlink="">
      <cdr:nvSpPr>
        <cdr:cNvPr id="311297" name="Text Box 1"/>
        <cdr:cNvSpPr txBox="1">
          <a:spLocks xmlns:a="http://schemas.openxmlformats.org/drawingml/2006/main" noChangeArrowheads="1"/>
        </cdr:cNvSpPr>
      </cdr:nvSpPr>
      <cdr:spPr bwMode="auto">
        <a:xfrm xmlns:a="http://schemas.openxmlformats.org/drawingml/2006/main">
          <a:off x="1801009" y="1365307"/>
          <a:ext cx="106595" cy="143547"/>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800" b="0" i="0" u="none" strike="noStrike" baseline="0">
              <a:solidFill>
                <a:srgbClr val="000000"/>
              </a:solidFill>
              <a:latin typeface="Arial"/>
              <a:cs typeface="Arial"/>
            </a:rPr>
            <a:t>`</a:t>
          </a:r>
        </a:p>
      </cdr:txBody>
    </cdr:sp>
  </cdr:relSizeAnchor>
</c:userShapes>
</file>

<file path=xl/drawings/drawing8.xml><?xml version="1.0" encoding="utf-8"?>
<c:userShapes xmlns:c="http://schemas.openxmlformats.org/drawingml/2006/chart">
  <cdr:relSizeAnchor xmlns:cdr="http://schemas.openxmlformats.org/drawingml/2006/chartDrawing">
    <cdr:from>
      <cdr:x>0.33356</cdr:x>
      <cdr:y>0.01352</cdr:y>
    </cdr:from>
    <cdr:to>
      <cdr:x>0.53749</cdr:x>
      <cdr:y>0.10041</cdr:y>
    </cdr:to>
    <cdr:sp macro="" textlink="">
      <cdr:nvSpPr>
        <cdr:cNvPr id="2" name="TextBox 1"/>
        <cdr:cNvSpPr txBox="1"/>
      </cdr:nvSpPr>
      <cdr:spPr>
        <a:xfrm xmlns:a="http://schemas.openxmlformats.org/drawingml/2006/main">
          <a:off x="1193800" y="42095"/>
          <a:ext cx="729904" cy="27065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accent6">
                  <a:lumMod val="50000"/>
                </a:schemeClr>
              </a:solidFill>
              <a:latin typeface="Arial" panose="020B0604020202020204" pitchFamily="34" charset="0"/>
              <a:cs typeface="Arial" panose="020B0604020202020204" pitchFamily="34" charset="0"/>
            </a:rPr>
            <a:t>Nova Fronteira</a:t>
          </a:r>
        </a:p>
      </cdr:txBody>
    </cdr:sp>
  </cdr:relSizeAnchor>
  <cdr:relSizeAnchor xmlns:cdr="http://schemas.openxmlformats.org/drawingml/2006/chartDrawing">
    <cdr:from>
      <cdr:x>0.5642</cdr:x>
      <cdr:y>0.08256</cdr:y>
    </cdr:from>
    <cdr:to>
      <cdr:x>0.64071</cdr:x>
      <cdr:y>0.18577</cdr:y>
    </cdr:to>
    <cdr:cxnSp macro="">
      <cdr:nvCxnSpPr>
        <cdr:cNvPr id="3" name="Straight Arrow Connector 2"/>
        <cdr:cNvCxnSpPr/>
      </cdr:nvCxnSpPr>
      <cdr:spPr bwMode="auto">
        <a:xfrm xmlns:a="http://schemas.openxmlformats.org/drawingml/2006/main">
          <a:off x="2019295" y="257162"/>
          <a:ext cx="273831" cy="321465"/>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0000FF" mc:Ignorable="a14" a14:legacySpreadsheetColorIndex="12"/>
        </a:solidFill>
        <a:ln xmlns:a="http://schemas.openxmlformats.org/drawingml/2006/main" w="9525" cap="flat" cmpd="sng" algn="ctr">
          <a:solidFill>
            <a:schemeClr val="accent6">
              <a:lumMod val="50000"/>
            </a:schemeClr>
          </a:solidFill>
          <a:prstDash val="solid"/>
          <a:round/>
          <a:headEnd type="none" w="med" len="med"/>
          <a:tailEnd type="arrow"/>
        </a:ln>
        <a:effectLst xmlns:a="http://schemas.openxmlformats.org/drawingml/2006/main"/>
        <a:extLst xmlns:a="http://schemas.openxmlformats.org/drawingml/2006/main">
          <a:ext uri="{AF507438-7753-43E0-B8FC-AC1667EBCBE1}">
            <a14:hiddenEffects xmlns:a14="http://schemas.microsoft.com/office/drawing/2010/main">
              <a:effectLst>
                <a:outerShdw dist="35921" dir="2700000" algn="ctr" rotWithShape="0">
                  <a:srgbClr val="808080"/>
                </a:outerShdw>
              </a:effectLst>
            </a14:hiddenEffects>
          </a:ext>
        </a:extLst>
      </cdr:spPr>
    </cdr:cxnSp>
  </cdr:relSizeAnchor>
</c:userShapes>
</file>

<file path=xl/drawings/drawing9.xml><?xml version="1.0" encoding="utf-8"?>
<c:userShapes xmlns:c="http://schemas.openxmlformats.org/drawingml/2006/chart">
  <cdr:relSizeAnchor xmlns:cdr="http://schemas.openxmlformats.org/drawingml/2006/chartDrawing">
    <cdr:from>
      <cdr:x>0.66333</cdr:x>
      <cdr:y>0.01376</cdr:y>
    </cdr:from>
    <cdr:to>
      <cdr:x>0.87667</cdr:x>
      <cdr:y>0.0711</cdr:y>
    </cdr:to>
    <cdr:sp macro="" textlink="">
      <cdr:nvSpPr>
        <cdr:cNvPr id="2" name="TextBox 1"/>
        <cdr:cNvSpPr txBox="1"/>
      </cdr:nvSpPr>
      <cdr:spPr>
        <a:xfrm xmlns:a="http://schemas.openxmlformats.org/drawingml/2006/main">
          <a:off x="2369344" y="42862"/>
          <a:ext cx="762000" cy="17859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900">
              <a:solidFill>
                <a:schemeClr val="bg1">
                  <a:lumMod val="50000"/>
                </a:schemeClr>
              </a:solidFill>
              <a:latin typeface="Arial" panose="020B0604020202020204" pitchFamily="34" charset="0"/>
              <a:cs typeface="Arial" panose="020B0604020202020204" pitchFamily="34" charset="0"/>
            </a:rPr>
            <a:t>% exports</a:t>
          </a:r>
        </a:p>
      </cdr:txBody>
    </cdr:sp>
  </cdr:relSizeAnchor>
</c:userShapes>
</file>

<file path=xl/drawings/drawing10.xml><?xml version="1.0" encoding="utf-8"?>
<c:userShapes xmlns:c="http://schemas.openxmlformats.org/drawingml/2006/chart">
  <cdr:relSizeAnchor xmlns:cdr="http://schemas.openxmlformats.org/drawingml/2006/chartDrawing">
    <cdr:from>
      <cdr:x>0.68</cdr:x>
      <cdr:y>0</cdr:y>
    </cdr:from>
    <cdr:to>
      <cdr:x>0.88667</cdr:x>
      <cdr:y>0.06498</cdr:y>
    </cdr:to>
    <cdr:sp macro="" textlink="">
      <cdr:nvSpPr>
        <cdr:cNvPr id="2" name="TextBox 1"/>
        <cdr:cNvSpPr txBox="1"/>
      </cdr:nvSpPr>
      <cdr:spPr>
        <a:xfrm xmlns:a="http://schemas.openxmlformats.org/drawingml/2006/main">
          <a:off x="2428875" y="0"/>
          <a:ext cx="738188" cy="20240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900">
              <a:solidFill>
                <a:schemeClr val="bg1">
                  <a:lumMod val="50000"/>
                </a:schemeClr>
              </a:solidFill>
              <a:latin typeface="Arial" panose="020B0604020202020204" pitchFamily="34" charset="0"/>
              <a:cs typeface="Arial" panose="020B0604020202020204" pitchFamily="34" charset="0"/>
            </a:rPr>
            <a:t>% exports</a:t>
          </a:r>
        </a:p>
      </cdr:txBody>
    </cdr:sp>
  </cdr:relSizeAnchor>
</c:userShapes>
</file>

<file path=xl/drawings/drawing11.xml><?xml version="1.0" encoding="utf-8"?>
<c:userShapes xmlns:c="http://schemas.openxmlformats.org/drawingml/2006/chart">
  <cdr:relSizeAnchor xmlns:cdr="http://schemas.openxmlformats.org/drawingml/2006/chartDrawing">
    <cdr:from>
      <cdr:x>0.11423</cdr:x>
      <cdr:y>0.60779</cdr:y>
    </cdr:from>
    <cdr:to>
      <cdr:x>0.31857</cdr:x>
      <cdr:y>0.6947</cdr:y>
    </cdr:to>
    <cdr:sp macro="" textlink="">
      <cdr:nvSpPr>
        <cdr:cNvPr id="2" name="TextBox 1"/>
        <cdr:cNvSpPr txBox="1"/>
      </cdr:nvSpPr>
      <cdr:spPr>
        <a:xfrm xmlns:a="http://schemas.openxmlformats.org/drawingml/2006/main">
          <a:off x="408003" y="1893080"/>
          <a:ext cx="729877" cy="27069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accent6">
                  <a:lumMod val="50000"/>
                </a:schemeClr>
              </a:solidFill>
              <a:latin typeface="Arial" panose="020B0604020202020204" pitchFamily="34" charset="0"/>
              <a:cs typeface="Arial" panose="020B0604020202020204" pitchFamily="34" charset="0"/>
            </a:rPr>
            <a:t>Drought</a:t>
          </a:r>
        </a:p>
      </cdr:txBody>
    </cdr:sp>
  </cdr:relSizeAnchor>
  <cdr:relSizeAnchor xmlns:cdr="http://schemas.openxmlformats.org/drawingml/2006/chartDrawing">
    <cdr:from>
      <cdr:x>0.2219</cdr:x>
      <cdr:y>0.54358</cdr:y>
    </cdr:from>
    <cdr:to>
      <cdr:x>0.25667</cdr:x>
      <cdr:y>0.59913</cdr:y>
    </cdr:to>
    <cdr:cxnSp macro="">
      <cdr:nvCxnSpPr>
        <cdr:cNvPr id="3" name="Straight Arrow Connector 2"/>
        <cdr:cNvCxnSpPr/>
      </cdr:nvCxnSpPr>
      <cdr:spPr bwMode="auto">
        <a:xfrm xmlns:a="http://schemas.openxmlformats.org/drawingml/2006/main" flipV="1">
          <a:off x="792599" y="1693069"/>
          <a:ext cx="124182" cy="173030"/>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0000FF" mc:Ignorable="a14" a14:legacySpreadsheetColorIndex="12"/>
        </a:solidFill>
        <a:ln xmlns:a="http://schemas.openxmlformats.org/drawingml/2006/main" w="9525" cap="flat" cmpd="sng" algn="ctr">
          <a:solidFill>
            <a:schemeClr val="accent6">
              <a:lumMod val="50000"/>
            </a:schemeClr>
          </a:solidFill>
          <a:prstDash val="solid"/>
          <a:round/>
          <a:headEnd type="none" w="med" len="med"/>
          <a:tailEnd type="arrow"/>
        </a:ln>
        <a:effectLst xmlns:a="http://schemas.openxmlformats.org/drawingml/2006/main"/>
        <a:extLst xmlns:a="http://schemas.openxmlformats.org/drawingml/2006/main">
          <a:ext uri="{AF507438-7753-43E0-B8FC-AC1667EBCBE1}">
            <a14:hiddenEffects xmlns:a14="http://schemas.microsoft.com/office/drawing/2010/main">
              <a:effectLst>
                <a:outerShdw dist="35921" dir="2700000" algn="ctr" rotWithShape="0">
                  <a:srgbClr val="808080"/>
                </a:outerShdw>
              </a:effectLst>
            </a14:hiddenEffects>
          </a:ext>
        </a:extLst>
      </cdr:spPr>
    </cdr:cxnSp>
  </cdr:relSizeAnchor>
  <cdr:relSizeAnchor xmlns:cdr="http://schemas.openxmlformats.org/drawingml/2006/chartDrawing">
    <cdr:from>
      <cdr:x>0.47422</cdr:x>
      <cdr:y>0.49414</cdr:y>
    </cdr:from>
    <cdr:to>
      <cdr:x>0.67857</cdr:x>
      <cdr:y>0.58104</cdr:y>
    </cdr:to>
    <cdr:sp macro="" textlink="">
      <cdr:nvSpPr>
        <cdr:cNvPr id="4" name="TextBox 1"/>
        <cdr:cNvSpPr txBox="1"/>
      </cdr:nvSpPr>
      <cdr:spPr>
        <a:xfrm xmlns:a="http://schemas.openxmlformats.org/drawingml/2006/main">
          <a:off x="1693855" y="1539086"/>
          <a:ext cx="729912" cy="27066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accent6">
                  <a:lumMod val="50000"/>
                </a:schemeClr>
              </a:solidFill>
              <a:latin typeface="Arial" panose="020B0604020202020204" pitchFamily="34" charset="0"/>
              <a:cs typeface="Arial" panose="020B0604020202020204" pitchFamily="34" charset="0"/>
            </a:rPr>
            <a:t>Frosts</a:t>
          </a:r>
        </a:p>
      </cdr:txBody>
    </cdr:sp>
  </cdr:relSizeAnchor>
  <cdr:relSizeAnchor xmlns:cdr="http://schemas.openxmlformats.org/drawingml/2006/chartDrawing">
    <cdr:from>
      <cdr:x>0.37191</cdr:x>
      <cdr:y>0.53032</cdr:y>
    </cdr:from>
    <cdr:to>
      <cdr:x>0.45524</cdr:x>
      <cdr:y>0.53032</cdr:y>
    </cdr:to>
    <cdr:cxnSp macro="">
      <cdr:nvCxnSpPr>
        <cdr:cNvPr id="5" name="Straight Arrow Connector 4"/>
        <cdr:cNvCxnSpPr/>
      </cdr:nvCxnSpPr>
      <cdr:spPr bwMode="auto">
        <a:xfrm xmlns:a="http://schemas.openxmlformats.org/drawingml/2006/main" flipH="1" flipV="1">
          <a:off x="1328404" y="1651782"/>
          <a:ext cx="297644" cy="0"/>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0000FF" mc:Ignorable="a14" a14:legacySpreadsheetColorIndex="12"/>
        </a:solidFill>
        <a:ln xmlns:a="http://schemas.openxmlformats.org/drawingml/2006/main" w="9525" cap="flat" cmpd="sng" algn="ctr">
          <a:solidFill>
            <a:schemeClr val="accent6">
              <a:lumMod val="50000"/>
            </a:schemeClr>
          </a:solidFill>
          <a:prstDash val="solid"/>
          <a:round/>
          <a:headEnd type="none" w="med" len="med"/>
          <a:tailEnd type="arrow"/>
        </a:ln>
        <a:effectLst xmlns:a="http://schemas.openxmlformats.org/drawingml/2006/main"/>
        <a:extLst xmlns:a="http://schemas.openxmlformats.org/drawingml/2006/main">
          <a:ext uri="{AF507438-7753-43E0-B8FC-AC1667EBCBE1}">
            <a14:hiddenEffects xmlns:a14="http://schemas.microsoft.com/office/drawing/2010/main">
              <a:effectLst>
                <a:outerShdw dist="35921" dir="2700000" algn="ctr" rotWithShape="0">
                  <a:srgbClr val="808080"/>
                </a:outerShdw>
              </a:effectLst>
            </a14:hiddenEffects>
          </a:ext>
        </a:extLst>
      </cdr:spPr>
    </cdr:cxnSp>
  </cdr:relSizeAnchor>
</c:userShapes>
</file>

<file path=xl/drawings/drawing12.xml><?xml version="1.0" encoding="utf-8"?>
<c:userShapes xmlns:c="http://schemas.openxmlformats.org/drawingml/2006/chart">
  <cdr:relSizeAnchor xmlns:cdr="http://schemas.openxmlformats.org/drawingml/2006/chartDrawing">
    <cdr:from>
      <cdr:x>0.32172</cdr:x>
      <cdr:y>0</cdr:y>
    </cdr:from>
    <cdr:to>
      <cdr:x>0.85791</cdr:x>
      <cdr:y>0.28339</cdr:y>
    </cdr:to>
    <cdr:sp macro="" textlink="">
      <cdr:nvSpPr>
        <cdr:cNvPr id="2" name="TextBox 1"/>
        <cdr:cNvSpPr txBox="1"/>
      </cdr:nvSpPr>
      <cdr:spPr>
        <a:xfrm xmlns:a="http://schemas.openxmlformats.org/drawingml/2006/main">
          <a:off x="1143000" y="0"/>
          <a:ext cx="1905000" cy="86915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050"/>
            <a:t>Cost of debt</a:t>
          </a:r>
          <a:r>
            <a:rPr lang="en-US" sz="1050" baseline="0"/>
            <a:t> used to be</a:t>
          </a:r>
        </a:p>
        <a:p xmlns:a="http://schemas.openxmlformats.org/drawingml/2006/main">
          <a:r>
            <a:rPr lang="en-US" sz="1050" baseline="0"/>
            <a:t>lower in Ag companies</a:t>
          </a:r>
        </a:p>
        <a:p xmlns:a="http://schemas.openxmlformats.org/drawingml/2006/main">
          <a:r>
            <a:rPr lang="en-US" sz="1050" baseline="0"/>
            <a:t>as its subsidized by the government</a:t>
          </a:r>
          <a:endParaRPr lang="en-US" sz="1050"/>
        </a:p>
      </cdr:txBody>
    </cdr:sp>
  </cdr:relSizeAnchor>
</c:userShapes>
</file>

<file path=xl/drawings/drawing13.xml><?xml version="1.0" encoding="utf-8"?>
<c:userShapes xmlns:c="http://schemas.openxmlformats.org/drawingml/2006/chart">
  <cdr:relSizeAnchor xmlns:cdr="http://schemas.openxmlformats.org/drawingml/2006/chartDrawing">
    <cdr:from>
      <cdr:x>0.28971</cdr:x>
      <cdr:y>0.04192</cdr:y>
    </cdr:from>
    <cdr:to>
      <cdr:x>0.91647</cdr:x>
      <cdr:y>0.3392</cdr:y>
    </cdr:to>
    <cdr:sp macro="" textlink="">
      <cdr:nvSpPr>
        <cdr:cNvPr id="2" name="TextBox 1"/>
        <cdr:cNvSpPr txBox="1"/>
      </cdr:nvSpPr>
      <cdr:spPr>
        <a:xfrm xmlns:a="http://schemas.openxmlformats.org/drawingml/2006/main">
          <a:off x="1027503" y="130969"/>
          <a:ext cx="2222905" cy="92876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900">
              <a:solidFill>
                <a:schemeClr val="accent6">
                  <a:lumMod val="50000"/>
                </a:schemeClr>
              </a:solidFill>
              <a:latin typeface="Arial" panose="020B0604020202020204" pitchFamily="34" charset="0"/>
              <a:cs typeface="Arial" panose="020B0604020202020204" pitchFamily="34" charset="0"/>
            </a:rPr>
            <a:t>Our estimates reflect increases in </a:t>
          </a:r>
        </a:p>
        <a:p xmlns:a="http://schemas.openxmlformats.org/drawingml/2006/main">
          <a:r>
            <a:rPr lang="en-US" sz="900">
              <a:solidFill>
                <a:schemeClr val="accent6">
                  <a:lumMod val="50000"/>
                </a:schemeClr>
              </a:solidFill>
              <a:latin typeface="Arial" panose="020B0604020202020204" pitchFamily="34" charset="0"/>
              <a:cs typeface="Arial" panose="020B0604020202020204" pitchFamily="34" charset="0"/>
            </a:rPr>
            <a:t>capacity that follow the higher </a:t>
          </a:r>
        </a:p>
        <a:p xmlns:a="http://schemas.openxmlformats.org/drawingml/2006/main">
          <a:r>
            <a:rPr lang="en-US" sz="900">
              <a:solidFill>
                <a:schemeClr val="accent6">
                  <a:lumMod val="50000"/>
                </a:schemeClr>
              </a:solidFill>
              <a:latin typeface="Arial" panose="020B0604020202020204" pitchFamily="34" charset="0"/>
              <a:cs typeface="Arial" panose="020B0604020202020204" pitchFamily="34" charset="0"/>
            </a:rPr>
            <a:t>availability of cane  for </a:t>
          </a:r>
        </a:p>
        <a:p xmlns:a="http://schemas.openxmlformats.org/drawingml/2006/main">
          <a:r>
            <a:rPr lang="en-US" sz="900">
              <a:solidFill>
                <a:schemeClr val="accent6">
                  <a:lumMod val="50000"/>
                </a:schemeClr>
              </a:solidFill>
              <a:latin typeface="Arial" panose="020B0604020202020204" pitchFamily="34" charset="0"/>
              <a:cs typeface="Arial" panose="020B0604020202020204" pitchFamily="34" charset="0"/>
            </a:rPr>
            <a:t>crushing.</a:t>
          </a:r>
        </a:p>
      </cdr:txBody>
    </cdr:sp>
  </cdr:relSizeAnchor>
  <cdr:relSizeAnchor xmlns:cdr="http://schemas.openxmlformats.org/drawingml/2006/chartDrawing">
    <cdr:from>
      <cdr:x>0.67812</cdr:x>
      <cdr:y>0.15196</cdr:y>
    </cdr:from>
    <cdr:to>
      <cdr:x>0.71169</cdr:x>
      <cdr:y>0.18626</cdr:y>
    </cdr:to>
    <cdr:cxnSp macro="">
      <cdr:nvCxnSpPr>
        <cdr:cNvPr id="4" name="Straight Arrow Connector 3"/>
        <cdr:cNvCxnSpPr/>
      </cdr:nvCxnSpPr>
      <cdr:spPr bwMode="auto">
        <a:xfrm xmlns:a="http://schemas.openxmlformats.org/drawingml/2006/main">
          <a:off x="2405062" y="474753"/>
          <a:ext cx="119063" cy="107159"/>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0000FF" mc:Ignorable="a14" a14:legacySpreadsheetColorIndex="12"/>
        </a:solidFill>
        <a:ln xmlns:a="http://schemas.openxmlformats.org/drawingml/2006/main" w="9525" cap="flat" cmpd="sng" algn="ctr">
          <a:solidFill>
            <a:schemeClr val="accent6">
              <a:lumMod val="50000"/>
            </a:schemeClr>
          </a:solidFill>
          <a:prstDash val="solid"/>
          <a:round/>
          <a:headEnd type="none" w="med" len="med"/>
          <a:tailEnd type="arrow"/>
        </a:ln>
        <a:effectLst xmlns:a="http://schemas.openxmlformats.org/drawingml/2006/main"/>
        <a:extLst xmlns:a="http://schemas.openxmlformats.org/drawingml/2006/main">
          <a:ext uri="{AF507438-7753-43E0-B8FC-AC1667EBCBE1}">
            <a14:hiddenEffects xmlns:a14="http://schemas.microsoft.com/office/drawing/2010/main">
              <a:effectLst>
                <a:outerShdw dist="35921" dir="2700000" algn="ctr" rotWithShape="0">
                  <a:srgbClr val="808080"/>
                </a:outerShdw>
              </a:effectLst>
            </a14:hiddenEffects>
          </a:ext>
        </a:extLst>
      </cdr:spPr>
    </cdr:cxnSp>
  </cdr:relSizeAnchor>
</c:userShapes>
</file>

<file path=xl/drawings/drawing14.xml><?xml version="1.0" encoding="utf-8"?>
<c:userShapes xmlns:c="http://schemas.openxmlformats.org/drawingml/2006/chart">
  <cdr:relSizeAnchor xmlns:cdr="http://schemas.openxmlformats.org/drawingml/2006/chartDrawing">
    <cdr:from>
      <cdr:x>0.07508</cdr:x>
      <cdr:y>0.62221</cdr:y>
    </cdr:from>
    <cdr:to>
      <cdr:x>0.28179</cdr:x>
      <cdr:y>0.70884</cdr:y>
    </cdr:to>
    <cdr:sp macro="" textlink="">
      <cdr:nvSpPr>
        <cdr:cNvPr id="2" name="TextBox 1"/>
        <cdr:cNvSpPr txBox="1"/>
      </cdr:nvSpPr>
      <cdr:spPr>
        <a:xfrm xmlns:a="http://schemas.openxmlformats.org/drawingml/2006/main">
          <a:off x="265114" y="1943894"/>
          <a:ext cx="729909" cy="2706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accent6">
                  <a:lumMod val="50000"/>
                </a:schemeClr>
              </a:solidFill>
              <a:latin typeface="Arial" panose="020B0604020202020204" pitchFamily="34" charset="0"/>
              <a:cs typeface="Arial" panose="020B0604020202020204" pitchFamily="34" charset="0"/>
            </a:rPr>
            <a:t>Drought</a:t>
          </a:r>
        </a:p>
      </cdr:txBody>
    </cdr:sp>
  </cdr:relSizeAnchor>
  <cdr:relSizeAnchor xmlns:cdr="http://schemas.openxmlformats.org/drawingml/2006/chartDrawing">
    <cdr:from>
      <cdr:x>0.21098</cdr:x>
      <cdr:y>0.60213</cdr:y>
    </cdr:from>
    <cdr:to>
      <cdr:x>0.25819</cdr:x>
      <cdr:y>0.61738</cdr:y>
    </cdr:to>
    <cdr:cxnSp macro="">
      <cdr:nvCxnSpPr>
        <cdr:cNvPr id="3" name="Straight Arrow Connector 2"/>
        <cdr:cNvCxnSpPr/>
      </cdr:nvCxnSpPr>
      <cdr:spPr bwMode="auto">
        <a:xfrm xmlns:a="http://schemas.openxmlformats.org/drawingml/2006/main" flipV="1">
          <a:off x="744991" y="1881187"/>
          <a:ext cx="166688" cy="47625"/>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0000FF" mc:Ignorable="a14" a14:legacySpreadsheetColorIndex="12"/>
        </a:solidFill>
        <a:ln xmlns:a="http://schemas.openxmlformats.org/drawingml/2006/main" w="9525" cap="flat" cmpd="sng" algn="ctr">
          <a:solidFill>
            <a:schemeClr val="accent6">
              <a:lumMod val="50000"/>
            </a:schemeClr>
          </a:solidFill>
          <a:prstDash val="solid"/>
          <a:round/>
          <a:headEnd type="none" w="med" len="med"/>
          <a:tailEnd type="arrow"/>
        </a:ln>
        <a:effectLst xmlns:a="http://schemas.openxmlformats.org/drawingml/2006/main"/>
        <a:extLst xmlns:a="http://schemas.openxmlformats.org/drawingml/2006/main">
          <a:ext uri="{AF507438-7753-43E0-B8FC-AC1667EBCBE1}">
            <a14:hiddenEffects xmlns:a14="http://schemas.microsoft.com/office/drawing/2010/main">
              <a:effectLst>
                <a:outerShdw dist="35921" dir="2700000" algn="ctr" rotWithShape="0">
                  <a:srgbClr val="808080"/>
                </a:outerShdw>
              </a:effectLst>
            </a14:hiddenEffects>
          </a:ext>
        </a:extLst>
      </cdr:spPr>
    </cdr:cxnSp>
  </cdr:relSizeAnchor>
  <cdr:relSizeAnchor xmlns:cdr="http://schemas.openxmlformats.org/drawingml/2006/chartDrawing">
    <cdr:from>
      <cdr:x>0.46622</cdr:x>
      <cdr:y>0.54319</cdr:y>
    </cdr:from>
    <cdr:to>
      <cdr:x>0.67293</cdr:x>
      <cdr:y>0.62983</cdr:y>
    </cdr:to>
    <cdr:sp macro="" textlink="">
      <cdr:nvSpPr>
        <cdr:cNvPr id="7" name="TextBox 1"/>
        <cdr:cNvSpPr txBox="1"/>
      </cdr:nvSpPr>
      <cdr:spPr>
        <a:xfrm xmlns:a="http://schemas.openxmlformats.org/drawingml/2006/main">
          <a:off x="1646237" y="1697037"/>
          <a:ext cx="729909" cy="2706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accent6">
                  <a:lumMod val="50000"/>
                </a:schemeClr>
              </a:solidFill>
              <a:latin typeface="Arial" panose="020B0604020202020204" pitchFamily="34" charset="0"/>
              <a:cs typeface="Arial" panose="020B0604020202020204" pitchFamily="34" charset="0"/>
            </a:rPr>
            <a:t>Frosts</a:t>
          </a:r>
        </a:p>
      </cdr:txBody>
    </cdr:sp>
  </cdr:relSizeAnchor>
  <cdr:relSizeAnchor xmlns:cdr="http://schemas.openxmlformats.org/drawingml/2006/chartDrawing">
    <cdr:from>
      <cdr:x>0.36609</cdr:x>
      <cdr:y>0.56021</cdr:y>
    </cdr:from>
    <cdr:to>
      <cdr:x>0.4605</cdr:x>
      <cdr:y>0.57546</cdr:y>
    </cdr:to>
    <cdr:cxnSp macro="">
      <cdr:nvCxnSpPr>
        <cdr:cNvPr id="8" name="Straight Arrow Connector 7"/>
        <cdr:cNvCxnSpPr/>
      </cdr:nvCxnSpPr>
      <cdr:spPr bwMode="auto">
        <a:xfrm xmlns:a="http://schemas.openxmlformats.org/drawingml/2006/main" flipH="1" flipV="1">
          <a:off x="1292679" y="1750218"/>
          <a:ext cx="333372" cy="47634"/>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0000FF" mc:Ignorable="a14" a14:legacySpreadsheetColorIndex="12"/>
        </a:solidFill>
        <a:ln xmlns:a="http://schemas.openxmlformats.org/drawingml/2006/main" w="9525" cap="flat" cmpd="sng" algn="ctr">
          <a:solidFill>
            <a:schemeClr val="accent6">
              <a:lumMod val="50000"/>
            </a:schemeClr>
          </a:solidFill>
          <a:prstDash val="solid"/>
          <a:round/>
          <a:headEnd type="none" w="med" len="med"/>
          <a:tailEnd type="arrow"/>
        </a:ln>
        <a:effectLst xmlns:a="http://schemas.openxmlformats.org/drawingml/2006/main"/>
        <a:extLst xmlns:a="http://schemas.openxmlformats.org/drawingml/2006/main">
          <a:ext uri="{AF507438-7753-43E0-B8FC-AC1667EBCBE1}">
            <a14:hiddenEffects xmlns:a14="http://schemas.microsoft.com/office/drawing/2010/main">
              <a:effectLst>
                <a:outerShdw dist="35921" dir="2700000" algn="ctr" rotWithShape="0">
                  <a:srgbClr val="808080"/>
                </a:outerShdw>
              </a:effectLst>
            </a14:hiddenEffects>
          </a:ext>
        </a:extLst>
      </cdr:spPr>
    </cdr:cxnSp>
  </cdr:relSizeAnchor>
</c:userShapes>
</file>

<file path=xl/drawings/drawing15.xml><?xml version="1.0" encoding="utf-8"?>
<c:userShapes xmlns:c="http://schemas.openxmlformats.org/drawingml/2006/chart">
  <cdr:relSizeAnchor xmlns:cdr="http://schemas.openxmlformats.org/drawingml/2006/chartDrawing">
    <cdr:from>
      <cdr:x>0.1605</cdr:x>
      <cdr:y>0.34097</cdr:y>
    </cdr:from>
    <cdr:to>
      <cdr:x>0.51071</cdr:x>
      <cdr:y>0.4319</cdr:y>
    </cdr:to>
    <cdr:sp macro="" textlink="">
      <cdr:nvSpPr>
        <cdr:cNvPr id="3" name="TextBox 5"/>
        <cdr:cNvSpPr txBox="1"/>
      </cdr:nvSpPr>
      <cdr:spPr>
        <a:xfrm xmlns:a="http://schemas.openxmlformats.org/drawingml/2006/main">
          <a:off x="566270" y="992094"/>
          <a:ext cx="1235595" cy="26456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100"/>
            <a:t>No crushing</a:t>
          </a:r>
          <a:r>
            <a:rPr lang="en-US" sz="1100" baseline="0"/>
            <a:t> in 4Q </a:t>
          </a:r>
          <a:endParaRPr lang="en-US" sz="1100"/>
        </a:p>
      </cdr:txBody>
    </cdr:sp>
  </cdr:relSizeAnchor>
  <cdr:relSizeAnchor xmlns:cdr="http://schemas.openxmlformats.org/drawingml/2006/chartDrawing">
    <cdr:from>
      <cdr:x>0.39066</cdr:x>
      <cdr:y>0.4275</cdr:y>
    </cdr:from>
    <cdr:to>
      <cdr:x>0.57805</cdr:x>
      <cdr:y>0.82419</cdr:y>
    </cdr:to>
    <cdr:cxnSp macro="">
      <cdr:nvCxnSpPr>
        <cdr:cNvPr id="7" name="Elbow Connector 6"/>
        <cdr:cNvCxnSpPr/>
      </cdr:nvCxnSpPr>
      <cdr:spPr bwMode="auto">
        <a:xfrm xmlns:a="http://schemas.openxmlformats.org/drawingml/2006/main" rot="16200000" flipH="1">
          <a:off x="1131796" y="1490380"/>
          <a:ext cx="1154208" cy="661148"/>
        </a:xfrm>
        <a:prstGeom xmlns:a="http://schemas.openxmlformats.org/drawingml/2006/main" prst="bentConnector3">
          <a:avLst>
            <a:gd name="adj1" fmla="val 95631"/>
          </a:avLst>
        </a:prstGeom>
        <a:solidFill xmlns:a="http://schemas.openxmlformats.org/drawingml/2006/main">
          <a:srgbClr xmlns:mc="http://schemas.openxmlformats.org/markup-compatibility/2006" xmlns:a14="http://schemas.microsoft.com/office/drawing/2010/main" val="0000FF" mc:Ignorable="a14" a14:legacySpreadsheetColorIndex="12"/>
        </a:solidFill>
        <a:ln xmlns:a="http://schemas.openxmlformats.org/drawingml/2006/mai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a:ln>
        <a:effectLst xmlns:a="http://schemas.openxmlformats.org/drawingml/2006/main"/>
        <a:extLst xmlns:a="http://schemas.openxmlformats.org/drawingml/2006/main">
          <a:ext uri="{AF507438-7753-43E0-B8FC-AC1667EBCBE1}">
            <a14:hiddenEffects xmlns:a14="http://schemas.microsoft.com/office/drawing/2010/main">
              <a:effectLst>
                <a:outerShdw dist="35921" dir="2700000" algn="ctr" rotWithShape="0">
                  <a:srgbClr val="808080"/>
                </a:outerShdw>
              </a:effectLst>
            </a14:hiddenEffects>
          </a:ext>
        </a:extLst>
      </cdr:spPr>
    </cdr:cxnSp>
  </cdr:relSizeAnchor>
</c:userShapes>
</file>

<file path=xl/drawings/drawing16.xml><?xml version="1.0" encoding="utf-8"?>
<c:userShapes xmlns:c="http://schemas.openxmlformats.org/drawingml/2006/chart">
  <cdr:relSizeAnchor xmlns:cdr="http://schemas.openxmlformats.org/drawingml/2006/chartDrawing">
    <cdr:from>
      <cdr:x>0.08673</cdr:x>
      <cdr:y>0.00912</cdr:y>
    </cdr:from>
    <cdr:to>
      <cdr:x>0.27696</cdr:x>
      <cdr:y>0.13297</cdr:y>
    </cdr:to>
    <cdr:sp macro="" textlink="">
      <cdr:nvSpPr>
        <cdr:cNvPr id="3" name="TextBox 1"/>
        <cdr:cNvSpPr txBox="1"/>
      </cdr:nvSpPr>
      <cdr:spPr>
        <a:xfrm xmlns:a="http://schemas.openxmlformats.org/drawingml/2006/main">
          <a:off x="396511" y="25019"/>
          <a:ext cx="869754" cy="339745"/>
        </a:xfrm>
        <a:prstGeom xmlns:a="http://schemas.openxmlformats.org/drawingml/2006/main" prst="rect">
          <a:avLst/>
        </a:prstGeom>
      </cdr:spPr>
      <cdr:txBody>
        <a:bodyPr xmlns:a="http://schemas.openxmlformats.org/drawingml/2006/main" wrap="none" rtlCol="0" anchor="t"/>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US" sz="800">
              <a:solidFill>
                <a:schemeClr val="bg1">
                  <a:lumMod val="50000"/>
                </a:schemeClr>
              </a:solidFill>
            </a:rPr>
            <a:t>EBITDA Margin</a:t>
          </a:r>
          <a:r>
            <a:rPr lang="en-US" sz="800" baseline="0">
              <a:solidFill>
                <a:schemeClr val="bg1">
                  <a:lumMod val="50000"/>
                </a:schemeClr>
              </a:solidFill>
            </a:rPr>
            <a:t> (%)</a:t>
          </a:r>
          <a:endParaRPr lang="en-US" sz="800">
            <a:solidFill>
              <a:schemeClr val="bg1">
                <a:lumMod val="50000"/>
              </a:schemeClr>
            </a:solidFill>
          </a:endParaRPr>
        </a:p>
      </cdr:txBody>
    </cdr:sp>
  </cdr:relSizeAnchor>
  <cdr:relSizeAnchor xmlns:cdr="http://schemas.openxmlformats.org/drawingml/2006/chartDrawing">
    <cdr:from>
      <cdr:x>0.69736</cdr:x>
      <cdr:y>0.78382</cdr:y>
    </cdr:from>
    <cdr:to>
      <cdr:x>0.92652</cdr:x>
      <cdr:y>0.86368</cdr:y>
    </cdr:to>
    <cdr:sp macro="" textlink="">
      <cdr:nvSpPr>
        <cdr:cNvPr id="4" name="TextBox 1"/>
        <cdr:cNvSpPr txBox="1"/>
      </cdr:nvSpPr>
      <cdr:spPr>
        <a:xfrm xmlns:a="http://schemas.openxmlformats.org/drawingml/2006/main">
          <a:off x="3563428" y="2193928"/>
          <a:ext cx="1170981" cy="223531"/>
        </a:xfrm>
        <a:prstGeom xmlns:a="http://schemas.openxmlformats.org/drawingml/2006/main" prst="rect">
          <a:avLst/>
        </a:prstGeom>
      </cdr:spPr>
      <cdr:txBody>
        <a:bodyPr xmlns:a="http://schemas.openxmlformats.org/drawingml/2006/main" wrap="none" rtlCol="0" anchor="b"/>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US" sz="800">
              <a:solidFill>
                <a:schemeClr val="bg1">
                  <a:lumMod val="50000"/>
                </a:schemeClr>
              </a:solidFill>
            </a:rPr>
            <a:t>Revenue growth </a:t>
          </a:r>
          <a:r>
            <a:rPr lang="en-US" sz="800" baseline="0">
              <a:solidFill>
                <a:schemeClr val="bg1">
                  <a:lumMod val="50000"/>
                </a:schemeClr>
              </a:solidFill>
            </a:rPr>
            <a:t>(%)</a:t>
          </a:r>
          <a:endParaRPr lang="en-US" sz="800">
            <a:solidFill>
              <a:schemeClr val="bg1">
                <a:lumMod val="50000"/>
              </a:schemeClr>
            </a:solidFill>
          </a:endParaRPr>
        </a:p>
      </cdr:txBody>
    </cdr:sp>
  </cdr:relSizeAnchor>
  <cdr:relSizeAnchor xmlns:cdr="http://schemas.openxmlformats.org/drawingml/2006/chartDrawing">
    <cdr:from>
      <cdr:x>0.82584</cdr:x>
      <cdr:y>0.59769</cdr:y>
    </cdr:from>
    <cdr:to>
      <cdr:x>0.98286</cdr:x>
      <cdr:y>0.68256</cdr:y>
    </cdr:to>
    <cdr:sp macro="" textlink="">
      <cdr:nvSpPr>
        <cdr:cNvPr id="5" name="TextBox 5"/>
        <cdr:cNvSpPr txBox="1"/>
      </cdr:nvSpPr>
      <cdr:spPr>
        <a:xfrm xmlns:a="http://schemas.openxmlformats.org/drawingml/2006/main" rot="10800000" flipV="1">
          <a:off x="3213099" y="1727200"/>
          <a:ext cx="610909" cy="245269"/>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1000"/>
            <a:t>2010--&gt;</a:t>
          </a:r>
        </a:p>
      </cdr:txBody>
    </cdr:sp>
  </cdr:relSizeAnchor>
</c:userShapes>
</file>

<file path=xl/drawings/drawing17.xml><?xml version="1.0" encoding="utf-8"?>
<c:userShapes xmlns:c="http://schemas.openxmlformats.org/drawingml/2006/chart">
  <cdr:relSizeAnchor xmlns:cdr="http://schemas.openxmlformats.org/drawingml/2006/chartDrawing">
    <cdr:from>
      <cdr:x>0.30549</cdr:x>
      <cdr:y>0</cdr:y>
    </cdr:from>
    <cdr:to>
      <cdr:x>0.82572</cdr:x>
      <cdr:y>0.29956</cdr:y>
    </cdr:to>
    <cdr:sp macro="" textlink="">
      <cdr:nvSpPr>
        <cdr:cNvPr id="5" name="TextBox 1"/>
        <cdr:cNvSpPr txBox="1"/>
      </cdr:nvSpPr>
      <cdr:spPr>
        <a:xfrm xmlns:a="http://schemas.openxmlformats.org/drawingml/2006/main">
          <a:off x="1083469" y="0"/>
          <a:ext cx="1845083" cy="92875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accent6">
                  <a:lumMod val="50000"/>
                </a:schemeClr>
              </a:solidFill>
              <a:latin typeface="Arial" panose="020B0604020202020204" pitchFamily="34" charset="0"/>
              <a:cs typeface="Arial" panose="020B0604020202020204" pitchFamily="34" charset="0"/>
            </a:rPr>
            <a:t>Our estimates reflect increases in </a:t>
          </a:r>
        </a:p>
        <a:p xmlns:a="http://schemas.openxmlformats.org/drawingml/2006/main">
          <a:r>
            <a:rPr lang="en-US" sz="900">
              <a:solidFill>
                <a:schemeClr val="accent6">
                  <a:lumMod val="50000"/>
                </a:schemeClr>
              </a:solidFill>
              <a:latin typeface="Arial" panose="020B0604020202020204" pitchFamily="34" charset="0"/>
              <a:cs typeface="Arial" panose="020B0604020202020204" pitchFamily="34" charset="0"/>
            </a:rPr>
            <a:t>capacity that follow the higher </a:t>
          </a:r>
        </a:p>
        <a:p xmlns:a="http://schemas.openxmlformats.org/drawingml/2006/main">
          <a:r>
            <a:rPr lang="en-US" sz="900">
              <a:solidFill>
                <a:schemeClr val="accent6">
                  <a:lumMod val="50000"/>
                </a:schemeClr>
              </a:solidFill>
              <a:latin typeface="Arial" panose="020B0604020202020204" pitchFamily="34" charset="0"/>
              <a:cs typeface="Arial" panose="020B0604020202020204" pitchFamily="34" charset="0"/>
            </a:rPr>
            <a:t>availability of</a:t>
          </a:r>
          <a:r>
            <a:rPr lang="en-US" sz="900" baseline="0">
              <a:solidFill>
                <a:schemeClr val="accent6">
                  <a:lumMod val="50000"/>
                </a:schemeClr>
              </a:solidFill>
              <a:latin typeface="Arial" panose="020B0604020202020204" pitchFamily="34" charset="0"/>
              <a:cs typeface="Arial" panose="020B0604020202020204" pitchFamily="34" charset="0"/>
            </a:rPr>
            <a:t> cane  for </a:t>
          </a:r>
        </a:p>
        <a:p xmlns:a="http://schemas.openxmlformats.org/drawingml/2006/main">
          <a:r>
            <a:rPr lang="en-US" sz="900" baseline="0">
              <a:solidFill>
                <a:schemeClr val="accent6">
                  <a:lumMod val="50000"/>
                </a:schemeClr>
              </a:solidFill>
              <a:latin typeface="Arial" panose="020B0604020202020204" pitchFamily="34" charset="0"/>
              <a:cs typeface="Arial" panose="020B0604020202020204" pitchFamily="34" charset="0"/>
            </a:rPr>
            <a:t>crushing.</a:t>
          </a:r>
          <a:endParaRPr lang="en-US" sz="900">
            <a:solidFill>
              <a:schemeClr val="accent6">
                <a:lumMod val="50000"/>
              </a:schemeClr>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0.73172</cdr:x>
      <cdr:y>0.11472</cdr:y>
    </cdr:from>
    <cdr:to>
      <cdr:x>0.80939</cdr:x>
      <cdr:y>0.17056</cdr:y>
    </cdr:to>
    <cdr:cxnSp macro="">
      <cdr:nvCxnSpPr>
        <cdr:cNvPr id="6" name="Straight Arrow Connector 5"/>
        <cdr:cNvCxnSpPr/>
      </cdr:nvCxnSpPr>
      <cdr:spPr bwMode="auto">
        <a:xfrm xmlns:a="http://schemas.openxmlformats.org/drawingml/2006/main">
          <a:off x="2595173" y="355690"/>
          <a:ext cx="275469" cy="173112"/>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0000FF" mc:Ignorable="a14" a14:legacySpreadsheetColorIndex="12"/>
        </a:solidFill>
        <a:ln xmlns:a="http://schemas.openxmlformats.org/drawingml/2006/main" w="9525" cap="flat" cmpd="sng" algn="ctr">
          <a:solidFill>
            <a:schemeClr val="accent6">
              <a:lumMod val="50000"/>
            </a:schemeClr>
          </a:solidFill>
          <a:prstDash val="solid"/>
          <a:round/>
          <a:headEnd type="none" w="med" len="med"/>
          <a:tailEnd type="arrow"/>
        </a:ln>
        <a:effectLst xmlns:a="http://schemas.openxmlformats.org/drawingml/2006/main"/>
        <a:extLst xmlns:a="http://schemas.openxmlformats.org/drawingml/2006/main">
          <a:ext uri="{AF507438-7753-43E0-B8FC-AC1667EBCBE1}">
            <a14:hiddenEffects xmlns:a14="http://schemas.microsoft.com/office/drawing/2010/main">
              <a:effectLst>
                <a:outerShdw dist="35921" dir="2700000" algn="ctr" rotWithShape="0">
                  <a:srgbClr val="808080"/>
                </a:outerShdw>
              </a:effectLst>
            </a14:hiddenEffects>
          </a:ext>
        </a:extLst>
      </cdr:spPr>
    </cdr:cxnSp>
  </cdr:relSizeAnchor>
</c:userShapes>
</file>

<file path=xl/drawings/drawing18.xml><?xml version="1.0" encoding="utf-8"?>
<c:userShapes xmlns:c="http://schemas.openxmlformats.org/drawingml/2006/chart">
  <cdr:relSizeAnchor xmlns:cdr="http://schemas.openxmlformats.org/drawingml/2006/chartDrawing">
    <cdr:from>
      <cdr:x>0.20995</cdr:x>
      <cdr:y>0.46215</cdr:y>
    </cdr:from>
    <cdr:to>
      <cdr:x>0.41666</cdr:x>
      <cdr:y>0.54878</cdr:y>
    </cdr:to>
    <cdr:sp macro="" textlink="">
      <cdr:nvSpPr>
        <cdr:cNvPr id="2" name="TextBox 1"/>
        <cdr:cNvSpPr txBox="1"/>
      </cdr:nvSpPr>
      <cdr:spPr>
        <a:xfrm xmlns:a="http://schemas.openxmlformats.org/drawingml/2006/main">
          <a:off x="741362" y="1443846"/>
          <a:ext cx="729904" cy="27065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accent6">
                  <a:lumMod val="50000"/>
                </a:schemeClr>
              </a:solidFill>
              <a:latin typeface="Arial" panose="020B0604020202020204" pitchFamily="34" charset="0"/>
              <a:cs typeface="Arial" panose="020B0604020202020204" pitchFamily="34" charset="0"/>
            </a:rPr>
            <a:t>Drought</a:t>
          </a:r>
        </a:p>
      </cdr:txBody>
    </cdr:sp>
  </cdr:relSizeAnchor>
  <cdr:relSizeAnchor xmlns:cdr="http://schemas.openxmlformats.org/drawingml/2006/chartDrawing">
    <cdr:from>
      <cdr:x>0.27505</cdr:x>
      <cdr:y>0.40015</cdr:y>
    </cdr:from>
    <cdr:to>
      <cdr:x>0.28179</cdr:x>
      <cdr:y>0.48399</cdr:y>
    </cdr:to>
    <cdr:cxnSp macro="">
      <cdr:nvCxnSpPr>
        <cdr:cNvPr id="3" name="Straight Arrow Connector 2"/>
        <cdr:cNvCxnSpPr/>
      </cdr:nvCxnSpPr>
      <cdr:spPr bwMode="auto">
        <a:xfrm xmlns:a="http://schemas.openxmlformats.org/drawingml/2006/main" flipV="1">
          <a:off x="971210" y="1250157"/>
          <a:ext cx="23813" cy="261936"/>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0000FF" mc:Ignorable="a14" a14:legacySpreadsheetColorIndex="12"/>
        </a:solidFill>
        <a:ln xmlns:a="http://schemas.openxmlformats.org/drawingml/2006/main" w="9525" cap="flat" cmpd="sng" algn="ctr">
          <a:solidFill>
            <a:schemeClr val="accent6">
              <a:lumMod val="50000"/>
            </a:schemeClr>
          </a:solidFill>
          <a:prstDash val="solid"/>
          <a:round/>
          <a:headEnd type="none" w="med" len="med"/>
          <a:tailEnd type="arrow"/>
        </a:ln>
        <a:effectLst xmlns:a="http://schemas.openxmlformats.org/drawingml/2006/main"/>
        <a:extLst xmlns:a="http://schemas.openxmlformats.org/drawingml/2006/main">
          <a:ext uri="{AF507438-7753-43E0-B8FC-AC1667EBCBE1}">
            <a14:hiddenEffects xmlns:a14="http://schemas.microsoft.com/office/drawing/2010/main">
              <a:effectLst>
                <a:outerShdw dist="35921" dir="2700000" algn="ctr" rotWithShape="0">
                  <a:srgbClr val="808080"/>
                </a:outerShdw>
              </a:effectLst>
            </a14:hiddenEffects>
          </a:ext>
        </a:extLst>
      </cdr:spPr>
    </cdr:cxnSp>
  </cdr:relSizeAnchor>
  <cdr:relSizeAnchor xmlns:cdr="http://schemas.openxmlformats.org/drawingml/2006/chartDrawing">
    <cdr:from>
      <cdr:x>0.41901</cdr:x>
      <cdr:y>0.43648</cdr:y>
    </cdr:from>
    <cdr:to>
      <cdr:x>0.62572</cdr:x>
      <cdr:y>0.52312</cdr:y>
    </cdr:to>
    <cdr:sp macro="" textlink="">
      <cdr:nvSpPr>
        <cdr:cNvPr id="7" name="TextBox 1"/>
        <cdr:cNvSpPr txBox="1"/>
      </cdr:nvSpPr>
      <cdr:spPr>
        <a:xfrm xmlns:a="http://schemas.openxmlformats.org/drawingml/2006/main">
          <a:off x="1479561" y="1363659"/>
          <a:ext cx="729904" cy="27068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accent6">
                  <a:lumMod val="50000"/>
                </a:schemeClr>
              </a:solidFill>
              <a:latin typeface="Arial" panose="020B0604020202020204" pitchFamily="34" charset="0"/>
              <a:cs typeface="Arial" panose="020B0604020202020204" pitchFamily="34" charset="0"/>
            </a:rPr>
            <a:t>Frosts</a:t>
          </a:r>
        </a:p>
      </cdr:txBody>
    </cdr:sp>
  </cdr:relSizeAnchor>
  <cdr:relSizeAnchor xmlns:cdr="http://schemas.openxmlformats.org/drawingml/2006/chartDrawing">
    <cdr:from>
      <cdr:x>0.36946</cdr:x>
      <cdr:y>0.36966</cdr:y>
    </cdr:from>
    <cdr:to>
      <cdr:x>0.43015</cdr:x>
      <cdr:y>0.44969</cdr:y>
    </cdr:to>
    <cdr:cxnSp macro="">
      <cdr:nvCxnSpPr>
        <cdr:cNvPr id="8" name="Straight Arrow Connector 7"/>
        <cdr:cNvCxnSpPr/>
      </cdr:nvCxnSpPr>
      <cdr:spPr bwMode="auto">
        <a:xfrm xmlns:a="http://schemas.openxmlformats.org/drawingml/2006/main" flipH="1" flipV="1">
          <a:off x="1304586" y="1154907"/>
          <a:ext cx="214311" cy="250030"/>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0000FF" mc:Ignorable="a14" a14:legacySpreadsheetColorIndex="12"/>
        </a:solidFill>
        <a:ln xmlns:a="http://schemas.openxmlformats.org/drawingml/2006/main" w="9525" cap="flat" cmpd="sng" algn="ctr">
          <a:solidFill>
            <a:schemeClr val="accent6">
              <a:lumMod val="50000"/>
            </a:schemeClr>
          </a:solidFill>
          <a:prstDash val="solid"/>
          <a:round/>
          <a:headEnd type="none" w="med" len="med"/>
          <a:tailEnd type="arrow"/>
        </a:ln>
        <a:effectLst xmlns:a="http://schemas.openxmlformats.org/drawingml/2006/main"/>
        <a:extLst xmlns:a="http://schemas.openxmlformats.org/drawingml/2006/main">
          <a:ext uri="{AF507438-7753-43E0-B8FC-AC1667EBCBE1}">
            <a14:hiddenEffects xmlns:a14="http://schemas.microsoft.com/office/drawing/2010/main">
              <a:effectLst>
                <a:outerShdw dist="35921" dir="2700000" algn="ctr" rotWithShape="0">
                  <a:srgbClr val="808080"/>
                </a:outerShdw>
              </a:effectLst>
            </a14:hiddenEffects>
          </a:ext>
        </a:extLst>
      </cdr:spPr>
    </cdr:cxnSp>
  </cdr:relSizeAnchor>
</c:userShapes>
</file>

<file path=xl/drawings/drawing19.xml><?xml version="1.0" encoding="utf-8"?>
<xdr:wsDr xmlns:xdr="http://schemas.openxmlformats.org/drawingml/2006/spreadsheetDrawing" xmlns:a="http://schemas.openxmlformats.org/drawingml/2006/main">
  <xdr:twoCellAnchor editAs="oneCell">
    <xdr:from>
      <xdr:col>20</xdr:col>
      <xdr:colOff>377268</xdr:colOff>
      <xdr:row>0</xdr:row>
      <xdr:rowOff>5976</xdr:rowOff>
    </xdr:from>
    <xdr:to>
      <xdr:col>22</xdr:col>
      <xdr:colOff>304901</xdr:colOff>
      <xdr:row>1</xdr:row>
      <xdr:rowOff>3318</xdr:rowOff>
    </xdr:to>
    <xdr:sp macro="" textlink="">
      <xdr:nvSpPr>
        <xdr:cNvPr id="4" name="Rectangle 7">
          <a:hlinkClick xmlns:r="http://schemas.openxmlformats.org/officeDocument/2006/relationships" r:id="rId1"/>
        </xdr:cNvPr>
        <xdr:cNvSpPr>
          <a:spLocks noChangeArrowheads="1"/>
        </xdr:cNvSpPr>
      </xdr:nvSpPr>
      <xdr:spPr bwMode="auto">
        <a:xfrm>
          <a:off x="7444818" y="5976"/>
          <a:ext cx="1146833" cy="219592"/>
        </a:xfrm>
        <a:prstGeom prst="rect">
          <a:avLst/>
        </a:prstGeom>
        <a:solidFill>
          <a:srgbClr val="000000"/>
        </a:solidFill>
        <a:ln w="9525" algn="ctr">
          <a:solidFill>
            <a:srgbClr val="808080"/>
          </a:solidFill>
          <a:miter lim="800000"/>
          <a:headEnd/>
          <a:tailEnd/>
        </a:ln>
        <a:effectLst/>
      </xdr:spPr>
      <xdr:txBody>
        <a:bodyPr vertOverflow="clip" wrap="square" lIns="27432" tIns="27432" rIns="27432" bIns="27432" anchor="ctr" upright="1"/>
        <a:lstStyle/>
        <a:p>
          <a:pPr algn="ctr" rtl="0">
            <a:defRPr sz="1000"/>
          </a:pPr>
          <a:r>
            <a:rPr lang="en-US" sz="1100" b="1" i="0" u="none" strike="noStrike" baseline="0">
              <a:solidFill>
                <a:srgbClr val="FFFFFF"/>
              </a:solidFill>
              <a:latin typeface="Arial"/>
              <a:cs typeface="Arial"/>
            </a:rPr>
            <a:t>Go to Index</a:t>
          </a: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34</xdr:col>
      <xdr:colOff>302000</xdr:colOff>
      <xdr:row>0</xdr:row>
      <xdr:rowOff>18489</xdr:rowOff>
    </xdr:from>
    <xdr:to>
      <xdr:col>36</xdr:col>
      <xdr:colOff>520963</xdr:colOff>
      <xdr:row>1</xdr:row>
      <xdr:rowOff>9481</xdr:rowOff>
    </xdr:to>
    <xdr:sp macro="" textlink="">
      <xdr:nvSpPr>
        <xdr:cNvPr id="7" name="Rectangle 7">
          <a:hlinkClick xmlns:r="http://schemas.openxmlformats.org/officeDocument/2006/relationships" r:id="rId1"/>
        </xdr:cNvPr>
        <xdr:cNvSpPr>
          <a:spLocks noChangeArrowheads="1"/>
        </xdr:cNvSpPr>
      </xdr:nvSpPr>
      <xdr:spPr bwMode="auto">
        <a:xfrm>
          <a:off x="14713325" y="18489"/>
          <a:ext cx="1285763" cy="219592"/>
        </a:xfrm>
        <a:prstGeom prst="roundRect">
          <a:avLst/>
        </a:prstGeom>
        <a:solidFill>
          <a:srgbClr val="000000"/>
        </a:solidFill>
        <a:ln w="9525" algn="ctr">
          <a:solidFill>
            <a:srgbClr val="808080"/>
          </a:solidFill>
          <a:miter lim="800000"/>
          <a:headEnd/>
          <a:tailEnd/>
        </a:ln>
        <a:effectLst/>
      </xdr:spPr>
      <xdr:txBody>
        <a:bodyPr vertOverflow="clip" wrap="square" lIns="27432" tIns="27432" rIns="27432" bIns="27432" anchor="ctr" upright="1"/>
        <a:lstStyle/>
        <a:p>
          <a:pPr algn="ctr" rtl="0">
            <a:defRPr sz="1000"/>
          </a:pPr>
          <a:r>
            <a:rPr lang="en-US" sz="1100" b="1" i="0" u="none" strike="noStrike" baseline="0">
              <a:solidFill>
                <a:srgbClr val="FFFFFF"/>
              </a:solidFill>
              <a:latin typeface="Arial"/>
              <a:cs typeface="Arial"/>
            </a:rPr>
            <a:t>Go to Index</a:t>
          </a:r>
        </a:p>
      </xdr:txBody>
    </xdr:sp>
    <xdr:clientData/>
  </xdr:twoCellAnchor>
</xdr:wsDr>
</file>

<file path=xl/drawings/drawing21.xml><?xml version="1.0" encoding="utf-8"?>
<xdr:wsDr xmlns:xdr="http://schemas.openxmlformats.org/drawingml/2006/spreadsheetDrawing" xmlns:a="http://schemas.openxmlformats.org/drawingml/2006/main">
  <xdr:oneCellAnchor>
    <xdr:from>
      <xdr:col>16</xdr:col>
      <xdr:colOff>65559</xdr:colOff>
      <xdr:row>0</xdr:row>
      <xdr:rowOff>20170</xdr:rowOff>
    </xdr:from>
    <xdr:ext cx="1317249" cy="216834"/>
    <xdr:sp macro="" textlink="">
      <xdr:nvSpPr>
        <xdr:cNvPr id="3" name="Rectangle 7">
          <a:hlinkClick xmlns:r="http://schemas.openxmlformats.org/officeDocument/2006/relationships" r:id="rId1"/>
        </xdr:cNvPr>
        <xdr:cNvSpPr>
          <a:spLocks noChangeArrowheads="1"/>
        </xdr:cNvSpPr>
      </xdr:nvSpPr>
      <xdr:spPr bwMode="auto">
        <a:xfrm>
          <a:off x="11638434" y="20170"/>
          <a:ext cx="1317249" cy="216834"/>
        </a:xfrm>
        <a:prstGeom prst="rect">
          <a:avLst/>
        </a:prstGeom>
        <a:solidFill>
          <a:srgbClr val="000000"/>
        </a:solidFill>
        <a:ln w="9525" algn="ctr">
          <a:solidFill>
            <a:srgbClr val="808080"/>
          </a:solidFill>
          <a:miter lim="800000"/>
          <a:headEnd/>
          <a:tailEnd/>
        </a:ln>
        <a:effectLst/>
      </xdr:spPr>
      <xdr:txBody>
        <a:bodyPr vertOverflow="clip" wrap="square" lIns="27432" tIns="27432" rIns="27432" bIns="27432" anchor="ctr" upright="1"/>
        <a:lstStyle/>
        <a:p>
          <a:pPr algn="ctr" rtl="0">
            <a:defRPr sz="1000"/>
          </a:pPr>
          <a:r>
            <a:rPr lang="en-US" sz="1100" b="1" i="0" u="none" strike="noStrike" baseline="0">
              <a:solidFill>
                <a:srgbClr val="FFFFFF"/>
              </a:solidFill>
              <a:latin typeface="Arial"/>
              <a:cs typeface="Arial"/>
            </a:rPr>
            <a:t>Go to Index</a:t>
          </a:r>
        </a:p>
      </xdr:txBody>
    </xdr:sp>
    <xdr:clientData/>
  </xdr:oneCellAnchor>
  <xdr:twoCellAnchor>
    <xdr:from>
      <xdr:col>5</xdr:col>
      <xdr:colOff>447675</xdr:colOff>
      <xdr:row>88</xdr:row>
      <xdr:rowOff>0</xdr:rowOff>
    </xdr:from>
    <xdr:to>
      <xdr:col>5</xdr:col>
      <xdr:colOff>447675</xdr:colOff>
      <xdr:row>89</xdr:row>
      <xdr:rowOff>123825</xdr:rowOff>
    </xdr:to>
    <xdr:cxnSp macro="">
      <xdr:nvCxnSpPr>
        <xdr:cNvPr id="4" name="Straight Arrow Connector 3"/>
        <xdr:cNvCxnSpPr/>
      </xdr:nvCxnSpPr>
      <xdr:spPr bwMode="auto">
        <a:xfrm>
          <a:off x="5657850" y="13573125"/>
          <a:ext cx="0" cy="266700"/>
        </a:xfrm>
        <a:prstGeom prst="straightConnector1">
          <a:avLst/>
        </a:prstGeom>
        <a:solidFill>
          <a:srgbClr xmlns:mc="http://schemas.openxmlformats.org/markup-compatibility/2006" xmlns:a14="http://schemas.microsoft.com/office/drawing/2010/main" val="0000FF" mc:Ignorable="a14" a14:legacySpreadsheetColorIndex="1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18</xdr:col>
      <xdr:colOff>66675</xdr:colOff>
      <xdr:row>63</xdr:row>
      <xdr:rowOff>57150</xdr:rowOff>
    </xdr:from>
    <xdr:to>
      <xdr:col>23</xdr:col>
      <xdr:colOff>676275</xdr:colOff>
      <xdr:row>108</xdr:row>
      <xdr:rowOff>47625</xdr:rowOff>
    </xdr:to>
    <xdr:pic>
      <xdr:nvPicPr>
        <xdr:cNvPr id="5" name="Imagem 2" descr="cid:image001.jpg@01D29CE5.012C4CD0"/>
        <xdr:cNvPicPr>
          <a:picLocks noChangeAspect="1" noChangeArrowheads="1"/>
        </xdr:cNvPicPr>
      </xdr:nvPicPr>
      <xdr:blipFill>
        <a:blip xmlns:r="http://schemas.openxmlformats.org/officeDocument/2006/relationships" r:embed="rId2" r:link="rId3">
          <a:extLst>
            <a:ext uri="{28A0092B-C50C-407E-A947-70E740481C1C}">
              <a14:useLocalDpi xmlns:a14="http://schemas.microsoft.com/office/drawing/2010/main" val="0"/>
            </a:ext>
          </a:extLst>
        </a:blip>
        <a:srcRect/>
        <a:stretch>
          <a:fillRect/>
        </a:stretch>
      </xdr:blipFill>
      <xdr:spPr bwMode="auto">
        <a:xfrm>
          <a:off x="13811250" y="9182100"/>
          <a:ext cx="4019550" cy="4886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xdr:from>
      <xdr:col>14</xdr:col>
      <xdr:colOff>219075</xdr:colOff>
      <xdr:row>0</xdr:row>
      <xdr:rowOff>19050</xdr:rowOff>
    </xdr:from>
    <xdr:to>
      <xdr:col>15</xdr:col>
      <xdr:colOff>600075</xdr:colOff>
      <xdr:row>1</xdr:row>
      <xdr:rowOff>0</xdr:rowOff>
    </xdr:to>
    <xdr:sp macro="" textlink="">
      <xdr:nvSpPr>
        <xdr:cNvPr id="5" name="Rectangle 16">
          <a:hlinkClick xmlns:r="http://schemas.openxmlformats.org/officeDocument/2006/relationships" r:id="rId1"/>
        </xdr:cNvPr>
        <xdr:cNvSpPr>
          <a:spLocks noChangeArrowheads="1"/>
        </xdr:cNvSpPr>
      </xdr:nvSpPr>
      <xdr:spPr bwMode="auto">
        <a:xfrm>
          <a:off x="9372600" y="19050"/>
          <a:ext cx="990600" cy="209550"/>
        </a:xfrm>
        <a:prstGeom prst="roundRect">
          <a:avLst/>
        </a:prstGeom>
        <a:solidFill>
          <a:srgbClr val="000000"/>
        </a:solidFill>
        <a:ln w="9525">
          <a:solidFill>
            <a:srgbClr val="808080"/>
          </a:solidFill>
          <a:miter lim="800000"/>
          <a:headEnd/>
          <a:tailEnd/>
        </a:ln>
      </xdr:spPr>
      <xdr:txBody>
        <a:bodyPr vertOverflow="clip" wrap="square" lIns="27432" tIns="27432" rIns="27432" bIns="27432" anchor="ctr" upright="1"/>
        <a:lstStyle/>
        <a:p>
          <a:pPr algn="ctr" rtl="0">
            <a:defRPr sz="1000"/>
          </a:pPr>
          <a:r>
            <a:rPr lang="en-US" sz="1050" b="1" i="0" u="none" strike="noStrike" baseline="0">
              <a:solidFill>
                <a:srgbClr val="FFFFFF"/>
              </a:solidFill>
              <a:latin typeface="Arial"/>
              <a:cs typeface="Arial"/>
            </a:rPr>
            <a:t>Go to Index</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24</xdr:col>
      <xdr:colOff>33704</xdr:colOff>
      <xdr:row>11</xdr:row>
      <xdr:rowOff>80597</xdr:rowOff>
    </xdr:from>
    <xdr:to>
      <xdr:col>26</xdr:col>
      <xdr:colOff>111752</xdr:colOff>
      <xdr:row>13</xdr:row>
      <xdr:rowOff>59964</xdr:rowOff>
    </xdr:to>
    <xdr:sp macro="" textlink="">
      <xdr:nvSpPr>
        <xdr:cNvPr id="11" name="AutoShape 8"/>
        <xdr:cNvSpPr>
          <a:spLocks noChangeArrowheads="1"/>
        </xdr:cNvSpPr>
      </xdr:nvSpPr>
      <xdr:spPr bwMode="auto">
        <a:xfrm>
          <a:off x="3500804" y="2004647"/>
          <a:ext cx="363798" cy="303217"/>
        </a:xfrm>
        <a:prstGeom prst="downArrow">
          <a:avLst>
            <a:gd name="adj1" fmla="val 50000"/>
            <a:gd name="adj2" fmla="val 25000"/>
          </a:avLst>
        </a:prstGeom>
        <a:solidFill>
          <a:schemeClr val="bg1">
            <a:lumMod val="65000"/>
          </a:schemeClr>
        </a:solidFill>
        <a:ln w="9525">
          <a:noFill/>
          <a:miter lim="800000"/>
          <a:headEnd/>
          <a:tailEnd/>
        </a:ln>
      </xdr:spPr>
    </xdr:sp>
    <xdr:clientData/>
  </xdr:twoCellAnchor>
  <xdr:twoCellAnchor editAs="oneCell">
    <xdr:from>
      <xdr:col>48</xdr:col>
      <xdr:colOff>495300</xdr:colOff>
      <xdr:row>0</xdr:row>
      <xdr:rowOff>0</xdr:rowOff>
    </xdr:from>
    <xdr:to>
      <xdr:col>50</xdr:col>
      <xdr:colOff>423163</xdr:colOff>
      <xdr:row>0</xdr:row>
      <xdr:rowOff>219456</xdr:rowOff>
    </xdr:to>
    <xdr:sp macro="" textlink="">
      <xdr:nvSpPr>
        <xdr:cNvPr id="6" name="Rectangle 7">
          <a:hlinkClick xmlns:r="http://schemas.openxmlformats.org/officeDocument/2006/relationships" r:id="rId1"/>
        </xdr:cNvPr>
        <xdr:cNvSpPr>
          <a:spLocks noChangeArrowheads="1"/>
        </xdr:cNvSpPr>
      </xdr:nvSpPr>
      <xdr:spPr bwMode="auto">
        <a:xfrm>
          <a:off x="8543925" y="0"/>
          <a:ext cx="975613" cy="219456"/>
        </a:xfrm>
        <a:prstGeom prst="roundRect">
          <a:avLst/>
        </a:prstGeom>
        <a:solidFill>
          <a:srgbClr val="000000"/>
        </a:solidFill>
        <a:ln w="9525" algn="ctr">
          <a:solidFill>
            <a:srgbClr val="808080"/>
          </a:solidFill>
          <a:miter lim="800000"/>
          <a:headEnd/>
          <a:tailEnd/>
        </a:ln>
        <a:effectLst/>
      </xdr:spPr>
      <xdr:txBody>
        <a:bodyPr vertOverflow="clip" wrap="square" lIns="27432" tIns="27432" rIns="27432" bIns="27432" anchor="ctr" upright="1"/>
        <a:lstStyle/>
        <a:p>
          <a:pPr algn="ctr" rtl="0">
            <a:defRPr sz="1000"/>
          </a:pPr>
          <a:r>
            <a:rPr lang="en-US" sz="1050" b="1" i="0" u="none" strike="noStrike" baseline="0">
              <a:solidFill>
                <a:srgbClr val="FFFFFF"/>
              </a:solidFill>
              <a:latin typeface="Arial"/>
              <a:cs typeface="Arial"/>
            </a:rPr>
            <a:t>Go to Index</a:t>
          </a:r>
        </a:p>
      </xdr:txBody>
    </xdr:sp>
    <xdr:clientData/>
  </xdr:twoCellAnchor>
  <xdr:twoCellAnchor>
    <xdr:from>
      <xdr:col>24</xdr:col>
      <xdr:colOff>3388</xdr:colOff>
      <xdr:row>6</xdr:row>
      <xdr:rowOff>9525</xdr:rowOff>
    </xdr:from>
    <xdr:to>
      <xdr:col>27</xdr:col>
      <xdr:colOff>4328</xdr:colOff>
      <xdr:row>29</xdr:row>
      <xdr:rowOff>28575</xdr:rowOff>
    </xdr:to>
    <xdr:sp macro="" textlink="">
      <xdr:nvSpPr>
        <xdr:cNvPr id="8" name="Rectangle 7"/>
        <xdr:cNvSpPr/>
      </xdr:nvSpPr>
      <xdr:spPr bwMode="auto">
        <a:xfrm>
          <a:off x="4108663" y="1114425"/>
          <a:ext cx="429565" cy="3705225"/>
        </a:xfrm>
        <a:prstGeom prst="rect">
          <a:avLst/>
        </a:prstGeom>
        <a:noFill/>
        <a:ln w="22225" cap="flat" cmpd="sng" algn="ctr">
          <a:solidFill>
            <a:srgbClr val="FF0000"/>
          </a:solidFill>
          <a:prstDash val="sysDot"/>
          <a:round/>
          <a:headEnd type="none" w="med" len="med"/>
          <a:tailEnd type="none" w="med" len="med"/>
        </a:ln>
        <a:effectLst/>
        <a:extLst/>
      </xdr:spPr>
      <xdr:txBody>
        <a:bodyPr vertOverflow="clip" horzOverflow="clip" wrap="square" lIns="27432" tIns="27432" rIns="27432" bIns="27432" rtlCol="0" anchor="t" upright="1"/>
        <a:lstStyle/>
        <a:p>
          <a:pPr algn="l"/>
          <a:endParaRPr lang="en-US" sz="1100"/>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6</xdr:col>
      <xdr:colOff>104775</xdr:colOff>
      <xdr:row>4</xdr:row>
      <xdr:rowOff>25213</xdr:rowOff>
    </xdr:from>
    <xdr:to>
      <xdr:col>8</xdr:col>
      <xdr:colOff>180975</xdr:colOff>
      <xdr:row>5</xdr:row>
      <xdr:rowOff>129988</xdr:rowOff>
    </xdr:to>
    <xdr:sp macro="[0]!BaseCase" textlink="">
      <xdr:nvSpPr>
        <xdr:cNvPr id="2" name="Rectangle 6"/>
        <xdr:cNvSpPr>
          <a:spLocks noChangeArrowheads="1"/>
        </xdr:cNvSpPr>
      </xdr:nvSpPr>
      <xdr:spPr bwMode="auto">
        <a:xfrm>
          <a:off x="14773275" y="731184"/>
          <a:ext cx="1600200" cy="272863"/>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FFFF"/>
              </a:solidFill>
              <a:latin typeface="Arial"/>
              <a:cs typeface="Arial"/>
            </a:rPr>
            <a:t>Base</a:t>
          </a:r>
        </a:p>
      </xdr:txBody>
    </xdr:sp>
    <xdr:clientData/>
  </xdr:twoCellAnchor>
  <xdr:twoCellAnchor>
    <xdr:from>
      <xdr:col>8</xdr:col>
      <xdr:colOff>314325</xdr:colOff>
      <xdr:row>4</xdr:row>
      <xdr:rowOff>25213</xdr:rowOff>
    </xdr:from>
    <xdr:to>
      <xdr:col>10</xdr:col>
      <xdr:colOff>390525</xdr:colOff>
      <xdr:row>5</xdr:row>
      <xdr:rowOff>129988</xdr:rowOff>
    </xdr:to>
    <xdr:sp macro="[0]!BullCase" textlink="">
      <xdr:nvSpPr>
        <xdr:cNvPr id="3" name="Rectangle 7"/>
        <xdr:cNvSpPr>
          <a:spLocks noChangeArrowheads="1"/>
        </xdr:cNvSpPr>
      </xdr:nvSpPr>
      <xdr:spPr bwMode="auto">
        <a:xfrm>
          <a:off x="16506825" y="731184"/>
          <a:ext cx="1600200" cy="272863"/>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FFFF"/>
              </a:solidFill>
              <a:latin typeface="Arial"/>
              <a:cs typeface="Arial"/>
            </a:rPr>
            <a:t>Bull</a:t>
          </a:r>
        </a:p>
      </xdr:txBody>
    </xdr:sp>
    <xdr:clientData/>
  </xdr:twoCellAnchor>
  <xdr:twoCellAnchor>
    <xdr:from>
      <xdr:col>10</xdr:col>
      <xdr:colOff>504825</xdr:colOff>
      <xdr:row>4</xdr:row>
      <xdr:rowOff>34738</xdr:rowOff>
    </xdr:from>
    <xdr:to>
      <xdr:col>12</xdr:col>
      <xdr:colOff>581025</xdr:colOff>
      <xdr:row>5</xdr:row>
      <xdr:rowOff>139513</xdr:rowOff>
    </xdr:to>
    <xdr:sp macro="[0]!BearCase" textlink="">
      <xdr:nvSpPr>
        <xdr:cNvPr id="4" name="Rectangle 8"/>
        <xdr:cNvSpPr>
          <a:spLocks noChangeArrowheads="1"/>
        </xdr:cNvSpPr>
      </xdr:nvSpPr>
      <xdr:spPr bwMode="auto">
        <a:xfrm>
          <a:off x="18221325" y="740709"/>
          <a:ext cx="1600200" cy="272863"/>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FFFF"/>
              </a:solidFill>
              <a:latin typeface="Arial"/>
              <a:cs typeface="Arial"/>
            </a:rPr>
            <a:t>Bear</a:t>
          </a:r>
        </a:p>
      </xdr:txBody>
    </xdr:sp>
    <xdr:clientData/>
  </xdr:twoCellAnchor>
  <xdr:twoCellAnchor>
    <xdr:from>
      <xdr:col>25</xdr:col>
      <xdr:colOff>571500</xdr:colOff>
      <xdr:row>0</xdr:row>
      <xdr:rowOff>0</xdr:rowOff>
    </xdr:from>
    <xdr:to>
      <xdr:col>26</xdr:col>
      <xdr:colOff>752475</xdr:colOff>
      <xdr:row>0</xdr:row>
      <xdr:rowOff>219592</xdr:rowOff>
    </xdr:to>
    <xdr:sp macro="" textlink="">
      <xdr:nvSpPr>
        <xdr:cNvPr id="6" name="Rectangle 7">
          <a:hlinkClick xmlns:r="http://schemas.openxmlformats.org/officeDocument/2006/relationships" r:id="rId1"/>
        </xdr:cNvPr>
        <xdr:cNvSpPr>
          <a:spLocks noChangeArrowheads="1"/>
        </xdr:cNvSpPr>
      </xdr:nvSpPr>
      <xdr:spPr bwMode="auto">
        <a:xfrm>
          <a:off x="42481500" y="0"/>
          <a:ext cx="942975" cy="219592"/>
        </a:xfrm>
        <a:prstGeom prst="rect">
          <a:avLst/>
        </a:prstGeom>
        <a:solidFill>
          <a:srgbClr val="000000"/>
        </a:solidFill>
        <a:ln w="9525" algn="ctr">
          <a:solidFill>
            <a:srgbClr val="808080"/>
          </a:solidFill>
          <a:miter lim="800000"/>
          <a:headEnd/>
          <a:tailEnd/>
        </a:ln>
        <a:effectLst/>
      </xdr:spPr>
      <xdr:txBody>
        <a:bodyPr vertOverflow="clip" wrap="square" lIns="27432" tIns="27432" rIns="27432" bIns="27432" anchor="ctr" upright="1"/>
        <a:lstStyle/>
        <a:p>
          <a:pPr algn="ctr" rtl="0">
            <a:defRPr sz="1000"/>
          </a:pPr>
          <a:r>
            <a:rPr lang="en-US" sz="1100" b="1" i="0" u="none" strike="noStrike" baseline="0">
              <a:solidFill>
                <a:srgbClr val="FFFFFF"/>
              </a:solidFill>
              <a:latin typeface="Arial"/>
              <a:cs typeface="Arial"/>
            </a:rPr>
            <a:t>Go to Index</a:t>
          </a:r>
        </a:p>
      </xdr:txBody>
    </xdr:sp>
    <xdr:clientData/>
  </xdr:twoCellAnchor>
  <xdr:twoCellAnchor>
    <xdr:from>
      <xdr:col>8</xdr:col>
      <xdr:colOff>304800</xdr:colOff>
      <xdr:row>7</xdr:row>
      <xdr:rowOff>43143</xdr:rowOff>
    </xdr:from>
    <xdr:to>
      <xdr:col>10</xdr:col>
      <xdr:colOff>447675</xdr:colOff>
      <xdr:row>9</xdr:row>
      <xdr:rowOff>11207</xdr:rowOff>
    </xdr:to>
    <xdr:sp macro="[0]!AllCases" textlink="">
      <xdr:nvSpPr>
        <xdr:cNvPr id="7" name="Rectangle 9"/>
        <xdr:cNvSpPr>
          <a:spLocks noChangeArrowheads="1"/>
        </xdr:cNvSpPr>
      </xdr:nvSpPr>
      <xdr:spPr bwMode="auto">
        <a:xfrm>
          <a:off x="3552825" y="1176618"/>
          <a:ext cx="1114425" cy="253814"/>
        </a:xfrm>
        <a:prstGeom prst="rect">
          <a:avLst/>
        </a:prstGeom>
        <a:solidFill>
          <a:schemeClr val="tx2">
            <a:lumMod val="40000"/>
            <a:lumOff val="60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FFFF"/>
              </a:solidFill>
              <a:latin typeface="Arial"/>
              <a:cs typeface="Arial"/>
            </a:rPr>
            <a:t>Run All Scenario</a:t>
          </a:r>
        </a:p>
      </xdr:txBody>
    </xdr:sp>
    <xdr:clientData/>
  </xdr:twoCellAnchor>
  <xdr:twoCellAnchor>
    <xdr:from>
      <xdr:col>24</xdr:col>
      <xdr:colOff>533400</xdr:colOff>
      <xdr:row>7</xdr:row>
      <xdr:rowOff>114300</xdr:rowOff>
    </xdr:from>
    <xdr:to>
      <xdr:col>26</xdr:col>
      <xdr:colOff>447675</xdr:colOff>
      <xdr:row>9</xdr:row>
      <xdr:rowOff>82364</xdr:rowOff>
    </xdr:to>
    <xdr:sp macro="[0]!AllCases" textlink="">
      <xdr:nvSpPr>
        <xdr:cNvPr id="8" name="Rectangle 9"/>
        <xdr:cNvSpPr>
          <a:spLocks noChangeArrowheads="1"/>
        </xdr:cNvSpPr>
      </xdr:nvSpPr>
      <xdr:spPr bwMode="auto">
        <a:xfrm>
          <a:off x="19240500" y="1247775"/>
          <a:ext cx="1504950" cy="253814"/>
        </a:xfrm>
        <a:prstGeom prst="rect">
          <a:avLst/>
        </a:prstGeom>
        <a:solidFill>
          <a:schemeClr val="tx2">
            <a:lumMod val="40000"/>
            <a:lumOff val="60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FFFF"/>
              </a:solidFill>
              <a:latin typeface="Arial"/>
              <a:cs typeface="Arial"/>
            </a:rPr>
            <a:t>Run All Scenario</a:t>
          </a:r>
        </a:p>
      </xdr:txBody>
    </xdr:sp>
    <xdr:clientData/>
  </xdr:twoCellAnchor>
</xdr:wsDr>
</file>

<file path=xl/drawings/drawing25.xml><?xml version="1.0" encoding="utf-8"?>
<xdr:wsDr xmlns:xdr="http://schemas.openxmlformats.org/drawingml/2006/spreadsheetDrawing" xmlns:a="http://schemas.openxmlformats.org/drawingml/2006/main">
  <xdr:twoCellAnchor editAs="oneCell">
    <xdr:from>
      <xdr:col>59</xdr:col>
      <xdr:colOff>377073</xdr:colOff>
      <xdr:row>0</xdr:row>
      <xdr:rowOff>31937</xdr:rowOff>
    </xdr:from>
    <xdr:to>
      <xdr:col>60</xdr:col>
      <xdr:colOff>691868</xdr:colOff>
      <xdr:row>1</xdr:row>
      <xdr:rowOff>22929</xdr:rowOff>
    </xdr:to>
    <xdr:sp macro="" textlink="">
      <xdr:nvSpPr>
        <xdr:cNvPr id="4" name="Rectangle 3">
          <a:hlinkClick xmlns:r="http://schemas.openxmlformats.org/officeDocument/2006/relationships" r:id="rId1"/>
        </xdr:cNvPr>
        <xdr:cNvSpPr>
          <a:spLocks noChangeArrowheads="1"/>
        </xdr:cNvSpPr>
      </xdr:nvSpPr>
      <xdr:spPr bwMode="auto">
        <a:xfrm>
          <a:off x="44087298" y="31937"/>
          <a:ext cx="1029171" cy="219592"/>
        </a:xfrm>
        <a:prstGeom prst="rect">
          <a:avLst/>
        </a:prstGeom>
        <a:solidFill>
          <a:srgbClr val="000000"/>
        </a:solidFill>
        <a:ln w="9525" algn="ctr">
          <a:solidFill>
            <a:srgbClr val="808080"/>
          </a:solidFill>
          <a:miter lim="800000"/>
          <a:headEnd/>
          <a:tailEnd/>
        </a:ln>
        <a:effectLst/>
      </xdr:spPr>
      <xdr:txBody>
        <a:bodyPr vertOverflow="clip" wrap="square" lIns="27432" tIns="27432" rIns="27432" bIns="27432" anchor="ctr" upright="1"/>
        <a:lstStyle/>
        <a:p>
          <a:pPr algn="ctr" rtl="0">
            <a:defRPr sz="1000"/>
          </a:pPr>
          <a:r>
            <a:rPr lang="en-US" sz="1100" b="1" i="0" u="none" strike="noStrike" baseline="0">
              <a:solidFill>
                <a:srgbClr val="FFFFFF"/>
              </a:solidFill>
              <a:latin typeface="Arial"/>
              <a:cs typeface="Arial"/>
            </a:rPr>
            <a:t>Go to Index</a:t>
          </a:r>
        </a:p>
      </xdr:txBody>
    </xdr:sp>
    <xdr:clientData/>
  </xdr:twoCellAnchor>
</xdr:wsDr>
</file>

<file path=xl/drawings/drawing26.xml><?xml version="1.0" encoding="utf-8"?>
<xdr:wsDr xmlns:xdr="http://schemas.openxmlformats.org/drawingml/2006/spreadsheetDrawing" xmlns:a="http://schemas.openxmlformats.org/drawingml/2006/main">
  <xdr:oneCellAnchor>
    <xdr:from>
      <xdr:col>20</xdr:col>
      <xdr:colOff>485775</xdr:colOff>
      <xdr:row>0</xdr:row>
      <xdr:rowOff>0</xdr:rowOff>
    </xdr:from>
    <xdr:ext cx="900304" cy="215110"/>
    <xdr:sp macro="" textlink="">
      <xdr:nvSpPr>
        <xdr:cNvPr id="4" name="Rectangle 3">
          <a:hlinkClick xmlns:r="http://schemas.openxmlformats.org/officeDocument/2006/relationships" r:id="rId1"/>
        </xdr:cNvPr>
        <xdr:cNvSpPr>
          <a:spLocks noChangeArrowheads="1"/>
        </xdr:cNvSpPr>
      </xdr:nvSpPr>
      <xdr:spPr bwMode="auto">
        <a:xfrm>
          <a:off x="16306800" y="0"/>
          <a:ext cx="900304" cy="215110"/>
        </a:xfrm>
        <a:prstGeom prst="rect">
          <a:avLst/>
        </a:prstGeom>
        <a:solidFill>
          <a:srgbClr val="000000"/>
        </a:solidFill>
        <a:ln w="9525" algn="ctr">
          <a:solidFill>
            <a:srgbClr val="808080"/>
          </a:solidFill>
          <a:miter lim="800000"/>
          <a:headEnd/>
          <a:tailEnd/>
        </a:ln>
        <a:effectLst/>
      </xdr:spPr>
      <xdr:txBody>
        <a:bodyPr vertOverflow="clip" wrap="square" lIns="27432" tIns="27432" rIns="27432" bIns="27432" anchor="ctr" upright="1"/>
        <a:lstStyle/>
        <a:p>
          <a:pPr algn="ctr" rtl="0">
            <a:defRPr sz="1000"/>
          </a:pPr>
          <a:r>
            <a:rPr lang="en-US" sz="1100" b="1" i="0" u="none" strike="noStrike" baseline="0">
              <a:solidFill>
                <a:srgbClr val="FFFFFF"/>
              </a:solidFill>
              <a:latin typeface="Arial"/>
              <a:cs typeface="Arial"/>
            </a:rPr>
            <a:t>Go to Index</a:t>
          </a:r>
        </a:p>
      </xdr:txBody>
    </xdr:sp>
    <xdr:clientData/>
  </xdr:oneCellAnchor>
</xdr:wsDr>
</file>

<file path=xl/drawings/drawing27.xml><?xml version="1.0" encoding="utf-8"?>
<xdr:wsDr xmlns:xdr="http://schemas.openxmlformats.org/drawingml/2006/spreadsheetDrawing" xmlns:a="http://schemas.openxmlformats.org/drawingml/2006/main">
  <xdr:oneCellAnchor>
    <xdr:from>
      <xdr:col>69</xdr:col>
      <xdr:colOff>0</xdr:colOff>
      <xdr:row>0</xdr:row>
      <xdr:rowOff>22412</xdr:rowOff>
    </xdr:from>
    <xdr:ext cx="931120" cy="219592"/>
    <xdr:sp macro="" textlink="">
      <xdr:nvSpPr>
        <xdr:cNvPr id="5" name="Rectangle 4">
          <a:hlinkClick xmlns:r="http://schemas.openxmlformats.org/officeDocument/2006/relationships" r:id="rId1"/>
        </xdr:cNvPr>
        <xdr:cNvSpPr>
          <a:spLocks noChangeArrowheads="1"/>
        </xdr:cNvSpPr>
      </xdr:nvSpPr>
      <xdr:spPr bwMode="auto">
        <a:xfrm>
          <a:off x="21859875" y="22412"/>
          <a:ext cx="931120" cy="219592"/>
        </a:xfrm>
        <a:prstGeom prst="rect">
          <a:avLst/>
        </a:prstGeom>
        <a:solidFill>
          <a:srgbClr val="000000"/>
        </a:solidFill>
        <a:ln w="9525" algn="ctr">
          <a:solidFill>
            <a:srgbClr val="808080"/>
          </a:solidFill>
          <a:miter lim="800000"/>
          <a:headEnd/>
          <a:tailEnd/>
        </a:ln>
        <a:effectLst/>
      </xdr:spPr>
      <xdr:txBody>
        <a:bodyPr vertOverflow="clip" wrap="square" lIns="27432" tIns="27432" rIns="27432" bIns="27432" anchor="ctr" upright="1"/>
        <a:lstStyle/>
        <a:p>
          <a:pPr algn="ctr" rtl="0">
            <a:defRPr sz="1000"/>
          </a:pPr>
          <a:r>
            <a:rPr lang="en-US" sz="1100" b="1" i="0" u="none" strike="noStrike" baseline="0">
              <a:solidFill>
                <a:srgbClr val="FFFFFF"/>
              </a:solidFill>
              <a:latin typeface="Arial"/>
              <a:cs typeface="Arial"/>
            </a:rPr>
            <a:t>Go to Index</a:t>
          </a:r>
        </a:p>
      </xdr:txBody>
    </xdr:sp>
    <xdr:clientData/>
  </xdr:oneCellAnchor>
</xdr:wsDr>
</file>

<file path=xl/drawings/drawing28.xml><?xml version="1.0" encoding="utf-8"?>
<xdr:wsDr xmlns:xdr="http://schemas.openxmlformats.org/drawingml/2006/spreadsheetDrawing" xmlns:a="http://schemas.openxmlformats.org/drawingml/2006/main">
  <xdr:oneCellAnchor>
    <xdr:from>
      <xdr:col>19</xdr:col>
      <xdr:colOff>266700</xdr:colOff>
      <xdr:row>0</xdr:row>
      <xdr:rowOff>12887</xdr:rowOff>
    </xdr:from>
    <xdr:ext cx="900304" cy="215110"/>
    <xdr:sp macro="" textlink="">
      <xdr:nvSpPr>
        <xdr:cNvPr id="2" name="Rectangle 1">
          <a:hlinkClick xmlns:r="http://schemas.openxmlformats.org/officeDocument/2006/relationships" r:id="rId1"/>
        </xdr:cNvPr>
        <xdr:cNvSpPr>
          <a:spLocks noChangeArrowheads="1"/>
        </xdr:cNvSpPr>
      </xdr:nvSpPr>
      <xdr:spPr bwMode="auto">
        <a:xfrm>
          <a:off x="14011275" y="12887"/>
          <a:ext cx="900304" cy="215110"/>
        </a:xfrm>
        <a:prstGeom prst="rect">
          <a:avLst/>
        </a:prstGeom>
        <a:solidFill>
          <a:srgbClr val="000000"/>
        </a:solidFill>
        <a:ln w="9525" algn="ctr">
          <a:solidFill>
            <a:srgbClr val="808080"/>
          </a:solidFill>
          <a:miter lim="800000"/>
          <a:headEnd/>
          <a:tailEnd/>
        </a:ln>
        <a:effectLst/>
      </xdr:spPr>
      <xdr:txBody>
        <a:bodyPr vertOverflow="clip" wrap="square" lIns="27432" tIns="27432" rIns="27432" bIns="27432" anchor="ctr" upright="1"/>
        <a:lstStyle/>
        <a:p>
          <a:pPr algn="ctr" rtl="0">
            <a:defRPr sz="1000"/>
          </a:pPr>
          <a:r>
            <a:rPr lang="en-US" sz="1100" b="1" i="0" u="none" strike="noStrike" baseline="0">
              <a:solidFill>
                <a:srgbClr val="FFFFFF"/>
              </a:solidFill>
              <a:latin typeface="Arial"/>
              <a:cs typeface="Arial"/>
            </a:rPr>
            <a:t>Go to Index</a:t>
          </a:r>
        </a:p>
      </xdr:txBody>
    </xdr:sp>
    <xdr:clientData/>
  </xdr:oneCellAnchor>
</xdr:wsDr>
</file>

<file path=xl/drawings/drawing29.xml><?xml version="1.0" encoding="utf-8"?>
<xdr:wsDr xmlns:xdr="http://schemas.openxmlformats.org/drawingml/2006/spreadsheetDrawing" xmlns:a="http://schemas.openxmlformats.org/drawingml/2006/main">
  <xdr:oneCellAnchor>
    <xdr:from>
      <xdr:col>63</xdr:col>
      <xdr:colOff>266700</xdr:colOff>
      <xdr:row>0</xdr:row>
      <xdr:rowOff>12887</xdr:rowOff>
    </xdr:from>
    <xdr:ext cx="900304" cy="215110"/>
    <xdr:sp macro="" textlink="">
      <xdr:nvSpPr>
        <xdr:cNvPr id="2" name="Rectangle 1">
          <a:hlinkClick xmlns:r="http://schemas.openxmlformats.org/officeDocument/2006/relationships" r:id="rId1"/>
        </xdr:cNvPr>
        <xdr:cNvSpPr>
          <a:spLocks noChangeArrowheads="1"/>
        </xdr:cNvSpPr>
      </xdr:nvSpPr>
      <xdr:spPr bwMode="auto">
        <a:xfrm>
          <a:off x="40805100" y="12887"/>
          <a:ext cx="900304" cy="215110"/>
        </a:xfrm>
        <a:prstGeom prst="rect">
          <a:avLst/>
        </a:prstGeom>
        <a:solidFill>
          <a:srgbClr val="000000"/>
        </a:solidFill>
        <a:ln w="9525" algn="ctr">
          <a:solidFill>
            <a:srgbClr val="808080"/>
          </a:solidFill>
          <a:miter lim="800000"/>
          <a:headEnd/>
          <a:tailEnd/>
        </a:ln>
        <a:effectLst/>
      </xdr:spPr>
      <xdr:txBody>
        <a:bodyPr vertOverflow="clip" wrap="square" lIns="27432" tIns="27432" rIns="27432" bIns="27432" anchor="ctr" upright="1"/>
        <a:lstStyle/>
        <a:p>
          <a:pPr algn="ctr" rtl="0">
            <a:defRPr sz="1000"/>
          </a:pPr>
          <a:r>
            <a:rPr lang="en-US" sz="1100" b="1" i="0" u="none" strike="noStrike" baseline="0">
              <a:solidFill>
                <a:srgbClr val="FFFFFF"/>
              </a:solidFill>
              <a:latin typeface="Arial"/>
              <a:cs typeface="Arial"/>
            </a:rPr>
            <a:t>Go to Index</a:t>
          </a:r>
        </a:p>
      </xdr:txBody>
    </xdr:sp>
    <xdr:clientData/>
  </xdr:oneCellAnchor>
</xdr:wsDr>
</file>

<file path=xl/drawings/drawing30.xml><?xml version="1.0" encoding="utf-8"?>
<xdr:wsDr xmlns:xdr="http://schemas.openxmlformats.org/drawingml/2006/spreadsheetDrawing" xmlns:a="http://schemas.openxmlformats.org/drawingml/2006/main">
  <xdr:twoCellAnchor editAs="oneCell">
    <xdr:from>
      <xdr:col>20</xdr:col>
      <xdr:colOff>399493</xdr:colOff>
      <xdr:row>0</xdr:row>
      <xdr:rowOff>2801</xdr:rowOff>
    </xdr:from>
    <xdr:to>
      <xdr:col>22</xdr:col>
      <xdr:colOff>498577</xdr:colOff>
      <xdr:row>1</xdr:row>
      <xdr:rowOff>143</xdr:rowOff>
    </xdr:to>
    <xdr:sp macro="" textlink="">
      <xdr:nvSpPr>
        <xdr:cNvPr id="4" name="Rectangle 7">
          <a:hlinkClick xmlns:r="http://schemas.openxmlformats.org/officeDocument/2006/relationships" r:id="rId1"/>
        </xdr:cNvPr>
        <xdr:cNvSpPr>
          <a:spLocks noChangeArrowheads="1"/>
        </xdr:cNvSpPr>
      </xdr:nvSpPr>
      <xdr:spPr bwMode="auto">
        <a:xfrm>
          <a:off x="7467043" y="2801"/>
          <a:ext cx="1146834" cy="219592"/>
        </a:xfrm>
        <a:prstGeom prst="rect">
          <a:avLst/>
        </a:prstGeom>
        <a:solidFill>
          <a:srgbClr val="000000"/>
        </a:solidFill>
        <a:ln w="9525" algn="ctr">
          <a:solidFill>
            <a:srgbClr val="808080"/>
          </a:solidFill>
          <a:miter lim="800000"/>
          <a:headEnd/>
          <a:tailEnd/>
        </a:ln>
        <a:effectLst/>
      </xdr:spPr>
      <xdr:txBody>
        <a:bodyPr vertOverflow="clip" wrap="square" lIns="27432" tIns="27432" rIns="27432" bIns="27432" anchor="ctr" upright="1"/>
        <a:lstStyle/>
        <a:p>
          <a:pPr algn="ctr" rtl="0">
            <a:defRPr sz="1000"/>
          </a:pPr>
          <a:r>
            <a:rPr lang="en-US" sz="1100" b="1" i="0" u="none" strike="noStrike" baseline="0">
              <a:solidFill>
                <a:srgbClr val="FFFFFF"/>
              </a:solidFill>
              <a:latin typeface="Arial"/>
              <a:cs typeface="Arial"/>
            </a:rPr>
            <a:t>Go to Index</a:t>
          </a:r>
        </a:p>
      </xdr:txBody>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20</xdr:col>
      <xdr:colOff>361393</xdr:colOff>
      <xdr:row>0</xdr:row>
      <xdr:rowOff>21851</xdr:rowOff>
    </xdr:from>
    <xdr:to>
      <xdr:col>22</xdr:col>
      <xdr:colOff>460476</xdr:colOff>
      <xdr:row>1</xdr:row>
      <xdr:rowOff>12843</xdr:rowOff>
    </xdr:to>
    <xdr:sp macro="" textlink="">
      <xdr:nvSpPr>
        <xdr:cNvPr id="5" name="Rectangle 7">
          <a:hlinkClick xmlns:r="http://schemas.openxmlformats.org/officeDocument/2006/relationships" r:id="rId1"/>
        </xdr:cNvPr>
        <xdr:cNvSpPr>
          <a:spLocks noChangeArrowheads="1"/>
        </xdr:cNvSpPr>
      </xdr:nvSpPr>
      <xdr:spPr bwMode="auto">
        <a:xfrm>
          <a:off x="7428943" y="21851"/>
          <a:ext cx="1146833" cy="219592"/>
        </a:xfrm>
        <a:prstGeom prst="rect">
          <a:avLst/>
        </a:prstGeom>
        <a:solidFill>
          <a:srgbClr val="000000"/>
        </a:solidFill>
        <a:ln w="9525" algn="ctr">
          <a:solidFill>
            <a:srgbClr val="808080"/>
          </a:solidFill>
          <a:miter lim="800000"/>
          <a:headEnd/>
          <a:tailEnd/>
        </a:ln>
        <a:effectLst/>
      </xdr:spPr>
      <xdr:txBody>
        <a:bodyPr vertOverflow="clip" wrap="square" lIns="27432" tIns="27432" rIns="27432" bIns="27432" anchor="ctr" upright="1"/>
        <a:lstStyle/>
        <a:p>
          <a:pPr algn="ctr" rtl="0">
            <a:defRPr sz="1000"/>
          </a:pPr>
          <a:r>
            <a:rPr lang="en-US" sz="1100" b="1" i="0" u="none" strike="noStrike" baseline="0">
              <a:solidFill>
                <a:srgbClr val="FFFFFF"/>
              </a:solidFill>
              <a:latin typeface="Arial"/>
              <a:cs typeface="Arial"/>
            </a:rPr>
            <a:t>Go to Index</a:t>
          </a:r>
        </a:p>
      </xdr:txBody>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20</xdr:col>
      <xdr:colOff>409018</xdr:colOff>
      <xdr:row>0</xdr:row>
      <xdr:rowOff>12326</xdr:rowOff>
    </xdr:from>
    <xdr:to>
      <xdr:col>22</xdr:col>
      <xdr:colOff>508101</xdr:colOff>
      <xdr:row>1</xdr:row>
      <xdr:rowOff>3318</xdr:rowOff>
    </xdr:to>
    <xdr:sp macro="" textlink="">
      <xdr:nvSpPr>
        <xdr:cNvPr id="8" name="Rectangle 7">
          <a:hlinkClick xmlns:r="http://schemas.openxmlformats.org/officeDocument/2006/relationships" r:id="rId1"/>
        </xdr:cNvPr>
        <xdr:cNvSpPr>
          <a:spLocks noChangeArrowheads="1"/>
        </xdr:cNvSpPr>
      </xdr:nvSpPr>
      <xdr:spPr bwMode="auto">
        <a:xfrm>
          <a:off x="7476568" y="12326"/>
          <a:ext cx="1146833" cy="219592"/>
        </a:xfrm>
        <a:prstGeom prst="rect">
          <a:avLst/>
        </a:prstGeom>
        <a:solidFill>
          <a:srgbClr val="000000"/>
        </a:solidFill>
        <a:ln w="9525" algn="ctr">
          <a:solidFill>
            <a:srgbClr val="808080"/>
          </a:solidFill>
          <a:miter lim="800000"/>
          <a:headEnd/>
          <a:tailEnd/>
        </a:ln>
        <a:effectLst/>
      </xdr:spPr>
      <xdr:txBody>
        <a:bodyPr vertOverflow="clip" wrap="square" lIns="27432" tIns="27432" rIns="27432" bIns="27432" anchor="ctr" upright="1"/>
        <a:lstStyle/>
        <a:p>
          <a:pPr algn="ctr" rtl="0">
            <a:defRPr sz="1000"/>
          </a:pPr>
          <a:r>
            <a:rPr lang="en-US" sz="1100" b="1" i="0" u="none" strike="noStrike" baseline="0">
              <a:solidFill>
                <a:srgbClr val="FFFFFF"/>
              </a:solidFill>
              <a:latin typeface="Arial"/>
              <a:cs typeface="Arial"/>
            </a:rPr>
            <a:t>Go to Index</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7</xdr:col>
      <xdr:colOff>1304925</xdr:colOff>
      <xdr:row>0</xdr:row>
      <xdr:rowOff>0</xdr:rowOff>
    </xdr:from>
    <xdr:to>
      <xdr:col>7</xdr:col>
      <xdr:colOff>2247900</xdr:colOff>
      <xdr:row>0</xdr:row>
      <xdr:rowOff>219592</xdr:rowOff>
    </xdr:to>
    <xdr:sp macro="" textlink="">
      <xdr:nvSpPr>
        <xdr:cNvPr id="2" name="Rectangle 7">
          <a:hlinkClick xmlns:r="http://schemas.openxmlformats.org/officeDocument/2006/relationships" r:id="rId1"/>
        </xdr:cNvPr>
        <xdr:cNvSpPr>
          <a:spLocks noChangeArrowheads="1"/>
        </xdr:cNvSpPr>
      </xdr:nvSpPr>
      <xdr:spPr bwMode="auto">
        <a:xfrm>
          <a:off x="11391900" y="0"/>
          <a:ext cx="942975" cy="219592"/>
        </a:xfrm>
        <a:prstGeom prst="rect">
          <a:avLst/>
        </a:prstGeom>
        <a:solidFill>
          <a:srgbClr val="000000"/>
        </a:solidFill>
        <a:ln w="9525" algn="ctr">
          <a:solidFill>
            <a:srgbClr val="808080"/>
          </a:solidFill>
          <a:miter lim="800000"/>
          <a:headEnd/>
          <a:tailEnd/>
        </a:ln>
        <a:effectLst/>
      </xdr:spPr>
      <xdr:txBody>
        <a:bodyPr vertOverflow="clip" wrap="square" lIns="27432" tIns="27432" rIns="27432" bIns="27432" anchor="ctr" upright="1"/>
        <a:lstStyle/>
        <a:p>
          <a:pPr algn="ctr" rtl="0">
            <a:defRPr sz="1000"/>
          </a:pPr>
          <a:r>
            <a:rPr lang="en-US" sz="1100" b="1" i="0" u="none" strike="noStrike" baseline="0">
              <a:solidFill>
                <a:srgbClr val="FFFFFF"/>
              </a:solidFill>
              <a:latin typeface="Arial"/>
              <a:cs typeface="Arial"/>
            </a:rPr>
            <a:t>Go to Index</a:t>
          </a:r>
        </a:p>
      </xdr:txBody>
    </xdr:sp>
    <xdr:clientData fPrintsWithSheet="0"/>
  </xdr:twoCellAnchor>
  <xdr:twoCellAnchor editAs="oneCell">
    <xdr:from>
      <xdr:col>5</xdr:col>
      <xdr:colOff>57149</xdr:colOff>
      <xdr:row>31</xdr:row>
      <xdr:rowOff>26597</xdr:rowOff>
    </xdr:from>
    <xdr:to>
      <xdr:col>7</xdr:col>
      <xdr:colOff>742950</xdr:colOff>
      <xdr:row>46</xdr:row>
      <xdr:rowOff>47625</xdr:rowOff>
    </xdr:to>
    <xdr:pic>
      <xdr:nvPicPr>
        <xdr:cNvPr id="3" name="Picture 2"/>
        <xdr:cNvPicPr>
          <a:picLocks noChangeAspect="1"/>
        </xdr:cNvPicPr>
      </xdr:nvPicPr>
      <xdr:blipFill>
        <a:blip xmlns:r="http://schemas.openxmlformats.org/officeDocument/2006/relationships" r:embed="rId2"/>
        <a:stretch>
          <a:fillRect/>
        </a:stretch>
      </xdr:blipFill>
      <xdr:spPr>
        <a:xfrm>
          <a:off x="7010399" y="4674797"/>
          <a:ext cx="3733801" cy="2164153"/>
        </a:xfrm>
        <a:prstGeom prst="rect">
          <a:avLst/>
        </a:prstGeom>
      </xdr:spPr>
    </xdr:pic>
    <xdr:clientData/>
  </xdr:twoCellAnchor>
  <xdr:twoCellAnchor editAs="oneCell">
    <xdr:from>
      <xdr:col>0</xdr:col>
      <xdr:colOff>66674</xdr:colOff>
      <xdr:row>18</xdr:row>
      <xdr:rowOff>109955</xdr:rowOff>
    </xdr:from>
    <xdr:to>
      <xdr:col>4</xdr:col>
      <xdr:colOff>744658</xdr:colOff>
      <xdr:row>43</xdr:row>
      <xdr:rowOff>38100</xdr:rowOff>
    </xdr:to>
    <xdr:pic>
      <xdr:nvPicPr>
        <xdr:cNvPr id="4" name="Picture 3"/>
        <xdr:cNvPicPr>
          <a:picLocks noChangeAspect="1"/>
        </xdr:cNvPicPr>
      </xdr:nvPicPr>
      <xdr:blipFill>
        <a:blip xmlns:r="http://schemas.openxmlformats.org/officeDocument/2006/relationships" r:embed="rId3"/>
        <a:stretch>
          <a:fillRect/>
        </a:stretch>
      </xdr:blipFill>
      <xdr:spPr>
        <a:xfrm>
          <a:off x="66674" y="2900780"/>
          <a:ext cx="6859709" cy="350002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oneCellAnchor>
    <xdr:from>
      <xdr:col>98</xdr:col>
      <xdr:colOff>0</xdr:colOff>
      <xdr:row>0</xdr:row>
      <xdr:rowOff>22411</xdr:rowOff>
    </xdr:from>
    <xdr:ext cx="1176618" cy="224117"/>
    <xdr:sp macro="" textlink="">
      <xdr:nvSpPr>
        <xdr:cNvPr id="4" name="Rectangle 3">
          <a:hlinkClick xmlns:r="http://schemas.openxmlformats.org/officeDocument/2006/relationships" r:id="rId1"/>
        </xdr:cNvPr>
        <xdr:cNvSpPr>
          <a:spLocks noChangeArrowheads="1"/>
        </xdr:cNvSpPr>
      </xdr:nvSpPr>
      <xdr:spPr bwMode="auto">
        <a:xfrm>
          <a:off x="18052676" y="22411"/>
          <a:ext cx="1176618" cy="224117"/>
        </a:xfrm>
        <a:prstGeom prst="rect">
          <a:avLst/>
        </a:prstGeom>
        <a:solidFill>
          <a:srgbClr val="000000"/>
        </a:solidFill>
        <a:ln w="9525" algn="ctr">
          <a:solidFill>
            <a:srgbClr val="808080"/>
          </a:solidFill>
          <a:miter lim="800000"/>
          <a:headEnd/>
          <a:tailEnd/>
        </a:ln>
        <a:effectLst/>
      </xdr:spPr>
      <xdr:txBody>
        <a:bodyPr vertOverflow="clip" wrap="square" lIns="27432" tIns="27432" rIns="27432" bIns="27432" anchor="ctr" upright="1"/>
        <a:lstStyle/>
        <a:p>
          <a:pPr algn="ctr" rtl="0">
            <a:defRPr sz="1000"/>
          </a:pPr>
          <a:r>
            <a:rPr lang="en-US" sz="1100" b="1" i="0" u="none" strike="noStrike" baseline="0">
              <a:solidFill>
                <a:srgbClr val="FFFFFF"/>
              </a:solidFill>
              <a:latin typeface="Arial"/>
              <a:cs typeface="Arial"/>
            </a:rPr>
            <a:t>Go to Index</a:t>
          </a:r>
        </a:p>
      </xdr:txBody>
    </xdr:sp>
    <xdr:clientData/>
  </xdr:oneCellAnchor>
</xdr:wsDr>
</file>

<file path=xl/drawings/drawing35.xml><?xml version="1.0" encoding="utf-8"?>
<xdr:wsDr xmlns:xdr="http://schemas.openxmlformats.org/drawingml/2006/spreadsheetDrawing" xmlns:a="http://schemas.openxmlformats.org/drawingml/2006/main">
  <xdr:twoCellAnchor editAs="oneCell">
    <xdr:from>
      <xdr:col>5</xdr:col>
      <xdr:colOff>422413</xdr:colOff>
      <xdr:row>64</xdr:row>
      <xdr:rowOff>14551</xdr:rowOff>
    </xdr:from>
    <xdr:to>
      <xdr:col>10</xdr:col>
      <xdr:colOff>469724</xdr:colOff>
      <xdr:row>84</xdr:row>
      <xdr:rowOff>20834</xdr:rowOff>
    </xdr:to>
    <xdr:pic>
      <xdr:nvPicPr>
        <xdr:cNvPr id="4" name="Picture 3"/>
        <xdr:cNvPicPr>
          <a:picLocks noChangeAspect="1"/>
        </xdr:cNvPicPr>
      </xdr:nvPicPr>
      <xdr:blipFill>
        <a:blip xmlns:r="http://schemas.openxmlformats.org/officeDocument/2006/relationships" r:embed="rId1"/>
        <a:stretch>
          <a:fillRect/>
        </a:stretch>
      </xdr:blipFill>
      <xdr:spPr>
        <a:xfrm>
          <a:off x="8763000" y="7899594"/>
          <a:ext cx="5273637" cy="2822370"/>
        </a:xfrm>
        <a:prstGeom prst="rect">
          <a:avLst/>
        </a:prstGeom>
      </xdr:spPr>
    </xdr:pic>
    <xdr:clientData/>
  </xdr:twoCellAnchor>
  <xdr:twoCellAnchor editAs="oneCell">
    <xdr:from>
      <xdr:col>5</xdr:col>
      <xdr:colOff>173934</xdr:colOff>
      <xdr:row>0</xdr:row>
      <xdr:rowOff>41413</xdr:rowOff>
    </xdr:from>
    <xdr:to>
      <xdr:col>11</xdr:col>
      <xdr:colOff>449868</xdr:colOff>
      <xdr:row>15</xdr:row>
      <xdr:rowOff>112733</xdr:rowOff>
    </xdr:to>
    <xdr:pic>
      <xdr:nvPicPr>
        <xdr:cNvPr id="5" name="Picture 4"/>
        <xdr:cNvPicPr>
          <a:picLocks noChangeAspect="1"/>
        </xdr:cNvPicPr>
      </xdr:nvPicPr>
      <xdr:blipFill>
        <a:blip xmlns:r="http://schemas.openxmlformats.org/officeDocument/2006/relationships" r:embed="rId2"/>
        <a:stretch>
          <a:fillRect/>
        </a:stretch>
      </xdr:blipFill>
      <xdr:spPr>
        <a:xfrm>
          <a:off x="8514521" y="41413"/>
          <a:ext cx="6305673" cy="2257929"/>
        </a:xfrm>
        <a:prstGeom prst="rect">
          <a:avLst/>
        </a:prstGeom>
      </xdr:spPr>
    </xdr:pic>
    <xdr:clientData/>
  </xdr:twoCellAnchor>
  <xdr:twoCellAnchor editAs="oneCell">
    <xdr:from>
      <xdr:col>5</xdr:col>
      <xdr:colOff>488674</xdr:colOff>
      <xdr:row>23</xdr:row>
      <xdr:rowOff>115956</xdr:rowOff>
    </xdr:from>
    <xdr:to>
      <xdr:col>10</xdr:col>
      <xdr:colOff>764580</xdr:colOff>
      <xdr:row>41</xdr:row>
      <xdr:rowOff>92797</xdr:rowOff>
    </xdr:to>
    <xdr:pic>
      <xdr:nvPicPr>
        <xdr:cNvPr id="6" name="Picture 5"/>
        <xdr:cNvPicPr>
          <a:picLocks noChangeAspect="1"/>
        </xdr:cNvPicPr>
      </xdr:nvPicPr>
      <xdr:blipFill>
        <a:blip xmlns:r="http://schemas.openxmlformats.org/officeDocument/2006/relationships" r:embed="rId3"/>
        <a:stretch>
          <a:fillRect/>
        </a:stretch>
      </xdr:blipFill>
      <xdr:spPr>
        <a:xfrm>
          <a:off x="8936935" y="3097695"/>
          <a:ext cx="5502232" cy="2511320"/>
        </a:xfrm>
        <a:prstGeom prst="rect">
          <a:avLst/>
        </a:prstGeom>
      </xdr:spPr>
    </xdr:pic>
    <xdr:clientData/>
  </xdr:twoCellAnchor>
  <xdr:twoCellAnchor editAs="oneCell">
    <xdr:from>
      <xdr:col>5</xdr:col>
      <xdr:colOff>521390</xdr:colOff>
      <xdr:row>44</xdr:row>
      <xdr:rowOff>115956</xdr:rowOff>
    </xdr:from>
    <xdr:to>
      <xdr:col>10</xdr:col>
      <xdr:colOff>596752</xdr:colOff>
      <xdr:row>63</xdr:row>
      <xdr:rowOff>38208</xdr:rowOff>
    </xdr:to>
    <xdr:pic>
      <xdr:nvPicPr>
        <xdr:cNvPr id="7" name="Picture 6"/>
        <xdr:cNvPicPr>
          <a:picLocks noChangeAspect="1"/>
        </xdr:cNvPicPr>
      </xdr:nvPicPr>
      <xdr:blipFill>
        <a:blip xmlns:r="http://schemas.openxmlformats.org/officeDocument/2006/relationships" r:embed="rId4"/>
        <a:stretch>
          <a:fillRect/>
        </a:stretch>
      </xdr:blipFill>
      <xdr:spPr>
        <a:xfrm>
          <a:off x="8861977" y="5184913"/>
          <a:ext cx="5301688" cy="2597534"/>
        </a:xfrm>
        <a:prstGeom prst="rect">
          <a:avLst/>
        </a:prstGeom>
      </xdr:spPr>
    </xdr:pic>
    <xdr:clientData/>
  </xdr:twoCellAnchor>
  <xdr:twoCellAnchor editAs="oneCell">
    <xdr:from>
      <xdr:col>5</xdr:col>
      <xdr:colOff>317225</xdr:colOff>
      <xdr:row>78</xdr:row>
      <xdr:rowOff>101049</xdr:rowOff>
    </xdr:from>
    <xdr:to>
      <xdr:col>11</xdr:col>
      <xdr:colOff>139685</xdr:colOff>
      <xdr:row>103</xdr:row>
      <xdr:rowOff>90725</xdr:rowOff>
    </xdr:to>
    <xdr:pic>
      <xdr:nvPicPr>
        <xdr:cNvPr id="10" name="Picture 9"/>
        <xdr:cNvPicPr>
          <a:picLocks noChangeAspect="1"/>
        </xdr:cNvPicPr>
      </xdr:nvPicPr>
      <xdr:blipFill>
        <a:blip xmlns:r="http://schemas.openxmlformats.org/officeDocument/2006/relationships" r:embed="rId5"/>
        <a:stretch>
          <a:fillRect/>
        </a:stretch>
      </xdr:blipFill>
      <xdr:spPr>
        <a:xfrm>
          <a:off x="8657812" y="9957353"/>
          <a:ext cx="5852199" cy="3509784"/>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22</xdr:col>
      <xdr:colOff>355230</xdr:colOff>
      <xdr:row>0</xdr:row>
      <xdr:rowOff>31376</xdr:rowOff>
    </xdr:from>
    <xdr:to>
      <xdr:col>24</xdr:col>
      <xdr:colOff>419014</xdr:colOff>
      <xdr:row>1</xdr:row>
      <xdr:rowOff>22368</xdr:rowOff>
    </xdr:to>
    <xdr:sp macro="" textlink="">
      <xdr:nvSpPr>
        <xdr:cNvPr id="2" name="Rectangle 7">
          <a:hlinkClick xmlns:r="http://schemas.openxmlformats.org/officeDocument/2006/relationships" r:id="rId1"/>
        </xdr:cNvPr>
        <xdr:cNvSpPr>
          <a:spLocks noChangeArrowheads="1"/>
        </xdr:cNvSpPr>
      </xdr:nvSpPr>
      <xdr:spPr bwMode="auto">
        <a:xfrm>
          <a:off x="10242180" y="31376"/>
          <a:ext cx="1111534" cy="219592"/>
        </a:xfrm>
        <a:prstGeom prst="rect">
          <a:avLst/>
        </a:prstGeom>
        <a:solidFill>
          <a:srgbClr val="000000"/>
        </a:solidFill>
        <a:ln w="9525" algn="ctr">
          <a:solidFill>
            <a:srgbClr val="808080"/>
          </a:solidFill>
          <a:miter lim="800000"/>
          <a:headEnd/>
          <a:tailEnd/>
        </a:ln>
        <a:effectLst/>
      </xdr:spPr>
      <xdr:txBody>
        <a:bodyPr vertOverflow="clip" wrap="square" lIns="27432" tIns="27432" rIns="27432" bIns="27432" anchor="ctr" upright="1"/>
        <a:lstStyle/>
        <a:p>
          <a:pPr algn="ctr" rtl="0">
            <a:defRPr sz="1000"/>
          </a:pPr>
          <a:r>
            <a:rPr lang="en-US" sz="1100" b="1" i="0" u="none" strike="noStrike" baseline="0">
              <a:solidFill>
                <a:srgbClr val="FFFFFF"/>
              </a:solidFill>
              <a:latin typeface="Arial"/>
              <a:cs typeface="Arial"/>
            </a:rPr>
            <a:t>Go to Index</a:t>
          </a:r>
        </a:p>
      </xdr:txBody>
    </xdr:sp>
    <xdr:clientData/>
  </xdr:twoCellAnchor>
</xdr:wsDr>
</file>

<file path=xl/theme/theme1.xml><?xml version="1.0" encoding="utf-8"?>
<a:theme xmlns:a="http://schemas.openxmlformats.org/drawingml/2006/main" name="Office Theme">
  <a:themeElements>
    <a:clrScheme name="Research">
      <a:dk1>
        <a:sysClr val="windowText" lastClr="000000"/>
      </a:dk1>
      <a:lt1>
        <a:sysClr val="window" lastClr="FFFFFF"/>
      </a:lt1>
      <a:dk2>
        <a:srgbClr val="003366"/>
      </a:dk2>
      <a:lt2>
        <a:srgbClr val="C6D9E2"/>
      </a:lt2>
      <a:accent1>
        <a:srgbClr val="137CB1"/>
      </a:accent1>
      <a:accent2>
        <a:srgbClr val="EACC80"/>
      </a:accent2>
      <a:accent3>
        <a:srgbClr val="4AAC6B"/>
      </a:accent3>
      <a:accent4>
        <a:srgbClr val="A8D7E2"/>
      </a:accent4>
      <a:accent5>
        <a:srgbClr val="E58061"/>
      </a:accent5>
      <a:accent6>
        <a:srgbClr val="BCE3A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000FF" mc:Ignorable="a14" a14:legacySpreadsheetColorIndex="1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solidFill>
          <a:srgbClr xmlns:mc="http://schemas.openxmlformats.org/markup-compatibility/2006" xmlns:a14="http://schemas.microsoft.com/office/drawing/2010/main" val="0000FF" mc:Ignorable="a14" a14:legacySpreadsheetColorIndex="1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s>

</file>

<file path=xl/worksheets/_rels/sheet4.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mailto:Javier.Martinez.Olcoz@morganstanley.com" TargetMode="External" Type="http://schemas.openxmlformats.org/officeDocument/2006/relationships/hyperlink"/>
<Relationship Id="rId2" Target="mailto:Roberto.Browne@morganstanley.com" TargetMode="External" Type="http://schemas.openxmlformats.org/officeDocument/2006/relationships/hyperlink"/>
<Relationship Id="rId3" Target="../printerSettings/printerSettings4.bin" Type="http://schemas.openxmlformats.org/officeDocument/2006/relationships/printerSettings"/>
<Relationship Id="rId4" Target="../drawings/drawing3.xml" Type="http://schemas.openxmlformats.org/officeDocument/2006/relationships/drawing"/>
</Relationships>

</file>

<file path=xl/worksheets/_rels/sheet6.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drawing4.xml" Type="http://schemas.openxmlformats.org/officeDocument/2006/relationships/drawing"/>
</Relationships>

</file>

<file path=xl/worksheets/_rels/sheet8.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drawing5.xml" Type="http://schemas.openxmlformats.org/officeDocument/2006/relationships/drawing"/>
<Relationship Id="rId3" Target="../drawings/vmlDrawing2.vml" Type="http://schemas.openxmlformats.org/officeDocument/2006/relationships/vmlDrawing"/>
<Relationship Id="rId4" Target="../comments1.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drawing19.xml" Type="http://schemas.openxmlformats.org/officeDocument/2006/relationships/drawing"/>
<Relationship Id="rId3" Target="../drawings/vmlDrawing3.vml" Type="http://schemas.openxmlformats.org/officeDocument/2006/relationships/vmlDrawing"/>
<Relationship Id="rId4" Target="../comments2.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drawing20.xml" Type="http://schemas.openxmlformats.org/officeDocument/2006/relationships/drawing"/>
<Relationship Id="rId3" Target="../drawings/vmlDrawing4.vml" Type="http://schemas.openxmlformats.org/officeDocument/2006/relationships/vmlDrawing"/>
<Relationship Id="rId4" Target="../comments3.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drawing21.xml" Type="http://schemas.openxmlformats.org/officeDocument/2006/relationships/drawing"/>
<Relationship Id="rId3" Target="../drawings/vmlDrawing5.vml" Type="http://schemas.openxmlformats.org/officeDocument/2006/relationships/vmlDrawing"/>
<Relationship Id="rId4" Target="../comments4.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drawing22.xml" Type="http://schemas.openxmlformats.org/officeDocument/2006/relationships/drawing"/>
<Relationship Id="rId3" Target="../drawings/vmlDrawing6.vml" Type="http://schemas.openxmlformats.org/officeDocument/2006/relationships/vmlDrawing"/>
<Relationship Id="rId4" Target="../comments5.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15.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drawing23.xml" Type="http://schemas.openxmlformats.org/officeDocument/2006/relationships/drawing"/>
<Relationship Id="rId3" Target="../drawings/vmlDrawing7.vml" Type="http://schemas.openxmlformats.org/officeDocument/2006/relationships/vmlDrawing"/>
<Relationship Id="rId4" Target="../comments6.xml" Type="http://schemas.openxmlformats.org/officeDocument/2006/relationships/comments"/>
</Relationships>

</file>

<file path=xl/worksheets/_rels/sheet16.xml.rels><?xml version="1.0" encoding="UTF-8" standalone="yes"?>
<Relationships xmlns="http://schemas.openxmlformats.org/package/2006/relationships">
<Relationship Id="rId1" Target="../printerSettings/printerSettings15.bin" Type="http://schemas.openxmlformats.org/officeDocument/2006/relationships/printerSettings"/>
<Relationship Id="rId2" Target="../drawings/drawing24.xml" Type="http://schemas.openxmlformats.org/officeDocument/2006/relationships/drawing"/>
<Relationship Id="rId3" Target="../drawings/vmlDrawing8.vml" Type="http://schemas.openxmlformats.org/officeDocument/2006/relationships/vmlDrawing"/>
<Relationship Id="rId4" Target="../comments7.xml" Type="http://schemas.openxmlformats.org/officeDocument/2006/relationships/comments"/>
</Relationships>

</file>

<file path=xl/worksheets/_rels/sheet17.xml.rels><?xml version="1.0" encoding="UTF-8" standalone="yes"?>
<Relationships xmlns="http://schemas.openxmlformats.org/package/2006/relationships">
<Relationship Id="rId1" Target="../printerSettings/printerSettings16.bin" Type="http://schemas.openxmlformats.org/officeDocument/2006/relationships/printerSettings"/>
<Relationship Id="rId2" Target="../drawings/drawing25.xml" Type="http://schemas.openxmlformats.org/officeDocument/2006/relationships/drawing"/>
<Relationship Id="rId3" Target="../drawings/vmlDrawing9.vml" Type="http://schemas.openxmlformats.org/officeDocument/2006/relationships/vmlDrawing"/>
<Relationship Id="rId4" Target="../comments8.xml" Type="http://schemas.openxmlformats.org/officeDocument/2006/relationships/comments"/>
</Relationships>

</file>

<file path=xl/worksheets/_rels/sheet18.xml.rels><?xml version="1.0" encoding="UTF-8" standalone="yes"?>
<Relationships xmlns="http://schemas.openxmlformats.org/package/2006/relationships">
<Relationship Id="rId1" Target="../printerSettings/printerSettings17.bin" Type="http://schemas.openxmlformats.org/officeDocument/2006/relationships/printerSettings"/>
<Relationship Id="rId2" Target="../drawings/drawing26.xml" Type="http://schemas.openxmlformats.org/officeDocument/2006/relationships/drawing"/>
<Relationship Id="rId3" Target="../drawings/vmlDrawing10.vml" Type="http://schemas.openxmlformats.org/officeDocument/2006/relationships/vmlDrawing"/>
<Relationship Id="rId4" Target="../comments9.xml" Type="http://schemas.openxmlformats.org/officeDocument/2006/relationships/comments"/>
</Relationships>

</file>

<file path=xl/worksheets/_rels/sheet19.xml.rels><?xml version="1.0" encoding="UTF-8" standalone="yes"?>
<Relationships xmlns="http://schemas.openxmlformats.org/package/2006/relationships">
<Relationship Id="rId1" Target="../printerSettings/printerSettings18.bin" Type="http://schemas.openxmlformats.org/officeDocument/2006/relationships/printerSettings"/>
<Relationship Id="rId2" Target="../drawings/drawing27.xml" Type="http://schemas.openxmlformats.org/officeDocument/2006/relationships/drawing"/>
<Relationship Id="rId3" Target="../drawings/vmlDrawing11.vml" Type="http://schemas.openxmlformats.org/officeDocument/2006/relationships/vmlDrawing"/>
<Relationship Id="rId4" Target="../comments10.xml" Type="http://schemas.openxmlformats.org/officeDocument/2006/relationships/comments"/>
</Relationships>

</file>

<file path=xl/worksheets/_rels/sheet20.xml.rels><?xml version="1.0" encoding="UTF-8" standalone="yes"?>
<Relationships xmlns="http://schemas.openxmlformats.org/package/2006/relationships">
<Relationship Id="rId1" Target="../printerSettings/printerSettings19.bin" Type="http://schemas.openxmlformats.org/officeDocument/2006/relationships/printerSettings"/>
</Relationships>

</file>

<file path=xl/worksheets/_rels/sheet21.xml.rels><?xml version="1.0" encoding="UTF-8" standalone="yes"?>
<Relationships xmlns="http://schemas.openxmlformats.org/package/2006/relationships">
<Relationship Id="rId1" Target="../printerSettings/printerSettings20.bin" Type="http://schemas.openxmlformats.org/officeDocument/2006/relationships/printerSettings"/>
<Relationship Id="rId2" Target="../drawings/drawing28.xml" Type="http://schemas.openxmlformats.org/officeDocument/2006/relationships/drawing"/>
<Relationship Id="rId3" Target="../drawings/vmlDrawing12.vml" Type="http://schemas.openxmlformats.org/officeDocument/2006/relationships/vmlDrawing"/>
<Relationship Id="rId4" Target="../comments11.xml" Type="http://schemas.openxmlformats.org/officeDocument/2006/relationships/comments"/>
</Relationships>

</file>

<file path=xl/worksheets/_rels/sheet22.xml.rels><?xml version="1.0" encoding="UTF-8" standalone="yes"?>
<Relationships xmlns="http://schemas.openxmlformats.org/package/2006/relationships">
<Relationship Id="rId1" Target="../printerSettings/printerSettings21.bin" Type="http://schemas.openxmlformats.org/officeDocument/2006/relationships/printerSettings"/>
<Relationship Id="rId2" Target="../drawings/drawing29.xml" Type="http://schemas.openxmlformats.org/officeDocument/2006/relationships/drawing"/>
<Relationship Id="rId3" Target="../drawings/vmlDrawing13.vml" Type="http://schemas.openxmlformats.org/officeDocument/2006/relationships/vmlDrawing"/>
<Relationship Id="rId4" Target="../comments12.xml" Type="http://schemas.openxmlformats.org/officeDocument/2006/relationships/comments"/>
</Relationships>

</file>

<file path=xl/worksheets/_rels/sheet23.xml.rels><?xml version="1.0" encoding="UTF-8" standalone="yes"?>
<Relationships xmlns="http://schemas.openxmlformats.org/package/2006/relationships">
<Relationship Id="rId1" Target="../printerSettings/printerSettings22.bin" Type="http://schemas.openxmlformats.org/officeDocument/2006/relationships/printerSettings"/>
</Relationships>

</file>

<file path=xl/worksheets/_rels/sheet24.xml.rels><?xml version="1.0" encoding="UTF-8" standalone="yes"?>
<Relationships xmlns="http://schemas.openxmlformats.org/package/2006/relationships">
<Relationship Id="rId1" Target="../printerSettings/printerSettings23.bin" Type="http://schemas.openxmlformats.org/officeDocument/2006/relationships/printerSettings"/>
<Relationship Id="rId2" Target="../drawings/drawing30.xml" Type="http://schemas.openxmlformats.org/officeDocument/2006/relationships/drawing"/>
</Relationships>

</file>

<file path=xl/worksheets/_rels/sheet25.xml.rels><?xml version="1.0" encoding="UTF-8" standalone="yes"?>
<Relationships xmlns="http://schemas.openxmlformats.org/package/2006/relationships">
<Relationship Id="rId1" Target="../printerSettings/printerSettings24.bin" Type="http://schemas.openxmlformats.org/officeDocument/2006/relationships/printerSettings"/>
<Relationship Id="rId2" Target="../drawings/drawing31.xml" Type="http://schemas.openxmlformats.org/officeDocument/2006/relationships/drawing"/>
</Relationships>

</file>

<file path=xl/worksheets/_rels/sheet26.xml.rels><?xml version="1.0" encoding="UTF-8" standalone="yes"?>
<Relationships xmlns="http://schemas.openxmlformats.org/package/2006/relationships">
<Relationship Id="rId1" Target="../printerSettings/printerSettings25.bin" Type="http://schemas.openxmlformats.org/officeDocument/2006/relationships/printerSettings"/>
<Relationship Id="rId2" Target="../drawings/drawing32.xml" Type="http://schemas.openxmlformats.org/officeDocument/2006/relationships/drawing"/>
</Relationships>

</file>

<file path=xl/worksheets/_rels/sheet27.xml.rels><?xml version="1.0" encoding="UTF-8" standalone="yes"?>
<Relationships xmlns="http://schemas.openxmlformats.org/package/2006/relationships">
<Relationship Id="rId1" Target="../printerSettings/printerSettings26.bin" Type="http://schemas.openxmlformats.org/officeDocument/2006/relationships/printerSettings"/>
</Relationships>

</file>

<file path=xl/worksheets/_rels/sheet28.xml.rels><?xml version="1.0" encoding="UTF-8" standalone="yes"?>
<Relationships xmlns="http://schemas.openxmlformats.org/package/2006/relationships">
<Relationship Id="rId1" Target="http://ir.saomartinho.ind.br/saomartinho/web/conteudo_en.asp?idioma=1&amp;conta=44&amp;tipo=25201" TargetMode="External" Type="http://schemas.openxmlformats.org/officeDocument/2006/relationships/hyperlink"/>
<Relationship Id="rId2" Target="../printerSettings/printerSettings27.bin" Type="http://schemas.openxmlformats.org/officeDocument/2006/relationships/printerSettings"/>
<Relationship Id="rId3" Target="../drawings/drawing33.xml" Type="http://schemas.openxmlformats.org/officeDocument/2006/relationships/drawing"/>
<Relationship Id="rId4" Target="../drawings/vmlDrawing14.vml" Type="http://schemas.openxmlformats.org/officeDocument/2006/relationships/vmlDrawing"/>
<Relationship Id="rId5" Target="../comments13.xml" Type="http://schemas.openxmlformats.org/officeDocument/2006/relationships/comments"/>
</Relationships>

</file>

<file path=xl/worksheets/_rels/sheet29.xml.rels><?xml version="1.0" encoding="UTF-8" standalone="yes"?>
<Relationships xmlns="http://schemas.openxmlformats.org/package/2006/relationships">
<Relationship Id="rId1" Target="../printerSettings/printerSettings28.bin" Type="http://schemas.openxmlformats.org/officeDocument/2006/relationships/printerSettings"/>
<Relationship Id="rId2" Target="../drawings/drawing34.xml" Type="http://schemas.openxmlformats.org/officeDocument/2006/relationships/drawing"/>
</Relationships>

</file>

<file path=xl/worksheets/_rels/sheet30.xml.rels><?xml version="1.0" encoding="UTF-8" standalone="yes"?>
<Relationships xmlns="http://schemas.openxmlformats.org/package/2006/relationships">
<Relationship Id="rId1" Target="../printerSettings/printerSettings29.bin" Type="http://schemas.openxmlformats.org/officeDocument/2006/relationships/printerSettings"/>
</Relationships>

</file>

<file path=xl/worksheets/_rels/sheet31.xml.rels><?xml version="1.0" encoding="UTF-8" standalone="yes"?>
<Relationships xmlns="http://schemas.openxmlformats.org/package/2006/relationships">
<Relationship Id="rId1" Target="../printerSettings/printerSettings30.bin" Type="http://schemas.openxmlformats.org/officeDocument/2006/relationships/printerSettings"/>
<Relationship Id="rId2" Target="../drawings/drawing35.xml" Type="http://schemas.openxmlformats.org/officeDocument/2006/relationships/drawing"/>
<Relationship Id="rId3" Target="../drawings/vmlDrawing15.vml" Type="http://schemas.openxmlformats.org/officeDocument/2006/relationships/vmlDrawing"/>
<Relationship Id="rId4" Target="../comments14.xml" Type="http://schemas.openxmlformats.org/officeDocument/2006/relationships/comments"/>
</Relationships>

</file>

<file path=xl/worksheets/_rels/sheet32.xml.rels><?xml version="1.0" encoding="UTF-8" standalone="yes"?>
<Relationships xmlns="http://schemas.openxmlformats.org/package/2006/relationships">
<Relationship Id="rId1" Target="../printerSettings/printerSettings31.bin" Type="http://schemas.openxmlformats.org/officeDocument/2006/relationships/printerSettings"/>
<Relationship Id="rId2" Target="../drawings/drawing36.xml" Type="http://schemas.openxmlformats.org/officeDocument/2006/relationships/drawing"/>
<Relationship Id="rId3" Target="../drawings/vmlDrawing16.vml" Type="http://schemas.openxmlformats.org/officeDocument/2006/relationships/vmlDrawing"/>
<Relationship Id="rId4" Target="../comments15.xml" Type="http://schemas.openxmlformats.org/officeDocument/2006/relationships/comments"/>
</Relationships>

</file>

<file path=xl/worksheets/_rels/sheet33.xml.rels><?xml version="1.0" encoding="UTF-8" standalone="yes"?>
<Relationships xmlns="http://schemas.openxmlformats.org/package/2006/relationships">
<Relationship Id="rId1" Target="../printerSettings/printerSettings32.bin" Type="http://schemas.openxmlformats.org/officeDocument/2006/relationships/printerSettings"/>
</Relationships>

</file>

<file path=xl/worksheets/_rels/sheet34.xml.rels><?xml version="1.0" encoding="UTF-8" standalone="yes"?>
<Relationships xmlns="http://schemas.openxmlformats.org/package/2006/relationships">
<Relationship Id="rId1" Target="../printerSettings/printerSettings33.bin" Type="http://schemas.openxmlformats.org/officeDocument/2006/relationships/printerSettings"/>
</Relationships>

</file>

<file path=xl/worksheets/_rels/sheet35.xml.rels><?xml version="1.0" encoding="UTF-8" standalone="yes"?>
<Relationships xmlns="http://schemas.openxmlformats.org/package/2006/relationships">
<Relationship Id="rId1" Target="../printerSettings/printerSettings34.bin" Type="http://schemas.openxmlformats.org/officeDocument/2006/relationships/printerSettings"/>
</Relationships>

</file>

<file path=xl/worksheets/_rels/sheet36.xml.rels><?xml version="1.0" encoding="UTF-8" standalone="yes"?>
<Relationships xmlns="http://schemas.openxmlformats.org/package/2006/relationships">
<Relationship Id="rId1" Target="../printerSettings/printerSettings35.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390"/>
  <sheetViews>
    <sheetView showGridLines="0" tabSelected="1" workbookViewId="0">
      <selection activeCell="Z1" sqref="Z1"/>
    </sheetView>
  </sheetViews>
  <sheetFormatPr defaultRowHeight="12.75"/>
  <cols>
    <col min="1" max="1" width="25.7109375" style="2590" customWidth="1"/>
    <col min="2" max="5" width="9.140625" style="2590"/>
    <col min="6" max="6" width="18.7109375" style="2590" customWidth="1"/>
    <col min="7" max="256" width="9.140625" style="2590"/>
    <col min="257" max="257" width="100.7109375" style="2590" customWidth="1"/>
    <col min="258" max="512" width="9.140625" style="2590"/>
    <col min="513" max="513" width="100.7109375" style="2590" customWidth="1"/>
    <col min="514" max="768" width="9.140625" style="2590"/>
    <col min="769" max="769" width="100.7109375" style="2590" customWidth="1"/>
    <col min="770" max="1024" width="9.140625" style="2590"/>
    <col min="1025" max="1025" width="100.7109375" style="2590" customWidth="1"/>
    <col min="1026" max="1280" width="9.140625" style="2590"/>
    <col min="1281" max="1281" width="100.7109375" style="2590" customWidth="1"/>
    <col min="1282" max="1536" width="9.140625" style="2590"/>
    <col min="1537" max="1537" width="100.7109375" style="2590" customWidth="1"/>
    <col min="1538" max="1792" width="9.140625" style="2590"/>
    <col min="1793" max="1793" width="100.7109375" style="2590" customWidth="1"/>
    <col min="1794" max="2048" width="9.140625" style="2590"/>
    <col min="2049" max="2049" width="100.7109375" style="2590" customWidth="1"/>
    <col min="2050" max="2304" width="9.140625" style="2590"/>
    <col min="2305" max="2305" width="100.7109375" style="2590" customWidth="1"/>
    <col min="2306" max="2560" width="9.140625" style="2590"/>
    <col min="2561" max="2561" width="100.7109375" style="2590" customWidth="1"/>
    <col min="2562" max="2816" width="9.140625" style="2590"/>
    <col min="2817" max="2817" width="100.7109375" style="2590" customWidth="1"/>
    <col min="2818" max="3072" width="9.140625" style="2590"/>
    <col min="3073" max="3073" width="100.7109375" style="2590" customWidth="1"/>
    <col min="3074" max="3328" width="9.140625" style="2590"/>
    <col min="3329" max="3329" width="100.7109375" style="2590" customWidth="1"/>
    <col min="3330" max="3584" width="9.140625" style="2590"/>
    <col min="3585" max="3585" width="100.7109375" style="2590" customWidth="1"/>
    <col min="3586" max="3840" width="9.140625" style="2590"/>
    <col min="3841" max="3841" width="100.7109375" style="2590" customWidth="1"/>
    <col min="3842" max="4096" width="9.140625" style="2590"/>
    <col min="4097" max="4097" width="100.7109375" style="2590" customWidth="1"/>
    <col min="4098" max="4352" width="9.140625" style="2590"/>
    <col min="4353" max="4353" width="100.7109375" style="2590" customWidth="1"/>
    <col min="4354" max="4608" width="9.140625" style="2590"/>
    <col min="4609" max="4609" width="100.7109375" style="2590" customWidth="1"/>
    <col min="4610" max="4864" width="9.140625" style="2590"/>
    <col min="4865" max="4865" width="100.7109375" style="2590" customWidth="1"/>
    <col min="4866" max="5120" width="9.140625" style="2590"/>
    <col min="5121" max="5121" width="100.7109375" style="2590" customWidth="1"/>
    <col min="5122" max="5376" width="9.140625" style="2590"/>
    <col min="5377" max="5377" width="100.7109375" style="2590" customWidth="1"/>
    <col min="5378" max="5632" width="9.140625" style="2590"/>
    <col min="5633" max="5633" width="100.7109375" style="2590" customWidth="1"/>
    <col min="5634" max="5888" width="9.140625" style="2590"/>
    <col min="5889" max="5889" width="100.7109375" style="2590" customWidth="1"/>
    <col min="5890" max="6144" width="9.140625" style="2590"/>
    <col min="6145" max="6145" width="100.7109375" style="2590" customWidth="1"/>
    <col min="6146" max="6400" width="9.140625" style="2590"/>
    <col min="6401" max="6401" width="100.7109375" style="2590" customWidth="1"/>
    <col min="6402" max="6656" width="9.140625" style="2590"/>
    <col min="6657" max="6657" width="100.7109375" style="2590" customWidth="1"/>
    <col min="6658" max="6912" width="9.140625" style="2590"/>
    <col min="6913" max="6913" width="100.7109375" style="2590" customWidth="1"/>
    <col min="6914" max="7168" width="9.140625" style="2590"/>
    <col min="7169" max="7169" width="100.7109375" style="2590" customWidth="1"/>
    <col min="7170" max="7424" width="9.140625" style="2590"/>
    <col min="7425" max="7425" width="100.7109375" style="2590" customWidth="1"/>
    <col min="7426" max="7680" width="9.140625" style="2590"/>
    <col min="7681" max="7681" width="100.7109375" style="2590" customWidth="1"/>
    <col min="7682" max="7936" width="9.140625" style="2590"/>
    <col min="7937" max="7937" width="100.7109375" style="2590" customWidth="1"/>
    <col min="7938" max="8192" width="9.140625" style="2590"/>
    <col min="8193" max="8193" width="100.7109375" style="2590" customWidth="1"/>
    <col min="8194" max="8448" width="9.140625" style="2590"/>
    <col min="8449" max="8449" width="100.7109375" style="2590" customWidth="1"/>
    <col min="8450" max="8704" width="9.140625" style="2590"/>
    <col min="8705" max="8705" width="100.7109375" style="2590" customWidth="1"/>
    <col min="8706" max="8960" width="9.140625" style="2590"/>
    <col min="8961" max="8961" width="100.7109375" style="2590" customWidth="1"/>
    <col min="8962" max="9216" width="9.140625" style="2590"/>
    <col min="9217" max="9217" width="100.7109375" style="2590" customWidth="1"/>
    <col min="9218" max="9472" width="9.140625" style="2590"/>
    <col min="9473" max="9473" width="100.7109375" style="2590" customWidth="1"/>
    <col min="9474" max="9728" width="9.140625" style="2590"/>
    <col min="9729" max="9729" width="100.7109375" style="2590" customWidth="1"/>
    <col min="9730" max="9984" width="9.140625" style="2590"/>
    <col min="9985" max="9985" width="100.7109375" style="2590" customWidth="1"/>
    <col min="9986" max="10240" width="9.140625" style="2590"/>
    <col min="10241" max="10241" width="100.7109375" style="2590" customWidth="1"/>
    <col min="10242" max="10496" width="9.140625" style="2590"/>
    <col min="10497" max="10497" width="100.7109375" style="2590" customWidth="1"/>
    <col min="10498" max="10752" width="9.140625" style="2590"/>
    <col min="10753" max="10753" width="100.7109375" style="2590" customWidth="1"/>
    <col min="10754" max="11008" width="9.140625" style="2590"/>
    <col min="11009" max="11009" width="100.7109375" style="2590" customWidth="1"/>
    <col min="11010" max="11264" width="9.140625" style="2590"/>
    <col min="11265" max="11265" width="100.7109375" style="2590" customWidth="1"/>
    <col min="11266" max="11520" width="9.140625" style="2590"/>
    <col min="11521" max="11521" width="100.7109375" style="2590" customWidth="1"/>
    <col min="11522" max="11776" width="9.140625" style="2590"/>
    <col min="11777" max="11777" width="100.7109375" style="2590" customWidth="1"/>
    <col min="11778" max="12032" width="9.140625" style="2590"/>
    <col min="12033" max="12033" width="100.7109375" style="2590" customWidth="1"/>
    <col min="12034" max="12288" width="9.140625" style="2590"/>
    <col min="12289" max="12289" width="100.7109375" style="2590" customWidth="1"/>
    <col min="12290" max="12544" width="9.140625" style="2590"/>
    <col min="12545" max="12545" width="100.7109375" style="2590" customWidth="1"/>
    <col min="12546" max="12800" width="9.140625" style="2590"/>
    <col min="12801" max="12801" width="100.7109375" style="2590" customWidth="1"/>
    <col min="12802" max="13056" width="9.140625" style="2590"/>
    <col min="13057" max="13057" width="100.7109375" style="2590" customWidth="1"/>
    <col min="13058" max="13312" width="9.140625" style="2590"/>
    <col min="13313" max="13313" width="100.7109375" style="2590" customWidth="1"/>
    <col min="13314" max="13568" width="9.140625" style="2590"/>
    <col min="13569" max="13569" width="100.7109375" style="2590" customWidth="1"/>
    <col min="13570" max="13824" width="9.140625" style="2590"/>
    <col min="13825" max="13825" width="100.7109375" style="2590" customWidth="1"/>
    <col min="13826" max="14080" width="9.140625" style="2590"/>
    <col min="14081" max="14081" width="100.7109375" style="2590" customWidth="1"/>
    <col min="14082" max="14336" width="9.140625" style="2590"/>
    <col min="14337" max="14337" width="100.7109375" style="2590" customWidth="1"/>
    <col min="14338" max="14592" width="9.140625" style="2590"/>
    <col min="14593" max="14593" width="100.7109375" style="2590" customWidth="1"/>
    <col min="14594" max="14848" width="9.140625" style="2590"/>
    <col min="14849" max="14849" width="100.7109375" style="2590" customWidth="1"/>
    <col min="14850" max="15104" width="9.140625" style="2590"/>
    <col min="15105" max="15105" width="100.7109375" style="2590" customWidth="1"/>
    <col min="15106" max="15360" width="9.140625" style="2590"/>
    <col min="15361" max="15361" width="100.7109375" style="2590" customWidth="1"/>
    <col min="15362" max="15616" width="9.140625" style="2590"/>
    <col min="15617" max="15617" width="100.7109375" style="2590" customWidth="1"/>
    <col min="15618" max="15872" width="9.140625" style="2590"/>
    <col min="15873" max="15873" width="100.7109375" style="2590" customWidth="1"/>
    <col min="15874" max="16128" width="9.140625" style="2590"/>
    <col min="16129" max="16129" width="100.7109375" style="2590" customWidth="1"/>
    <col min="16130" max="16384" width="9.140625" style="2590"/>
  </cols>
  <sheetData>
    <row r="1" spans="1:8" ht="30" customHeight="1">
      <c r="A1" s="2588"/>
      <c r="B1" s="2589"/>
      <c r="C1" s="2589"/>
      <c r="D1" s="2589"/>
      <c r="E1" s="2589"/>
      <c r="F1" s="2589"/>
      <c r="G1" s="2589"/>
      <c r="H1" s="2589"/>
    </row>
    <row r="2" spans="1:8" ht="14.25">
      <c r="A2" s="2591" t="s">
        <v>1801</v>
      </c>
      <c r="B2" s="2589"/>
      <c r="C2" s="2589"/>
      <c r="D2" s="2589"/>
      <c r="E2" s="2589"/>
      <c r="F2" s="2589"/>
      <c r="G2" s="2589"/>
      <c r="H2" s="2589"/>
    </row>
    <row r="3" spans="1:8" ht="14.25">
      <c r="A3" s="2591" t="s">
        <v>1802</v>
      </c>
      <c r="B3" s="2589"/>
      <c r="C3" s="2589"/>
      <c r="D3" s="2589"/>
      <c r="E3" s="2589"/>
      <c r="F3" s="2589"/>
      <c r="G3" s="2589"/>
      <c r="H3" s="2589"/>
    </row>
    <row r="4" spans="1:8" ht="14.25">
      <c r="A4" s="2591" t="s">
        <v>1803</v>
      </c>
      <c r="B4" s="2589"/>
      <c r="C4" s="2589"/>
      <c r="D4" s="2589"/>
      <c r="E4" s="2589"/>
      <c r="F4" s="2589"/>
      <c r="G4" s="2589"/>
      <c r="H4" s="2589"/>
    </row>
    <row r="5" spans="1:8" ht="14.25">
      <c r="A5" s="2591" t="s">
        <v>1804</v>
      </c>
      <c r="B5" s="2589"/>
      <c r="C5" s="2589"/>
      <c r="D5" s="2589"/>
      <c r="E5" s="2589"/>
      <c r="F5" s="2589"/>
      <c r="G5" s="2589"/>
      <c r="H5" s="2589"/>
    </row>
    <row r="6" spans="1:8" ht="14.25">
      <c r="A6" s="2591"/>
      <c r="B6" s="2589"/>
      <c r="C6" s="2589"/>
      <c r="D6" s="2589"/>
      <c r="E6" s="2589"/>
      <c r="F6" s="2589"/>
      <c r="G6" s="2589"/>
      <c r="H6" s="2589"/>
    </row>
    <row r="7" spans="1:8">
      <c r="A7" s="2588" t="s">
        <v>1805</v>
      </c>
      <c r="B7" s="2589"/>
      <c r="C7" s="2589"/>
      <c r="D7" s="2589"/>
      <c r="E7" s="2589"/>
      <c r="F7" s="2589"/>
      <c r="G7" s="2589"/>
      <c r="H7" s="2589"/>
    </row>
    <row r="8" spans="1:8">
      <c r="A8" s="2588" t="s">
        <v>1806</v>
      </c>
      <c r="B8" s="2589"/>
      <c r="C8" s="2589"/>
      <c r="D8" s="2589"/>
      <c r="E8" s="2589"/>
      <c r="F8" s="2589"/>
      <c r="G8" s="2589"/>
      <c r="H8" s="2589"/>
    </row>
    <row r="9" spans="1:8">
      <c r="A9" s="2588"/>
      <c r="B9" s="2589"/>
      <c r="C9" s="2589"/>
      <c r="D9" s="2589"/>
      <c r="E9" s="2589"/>
      <c r="F9" s="2589"/>
      <c r="G9" s="2589"/>
      <c r="H9" s="2589"/>
    </row>
    <row r="10" spans="1:8">
      <c r="A10" s="2592" t="s">
        <v>1807</v>
      </c>
      <c r="B10" s="2589"/>
      <c r="C10" s="2589"/>
      <c r="D10" s="2589"/>
      <c r="E10" s="2589"/>
      <c r="F10" s="2589"/>
      <c r="G10" s="2589"/>
      <c r="H10" s="2589"/>
    </row>
    <row r="11" spans="1:8">
      <c r="A11" s="2592" t="s">
        <v>1808</v>
      </c>
      <c r="B11" s="2589"/>
      <c r="C11" s="2589"/>
      <c r="D11" s="2589"/>
      <c r="E11" s="2589"/>
      <c r="F11" s="2589"/>
      <c r="G11" s="2589"/>
      <c r="H11" s="2589"/>
    </row>
    <row r="12" spans="1:8">
      <c r="A12" s="2592" t="s">
        <v>1809</v>
      </c>
      <c r="B12" s="2589"/>
      <c r="C12" s="2589"/>
      <c r="D12" s="2589"/>
      <c r="E12" s="2589"/>
      <c r="F12" s="2589"/>
      <c r="G12" s="2589"/>
      <c r="H12" s="2589"/>
    </row>
    <row r="13" spans="1:8">
      <c r="A13" s="2592" t="s">
        <v>1810</v>
      </c>
      <c r="B13" s="2589"/>
      <c r="C13" s="2589"/>
      <c r="D13" s="2589"/>
      <c r="E13" s="2589"/>
      <c r="F13" s="2589"/>
      <c r="G13" s="2589"/>
      <c r="H13" s="2589"/>
    </row>
    <row r="14" spans="1:8">
      <c r="A14" s="2592" t="s">
        <v>1811</v>
      </c>
      <c r="B14" s="2589"/>
      <c r="C14" s="2589"/>
      <c r="D14" s="2589"/>
      <c r="E14" s="2589"/>
      <c r="F14" s="2589"/>
      <c r="G14" s="2589"/>
      <c r="H14" s="2589"/>
    </row>
    <row r="15" spans="1:8">
      <c r="A15" s="2592" t="s">
        <v>1812</v>
      </c>
      <c r="B15" s="2589"/>
      <c r="C15" s="2589"/>
      <c r="D15" s="2589"/>
      <c r="E15" s="2589"/>
      <c r="F15" s="2589"/>
      <c r="G15" s="2589"/>
      <c r="H15" s="2589"/>
    </row>
    <row r="16" spans="1:8">
      <c r="A16" s="2592"/>
      <c r="B16" s="2589"/>
      <c r="C16" s="2589"/>
      <c r="D16" s="2589"/>
      <c r="E16" s="2589"/>
      <c r="F16" s="2589"/>
      <c r="G16" s="2589"/>
      <c r="H16" s="2589"/>
    </row>
    <row r="17" spans="1:8">
      <c r="A17" s="2592" t="s">
        <v>1798</v>
      </c>
      <c r="B17" s="2589"/>
      <c r="C17" s="2589"/>
      <c r="D17" s="2589"/>
      <c r="E17" s="2589"/>
      <c r="F17" s="2589"/>
      <c r="G17" s="2589"/>
      <c r="H17" s="2589"/>
    </row>
    <row r="18" spans="1:8">
      <c r="A18" s="2592"/>
      <c r="B18" s="2589"/>
      <c r="C18" s="2589"/>
      <c r="D18" s="2589"/>
      <c r="E18" s="2589"/>
      <c r="F18" s="2589"/>
      <c r="G18" s="2589"/>
      <c r="H18" s="2589"/>
    </row>
    <row r="19" spans="1:8">
      <c r="A19" s="2592" t="s">
        <v>1799</v>
      </c>
      <c r="B19" s="2589"/>
      <c r="C19" s="2589"/>
      <c r="D19" s="2589"/>
      <c r="E19" s="2589"/>
      <c r="F19" s="2589"/>
      <c r="G19" s="2589"/>
      <c r="H19" s="2589"/>
    </row>
    <row r="20" spans="1:8">
      <c r="A20" s="2588"/>
      <c r="B20" s="2589"/>
      <c r="C20" s="2589"/>
      <c r="D20" s="2589"/>
      <c r="E20" s="2589"/>
      <c r="F20" s="2589"/>
      <c r="G20" s="2589"/>
      <c r="H20" s="2589"/>
    </row>
    <row r="21" spans="1:8">
      <c r="A21" s="2593" t="s">
        <v>1800</v>
      </c>
      <c r="B21" s="2589"/>
      <c r="C21" s="2589"/>
      <c r="D21" s="2589"/>
      <c r="E21" s="2589"/>
      <c r="F21" s="2589"/>
      <c r="G21" s="2589"/>
      <c r="H21" s="2589"/>
    </row>
    <row r="22" spans="1:8">
      <c r="A22" s="2594"/>
      <c r="B22" s="2594"/>
      <c r="C22" s="2594"/>
      <c r="D22" s="2594"/>
      <c r="E22" s="2594"/>
      <c r="F22" s="2594"/>
      <c r="G22" s="2594"/>
      <c r="H22" s="2594"/>
    </row>
    <row r="23" spans="1:8">
      <c r="A23" s="2595" t="s">
        <v>2066</v>
      </c>
      <c r="B23" s="2594"/>
      <c r="C23" s="2594"/>
      <c r="D23" s="2594"/>
      <c r="E23" s="2594"/>
      <c r="F23" s="2594"/>
      <c r="G23" s="2594"/>
      <c r="H23" s="2594"/>
    </row>
    <row r="24" spans="1:8">
      <c r="A24" s="2595" t="s">
        <v>2067</v>
      </c>
      <c r="B24" s="2594"/>
      <c r="C24" s="2594"/>
      <c r="D24" s="2594"/>
      <c r="E24" s="2594"/>
      <c r="F24" s="2594"/>
      <c r="G24" s="2594"/>
      <c r="H24" s="2594"/>
    </row>
    <row r="25" spans="1:8">
      <c r="A25" s="2595" t="s">
        <v>2068</v>
      </c>
      <c r="B25" s="2594"/>
      <c r="C25" s="2594"/>
      <c r="D25" s="2594"/>
      <c r="E25" s="2594"/>
      <c r="F25" s="2594"/>
      <c r="G25" s="2594"/>
      <c r="H25" s="2594"/>
    </row>
    <row r="26" spans="1:8">
      <c r="A26" s="2595" t="s">
        <v>2069</v>
      </c>
      <c r="B26" s="2594"/>
      <c r="C26" s="2594"/>
      <c r="D26" s="2594"/>
      <c r="E26" s="2594"/>
      <c r="F26" s="2594"/>
      <c r="G26" s="2594"/>
      <c r="H26" s="2594"/>
    </row>
    <row r="27" spans="1:8">
      <c r="A27" s="2594"/>
      <c r="B27" s="2594"/>
      <c r="C27" s="2594"/>
      <c r="D27" s="2594"/>
      <c r="E27" s="2594"/>
      <c r="F27" s="2594"/>
      <c r="G27" s="2594"/>
      <c r="H27" s="2594"/>
    </row>
    <row r="28" spans="1:8">
      <c r="A28" s="2594"/>
      <c r="B28" s="2594"/>
      <c r="C28" s="2594"/>
      <c r="D28" s="2594"/>
      <c r="E28" s="2594"/>
      <c r="F28" s="2594"/>
      <c r="G28" s="2594"/>
      <c r="H28" s="2594"/>
    </row>
    <row r="29" spans="1:8">
      <c r="A29" s="2595" t="s">
        <v>2061</v>
      </c>
      <c r="B29" s="2594"/>
      <c r="C29" s="2594"/>
      <c r="D29" s="2594"/>
      <c r="E29" s="2594"/>
      <c r="F29" s="2594"/>
      <c r="G29" s="2594"/>
      <c r="H29" s="2594"/>
    </row>
    <row r="30" spans="1:8">
      <c r="A30" s="2595" t="s">
        <v>2062</v>
      </c>
      <c r="B30" s="2594"/>
      <c r="C30" s="2594"/>
      <c r="D30" s="2594"/>
      <c r="E30" s="2594"/>
      <c r="F30" s="2594"/>
      <c r="G30" s="2594"/>
      <c r="H30" s="2594"/>
    </row>
    <row r="31" spans="1:8">
      <c r="A31" s="2595" t="s">
        <v>2063</v>
      </c>
      <c r="B31" s="2594"/>
      <c r="C31" s="2594"/>
      <c r="D31" s="2594"/>
      <c r="E31" s="2594"/>
      <c r="F31" s="2594"/>
      <c r="G31" s="2594"/>
      <c r="H31" s="2594"/>
    </row>
    <row r="32" spans="1:8">
      <c r="A32" s="2595" t="s">
        <v>2064</v>
      </c>
      <c r="B32" s="2594"/>
      <c r="C32" s="2594"/>
      <c r="D32" s="2594"/>
      <c r="E32" s="2594"/>
      <c r="F32" s="2594"/>
      <c r="G32" s="2594"/>
      <c r="H32" s="2594"/>
    </row>
    <row r="33" spans="1:8">
      <c r="A33" s="2595" t="s">
        <v>2065</v>
      </c>
      <c r="B33" s="2594"/>
      <c r="C33" s="2594"/>
      <c r="D33" s="2594"/>
      <c r="E33" s="2594"/>
      <c r="F33" s="2594"/>
      <c r="G33" s="2594"/>
      <c r="H33" s="2594"/>
    </row>
    <row r="34" spans="1:8">
      <c r="A34" s="2594"/>
      <c r="B34" s="2594"/>
      <c r="C34" s="2594"/>
      <c r="D34" s="2594"/>
      <c r="E34" s="2594"/>
      <c r="F34" s="2594"/>
      <c r="G34" s="2594"/>
      <c r="H34" s="2594"/>
    </row>
    <row r="35" spans="1:8">
      <c r="A35" s="2595" t="s">
        <v>2057</v>
      </c>
      <c r="B35" s="2594"/>
      <c r="C35" s="2594"/>
      <c r="D35" s="2594"/>
      <c r="E35" s="2594"/>
      <c r="F35" s="2594"/>
      <c r="G35" s="2594"/>
      <c r="H35" s="2594"/>
    </row>
    <row r="36" spans="1:8">
      <c r="A36" s="2595" t="s">
        <v>2058</v>
      </c>
      <c r="B36" s="2594"/>
      <c r="C36" s="2594"/>
      <c r="D36" s="2594"/>
      <c r="E36" s="2594"/>
      <c r="F36" s="2594"/>
      <c r="G36" s="2594"/>
      <c r="H36" s="2594"/>
    </row>
    <row r="37" spans="1:8">
      <c r="A37" s="2595" t="s">
        <v>2059</v>
      </c>
      <c r="B37" s="2594"/>
      <c r="C37" s="2594"/>
      <c r="D37" s="2594"/>
      <c r="E37" s="2594"/>
      <c r="F37" s="2594"/>
      <c r="G37" s="2594"/>
      <c r="H37" s="2594"/>
    </row>
    <row r="38" spans="1:8">
      <c r="A38" s="2595" t="s">
        <v>2060</v>
      </c>
      <c r="B38" s="2594"/>
      <c r="C38" s="2594"/>
      <c r="D38" s="2594"/>
      <c r="E38" s="2594"/>
      <c r="F38" s="2594"/>
      <c r="G38" s="2594"/>
      <c r="H38" s="2594"/>
    </row>
    <row r="39" spans="1:8">
      <c r="A39" s="2594"/>
      <c r="B39" s="2594"/>
      <c r="C39" s="2594"/>
      <c r="D39" s="2594"/>
      <c r="E39" s="2594"/>
      <c r="F39" s="2594"/>
      <c r="G39" s="2594"/>
      <c r="H39" s="2594"/>
    </row>
    <row r="40" spans="1:8">
      <c r="A40" s="2595" t="s">
        <v>2051</v>
      </c>
      <c r="B40" s="2594"/>
      <c r="C40" s="2594"/>
      <c r="D40" s="2594"/>
      <c r="E40" s="2594"/>
      <c r="F40" s="2594"/>
      <c r="G40" s="2594"/>
      <c r="H40" s="2594"/>
    </row>
    <row r="41" spans="1:8">
      <c r="A41" s="2595" t="s">
        <v>2052</v>
      </c>
      <c r="B41" s="2594"/>
      <c r="C41" s="2594"/>
      <c r="D41" s="2594"/>
      <c r="E41" s="2594"/>
      <c r="F41" s="2594"/>
      <c r="G41" s="2594"/>
      <c r="H41" s="2594"/>
    </row>
    <row r="42" spans="1:8">
      <c r="A42" s="2595" t="s">
        <v>2053</v>
      </c>
      <c r="B42" s="2594"/>
      <c r="C42" s="2594"/>
      <c r="D42" s="2594"/>
      <c r="E42" s="2594"/>
      <c r="F42" s="2594"/>
      <c r="G42" s="2594"/>
      <c r="H42" s="2594"/>
    </row>
    <row r="43" spans="1:8">
      <c r="A43" s="2595" t="s">
        <v>2054</v>
      </c>
      <c r="B43" s="2594"/>
      <c r="C43" s="2594"/>
      <c r="D43" s="2594"/>
      <c r="E43" s="2594"/>
      <c r="F43" s="2594"/>
      <c r="G43" s="2594"/>
      <c r="H43" s="2594"/>
    </row>
    <row r="44" spans="1:8">
      <c r="A44" s="2595" t="s">
        <v>2055</v>
      </c>
      <c r="B44" s="2594"/>
      <c r="C44" s="2594"/>
      <c r="D44" s="2594"/>
      <c r="E44" s="2594"/>
      <c r="F44" s="2594"/>
      <c r="G44" s="2594"/>
      <c r="H44" s="2594"/>
    </row>
    <row r="45" spans="1:8">
      <c r="A45" s="2595" t="s">
        <v>2056</v>
      </c>
      <c r="B45" s="2594"/>
      <c r="C45" s="2594"/>
      <c r="D45" s="2594"/>
      <c r="E45" s="2594"/>
      <c r="F45" s="2594"/>
      <c r="G45" s="2594"/>
      <c r="H45" s="2594"/>
    </row>
    <row r="46" spans="1:8">
      <c r="A46" s="2594"/>
      <c r="B46" s="2594"/>
      <c r="C46" s="2594"/>
      <c r="D46" s="2594"/>
      <c r="E46" s="2594"/>
      <c r="F46" s="2594"/>
      <c r="G46" s="2594"/>
      <c r="H46" s="2594"/>
    </row>
    <row r="47" spans="1:8" ht="15.75">
      <c r="A47" s="2596" t="s">
        <v>700</v>
      </c>
      <c r="B47" s="2594"/>
      <c r="C47" s="2594"/>
      <c r="D47" s="2594"/>
      <c r="E47" s="2594"/>
      <c r="F47" s="2594"/>
      <c r="G47" s="2594"/>
      <c r="H47" s="2594"/>
    </row>
    <row r="48" spans="1:8">
      <c r="A48" s="2594"/>
      <c r="B48" s="2594"/>
      <c r="C48" s="2594"/>
      <c r="D48" s="2594"/>
      <c r="E48" s="2594"/>
      <c r="F48" s="2594"/>
      <c r="G48" s="2594"/>
      <c r="H48" s="2594"/>
    </row>
    <row r="49" spans="1:8">
      <c r="A49" s="2595" t="s">
        <v>2047</v>
      </c>
      <c r="B49" s="2594"/>
      <c r="C49" s="2594"/>
      <c r="D49" s="2594"/>
      <c r="E49" s="2594"/>
      <c r="F49" s="2594"/>
      <c r="G49" s="2594"/>
      <c r="H49" s="2594"/>
    </row>
    <row r="50" spans="1:8">
      <c r="A50" s="2595" t="s">
        <v>2048</v>
      </c>
      <c r="B50" s="2594"/>
      <c r="C50" s="2594"/>
      <c r="D50" s="2594"/>
      <c r="E50" s="2594"/>
      <c r="F50" s="2594"/>
      <c r="G50" s="2594"/>
      <c r="H50" s="2594"/>
    </row>
    <row r="51" spans="1:8">
      <c r="A51" s="2595" t="s">
        <v>2049</v>
      </c>
      <c r="B51" s="2594"/>
      <c r="C51" s="2594"/>
      <c r="D51" s="2594"/>
      <c r="E51" s="2594"/>
      <c r="F51" s="2594"/>
      <c r="G51" s="2594"/>
      <c r="H51" s="2594"/>
    </row>
    <row r="52" spans="1:8">
      <c r="A52" s="2595" t="s">
        <v>2050</v>
      </c>
      <c r="B52" s="2594"/>
      <c r="C52" s="2594"/>
      <c r="D52" s="2594"/>
      <c r="E52" s="2594"/>
      <c r="F52" s="2594"/>
      <c r="G52" s="2594"/>
      <c r="H52" s="2594"/>
    </row>
    <row r="53" spans="1:8">
      <c r="A53" s="2594"/>
      <c r="B53" s="2594"/>
      <c r="C53" s="2594"/>
      <c r="D53" s="2594"/>
      <c r="E53" s="2594"/>
      <c r="F53" s="2594"/>
      <c r="G53" s="2594"/>
      <c r="H53" s="2594"/>
    </row>
    <row r="54" spans="1:8">
      <c r="A54" s="2595" t="s">
        <v>702</v>
      </c>
      <c r="B54" s="2594"/>
      <c r="C54" s="2594"/>
      <c r="D54" s="2594"/>
      <c r="E54" s="2594"/>
      <c r="F54" s="2594"/>
      <c r="G54" s="2594"/>
      <c r="H54" s="2594"/>
    </row>
    <row r="55" spans="1:8">
      <c r="A55" s="2594"/>
      <c r="B55" s="2594"/>
      <c r="C55" s="2594"/>
      <c r="D55" s="2594"/>
      <c r="E55" s="2594"/>
      <c r="F55" s="2594"/>
      <c r="G55" s="2594"/>
      <c r="H55" s="2594"/>
    </row>
    <row r="56" spans="1:8" ht="15.75">
      <c r="A56" s="2596" t="s">
        <v>703</v>
      </c>
      <c r="B56" s="2594"/>
      <c r="C56" s="2594"/>
      <c r="D56" s="2594"/>
      <c r="E56" s="2594"/>
      <c r="F56" s="2594"/>
      <c r="G56" s="2594"/>
      <c r="H56" s="2594"/>
    </row>
    <row r="57" spans="1:8">
      <c r="A57" s="2594"/>
      <c r="B57" s="2594"/>
      <c r="C57" s="2594"/>
      <c r="D57" s="2594"/>
      <c r="E57" s="2594"/>
      <c r="F57" s="2594"/>
      <c r="G57" s="2594"/>
      <c r="H57" s="2594"/>
    </row>
    <row r="58" spans="1:8">
      <c r="A58" s="2595" t="s">
        <v>2045</v>
      </c>
      <c r="B58" s="2594"/>
      <c r="C58" s="2594"/>
      <c r="D58" s="2594"/>
      <c r="E58" s="2594"/>
      <c r="F58" s="2594"/>
      <c r="G58" s="2594"/>
      <c r="H58" s="2594"/>
    </row>
    <row r="59" spans="1:8">
      <c r="A59" s="2595" t="s">
        <v>2046</v>
      </c>
      <c r="B59" s="2594"/>
      <c r="C59" s="2594"/>
      <c r="D59" s="2594"/>
      <c r="E59" s="2594"/>
      <c r="F59" s="2594"/>
      <c r="G59" s="2594"/>
      <c r="H59" s="2594"/>
    </row>
    <row r="60" spans="1:8">
      <c r="A60" s="2594"/>
      <c r="B60" s="2594"/>
      <c r="C60" s="2594"/>
      <c r="D60" s="2594"/>
      <c r="E60" s="2594"/>
      <c r="F60" s="2594"/>
      <c r="G60" s="2594"/>
      <c r="H60" s="2594"/>
    </row>
    <row r="61" spans="1:8" ht="15.75">
      <c r="A61" s="2596" t="s">
        <v>705</v>
      </c>
      <c r="B61" s="2594"/>
      <c r="C61" s="2594"/>
      <c r="D61" s="2594"/>
      <c r="E61" s="2594"/>
      <c r="F61" s="2594"/>
      <c r="G61" s="2594"/>
      <c r="H61" s="2594"/>
    </row>
    <row r="62" spans="1:8">
      <c r="A62" s="2594"/>
      <c r="B62" s="2594"/>
      <c r="C62" s="2594"/>
      <c r="D62" s="2594"/>
      <c r="E62" s="2594"/>
      <c r="F62" s="2594"/>
      <c r="G62" s="2594"/>
      <c r="H62" s="2594"/>
    </row>
    <row r="63" spans="1:8">
      <c r="A63" s="2595" t="s">
        <v>2043</v>
      </c>
      <c r="B63" s="2594"/>
      <c r="C63" s="2594"/>
      <c r="D63" s="2594"/>
      <c r="E63" s="2594"/>
      <c r="F63" s="2594"/>
      <c r="G63" s="2594"/>
      <c r="H63" s="2594"/>
    </row>
    <row r="64" spans="1:8">
      <c r="A64" s="2595" t="s">
        <v>2044</v>
      </c>
      <c r="B64" s="2594"/>
      <c r="C64" s="2594"/>
      <c r="D64" s="2594"/>
      <c r="E64" s="2594"/>
      <c r="F64" s="2594"/>
      <c r="G64" s="2594"/>
      <c r="H64" s="2594"/>
    </row>
    <row r="65" spans="1:8">
      <c r="A65" s="2594"/>
      <c r="B65" s="2594"/>
      <c r="C65" s="2594"/>
      <c r="D65" s="2594"/>
      <c r="E65" s="2594"/>
      <c r="F65" s="2594"/>
      <c r="G65" s="2594"/>
      <c r="H65" s="2594"/>
    </row>
    <row r="66" spans="1:8">
      <c r="A66" s="2595" t="s">
        <v>2041</v>
      </c>
      <c r="B66" s="2594"/>
      <c r="C66" s="2594"/>
      <c r="D66" s="2594"/>
      <c r="E66" s="2594"/>
      <c r="F66" s="2594"/>
      <c r="G66" s="2594"/>
      <c r="H66" s="2594"/>
    </row>
    <row r="67" spans="1:8">
      <c r="A67" s="2595" t="s">
        <v>2042</v>
      </c>
      <c r="B67" s="2594"/>
      <c r="C67" s="2594"/>
      <c r="D67" s="2594"/>
      <c r="E67" s="2594"/>
      <c r="F67" s="2594"/>
      <c r="G67" s="2594"/>
      <c r="H67" s="2594"/>
    </row>
    <row r="68" spans="1:8">
      <c r="A68" s="2594"/>
      <c r="B68" s="2594"/>
      <c r="C68" s="2594"/>
      <c r="D68" s="2594"/>
      <c r="E68" s="2594"/>
      <c r="F68" s="2594"/>
      <c r="G68" s="2594"/>
      <c r="H68" s="2594"/>
    </row>
    <row r="69" spans="1:8">
      <c r="A69" s="2595" t="s">
        <v>2039</v>
      </c>
      <c r="B69" s="2594"/>
      <c r="C69" s="2594"/>
      <c r="D69" s="2594"/>
      <c r="E69" s="2594"/>
      <c r="F69" s="2594"/>
      <c r="G69" s="2594"/>
      <c r="H69" s="2594"/>
    </row>
    <row r="70" spans="1:8">
      <c r="A70" s="2595" t="s">
        <v>2040</v>
      </c>
      <c r="B70" s="2594"/>
      <c r="C70" s="2594"/>
      <c r="D70" s="2594"/>
      <c r="E70" s="2594"/>
      <c r="F70" s="2594"/>
      <c r="G70" s="2594"/>
      <c r="H70" s="2594"/>
    </row>
    <row r="71" spans="1:8">
      <c r="A71" s="2594"/>
      <c r="B71" s="2594"/>
      <c r="C71" s="2594"/>
      <c r="D71" s="2594"/>
      <c r="E71" s="2594"/>
      <c r="F71" s="2594"/>
      <c r="G71" s="2594"/>
      <c r="H71" s="2594"/>
    </row>
    <row r="72" spans="1:8">
      <c r="A72" s="2595" t="s">
        <v>2036</v>
      </c>
      <c r="B72" s="2594"/>
      <c r="C72" s="2594"/>
      <c r="D72" s="2594"/>
      <c r="E72" s="2594"/>
      <c r="F72" s="2594"/>
      <c r="G72" s="2594"/>
      <c r="H72" s="2594"/>
    </row>
    <row r="73" spans="1:8">
      <c r="A73" s="2595" t="s">
        <v>2037</v>
      </c>
      <c r="B73" s="2594"/>
      <c r="C73" s="2594"/>
      <c r="D73" s="2594"/>
      <c r="E73" s="2594"/>
      <c r="F73" s="2594"/>
      <c r="G73" s="2594"/>
      <c r="H73" s="2594"/>
    </row>
    <row r="74" spans="1:8">
      <c r="A74" s="2595" t="s">
        <v>2038</v>
      </c>
      <c r="B74" s="2594"/>
      <c r="C74" s="2594"/>
      <c r="D74" s="2594"/>
      <c r="E74" s="2594"/>
      <c r="F74" s="2594"/>
      <c r="G74" s="2594"/>
      <c r="H74" s="2594"/>
    </row>
    <row r="75" spans="1:8">
      <c r="A75" s="2594"/>
      <c r="B75" s="2594"/>
      <c r="C75" s="2594"/>
      <c r="D75" s="2594"/>
      <c r="E75" s="2594"/>
      <c r="F75" s="2594"/>
      <c r="G75" s="2594"/>
      <c r="H75" s="2594"/>
    </row>
    <row r="76" spans="1:8">
      <c r="A76" s="2595" t="s">
        <v>2031</v>
      </c>
      <c r="B76" s="2594"/>
      <c r="C76" s="2594"/>
      <c r="D76" s="2594"/>
      <c r="E76" s="2594"/>
      <c r="F76" s="2594"/>
      <c r="G76" s="2594"/>
      <c r="H76" s="2594"/>
    </row>
    <row r="77" spans="1:8">
      <c r="A77" s="2595" t="s">
        <v>2032</v>
      </c>
      <c r="B77" s="2594"/>
      <c r="C77" s="2594"/>
      <c r="D77" s="2594"/>
      <c r="E77" s="2594"/>
      <c r="F77" s="2594"/>
      <c r="G77" s="2594"/>
      <c r="H77" s="2594"/>
    </row>
    <row r="78" spans="1:8">
      <c r="A78" s="2595" t="s">
        <v>2033</v>
      </c>
      <c r="B78" s="2594"/>
      <c r="C78" s="2594"/>
      <c r="D78" s="2594"/>
      <c r="E78" s="2594"/>
      <c r="F78" s="2594"/>
      <c r="G78" s="2594"/>
      <c r="H78" s="2594"/>
    </row>
    <row r="79" spans="1:8">
      <c r="A79" s="2595" t="s">
        <v>2034</v>
      </c>
      <c r="B79" s="2594"/>
      <c r="C79" s="2594"/>
      <c r="D79" s="2594"/>
      <c r="E79" s="2594"/>
      <c r="F79" s="2594"/>
      <c r="G79" s="2594"/>
      <c r="H79" s="2594"/>
    </row>
    <row r="80" spans="1:8">
      <c r="A80" s="2595" t="s">
        <v>2035</v>
      </c>
      <c r="B80" s="2594"/>
      <c r="C80" s="2594"/>
      <c r="D80" s="2594"/>
      <c r="E80" s="2594"/>
      <c r="F80" s="2594"/>
      <c r="G80" s="2594"/>
      <c r="H80" s="2594"/>
    </row>
    <row r="81" spans="1:8">
      <c r="A81" s="2595" t="s">
        <v>1917</v>
      </c>
      <c r="B81" s="2594"/>
      <c r="C81" s="2594"/>
      <c r="D81" s="2594"/>
      <c r="E81" s="2594"/>
      <c r="F81" s="2594"/>
      <c r="G81" s="2594"/>
      <c r="H81" s="2594"/>
    </row>
    <row r="82" spans="1:8">
      <c r="A82" s="2594"/>
      <c r="B82" s="2594"/>
      <c r="C82" s="2594"/>
      <c r="D82" s="2594"/>
      <c r="E82" s="2594"/>
      <c r="F82" s="2594"/>
      <c r="G82" s="2594"/>
      <c r="H82" s="2594"/>
    </row>
    <row r="83" spans="1:8">
      <c r="A83" s="2595" t="s">
        <v>2024</v>
      </c>
      <c r="B83" s="2594"/>
      <c r="C83" s="2594"/>
      <c r="D83" s="2594"/>
      <c r="E83" s="2594"/>
      <c r="F83" s="2594"/>
      <c r="G83" s="2594"/>
      <c r="H83" s="2594"/>
    </row>
    <row r="84" spans="1:8">
      <c r="A84" s="2595" t="s">
        <v>2025</v>
      </c>
      <c r="B84" s="2594"/>
      <c r="C84" s="2594"/>
      <c r="D84" s="2594"/>
      <c r="E84" s="2594"/>
      <c r="F84" s="2594"/>
      <c r="G84" s="2594"/>
      <c r="H84" s="2594"/>
    </row>
    <row r="85" spans="1:8">
      <c r="A85" s="2595" t="s">
        <v>2026</v>
      </c>
      <c r="B85" s="2594"/>
      <c r="C85" s="2594"/>
      <c r="D85" s="2594"/>
      <c r="E85" s="2594"/>
      <c r="F85" s="2594"/>
      <c r="G85" s="2594"/>
      <c r="H85" s="2594"/>
    </row>
    <row r="86" spans="1:8">
      <c r="A86" s="2595" t="s">
        <v>2027</v>
      </c>
      <c r="B86" s="2594"/>
      <c r="C86" s="2594"/>
      <c r="D86" s="2594"/>
      <c r="E86" s="2594"/>
      <c r="F86" s="2594"/>
      <c r="G86" s="2594"/>
      <c r="H86" s="2594"/>
    </row>
    <row r="87" spans="1:8">
      <c r="A87" s="2595" t="s">
        <v>2028</v>
      </c>
      <c r="B87" s="2594"/>
      <c r="C87" s="2594"/>
      <c r="D87" s="2594"/>
      <c r="E87" s="2594"/>
      <c r="F87" s="2594"/>
      <c r="G87" s="2594"/>
      <c r="H87" s="2594"/>
    </row>
    <row r="88" spans="1:8">
      <c r="A88" s="2595" t="s">
        <v>2029</v>
      </c>
      <c r="B88" s="2594"/>
      <c r="C88" s="2594"/>
      <c r="D88" s="2594"/>
      <c r="E88" s="2594"/>
      <c r="F88" s="2594"/>
      <c r="G88" s="2594"/>
      <c r="H88" s="2594"/>
    </row>
    <row r="89" spans="1:8">
      <c r="A89" s="2595" t="s">
        <v>2030</v>
      </c>
      <c r="B89" s="2594"/>
      <c r="C89" s="2594"/>
      <c r="D89" s="2594"/>
      <c r="E89" s="2594"/>
      <c r="F89" s="2594"/>
      <c r="G89" s="2594"/>
      <c r="H89" s="2594"/>
    </row>
    <row r="90" spans="1:8">
      <c r="A90" s="2594"/>
      <c r="B90" s="2594"/>
      <c r="C90" s="2594"/>
      <c r="D90" s="2594"/>
      <c r="E90" s="2594"/>
      <c r="F90" s="2594"/>
      <c r="G90" s="2594"/>
      <c r="H90" s="2594"/>
    </row>
    <row r="91" spans="1:8">
      <c r="A91" s="2595" t="s">
        <v>2022</v>
      </c>
      <c r="B91" s="2594"/>
      <c r="C91" s="2594"/>
      <c r="D91" s="2594"/>
      <c r="E91" s="2594"/>
      <c r="F91" s="2594"/>
      <c r="G91" s="2594"/>
      <c r="H91" s="2594"/>
    </row>
    <row r="92" spans="1:8">
      <c r="A92" s="2595" t="s">
        <v>2023</v>
      </c>
      <c r="B92" s="2594"/>
      <c r="C92" s="2594"/>
      <c r="D92" s="2594"/>
      <c r="E92" s="2594"/>
      <c r="F92" s="2594"/>
      <c r="G92" s="2594"/>
      <c r="H92" s="2594"/>
    </row>
    <row r="93" spans="1:8">
      <c r="A93" s="2594"/>
      <c r="B93" s="2594"/>
      <c r="C93" s="2594"/>
      <c r="D93" s="2594"/>
      <c r="E93" s="2594"/>
      <c r="F93" s="2594"/>
      <c r="G93" s="2594"/>
      <c r="H93" s="2594"/>
    </row>
    <row r="94" spans="1:8" ht="15.75">
      <c r="A94" s="2596" t="s">
        <v>711</v>
      </c>
      <c r="B94" s="2594"/>
      <c r="C94" s="2594"/>
      <c r="D94" s="2594"/>
      <c r="E94" s="2594"/>
      <c r="F94" s="2594"/>
      <c r="G94" s="2594"/>
      <c r="H94" s="2594"/>
    </row>
    <row r="95" spans="1:8">
      <c r="A95" s="2594"/>
      <c r="B95" s="2594"/>
      <c r="C95" s="2594"/>
      <c r="D95" s="2594"/>
      <c r="E95" s="2594"/>
      <c r="F95" s="2594"/>
      <c r="G95" s="2594"/>
      <c r="H95" s="2594"/>
    </row>
    <row r="96" spans="1:8">
      <c r="A96" s="2595" t="s">
        <v>2013</v>
      </c>
      <c r="B96" s="2594"/>
      <c r="C96" s="2594"/>
      <c r="D96" s="2594"/>
      <c r="E96" s="2594"/>
      <c r="F96" s="2594"/>
      <c r="G96" s="2594"/>
      <c r="H96" s="2594"/>
    </row>
    <row r="97" spans="1:8">
      <c r="A97" s="2595" t="s">
        <v>2014</v>
      </c>
      <c r="B97" s="2594"/>
      <c r="C97" s="2594"/>
      <c r="D97" s="2594"/>
      <c r="E97" s="2594"/>
      <c r="F97" s="2594"/>
      <c r="G97" s="2594"/>
      <c r="H97" s="2594"/>
    </row>
    <row r="98" spans="1:8">
      <c r="A98" s="2595" t="s">
        <v>2015</v>
      </c>
      <c r="B98" s="2594"/>
      <c r="C98" s="2594"/>
      <c r="D98" s="2594"/>
      <c r="E98" s="2594"/>
      <c r="F98" s="2594"/>
      <c r="G98" s="2594"/>
      <c r="H98" s="2594"/>
    </row>
    <row r="99" spans="1:8">
      <c r="A99" s="2595" t="s">
        <v>2016</v>
      </c>
      <c r="B99" s="2594"/>
      <c r="C99" s="2594"/>
      <c r="D99" s="2594"/>
      <c r="E99" s="2594"/>
      <c r="F99" s="2594"/>
      <c r="G99" s="2594"/>
      <c r="H99" s="2594"/>
    </row>
    <row r="100" spans="1:8">
      <c r="A100" s="2595" t="s">
        <v>2017</v>
      </c>
      <c r="B100" s="2594"/>
      <c r="C100" s="2594"/>
      <c r="D100" s="2594"/>
      <c r="E100" s="2594"/>
      <c r="F100" s="2594"/>
      <c r="G100" s="2594"/>
      <c r="H100" s="2594"/>
    </row>
    <row r="101" spans="1:8">
      <c r="A101" s="2595" t="s">
        <v>2018</v>
      </c>
      <c r="B101" s="2594"/>
      <c r="C101" s="2594"/>
      <c r="D101" s="2594"/>
      <c r="E101" s="2594"/>
      <c r="F101" s="2594"/>
      <c r="G101" s="2594"/>
      <c r="H101" s="2594"/>
    </row>
    <row r="102" spans="1:8">
      <c r="A102" s="2595" t="s">
        <v>2019</v>
      </c>
      <c r="B102" s="2594"/>
      <c r="C102" s="2594"/>
      <c r="D102" s="2594"/>
      <c r="E102" s="2594"/>
      <c r="F102" s="2594"/>
      <c r="G102" s="2594"/>
      <c r="H102" s="2594"/>
    </row>
    <row r="103" spans="1:8">
      <c r="A103" s="2595" t="s">
        <v>2020</v>
      </c>
      <c r="B103" s="2594"/>
      <c r="C103" s="2594"/>
      <c r="D103" s="2594"/>
      <c r="E103" s="2594"/>
      <c r="F103" s="2594"/>
      <c r="G103" s="2594"/>
      <c r="H103" s="2594"/>
    </row>
    <row r="104" spans="1:8">
      <c r="A104" s="2595" t="s">
        <v>2021</v>
      </c>
      <c r="B104" s="2594"/>
      <c r="C104" s="2594"/>
      <c r="D104" s="2594"/>
      <c r="E104" s="2594"/>
      <c r="F104" s="2594"/>
      <c r="G104" s="2594"/>
      <c r="H104" s="2594"/>
    </row>
    <row r="105" spans="1:8">
      <c r="A105" s="2594"/>
      <c r="B105" s="2594"/>
      <c r="C105" s="2594"/>
      <c r="D105" s="2594"/>
      <c r="E105" s="2594"/>
      <c r="F105" s="2594"/>
      <c r="G105" s="2594"/>
      <c r="H105" s="2594"/>
    </row>
    <row r="106" spans="1:8" ht="15.75">
      <c r="A106" s="2597" t="s">
        <v>713</v>
      </c>
      <c r="B106" s="2597"/>
      <c r="C106" s="2597"/>
      <c r="D106" s="2597"/>
      <c r="E106" s="2597"/>
      <c r="F106" s="2597"/>
      <c r="G106" s="2597"/>
      <c r="H106" s="2597"/>
    </row>
    <row r="107" spans="1:8">
      <c r="A107" s="2598" t="s">
        <v>1790</v>
      </c>
      <c r="B107" s="2598"/>
      <c r="C107" s="2598"/>
      <c r="D107" s="2598"/>
      <c r="E107" s="2598"/>
      <c r="F107" s="2598"/>
      <c r="G107" s="2598"/>
      <c r="H107" s="2598"/>
    </row>
    <row r="108" spans="1:8">
      <c r="A108" s="2599"/>
      <c r="B108" s="2599"/>
      <c r="C108" s="2599"/>
      <c r="D108" s="2599"/>
      <c r="E108" s="2599"/>
      <c r="F108" s="2599"/>
      <c r="G108" s="2599"/>
      <c r="H108" s="2599"/>
    </row>
    <row r="109" spans="1:8">
      <c r="A109" s="2598" t="s">
        <v>2011</v>
      </c>
      <c r="B109" s="2598"/>
      <c r="C109" s="2598"/>
      <c r="D109" s="2598"/>
      <c r="E109" s="2598"/>
      <c r="F109" s="2598"/>
      <c r="G109" s="2598"/>
      <c r="H109" s="2598"/>
    </row>
    <row r="110" spans="1:8">
      <c r="A110" s="2595" t="s">
        <v>2012</v>
      </c>
      <c r="B110" s="2595"/>
      <c r="C110" s="2595"/>
      <c r="D110" s="2595"/>
      <c r="E110" s="2595"/>
      <c r="F110" s="2595"/>
      <c r="G110" s="2595"/>
      <c r="H110" s="2595"/>
    </row>
    <row r="111" spans="1:8">
      <c r="A111" s="2599"/>
      <c r="B111" s="2599"/>
      <c r="C111" s="2599"/>
      <c r="D111" s="2599"/>
      <c r="E111" s="2599"/>
      <c r="F111" s="2599"/>
      <c r="G111" s="2599"/>
      <c r="H111" s="2599"/>
    </row>
    <row r="112" spans="1:8">
      <c r="A112" s="2598" t="s">
        <v>2004</v>
      </c>
      <c r="B112" s="2598"/>
      <c r="C112" s="2598"/>
      <c r="D112" s="2598"/>
      <c r="E112" s="2598"/>
      <c r="F112" s="2598"/>
      <c r="G112" s="2598"/>
      <c r="H112" s="2598"/>
    </row>
    <row r="113" spans="1:8">
      <c r="A113" s="2595" t="s">
        <v>2005</v>
      </c>
      <c r="B113" s="2595"/>
      <c r="C113" s="2595"/>
      <c r="D113" s="2595"/>
      <c r="E113" s="2595"/>
      <c r="F113" s="2595"/>
      <c r="G113" s="2595"/>
      <c r="H113" s="2595"/>
    </row>
    <row r="114" spans="1:8">
      <c r="A114" s="2595" t="s">
        <v>2006</v>
      </c>
      <c r="B114" s="2595"/>
      <c r="C114" s="2595"/>
      <c r="D114" s="2595"/>
      <c r="E114" s="2595"/>
      <c r="F114" s="2595"/>
      <c r="G114" s="2595"/>
      <c r="H114" s="2595"/>
    </row>
    <row r="115" spans="1:8">
      <c r="A115" s="2595" t="s">
        <v>2007</v>
      </c>
      <c r="B115" s="2595"/>
      <c r="C115" s="2595"/>
      <c r="D115" s="2595"/>
      <c r="E115" s="2595"/>
      <c r="F115" s="2595"/>
      <c r="G115" s="2595"/>
      <c r="H115" s="2595"/>
    </row>
    <row r="116" spans="1:8">
      <c r="A116" s="2595" t="s">
        <v>2008</v>
      </c>
      <c r="B116" s="2595"/>
      <c r="C116" s="2595"/>
      <c r="D116" s="2595"/>
      <c r="E116" s="2595"/>
      <c r="F116" s="2595"/>
      <c r="G116" s="2595"/>
      <c r="H116" s="2595"/>
    </row>
    <row r="117" spans="1:8">
      <c r="A117" s="2595" t="s">
        <v>2009</v>
      </c>
      <c r="B117" s="2595"/>
      <c r="C117" s="2595"/>
      <c r="D117" s="2595"/>
      <c r="E117" s="2595"/>
      <c r="F117" s="2595"/>
      <c r="G117" s="2595"/>
      <c r="H117" s="2595"/>
    </row>
    <row r="118" spans="1:8">
      <c r="A118" s="2595" t="s">
        <v>2010</v>
      </c>
      <c r="B118" s="2595"/>
      <c r="C118" s="2595"/>
      <c r="D118" s="2595"/>
      <c r="E118" s="2595"/>
      <c r="F118" s="2595"/>
      <c r="G118" s="2595"/>
      <c r="H118" s="2595"/>
    </row>
    <row r="119" spans="1:8">
      <c r="A119" s="2600"/>
      <c r="B119" s="2600"/>
      <c r="C119" s="2600"/>
      <c r="D119" s="2600"/>
      <c r="E119" s="2600"/>
      <c r="F119" s="2600"/>
      <c r="G119" s="2600"/>
      <c r="H119" s="2600"/>
    </row>
    <row r="120" spans="1:8">
      <c r="A120" s="2601"/>
      <c r="B120" s="2602" t="s">
        <v>715</v>
      </c>
      <c r="C120" s="2603"/>
      <c r="D120" s="2602" t="s">
        <v>716</v>
      </c>
      <c r="E120" s="2604"/>
      <c r="F120" s="2603"/>
      <c r="G120" s="2602" t="s">
        <v>1788</v>
      </c>
      <c r="H120" s="2603"/>
    </row>
    <row r="121" spans="1:8">
      <c r="A121" s="2601" t="s">
        <v>717</v>
      </c>
      <c r="B121" s="2601" t="s">
        <v>154</v>
      </c>
      <c r="C121" s="2601" t="s">
        <v>718</v>
      </c>
      <c r="D121" s="2601" t="s">
        <v>154</v>
      </c>
      <c r="E121" s="2601" t="s">
        <v>719</v>
      </c>
      <c r="F121" s="2601" t="s">
        <v>720</v>
      </c>
      <c r="G121" s="2601" t="s">
        <v>154</v>
      </c>
      <c r="H121" s="2601" t="s">
        <v>1787</v>
      </c>
    </row>
    <row r="122" spans="1:8">
      <c r="A122" s="2601" t="s">
        <v>721</v>
      </c>
      <c r="B122" s="2601">
        <v>1162</v>
      </c>
      <c r="C122" s="2605">
        <v>0.36</v>
      </c>
      <c r="D122" s="2601">
        <v>304</v>
      </c>
      <c r="E122" s="2605">
        <v>0.4</v>
      </c>
      <c r="F122" s="2605">
        <v>0.26</v>
      </c>
      <c r="G122" s="2601">
        <v>560</v>
      </c>
      <c r="H122" s="2605">
        <v>0.37</v>
      </c>
    </row>
    <row r="123" spans="1:8">
      <c r="A123" s="2601" t="s">
        <v>722</v>
      </c>
      <c r="B123" s="2601">
        <v>1420</v>
      </c>
      <c r="C123" s="2605">
        <v>0.44</v>
      </c>
      <c r="D123" s="2601">
        <v>363</v>
      </c>
      <c r="E123" s="2605">
        <v>0.48</v>
      </c>
      <c r="F123" s="2605">
        <v>0.26</v>
      </c>
      <c r="G123" s="2601">
        <v>697</v>
      </c>
      <c r="H123" s="2605">
        <v>0.46</v>
      </c>
    </row>
    <row r="124" spans="1:8">
      <c r="A124" s="2601" t="s">
        <v>723</v>
      </c>
      <c r="B124" s="2601">
        <v>58</v>
      </c>
      <c r="C124" s="2605">
        <v>0.02</v>
      </c>
      <c r="D124" s="2601">
        <v>6</v>
      </c>
      <c r="E124" s="2605">
        <v>0.01</v>
      </c>
      <c r="F124" s="2605">
        <v>0.1</v>
      </c>
      <c r="G124" s="2601">
        <v>9</v>
      </c>
      <c r="H124" s="2605">
        <v>0.01</v>
      </c>
    </row>
    <row r="125" spans="1:8">
      <c r="A125" s="2601" t="s">
        <v>724</v>
      </c>
      <c r="B125" s="2601">
        <v>612</v>
      </c>
      <c r="C125" s="2605">
        <v>0.19</v>
      </c>
      <c r="D125" s="2601">
        <v>91</v>
      </c>
      <c r="E125" s="2605">
        <v>0.12</v>
      </c>
      <c r="F125" s="2605">
        <v>0.15</v>
      </c>
      <c r="G125" s="2601">
        <v>242</v>
      </c>
      <c r="H125" s="2605">
        <v>0.16</v>
      </c>
    </row>
    <row r="126" spans="1:8">
      <c r="A126" s="2601" t="s">
        <v>138</v>
      </c>
      <c r="B126" s="2606">
        <v>3252</v>
      </c>
      <c r="C126" s="2601"/>
      <c r="D126" s="2601">
        <v>764</v>
      </c>
      <c r="E126" s="2601"/>
      <c r="F126" s="2601"/>
      <c r="G126" s="2601">
        <v>1508</v>
      </c>
      <c r="H126" s="2601"/>
    </row>
    <row r="127" spans="1:8">
      <c r="A127" s="2607"/>
      <c r="B127" s="2607"/>
      <c r="C127" s="2607"/>
      <c r="D127" s="2607"/>
      <c r="E127" s="2607"/>
      <c r="F127" s="2607"/>
      <c r="G127" s="2607"/>
      <c r="H127" s="2607"/>
    </row>
    <row r="128" spans="1:8">
      <c r="A128" s="2598" t="s">
        <v>2000</v>
      </c>
      <c r="B128" s="2598"/>
      <c r="C128" s="2598"/>
      <c r="D128" s="2598"/>
      <c r="E128" s="2598"/>
      <c r="F128" s="2598"/>
      <c r="G128" s="2598"/>
      <c r="H128" s="2598"/>
    </row>
    <row r="129" spans="1:8">
      <c r="A129" s="2595" t="s">
        <v>2001</v>
      </c>
      <c r="B129" s="2595"/>
      <c r="C129" s="2595"/>
      <c r="D129" s="2595"/>
      <c r="E129" s="2595"/>
      <c r="F129" s="2595"/>
      <c r="G129" s="2595"/>
      <c r="H129" s="2595"/>
    </row>
    <row r="130" spans="1:8">
      <c r="A130" s="2595" t="s">
        <v>2002</v>
      </c>
      <c r="B130" s="2595"/>
      <c r="C130" s="2595"/>
      <c r="D130" s="2595"/>
      <c r="E130" s="2595"/>
      <c r="F130" s="2595"/>
      <c r="G130" s="2595"/>
      <c r="H130" s="2595"/>
    </row>
    <row r="131" spans="1:8">
      <c r="A131" s="2595" t="s">
        <v>2003</v>
      </c>
      <c r="B131" s="2595"/>
      <c r="C131" s="2595"/>
      <c r="D131" s="2595"/>
      <c r="E131" s="2595"/>
      <c r="F131" s="2595"/>
      <c r="G131" s="2595"/>
      <c r="H131" s="2595"/>
    </row>
    <row r="132" spans="1:8">
      <c r="A132" s="2594"/>
      <c r="B132" s="2594"/>
      <c r="C132" s="2594"/>
      <c r="D132" s="2594"/>
      <c r="E132" s="2594"/>
      <c r="F132" s="2594"/>
      <c r="G132" s="2594"/>
      <c r="H132" s="2594"/>
    </row>
    <row r="133" spans="1:8" ht="15.75">
      <c r="A133" s="2596" t="s">
        <v>725</v>
      </c>
      <c r="B133" s="2594"/>
      <c r="C133" s="2594"/>
      <c r="D133" s="2594"/>
      <c r="E133" s="2594"/>
      <c r="F133" s="2594"/>
      <c r="G133" s="2594"/>
      <c r="H133" s="2594"/>
    </row>
    <row r="134" spans="1:8">
      <c r="A134" s="2594"/>
      <c r="B134" s="2594"/>
      <c r="C134" s="2594"/>
      <c r="D134" s="2594"/>
      <c r="E134" s="2594"/>
      <c r="F134" s="2594"/>
      <c r="G134" s="2594"/>
      <c r="H134" s="2594"/>
    </row>
    <row r="135" spans="1:8">
      <c r="A135" s="2595" t="s">
        <v>1998</v>
      </c>
      <c r="B135" s="2594"/>
      <c r="C135" s="2594"/>
      <c r="D135" s="2594"/>
      <c r="E135" s="2594"/>
      <c r="F135" s="2594"/>
      <c r="G135" s="2594"/>
      <c r="H135" s="2594"/>
    </row>
    <row r="136" spans="1:8">
      <c r="A136" s="2595" t="s">
        <v>1999</v>
      </c>
      <c r="B136" s="2594"/>
      <c r="C136" s="2594"/>
      <c r="D136" s="2594"/>
      <c r="E136" s="2594"/>
      <c r="F136" s="2594"/>
      <c r="G136" s="2594"/>
      <c r="H136" s="2594"/>
    </row>
    <row r="137" spans="1:8">
      <c r="A137" s="2594"/>
      <c r="B137" s="2594"/>
      <c r="C137" s="2594"/>
      <c r="D137" s="2594"/>
      <c r="E137" s="2594"/>
      <c r="F137" s="2594"/>
      <c r="G137" s="2594"/>
      <c r="H137" s="2594"/>
    </row>
    <row r="138" spans="1:8">
      <c r="A138" s="2595" t="s">
        <v>1995</v>
      </c>
      <c r="B138" s="2594"/>
      <c r="C138" s="2594"/>
      <c r="D138" s="2594"/>
      <c r="E138" s="2594"/>
      <c r="F138" s="2594"/>
      <c r="G138" s="2594"/>
      <c r="H138" s="2594"/>
    </row>
    <row r="139" spans="1:8">
      <c r="A139" s="2595" t="s">
        <v>1996</v>
      </c>
      <c r="B139" s="2594"/>
      <c r="C139" s="2594"/>
      <c r="D139" s="2594"/>
      <c r="E139" s="2594"/>
      <c r="F139" s="2594"/>
      <c r="G139" s="2594"/>
      <c r="H139" s="2594"/>
    </row>
    <row r="140" spans="1:8">
      <c r="A140" s="2595" t="s">
        <v>1997</v>
      </c>
      <c r="B140" s="2594"/>
      <c r="C140" s="2594"/>
      <c r="D140" s="2594"/>
      <c r="E140" s="2594"/>
      <c r="F140" s="2594"/>
      <c r="G140" s="2594"/>
      <c r="H140" s="2594"/>
    </row>
    <row r="141" spans="1:8">
      <c r="A141" s="2594"/>
      <c r="B141" s="2594"/>
      <c r="C141" s="2594"/>
      <c r="D141" s="2594"/>
      <c r="E141" s="2594"/>
      <c r="F141" s="2594"/>
      <c r="G141" s="2594"/>
      <c r="H141" s="2594"/>
    </row>
    <row r="142" spans="1:8">
      <c r="A142" s="2595" t="s">
        <v>1992</v>
      </c>
      <c r="B142" s="2594"/>
      <c r="C142" s="2594"/>
      <c r="D142" s="2594"/>
      <c r="E142" s="2594"/>
      <c r="F142" s="2594"/>
      <c r="G142" s="2594"/>
      <c r="H142" s="2594"/>
    </row>
    <row r="143" spans="1:8">
      <c r="A143" s="2595" t="s">
        <v>1993</v>
      </c>
      <c r="B143" s="2594"/>
      <c r="C143" s="2594"/>
      <c r="D143" s="2594"/>
      <c r="E143" s="2594"/>
      <c r="F143" s="2594"/>
      <c r="G143" s="2594"/>
      <c r="H143" s="2594"/>
    </row>
    <row r="144" spans="1:8">
      <c r="A144" s="2595" t="s">
        <v>1994</v>
      </c>
      <c r="B144" s="2594"/>
      <c r="C144" s="2594"/>
      <c r="D144" s="2594"/>
      <c r="E144" s="2594"/>
      <c r="F144" s="2594"/>
      <c r="G144" s="2594"/>
      <c r="H144" s="2594"/>
    </row>
    <row r="145" spans="1:8">
      <c r="A145" s="2594"/>
      <c r="B145" s="2594"/>
      <c r="C145" s="2594"/>
      <c r="D145" s="2594"/>
      <c r="E145" s="2594"/>
      <c r="F145" s="2594"/>
      <c r="G145" s="2594"/>
      <c r="H145" s="2594"/>
    </row>
    <row r="146" spans="1:8">
      <c r="A146" s="2595" t="s">
        <v>1989</v>
      </c>
      <c r="B146" s="2594"/>
      <c r="C146" s="2594"/>
      <c r="D146" s="2594"/>
      <c r="E146" s="2594"/>
      <c r="F146" s="2594"/>
      <c r="G146" s="2594"/>
      <c r="H146" s="2594"/>
    </row>
    <row r="147" spans="1:8">
      <c r="A147" s="2595" t="s">
        <v>1990</v>
      </c>
      <c r="B147" s="2594"/>
      <c r="C147" s="2594"/>
      <c r="D147" s="2594"/>
      <c r="E147" s="2594"/>
      <c r="F147" s="2594"/>
      <c r="G147" s="2594"/>
      <c r="H147" s="2594"/>
    </row>
    <row r="148" spans="1:8">
      <c r="A148" s="2595" t="s">
        <v>1991</v>
      </c>
      <c r="B148" s="2594"/>
      <c r="C148" s="2594"/>
      <c r="D148" s="2594"/>
      <c r="E148" s="2594"/>
      <c r="F148" s="2594"/>
      <c r="G148" s="2594"/>
      <c r="H148" s="2594"/>
    </row>
    <row r="149" spans="1:8">
      <c r="A149" s="2594"/>
      <c r="B149" s="2594"/>
      <c r="C149" s="2594"/>
      <c r="D149" s="2594"/>
      <c r="E149" s="2594"/>
      <c r="F149" s="2594"/>
      <c r="G149" s="2594"/>
      <c r="H149" s="2594"/>
    </row>
    <row r="150" spans="1:8">
      <c r="A150" s="2595" t="s">
        <v>1987</v>
      </c>
      <c r="B150" s="2594"/>
      <c r="C150" s="2594"/>
      <c r="D150" s="2594"/>
      <c r="E150" s="2594"/>
      <c r="F150" s="2594"/>
      <c r="G150" s="2594"/>
      <c r="H150" s="2594"/>
    </row>
    <row r="151" spans="1:8">
      <c r="A151" s="2595" t="s">
        <v>1988</v>
      </c>
      <c r="B151" s="2594"/>
      <c r="C151" s="2594"/>
      <c r="D151" s="2594"/>
      <c r="E151" s="2594"/>
      <c r="F151" s="2594"/>
      <c r="G151" s="2594"/>
      <c r="H151" s="2594"/>
    </row>
    <row r="152" spans="1:8">
      <c r="A152" s="2594"/>
      <c r="B152" s="2594"/>
      <c r="C152" s="2594"/>
      <c r="D152" s="2594"/>
      <c r="E152" s="2594"/>
      <c r="F152" s="2594"/>
      <c r="G152" s="2594"/>
      <c r="H152" s="2594"/>
    </row>
    <row r="153" spans="1:8" ht="15.75">
      <c r="A153" s="2596" t="s">
        <v>731</v>
      </c>
      <c r="B153" s="2594"/>
      <c r="C153" s="2594"/>
      <c r="D153" s="2594"/>
      <c r="E153" s="2594"/>
      <c r="F153" s="2594"/>
      <c r="G153" s="2594"/>
      <c r="H153" s="2594"/>
    </row>
    <row r="154" spans="1:8">
      <c r="A154" s="2594"/>
      <c r="B154" s="2594"/>
      <c r="C154" s="2594"/>
      <c r="D154" s="2594"/>
      <c r="E154" s="2594"/>
      <c r="F154" s="2594"/>
      <c r="G154" s="2594"/>
      <c r="H154" s="2594"/>
    </row>
    <row r="155" spans="1:8">
      <c r="A155" s="2595" t="s">
        <v>1985</v>
      </c>
      <c r="B155" s="2594"/>
      <c r="C155" s="2594"/>
      <c r="D155" s="2594"/>
      <c r="E155" s="2594"/>
      <c r="F155" s="2594"/>
      <c r="G155" s="2594"/>
      <c r="H155" s="2594"/>
    </row>
    <row r="156" spans="1:8">
      <c r="A156" s="2595" t="s">
        <v>1986</v>
      </c>
      <c r="B156" s="2594"/>
      <c r="C156" s="2594"/>
      <c r="D156" s="2594"/>
      <c r="E156" s="2594"/>
      <c r="F156" s="2594"/>
      <c r="G156" s="2594"/>
      <c r="H156" s="2594"/>
    </row>
    <row r="157" spans="1:8">
      <c r="A157" s="2594"/>
      <c r="B157" s="2594"/>
      <c r="C157" s="2594"/>
      <c r="D157" s="2594"/>
      <c r="E157" s="2594"/>
      <c r="F157" s="2594"/>
      <c r="G157" s="2594"/>
      <c r="H157" s="2594"/>
    </row>
    <row r="158" spans="1:8">
      <c r="A158" s="2595" t="s">
        <v>1983</v>
      </c>
      <c r="B158" s="2594"/>
      <c r="C158" s="2594"/>
      <c r="D158" s="2594"/>
      <c r="E158" s="2594"/>
      <c r="F158" s="2594"/>
      <c r="G158" s="2594"/>
      <c r="H158" s="2594"/>
    </row>
    <row r="159" spans="1:8">
      <c r="A159" s="2595" t="s">
        <v>1984</v>
      </c>
      <c r="B159" s="2594"/>
      <c r="C159" s="2594"/>
      <c r="D159" s="2594"/>
      <c r="E159" s="2594"/>
      <c r="F159" s="2594"/>
      <c r="G159" s="2594"/>
      <c r="H159" s="2594"/>
    </row>
    <row r="160" spans="1:8">
      <c r="A160" s="2594"/>
      <c r="B160" s="2594"/>
      <c r="C160" s="2594"/>
      <c r="D160" s="2594"/>
      <c r="E160" s="2594"/>
      <c r="F160" s="2594"/>
      <c r="G160" s="2594"/>
      <c r="H160" s="2594"/>
    </row>
    <row r="161" spans="1:8">
      <c r="A161" s="2595" t="s">
        <v>1981</v>
      </c>
      <c r="B161" s="2594"/>
      <c r="C161" s="2594"/>
      <c r="D161" s="2594"/>
      <c r="E161" s="2594"/>
      <c r="F161" s="2594"/>
      <c r="G161" s="2594"/>
      <c r="H161" s="2594"/>
    </row>
    <row r="162" spans="1:8">
      <c r="A162" s="2595" t="s">
        <v>1982</v>
      </c>
      <c r="B162" s="2594"/>
      <c r="C162" s="2594"/>
      <c r="D162" s="2594"/>
      <c r="E162" s="2594"/>
      <c r="F162" s="2594"/>
      <c r="G162" s="2594"/>
      <c r="H162" s="2594"/>
    </row>
    <row r="163" spans="1:8">
      <c r="A163" s="2594"/>
      <c r="B163" s="2594"/>
      <c r="C163" s="2594"/>
      <c r="D163" s="2594"/>
      <c r="E163" s="2594"/>
      <c r="F163" s="2594"/>
      <c r="G163" s="2594"/>
      <c r="H163" s="2594"/>
    </row>
    <row r="164" spans="1:8">
      <c r="A164" s="2595" t="s">
        <v>1978</v>
      </c>
      <c r="B164" s="2594"/>
      <c r="C164" s="2594"/>
      <c r="D164" s="2594"/>
      <c r="E164" s="2594"/>
      <c r="F164" s="2594"/>
      <c r="G164" s="2594"/>
      <c r="H164" s="2594"/>
    </row>
    <row r="165" spans="1:8">
      <c r="A165" s="2595" t="s">
        <v>1979</v>
      </c>
      <c r="B165" s="2594"/>
      <c r="C165" s="2594"/>
      <c r="D165" s="2594"/>
      <c r="E165" s="2594"/>
      <c r="F165" s="2594"/>
      <c r="G165" s="2594"/>
      <c r="H165" s="2594"/>
    </row>
    <row r="166" spans="1:8">
      <c r="A166" s="2595" t="s">
        <v>1980</v>
      </c>
      <c r="B166" s="2594"/>
      <c r="C166" s="2594"/>
      <c r="D166" s="2594"/>
      <c r="E166" s="2594"/>
      <c r="F166" s="2594"/>
      <c r="G166" s="2594"/>
      <c r="H166" s="2594"/>
    </row>
    <row r="167" spans="1:8">
      <c r="A167" s="2594"/>
      <c r="B167" s="2594"/>
      <c r="C167" s="2594"/>
      <c r="D167" s="2594"/>
      <c r="E167" s="2594"/>
      <c r="F167" s="2594"/>
      <c r="G167" s="2594"/>
      <c r="H167" s="2594"/>
    </row>
    <row r="168" spans="1:8">
      <c r="A168" s="2594"/>
      <c r="B168" s="2594"/>
      <c r="C168" s="2594"/>
      <c r="D168" s="2594"/>
      <c r="E168" s="2594"/>
      <c r="F168" s="2594"/>
      <c r="G168" s="2594"/>
      <c r="H168" s="2594"/>
    </row>
    <row r="169" spans="1:8">
      <c r="A169" s="2595" t="s">
        <v>736</v>
      </c>
      <c r="B169" s="2594"/>
      <c r="C169" s="2594"/>
      <c r="D169" s="2594"/>
      <c r="E169" s="2594"/>
      <c r="F169" s="2594"/>
      <c r="G169" s="2594"/>
      <c r="H169" s="2594"/>
    </row>
    <row r="170" spans="1:8">
      <c r="A170" s="2594"/>
      <c r="B170" s="2594"/>
      <c r="C170" s="2594"/>
      <c r="D170" s="2594"/>
      <c r="E170" s="2594"/>
      <c r="F170" s="2594"/>
      <c r="G170" s="2594"/>
      <c r="H170" s="2594"/>
    </row>
    <row r="171" spans="1:8" ht="15.75">
      <c r="A171" s="2596" t="s">
        <v>737</v>
      </c>
      <c r="B171" s="2594"/>
      <c r="C171" s="2594"/>
      <c r="D171" s="2594"/>
      <c r="E171" s="2594"/>
      <c r="F171" s="2594"/>
      <c r="G171" s="2594"/>
      <c r="H171" s="2594"/>
    </row>
    <row r="172" spans="1:8">
      <c r="A172" s="2594"/>
      <c r="B172" s="2594"/>
      <c r="C172" s="2594"/>
      <c r="D172" s="2594"/>
      <c r="E172" s="2594"/>
      <c r="F172" s="2594"/>
      <c r="G172" s="2594"/>
      <c r="H172" s="2594"/>
    </row>
    <row r="173" spans="1:8">
      <c r="A173" s="2594"/>
      <c r="B173" s="2594"/>
      <c r="C173" s="2594"/>
      <c r="D173" s="2594"/>
      <c r="E173" s="2594"/>
      <c r="F173" s="2594"/>
      <c r="G173" s="2594"/>
      <c r="H173" s="2594"/>
    </row>
    <row r="174" spans="1:8">
      <c r="A174" s="2594"/>
      <c r="B174" s="2594"/>
      <c r="C174" s="2594"/>
      <c r="D174" s="2594"/>
      <c r="E174" s="2594"/>
      <c r="F174" s="2594"/>
      <c r="G174" s="2594"/>
      <c r="H174" s="2594"/>
    </row>
    <row r="175" spans="1:8">
      <c r="A175" s="2594"/>
      <c r="B175" s="2594"/>
      <c r="C175" s="2594"/>
      <c r="D175" s="2594"/>
      <c r="E175" s="2594"/>
      <c r="F175" s="2594"/>
      <c r="G175" s="2594"/>
      <c r="H175" s="2594"/>
    </row>
    <row r="176" spans="1:8">
      <c r="A176" s="2594"/>
      <c r="B176" s="2594"/>
      <c r="C176" s="2594"/>
      <c r="D176" s="2594"/>
      <c r="E176" s="2594"/>
      <c r="F176" s="2594"/>
      <c r="G176" s="2594"/>
      <c r="H176" s="2594"/>
    </row>
    <row r="177" spans="1:8">
      <c r="A177" s="2594"/>
      <c r="B177" s="2594"/>
      <c r="C177" s="2594"/>
      <c r="D177" s="2594"/>
      <c r="E177" s="2594"/>
      <c r="F177" s="2594"/>
      <c r="G177" s="2594"/>
      <c r="H177" s="2594"/>
    </row>
    <row r="178" spans="1:8">
      <c r="A178" s="2594"/>
      <c r="B178" s="2594"/>
      <c r="C178" s="2594"/>
      <c r="D178" s="2594"/>
      <c r="E178" s="2594"/>
      <c r="F178" s="2594"/>
      <c r="G178" s="2594"/>
      <c r="H178" s="2594"/>
    </row>
    <row r="179" spans="1:8">
      <c r="A179" s="2594"/>
      <c r="B179" s="2594"/>
      <c r="C179" s="2594"/>
      <c r="D179" s="2594"/>
      <c r="E179" s="2594"/>
      <c r="F179" s="2594"/>
      <c r="G179" s="2594"/>
      <c r="H179" s="2594"/>
    </row>
    <row r="180" spans="1:8">
      <c r="A180" s="2594"/>
      <c r="B180" s="2594"/>
      <c r="C180" s="2594"/>
      <c r="D180" s="2594"/>
      <c r="E180" s="2594"/>
      <c r="F180" s="2594"/>
      <c r="G180" s="2594"/>
      <c r="H180" s="2594"/>
    </row>
    <row r="181" spans="1:8">
      <c r="A181" s="2594"/>
      <c r="B181" s="2594"/>
      <c r="C181" s="2594"/>
      <c r="D181" s="2594"/>
      <c r="E181" s="2594"/>
      <c r="F181" s="2594"/>
      <c r="G181" s="2594"/>
      <c r="H181" s="2594"/>
    </row>
    <row r="182" spans="1:8">
      <c r="A182" s="2594"/>
      <c r="B182" s="2594"/>
      <c r="C182" s="2594"/>
      <c r="D182" s="2594"/>
      <c r="E182" s="2594"/>
      <c r="F182" s="2594"/>
      <c r="G182" s="2594"/>
      <c r="H182" s="2594"/>
    </row>
    <row r="183" spans="1:8">
      <c r="A183" s="2594"/>
      <c r="B183" s="2594"/>
      <c r="C183" s="2594"/>
      <c r="D183" s="2594"/>
      <c r="E183" s="2594"/>
      <c r="F183" s="2594"/>
      <c r="G183" s="2594"/>
      <c r="H183" s="2594"/>
    </row>
    <row r="184" spans="1:8">
      <c r="A184" s="2594"/>
      <c r="B184" s="2594"/>
      <c r="C184" s="2594"/>
      <c r="D184" s="2594"/>
      <c r="E184" s="2594"/>
      <c r="F184" s="2594"/>
      <c r="G184" s="2594"/>
      <c r="H184" s="2594"/>
    </row>
    <row r="185" spans="1:8">
      <c r="A185" s="2594"/>
      <c r="B185" s="2594"/>
      <c r="C185" s="2594"/>
      <c r="D185" s="2594"/>
      <c r="E185" s="2594"/>
      <c r="F185" s="2594"/>
      <c r="G185" s="2594"/>
      <c r="H185" s="2594"/>
    </row>
    <row r="186" spans="1:8">
      <c r="A186" s="2594"/>
      <c r="B186" s="2594"/>
      <c r="C186" s="2594"/>
      <c r="D186" s="2594"/>
      <c r="E186" s="2594"/>
      <c r="F186" s="2594"/>
      <c r="G186" s="2594"/>
      <c r="H186" s="2594"/>
    </row>
    <row r="187" spans="1:8">
      <c r="A187" s="2594"/>
      <c r="B187" s="2594"/>
      <c r="C187" s="2594"/>
      <c r="D187" s="2594"/>
      <c r="E187" s="2594"/>
      <c r="F187" s="2594"/>
      <c r="G187" s="2594"/>
      <c r="H187" s="2594"/>
    </row>
    <row r="188" spans="1:8">
      <c r="A188" s="2594"/>
      <c r="B188" s="2594"/>
      <c r="C188" s="2594"/>
      <c r="D188" s="2594"/>
      <c r="E188" s="2594"/>
      <c r="F188" s="2594"/>
      <c r="G188" s="2594"/>
      <c r="H188" s="2594"/>
    </row>
    <row r="189" spans="1:8">
      <c r="A189" s="2594"/>
      <c r="B189" s="2594"/>
      <c r="C189" s="2594"/>
      <c r="D189" s="2594"/>
      <c r="E189" s="2594"/>
      <c r="F189" s="2594"/>
      <c r="G189" s="2594"/>
      <c r="H189" s="2594"/>
    </row>
    <row r="190" spans="1:8">
      <c r="A190" s="2594"/>
      <c r="B190" s="2594"/>
      <c r="C190" s="2594"/>
      <c r="D190" s="2594"/>
      <c r="E190" s="2594"/>
      <c r="F190" s="2594"/>
      <c r="G190" s="2594"/>
      <c r="H190" s="2594"/>
    </row>
    <row r="191" spans="1:8">
      <c r="A191" s="2594"/>
      <c r="B191" s="2594"/>
      <c r="C191" s="2594"/>
      <c r="D191" s="2594"/>
      <c r="E191" s="2594"/>
      <c r="F191" s="2594"/>
      <c r="G191" s="2594"/>
      <c r="H191" s="2594"/>
    </row>
    <row r="192" spans="1:8">
      <c r="A192" s="2594"/>
      <c r="B192" s="2594"/>
      <c r="C192" s="2594"/>
      <c r="D192" s="2594"/>
      <c r="E192" s="2594"/>
      <c r="F192" s="2594"/>
      <c r="G192" s="2594"/>
      <c r="H192" s="2594"/>
    </row>
    <row r="193" spans="1:8">
      <c r="A193" s="2594"/>
      <c r="B193" s="2594"/>
      <c r="C193" s="2594"/>
      <c r="D193" s="2594"/>
      <c r="E193" s="2594"/>
      <c r="F193" s="2594"/>
      <c r="G193" s="2594"/>
      <c r="H193" s="2594"/>
    </row>
    <row r="194" spans="1:8">
      <c r="A194" s="2594"/>
      <c r="B194" s="2594"/>
      <c r="C194" s="2594"/>
      <c r="D194" s="2594"/>
      <c r="E194" s="2594"/>
      <c r="F194" s="2594"/>
      <c r="G194" s="2594"/>
      <c r="H194" s="2594"/>
    </row>
    <row r="195" spans="1:8">
      <c r="A195" s="2594"/>
      <c r="B195" s="2594"/>
      <c r="C195" s="2594"/>
      <c r="D195" s="2594"/>
      <c r="E195" s="2594"/>
      <c r="F195" s="2594"/>
      <c r="G195" s="2594"/>
      <c r="H195" s="2594"/>
    </row>
    <row r="196" spans="1:8">
      <c r="A196" s="2594"/>
      <c r="B196" s="2594"/>
      <c r="C196" s="2594"/>
      <c r="D196" s="2594"/>
      <c r="E196" s="2594"/>
      <c r="F196" s="2594"/>
      <c r="G196" s="2594"/>
      <c r="H196" s="2594"/>
    </row>
    <row r="197" spans="1:8">
      <c r="A197" s="2594"/>
      <c r="B197" s="2594"/>
      <c r="C197" s="2594"/>
      <c r="D197" s="2594"/>
      <c r="E197" s="2594"/>
      <c r="F197" s="2594"/>
      <c r="G197" s="2594"/>
      <c r="H197" s="2594"/>
    </row>
    <row r="198" spans="1:8" ht="15.75">
      <c r="A198" s="2596" t="s">
        <v>738</v>
      </c>
      <c r="B198" s="2594"/>
      <c r="C198" s="2594"/>
      <c r="D198" s="2594"/>
      <c r="E198" s="2594"/>
      <c r="F198" s="2594"/>
      <c r="G198" s="2594"/>
      <c r="H198" s="2594"/>
    </row>
    <row r="199" spans="1:8">
      <c r="A199" s="2594"/>
      <c r="B199" s="2594"/>
      <c r="C199" s="2594"/>
      <c r="D199" s="2594"/>
      <c r="E199" s="2594"/>
      <c r="F199" s="2594"/>
      <c r="G199" s="2594"/>
      <c r="H199" s="2594"/>
    </row>
    <row r="200" spans="1:8">
      <c r="A200" s="2595" t="s">
        <v>1973</v>
      </c>
      <c r="B200" s="2594"/>
      <c r="C200" s="2594"/>
      <c r="D200" s="2594"/>
      <c r="E200" s="2594"/>
      <c r="F200" s="2594"/>
      <c r="G200" s="2594"/>
      <c r="H200" s="2594"/>
    </row>
    <row r="201" spans="1:8">
      <c r="A201" s="2595" t="s">
        <v>1974</v>
      </c>
      <c r="B201" s="2594"/>
      <c r="C201" s="2594"/>
      <c r="D201" s="2594"/>
      <c r="E201" s="2594"/>
      <c r="F201" s="2594"/>
      <c r="G201" s="2594"/>
      <c r="H201" s="2594"/>
    </row>
    <row r="202" spans="1:8">
      <c r="A202" s="2595" t="s">
        <v>1975</v>
      </c>
      <c r="B202" s="2594"/>
      <c r="C202" s="2594"/>
      <c r="D202" s="2594"/>
      <c r="E202" s="2594"/>
      <c r="F202" s="2594"/>
      <c r="G202" s="2594"/>
      <c r="H202" s="2594"/>
    </row>
    <row r="203" spans="1:8">
      <c r="A203" s="2595" t="s">
        <v>1976</v>
      </c>
      <c r="B203" s="2594"/>
      <c r="C203" s="2594"/>
      <c r="D203" s="2594"/>
      <c r="E203" s="2594"/>
      <c r="F203" s="2594"/>
      <c r="G203" s="2594"/>
      <c r="H203" s="2594"/>
    </row>
    <row r="204" spans="1:8">
      <c r="A204" s="2595" t="s">
        <v>1977</v>
      </c>
      <c r="B204" s="2594"/>
      <c r="C204" s="2594"/>
      <c r="D204" s="2594"/>
      <c r="E204" s="2594"/>
      <c r="F204" s="2594"/>
      <c r="G204" s="2594"/>
      <c r="H204" s="2594"/>
    </row>
    <row r="205" spans="1:8">
      <c r="A205" s="2594"/>
      <c r="B205" s="2594"/>
      <c r="C205" s="2594"/>
      <c r="D205" s="2594"/>
      <c r="E205" s="2594"/>
      <c r="F205" s="2594"/>
      <c r="G205" s="2594"/>
      <c r="H205" s="2594"/>
    </row>
    <row r="206" spans="1:8">
      <c r="A206" s="2595" t="s">
        <v>1970</v>
      </c>
      <c r="B206" s="2594"/>
      <c r="C206" s="2594"/>
      <c r="D206" s="2594"/>
      <c r="E206" s="2594"/>
      <c r="F206" s="2594"/>
      <c r="G206" s="2594"/>
      <c r="H206" s="2594"/>
    </row>
    <row r="207" spans="1:8">
      <c r="A207" s="2595" t="s">
        <v>1971</v>
      </c>
      <c r="B207" s="2594"/>
      <c r="C207" s="2594"/>
      <c r="D207" s="2594"/>
      <c r="E207" s="2594"/>
      <c r="F207" s="2594"/>
      <c r="G207" s="2594"/>
      <c r="H207" s="2594"/>
    </row>
    <row r="208" spans="1:8">
      <c r="A208" s="2595" t="s">
        <v>1972</v>
      </c>
      <c r="B208" s="2594"/>
      <c r="C208" s="2594"/>
      <c r="D208" s="2594"/>
      <c r="E208" s="2594"/>
      <c r="F208" s="2594"/>
      <c r="G208" s="2594"/>
      <c r="H208" s="2594"/>
    </row>
    <row r="209" spans="1:8" ht="15.75">
      <c r="A209" s="2596" t="s">
        <v>741</v>
      </c>
      <c r="B209" s="2594"/>
      <c r="C209" s="2594"/>
      <c r="D209" s="2594"/>
      <c r="E209" s="2594"/>
      <c r="F209" s="2594"/>
      <c r="G209" s="2594"/>
      <c r="H209" s="2594"/>
    </row>
    <row r="210" spans="1:8">
      <c r="A210" s="2594"/>
      <c r="B210" s="2594"/>
      <c r="C210" s="2594"/>
      <c r="D210" s="2594"/>
      <c r="E210" s="2594"/>
      <c r="F210" s="2594"/>
      <c r="G210" s="2594"/>
      <c r="H210" s="2594"/>
    </row>
    <row r="211" spans="1:8">
      <c r="A211" s="2595" t="s">
        <v>1963</v>
      </c>
      <c r="B211" s="2594"/>
      <c r="C211" s="2594"/>
      <c r="D211" s="2594"/>
      <c r="E211" s="2594"/>
      <c r="F211" s="2594"/>
      <c r="G211" s="2594"/>
      <c r="H211" s="2594"/>
    </row>
    <row r="212" spans="1:8">
      <c r="A212" s="2595" t="s">
        <v>1964</v>
      </c>
      <c r="B212" s="2594"/>
      <c r="C212" s="2594"/>
      <c r="D212" s="2594"/>
      <c r="E212" s="2594"/>
      <c r="F212" s="2594"/>
      <c r="G212" s="2594"/>
      <c r="H212" s="2594"/>
    </row>
    <row r="213" spans="1:8">
      <c r="A213" s="2595" t="s">
        <v>1965</v>
      </c>
      <c r="B213" s="2594"/>
      <c r="C213" s="2594"/>
      <c r="D213" s="2594"/>
      <c r="E213" s="2594"/>
      <c r="F213" s="2594"/>
      <c r="G213" s="2594"/>
      <c r="H213" s="2594"/>
    </row>
    <row r="214" spans="1:8">
      <c r="A214" s="2595" t="s">
        <v>1966</v>
      </c>
      <c r="B214" s="2594"/>
      <c r="C214" s="2594"/>
      <c r="D214" s="2594"/>
      <c r="E214" s="2594"/>
      <c r="F214" s="2594"/>
      <c r="G214" s="2594"/>
      <c r="H214" s="2594"/>
    </row>
    <row r="215" spans="1:8">
      <c r="A215" s="2595" t="s">
        <v>1967</v>
      </c>
      <c r="B215" s="2594"/>
      <c r="C215" s="2594"/>
      <c r="D215" s="2594"/>
      <c r="E215" s="2594"/>
      <c r="F215" s="2594"/>
      <c r="G215" s="2594"/>
      <c r="H215" s="2594"/>
    </row>
    <row r="216" spans="1:8">
      <c r="A216" s="2595" t="s">
        <v>1968</v>
      </c>
      <c r="B216" s="2594"/>
      <c r="C216" s="2594"/>
      <c r="D216" s="2594"/>
      <c r="E216" s="2594"/>
      <c r="F216" s="2594"/>
      <c r="G216" s="2594"/>
      <c r="H216" s="2594"/>
    </row>
    <row r="217" spans="1:8">
      <c r="A217" s="2595" t="s">
        <v>1969</v>
      </c>
      <c r="B217" s="2594"/>
      <c r="C217" s="2594"/>
      <c r="D217" s="2594"/>
      <c r="E217" s="2594"/>
      <c r="F217" s="2594"/>
      <c r="G217" s="2594"/>
      <c r="H217" s="2594"/>
    </row>
    <row r="218" spans="1:8">
      <c r="A218" s="2594"/>
      <c r="B218" s="2594"/>
      <c r="C218" s="2594"/>
      <c r="D218" s="2594"/>
      <c r="E218" s="2594"/>
      <c r="F218" s="2594"/>
      <c r="G218" s="2594"/>
      <c r="H218" s="2594"/>
    </row>
    <row r="219" spans="1:8">
      <c r="A219" s="2595" t="s">
        <v>1960</v>
      </c>
      <c r="B219" s="2594"/>
      <c r="C219" s="2594"/>
      <c r="D219" s="2594"/>
      <c r="E219" s="2594"/>
      <c r="F219" s="2594"/>
      <c r="G219" s="2594"/>
      <c r="H219" s="2594"/>
    </row>
    <row r="220" spans="1:8">
      <c r="A220" s="2595" t="s">
        <v>1961</v>
      </c>
      <c r="B220" s="2594"/>
      <c r="C220" s="2594"/>
      <c r="D220" s="2594"/>
      <c r="E220" s="2594"/>
      <c r="F220" s="2594"/>
      <c r="G220" s="2594"/>
      <c r="H220" s="2594"/>
    </row>
    <row r="221" spans="1:8">
      <c r="A221" s="2595" t="s">
        <v>1962</v>
      </c>
      <c r="B221" s="2594"/>
      <c r="C221" s="2594"/>
      <c r="D221" s="2594"/>
      <c r="E221" s="2594"/>
      <c r="F221" s="2594"/>
      <c r="G221" s="2594"/>
      <c r="H221" s="2594"/>
    </row>
    <row r="222" spans="1:8">
      <c r="A222" s="2594"/>
      <c r="B222" s="2594"/>
      <c r="C222" s="2594"/>
      <c r="D222" s="2594"/>
      <c r="E222" s="2594"/>
      <c r="F222" s="2594"/>
      <c r="G222" s="2594"/>
      <c r="H222" s="2594"/>
    </row>
    <row r="223" spans="1:8">
      <c r="A223" s="2595" t="s">
        <v>1955</v>
      </c>
      <c r="B223" s="2594"/>
      <c r="C223" s="2594"/>
      <c r="D223" s="2594"/>
      <c r="E223" s="2594"/>
      <c r="F223" s="2594"/>
      <c r="G223" s="2594"/>
      <c r="H223" s="2594"/>
    </row>
    <row r="224" spans="1:8">
      <c r="A224" s="2595" t="s">
        <v>1956</v>
      </c>
      <c r="B224" s="2594"/>
      <c r="C224" s="2594"/>
      <c r="D224" s="2594"/>
      <c r="E224" s="2594"/>
      <c r="F224" s="2594"/>
      <c r="G224" s="2594"/>
      <c r="H224" s="2594"/>
    </row>
    <row r="225" spans="1:8">
      <c r="A225" s="2595" t="s">
        <v>1957</v>
      </c>
      <c r="B225" s="2594"/>
      <c r="C225" s="2594"/>
      <c r="D225" s="2594"/>
      <c r="E225" s="2594"/>
      <c r="F225" s="2594"/>
      <c r="G225" s="2594"/>
      <c r="H225" s="2594"/>
    </row>
    <row r="226" spans="1:8">
      <c r="A226" s="2595" t="s">
        <v>1958</v>
      </c>
      <c r="B226" s="2594"/>
      <c r="C226" s="2594"/>
      <c r="D226" s="2594"/>
      <c r="E226" s="2594"/>
      <c r="F226" s="2594"/>
      <c r="G226" s="2594"/>
      <c r="H226" s="2594"/>
    </row>
    <row r="227" spans="1:8">
      <c r="A227" s="2595" t="s">
        <v>1959</v>
      </c>
      <c r="B227" s="2594"/>
      <c r="C227" s="2594"/>
      <c r="D227" s="2594"/>
      <c r="E227" s="2594"/>
      <c r="F227" s="2594"/>
      <c r="G227" s="2594"/>
      <c r="H227" s="2594"/>
    </row>
    <row r="228" spans="1:8">
      <c r="A228" s="2594"/>
      <c r="B228" s="2594"/>
      <c r="C228" s="2594"/>
      <c r="D228" s="2594"/>
      <c r="E228" s="2594"/>
      <c r="F228" s="2594"/>
      <c r="G228" s="2594"/>
      <c r="H228" s="2594"/>
    </row>
    <row r="229" spans="1:8">
      <c r="A229" s="2595" t="s">
        <v>1949</v>
      </c>
      <c r="B229" s="2594"/>
      <c r="C229" s="2594"/>
      <c r="D229" s="2594"/>
      <c r="E229" s="2594"/>
      <c r="F229" s="2594"/>
      <c r="G229" s="2594"/>
      <c r="H229" s="2594"/>
    </row>
    <row r="230" spans="1:8">
      <c r="A230" s="2595" t="s">
        <v>1950</v>
      </c>
      <c r="B230" s="2594"/>
      <c r="C230" s="2594"/>
      <c r="D230" s="2594"/>
      <c r="E230" s="2594"/>
      <c r="F230" s="2594"/>
      <c r="G230" s="2594"/>
      <c r="H230" s="2594"/>
    </row>
    <row r="231" spans="1:8">
      <c r="A231" s="2595" t="s">
        <v>1951</v>
      </c>
      <c r="B231" s="2594"/>
      <c r="C231" s="2594"/>
      <c r="D231" s="2594"/>
      <c r="E231" s="2594"/>
      <c r="F231" s="2594"/>
      <c r="G231" s="2594"/>
      <c r="H231" s="2594"/>
    </row>
    <row r="232" spans="1:8">
      <c r="A232" s="2595" t="s">
        <v>1952</v>
      </c>
      <c r="B232" s="2594"/>
      <c r="C232" s="2594"/>
      <c r="D232" s="2594"/>
      <c r="E232" s="2594"/>
      <c r="F232" s="2594"/>
      <c r="G232" s="2594"/>
      <c r="H232" s="2594"/>
    </row>
    <row r="233" spans="1:8">
      <c r="A233" s="2595" t="s">
        <v>1953</v>
      </c>
      <c r="B233" s="2594"/>
      <c r="C233" s="2594"/>
      <c r="D233" s="2594"/>
      <c r="E233" s="2594"/>
      <c r="F233" s="2594"/>
      <c r="G233" s="2594"/>
      <c r="H233" s="2594"/>
    </row>
    <row r="234" spans="1:8">
      <c r="A234" s="2595" t="s">
        <v>1954</v>
      </c>
      <c r="B234" s="2594"/>
      <c r="C234" s="2594"/>
      <c r="D234" s="2594"/>
      <c r="E234" s="2594"/>
      <c r="F234" s="2594"/>
      <c r="G234" s="2594"/>
      <c r="H234" s="2594"/>
    </row>
    <row r="235" spans="1:8">
      <c r="A235" s="2594"/>
      <c r="B235" s="2594"/>
      <c r="C235" s="2594"/>
      <c r="D235" s="2594"/>
      <c r="E235" s="2594"/>
      <c r="F235" s="2594"/>
      <c r="G235" s="2594"/>
      <c r="H235" s="2594"/>
    </row>
    <row r="236" spans="1:8">
      <c r="A236" s="2595" t="s">
        <v>1939</v>
      </c>
      <c r="B236" s="2594"/>
      <c r="C236" s="2594"/>
      <c r="D236" s="2594"/>
      <c r="E236" s="2594"/>
      <c r="F236" s="2594"/>
      <c r="G236" s="2594"/>
      <c r="H236" s="2594"/>
    </row>
    <row r="237" spans="1:8">
      <c r="A237" s="2595" t="s">
        <v>1940</v>
      </c>
      <c r="B237" s="2594"/>
      <c r="C237" s="2594"/>
      <c r="D237" s="2594"/>
      <c r="E237" s="2594"/>
      <c r="F237" s="2594"/>
      <c r="G237" s="2594"/>
      <c r="H237" s="2594"/>
    </row>
    <row r="238" spans="1:8">
      <c r="A238" s="2595" t="s">
        <v>1941</v>
      </c>
      <c r="B238" s="2594"/>
      <c r="C238" s="2594"/>
      <c r="D238" s="2594"/>
      <c r="E238" s="2594"/>
      <c r="F238" s="2594"/>
      <c r="G238" s="2594"/>
      <c r="H238" s="2594"/>
    </row>
    <row r="239" spans="1:8">
      <c r="A239" s="2595" t="s">
        <v>1942</v>
      </c>
      <c r="B239" s="2594"/>
      <c r="C239" s="2594"/>
      <c r="D239" s="2594"/>
      <c r="E239" s="2594"/>
      <c r="F239" s="2594"/>
      <c r="G239" s="2594"/>
      <c r="H239" s="2594"/>
    </row>
    <row r="240" spans="1:8">
      <c r="A240" s="2595" t="s">
        <v>1943</v>
      </c>
      <c r="B240" s="2594"/>
      <c r="C240" s="2594"/>
      <c r="D240" s="2594"/>
      <c r="E240" s="2594"/>
      <c r="F240" s="2594"/>
      <c r="G240" s="2594"/>
      <c r="H240" s="2594"/>
    </row>
    <row r="241" spans="1:8">
      <c r="A241" s="2595" t="s">
        <v>1944</v>
      </c>
      <c r="B241" s="2594"/>
      <c r="C241" s="2594"/>
      <c r="D241" s="2594"/>
      <c r="E241" s="2594"/>
      <c r="F241" s="2594"/>
      <c r="G241" s="2594"/>
      <c r="H241" s="2594"/>
    </row>
    <row r="242" spans="1:8">
      <c r="A242" s="2595" t="s">
        <v>1945</v>
      </c>
      <c r="B242" s="2594"/>
      <c r="C242" s="2594"/>
      <c r="D242" s="2594"/>
      <c r="E242" s="2594"/>
      <c r="F242" s="2594"/>
      <c r="G242" s="2594"/>
      <c r="H242" s="2594"/>
    </row>
    <row r="243" spans="1:8">
      <c r="A243" s="2595" t="s">
        <v>1946</v>
      </c>
      <c r="B243" s="2594"/>
      <c r="C243" s="2594"/>
      <c r="D243" s="2594"/>
      <c r="E243" s="2594"/>
      <c r="F243" s="2594"/>
      <c r="G243" s="2594"/>
      <c r="H243" s="2594"/>
    </row>
    <row r="244" spans="1:8">
      <c r="A244" s="2595" t="s">
        <v>1947</v>
      </c>
      <c r="B244" s="2594"/>
      <c r="C244" s="2594"/>
      <c r="D244" s="2594"/>
      <c r="E244" s="2594"/>
      <c r="F244" s="2594"/>
      <c r="G244" s="2594"/>
      <c r="H244" s="2594"/>
    </row>
    <row r="245" spans="1:8">
      <c r="A245" s="2595" t="s">
        <v>1948</v>
      </c>
      <c r="B245" s="2594"/>
      <c r="C245" s="2594"/>
      <c r="D245" s="2594"/>
      <c r="E245" s="2594"/>
      <c r="F245" s="2594"/>
      <c r="G245" s="2594"/>
      <c r="H245" s="2594"/>
    </row>
    <row r="246" spans="1:8">
      <c r="A246" s="2594"/>
      <c r="B246" s="2594"/>
      <c r="C246" s="2594"/>
      <c r="D246" s="2594"/>
      <c r="E246" s="2594"/>
      <c r="F246" s="2594"/>
      <c r="G246" s="2594"/>
      <c r="H246" s="2594"/>
    </row>
    <row r="247" spans="1:8">
      <c r="A247" s="2595" t="s">
        <v>1937</v>
      </c>
      <c r="B247" s="2594"/>
      <c r="C247" s="2594"/>
      <c r="D247" s="2594"/>
      <c r="E247" s="2594"/>
      <c r="F247" s="2594"/>
      <c r="G247" s="2594"/>
      <c r="H247" s="2594"/>
    </row>
    <row r="248" spans="1:8">
      <c r="A248" s="2595" t="s">
        <v>1938</v>
      </c>
      <c r="B248" s="2594"/>
      <c r="C248" s="2594"/>
      <c r="D248" s="2594"/>
      <c r="E248" s="2594"/>
      <c r="F248" s="2594"/>
      <c r="G248" s="2594"/>
      <c r="H248" s="2594"/>
    </row>
    <row r="249" spans="1:8">
      <c r="A249" s="2594"/>
      <c r="B249" s="2594"/>
      <c r="C249" s="2594"/>
      <c r="D249" s="2594"/>
      <c r="E249" s="2594"/>
      <c r="F249" s="2594"/>
      <c r="G249" s="2594"/>
      <c r="H249" s="2594"/>
    </row>
    <row r="250" spans="1:8">
      <c r="A250" s="2595" t="s">
        <v>1934</v>
      </c>
      <c r="B250" s="2594"/>
      <c r="C250" s="2594"/>
      <c r="D250" s="2594"/>
      <c r="E250" s="2594"/>
      <c r="F250" s="2594"/>
      <c r="G250" s="2594"/>
      <c r="H250" s="2594"/>
    </row>
    <row r="251" spans="1:8">
      <c r="A251" s="2595" t="s">
        <v>1935</v>
      </c>
      <c r="B251" s="2594"/>
      <c r="C251" s="2594"/>
      <c r="D251" s="2594"/>
      <c r="E251" s="2594"/>
      <c r="F251" s="2594"/>
      <c r="G251" s="2594"/>
      <c r="H251" s="2594"/>
    </row>
    <row r="252" spans="1:8">
      <c r="A252" s="2595" t="s">
        <v>1936</v>
      </c>
      <c r="B252" s="2594"/>
      <c r="C252" s="2594"/>
      <c r="D252" s="2594"/>
      <c r="E252" s="2594"/>
      <c r="F252" s="2594"/>
      <c r="G252" s="2594"/>
      <c r="H252" s="2594"/>
    </row>
    <row r="253" spans="1:8">
      <c r="A253" s="2594"/>
      <c r="B253" s="2594"/>
      <c r="C253" s="2594"/>
      <c r="D253" s="2594"/>
      <c r="E253" s="2594"/>
      <c r="F253" s="2594"/>
      <c r="G253" s="2594"/>
      <c r="H253" s="2594"/>
    </row>
    <row r="254" spans="1:8">
      <c r="A254" s="2595" t="s">
        <v>1918</v>
      </c>
      <c r="B254" s="2594"/>
      <c r="C254" s="2594"/>
      <c r="D254" s="2594"/>
      <c r="E254" s="2594"/>
      <c r="F254" s="2594"/>
      <c r="G254" s="2594"/>
      <c r="H254" s="2594"/>
    </row>
    <row r="255" spans="1:8">
      <c r="A255" s="2595" t="s">
        <v>1919</v>
      </c>
      <c r="B255" s="2594"/>
      <c r="C255" s="2594"/>
      <c r="D255" s="2594"/>
      <c r="E255" s="2594"/>
      <c r="F255" s="2594"/>
      <c r="G255" s="2594"/>
      <c r="H255" s="2594"/>
    </row>
    <row r="256" spans="1:8">
      <c r="A256" s="2595" t="s">
        <v>1920</v>
      </c>
      <c r="B256" s="2594"/>
      <c r="C256" s="2594"/>
      <c r="D256" s="2594"/>
      <c r="E256" s="2594"/>
      <c r="F256" s="2594"/>
      <c r="G256" s="2594"/>
      <c r="H256" s="2594"/>
    </row>
    <row r="257" spans="1:8">
      <c r="A257" s="2595" t="s">
        <v>1921</v>
      </c>
      <c r="B257" s="2594"/>
      <c r="C257" s="2594"/>
      <c r="D257" s="2594"/>
      <c r="E257" s="2594"/>
      <c r="F257" s="2594"/>
      <c r="G257" s="2594"/>
      <c r="H257" s="2594"/>
    </row>
    <row r="258" spans="1:8">
      <c r="A258" s="2595" t="s">
        <v>1922</v>
      </c>
      <c r="B258" s="2594"/>
      <c r="C258" s="2594"/>
      <c r="D258" s="2594"/>
      <c r="E258" s="2594"/>
      <c r="F258" s="2594"/>
      <c r="G258" s="2594"/>
      <c r="H258" s="2594"/>
    </row>
    <row r="259" spans="1:8">
      <c r="A259" s="2595" t="s">
        <v>1923</v>
      </c>
      <c r="B259" s="2594"/>
      <c r="C259" s="2594"/>
      <c r="D259" s="2594"/>
      <c r="E259" s="2594"/>
      <c r="F259" s="2594"/>
      <c r="G259" s="2594"/>
      <c r="H259" s="2594"/>
    </row>
    <row r="260" spans="1:8">
      <c r="A260" s="2595" t="s">
        <v>1924</v>
      </c>
      <c r="B260" s="2594"/>
      <c r="C260" s="2594"/>
      <c r="D260" s="2594"/>
      <c r="E260" s="2594"/>
      <c r="F260" s="2594"/>
      <c r="G260" s="2594"/>
      <c r="H260" s="2594"/>
    </row>
    <row r="261" spans="1:8">
      <c r="A261" s="2595" t="s">
        <v>1925</v>
      </c>
      <c r="B261" s="2594"/>
      <c r="C261" s="2594"/>
      <c r="D261" s="2594"/>
      <c r="E261" s="2594"/>
      <c r="F261" s="2594"/>
      <c r="G261" s="2594"/>
      <c r="H261" s="2594"/>
    </row>
    <row r="262" spans="1:8">
      <c r="A262" s="2595" t="s">
        <v>1926</v>
      </c>
      <c r="B262" s="2594"/>
      <c r="C262" s="2594"/>
      <c r="D262" s="2594"/>
      <c r="E262" s="2594"/>
      <c r="F262" s="2594"/>
      <c r="G262" s="2594"/>
      <c r="H262" s="2594"/>
    </row>
    <row r="263" spans="1:8">
      <c r="A263" s="2595" t="s">
        <v>1927</v>
      </c>
      <c r="B263" s="2594"/>
      <c r="C263" s="2594"/>
      <c r="D263" s="2594"/>
      <c r="E263" s="2594"/>
      <c r="F263" s="2594"/>
      <c r="G263" s="2594"/>
      <c r="H263" s="2594"/>
    </row>
    <row r="264" spans="1:8">
      <c r="A264" s="2595" t="s">
        <v>1928</v>
      </c>
      <c r="B264" s="2594"/>
      <c r="C264" s="2594"/>
      <c r="D264" s="2594"/>
      <c r="E264" s="2594"/>
      <c r="F264" s="2594"/>
      <c r="G264" s="2594"/>
      <c r="H264" s="2594"/>
    </row>
    <row r="265" spans="1:8">
      <c r="A265" s="2595" t="s">
        <v>1929</v>
      </c>
      <c r="B265" s="2594"/>
      <c r="C265" s="2594"/>
      <c r="D265" s="2594"/>
      <c r="E265" s="2594"/>
      <c r="F265" s="2594"/>
      <c r="G265" s="2594"/>
      <c r="H265" s="2594"/>
    </row>
    <row r="266" spans="1:8">
      <c r="A266" s="2595" t="s">
        <v>1930</v>
      </c>
      <c r="B266" s="2594"/>
      <c r="C266" s="2594"/>
      <c r="D266" s="2594"/>
      <c r="E266" s="2594"/>
      <c r="F266" s="2594"/>
      <c r="G266" s="2594"/>
      <c r="H266" s="2594"/>
    </row>
    <row r="267" spans="1:8">
      <c r="A267" s="2595" t="s">
        <v>1931</v>
      </c>
      <c r="B267" s="2594"/>
      <c r="C267" s="2594"/>
      <c r="D267" s="2594"/>
      <c r="E267" s="2594"/>
      <c r="F267" s="2594"/>
      <c r="G267" s="2594"/>
      <c r="H267" s="2594"/>
    </row>
    <row r="268" spans="1:8">
      <c r="A268" s="2595" t="s">
        <v>1932</v>
      </c>
      <c r="B268" s="2594"/>
      <c r="C268" s="2594"/>
      <c r="D268" s="2594"/>
      <c r="E268" s="2594"/>
      <c r="F268" s="2594"/>
      <c r="G268" s="2594"/>
      <c r="H268" s="2594"/>
    </row>
    <row r="269" spans="1:8">
      <c r="A269" s="2595" t="s">
        <v>1933</v>
      </c>
      <c r="B269" s="2594"/>
      <c r="C269" s="2594"/>
      <c r="D269" s="2594"/>
      <c r="E269" s="2594"/>
      <c r="F269" s="2594"/>
      <c r="G269" s="2594"/>
      <c r="H269" s="2594"/>
    </row>
    <row r="270" spans="1:8">
      <c r="A270" s="2594"/>
      <c r="B270" s="2594"/>
      <c r="C270" s="2594"/>
      <c r="D270" s="2594"/>
      <c r="E270" s="2594"/>
      <c r="F270" s="2594"/>
      <c r="G270" s="2594"/>
      <c r="H270" s="2594"/>
    </row>
    <row r="271" spans="1:8">
      <c r="A271" s="2595" t="s">
        <v>1911</v>
      </c>
      <c r="B271" s="2594"/>
      <c r="C271" s="2594"/>
      <c r="D271" s="2594"/>
      <c r="E271" s="2594"/>
      <c r="F271" s="2594"/>
      <c r="G271" s="2594"/>
      <c r="H271" s="2594"/>
    </row>
    <row r="272" spans="1:8">
      <c r="A272" s="2595" t="s">
        <v>1912</v>
      </c>
      <c r="B272" s="2594"/>
      <c r="C272" s="2594"/>
      <c r="D272" s="2594"/>
      <c r="E272" s="2594"/>
      <c r="F272" s="2594"/>
      <c r="G272" s="2594"/>
      <c r="H272" s="2594"/>
    </row>
    <row r="273" spans="1:8">
      <c r="A273" s="2595" t="s">
        <v>1913</v>
      </c>
      <c r="B273" s="2594"/>
      <c r="C273" s="2594"/>
      <c r="D273" s="2594"/>
      <c r="E273" s="2594"/>
      <c r="F273" s="2594"/>
      <c r="G273" s="2594"/>
      <c r="H273" s="2594"/>
    </row>
    <row r="274" spans="1:8">
      <c r="A274" s="2595" t="s">
        <v>1914</v>
      </c>
      <c r="B274" s="2594"/>
      <c r="C274" s="2594"/>
      <c r="D274" s="2594"/>
      <c r="E274" s="2594"/>
      <c r="F274" s="2594"/>
      <c r="G274" s="2594"/>
      <c r="H274" s="2594"/>
    </row>
    <row r="275" spans="1:8">
      <c r="A275" s="2595" t="s">
        <v>1915</v>
      </c>
      <c r="B275" s="2594"/>
      <c r="C275" s="2594"/>
      <c r="D275" s="2594"/>
      <c r="E275" s="2594"/>
      <c r="F275" s="2594"/>
      <c r="G275" s="2594"/>
      <c r="H275" s="2594"/>
    </row>
    <row r="276" spans="1:8">
      <c r="A276" s="2595" t="s">
        <v>1916</v>
      </c>
      <c r="B276" s="2594"/>
      <c r="C276" s="2594"/>
      <c r="D276" s="2594"/>
      <c r="E276" s="2594"/>
      <c r="F276" s="2594"/>
      <c r="G276" s="2594"/>
      <c r="H276" s="2594"/>
    </row>
    <row r="277" spans="1:8">
      <c r="A277" s="2595" t="s">
        <v>1917</v>
      </c>
      <c r="B277" s="2594"/>
      <c r="C277" s="2594"/>
      <c r="D277" s="2594"/>
      <c r="E277" s="2594"/>
      <c r="F277" s="2594"/>
      <c r="G277" s="2594"/>
      <c r="H277" s="2594"/>
    </row>
    <row r="278" spans="1:8">
      <c r="A278" s="2594"/>
      <c r="B278" s="2594"/>
      <c r="C278" s="2594"/>
      <c r="D278" s="2594"/>
      <c r="E278" s="2594"/>
      <c r="F278" s="2594"/>
      <c r="G278" s="2594"/>
      <c r="H278" s="2594"/>
    </row>
    <row r="279" spans="1:8">
      <c r="A279" s="2595" t="s">
        <v>1902</v>
      </c>
      <c r="B279" s="2594"/>
      <c r="C279" s="2594"/>
      <c r="D279" s="2594"/>
      <c r="E279" s="2594"/>
      <c r="F279" s="2594"/>
      <c r="G279" s="2594"/>
      <c r="H279" s="2594"/>
    </row>
    <row r="280" spans="1:8">
      <c r="A280" s="2595" t="s">
        <v>1903</v>
      </c>
      <c r="B280" s="2594"/>
      <c r="C280" s="2594"/>
      <c r="D280" s="2594"/>
      <c r="E280" s="2594"/>
      <c r="F280" s="2594"/>
      <c r="G280" s="2594"/>
      <c r="H280" s="2594"/>
    </row>
    <row r="281" spans="1:8">
      <c r="A281" s="2595" t="s">
        <v>1904</v>
      </c>
      <c r="B281" s="2594"/>
      <c r="C281" s="2594"/>
      <c r="D281" s="2594"/>
      <c r="E281" s="2594"/>
      <c r="F281" s="2594"/>
      <c r="G281" s="2594"/>
      <c r="H281" s="2594"/>
    </row>
    <row r="282" spans="1:8">
      <c r="A282" s="2595" t="s">
        <v>1905</v>
      </c>
      <c r="B282" s="2594"/>
      <c r="C282" s="2594"/>
      <c r="D282" s="2594"/>
      <c r="E282" s="2594"/>
      <c r="F282" s="2594"/>
      <c r="G282" s="2594"/>
      <c r="H282" s="2594"/>
    </row>
    <row r="283" spans="1:8">
      <c r="A283" s="2595" t="s">
        <v>1906</v>
      </c>
      <c r="B283" s="2594"/>
      <c r="C283" s="2594"/>
      <c r="D283" s="2594"/>
      <c r="E283" s="2594"/>
      <c r="F283" s="2594"/>
      <c r="G283" s="2594"/>
      <c r="H283" s="2594"/>
    </row>
    <row r="284" spans="1:8">
      <c r="A284" s="2595" t="s">
        <v>1907</v>
      </c>
      <c r="B284" s="2594"/>
      <c r="C284" s="2594"/>
      <c r="D284" s="2594"/>
      <c r="E284" s="2594"/>
      <c r="F284" s="2594"/>
      <c r="G284" s="2594"/>
      <c r="H284" s="2594"/>
    </row>
    <row r="285" spans="1:8">
      <c r="A285" s="2595" t="s">
        <v>1908</v>
      </c>
      <c r="B285" s="2594"/>
      <c r="C285" s="2594"/>
      <c r="D285" s="2594"/>
      <c r="E285" s="2594"/>
      <c r="F285" s="2594"/>
      <c r="G285" s="2594"/>
      <c r="H285" s="2594"/>
    </row>
    <row r="286" spans="1:8">
      <c r="A286" s="2595" t="s">
        <v>1909</v>
      </c>
      <c r="B286" s="2594"/>
      <c r="C286" s="2594"/>
      <c r="D286" s="2594"/>
      <c r="E286" s="2594"/>
      <c r="F286" s="2594"/>
      <c r="G286" s="2594"/>
      <c r="H286" s="2594"/>
    </row>
    <row r="287" spans="1:8">
      <c r="A287" s="2595" t="s">
        <v>1910</v>
      </c>
      <c r="B287" s="2594"/>
      <c r="C287" s="2594"/>
      <c r="D287" s="2594"/>
      <c r="E287" s="2594"/>
      <c r="F287" s="2594"/>
      <c r="G287" s="2594"/>
      <c r="H287" s="2594"/>
    </row>
    <row r="288" spans="1:8">
      <c r="A288" s="2594"/>
      <c r="B288" s="2594"/>
      <c r="C288" s="2594"/>
      <c r="D288" s="2594"/>
      <c r="E288" s="2594"/>
      <c r="F288" s="2594"/>
      <c r="G288" s="2594"/>
      <c r="H288" s="2594"/>
    </row>
    <row r="289" spans="1:8">
      <c r="A289" s="2595" t="s">
        <v>1895</v>
      </c>
      <c r="B289" s="2594"/>
      <c r="C289" s="2594"/>
      <c r="D289" s="2594"/>
      <c r="E289" s="2594"/>
      <c r="F289" s="2594"/>
      <c r="G289" s="2594"/>
      <c r="H289" s="2594"/>
    </row>
    <row r="290" spans="1:8">
      <c r="A290" s="2595" t="s">
        <v>1896</v>
      </c>
      <c r="B290" s="2594"/>
      <c r="C290" s="2594"/>
      <c r="D290" s="2594"/>
      <c r="E290" s="2594"/>
      <c r="F290" s="2594"/>
      <c r="G290" s="2594"/>
      <c r="H290" s="2594"/>
    </row>
    <row r="291" spans="1:8">
      <c r="A291" s="2595" t="s">
        <v>1897</v>
      </c>
      <c r="B291" s="2594"/>
      <c r="C291" s="2594"/>
      <c r="D291" s="2594"/>
      <c r="E291" s="2594"/>
      <c r="F291" s="2594"/>
      <c r="G291" s="2594"/>
      <c r="H291" s="2594"/>
    </row>
    <row r="292" spans="1:8">
      <c r="A292" s="2595" t="s">
        <v>1898</v>
      </c>
      <c r="B292" s="2594"/>
      <c r="C292" s="2594"/>
      <c r="D292" s="2594"/>
      <c r="E292" s="2594"/>
      <c r="F292" s="2594"/>
      <c r="G292" s="2594"/>
      <c r="H292" s="2594"/>
    </row>
    <row r="293" spans="1:8">
      <c r="A293" s="2595" t="s">
        <v>1899</v>
      </c>
      <c r="B293" s="2594"/>
      <c r="C293" s="2594"/>
      <c r="D293" s="2594"/>
      <c r="E293" s="2594"/>
      <c r="F293" s="2594"/>
      <c r="G293" s="2594"/>
      <c r="H293" s="2594"/>
    </row>
    <row r="294" spans="1:8">
      <c r="A294" s="2595" t="s">
        <v>1900</v>
      </c>
      <c r="B294" s="2594"/>
      <c r="C294" s="2594"/>
      <c r="D294" s="2594"/>
      <c r="E294" s="2594"/>
      <c r="F294" s="2594"/>
      <c r="G294" s="2594"/>
      <c r="H294" s="2594"/>
    </row>
    <row r="295" spans="1:8">
      <c r="A295" s="2595" t="s">
        <v>1901</v>
      </c>
      <c r="B295" s="2594"/>
      <c r="C295" s="2594"/>
      <c r="D295" s="2594"/>
      <c r="E295" s="2594"/>
      <c r="F295" s="2594"/>
      <c r="G295" s="2594"/>
      <c r="H295" s="2594"/>
    </row>
    <row r="296" spans="1:8">
      <c r="A296" s="2594"/>
      <c r="B296" s="2594"/>
      <c r="C296" s="2594"/>
      <c r="D296" s="2594"/>
      <c r="E296" s="2594"/>
      <c r="F296" s="2594"/>
      <c r="G296" s="2594"/>
      <c r="H296" s="2594"/>
    </row>
    <row r="297" spans="1:8">
      <c r="A297" s="2595" t="s">
        <v>1892</v>
      </c>
      <c r="B297" s="2594"/>
      <c r="C297" s="2594"/>
      <c r="D297" s="2594"/>
      <c r="E297" s="2594"/>
      <c r="F297" s="2594"/>
      <c r="G297" s="2594"/>
      <c r="H297" s="2594"/>
    </row>
    <row r="298" spans="1:8">
      <c r="A298" s="2595" t="s">
        <v>1893</v>
      </c>
      <c r="B298" s="2594"/>
      <c r="C298" s="2594"/>
      <c r="D298" s="2594"/>
      <c r="E298" s="2594"/>
      <c r="F298" s="2594"/>
      <c r="G298" s="2594"/>
      <c r="H298" s="2594"/>
    </row>
    <row r="299" spans="1:8">
      <c r="A299" s="2595" t="s">
        <v>1894</v>
      </c>
      <c r="B299" s="2594"/>
      <c r="C299" s="2594"/>
      <c r="D299" s="2594"/>
      <c r="E299" s="2594"/>
      <c r="F299" s="2594"/>
      <c r="G299" s="2594"/>
      <c r="H299" s="2594"/>
    </row>
    <row r="300" spans="1:8">
      <c r="A300" s="2594"/>
      <c r="B300" s="2594"/>
      <c r="C300" s="2594"/>
      <c r="D300" s="2594"/>
      <c r="E300" s="2594"/>
      <c r="F300" s="2594"/>
      <c r="G300" s="2594"/>
      <c r="H300" s="2594"/>
    </row>
    <row r="301" spans="1:8">
      <c r="A301" s="2595" t="s">
        <v>1890</v>
      </c>
      <c r="B301" s="2594"/>
      <c r="C301" s="2594"/>
      <c r="D301" s="2594"/>
      <c r="E301" s="2594"/>
      <c r="F301" s="2594"/>
      <c r="G301" s="2594"/>
      <c r="H301" s="2594"/>
    </row>
    <row r="302" spans="1:8">
      <c r="A302" s="2595" t="s">
        <v>1891</v>
      </c>
      <c r="B302" s="2594"/>
      <c r="C302" s="2594"/>
      <c r="D302" s="2594"/>
      <c r="E302" s="2594"/>
      <c r="F302" s="2594"/>
      <c r="G302" s="2594"/>
      <c r="H302" s="2594"/>
    </row>
    <row r="303" spans="1:8">
      <c r="A303" s="2594"/>
      <c r="B303" s="2594"/>
      <c r="C303" s="2594"/>
      <c r="D303" s="2594"/>
      <c r="E303" s="2594"/>
      <c r="F303" s="2594"/>
      <c r="G303" s="2594"/>
      <c r="H303" s="2594"/>
    </row>
    <row r="304" spans="1:8">
      <c r="A304" s="2595" t="s">
        <v>1877</v>
      </c>
      <c r="B304" s="2594"/>
      <c r="C304" s="2594"/>
      <c r="D304" s="2594"/>
      <c r="E304" s="2594"/>
      <c r="F304" s="2594"/>
      <c r="G304" s="2594"/>
      <c r="H304" s="2594"/>
    </row>
    <row r="305" spans="1:8">
      <c r="A305" s="2595" t="s">
        <v>1878</v>
      </c>
      <c r="B305" s="2594"/>
      <c r="C305" s="2594"/>
      <c r="D305" s="2594"/>
      <c r="E305" s="2594"/>
      <c r="F305" s="2594"/>
      <c r="G305" s="2594"/>
      <c r="H305" s="2594"/>
    </row>
    <row r="306" spans="1:8">
      <c r="A306" s="2595" t="s">
        <v>1879</v>
      </c>
      <c r="B306" s="2594"/>
      <c r="C306" s="2594"/>
      <c r="D306" s="2594"/>
      <c r="E306" s="2594"/>
      <c r="F306" s="2594"/>
      <c r="G306" s="2594"/>
      <c r="H306" s="2594"/>
    </row>
    <row r="307" spans="1:8">
      <c r="A307" s="2595" t="s">
        <v>1880</v>
      </c>
      <c r="B307" s="2594"/>
      <c r="C307" s="2594"/>
      <c r="D307" s="2594"/>
      <c r="E307" s="2594"/>
      <c r="F307" s="2594"/>
      <c r="G307" s="2594"/>
      <c r="H307" s="2594"/>
    </row>
    <row r="308" spans="1:8">
      <c r="A308" s="2595" t="s">
        <v>1881</v>
      </c>
      <c r="B308" s="2594"/>
      <c r="C308" s="2594"/>
      <c r="D308" s="2594"/>
      <c r="E308" s="2594"/>
      <c r="F308" s="2594"/>
      <c r="G308" s="2594"/>
      <c r="H308" s="2594"/>
    </row>
    <row r="309" spans="1:8">
      <c r="A309" s="2595" t="s">
        <v>1882</v>
      </c>
      <c r="B309" s="2594"/>
      <c r="C309" s="2594"/>
      <c r="D309" s="2594"/>
      <c r="E309" s="2594"/>
      <c r="F309" s="2594"/>
      <c r="G309" s="2594"/>
      <c r="H309" s="2594"/>
    </row>
    <row r="310" spans="1:8">
      <c r="A310" s="2595" t="s">
        <v>1883</v>
      </c>
      <c r="B310" s="2594"/>
      <c r="C310" s="2594"/>
      <c r="D310" s="2594"/>
      <c r="E310" s="2594"/>
      <c r="F310" s="2594"/>
      <c r="G310" s="2594"/>
      <c r="H310" s="2594"/>
    </row>
    <row r="311" spans="1:8">
      <c r="A311" s="2595" t="s">
        <v>1884</v>
      </c>
      <c r="B311" s="2594"/>
      <c r="C311" s="2594"/>
      <c r="D311" s="2594"/>
      <c r="E311" s="2594"/>
      <c r="F311" s="2594"/>
      <c r="G311" s="2594"/>
      <c r="H311" s="2594"/>
    </row>
    <row r="312" spans="1:8">
      <c r="A312" s="2595" t="s">
        <v>1885</v>
      </c>
      <c r="B312" s="2594"/>
      <c r="C312" s="2594"/>
      <c r="D312" s="2594"/>
      <c r="E312" s="2594"/>
      <c r="F312" s="2594"/>
      <c r="G312" s="2594"/>
      <c r="H312" s="2594"/>
    </row>
    <row r="313" spans="1:8">
      <c r="A313" s="2595" t="s">
        <v>1886</v>
      </c>
      <c r="B313" s="2594"/>
      <c r="C313" s="2594"/>
      <c r="D313" s="2594"/>
      <c r="E313" s="2594"/>
      <c r="F313" s="2594"/>
      <c r="G313" s="2594"/>
      <c r="H313" s="2594"/>
    </row>
    <row r="314" spans="1:8">
      <c r="A314" s="2595" t="s">
        <v>1887</v>
      </c>
      <c r="B314" s="2594"/>
      <c r="C314" s="2594"/>
      <c r="D314" s="2594"/>
      <c r="E314" s="2594"/>
      <c r="F314" s="2594"/>
      <c r="G314" s="2594"/>
      <c r="H314" s="2594"/>
    </row>
    <row r="315" spans="1:8">
      <c r="A315" s="2595" t="s">
        <v>1888</v>
      </c>
      <c r="B315" s="2594"/>
      <c r="C315" s="2594"/>
      <c r="D315" s="2594"/>
      <c r="E315" s="2594"/>
      <c r="F315" s="2594"/>
      <c r="G315" s="2594"/>
      <c r="H315" s="2594"/>
    </row>
    <row r="316" spans="1:8">
      <c r="A316" s="2595" t="s">
        <v>1889</v>
      </c>
      <c r="B316" s="2594"/>
      <c r="C316" s="2594"/>
      <c r="D316" s="2594"/>
      <c r="E316" s="2594"/>
      <c r="F316" s="2594"/>
      <c r="G316" s="2594"/>
      <c r="H316" s="2594"/>
    </row>
    <row r="317" spans="1:8">
      <c r="A317" s="2594"/>
      <c r="B317" s="2594"/>
      <c r="C317" s="2594"/>
      <c r="D317" s="2594"/>
      <c r="E317" s="2594"/>
      <c r="F317" s="2594"/>
      <c r="G317" s="2594"/>
      <c r="H317" s="2594"/>
    </row>
    <row r="318" spans="1:8">
      <c r="A318" s="2595" t="s">
        <v>1869</v>
      </c>
      <c r="B318" s="2594"/>
      <c r="C318" s="2594"/>
      <c r="D318" s="2594"/>
      <c r="E318" s="2594"/>
      <c r="F318" s="2594"/>
      <c r="G318" s="2594"/>
      <c r="H318" s="2594"/>
    </row>
    <row r="319" spans="1:8">
      <c r="A319" s="2595" t="s">
        <v>1870</v>
      </c>
      <c r="B319" s="2594"/>
      <c r="C319" s="2594"/>
      <c r="D319" s="2594"/>
      <c r="E319" s="2594"/>
      <c r="F319" s="2594"/>
      <c r="G319" s="2594"/>
      <c r="H319" s="2594"/>
    </row>
    <row r="320" spans="1:8">
      <c r="A320" s="2595" t="s">
        <v>1871</v>
      </c>
      <c r="B320" s="2594"/>
      <c r="C320" s="2594"/>
      <c r="D320" s="2594"/>
      <c r="E320" s="2594"/>
      <c r="F320" s="2594"/>
      <c r="G320" s="2594"/>
      <c r="H320" s="2594"/>
    </row>
    <row r="321" spans="1:8">
      <c r="A321" s="2595" t="s">
        <v>1872</v>
      </c>
      <c r="B321" s="2594"/>
      <c r="C321" s="2594"/>
      <c r="D321" s="2594"/>
      <c r="E321" s="2594"/>
      <c r="F321" s="2594"/>
      <c r="G321" s="2594"/>
      <c r="H321" s="2594"/>
    </row>
    <row r="322" spans="1:8">
      <c r="A322" s="2595" t="s">
        <v>1873</v>
      </c>
      <c r="B322" s="2594"/>
      <c r="C322" s="2594"/>
      <c r="D322" s="2594"/>
      <c r="E322" s="2594"/>
      <c r="F322" s="2594"/>
      <c r="G322" s="2594"/>
      <c r="H322" s="2594"/>
    </row>
    <row r="323" spans="1:8">
      <c r="A323" s="2595" t="s">
        <v>1874</v>
      </c>
      <c r="B323" s="2594"/>
      <c r="C323" s="2594"/>
      <c r="D323" s="2594"/>
      <c r="E323" s="2594"/>
      <c r="F323" s="2594"/>
      <c r="G323" s="2594"/>
      <c r="H323" s="2594"/>
    </row>
    <row r="324" spans="1:8">
      <c r="A324" s="2595" t="s">
        <v>1875</v>
      </c>
      <c r="B324" s="2594"/>
      <c r="C324" s="2594"/>
      <c r="D324" s="2594"/>
      <c r="E324" s="2594"/>
      <c r="F324" s="2594"/>
      <c r="G324" s="2594"/>
      <c r="H324" s="2594"/>
    </row>
    <row r="325" spans="1:8">
      <c r="A325" s="2595" t="s">
        <v>1876</v>
      </c>
      <c r="B325" s="2594"/>
      <c r="C325" s="2594"/>
      <c r="D325" s="2594"/>
      <c r="E325" s="2594"/>
      <c r="F325" s="2594"/>
      <c r="G325" s="2594"/>
      <c r="H325" s="2594"/>
    </row>
    <row r="326" spans="1:8">
      <c r="A326" s="2594"/>
      <c r="B326" s="2594"/>
      <c r="C326" s="2594"/>
      <c r="D326" s="2594"/>
      <c r="E326" s="2594"/>
      <c r="F326" s="2594"/>
      <c r="G326" s="2594"/>
      <c r="H326" s="2594"/>
    </row>
    <row r="327" spans="1:8">
      <c r="A327" s="2595" t="s">
        <v>1834</v>
      </c>
      <c r="B327" s="2594"/>
      <c r="C327" s="2594"/>
      <c r="D327" s="2594"/>
      <c r="E327" s="2594"/>
      <c r="F327" s="2594"/>
      <c r="G327" s="2594"/>
      <c r="H327" s="2594"/>
    </row>
    <row r="328" spans="1:8">
      <c r="A328" s="2595" t="s">
        <v>1835</v>
      </c>
      <c r="B328" s="2594"/>
      <c r="C328" s="2594"/>
      <c r="D328" s="2594"/>
      <c r="E328" s="2594"/>
      <c r="F328" s="2594"/>
      <c r="G328" s="2594"/>
      <c r="H328" s="2594"/>
    </row>
    <row r="329" spans="1:8">
      <c r="A329" s="2595" t="s">
        <v>1836</v>
      </c>
      <c r="B329" s="2594"/>
      <c r="C329" s="2594"/>
      <c r="D329" s="2594"/>
      <c r="E329" s="2594"/>
      <c r="F329" s="2594"/>
      <c r="G329" s="2594"/>
      <c r="H329" s="2594"/>
    </row>
    <row r="330" spans="1:8">
      <c r="A330" s="2595" t="s">
        <v>1837</v>
      </c>
      <c r="B330" s="2594"/>
      <c r="C330" s="2594"/>
      <c r="D330" s="2594"/>
      <c r="E330" s="2594"/>
      <c r="F330" s="2594"/>
      <c r="G330" s="2594"/>
      <c r="H330" s="2594"/>
    </row>
    <row r="331" spans="1:8">
      <c r="A331" s="2595" t="s">
        <v>1838</v>
      </c>
      <c r="B331" s="2594"/>
      <c r="C331" s="2594"/>
      <c r="D331" s="2594"/>
      <c r="E331" s="2594"/>
      <c r="F331" s="2594"/>
      <c r="G331" s="2594"/>
      <c r="H331" s="2594"/>
    </row>
    <row r="332" spans="1:8">
      <c r="A332" s="2595" t="s">
        <v>1839</v>
      </c>
      <c r="B332" s="2594"/>
      <c r="C332" s="2594"/>
      <c r="D332" s="2594"/>
      <c r="E332" s="2594"/>
      <c r="F332" s="2594"/>
      <c r="G332" s="2594"/>
      <c r="H332" s="2594"/>
    </row>
    <row r="333" spans="1:8">
      <c r="A333" s="2595" t="s">
        <v>1840</v>
      </c>
      <c r="B333" s="2594"/>
      <c r="C333" s="2594"/>
      <c r="D333" s="2594"/>
      <c r="E333" s="2594"/>
      <c r="F333" s="2594"/>
      <c r="G333" s="2594"/>
      <c r="H333" s="2594"/>
    </row>
    <row r="334" spans="1:8">
      <c r="A334" s="2595" t="s">
        <v>1841</v>
      </c>
      <c r="B334" s="2594"/>
      <c r="C334" s="2594"/>
      <c r="D334" s="2594"/>
      <c r="E334" s="2594"/>
      <c r="F334" s="2594"/>
      <c r="G334" s="2594"/>
      <c r="H334" s="2594"/>
    </row>
    <row r="335" spans="1:8">
      <c r="A335" s="2595" t="s">
        <v>1842</v>
      </c>
      <c r="B335" s="2594"/>
      <c r="C335" s="2594"/>
      <c r="D335" s="2594"/>
      <c r="E335" s="2594"/>
      <c r="F335" s="2594"/>
      <c r="G335" s="2594"/>
      <c r="H335" s="2594"/>
    </row>
    <row r="336" spans="1:8">
      <c r="A336" s="2595" t="s">
        <v>1843</v>
      </c>
      <c r="B336" s="2594"/>
      <c r="C336" s="2594"/>
      <c r="D336" s="2594"/>
      <c r="E336" s="2594"/>
      <c r="F336" s="2594"/>
      <c r="G336" s="2594"/>
      <c r="H336" s="2594"/>
    </row>
    <row r="337" spans="1:8">
      <c r="A337" s="2595" t="s">
        <v>1844</v>
      </c>
      <c r="B337" s="2594"/>
      <c r="C337" s="2594"/>
      <c r="D337" s="2594"/>
      <c r="E337" s="2594"/>
      <c r="F337" s="2594"/>
      <c r="G337" s="2594"/>
      <c r="H337" s="2594"/>
    </row>
    <row r="338" spans="1:8">
      <c r="A338" s="2595" t="s">
        <v>1845</v>
      </c>
      <c r="B338" s="2594"/>
      <c r="C338" s="2594"/>
      <c r="D338" s="2594"/>
      <c r="E338" s="2594"/>
      <c r="F338" s="2594"/>
      <c r="G338" s="2594"/>
      <c r="H338" s="2594"/>
    </row>
    <row r="339" spans="1:8">
      <c r="A339" s="2595" t="s">
        <v>1846</v>
      </c>
      <c r="B339" s="2594"/>
      <c r="C339" s="2594"/>
      <c r="D339" s="2594"/>
      <c r="E339" s="2594"/>
      <c r="F339" s="2594"/>
      <c r="G339" s="2594"/>
      <c r="H339" s="2594"/>
    </row>
    <row r="340" spans="1:8">
      <c r="A340" s="2595" t="s">
        <v>1847</v>
      </c>
      <c r="B340" s="2594"/>
      <c r="C340" s="2594"/>
      <c r="D340" s="2594"/>
      <c r="E340" s="2594"/>
      <c r="F340" s="2594"/>
      <c r="G340" s="2594"/>
      <c r="H340" s="2594"/>
    </row>
    <row r="341" spans="1:8">
      <c r="A341" s="2595" t="s">
        <v>1848</v>
      </c>
      <c r="B341" s="2594"/>
      <c r="C341" s="2594"/>
      <c r="D341" s="2594"/>
      <c r="E341" s="2594"/>
      <c r="F341" s="2594"/>
      <c r="G341" s="2594"/>
      <c r="H341" s="2594"/>
    </row>
    <row r="342" spans="1:8">
      <c r="A342" s="2595" t="s">
        <v>1849</v>
      </c>
      <c r="B342" s="2594"/>
      <c r="C342" s="2594"/>
      <c r="D342" s="2594"/>
      <c r="E342" s="2594"/>
      <c r="F342" s="2594"/>
      <c r="G342" s="2594"/>
      <c r="H342" s="2594"/>
    </row>
    <row r="343" spans="1:8">
      <c r="A343" s="2595" t="s">
        <v>1850</v>
      </c>
      <c r="B343" s="2594"/>
      <c r="C343" s="2594"/>
      <c r="D343" s="2594"/>
      <c r="E343" s="2594"/>
      <c r="F343" s="2594"/>
      <c r="G343" s="2594"/>
      <c r="H343" s="2594"/>
    </row>
    <row r="344" spans="1:8">
      <c r="A344" s="2595" t="s">
        <v>1851</v>
      </c>
      <c r="B344" s="2594"/>
      <c r="C344" s="2594"/>
      <c r="D344" s="2594"/>
      <c r="E344" s="2594"/>
      <c r="F344" s="2594"/>
      <c r="G344" s="2594"/>
      <c r="H344" s="2594"/>
    </row>
    <row r="345" spans="1:8">
      <c r="A345" s="2595" t="s">
        <v>1852</v>
      </c>
      <c r="B345" s="2594"/>
      <c r="C345" s="2594"/>
      <c r="D345" s="2594"/>
      <c r="E345" s="2594"/>
      <c r="F345" s="2594"/>
      <c r="G345" s="2594"/>
      <c r="H345" s="2594"/>
    </row>
    <row r="346" spans="1:8">
      <c r="A346" s="2595" t="s">
        <v>1853</v>
      </c>
      <c r="B346" s="2594"/>
      <c r="C346" s="2594"/>
      <c r="D346" s="2594"/>
      <c r="E346" s="2594"/>
      <c r="F346" s="2594"/>
      <c r="G346" s="2594"/>
      <c r="H346" s="2594"/>
    </row>
    <row r="347" spans="1:8">
      <c r="A347" s="2595" t="s">
        <v>1854</v>
      </c>
      <c r="B347" s="2594"/>
      <c r="C347" s="2594"/>
      <c r="D347" s="2594"/>
      <c r="E347" s="2594"/>
      <c r="F347" s="2594"/>
      <c r="G347" s="2594"/>
      <c r="H347" s="2594"/>
    </row>
    <row r="348" spans="1:8">
      <c r="A348" s="2595" t="s">
        <v>1855</v>
      </c>
      <c r="B348" s="2594"/>
      <c r="C348" s="2594"/>
      <c r="D348" s="2594"/>
      <c r="E348" s="2594"/>
      <c r="F348" s="2594"/>
      <c r="G348" s="2594"/>
      <c r="H348" s="2594"/>
    </row>
    <row r="349" spans="1:8">
      <c r="A349" s="2595" t="s">
        <v>1856</v>
      </c>
      <c r="B349" s="2594"/>
      <c r="C349" s="2594"/>
      <c r="D349" s="2594"/>
      <c r="E349" s="2594"/>
      <c r="F349" s="2594"/>
      <c r="G349" s="2594"/>
      <c r="H349" s="2594"/>
    </row>
    <row r="350" spans="1:8">
      <c r="A350" s="2595" t="s">
        <v>1857</v>
      </c>
      <c r="B350" s="2594"/>
      <c r="C350" s="2594"/>
      <c r="D350" s="2594"/>
      <c r="E350" s="2594"/>
      <c r="F350" s="2594"/>
      <c r="G350" s="2594"/>
      <c r="H350" s="2594"/>
    </row>
    <row r="351" spans="1:8">
      <c r="A351" s="2595" t="s">
        <v>1858</v>
      </c>
      <c r="B351" s="2594"/>
      <c r="C351" s="2594"/>
      <c r="D351" s="2594"/>
      <c r="E351" s="2594"/>
      <c r="F351" s="2594"/>
      <c r="G351" s="2594"/>
      <c r="H351" s="2594"/>
    </row>
    <row r="352" spans="1:8">
      <c r="A352" s="2595" t="s">
        <v>1859</v>
      </c>
      <c r="B352" s="2594"/>
      <c r="C352" s="2594"/>
      <c r="D352" s="2594"/>
      <c r="E352" s="2594"/>
      <c r="F352" s="2594"/>
      <c r="G352" s="2594"/>
      <c r="H352" s="2594"/>
    </row>
    <row r="353" spans="1:8">
      <c r="A353" s="2595" t="s">
        <v>1860</v>
      </c>
      <c r="B353" s="2594"/>
      <c r="C353" s="2594"/>
      <c r="D353" s="2594"/>
      <c r="E353" s="2594"/>
      <c r="F353" s="2594"/>
      <c r="G353" s="2594"/>
      <c r="H353" s="2594"/>
    </row>
    <row r="354" spans="1:8">
      <c r="A354" s="2595" t="s">
        <v>1861</v>
      </c>
      <c r="B354" s="2594"/>
      <c r="C354" s="2594"/>
      <c r="D354" s="2594"/>
      <c r="E354" s="2594"/>
      <c r="F354" s="2594"/>
      <c r="G354" s="2594"/>
      <c r="H354" s="2594"/>
    </row>
    <row r="355" spans="1:8">
      <c r="A355" s="2595" t="s">
        <v>1862</v>
      </c>
      <c r="B355" s="2594"/>
      <c r="C355" s="2594"/>
      <c r="D355" s="2594"/>
      <c r="E355" s="2594"/>
      <c r="F355" s="2594"/>
      <c r="G355" s="2594"/>
      <c r="H355" s="2594"/>
    </row>
    <row r="356" spans="1:8">
      <c r="A356" s="2595" t="s">
        <v>1863</v>
      </c>
      <c r="B356" s="2594"/>
      <c r="C356" s="2594"/>
      <c r="D356" s="2594"/>
      <c r="E356" s="2594"/>
      <c r="F356" s="2594"/>
      <c r="G356" s="2594"/>
      <c r="H356" s="2594"/>
    </row>
    <row r="357" spans="1:8">
      <c r="A357" s="2595" t="s">
        <v>1864</v>
      </c>
      <c r="B357" s="2594"/>
      <c r="C357" s="2594"/>
      <c r="D357" s="2594"/>
      <c r="E357" s="2594"/>
      <c r="F357" s="2594"/>
      <c r="G357" s="2594"/>
      <c r="H357" s="2594"/>
    </row>
    <row r="358" spans="1:8">
      <c r="A358" s="2595" t="s">
        <v>1865</v>
      </c>
      <c r="B358" s="2594"/>
      <c r="C358" s="2594"/>
      <c r="D358" s="2594"/>
      <c r="E358" s="2594"/>
      <c r="F358" s="2594"/>
      <c r="G358" s="2594"/>
      <c r="H358" s="2594"/>
    </row>
    <row r="359" spans="1:8">
      <c r="A359" s="2595" t="s">
        <v>1866</v>
      </c>
      <c r="B359" s="2594"/>
      <c r="C359" s="2594"/>
      <c r="D359" s="2594"/>
      <c r="E359" s="2594"/>
      <c r="F359" s="2594"/>
      <c r="G359" s="2594"/>
      <c r="H359" s="2594"/>
    </row>
    <row r="360" spans="1:8">
      <c r="A360" s="2595" t="s">
        <v>1867</v>
      </c>
      <c r="B360" s="2594"/>
      <c r="C360" s="2594"/>
      <c r="D360" s="2594"/>
      <c r="E360" s="2594"/>
      <c r="F360" s="2594"/>
      <c r="G360" s="2594"/>
      <c r="H360" s="2594"/>
    </row>
    <row r="361" spans="1:8">
      <c r="A361" s="2595" t="s">
        <v>1868</v>
      </c>
      <c r="B361" s="2594"/>
      <c r="C361" s="2594"/>
      <c r="D361" s="2594"/>
      <c r="E361" s="2594"/>
      <c r="F361" s="2594"/>
      <c r="G361" s="2594"/>
      <c r="H361" s="2594"/>
    </row>
    <row r="362" spans="1:8">
      <c r="A362" s="2594"/>
      <c r="B362" s="2594"/>
      <c r="C362" s="2594"/>
      <c r="D362" s="2594"/>
      <c r="E362" s="2594"/>
      <c r="F362" s="2594"/>
      <c r="G362" s="2594"/>
      <c r="H362" s="2594"/>
    </row>
    <row r="363" spans="1:8">
      <c r="A363" s="2595" t="s">
        <v>1826</v>
      </c>
      <c r="B363" s="2594"/>
      <c r="C363" s="2594"/>
      <c r="D363" s="2594"/>
      <c r="E363" s="2594"/>
      <c r="F363" s="2594"/>
      <c r="G363" s="2594"/>
      <c r="H363" s="2594"/>
    </row>
    <row r="364" spans="1:8">
      <c r="A364" s="2595" t="s">
        <v>1830</v>
      </c>
      <c r="B364" s="2594"/>
      <c r="C364" s="2594"/>
      <c r="D364" s="2594"/>
      <c r="E364" s="2594"/>
      <c r="F364" s="2594"/>
      <c r="G364" s="2594"/>
      <c r="H364" s="2594"/>
    </row>
    <row r="365" spans="1:8">
      <c r="A365" s="2595" t="s">
        <v>1831</v>
      </c>
      <c r="B365" s="2594"/>
      <c r="C365" s="2594"/>
      <c r="D365" s="2594"/>
      <c r="E365" s="2594"/>
      <c r="F365" s="2594"/>
      <c r="G365" s="2594"/>
      <c r="H365" s="2594"/>
    </row>
    <row r="366" spans="1:8">
      <c r="A366" s="2595" t="s">
        <v>1832</v>
      </c>
      <c r="B366" s="2594"/>
      <c r="C366" s="2594"/>
      <c r="D366" s="2594"/>
      <c r="E366" s="2594"/>
      <c r="F366" s="2594"/>
      <c r="G366" s="2594"/>
      <c r="H366" s="2594"/>
    </row>
    <row r="367" spans="1:8">
      <c r="A367" s="2595" t="s">
        <v>1833</v>
      </c>
      <c r="B367" s="2594"/>
      <c r="C367" s="2594"/>
      <c r="D367" s="2594"/>
      <c r="E367" s="2594"/>
      <c r="F367" s="2594"/>
      <c r="G367" s="2594"/>
      <c r="H367" s="2594"/>
    </row>
    <row r="368" spans="1:8">
      <c r="A368" s="2594"/>
      <c r="B368" s="2594"/>
      <c r="C368" s="2594"/>
      <c r="D368" s="2594"/>
      <c r="E368" s="2594"/>
      <c r="F368" s="2594"/>
      <c r="G368" s="2594"/>
      <c r="H368" s="2594"/>
    </row>
    <row r="369" spans="1:8">
      <c r="A369" s="2595" t="s">
        <v>1826</v>
      </c>
      <c r="B369" s="2594"/>
      <c r="C369" s="2594"/>
      <c r="D369" s="2594"/>
      <c r="E369" s="2594"/>
      <c r="F369" s="2594"/>
      <c r="G369" s="2594"/>
      <c r="H369" s="2594"/>
    </row>
    <row r="370" spans="1:8">
      <c r="A370" s="2595" t="s">
        <v>1827</v>
      </c>
      <c r="B370" s="2594"/>
      <c r="C370" s="2594"/>
      <c r="D370" s="2594"/>
      <c r="E370" s="2594"/>
      <c r="F370" s="2594"/>
      <c r="G370" s="2594"/>
      <c r="H370" s="2594"/>
    </row>
    <row r="371" spans="1:8">
      <c r="A371" s="2595" t="s">
        <v>1828</v>
      </c>
      <c r="B371" s="2594"/>
      <c r="C371" s="2594"/>
      <c r="D371" s="2594"/>
      <c r="E371" s="2594"/>
      <c r="F371" s="2594"/>
      <c r="G371" s="2594"/>
      <c r="H371" s="2594"/>
    </row>
    <row r="372" spans="1:8">
      <c r="A372" s="2595" t="s">
        <v>1829</v>
      </c>
      <c r="B372" s="2594"/>
      <c r="C372" s="2594"/>
      <c r="D372" s="2594"/>
      <c r="E372" s="2594"/>
      <c r="F372" s="2594"/>
      <c r="G372" s="2594"/>
      <c r="H372" s="2594"/>
    </row>
    <row r="373" spans="1:8">
      <c r="A373" s="2594"/>
      <c r="B373" s="2594"/>
      <c r="C373" s="2594"/>
      <c r="D373" s="2594"/>
      <c r="E373" s="2594"/>
      <c r="F373" s="2594"/>
      <c r="G373" s="2594"/>
      <c r="H373" s="2594"/>
    </row>
    <row r="374" spans="1:8">
      <c r="A374" s="2595" t="s">
        <v>1820</v>
      </c>
      <c r="B374" s="2594"/>
      <c r="C374" s="2594"/>
      <c r="D374" s="2594"/>
      <c r="E374" s="2594"/>
      <c r="F374" s="2594"/>
      <c r="G374" s="2594"/>
      <c r="H374" s="2594"/>
    </row>
    <row r="375" spans="1:8">
      <c r="A375" s="2595" t="s">
        <v>1821</v>
      </c>
      <c r="B375" s="2594"/>
      <c r="C375" s="2594"/>
      <c r="D375" s="2594"/>
      <c r="E375" s="2594"/>
      <c r="F375" s="2594"/>
      <c r="G375" s="2594"/>
      <c r="H375" s="2594"/>
    </row>
    <row r="376" spans="1:8">
      <c r="A376" s="2595" t="s">
        <v>1822</v>
      </c>
      <c r="B376" s="2594"/>
      <c r="C376" s="2594"/>
      <c r="D376" s="2594"/>
      <c r="E376" s="2594"/>
      <c r="F376" s="2594"/>
      <c r="G376" s="2594"/>
      <c r="H376" s="2594"/>
    </row>
    <row r="377" spans="1:8">
      <c r="A377" s="2595" t="s">
        <v>1823</v>
      </c>
      <c r="B377" s="2594"/>
      <c r="C377" s="2594"/>
      <c r="D377" s="2594"/>
      <c r="E377" s="2594"/>
      <c r="F377" s="2594"/>
      <c r="G377" s="2594"/>
      <c r="H377" s="2594"/>
    </row>
    <row r="378" spans="1:8">
      <c r="A378" s="2595" t="s">
        <v>1824</v>
      </c>
      <c r="B378" s="2594"/>
      <c r="C378" s="2594"/>
      <c r="D378" s="2594"/>
      <c r="E378" s="2594"/>
      <c r="F378" s="2594"/>
      <c r="G378" s="2594"/>
      <c r="H378" s="2594"/>
    </row>
    <row r="379" spans="1:8">
      <c r="A379" s="2595" t="s">
        <v>1825</v>
      </c>
      <c r="B379" s="2594"/>
      <c r="C379" s="2594"/>
      <c r="D379" s="2594"/>
      <c r="E379" s="2594"/>
      <c r="F379" s="2594"/>
      <c r="G379" s="2594"/>
      <c r="H379" s="2594"/>
    </row>
    <row r="380" spans="1:8">
      <c r="A380" s="2594"/>
      <c r="B380" s="2594"/>
      <c r="C380" s="2594"/>
      <c r="D380" s="2594"/>
      <c r="E380" s="2594"/>
      <c r="F380" s="2594"/>
      <c r="G380" s="2594"/>
      <c r="H380" s="2594"/>
    </row>
    <row r="381" spans="1:8">
      <c r="A381" s="2595" t="s">
        <v>1815</v>
      </c>
      <c r="B381" s="2594"/>
      <c r="C381" s="2594"/>
      <c r="D381" s="2594"/>
      <c r="E381" s="2594"/>
      <c r="F381" s="2594"/>
      <c r="G381" s="2594"/>
      <c r="H381" s="2594"/>
    </row>
    <row r="382" spans="1:8">
      <c r="A382" s="2595" t="s">
        <v>1816</v>
      </c>
      <c r="B382" s="2594"/>
      <c r="C382" s="2594"/>
      <c r="D382" s="2594"/>
      <c r="E382" s="2594"/>
      <c r="F382" s="2594"/>
      <c r="G382" s="2594"/>
      <c r="H382" s="2594"/>
    </row>
    <row r="383" spans="1:8">
      <c r="A383" s="2595" t="s">
        <v>1817</v>
      </c>
      <c r="B383" s="2594"/>
      <c r="C383" s="2594"/>
      <c r="D383" s="2594"/>
      <c r="E383" s="2594"/>
      <c r="F383" s="2594"/>
      <c r="G383" s="2594"/>
      <c r="H383" s="2594"/>
    </row>
    <row r="384" spans="1:8">
      <c r="A384" s="2595" t="s">
        <v>1818</v>
      </c>
      <c r="B384" s="2594"/>
      <c r="C384" s="2594"/>
      <c r="D384" s="2594"/>
      <c r="E384" s="2594"/>
      <c r="F384" s="2594"/>
      <c r="G384" s="2594"/>
      <c r="H384" s="2594"/>
    </row>
    <row r="385" spans="1:8">
      <c r="A385" s="2595" t="s">
        <v>1819</v>
      </c>
      <c r="B385" s="2594"/>
      <c r="C385" s="2594"/>
      <c r="D385" s="2594"/>
      <c r="E385" s="2594"/>
      <c r="F385" s="2594"/>
      <c r="G385" s="2594"/>
      <c r="H385" s="2594"/>
    </row>
    <row r="386" spans="1:8">
      <c r="A386" s="2594"/>
      <c r="B386" s="2594"/>
      <c r="C386" s="2594"/>
      <c r="D386" s="2594"/>
      <c r="E386" s="2594"/>
      <c r="F386" s="2594"/>
      <c r="G386" s="2594"/>
      <c r="H386" s="2594"/>
    </row>
    <row r="387" spans="1:8">
      <c r="A387" s="2595" t="s">
        <v>1813</v>
      </c>
      <c r="B387" s="2594"/>
      <c r="C387" s="2594"/>
      <c r="D387" s="2594"/>
      <c r="E387" s="2594"/>
      <c r="F387" s="2594"/>
      <c r="G387" s="2594"/>
      <c r="H387" s="2594"/>
    </row>
    <row r="388" spans="1:8">
      <c r="A388" s="2595" t="s">
        <v>1814</v>
      </c>
      <c r="B388" s="2594"/>
      <c r="C388" s="2594"/>
      <c r="D388" s="2594"/>
      <c r="E388" s="2594"/>
      <c r="F388" s="2594"/>
      <c r="G388" s="2594"/>
      <c r="H388" s="2594"/>
    </row>
    <row r="390" spans="1:8">
      <c r="A390" s="2590" t="s">
        <v>2070</v>
      </c>
    </row>
  </sheetData>
  <mergeCells count="12">
    <mergeCell ref="A127:H127"/>
    <mergeCell ref="A128:H128"/>
    <mergeCell ref="B120:C120"/>
    <mergeCell ref="D120:F120"/>
    <mergeCell ref="G120:H120"/>
    <mergeCell ref="A106:H106"/>
    <mergeCell ref="A107:H107"/>
    <mergeCell ref="A108:H108"/>
    <mergeCell ref="A109:H109"/>
    <mergeCell ref="A111:H111"/>
    <mergeCell ref="A112:H112"/>
    <mergeCell ref="A119:H119"/>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B38"/>
  <sheetViews>
    <sheetView workbookViewId="0"/>
  </sheetViews>
  <sheetFormatPr defaultRowHeight="12.75"/>
  <sheetData>
    <row r="1" spans="1:2">
      <c r="A1" t="s">
        <v>2137</v>
      </c>
      <c r="B1" t="s">
        <v>2138</v>
      </c>
    </row>
    <row r="2" spans="1:2">
      <c r="A2" s="17" t="s">
        <v>2139</v>
      </c>
      <c r="B2">
        <v>-1</v>
      </c>
    </row>
    <row r="3" spans="1:2">
      <c r="A3" s="17" t="s">
        <v>2140</v>
      </c>
      <c r="B3">
        <v>2</v>
      </c>
    </row>
    <row r="4" spans="1:2">
      <c r="A4" s="17" t="s">
        <v>2141</v>
      </c>
      <c r="B4">
        <v>-1</v>
      </c>
    </row>
    <row r="5" spans="1:2">
      <c r="A5" s="17" t="s">
        <v>2142</v>
      </c>
      <c r="B5">
        <v>-1</v>
      </c>
    </row>
    <row r="6" spans="1:2">
      <c r="A6" s="17" t="s">
        <v>2143</v>
      </c>
      <c r="B6">
        <v>-1</v>
      </c>
    </row>
    <row r="7" spans="1:2">
      <c r="A7" s="17" t="s">
        <v>2144</v>
      </c>
      <c r="B7">
        <v>-1</v>
      </c>
    </row>
    <row r="8" spans="1:2">
      <c r="A8" s="17" t="s">
        <v>2145</v>
      </c>
      <c r="B8">
        <v>-1</v>
      </c>
    </row>
    <row r="9" spans="1:2">
      <c r="A9" s="17" t="s">
        <v>2146</v>
      </c>
      <c r="B9">
        <v>-1</v>
      </c>
    </row>
    <row r="10" spans="1:2">
      <c r="A10" s="17" t="s">
        <v>1416</v>
      </c>
      <c r="B10">
        <v>-1</v>
      </c>
    </row>
    <row r="11" spans="1:2">
      <c r="A11" s="17" t="s">
        <v>2147</v>
      </c>
      <c r="B11">
        <v>-1</v>
      </c>
    </row>
    <row r="12" spans="1:2">
      <c r="A12" s="17" t="s">
        <v>2148</v>
      </c>
      <c r="B12">
        <v>-1</v>
      </c>
    </row>
    <row r="13" spans="1:2">
      <c r="A13" s="17" t="s">
        <v>140</v>
      </c>
      <c r="B13">
        <v>-1</v>
      </c>
    </row>
    <row r="14" spans="1:2">
      <c r="A14" s="17" t="s">
        <v>393</v>
      </c>
      <c r="B14">
        <v>-1</v>
      </c>
    </row>
    <row r="15" spans="1:2">
      <c r="A15" s="17" t="s">
        <v>2149</v>
      </c>
      <c r="B15">
        <v>-1</v>
      </c>
    </row>
    <row r="16" spans="1:2">
      <c r="A16" s="17" t="s">
        <v>2150</v>
      </c>
      <c r="B16">
        <v>-1</v>
      </c>
    </row>
    <row r="17" spans="1:2">
      <c r="A17" s="17" t="s">
        <v>2151</v>
      </c>
      <c r="B17">
        <v>-1</v>
      </c>
    </row>
    <row r="18" spans="1:2">
      <c r="A18" s="17" t="s">
        <v>2152</v>
      </c>
      <c r="B18">
        <v>-1</v>
      </c>
    </row>
    <row r="19" spans="1:2">
      <c r="A19" s="17" t="s">
        <v>2153</v>
      </c>
      <c r="B19">
        <v>-1</v>
      </c>
    </row>
    <row r="20" spans="1:2">
      <c r="A20" s="17" t="s">
        <v>2154</v>
      </c>
      <c r="B20">
        <v>-1</v>
      </c>
    </row>
    <row r="21" spans="1:2">
      <c r="A21" s="17" t="s">
        <v>2155</v>
      </c>
      <c r="B21">
        <v>-1</v>
      </c>
    </row>
    <row r="22" spans="1:2">
      <c r="A22" s="17" t="s">
        <v>2156</v>
      </c>
      <c r="B22">
        <v>-1</v>
      </c>
    </row>
    <row r="23" spans="1:2">
      <c r="A23" s="17" t="s">
        <v>2157</v>
      </c>
      <c r="B23">
        <v>-1</v>
      </c>
    </row>
    <row r="24" spans="1:2">
      <c r="A24" s="17" t="s">
        <v>2158</v>
      </c>
      <c r="B24">
        <v>-1</v>
      </c>
    </row>
    <row r="25" spans="1:2">
      <c r="A25" s="17" t="s">
        <v>77</v>
      </c>
      <c r="B25">
        <v>-1</v>
      </c>
    </row>
    <row r="26" spans="1:2">
      <c r="A26" s="17" t="s">
        <v>78</v>
      </c>
      <c r="B26">
        <v>-1</v>
      </c>
    </row>
    <row r="27" spans="1:2">
      <c r="A27" s="17" t="s">
        <v>79</v>
      </c>
      <c r="B27">
        <v>-1</v>
      </c>
    </row>
    <row r="28" spans="1:2">
      <c r="A28" s="17" t="s">
        <v>2159</v>
      </c>
      <c r="B28">
        <v>-1</v>
      </c>
    </row>
    <row r="29" spans="1:2">
      <c r="A29" s="17" t="s">
        <v>2160</v>
      </c>
      <c r="B29">
        <v>-1</v>
      </c>
    </row>
    <row r="30" spans="1:2">
      <c r="A30" s="17" t="s">
        <v>2161</v>
      </c>
      <c r="B30">
        <v>-1</v>
      </c>
    </row>
    <row r="31" spans="1:2">
      <c r="A31" s="17" t="s">
        <v>2162</v>
      </c>
      <c r="B31">
        <v>2</v>
      </c>
    </row>
    <row r="32" spans="1:2">
      <c r="A32" s="17" t="s">
        <v>2163</v>
      </c>
      <c r="B32">
        <v>-1</v>
      </c>
    </row>
    <row r="33" spans="1:2">
      <c r="A33" s="17" t="s">
        <v>2164</v>
      </c>
      <c r="B33">
        <v>-1</v>
      </c>
    </row>
    <row r="34" spans="1:2">
      <c r="A34" s="17" t="s">
        <v>2165</v>
      </c>
      <c r="B34">
        <v>-1</v>
      </c>
    </row>
    <row r="35" spans="1:2">
      <c r="A35" s="17" t="s">
        <v>2166</v>
      </c>
      <c r="B35">
        <v>-1</v>
      </c>
    </row>
    <row r="36" spans="1:2">
      <c r="A36" s="17" t="s">
        <v>2167</v>
      </c>
      <c r="B36">
        <v>-1</v>
      </c>
    </row>
    <row r="37" spans="1:2">
      <c r="A37" s="17" t="s">
        <v>2168</v>
      </c>
      <c r="B37">
        <v>-1</v>
      </c>
    </row>
    <row r="38" spans="1:2">
      <c r="A38" s="17" t="s">
        <v>2169</v>
      </c>
      <c r="B38">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B1:B11"/>
  <sheetViews>
    <sheetView showGridLines="0" showRowColHeaders="0" workbookViewId="0">
      <selection activeCell="N1" sqref="N1"/>
    </sheetView>
  </sheetViews>
  <sheetFormatPr defaultRowHeight="12.75"/>
  <cols>
    <col min="1" max="1" width="9.140625" style="913"/>
    <col min="2" max="2" width="88.28515625" style="913" customWidth="1"/>
    <col min="3" max="257" width="9.140625" style="913"/>
    <col min="258" max="258" width="88.28515625" style="913" customWidth="1"/>
    <col min="259" max="513" width="9.140625" style="913"/>
    <col min="514" max="514" width="88.28515625" style="913" customWidth="1"/>
    <col min="515" max="769" width="9.140625" style="913"/>
    <col min="770" max="770" width="88.28515625" style="913" customWidth="1"/>
    <col min="771" max="1025" width="9.140625" style="913"/>
    <col min="1026" max="1026" width="88.28515625" style="913" customWidth="1"/>
    <col min="1027" max="1281" width="9.140625" style="913"/>
    <col min="1282" max="1282" width="88.28515625" style="913" customWidth="1"/>
    <col min="1283" max="1537" width="9.140625" style="913"/>
    <col min="1538" max="1538" width="88.28515625" style="913" customWidth="1"/>
    <col min="1539" max="1793" width="9.140625" style="913"/>
    <col min="1794" max="1794" width="88.28515625" style="913" customWidth="1"/>
    <col min="1795" max="2049" width="9.140625" style="913"/>
    <col min="2050" max="2050" width="88.28515625" style="913" customWidth="1"/>
    <col min="2051" max="2305" width="9.140625" style="913"/>
    <col min="2306" max="2306" width="88.28515625" style="913" customWidth="1"/>
    <col min="2307" max="2561" width="9.140625" style="913"/>
    <col min="2562" max="2562" width="88.28515625" style="913" customWidth="1"/>
    <col min="2563" max="2817" width="9.140625" style="913"/>
    <col min="2818" max="2818" width="88.28515625" style="913" customWidth="1"/>
    <col min="2819" max="3073" width="9.140625" style="913"/>
    <col min="3074" max="3074" width="88.28515625" style="913" customWidth="1"/>
    <col min="3075" max="3329" width="9.140625" style="913"/>
    <col min="3330" max="3330" width="88.28515625" style="913" customWidth="1"/>
    <col min="3331" max="3585" width="9.140625" style="913"/>
    <col min="3586" max="3586" width="88.28515625" style="913" customWidth="1"/>
    <col min="3587" max="3841" width="9.140625" style="913"/>
    <col min="3842" max="3842" width="88.28515625" style="913" customWidth="1"/>
    <col min="3843" max="4097" width="9.140625" style="913"/>
    <col min="4098" max="4098" width="88.28515625" style="913" customWidth="1"/>
    <col min="4099" max="4353" width="9.140625" style="913"/>
    <col min="4354" max="4354" width="88.28515625" style="913" customWidth="1"/>
    <col min="4355" max="4609" width="9.140625" style="913"/>
    <col min="4610" max="4610" width="88.28515625" style="913" customWidth="1"/>
    <col min="4611" max="4865" width="9.140625" style="913"/>
    <col min="4866" max="4866" width="88.28515625" style="913" customWidth="1"/>
    <col min="4867" max="5121" width="9.140625" style="913"/>
    <col min="5122" max="5122" width="88.28515625" style="913" customWidth="1"/>
    <col min="5123" max="5377" width="9.140625" style="913"/>
    <col min="5378" max="5378" width="88.28515625" style="913" customWidth="1"/>
    <col min="5379" max="5633" width="9.140625" style="913"/>
    <col min="5634" max="5634" width="88.28515625" style="913" customWidth="1"/>
    <col min="5635" max="5889" width="9.140625" style="913"/>
    <col min="5890" max="5890" width="88.28515625" style="913" customWidth="1"/>
    <col min="5891" max="6145" width="9.140625" style="913"/>
    <col min="6146" max="6146" width="88.28515625" style="913" customWidth="1"/>
    <col min="6147" max="6401" width="9.140625" style="913"/>
    <col min="6402" max="6402" width="88.28515625" style="913" customWidth="1"/>
    <col min="6403" max="6657" width="9.140625" style="913"/>
    <col min="6658" max="6658" width="88.28515625" style="913" customWidth="1"/>
    <col min="6659" max="6913" width="9.140625" style="913"/>
    <col min="6914" max="6914" width="88.28515625" style="913" customWidth="1"/>
    <col min="6915" max="7169" width="9.140625" style="913"/>
    <col min="7170" max="7170" width="88.28515625" style="913" customWidth="1"/>
    <col min="7171" max="7425" width="9.140625" style="913"/>
    <col min="7426" max="7426" width="88.28515625" style="913" customWidth="1"/>
    <col min="7427" max="7681" width="9.140625" style="913"/>
    <col min="7682" max="7682" width="88.28515625" style="913" customWidth="1"/>
    <col min="7683" max="7937" width="9.140625" style="913"/>
    <col min="7938" max="7938" width="88.28515625" style="913" customWidth="1"/>
    <col min="7939" max="8193" width="9.140625" style="913"/>
    <col min="8194" max="8194" width="88.28515625" style="913" customWidth="1"/>
    <col min="8195" max="8449" width="9.140625" style="913"/>
    <col min="8450" max="8450" width="88.28515625" style="913" customWidth="1"/>
    <col min="8451" max="8705" width="9.140625" style="913"/>
    <col min="8706" max="8706" width="88.28515625" style="913" customWidth="1"/>
    <col min="8707" max="8961" width="9.140625" style="913"/>
    <col min="8962" max="8962" width="88.28515625" style="913" customWidth="1"/>
    <col min="8963" max="9217" width="9.140625" style="913"/>
    <col min="9218" max="9218" width="88.28515625" style="913" customWidth="1"/>
    <col min="9219" max="9473" width="9.140625" style="913"/>
    <col min="9474" max="9474" width="88.28515625" style="913" customWidth="1"/>
    <col min="9475" max="9729" width="9.140625" style="913"/>
    <col min="9730" max="9730" width="88.28515625" style="913" customWidth="1"/>
    <col min="9731" max="9985" width="9.140625" style="913"/>
    <col min="9986" max="9986" width="88.28515625" style="913" customWidth="1"/>
    <col min="9987" max="10241" width="9.140625" style="913"/>
    <col min="10242" max="10242" width="88.28515625" style="913" customWidth="1"/>
    <col min="10243" max="10497" width="9.140625" style="913"/>
    <col min="10498" max="10498" width="88.28515625" style="913" customWidth="1"/>
    <col min="10499" max="10753" width="9.140625" style="913"/>
    <col min="10754" max="10754" width="88.28515625" style="913" customWidth="1"/>
    <col min="10755" max="11009" width="9.140625" style="913"/>
    <col min="11010" max="11010" width="88.28515625" style="913" customWidth="1"/>
    <col min="11011" max="11265" width="9.140625" style="913"/>
    <col min="11266" max="11266" width="88.28515625" style="913" customWidth="1"/>
    <col min="11267" max="11521" width="9.140625" style="913"/>
    <col min="11522" max="11522" width="88.28515625" style="913" customWidth="1"/>
    <col min="11523" max="11777" width="9.140625" style="913"/>
    <col min="11778" max="11778" width="88.28515625" style="913" customWidth="1"/>
    <col min="11779" max="12033" width="9.140625" style="913"/>
    <col min="12034" max="12034" width="88.28515625" style="913" customWidth="1"/>
    <col min="12035" max="12289" width="9.140625" style="913"/>
    <col min="12290" max="12290" width="88.28515625" style="913" customWidth="1"/>
    <col min="12291" max="12545" width="9.140625" style="913"/>
    <col min="12546" max="12546" width="88.28515625" style="913" customWidth="1"/>
    <col min="12547" max="12801" width="9.140625" style="913"/>
    <col min="12802" max="12802" width="88.28515625" style="913" customWidth="1"/>
    <col min="12803" max="13057" width="9.140625" style="913"/>
    <col min="13058" max="13058" width="88.28515625" style="913" customWidth="1"/>
    <col min="13059" max="13313" width="9.140625" style="913"/>
    <col min="13314" max="13314" width="88.28515625" style="913" customWidth="1"/>
    <col min="13315" max="13569" width="9.140625" style="913"/>
    <col min="13570" max="13570" width="88.28515625" style="913" customWidth="1"/>
    <col min="13571" max="13825" width="9.140625" style="913"/>
    <col min="13826" max="13826" width="88.28515625" style="913" customWidth="1"/>
    <col min="13827" max="14081" width="9.140625" style="913"/>
    <col min="14082" max="14082" width="88.28515625" style="913" customWidth="1"/>
    <col min="14083" max="14337" width="9.140625" style="913"/>
    <col min="14338" max="14338" width="88.28515625" style="913" customWidth="1"/>
    <col min="14339" max="14593" width="9.140625" style="913"/>
    <col min="14594" max="14594" width="88.28515625" style="913" customWidth="1"/>
    <col min="14595" max="14849" width="9.140625" style="913"/>
    <col min="14850" max="14850" width="88.28515625" style="913" customWidth="1"/>
    <col min="14851" max="15105" width="9.140625" style="913"/>
    <col min="15106" max="15106" width="88.28515625" style="913" customWidth="1"/>
    <col min="15107" max="15361" width="9.140625" style="913"/>
    <col min="15362" max="15362" width="88.28515625" style="913" customWidth="1"/>
    <col min="15363" max="15617" width="9.140625" style="913"/>
    <col min="15618" max="15618" width="88.28515625" style="913" customWidth="1"/>
    <col min="15619" max="15873" width="9.140625" style="913"/>
    <col min="15874" max="15874" width="88.28515625" style="913" customWidth="1"/>
    <col min="15875" max="16129" width="9.140625" style="913"/>
    <col min="16130" max="16130" width="88.28515625" style="913" customWidth="1"/>
    <col min="16131" max="16384" width="9.140625" style="913"/>
  </cols>
  <sheetData>
    <row r="1" spans="2:2" ht="32.25" customHeight="1"/>
    <row r="2" spans="2:2" ht="72">
      <c r="B2" s="2614" t="s">
        <v>2135</v>
      </c>
    </row>
    <row r="3" spans="2:2" ht="72" hidden="1">
      <c r="B3" s="2614" t="s">
        <v>2136</v>
      </c>
    </row>
    <row r="4" spans="2:2" ht="18">
      <c r="B4" s="2614"/>
    </row>
    <row r="5" spans="2:2" ht="54">
      <c r="B5" s="2614" t="s">
        <v>1510</v>
      </c>
    </row>
    <row r="6" spans="2:2" ht="7.5" customHeight="1">
      <c r="B6" s="2614"/>
    </row>
    <row r="7" spans="2:2" ht="18">
      <c r="B7" s="2615" t="s">
        <v>1511</v>
      </c>
    </row>
    <row r="8" spans="2:2" ht="18">
      <c r="B8" s="2615" t="s">
        <v>1512</v>
      </c>
    </row>
    <row r="9" spans="2:2" ht="18">
      <c r="B9" s="2615" t="s">
        <v>1513</v>
      </c>
    </row>
    <row r="10" spans="2:2" ht="18">
      <c r="B10" s="2616"/>
    </row>
    <row r="11" spans="2:2" ht="54">
      <c r="B11" s="2617" t="s">
        <v>1514</v>
      </c>
    </row>
  </sheetData>
  <dataConsolidate/>
  <pageMargins left="0.75" right="0.75" top="1" bottom="1" header="0.5" footer="0.5"/>
  <pageSetup orientation="portrait"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6784769" r:id="rId4" name="Button 1">
              <controlPr defaultSize="0" print="0" autoFill="0" autoPict="0" macro="[0]!ApplyCircRefs">
                <anchor moveWithCells="1" sizeWithCells="1">
                  <from>
                    <xdr:col>1</xdr:col>
                    <xdr:colOff>0</xdr:colOff>
                    <xdr:row>11</xdr:row>
                    <xdr:rowOff>152400</xdr:rowOff>
                  </from>
                  <to>
                    <xdr:col>1</xdr:col>
                    <xdr:colOff>2819400</xdr:colOff>
                    <xdr:row>14</xdr:row>
                    <xdr:rowOff>152400</xdr:rowOff>
                  </to>
                </anchor>
              </controlPr>
            </control>
          </mc:Choice>
        </mc:AlternateContent>
        <mc:AlternateContent xmlns:mc="http://schemas.openxmlformats.org/markup-compatibility/2006">
          <mc:Choice Requires="x14">
            <control shapeId="26784770" r:id="rId5" name="Button 2">
              <controlPr defaultSize="0" print="0" autoFill="0" autoPict="0" macro="[0]!JustUnhideSheets">
                <anchor moveWithCells="1" sizeWithCells="1">
                  <from>
                    <xdr:col>1</xdr:col>
                    <xdr:colOff>3067050</xdr:colOff>
                    <xdr:row>11</xdr:row>
                    <xdr:rowOff>152400</xdr:rowOff>
                  </from>
                  <to>
                    <xdr:col>2</xdr:col>
                    <xdr:colOff>0</xdr:colOff>
                    <xdr:row>14</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B4:B13"/>
  <sheetViews>
    <sheetView showGridLines="0" workbookViewId="0"/>
  </sheetViews>
  <sheetFormatPr defaultRowHeight="12.75"/>
  <cols>
    <col min="2" max="2" width="151.140625" customWidth="1"/>
  </cols>
  <sheetData>
    <row r="4" spans="2:2" ht="31.5" customHeight="1">
      <c r="B4" s="2144" t="s">
        <v>1508</v>
      </c>
    </row>
    <row r="5" spans="2:2" ht="25.5">
      <c r="B5" s="2144" t="s">
        <v>1509</v>
      </c>
    </row>
    <row r="6" spans="2:2">
      <c r="B6" s="2144"/>
    </row>
    <row r="7" spans="2:2">
      <c r="B7" s="2144" t="s">
        <v>1510</v>
      </c>
    </row>
    <row r="8" spans="2:2">
      <c r="B8" s="2144"/>
    </row>
    <row r="9" spans="2:2">
      <c r="B9" s="2144" t="s">
        <v>1511</v>
      </c>
    </row>
    <row r="10" spans="2:2">
      <c r="B10" s="2144" t="s">
        <v>1512</v>
      </c>
    </row>
    <row r="11" spans="2:2">
      <c r="B11" s="2144" t="s">
        <v>1513</v>
      </c>
    </row>
    <row r="12" spans="2:2">
      <c r="B12" s="2144"/>
    </row>
    <row r="13" spans="2:2">
      <c r="B13" s="2145" t="s">
        <v>1514</v>
      </c>
    </row>
  </sheetData>
  <pageMargins left="0.7" right="0.7" top="0.75" bottom="0.75" header="0.3" footer="0.3"/>
  <pageSetup scale="57"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14999847407452621"/>
    <pageSetUpPr fitToPage="1"/>
  </sheetPr>
  <dimension ref="A1:AA66"/>
  <sheetViews>
    <sheetView showGridLines="0" zoomScale="80" zoomScaleNormal="80" workbookViewId="0">
      <selection activeCell="F12" sqref="F12"/>
    </sheetView>
  </sheetViews>
  <sheetFormatPr defaultRowHeight="12.75"/>
  <cols>
    <col min="1" max="1" width="16.85546875" style="31" customWidth="1"/>
    <col min="2" max="2" width="19.5703125" style="31" customWidth="1"/>
    <col min="3" max="3" width="18" style="31" customWidth="1"/>
    <col min="4" max="4" width="2.85546875" style="31" customWidth="1"/>
    <col min="5" max="5" width="18.5703125" style="31" customWidth="1"/>
    <col min="6" max="6" width="3.28515625" style="31" customWidth="1"/>
    <col min="7" max="7" width="18.85546875" style="31" customWidth="1"/>
    <col min="8" max="8" width="2.5703125" style="31" customWidth="1"/>
    <col min="9" max="9" width="17.85546875" style="31" customWidth="1"/>
    <col min="10" max="10" width="3.140625" style="31" customWidth="1"/>
    <col min="11" max="11" width="20.140625" style="31" customWidth="1"/>
    <col min="12" max="12" width="9.140625" style="31"/>
    <col min="13" max="13" width="9.28515625" style="31" bestFit="1" customWidth="1"/>
    <col min="14" max="16384" width="9.140625" style="31"/>
  </cols>
  <sheetData>
    <row r="1" spans="1:27" ht="18">
      <c r="A1" s="30"/>
      <c r="B1" s="112" t="str">
        <f>$F$12</f>
        <v>São Martinho</v>
      </c>
      <c r="C1" s="125"/>
      <c r="D1" s="125"/>
      <c r="E1" s="125"/>
      <c r="F1" s="125"/>
      <c r="G1" s="125"/>
      <c r="H1" s="125"/>
      <c r="I1" s="125"/>
      <c r="J1" s="125"/>
      <c r="K1" s="125"/>
    </row>
    <row r="2" spans="1:27">
      <c r="A2" s="30"/>
      <c r="B2" s="126" t="s">
        <v>435</v>
      </c>
      <c r="C2" s="125"/>
      <c r="D2" s="125"/>
      <c r="E2" s="125"/>
      <c r="F2" s="125"/>
      <c r="G2" s="125"/>
      <c r="H2" s="125"/>
      <c r="I2" s="2519" t="s">
        <v>27</v>
      </c>
      <c r="J2" s="2519"/>
      <c r="K2" s="2519"/>
    </row>
    <row r="3" spans="1:27">
      <c r="AA3" s="94" t="s">
        <v>1268</v>
      </c>
    </row>
    <row r="4" spans="1:27">
      <c r="B4" s="126" t="s">
        <v>637</v>
      </c>
      <c r="C4" s="127"/>
      <c r="D4" s="127"/>
      <c r="E4" s="127"/>
      <c r="F4" s="127"/>
      <c r="G4" s="127" t="s">
        <v>21</v>
      </c>
      <c r="H4" s="128"/>
      <c r="I4" s="127" t="s">
        <v>449</v>
      </c>
      <c r="J4" s="127"/>
      <c r="K4" s="127"/>
      <c r="AA4" s="94" t="s">
        <v>603</v>
      </c>
    </row>
    <row r="5" spans="1:27">
      <c r="B5" s="30"/>
      <c r="C5" s="30"/>
      <c r="D5" s="30"/>
      <c r="E5" s="30"/>
      <c r="F5" s="30"/>
      <c r="G5" s="30"/>
      <c r="H5" s="30"/>
      <c r="I5" s="30"/>
      <c r="P5" s="41"/>
      <c r="AA5" s="94" t="s">
        <v>604</v>
      </c>
    </row>
    <row r="6" spans="1:27">
      <c r="B6" s="30"/>
      <c r="C6" s="30"/>
      <c r="D6" s="30"/>
      <c r="E6" s="30"/>
      <c r="F6" s="30"/>
      <c r="G6" s="30"/>
      <c r="H6" s="30"/>
      <c r="I6" s="30"/>
      <c r="O6" s="94">
        <v>1</v>
      </c>
      <c r="P6" s="95"/>
      <c r="AA6" s="94" t="s">
        <v>605</v>
      </c>
    </row>
    <row r="7" spans="1:27">
      <c r="B7" s="32"/>
      <c r="C7" s="32"/>
      <c r="D7" s="23"/>
      <c r="E7" s="32"/>
      <c r="F7" s="30"/>
      <c r="G7" s="30"/>
      <c r="H7" s="30"/>
      <c r="I7" s="30"/>
      <c r="O7" s="94">
        <v>2</v>
      </c>
      <c r="P7" s="95"/>
      <c r="AA7" s="94" t="s">
        <v>606</v>
      </c>
    </row>
    <row r="8" spans="1:27">
      <c r="B8" s="32"/>
      <c r="C8" s="32"/>
      <c r="D8" s="32"/>
      <c r="E8" s="32"/>
      <c r="F8" s="30"/>
      <c r="G8" s="30"/>
      <c r="H8" s="30"/>
      <c r="I8" s="30"/>
      <c r="O8" s="94">
        <v>3</v>
      </c>
      <c r="P8" s="95"/>
      <c r="AA8" s="94" t="s">
        <v>607</v>
      </c>
    </row>
    <row r="9" spans="1:27">
      <c r="B9" s="32"/>
      <c r="C9" s="32"/>
      <c r="D9" s="32"/>
      <c r="E9" s="32"/>
      <c r="F9" s="30"/>
      <c r="G9" s="30"/>
      <c r="H9" s="30"/>
      <c r="I9" s="30"/>
      <c r="P9" s="95"/>
      <c r="AA9" s="94" t="s">
        <v>608</v>
      </c>
    </row>
    <row r="10" spans="1:27">
      <c r="B10" s="32"/>
      <c r="C10" s="33"/>
      <c r="D10" s="30"/>
      <c r="F10" s="23" t="s">
        <v>447</v>
      </c>
      <c r="G10" s="30"/>
      <c r="H10" s="30"/>
      <c r="I10" s="30"/>
      <c r="P10" s="95"/>
      <c r="AA10" s="94" t="s">
        <v>609</v>
      </c>
    </row>
    <row r="11" spans="1:27">
      <c r="B11" s="32"/>
      <c r="C11" s="33"/>
      <c r="D11" s="30"/>
      <c r="E11" s="23"/>
      <c r="F11" s="33"/>
      <c r="G11" s="30"/>
      <c r="H11" s="30"/>
      <c r="I11" s="30"/>
      <c r="P11" s="95"/>
      <c r="AA11" s="94" t="s">
        <v>610</v>
      </c>
    </row>
    <row r="12" spans="1:27" ht="18">
      <c r="B12" s="32"/>
      <c r="C12" s="33"/>
      <c r="D12" s="30"/>
      <c r="F12" s="34" t="s">
        <v>25</v>
      </c>
      <c r="G12" s="30"/>
      <c r="H12" s="30"/>
      <c r="I12" s="30"/>
      <c r="P12" s="95"/>
      <c r="AA12" s="94" t="s">
        <v>611</v>
      </c>
    </row>
    <row r="13" spans="1:27">
      <c r="B13" s="32"/>
      <c r="C13" s="32"/>
      <c r="D13" s="30"/>
      <c r="E13" s="32"/>
      <c r="F13" s="30"/>
      <c r="G13" s="35"/>
      <c r="H13" s="30"/>
      <c r="I13" s="30"/>
      <c r="AA13" s="94" t="s">
        <v>612</v>
      </c>
    </row>
    <row r="14" spans="1:27" ht="15" customHeight="1">
      <c r="B14" s="36"/>
      <c r="C14" s="130" t="s">
        <v>529</v>
      </c>
      <c r="D14" s="30"/>
      <c r="F14" s="601" t="s">
        <v>448</v>
      </c>
      <c r="G14" s="52"/>
      <c r="H14" s="131" t="s">
        <v>528</v>
      </c>
      <c r="I14" s="132"/>
      <c r="J14" s="132"/>
      <c r="K14" s="132"/>
      <c r="AA14" s="94" t="s">
        <v>613</v>
      </c>
    </row>
    <row r="15" spans="1:27" ht="15" customHeight="1">
      <c r="B15" s="36"/>
      <c r="C15" s="130" t="s">
        <v>1705</v>
      </c>
      <c r="D15" s="30"/>
      <c r="F15" s="601" t="s">
        <v>1706</v>
      </c>
      <c r="G15" s="1401"/>
      <c r="H15" s="131" t="s">
        <v>1707</v>
      </c>
      <c r="J15" s="600"/>
      <c r="K15" s="600"/>
      <c r="L15"/>
      <c r="AA15" s="94" t="s">
        <v>614</v>
      </c>
    </row>
    <row r="16" spans="1:27" ht="15" customHeight="1">
      <c r="B16" s="36"/>
      <c r="C16" s="130"/>
      <c r="D16" s="30"/>
      <c r="F16" s="601"/>
      <c r="G16" s="52"/>
      <c r="H16" s="131"/>
      <c r="I16" s="132"/>
      <c r="J16" s="132"/>
      <c r="K16" s="132"/>
      <c r="AA16" s="94" t="s">
        <v>615</v>
      </c>
    </row>
    <row r="17" spans="1:27">
      <c r="B17" s="37"/>
      <c r="C17" s="24"/>
      <c r="D17" s="38"/>
      <c r="E17" s="33"/>
      <c r="F17" s="30"/>
      <c r="G17" s="30"/>
      <c r="H17" s="30"/>
      <c r="I17" s="30"/>
      <c r="AA17" s="94" t="s">
        <v>616</v>
      </c>
    </row>
    <row r="18" spans="1:27">
      <c r="B18" s="32"/>
      <c r="C18" s="33" t="s">
        <v>26</v>
      </c>
      <c r="D18" s="37"/>
      <c r="E18" s="37"/>
      <c r="F18" s="39"/>
      <c r="G18" s="42"/>
      <c r="H18" s="39"/>
      <c r="I18" s="39"/>
      <c r="AA18" s="94" t="s">
        <v>617</v>
      </c>
    </row>
    <row r="19" spans="1:27">
      <c r="B19" s="30"/>
      <c r="C19" s="30"/>
      <c r="D19" s="39"/>
      <c r="E19" s="39"/>
      <c r="F19" s="39"/>
      <c r="G19" s="39"/>
      <c r="H19" s="39"/>
      <c r="I19" s="39"/>
      <c r="AA19" s="94" t="s">
        <v>618</v>
      </c>
    </row>
    <row r="20" spans="1:27">
      <c r="B20" s="30"/>
      <c r="C20" s="30"/>
      <c r="D20" s="39"/>
      <c r="E20" s="39"/>
      <c r="F20" s="39"/>
      <c r="G20" s="39"/>
      <c r="H20" s="39"/>
      <c r="I20" s="39"/>
      <c r="AA20" s="94" t="s">
        <v>619</v>
      </c>
    </row>
    <row r="21" spans="1:27">
      <c r="AA21" s="94" t="s">
        <v>620</v>
      </c>
    </row>
    <row r="22" spans="1:27">
      <c r="A22" s="30"/>
      <c r="B22" s="126" t="s">
        <v>530</v>
      </c>
      <c r="C22" s="127"/>
      <c r="D22" s="127"/>
      <c r="E22" s="127"/>
      <c r="F22" s="127"/>
      <c r="G22" s="127"/>
      <c r="H22" s="127"/>
      <c r="I22" s="127"/>
      <c r="J22" s="127"/>
      <c r="K22" s="127"/>
      <c r="AA22" s="94" t="s">
        <v>621</v>
      </c>
    </row>
    <row r="23" spans="1:27">
      <c r="A23" s="30"/>
      <c r="B23" s="22" t="s">
        <v>436</v>
      </c>
      <c r="C23" s="2521" t="s">
        <v>28</v>
      </c>
      <c r="D23" s="2521"/>
      <c r="E23" s="2521" t="s">
        <v>29</v>
      </c>
      <c r="F23" s="2521"/>
      <c r="G23" s="1845" t="s">
        <v>437</v>
      </c>
      <c r="H23" s="1845"/>
      <c r="I23" s="1846"/>
      <c r="K23" s="22" t="s">
        <v>73</v>
      </c>
      <c r="AA23" s="94" t="s">
        <v>622</v>
      </c>
    </row>
    <row r="24" spans="1:27">
      <c r="A24" s="39"/>
      <c r="B24" s="39"/>
      <c r="C24" s="39"/>
      <c r="D24" s="39"/>
      <c r="E24" s="39"/>
      <c r="F24" s="39"/>
      <c r="G24" s="39"/>
      <c r="AA24" s="94" t="s">
        <v>623</v>
      </c>
    </row>
    <row r="25" spans="1:27">
      <c r="A25" s="39"/>
      <c r="B25" s="39"/>
      <c r="C25" s="39"/>
      <c r="D25" s="39"/>
      <c r="E25" s="39"/>
      <c r="F25" s="39"/>
      <c r="G25" s="39"/>
      <c r="AA25" s="94" t="s">
        <v>624</v>
      </c>
    </row>
    <row r="26" spans="1:27">
      <c r="A26" s="39"/>
      <c r="B26" s="39"/>
      <c r="C26" s="39"/>
      <c r="D26" s="39"/>
      <c r="E26" s="39"/>
      <c r="F26" s="39"/>
      <c r="G26" s="39"/>
      <c r="AA26" s="94" t="s">
        <v>625</v>
      </c>
    </row>
    <row r="27" spans="1:27">
      <c r="A27" s="39"/>
      <c r="B27" s="39"/>
      <c r="C27" s="39"/>
      <c r="D27" s="39"/>
      <c r="E27" s="39"/>
      <c r="F27" s="39"/>
      <c r="G27" s="39"/>
      <c r="AA27" s="94" t="s">
        <v>626</v>
      </c>
    </row>
    <row r="28" spans="1:27">
      <c r="A28" s="39"/>
      <c r="B28" s="39"/>
      <c r="C28" s="39"/>
      <c r="D28" s="39"/>
      <c r="E28" s="39"/>
      <c r="F28" s="39"/>
      <c r="G28" s="39"/>
      <c r="AA28" s="94" t="s">
        <v>627</v>
      </c>
    </row>
    <row r="29" spans="1:27">
      <c r="A29" s="39"/>
      <c r="B29" s="39"/>
      <c r="C29" s="39"/>
      <c r="D29" s="39"/>
      <c r="E29" s="39"/>
      <c r="F29" s="39"/>
      <c r="G29" s="39"/>
      <c r="AA29" s="94" t="s">
        <v>628</v>
      </c>
    </row>
    <row r="30" spans="1:27">
      <c r="A30" s="39"/>
      <c r="B30" s="39"/>
      <c r="C30" s="2521"/>
      <c r="D30" s="2521"/>
      <c r="E30" s="39"/>
      <c r="F30" s="39"/>
      <c r="G30" s="39"/>
      <c r="AA30" s="94" t="s">
        <v>629</v>
      </c>
    </row>
    <row r="31" spans="1:27">
      <c r="A31" s="39"/>
      <c r="B31" s="39"/>
      <c r="C31" s="39"/>
      <c r="D31" s="39"/>
      <c r="E31" s="39"/>
      <c r="F31" s="39"/>
      <c r="G31" s="39"/>
      <c r="AA31" s="94" t="s">
        <v>1269</v>
      </c>
    </row>
    <row r="32" spans="1:27">
      <c r="A32" s="39"/>
      <c r="B32" s="39"/>
      <c r="C32" s="39"/>
      <c r="D32" s="39"/>
      <c r="E32" s="39"/>
      <c r="F32" s="39"/>
      <c r="G32" s="39"/>
      <c r="AA32" s="94" t="s">
        <v>1270</v>
      </c>
    </row>
    <row r="33" spans="1:27">
      <c r="A33" s="39"/>
      <c r="B33" s="39"/>
      <c r="C33" s="39"/>
      <c r="D33" s="39"/>
      <c r="E33" s="39"/>
      <c r="F33" s="39"/>
      <c r="G33" s="39"/>
      <c r="H33" s="39"/>
      <c r="AA33" s="94" t="s">
        <v>1271</v>
      </c>
    </row>
    <row r="34" spans="1:27">
      <c r="A34" s="39"/>
      <c r="B34" s="39"/>
      <c r="C34" s="39"/>
      <c r="D34" s="39"/>
      <c r="E34" s="39"/>
      <c r="F34" s="39"/>
      <c r="G34" s="39"/>
      <c r="H34" s="39"/>
      <c r="I34" s="39"/>
      <c r="AA34" s="94" t="s">
        <v>1272</v>
      </c>
    </row>
    <row r="35" spans="1:27">
      <c r="A35" s="39"/>
      <c r="B35" s="39"/>
      <c r="C35" s="39"/>
      <c r="D35" s="39"/>
      <c r="E35" s="39"/>
      <c r="F35" s="39"/>
      <c r="G35" s="39"/>
      <c r="H35" s="39"/>
      <c r="I35" s="39"/>
      <c r="AA35" s="94" t="s">
        <v>1273</v>
      </c>
    </row>
    <row r="36" spans="1:27">
      <c r="A36" s="39"/>
      <c r="B36" s="39"/>
      <c r="C36" s="39"/>
      <c r="D36" s="30"/>
      <c r="E36" s="30"/>
      <c r="F36" s="30"/>
      <c r="G36" s="30"/>
      <c r="H36" s="30"/>
      <c r="I36" s="30"/>
      <c r="AA36" s="94" t="s">
        <v>1274</v>
      </c>
    </row>
    <row r="37" spans="1:27">
      <c r="A37" s="30"/>
      <c r="B37" s="99" t="s">
        <v>630</v>
      </c>
      <c r="C37" s="129"/>
      <c r="D37" s="129"/>
      <c r="E37" s="129"/>
      <c r="F37" s="129"/>
      <c r="G37" s="129"/>
      <c r="H37" s="129"/>
      <c r="I37" s="129"/>
      <c r="J37" s="129"/>
      <c r="K37" s="129"/>
      <c r="AA37" s="94" t="s">
        <v>1275</v>
      </c>
    </row>
    <row r="38" spans="1:27">
      <c r="A38" s="30"/>
      <c r="B38" s="124"/>
      <c r="C38" s="40"/>
      <c r="D38" s="40"/>
      <c r="E38" s="40"/>
      <c r="F38" s="40"/>
      <c r="G38" s="43"/>
      <c r="H38" s="43"/>
      <c r="I38" s="40"/>
      <c r="J38" s="40"/>
      <c r="K38" s="147"/>
      <c r="AA38" s="94" t="s">
        <v>1276</v>
      </c>
    </row>
    <row r="39" spans="1:27">
      <c r="A39" s="30"/>
      <c r="B39" s="148"/>
      <c r="C39" s="105"/>
      <c r="D39" s="105"/>
      <c r="E39" s="105"/>
      <c r="F39" s="105"/>
      <c r="G39" s="106"/>
      <c r="H39" s="106"/>
      <c r="I39" s="133" t="s">
        <v>438</v>
      </c>
      <c r="J39" s="105"/>
      <c r="K39" s="149"/>
      <c r="AA39" s="94" t="s">
        <v>1277</v>
      </c>
    </row>
    <row r="40" spans="1:27">
      <c r="A40" s="30"/>
      <c r="B40" s="148"/>
      <c r="C40" s="105" t="s">
        <v>439</v>
      </c>
      <c r="D40" s="105"/>
      <c r="E40" s="105"/>
      <c r="F40" s="105"/>
      <c r="G40" s="106"/>
      <c r="H40" s="106"/>
      <c r="I40" s="134" t="str">
        <f>Inputs!A2</f>
        <v>Model inputs</v>
      </c>
      <c r="J40" s="135" t="s">
        <v>183</v>
      </c>
      <c r="K40" s="149"/>
      <c r="AA40" s="94" t="s">
        <v>1278</v>
      </c>
    </row>
    <row r="41" spans="1:27">
      <c r="A41" s="30"/>
      <c r="B41" s="148"/>
      <c r="C41" s="105" t="s">
        <v>440</v>
      </c>
      <c r="D41" s="105"/>
      <c r="E41" s="105"/>
      <c r="F41" s="105"/>
      <c r="G41" s="106"/>
      <c r="H41" s="106"/>
      <c r="I41" s="136">
        <f>+K52</f>
        <v>18.399994</v>
      </c>
      <c r="J41" s="137"/>
      <c r="K41" s="149"/>
      <c r="AA41" s="94" t="s">
        <v>1279</v>
      </c>
    </row>
    <row r="42" spans="1:27">
      <c r="A42" s="30"/>
      <c r="B42" s="148"/>
      <c r="C42" s="105" t="s">
        <v>442</v>
      </c>
      <c r="D42" s="105"/>
      <c r="E42" s="105"/>
      <c r="F42" s="105"/>
      <c r="G42" s="106"/>
      <c r="H42" s="106"/>
      <c r="I42" s="138">
        <v>1</v>
      </c>
      <c r="J42" s="139" t="s">
        <v>443</v>
      </c>
      <c r="K42" s="149"/>
      <c r="AA42" s="94" t="s">
        <v>1280</v>
      </c>
    </row>
    <row r="43" spans="1:27">
      <c r="A43" s="30"/>
      <c r="B43" s="148"/>
      <c r="C43" s="105" t="s">
        <v>444</v>
      </c>
      <c r="D43" s="105"/>
      <c r="E43" s="105"/>
      <c r="F43" s="105"/>
      <c r="G43" s="106"/>
      <c r="H43" s="106"/>
      <c r="I43" s="138">
        <f>+Inputs!J7</f>
        <v>0</v>
      </c>
      <c r="J43" s="105"/>
      <c r="K43" s="149"/>
      <c r="AA43" s="94" t="s">
        <v>1281</v>
      </c>
    </row>
    <row r="44" spans="1:27">
      <c r="A44" s="30"/>
      <c r="B44" s="148"/>
      <c r="C44" s="105" t="s">
        <v>445</v>
      </c>
      <c r="D44" s="105"/>
      <c r="E44" s="105"/>
      <c r="F44" s="105"/>
      <c r="G44" s="106"/>
      <c r="H44" s="106"/>
      <c r="I44" s="140" t="s">
        <v>615</v>
      </c>
      <c r="J44" s="105"/>
      <c r="K44" s="149"/>
      <c r="AA44" s="94" t="s">
        <v>1282</v>
      </c>
    </row>
    <row r="45" spans="1:27">
      <c r="A45" s="30"/>
      <c r="B45" s="150"/>
      <c r="C45" s="151"/>
      <c r="D45" s="151"/>
      <c r="E45" s="151"/>
      <c r="F45" s="151"/>
      <c r="G45" s="152"/>
      <c r="H45" s="152"/>
      <c r="I45" s="151"/>
      <c r="J45" s="153" t="s">
        <v>183</v>
      </c>
      <c r="K45" s="154"/>
      <c r="AA45" s="94" t="s">
        <v>1283</v>
      </c>
    </row>
    <row r="46" spans="1:27">
      <c r="A46" s="30"/>
      <c r="B46" s="30"/>
      <c r="C46" s="30"/>
      <c r="D46" s="30"/>
      <c r="E46" s="30"/>
      <c r="F46" s="30"/>
      <c r="G46" s="30"/>
      <c r="H46" s="30"/>
      <c r="I46" s="30"/>
      <c r="AA46" s="94" t="s">
        <v>1284</v>
      </c>
    </row>
    <row r="47" spans="1:27">
      <c r="A47" s="30"/>
      <c r="AA47" s="94" t="s">
        <v>1285</v>
      </c>
    </row>
    <row r="48" spans="1:27">
      <c r="A48" s="30"/>
      <c r="B48" s="126" t="s">
        <v>532</v>
      </c>
      <c r="C48" s="127"/>
      <c r="D48" s="127"/>
      <c r="E48" s="127"/>
      <c r="G48" s="126" t="s">
        <v>531</v>
      </c>
      <c r="H48" s="127"/>
      <c r="I48" s="127"/>
      <c r="J48" s="127"/>
      <c r="K48" s="127"/>
      <c r="AA48" s="94" t="s">
        <v>1286</v>
      </c>
    </row>
    <row r="49" spans="1:27">
      <c r="A49" s="30"/>
      <c r="C49" s="43"/>
      <c r="AA49" s="94" t="s">
        <v>1287</v>
      </c>
    </row>
    <row r="50" spans="1:27">
      <c r="A50" s="30"/>
      <c r="B50" s="126" t="s">
        <v>533</v>
      </c>
      <c r="G50" s="141" t="s">
        <v>636</v>
      </c>
      <c r="H50" s="142"/>
      <c r="I50" s="143" t="s">
        <v>153</v>
      </c>
      <c r="J50" s="142"/>
      <c r="K50" s="144" t="s">
        <v>48</v>
      </c>
      <c r="AA50" s="94" t="s">
        <v>1288</v>
      </c>
    </row>
    <row r="51" spans="1:27">
      <c r="A51" s="30"/>
      <c r="B51" s="1000" t="s">
        <v>534</v>
      </c>
      <c r="C51" s="45" t="s">
        <v>535</v>
      </c>
      <c r="D51" s="44"/>
      <c r="E51" s="44"/>
      <c r="G51" s="141" t="s">
        <v>441</v>
      </c>
      <c r="H51" s="142"/>
      <c r="I51" s="145">
        <v>43012</v>
      </c>
      <c r="J51" s="142"/>
      <c r="K51" s="146">
        <v>18.399999999999999</v>
      </c>
      <c r="AA51" s="94" t="s">
        <v>1289</v>
      </c>
    </row>
    <row r="52" spans="1:27">
      <c r="A52" s="30"/>
      <c r="B52" s="46" t="s">
        <v>536</v>
      </c>
      <c r="C52" s="47" t="s">
        <v>537</v>
      </c>
      <c r="D52" s="48"/>
      <c r="E52" s="49" t="s">
        <v>538</v>
      </c>
      <c r="G52" s="141" t="s">
        <v>1311</v>
      </c>
      <c r="H52" s="142"/>
      <c r="I52" s="145">
        <v>43013</v>
      </c>
      <c r="J52" s="142"/>
      <c r="K52" s="1397">
        <v>18.399994</v>
      </c>
      <c r="AA52" s="94" t="s">
        <v>1290</v>
      </c>
    </row>
    <row r="53" spans="1:27">
      <c r="A53" s="30"/>
      <c r="B53" s="50" t="s">
        <v>539</v>
      </c>
      <c r="C53" s="51" t="s">
        <v>540</v>
      </c>
      <c r="D53" s="52"/>
      <c r="E53" s="53" t="s">
        <v>541</v>
      </c>
      <c r="G53" s="141" t="s">
        <v>527</v>
      </c>
      <c r="H53" s="142"/>
      <c r="I53" s="145">
        <v>42972</v>
      </c>
      <c r="J53" s="142"/>
      <c r="K53" s="146">
        <v>17.149999999999999</v>
      </c>
      <c r="AA53" s="94" t="s">
        <v>1291</v>
      </c>
    </row>
    <row r="54" spans="1:27" ht="7.5" customHeight="1">
      <c r="A54" s="30"/>
      <c r="B54" s="52"/>
      <c r="C54" s="52"/>
      <c r="D54" s="52"/>
      <c r="E54" s="52"/>
      <c r="AA54" s="94" t="s">
        <v>1292</v>
      </c>
    </row>
    <row r="55" spans="1:27">
      <c r="A55" s="30"/>
      <c r="B55" s="96" t="s">
        <v>201</v>
      </c>
      <c r="C55" s="97"/>
      <c r="D55" s="98"/>
      <c r="E55" s="98"/>
      <c r="F55" s="98"/>
      <c r="G55" s="2520" t="s">
        <v>362</v>
      </c>
      <c r="H55" s="2520"/>
      <c r="I55" s="2520"/>
      <c r="J55" s="2520"/>
      <c r="K55" s="2520"/>
      <c r="AA55" s="94" t="s">
        <v>1293</v>
      </c>
    </row>
    <row r="56" spans="1:27">
      <c r="A56" s="30"/>
      <c r="AA56" s="94" t="s">
        <v>1294</v>
      </c>
    </row>
    <row r="57" spans="1:27">
      <c r="A57" s="30"/>
      <c r="AA57" s="94" t="s">
        <v>1295</v>
      </c>
    </row>
    <row r="58" spans="1:27">
      <c r="A58" s="30"/>
      <c r="AA58" s="94" t="s">
        <v>1296</v>
      </c>
    </row>
    <row r="59" spans="1:27">
      <c r="A59" s="30"/>
      <c r="J59" s="41"/>
      <c r="K59" s="41"/>
      <c r="AA59" s="94" t="s">
        <v>1297</v>
      </c>
    </row>
    <row r="60" spans="1:27">
      <c r="A60" s="30"/>
      <c r="J60" s="41"/>
      <c r="K60" s="41"/>
      <c r="L60" s="41"/>
      <c r="M60" s="41"/>
      <c r="N60" s="41"/>
      <c r="AA60" s="94" t="s">
        <v>1298</v>
      </c>
    </row>
    <row r="61" spans="1:27">
      <c r="A61" s="30"/>
      <c r="J61" s="41"/>
      <c r="K61" s="41"/>
      <c r="L61" s="41"/>
      <c r="M61" s="41"/>
      <c r="N61" s="41"/>
      <c r="AA61" s="94" t="s">
        <v>1299</v>
      </c>
    </row>
    <row r="62" spans="1:27">
      <c r="A62" s="30"/>
      <c r="J62" s="41"/>
      <c r="K62" s="41"/>
      <c r="L62" s="41"/>
      <c r="M62" s="41"/>
      <c r="N62" s="41"/>
      <c r="AA62" s="94" t="s">
        <v>1300</v>
      </c>
    </row>
    <row r="63" spans="1:27">
      <c r="A63" s="30"/>
      <c r="L63" s="41"/>
      <c r="M63" s="41"/>
      <c r="N63" s="41"/>
      <c r="AA63" s="94" t="s">
        <v>1301</v>
      </c>
    </row>
    <row r="64" spans="1:27">
      <c r="AA64" s="94" t="s">
        <v>1302</v>
      </c>
    </row>
    <row r="65" spans="27:27">
      <c r="AA65" s="94" t="s">
        <v>1303</v>
      </c>
    </row>
    <row r="66" spans="27:27">
      <c r="AA66" s="94" t="s">
        <v>1304</v>
      </c>
    </row>
  </sheetData>
  <mergeCells count="5">
    <mergeCell ref="I2:K2"/>
    <mergeCell ref="G55:K55"/>
    <mergeCell ref="E23:F23"/>
    <mergeCell ref="C23:D23"/>
    <mergeCell ref="C30:D30"/>
  </mergeCells>
  <conditionalFormatting sqref="K51 K53">
    <cfRule type="cellIs" dxfId="249" priority="5" stopIfTrue="1" operator="equal">
      <formula>$I$41</formula>
    </cfRule>
  </conditionalFormatting>
  <dataValidations count="2">
    <dataValidation type="list" allowBlank="1" showInputMessage="1" showErrorMessage="1" sqref="I42">
      <formula1>$O$6:$O$8</formula1>
    </dataValidation>
    <dataValidation type="list" allowBlank="1" showInputMessage="1" showErrorMessage="1" sqref="I44">
      <formula1>$AA$3:$AA$66</formula1>
    </dataValidation>
  </dataValidations>
  <hyperlinks>
    <hyperlink ref="H14" r:id="rId1"/>
    <hyperlink ref="H15" r:id="rId2"/>
  </hyperlinks>
  <pageMargins left="0.7" right="0.7" top="0.75" bottom="0.75" header="0.3" footer="0.3"/>
  <pageSetup scale="74" orientation="portrait" r:id="rId3"/>
  <headerFooter alignWithMargins="0"/>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8"/>
    <pageSetUpPr fitToPage="1"/>
  </sheetPr>
  <dimension ref="A1"/>
  <sheetViews>
    <sheetView showGridLines="0" workbookViewId="0"/>
  </sheetViews>
  <sheetFormatPr defaultColWidth="9.140625" defaultRowHeight="12.75"/>
  <cols>
    <col min="1" max="16384" width="9.140625" style="1864"/>
  </cols>
  <sheetData>
    <row r="1" spans="1:1">
      <c r="A1" s="1863"/>
    </row>
  </sheetData>
  <phoneticPr fontId="11" type="noConversion"/>
  <pageMargins left="0.25" right="0.25" top="0.5" bottom="0.5" header="0.5" footer="0.5"/>
  <pageSetup orientation="landscape"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50"/>
    <pageSetUpPr fitToPage="1"/>
  </sheetPr>
  <dimension ref="A1:AO67"/>
  <sheetViews>
    <sheetView showGridLines="0" workbookViewId="0">
      <pane xSplit="6" ySplit="6" topLeftCell="G7" activePane="bottomRight" state="frozen"/>
      <selection activeCell="AP23" sqref="AP23"/>
      <selection pane="topRight" activeCell="AP23" sqref="AP23"/>
      <selection pane="bottomLeft" activeCell="AP23" sqref="AP23"/>
      <selection pane="bottomRight"/>
    </sheetView>
  </sheetViews>
  <sheetFormatPr defaultRowHeight="11.25" outlineLevelRow="2" outlineLevelCol="1"/>
  <cols>
    <col min="1" max="1" width="21.28515625" style="52" customWidth="1"/>
    <col min="2" max="2" width="2.140625" style="52" hidden="1" customWidth="1" outlineLevel="1"/>
    <col min="3" max="5" width="9" style="52" hidden="1" customWidth="1" outlineLevel="1"/>
    <col min="6" max="6" width="6.85546875" style="52" hidden="1" customWidth="1" outlineLevel="1" collapsed="1"/>
    <col min="7" max="7" width="6.42578125" style="52" customWidth="1" collapsed="1"/>
    <col min="8" max="13" width="6.42578125" style="52" customWidth="1"/>
    <col min="14" max="14" width="6.42578125" style="52" hidden="1" customWidth="1" outlineLevel="1"/>
    <col min="15" max="18" width="6.42578125" style="1401" hidden="1" customWidth="1" outlineLevel="1"/>
    <col min="19" max="19" width="4.42578125" style="52" customWidth="1" collapsed="1"/>
    <col min="20" max="20" width="18.42578125" style="52" customWidth="1"/>
    <col min="21" max="21" width="8" style="52" customWidth="1"/>
    <col min="22" max="22" width="8.28515625" style="52" customWidth="1"/>
    <col min="23" max="23" width="9.140625" style="52" customWidth="1"/>
    <col min="24" max="24" width="8.28515625" style="52" customWidth="1"/>
    <col min="25" max="25" width="20" style="52" customWidth="1"/>
    <col min="26" max="26" width="13.42578125" style="52" customWidth="1"/>
    <col min="27" max="27" width="12.28515625" style="52" customWidth="1"/>
    <col min="28" max="28" width="8.7109375" style="52" customWidth="1"/>
    <col min="29" max="30" width="9.140625" style="52" customWidth="1"/>
    <col min="31" max="16384" width="9.140625" style="52"/>
  </cols>
  <sheetData>
    <row r="1" spans="1:41" ht="18">
      <c r="A1" s="112" t="str">
        <f>Index!$B$1</f>
        <v>São Martinho</v>
      </c>
      <c r="B1" s="431"/>
      <c r="C1" s="431"/>
      <c r="D1" s="431"/>
      <c r="E1" s="431"/>
      <c r="F1" s="431"/>
      <c r="G1" s="431"/>
      <c r="H1" s="431"/>
      <c r="I1" s="431"/>
      <c r="J1" s="431"/>
      <c r="K1" s="431"/>
      <c r="L1" s="431"/>
      <c r="M1" s="431"/>
      <c r="N1" s="431"/>
      <c r="O1" s="431"/>
      <c r="P1" s="431"/>
      <c r="Q1" s="431"/>
      <c r="R1" s="431"/>
      <c r="S1" s="431"/>
      <c r="T1" s="431"/>
      <c r="U1" s="431"/>
      <c r="V1" s="431"/>
      <c r="W1" s="431"/>
      <c r="X1" s="431"/>
      <c r="Y1" s="431"/>
      <c r="Z1" s="1160"/>
      <c r="AA1" s="102"/>
      <c r="AB1" s="102"/>
    </row>
    <row r="2" spans="1:41" ht="12.75">
      <c r="A2" s="99" t="s">
        <v>454</v>
      </c>
      <c r="B2" s="431"/>
      <c r="C2" s="431"/>
      <c r="D2" s="431"/>
      <c r="E2" s="431"/>
      <c r="F2" s="431"/>
      <c r="G2" s="431"/>
      <c r="H2" s="431"/>
      <c r="I2" s="431"/>
      <c r="J2" s="431"/>
      <c r="K2" s="431"/>
      <c r="L2" s="431"/>
      <c r="M2" s="431"/>
      <c r="N2" s="431"/>
      <c r="O2" s="431"/>
      <c r="P2" s="431"/>
      <c r="Q2" s="431"/>
      <c r="R2" s="431"/>
      <c r="S2" s="431"/>
      <c r="T2" s="431"/>
      <c r="U2" s="431"/>
      <c r="V2" s="431"/>
      <c r="W2" s="431"/>
      <c r="X2" s="431"/>
      <c r="Y2" s="432" t="s">
        <v>27</v>
      </c>
      <c r="Z2" s="1160"/>
      <c r="AA2" s="102"/>
      <c r="AB2" s="102"/>
    </row>
    <row r="3" spans="1:41">
      <c r="A3" s="1160"/>
      <c r="B3" s="1160"/>
      <c r="C3" s="1160"/>
      <c r="D3" s="1160"/>
      <c r="E3" s="1160"/>
      <c r="F3" s="1160"/>
      <c r="G3" s="1160"/>
      <c r="H3" s="1160"/>
      <c r="I3" s="1160"/>
      <c r="J3" s="1160"/>
      <c r="K3" s="1160"/>
      <c r="L3" s="1160"/>
      <c r="M3" s="1160"/>
      <c r="N3" s="1160"/>
      <c r="O3" s="1160"/>
      <c r="P3" s="1160"/>
      <c r="Q3" s="1160"/>
      <c r="R3" s="1160"/>
      <c r="S3" s="1160"/>
      <c r="T3" s="1160"/>
      <c r="U3" s="1160"/>
      <c r="V3" s="1160"/>
      <c r="W3" s="1160"/>
      <c r="X3" s="1160"/>
      <c r="Y3" s="1160"/>
      <c r="Z3" s="1160"/>
      <c r="AA3" s="102"/>
      <c r="AB3" s="102"/>
      <c r="AC3" s="1401"/>
      <c r="AD3" s="1401"/>
    </row>
    <row r="4" spans="1:41" ht="12.75" customHeight="1">
      <c r="A4" s="435" t="s">
        <v>1374</v>
      </c>
      <c r="B4" s="108"/>
      <c r="C4" s="108"/>
      <c r="D4" s="108"/>
      <c r="E4" s="108"/>
      <c r="F4" s="108"/>
      <c r="G4" s="108"/>
      <c r="H4" s="108"/>
      <c r="I4" s="108"/>
      <c r="J4" s="108"/>
      <c r="K4" s="108"/>
      <c r="L4" s="108"/>
      <c r="M4" s="108"/>
      <c r="N4" s="108"/>
      <c r="O4" s="108"/>
      <c r="P4" s="108"/>
      <c r="Q4" s="108"/>
      <c r="R4" s="108"/>
      <c r="S4" s="102"/>
      <c r="T4" s="434" t="s">
        <v>631</v>
      </c>
      <c r="U4" s="108"/>
      <c r="V4" s="108"/>
      <c r="W4" s="108"/>
      <c r="X4" s="108"/>
      <c r="Y4" s="108"/>
      <c r="Z4" s="1160"/>
      <c r="AA4" s="102"/>
      <c r="AB4" s="102"/>
      <c r="AC4" s="1401"/>
      <c r="AD4" s="1401"/>
      <c r="AH4" s="731"/>
      <c r="AI4" s="731"/>
      <c r="AJ4" s="731"/>
      <c r="AK4" s="731"/>
      <c r="AL4" s="731"/>
      <c r="AM4" s="731"/>
      <c r="AN4" s="731"/>
      <c r="AO4" s="731"/>
    </row>
    <row r="5" spans="1:41" s="1401" customFormat="1" ht="5.25" customHeight="1">
      <c r="S5" s="102"/>
      <c r="AA5" s="102"/>
      <c r="AB5" s="102"/>
      <c r="AH5" s="731"/>
      <c r="AI5" s="731"/>
      <c r="AJ5" s="731"/>
      <c r="AK5" s="731"/>
      <c r="AL5" s="731"/>
      <c r="AM5" s="731"/>
      <c r="AN5" s="731"/>
      <c r="AO5" s="731"/>
    </row>
    <row r="6" spans="1:41" s="1401" customFormat="1" ht="12.75" customHeight="1">
      <c r="A6" s="2199" t="s">
        <v>1375</v>
      </c>
      <c r="B6" s="2199"/>
      <c r="C6" s="2200">
        <f>Financials!H4</f>
        <v>2010</v>
      </c>
      <c r="D6" s="2200">
        <f>Financials!I4</f>
        <v>2011</v>
      </c>
      <c r="E6" s="2200">
        <f>Financials!J4</f>
        <v>2012</v>
      </c>
      <c r="F6" s="2200">
        <f>Financials!K4</f>
        <v>2013</v>
      </c>
      <c r="G6" s="2200">
        <f>Financials!L4</f>
        <v>2014</v>
      </c>
      <c r="H6" s="2200">
        <f>Financials!M4</f>
        <v>2015</v>
      </c>
      <c r="I6" s="2201">
        <f>Financials!N4</f>
        <v>2016</v>
      </c>
      <c r="J6" s="2201">
        <f>Financials!O4</f>
        <v>2017</v>
      </c>
      <c r="K6" s="2202">
        <f>Financials!P4</f>
        <v>2018</v>
      </c>
      <c r="L6" s="2202">
        <f>Financials!Q4</f>
        <v>2019</v>
      </c>
      <c r="M6" s="2202">
        <f>Financials!R4</f>
        <v>2020</v>
      </c>
      <c r="N6" s="2202">
        <f>Financials!S4</f>
        <v>2021</v>
      </c>
      <c r="O6" s="2202">
        <f>Financials!T4</f>
        <v>2022</v>
      </c>
      <c r="P6" s="2202">
        <f>Financials!U4</f>
        <v>2023</v>
      </c>
      <c r="Q6" s="2202">
        <f>Financials!V4</f>
        <v>2024</v>
      </c>
      <c r="R6" s="2202">
        <f>Financials!W4</f>
        <v>2025</v>
      </c>
      <c r="S6" s="102"/>
      <c r="T6" s="1418" t="s">
        <v>44</v>
      </c>
      <c r="U6" s="1479" t="str">
        <f>UPPER(Index!I44)</f>
        <v>2Q18E</v>
      </c>
      <c r="V6" s="1419" t="str">
        <f>INDEX(Q_Financials!$B5:$GN5, 1, MATCH(LEFT($U6,4 ),Q_Financials!$B5:$GN5,0)-4)&amp;"A"</f>
        <v>2Q17A</v>
      </c>
      <c r="W6" s="1419" t="s">
        <v>455</v>
      </c>
      <c r="X6" s="1419" t="str">
        <f>INDEX(Q_Financials!$B5:$GN5, 1, MATCH(LEFT($U6,4 ),Q_Financials!$B5:$GN5,0)-1)&amp;"A"</f>
        <v>1Q18A</v>
      </c>
      <c r="Y6" s="1418" t="s">
        <v>633</v>
      </c>
      <c r="Z6" s="1160"/>
      <c r="AA6" s="102"/>
      <c r="AB6" s="102"/>
      <c r="AH6" s="731"/>
      <c r="AI6" s="731"/>
      <c r="AJ6" s="731"/>
      <c r="AK6" s="731"/>
      <c r="AL6" s="1423"/>
      <c r="AM6" s="731"/>
      <c r="AN6" s="731"/>
      <c r="AO6" s="731"/>
    </row>
    <row r="7" spans="1:41" ht="12.75" hidden="1" customHeight="1" outlineLevel="2">
      <c r="A7" s="1294" t="s">
        <v>1167</v>
      </c>
      <c r="B7" s="1295"/>
      <c r="C7" s="1349">
        <f>Financials!H6/1000</f>
        <v>12.923</v>
      </c>
      <c r="D7" s="1349">
        <f>Financials!I6/1000</f>
        <v>13.067</v>
      </c>
      <c r="E7" s="1349">
        <f>Financials!J6/1000</f>
        <v>10.59</v>
      </c>
      <c r="F7" s="1349">
        <f>Financials!K6/1000</f>
        <v>12.885</v>
      </c>
      <c r="G7" s="1349">
        <f>Financials!L6/1000</f>
        <v>15.593</v>
      </c>
      <c r="H7" s="1349">
        <f>Financials!M6/1000</f>
        <v>18.718</v>
      </c>
      <c r="I7" s="1349">
        <f>Financials!N6/1000</f>
        <v>20.024000000000001</v>
      </c>
      <c r="J7" s="1349">
        <f>Financials!O6/1000</f>
        <v>19.280999999999999</v>
      </c>
      <c r="K7" s="1348">
        <f>Financials!P6/1000</f>
        <v>22.299999999999997</v>
      </c>
      <c r="L7" s="1348">
        <f>Financials!Q6/1000</f>
        <v>23.414999999999996</v>
      </c>
      <c r="M7" s="1348">
        <f>Financials!R6/1000</f>
        <v>23.883299999999998</v>
      </c>
      <c r="N7" s="1348">
        <f>Financials!S6/1000</f>
        <v>24.599798999999994</v>
      </c>
      <c r="O7" s="1348">
        <f>Financials!T6/1000</f>
        <v>25.042595381999991</v>
      </c>
      <c r="P7" s="1348">
        <f>Financials!U6/1000</f>
        <v>25.493362098875995</v>
      </c>
      <c r="Q7" s="1348">
        <f>Financials!V6/1000</f>
        <v>25.952242616655766</v>
      </c>
      <c r="R7" s="1348">
        <f>Financials!W6/1000</f>
        <v>26.419382983755572</v>
      </c>
      <c r="S7" s="102"/>
      <c r="T7" s="990" t="str">
        <f t="shared" ref="T7:T15" si="0">A7</f>
        <v>Sugar cane crushing - mn tn</v>
      </c>
      <c r="U7" s="1388">
        <f>INDEX(Q_IS!$X9:$GC9,1,MATCH(LEFT(U$6,4),Q_Financials!$B$5:$GN$5,0))</f>
        <v>9365.9999999999982</v>
      </c>
      <c r="V7" s="1127">
        <f>INDEX(Q_IS!$X9:$GC9,1,MATCH(LEFT(V$6,4),Q_Financials!$B$5:$GN$5,0))</f>
        <v>8346</v>
      </c>
      <c r="W7" s="1250">
        <f>IF(ISERROR(U7/V7-1),"NM",U7/V7-1)</f>
        <v>0.12221423436376688</v>
      </c>
      <c r="X7" s="1127">
        <f>INDEX(Q_IS!$X9:$GC9,1,MATCH(LEFT(X$6,4),Q_Financials!$B$5:$GN$5,0))</f>
        <v>8739</v>
      </c>
      <c r="Y7" s="990"/>
      <c r="Z7" s="1154"/>
      <c r="AA7" s="1154"/>
      <c r="AB7" s="1154"/>
      <c r="AC7" s="1154"/>
      <c r="AD7" s="1154"/>
      <c r="AE7" s="1154"/>
      <c r="AF7" s="1154"/>
      <c r="AH7" s="731"/>
      <c r="AI7" s="731"/>
      <c r="AJ7" s="731"/>
      <c r="AK7" s="731"/>
      <c r="AL7" s="1244"/>
      <c r="AM7" s="1244"/>
      <c r="AN7" s="1244"/>
      <c r="AO7" s="1244"/>
    </row>
    <row r="8" spans="1:41" ht="12.75" hidden="1" customHeight="1" outlineLevel="2">
      <c r="A8" s="1120" t="s">
        <v>206</v>
      </c>
      <c r="B8" s="1154"/>
      <c r="C8" s="1177"/>
      <c r="D8" s="1177"/>
      <c r="E8" s="1177"/>
      <c r="F8" s="1177"/>
      <c r="G8" s="1177"/>
      <c r="H8" s="1177"/>
      <c r="I8" s="1177"/>
      <c r="J8" s="1177"/>
      <c r="K8" s="1178"/>
      <c r="L8" s="1178"/>
      <c r="M8" s="1178"/>
      <c r="N8" s="1178"/>
      <c r="O8" s="1178"/>
      <c r="P8" s="1178"/>
      <c r="Q8" s="1178"/>
      <c r="R8" s="1178"/>
      <c r="S8" s="102"/>
      <c r="T8" s="1120" t="str">
        <f t="shared" si="0"/>
        <v>Volume Sold</v>
      </c>
      <c r="U8" s="117"/>
      <c r="V8" s="1177"/>
      <c r="W8" s="1250"/>
      <c r="X8" s="1177"/>
      <c r="Y8" s="731"/>
      <c r="Z8" s="1163"/>
      <c r="AA8" s="1163"/>
      <c r="AB8" s="1163"/>
      <c r="AC8" s="1163"/>
      <c r="AD8" s="1163"/>
      <c r="AE8" s="1163"/>
      <c r="AF8" s="731"/>
      <c r="AH8" s="731"/>
      <c r="AI8" s="731"/>
      <c r="AJ8" s="731"/>
      <c r="AK8" s="731"/>
      <c r="AL8" s="1244"/>
      <c r="AM8" s="1244"/>
      <c r="AN8" s="1244"/>
      <c r="AO8" s="1244"/>
    </row>
    <row r="9" spans="1:41" ht="12.75" hidden="1" customHeight="1" outlineLevel="2">
      <c r="A9" s="1141" t="s">
        <v>999</v>
      </c>
      <c r="B9" s="1154"/>
      <c r="C9" s="1547">
        <f>Financials!H19</f>
        <v>818.7</v>
      </c>
      <c r="D9" s="1547">
        <f>Financials!I19</f>
        <v>836.2</v>
      </c>
      <c r="E9" s="1547">
        <f>Financials!J19</f>
        <v>825.6</v>
      </c>
      <c r="F9" s="1547">
        <f>Financials!K19</f>
        <v>976.19999999999993</v>
      </c>
      <c r="G9" s="1547">
        <f>Financials!L19</f>
        <v>991.2</v>
      </c>
      <c r="H9" s="1547">
        <f>Financials!M19</f>
        <v>1177.0999999999999</v>
      </c>
      <c r="I9" s="1547">
        <f>Financials!N19</f>
        <v>1201</v>
      </c>
      <c r="J9" s="1547">
        <f>Financials!O19</f>
        <v>1313.7</v>
      </c>
      <c r="K9" s="1548">
        <f>Financials!P19</f>
        <v>1395.035815774088</v>
      </c>
      <c r="L9" s="1548">
        <f>Financials!Q19</f>
        <v>1477.5586582487051</v>
      </c>
      <c r="M9" s="1548">
        <f>Financials!R19</f>
        <v>1514.9914199906761</v>
      </c>
      <c r="N9" s="1548">
        <f>Financials!S19</f>
        <v>1568.2177770680119</v>
      </c>
      <c r="O9" s="1548">
        <f>Financials!T19</f>
        <v>1604.4296709965454</v>
      </c>
      <c r="P9" s="1548">
        <f>Financials!U19</f>
        <v>1641.4758404898287</v>
      </c>
      <c r="Q9" s="1548">
        <f>Financials!V19</f>
        <v>1679.3775243636262</v>
      </c>
      <c r="R9" s="1548">
        <f>Financials!W19</f>
        <v>1718.1543510194051</v>
      </c>
      <c r="S9" s="1160"/>
      <c r="T9" s="1141" t="str">
        <f t="shared" si="0"/>
        <v>Sugar ('000 Tn)</v>
      </c>
      <c r="U9" s="1388">
        <f>INDEX(Q_IS!$X53:$GC53,1,MATCH(LEFT(U$6,4),Q_Financials!$B$5:$GN$5,0))</f>
        <v>304.24401188024819</v>
      </c>
      <c r="V9" s="1420">
        <f>INDEX(Q_IS!$X53:$GC53,1,MATCH(LEFT(V$6,4),Q_Financials!$B$5:$GN$5,0))</f>
        <v>327.40000000000003</v>
      </c>
      <c r="W9" s="1421">
        <f>U9/V9-1</f>
        <v>-7.0726903236871808E-2</v>
      </c>
      <c r="X9" s="1420">
        <f>INDEX(Q_IS!$X53:$GC53,1,MATCH(LEFT(X$6,4),Q_Financials!$B$5:$GN$5,0))</f>
        <v>372</v>
      </c>
      <c r="Y9" s="731"/>
      <c r="Z9" s="1163"/>
      <c r="AA9" s="1163"/>
      <c r="AB9" s="1163"/>
      <c r="AC9" s="1163"/>
      <c r="AD9" s="1163"/>
      <c r="AE9" s="1163"/>
      <c r="AF9" s="731"/>
      <c r="AH9" s="731"/>
      <c r="AI9" s="731"/>
      <c r="AJ9" s="731"/>
      <c r="AK9" s="731"/>
      <c r="AL9" s="1244"/>
      <c r="AM9" s="1244"/>
      <c r="AN9" s="1244"/>
      <c r="AO9" s="1244"/>
    </row>
    <row r="10" spans="1:41" ht="12.75" hidden="1" customHeight="1" outlineLevel="2">
      <c r="A10" s="1141" t="s">
        <v>837</v>
      </c>
      <c r="B10" s="1154"/>
      <c r="C10" s="1547">
        <f>Financials!H24</f>
        <v>609.4</v>
      </c>
      <c r="D10" s="1547">
        <f>Financials!I24</f>
        <v>523.70000000000005</v>
      </c>
      <c r="E10" s="1547">
        <f>Financials!J24</f>
        <v>401.40000000000003</v>
      </c>
      <c r="F10" s="1547">
        <f>Financials!K24</f>
        <v>450.8</v>
      </c>
      <c r="G10" s="1547">
        <f>Financials!L24</f>
        <v>638.6</v>
      </c>
      <c r="H10" s="1547">
        <f>Financials!M24</f>
        <v>713.39999999999986</v>
      </c>
      <c r="I10" s="1547">
        <f>Financials!N24</f>
        <v>795.00000000000011</v>
      </c>
      <c r="J10" s="1547">
        <f>Financials!O24</f>
        <v>698.4</v>
      </c>
      <c r="K10" s="1548">
        <f>Financials!P24</f>
        <v>879.55627833581912</v>
      </c>
      <c r="L10" s="1548">
        <f>Financials!Q24</f>
        <v>937.54041027191488</v>
      </c>
      <c r="M10" s="1548">
        <f>Financials!R24</f>
        <v>960.82114211459702</v>
      </c>
      <c r="N10" s="1548">
        <f>Financials!S24</f>
        <v>994.61259887007463</v>
      </c>
      <c r="O10" s="1548">
        <f>Financials!T24</f>
        <v>1017.5769355600827</v>
      </c>
      <c r="P10" s="1548">
        <f>Financials!U24</f>
        <v>1041.0728680958862</v>
      </c>
      <c r="Q10" s="1548">
        <f>Financials!V24</f>
        <v>1065.1112357398565</v>
      </c>
      <c r="R10" s="1548">
        <f>Financials!W24</f>
        <v>1089.7046544504815</v>
      </c>
      <c r="S10" s="1160"/>
      <c r="T10" s="1141" t="str">
        <f t="shared" si="0"/>
        <v>Ethanol ('000 cbm)</v>
      </c>
      <c r="U10" s="1388">
        <f>INDEX(Q_IS!$X56:$GC56,1,MATCH(LEFT(U$6,4),Q_Financials!$B$5:$GN$5,0))</f>
        <v>233.3404706083341</v>
      </c>
      <c r="V10" s="1420">
        <f>INDEX(Q_IS!$X56:$GC56,1,MATCH(LEFT(V$6,4),Q_Financials!$B$5:$GN$5,0))</f>
        <v>188.20000000000002</v>
      </c>
      <c r="W10" s="1421">
        <f>U10/V10-1</f>
        <v>0.23985372267977723</v>
      </c>
      <c r="X10" s="1420">
        <f>INDEX(Q_IS!$X56:$GC56,1,MATCH(LEFT(X$6,4),Q_Financials!$B$5:$GN$5,0))</f>
        <v>145.20000000000002</v>
      </c>
      <c r="Y10" s="731"/>
      <c r="Z10" s="1163"/>
      <c r="AA10" s="1163"/>
      <c r="AB10" s="1163"/>
      <c r="AC10" s="1163"/>
      <c r="AD10" s="1163"/>
      <c r="AE10" s="1163"/>
      <c r="AF10" s="731"/>
      <c r="AH10" s="731"/>
      <c r="AI10" s="731"/>
      <c r="AJ10" s="731"/>
      <c r="AK10" s="731"/>
      <c r="AL10" s="1244"/>
      <c r="AM10" s="1244"/>
      <c r="AN10" s="1244"/>
      <c r="AO10" s="1244"/>
    </row>
    <row r="11" spans="1:41" ht="12.75" hidden="1" customHeight="1" outlineLevel="2">
      <c r="A11" s="1141" t="s">
        <v>642</v>
      </c>
      <c r="B11" s="1154"/>
      <c r="C11" s="1279" t="str">
        <f>Financials!H30</f>
        <v>NA</v>
      </c>
      <c r="D11" s="1279">
        <f>Financials!I30</f>
        <v>184.4</v>
      </c>
      <c r="E11" s="1279">
        <f>Financials!J30</f>
        <v>249.4</v>
      </c>
      <c r="F11" s="1279">
        <f>Financials!K30</f>
        <v>260.60000000000002</v>
      </c>
      <c r="G11" s="1279">
        <f>Financials!L30</f>
        <v>445.5</v>
      </c>
      <c r="H11" s="1279">
        <f>Financials!M30</f>
        <v>639</v>
      </c>
      <c r="I11" s="1279">
        <f>Financials!N30</f>
        <v>831.2</v>
      </c>
      <c r="J11" s="1279">
        <f>Financials!O30</f>
        <v>914.5</v>
      </c>
      <c r="K11" s="1642">
        <f>Financials!P30</f>
        <v>900.00000000000011</v>
      </c>
      <c r="L11" s="1642">
        <f>Financials!Q30</f>
        <v>900.00000000000011</v>
      </c>
      <c r="M11" s="1642">
        <f>Financials!R30</f>
        <v>918.75</v>
      </c>
      <c r="N11" s="1642">
        <f>Financials!S30</f>
        <v>937.5</v>
      </c>
      <c r="O11" s="1642">
        <f>Financials!T30</f>
        <v>956.25</v>
      </c>
      <c r="P11" s="1642">
        <f>Financials!U30</f>
        <v>974.99999999999989</v>
      </c>
      <c r="Q11" s="1642">
        <f>Financials!V30</f>
        <v>993.74999999999977</v>
      </c>
      <c r="R11" s="1642">
        <f>Financials!W30</f>
        <v>1012.4999999999998</v>
      </c>
      <c r="S11" s="1160"/>
      <c r="T11" s="1141" t="str">
        <f t="shared" si="0"/>
        <v>Cogeneration ('000 MWh)</v>
      </c>
      <c r="U11" s="1388">
        <f>INDEX(Q_IS!$X61:$GC61,1,MATCH(LEFT(U$6,4),Q_Financials!$B$5:$GN$5,0))</f>
        <v>288.23978065474824</v>
      </c>
      <c r="V11" s="1420">
        <f>INDEX(Q_IS!$X61:$GC61,1,MATCH(LEFT(V$6,4),Q_Financials!$B$5:$GN$5,0))</f>
        <v>285.89999999999998</v>
      </c>
      <c r="W11" s="1421">
        <f>U11/V11-1</f>
        <v>8.1839127483325225E-3</v>
      </c>
      <c r="X11" s="1420">
        <f>INDEX(Q_IS!$X61:$GC61,1,MATCH(LEFT(X$6,4),Q_Financials!$B$5:$GN$5,0))</f>
        <v>310.60000000000002</v>
      </c>
      <c r="Y11" s="731"/>
      <c r="Z11" s="1163"/>
      <c r="AA11" s="1163"/>
      <c r="AB11" s="1163"/>
      <c r="AC11" s="1163"/>
      <c r="AD11" s="1163"/>
      <c r="AE11" s="1163"/>
      <c r="AF11" s="731"/>
      <c r="AH11" s="731"/>
      <c r="AI11" s="731"/>
      <c r="AJ11" s="731"/>
      <c r="AK11" s="731"/>
      <c r="AL11" s="1244"/>
      <c r="AM11" s="1244"/>
      <c r="AN11" s="1244"/>
      <c r="AO11" s="1244"/>
    </row>
    <row r="12" spans="1:41" ht="12.75" hidden="1" customHeight="1" outlineLevel="1">
      <c r="A12" s="1120" t="s">
        <v>209</v>
      </c>
      <c r="B12" s="1154"/>
      <c r="C12" s="1177"/>
      <c r="D12" s="1177"/>
      <c r="E12" s="1177"/>
      <c r="F12" s="1177"/>
      <c r="G12" s="1177"/>
      <c r="H12" s="1177"/>
      <c r="I12" s="1177"/>
      <c r="J12" s="1177"/>
      <c r="K12" s="1178"/>
      <c r="L12" s="1178"/>
      <c r="M12" s="1178"/>
      <c r="N12" s="1178"/>
      <c r="O12" s="1178"/>
      <c r="P12" s="1178"/>
      <c r="Q12" s="1178"/>
      <c r="R12" s="1178"/>
      <c r="S12" s="1160"/>
      <c r="T12" s="1120" t="str">
        <f t="shared" si="0"/>
        <v>Average Prices</v>
      </c>
      <c r="U12" s="117"/>
      <c r="V12" s="1177"/>
      <c r="W12" s="1495"/>
      <c r="X12" s="731"/>
      <c r="Y12" s="731"/>
      <c r="Z12" s="1163"/>
      <c r="AA12" s="1163"/>
      <c r="AB12" s="1163"/>
      <c r="AC12" s="1163"/>
      <c r="AD12" s="1163"/>
      <c r="AE12" s="1163"/>
      <c r="AF12" s="731"/>
      <c r="AH12" s="731"/>
      <c r="AI12" s="731"/>
      <c r="AJ12" s="731"/>
      <c r="AK12" s="731"/>
      <c r="AL12" s="1244"/>
      <c r="AM12" s="1244"/>
      <c r="AN12" s="1244"/>
      <c r="AO12" s="1244"/>
    </row>
    <row r="13" spans="1:41" ht="12.75" hidden="1" customHeight="1" outlineLevel="1">
      <c r="A13" s="990" t="s">
        <v>1166</v>
      </c>
      <c r="B13" s="1154"/>
      <c r="C13" s="1345">
        <f>Financials!H16</f>
        <v>23.440833333333334</v>
      </c>
      <c r="D13" s="1345">
        <f>Financials!I16</f>
        <v>25.258333333333336</v>
      </c>
      <c r="E13" s="1345">
        <f>Financials!J16</f>
        <v>20.410833333333333</v>
      </c>
      <c r="F13" s="1345">
        <f>Financials!K16</f>
        <v>17.066666666666666</v>
      </c>
      <c r="G13" s="1345">
        <f>Financials!L16</f>
        <v>15.978333333333333</v>
      </c>
      <c r="H13" s="1345">
        <f>Financials!M16</f>
        <v>13.149166666666668</v>
      </c>
      <c r="I13" s="1345">
        <f>Financials!N16</f>
        <v>19.252499999999998</v>
      </c>
      <c r="J13" s="1345">
        <f>Financials!O16</f>
        <v>17.805000000000003</v>
      </c>
      <c r="K13" s="1346">
        <f>Financials!P16</f>
        <v>16.244658605325153</v>
      </c>
      <c r="L13" s="1346">
        <f>Financials!Q16</f>
        <v>16.31531880717511</v>
      </c>
      <c r="M13" s="1346">
        <f>Financials!R16</f>
        <v>16.498655235130911</v>
      </c>
      <c r="N13" s="1346">
        <f>Financials!S16</f>
        <v>19.747444770453257</v>
      </c>
      <c r="O13" s="1346">
        <f>Financials!T16</f>
        <v>20.93514679550681</v>
      </c>
      <c r="P13" s="1346">
        <f>Financials!U16</f>
        <v>17.432162450241776</v>
      </c>
      <c r="Q13" s="1346">
        <f>Financials!V16</f>
        <v>15.017906650666538</v>
      </c>
      <c r="R13" s="1346">
        <f>Financials!W16</f>
        <v>17.055276269110166</v>
      </c>
      <c r="S13" s="1160"/>
      <c r="T13" s="731" t="str">
        <f t="shared" si="0"/>
        <v>Sugar Nybot prices (US$ c/lb)</v>
      </c>
      <c r="U13" s="1424">
        <f>INDEX(ChartSupport!$B376:$BY376,1,MATCH(U$6,ChartSupport!$B$355:$BY$355,0))</f>
        <v>16.29765375671262</v>
      </c>
      <c r="V13" s="1425">
        <f>INDEX(ChartSupport!$B$376:$AS$376,1,MATCH(LEFT(Summary!V6,4),ChartSupport!$B$355:$AS$355,0))</f>
        <v>11.346666666666666</v>
      </c>
      <c r="W13" s="1421">
        <f>U13/V13-1</f>
        <v>0.43633846269500198</v>
      </c>
      <c r="X13" s="1425">
        <f>INDEX(ChartSupport!$B$376:$BY$376,1,MATCH(LEFT(Summary!X6,4),ChartSupport!$B$355:$BY$355,0))</f>
        <v>16.29765375671262</v>
      </c>
      <c r="Y13" s="731"/>
      <c r="Z13" s="1163"/>
      <c r="AA13" s="1163"/>
      <c r="AB13" s="1163"/>
      <c r="AC13" s="1163"/>
      <c r="AD13" s="1163"/>
      <c r="AE13" s="1163"/>
      <c r="AF13" s="731"/>
      <c r="AH13" s="731"/>
      <c r="AI13" s="731"/>
      <c r="AJ13" s="731"/>
      <c r="AK13" s="731"/>
      <c r="AL13" s="1244"/>
      <c r="AM13" s="1244"/>
      <c r="AN13" s="1244"/>
      <c r="AO13" s="1244"/>
    </row>
    <row r="14" spans="1:41" ht="12.75" hidden="1" customHeight="1" outlineLevel="1">
      <c r="A14" s="1296" t="s">
        <v>891</v>
      </c>
      <c r="B14" s="1154"/>
      <c r="C14" s="1155">
        <f>Financials!H17</f>
        <v>711.1921338707707</v>
      </c>
      <c r="D14" s="1155">
        <f>Financials!I17</f>
        <v>839.72135852666827</v>
      </c>
      <c r="E14" s="1155">
        <f>Financials!J17</f>
        <v>928.64219961240303</v>
      </c>
      <c r="F14" s="1155">
        <f>Financials!K17</f>
        <v>973.49518541282532</v>
      </c>
      <c r="G14" s="1155">
        <f>Financials!L17</f>
        <v>892.12469733656167</v>
      </c>
      <c r="H14" s="1155">
        <f>Financials!M17</f>
        <v>925.27992523999671</v>
      </c>
      <c r="I14" s="1155">
        <f>Financials!N17</f>
        <v>1048.068276436303</v>
      </c>
      <c r="J14" s="1155">
        <f>Financials!O17</f>
        <v>1251.9068280429321</v>
      </c>
      <c r="K14" s="1156">
        <f>Financials!P17</f>
        <v>1407.8772144231391</v>
      </c>
      <c r="L14" s="1156">
        <f>Financials!Q17</f>
        <v>1203.2894278945732</v>
      </c>
      <c r="M14" s="1156">
        <f>Financials!R17</f>
        <v>1245.1088064177579</v>
      </c>
      <c r="N14" s="1156">
        <f>Financials!S17</f>
        <v>1490.2861498423542</v>
      </c>
      <c r="O14" s="1156">
        <f>Financials!T17</f>
        <v>1586.8475041008783</v>
      </c>
      <c r="P14" s="1156">
        <f>Financials!U17</f>
        <v>1327.0967708404357</v>
      </c>
      <c r="Q14" s="1156">
        <f>Financials!V17</f>
        <v>1148.2717115571372</v>
      </c>
      <c r="R14" s="1156">
        <f>Financials!W17</f>
        <v>1309.6939589258038</v>
      </c>
      <c r="S14" s="1160"/>
      <c r="T14" s="1296" t="str">
        <f t="shared" si="0"/>
        <v>SMTO avg sugar price (R$/Tn)</v>
      </c>
      <c r="U14" s="1388">
        <f>INDEX(Q_IS!$X81:$GC81,1,MATCH(LEFT(U$6,4),Q_Financials!$B$5:$GN$5,0))</f>
        <v>1408.3313146170381</v>
      </c>
      <c r="V14" s="1127">
        <f>INDEX(Q_IS!$X81:$GC81,1,MATCH(LEFT(V$6,4),Q_Financials!$B$5:$GN$5,0))</f>
        <v>1181.0354306658521</v>
      </c>
      <c r="W14" s="1421">
        <f>U14/V14-1</f>
        <v>0.19245475457331507</v>
      </c>
      <c r="X14" s="1127">
        <f>INDEX(Q_IS!$X81:$GC81,1,MATCH(LEFT(X$6,4),Q_Financials!$B$5:$GN$5,0))</f>
        <v>1485.6263440860216</v>
      </c>
      <c r="Y14" s="731"/>
      <c r="Z14" s="1163"/>
      <c r="AA14" s="1163"/>
      <c r="AB14" s="1163"/>
      <c r="AC14" s="1163"/>
      <c r="AD14" s="1163"/>
      <c r="AE14" s="1163"/>
      <c r="AF14" s="731"/>
      <c r="AH14" s="731"/>
      <c r="AI14" s="731"/>
      <c r="AJ14" s="731"/>
      <c r="AK14" s="731"/>
      <c r="AL14" s="1244"/>
      <c r="AM14" s="1244"/>
      <c r="AN14" s="1244"/>
      <c r="AO14" s="1244"/>
    </row>
    <row r="15" spans="1:41" ht="12.75" hidden="1" customHeight="1" outlineLevel="1">
      <c r="A15" s="990" t="s">
        <v>890</v>
      </c>
      <c r="B15" s="1154"/>
      <c r="C15" s="1297">
        <f>Financials!H22</f>
        <v>857.95536593370525</v>
      </c>
      <c r="D15" s="1297">
        <f>Financials!I22</f>
        <v>994.76608745464966</v>
      </c>
      <c r="E15" s="1297">
        <f>Financials!J22</f>
        <v>1258.2710513203785</v>
      </c>
      <c r="F15" s="1297">
        <f>Financials!K22</f>
        <v>1211.548358473824</v>
      </c>
      <c r="G15" s="1297">
        <f>Financials!L22</f>
        <v>1317.1515815847165</v>
      </c>
      <c r="H15" s="1297">
        <f>Financials!M22</f>
        <v>1349.1070927950659</v>
      </c>
      <c r="I15" s="1297">
        <f>Financials!N22</f>
        <v>1637.3106918238993</v>
      </c>
      <c r="J15" s="1297">
        <f>Financials!O22</f>
        <v>1773.8788659793813</v>
      </c>
      <c r="K15" s="1156">
        <f>Financials!P22</f>
        <v>1691.3685141076389</v>
      </c>
      <c r="L15" s="1156">
        <f>Financials!Q22</f>
        <v>1841.1499524966634</v>
      </c>
      <c r="M15" s="1156">
        <f>Financials!R22</f>
        <v>1970.8083998555833</v>
      </c>
      <c r="N15" s="1156">
        <f>Financials!S22</f>
        <v>2045.2427213153921</v>
      </c>
      <c r="O15" s="1156">
        <f>Financials!T22</f>
        <v>2094.3285466269617</v>
      </c>
      <c r="P15" s="1156">
        <f>Financials!U22</f>
        <v>2144.5924317460085</v>
      </c>
      <c r="Q15" s="1156">
        <f>Financials!V22</f>
        <v>2196.0626501079128</v>
      </c>
      <c r="R15" s="1156">
        <f>Financials!W22</f>
        <v>2343.940671516048</v>
      </c>
      <c r="S15" s="1160"/>
      <c r="T15" s="1296" t="str">
        <f t="shared" si="0"/>
        <v>SMTO avg ethanol price (R$/cbm)</v>
      </c>
      <c r="U15" s="1388">
        <f>INDEX(Q_IS!$X87:$GC87,1,MATCH(LEFT(U$6,4),Q_Financials!$B$5:$GN$5,0))</f>
        <v>1693.4261010425971</v>
      </c>
      <c r="V15" s="1127">
        <f>INDEX(Q_IS!$X87:$GC87,1,MATCH(LEFT(V$6,4),Q_Financials!$B$5:$GN$5,0))</f>
        <v>1633.4643995749202</v>
      </c>
      <c r="W15" s="1421">
        <f>U15/V15-1</f>
        <v>3.6708300152290319E-2</v>
      </c>
      <c r="X15" s="1127">
        <f>INDEX(Q_IS!$X87:$GC87,1,MATCH(LEFT(X$6,4),Q_Financials!$B$5:$GN$5,0))</f>
        <v>1602.7272727272725</v>
      </c>
      <c r="Y15" s="1496"/>
      <c r="Z15" s="1163"/>
      <c r="AA15" s="1163"/>
      <c r="AB15" s="1163"/>
      <c r="AC15" s="1163"/>
      <c r="AD15" s="1163"/>
      <c r="AE15" s="1163"/>
      <c r="AF15" s="731"/>
      <c r="AH15" s="731"/>
      <c r="AI15" s="731"/>
      <c r="AJ15" s="731"/>
      <c r="AK15" s="731"/>
      <c r="AL15" s="1244"/>
      <c r="AM15" s="1244"/>
      <c r="AN15" s="1244"/>
      <c r="AO15" s="1244"/>
    </row>
    <row r="16" spans="1:41" ht="12.75" hidden="1" customHeight="1" outlineLevel="1">
      <c r="A16" s="990" t="s">
        <v>662</v>
      </c>
      <c r="B16" s="1154"/>
      <c r="C16" s="1297" t="str">
        <f>Financials!H29</f>
        <v>NA</v>
      </c>
      <c r="D16" s="1297">
        <f>Financials!I29</f>
        <v>129.8590021691974</v>
      </c>
      <c r="E16" s="1297">
        <f>Financials!J29</f>
        <v>110.63753007217322</v>
      </c>
      <c r="F16" s="1297">
        <f>Financials!K29</f>
        <v>170.40675364543361</v>
      </c>
      <c r="G16" s="1297">
        <f>Financials!L29</f>
        <v>173.45230078563412</v>
      </c>
      <c r="H16" s="1297">
        <f>Financials!M29</f>
        <v>295.95305164319251</v>
      </c>
      <c r="I16" s="1297">
        <f>Financials!N29</f>
        <v>223.25914340712222</v>
      </c>
      <c r="J16" s="1297">
        <f>Financials!O29</f>
        <v>166.30836522689995</v>
      </c>
      <c r="K16" s="1298">
        <f>Financials!P29</f>
        <v>183.49999999999997</v>
      </c>
      <c r="L16" s="1298">
        <f>Financials!Q29</f>
        <v>181.66666666666666</v>
      </c>
      <c r="M16" s="1298">
        <f>Financials!R29</f>
        <v>187.24</v>
      </c>
      <c r="N16" s="1298">
        <f>Financials!S29</f>
        <v>193.05856</v>
      </c>
      <c r="O16" s="1298">
        <f>Financials!T29</f>
        <v>199.13313664</v>
      </c>
      <c r="P16" s="1298">
        <f>Financials!U29</f>
        <v>205.47499465216001</v>
      </c>
      <c r="Q16" s="1298">
        <f>Financials!V29</f>
        <v>212.09589441685506</v>
      </c>
      <c r="R16" s="1298">
        <f>Financials!W29</f>
        <v>219.00811377119669</v>
      </c>
      <c r="S16" s="1160"/>
      <c r="T16" s="990" t="s">
        <v>662</v>
      </c>
      <c r="U16" s="1388">
        <f>INDEX(Q_IS!$X98:$GC98,1,MATCH(LEFT(U$6,4),Q_Financials!$B$5:$GN$5,0))</f>
        <v>183.5</v>
      </c>
      <c r="V16" s="1127">
        <f>INDEX(Q_IS!$X98:$GC98,1,MATCH(LEFT(V$6,4),Q_Financials!$B$5:$GN$5,0))</f>
        <v>170.3707590066457</v>
      </c>
      <c r="W16" s="1497">
        <f>U16/V16-1</f>
        <v>7.7062760475476777E-2</v>
      </c>
      <c r="X16" s="1127">
        <f>INDEX(Q_IS!$X98:$GC98,1,MATCH(LEFT(X$6,4),Q_Financials!$B$5:$GN$5,0))</f>
        <v>213.17450096587248</v>
      </c>
      <c r="Y16" s="1496"/>
      <c r="Z16" s="1163"/>
      <c r="AA16" s="1163"/>
      <c r="AB16" s="1163"/>
      <c r="AC16" s="1163"/>
      <c r="AD16" s="1163"/>
      <c r="AE16" s="1163"/>
      <c r="AF16" s="731"/>
      <c r="AH16" s="731"/>
      <c r="AI16" s="731"/>
      <c r="AJ16" s="731"/>
      <c r="AK16" s="731"/>
      <c r="AL16" s="1244"/>
      <c r="AM16" s="1244"/>
      <c r="AN16" s="1244"/>
      <c r="AO16" s="1244"/>
    </row>
    <row r="17" spans="1:41" s="1401" customFormat="1" ht="12.75" hidden="1" customHeight="1" outlineLevel="1">
      <c r="A17" s="990"/>
      <c r="B17" s="1154"/>
      <c r="C17" s="1297"/>
      <c r="D17" s="1297"/>
      <c r="E17" s="1297"/>
      <c r="F17" s="1297"/>
      <c r="G17" s="1297"/>
      <c r="H17" s="1297"/>
      <c r="I17" s="1297"/>
      <c r="J17" s="1297"/>
      <c r="K17" s="1298"/>
      <c r="L17" s="1298"/>
      <c r="M17" s="1298"/>
      <c r="N17" s="1298"/>
      <c r="O17" s="1298"/>
      <c r="P17" s="1298"/>
      <c r="Q17" s="1298"/>
      <c r="R17" s="1298"/>
      <c r="S17" s="1160"/>
      <c r="T17" s="990"/>
      <c r="U17" s="1388"/>
      <c r="V17" s="1127"/>
      <c r="W17" s="1497"/>
      <c r="X17" s="1127"/>
      <c r="Y17" s="1496"/>
      <c r="Z17" s="1163"/>
      <c r="AA17" s="1163"/>
      <c r="AB17" s="1163"/>
      <c r="AC17" s="1163"/>
      <c r="AD17" s="1163"/>
      <c r="AE17" s="1163"/>
      <c r="AF17" s="731"/>
      <c r="AH17" s="731"/>
      <c r="AI17" s="731"/>
      <c r="AJ17" s="731"/>
      <c r="AK17" s="731"/>
      <c r="AL17" s="1244"/>
      <c r="AM17" s="1244"/>
      <c r="AN17" s="1244"/>
      <c r="AO17" s="1244"/>
    </row>
    <row r="18" spans="1:41" ht="12.75" hidden="1" customHeight="1" outlineLevel="1" collapsed="1">
      <c r="A18" s="2199" t="s">
        <v>1376</v>
      </c>
      <c r="B18" s="2199"/>
      <c r="C18" s="2200">
        <f>C6</f>
        <v>2010</v>
      </c>
      <c r="D18" s="2200">
        <f t="shared" ref="D18:R18" si="1">D6</f>
        <v>2011</v>
      </c>
      <c r="E18" s="2200">
        <f t="shared" si="1"/>
        <v>2012</v>
      </c>
      <c r="F18" s="2200">
        <f t="shared" si="1"/>
        <v>2013</v>
      </c>
      <c r="G18" s="2200">
        <f t="shared" si="1"/>
        <v>2014</v>
      </c>
      <c r="H18" s="2200">
        <f t="shared" si="1"/>
        <v>2015</v>
      </c>
      <c r="I18" s="2201">
        <f t="shared" si="1"/>
        <v>2016</v>
      </c>
      <c r="J18" s="2201">
        <f t="shared" si="1"/>
        <v>2017</v>
      </c>
      <c r="K18" s="2202">
        <f t="shared" si="1"/>
        <v>2018</v>
      </c>
      <c r="L18" s="2202">
        <f t="shared" si="1"/>
        <v>2019</v>
      </c>
      <c r="M18" s="2202">
        <f t="shared" si="1"/>
        <v>2020</v>
      </c>
      <c r="N18" s="2202">
        <f t="shared" si="1"/>
        <v>2021</v>
      </c>
      <c r="O18" s="2202">
        <f t="shared" si="1"/>
        <v>2022</v>
      </c>
      <c r="P18" s="2202">
        <f t="shared" si="1"/>
        <v>2023</v>
      </c>
      <c r="Q18" s="2202">
        <f t="shared" si="1"/>
        <v>2024</v>
      </c>
      <c r="R18" s="2202">
        <f t="shared" si="1"/>
        <v>2025</v>
      </c>
      <c r="S18" s="1160"/>
      <c r="T18" s="1120" t="s">
        <v>44</v>
      </c>
      <c r="U18" s="226"/>
      <c r="V18" s="731"/>
      <c r="W18" s="731"/>
      <c r="X18" s="731"/>
      <c r="Y18" s="731"/>
      <c r="Z18" s="1163"/>
      <c r="AA18" s="1163"/>
      <c r="AB18" s="1163"/>
      <c r="AC18" s="1163"/>
      <c r="AD18" s="1163"/>
      <c r="AE18" s="1163"/>
      <c r="AF18" s="1163"/>
      <c r="AG18" s="1163"/>
      <c r="AH18" s="1163"/>
      <c r="AI18" s="731"/>
      <c r="AJ18" s="731"/>
      <c r="AK18" s="731"/>
      <c r="AL18" s="1244"/>
      <c r="AM18" s="1244"/>
      <c r="AN18" s="1244"/>
      <c r="AO18" s="1244"/>
    </row>
    <row r="19" spans="1:41" ht="12.75" customHeight="1" collapsed="1">
      <c r="A19" s="1157" t="s">
        <v>295</v>
      </c>
      <c r="B19" s="1157"/>
      <c r="C19" s="1158">
        <f>Financials!H36</f>
        <v>1183.2859999999998</v>
      </c>
      <c r="D19" s="1158">
        <f>Financials!I36</f>
        <v>1295.0279999999998</v>
      </c>
      <c r="E19" s="1158">
        <f>Financials!J36</f>
        <v>1366.99</v>
      </c>
      <c r="F19" s="1158">
        <f>Financials!K36</f>
        <v>1635.9549999999999</v>
      </c>
      <c r="G19" s="1158">
        <f>Financials!L36</f>
        <v>1971.69</v>
      </c>
      <c r="H19" s="1158">
        <f>Financials!M36</f>
        <v>2325.1619999999998</v>
      </c>
      <c r="I19" s="1158">
        <f>Financials!N36</f>
        <v>2727.3789999999999</v>
      </c>
      <c r="J19" s="1158">
        <f>Financials!O36</f>
        <v>3002.8820000000001</v>
      </c>
      <c r="K19" s="1159">
        <f>Financials!P36</f>
        <v>3656.7611338954334</v>
      </c>
      <c r="L19" s="1159">
        <f>Financials!Q36</f>
        <v>3782.0958344005958</v>
      </c>
      <c r="M19" s="1159">
        <f>Financials!R36</f>
        <v>4084.7849487160179</v>
      </c>
      <c r="N19" s="1159">
        <f>Financials!S36</f>
        <v>4701.0846333566287</v>
      </c>
      <c r="O19" s="1159">
        <f>Financials!T36</f>
        <v>5031.1990094477269</v>
      </c>
      <c r="P19" s="1159">
        <f>Financials!U36</f>
        <v>4788.1568893299891</v>
      </c>
      <c r="Q19" s="1159">
        <f>Financials!V36</f>
        <v>4665.5521600540633</v>
      </c>
      <c r="R19" s="1159">
        <f>Financials!W36</f>
        <v>5221.0482727477665</v>
      </c>
      <c r="S19" s="1160"/>
      <c r="T19" s="1157" t="str">
        <f>$A$19</f>
        <v>Revenues</v>
      </c>
      <c r="U19" s="122">
        <f>INDEX(Q_Financials!$B10:$GN10,1,MATCH(LEFT(U$6,4),Q_Financials!$B$5:$GN$5,0))</f>
        <v>916.69511232353398</v>
      </c>
      <c r="V19" s="1158">
        <f>INDEX(Q_Financials!$B10:$GN10,1,MATCH(LEFT(V$6,4),Q_Financials!$B$5:$GN$5,0))</f>
        <v>724.447</v>
      </c>
      <c r="W19" s="1498">
        <f>U19/V19-1</f>
        <v>0.26537222505377756</v>
      </c>
      <c r="X19" s="1158">
        <f>INDEX(Q_Financials!$B10:$GN10,1,MATCH(LEFT(X$6,4),Q_Financials!$B$5:$GN$5,0))</f>
        <v>812.34699999999998</v>
      </c>
      <c r="Y19" s="1499"/>
      <c r="Z19" s="1163"/>
      <c r="AC19" s="1401"/>
      <c r="AD19" s="1401"/>
      <c r="AE19" s="731"/>
      <c r="AF19" s="731"/>
      <c r="AH19" s="731"/>
      <c r="AI19" s="731"/>
      <c r="AJ19" s="731"/>
      <c r="AK19" s="731"/>
      <c r="AL19" s="1244"/>
      <c r="AM19" s="1244"/>
      <c r="AN19" s="1244"/>
      <c r="AO19" s="1244"/>
    </row>
    <row r="20" spans="1:41" ht="12.75" customHeight="1">
      <c r="A20" s="1154" t="s">
        <v>219</v>
      </c>
      <c r="B20" s="1160"/>
      <c r="C20" s="1161">
        <f>Financials!H61</f>
        <v>401.32199999999978</v>
      </c>
      <c r="D20" s="1161">
        <f>Financials!I61</f>
        <v>566.1239999999998</v>
      </c>
      <c r="E20" s="1161">
        <f>Financials!J61</f>
        <v>582.6350000000001</v>
      </c>
      <c r="F20" s="1161">
        <f>Financials!K61</f>
        <v>651.75999999999976</v>
      </c>
      <c r="G20" s="1161">
        <f>Financials!L61</f>
        <v>751.20299999999997</v>
      </c>
      <c r="H20" s="1161">
        <f>Financials!M61</f>
        <v>1131.7149999999997</v>
      </c>
      <c r="I20" s="1161">
        <f>Financials!N61</f>
        <v>1235.8139999999999</v>
      </c>
      <c r="J20" s="1161">
        <f>Financials!O61</f>
        <v>1444.3980000000001</v>
      </c>
      <c r="K20" s="1162">
        <f>Financials!P61</f>
        <v>1759.0220528034631</v>
      </c>
      <c r="L20" s="1162">
        <f>Financials!Q61</f>
        <v>1780.1509011492542</v>
      </c>
      <c r="M20" s="1162">
        <f>Financials!R61</f>
        <v>1952.9908721268353</v>
      </c>
      <c r="N20" s="1162">
        <f>Financials!S61</f>
        <v>2298.6292562952813</v>
      </c>
      <c r="O20" s="1162">
        <f>Financials!T61</f>
        <v>2458.0074493075854</v>
      </c>
      <c r="P20" s="1162">
        <f>Financials!U61</f>
        <v>2226.7144313496665</v>
      </c>
      <c r="Q20" s="1162">
        <f>Financials!V61</f>
        <v>2090.1126866537361</v>
      </c>
      <c r="R20" s="1162">
        <f>Financials!W61</f>
        <v>2653.5978609798112</v>
      </c>
      <c r="S20" s="1160"/>
      <c r="T20" s="1160" t="s">
        <v>681</v>
      </c>
      <c r="U20" s="118">
        <f>INDEX(Q_Financials!$B22:$GN22,1,MATCH(LEFT(U$6,4),Q_Financials!$B$5:$GN$5,0))</f>
        <v>426.62830950827345</v>
      </c>
      <c r="V20" s="1161">
        <f>INDEX(Q_Financials!$B22:$GN22,1,MATCH(LEFT(V$6,4),Q_Financials!$B$5:$GN$5,0))</f>
        <v>368.70400000000001</v>
      </c>
      <c r="W20" s="1421">
        <f>U20/V20-1</f>
        <v>0.15710247111035791</v>
      </c>
      <c r="X20" s="1161">
        <f>INDEX(Q_Financials!$B22:$GN22,1,MATCH(LEFT(X$6,4),Q_Financials!$B$5:$GN$5,0))</f>
        <v>475.34</v>
      </c>
      <c r="Y20" s="731" t="s">
        <v>1312</v>
      </c>
      <c r="Z20" s="1163"/>
      <c r="AC20" s="1401"/>
      <c r="AD20" s="1401"/>
      <c r="AE20" s="731"/>
      <c r="AF20" s="731"/>
      <c r="AH20" s="731"/>
      <c r="AI20" s="731"/>
      <c r="AJ20" s="731"/>
      <c r="AK20" s="731"/>
      <c r="AL20" s="1244"/>
      <c r="AM20" s="1244"/>
      <c r="AN20" s="1244"/>
      <c r="AO20" s="1244"/>
    </row>
    <row r="21" spans="1:41" ht="12.75" customHeight="1">
      <c r="A21" s="1165" t="s">
        <v>399</v>
      </c>
      <c r="B21" s="1160"/>
      <c r="C21" s="1166">
        <f>Financials!H62</f>
        <v>0.33915891846941471</v>
      </c>
      <c r="D21" s="1166">
        <f>Financials!I62</f>
        <v>0.43715193802759467</v>
      </c>
      <c r="E21" s="1166">
        <f>Financials!J62</f>
        <v>0.42621745587019666</v>
      </c>
      <c r="F21" s="1166">
        <f>Financials!K62</f>
        <v>0.39839726642847745</v>
      </c>
      <c r="G21" s="1166">
        <f>Financials!L62</f>
        <v>0.38099447681937826</v>
      </c>
      <c r="H21" s="1166">
        <f>Financials!M62</f>
        <v>0.48672522602726165</v>
      </c>
      <c r="I21" s="1166">
        <f>Financials!N62</f>
        <v>0.45311414365220232</v>
      </c>
      <c r="J21" s="1166">
        <f>Financials!O62</f>
        <v>0.48100391557177408</v>
      </c>
      <c r="K21" s="1167">
        <f>Financials!P62</f>
        <v>0.48103280154086298</v>
      </c>
      <c r="L21" s="1167">
        <f>Financials!Q62</f>
        <v>0.47067842251844494</v>
      </c>
      <c r="M21" s="1167">
        <f>Financials!R62</f>
        <v>0.47811351066124658</v>
      </c>
      <c r="N21" s="1167">
        <f>Financials!S62</f>
        <v>0.48895721638051715</v>
      </c>
      <c r="O21" s="1167">
        <f>Financials!T62</f>
        <v>0.48855301583019672</v>
      </c>
      <c r="P21" s="1167">
        <f>Financials!U62</f>
        <v>0.4650462553371455</v>
      </c>
      <c r="Q21" s="1167">
        <f>Financials!V62</f>
        <v>0.44798827983299544</v>
      </c>
      <c r="R21" s="1167">
        <f>Financials!W62</f>
        <v>0.50825001462460317</v>
      </c>
      <c r="S21" s="1160"/>
      <c r="T21" s="1160" t="s">
        <v>683</v>
      </c>
      <c r="U21" s="115">
        <f>INDEX(Q_Financials!$B23:$GN23,1,MATCH(LEFT(U$6,4),Q_Financials!$B$5:$GN$5,0))</f>
        <v>0.46539825921718375</v>
      </c>
      <c r="V21" s="1163">
        <f>INDEX(Q_Financials!$B23:$GN23,1,MATCH(LEFT(V$6,4),Q_Financials!$B$5:$GN$5,0))</f>
        <v>0.5089454439041089</v>
      </c>
      <c r="W21" s="1500">
        <f>(U21-V21)*10000</f>
        <v>-435.47184686925146</v>
      </c>
      <c r="X21" s="1163">
        <f>INDEX(Q_Financials!$B23:$GN23,1,MATCH(LEFT(X$6,4),Q_Financials!$B$5:$GN$5,0))</f>
        <v>0.58514403327642006</v>
      </c>
      <c r="Y21" s="731"/>
      <c r="Z21" s="1163"/>
      <c r="AC21" s="1401"/>
      <c r="AD21" s="1401"/>
      <c r="AE21" s="731"/>
      <c r="AF21" s="731"/>
      <c r="AH21" s="731"/>
      <c r="AI21" s="731"/>
      <c r="AJ21" s="731"/>
      <c r="AK21" s="731"/>
      <c r="AL21" s="1244"/>
      <c r="AM21" s="1244"/>
      <c r="AN21" s="1244"/>
      <c r="AO21" s="1244"/>
    </row>
    <row r="22" spans="1:41" ht="12.75" customHeight="1">
      <c r="A22" s="1154" t="s">
        <v>1165</v>
      </c>
      <c r="B22" s="731"/>
      <c r="C22" s="1161">
        <f>Financials!H55</f>
        <v>452.37299999999999</v>
      </c>
      <c r="D22" s="1161">
        <f>Financials!I55</f>
        <v>612.58199999999999</v>
      </c>
      <c r="E22" s="1161">
        <f>Financials!J55</f>
        <v>533.01900000000001</v>
      </c>
      <c r="F22" s="1161">
        <f>Financials!K55</f>
        <v>651.82099999999991</v>
      </c>
      <c r="G22" s="1161">
        <f>Financials!L55</f>
        <v>766.2399999999999</v>
      </c>
      <c r="H22" s="1161">
        <f>Financials!M55</f>
        <v>1091.5249999999999</v>
      </c>
      <c r="I22" s="1161">
        <f>Financials!N55</f>
        <v>1302.2130000000002</v>
      </c>
      <c r="J22" s="1161">
        <f>Financials!O55</f>
        <v>1445.088</v>
      </c>
      <c r="K22" s="1162">
        <f>Financials!P55</f>
        <v>1759.0220528034631</v>
      </c>
      <c r="L22" s="1162">
        <f>Financials!Q55</f>
        <v>1780.1509011492542</v>
      </c>
      <c r="M22" s="1162">
        <f>Financials!R55</f>
        <v>1952.9908721268353</v>
      </c>
      <c r="N22" s="1162">
        <f>Financials!S55</f>
        <v>2298.6292562952813</v>
      </c>
      <c r="O22" s="1162">
        <f>Financials!T55</f>
        <v>2458.0074493075854</v>
      </c>
      <c r="P22" s="1162">
        <f>Financials!U55</f>
        <v>2226.7144313496665</v>
      </c>
      <c r="Q22" s="1162">
        <f>Financials!V55</f>
        <v>2090.1126866537361</v>
      </c>
      <c r="R22" s="1162">
        <f>Financials!W55</f>
        <v>2653.5978609798112</v>
      </c>
      <c r="S22" s="1160"/>
      <c r="T22" s="1160" t="str">
        <f>$A$23</f>
        <v>Net Income</v>
      </c>
      <c r="U22" s="118">
        <f>INDEX(Q_Financials!$B37:$GN37,1,MATCH(LEFT(U$6,4),Q_Financials!$B$5:$GN$5,0))</f>
        <v>167.97690711466393</v>
      </c>
      <c r="V22" s="1161">
        <f>INDEX(Q_Financials!$B37:$GN37,1,MATCH(LEFT(V$6,4),Q_Financials!$B$5:$GN$5,0))</f>
        <v>68.912999999999982</v>
      </c>
      <c r="W22" s="1421">
        <f>U22/V22-1</f>
        <v>1.4375213256521118</v>
      </c>
      <c r="X22" s="1161">
        <f>INDEX(Q_Financials!$B37:$GN37,1,MATCH(LEFT(X$6,4),Q_Financials!$B$5:$GN$5,0))</f>
        <v>116.87300000000002</v>
      </c>
      <c r="Y22" s="731"/>
      <c r="Z22" s="1160"/>
      <c r="AC22" s="1401"/>
      <c r="AD22" s="1401"/>
      <c r="AE22" s="731"/>
      <c r="AF22" s="731"/>
      <c r="AH22" s="731"/>
      <c r="AI22" s="731"/>
      <c r="AJ22" s="731"/>
      <c r="AK22" s="731"/>
      <c r="AL22" s="1244"/>
      <c r="AM22" s="1244"/>
      <c r="AN22" s="1244"/>
      <c r="AO22" s="1244"/>
    </row>
    <row r="23" spans="1:41" ht="12.75" customHeight="1">
      <c r="A23" s="1160" t="s">
        <v>402</v>
      </c>
      <c r="B23" s="1160"/>
      <c r="C23" s="1161">
        <f>Financials!H80</f>
        <v>98.071999999999832</v>
      </c>
      <c r="D23" s="1161">
        <f>Financials!I80</f>
        <v>142.29099999999985</v>
      </c>
      <c r="E23" s="1161">
        <f>Financials!J80</f>
        <v>126.61100000000016</v>
      </c>
      <c r="F23" s="1161">
        <f>Financials!K80</f>
        <v>72.949999999999804</v>
      </c>
      <c r="G23" s="1161">
        <f>Financials!L80</f>
        <v>135.00200000000004</v>
      </c>
      <c r="H23" s="1161">
        <f>Financials!M80</f>
        <v>317.23799999999966</v>
      </c>
      <c r="I23" s="1161">
        <f>Financials!N80</f>
        <v>199.43399999999997</v>
      </c>
      <c r="J23" s="1161">
        <f>Financials!O80</f>
        <v>283.88800000000009</v>
      </c>
      <c r="K23" s="1162">
        <f>Financials!P80</f>
        <v>522.80188661749276</v>
      </c>
      <c r="L23" s="1162">
        <f>Financials!Q80</f>
        <v>572.98959662179311</v>
      </c>
      <c r="M23" s="1162">
        <f>Financials!R80</f>
        <v>677.72574167962398</v>
      </c>
      <c r="N23" s="1162">
        <f>Financials!S80</f>
        <v>810.05220237657215</v>
      </c>
      <c r="O23" s="1162">
        <f>Financials!T80</f>
        <v>859.59540637902387</v>
      </c>
      <c r="P23" s="1162">
        <f>Financials!U80</f>
        <v>710.7614377814981</v>
      </c>
      <c r="Q23" s="1162">
        <f>Financials!V80</f>
        <v>596.87896213261342</v>
      </c>
      <c r="R23" s="1162">
        <f>Financials!W80</f>
        <v>780.14521072285834</v>
      </c>
      <c r="S23" s="1160"/>
      <c r="T23" s="1160" t="s">
        <v>304</v>
      </c>
      <c r="U23" s="676">
        <f>INDEX(Q_Financials!$B43:$GN43,1,MATCH(LEFT(U$6,4),Q_Financials!$B$5:$GN$5,0))</f>
        <v>0.50078827491887579</v>
      </c>
      <c r="V23" s="1422">
        <f>INDEX(Q_Financials!$B43:$GN43,1,MATCH(LEFT(V$6,4),Q_Financials!$B$5:$GN$5,0))</f>
        <v>0.30521108296277916</v>
      </c>
      <c r="W23" s="1421">
        <f>U23/V23-1</f>
        <v>0.64079321778740095</v>
      </c>
      <c r="X23" s="1422">
        <f>INDEX(Q_Financials!$B43:$GN43,1,MATCH(LEFT(X$6,4),Q_Financials!$B$5:$GN$5,0))</f>
        <v>0.34706986357508124</v>
      </c>
      <c r="Y23" s="1160"/>
      <c r="Z23" s="1160"/>
      <c r="AA23" s="1516"/>
      <c r="AB23" s="1160"/>
      <c r="AC23" s="731"/>
      <c r="AD23" s="731"/>
      <c r="AE23" s="731"/>
      <c r="AF23" s="731"/>
      <c r="AH23" s="731"/>
      <c r="AI23" s="731"/>
      <c r="AJ23" s="731"/>
      <c r="AK23" s="731"/>
      <c r="AL23" s="1244"/>
      <c r="AM23" s="1244"/>
      <c r="AN23" s="1244"/>
      <c r="AO23" s="1244"/>
    </row>
    <row r="24" spans="1:41" ht="12.75" customHeight="1">
      <c r="A24" s="1160" t="s">
        <v>458</v>
      </c>
      <c r="B24" s="1160"/>
      <c r="C24" s="1305">
        <f>Financials!H85</f>
        <v>338.58300000000003</v>
      </c>
      <c r="D24" s="1305">
        <f>Financials!I85</f>
        <v>338.58300000000003</v>
      </c>
      <c r="E24" s="1305">
        <f>Financials!J85</f>
        <v>338.16300000000001</v>
      </c>
      <c r="F24" s="1305">
        <f>Financials!K85</f>
        <v>337.101</v>
      </c>
      <c r="G24" s="1305">
        <f>Financials!L85</f>
        <v>337.45499999999998</v>
      </c>
      <c r="H24" s="1305">
        <f>Financials!M85</f>
        <v>338.58</v>
      </c>
      <c r="I24" s="1161">
        <f>Financials!N85</f>
        <v>339.60599999999999</v>
      </c>
      <c r="J24" s="1161">
        <f>Financials!O85</f>
        <v>338.05900000000003</v>
      </c>
      <c r="K24" s="1306">
        <f>Financials!P85</f>
        <v>352.98100694999999</v>
      </c>
      <c r="L24" s="1306">
        <f>Financials!Q85</f>
        <v>363.4678773</v>
      </c>
      <c r="M24" s="1306">
        <f>Financials!R85</f>
        <v>363.4678773</v>
      </c>
      <c r="N24" s="1306">
        <f>Financials!S85</f>
        <v>363.4678773</v>
      </c>
      <c r="O24" s="1306">
        <f>Financials!T85</f>
        <v>363.4678773</v>
      </c>
      <c r="P24" s="1306">
        <f>Financials!U85</f>
        <v>363.4678773</v>
      </c>
      <c r="Q24" s="1306">
        <f>Financials!V85</f>
        <v>363.4678773</v>
      </c>
      <c r="R24" s="1306">
        <f>Financials!W85</f>
        <v>363.4678773</v>
      </c>
      <c r="S24" s="1160"/>
      <c r="T24" s="1160"/>
      <c r="U24" s="1160"/>
      <c r="V24" s="1160"/>
      <c r="W24" s="1160"/>
      <c r="X24" s="1160"/>
      <c r="Y24" s="1160"/>
      <c r="Z24" s="1160"/>
      <c r="AA24" s="1160"/>
      <c r="AB24" s="1160"/>
      <c r="AC24" s="731"/>
      <c r="AD24" s="731"/>
      <c r="AE24" s="731"/>
      <c r="AF24" s="731"/>
    </row>
    <row r="25" spans="1:41" ht="12.75" customHeight="1">
      <c r="A25" s="1165" t="s">
        <v>459</v>
      </c>
      <c r="B25" s="1165"/>
      <c r="C25" s="1299">
        <f>Financials!H87</f>
        <v>0.28965423544596103</v>
      </c>
      <c r="D25" s="1299">
        <f>Financials!I87</f>
        <v>0.42025441324579155</v>
      </c>
      <c r="E25" s="1299">
        <f>Financials!J87</f>
        <v>0.37440819959605326</v>
      </c>
      <c r="F25" s="1299">
        <f>Financials!K87</f>
        <v>0.2164039857490776</v>
      </c>
      <c r="G25" s="1299">
        <f>Financials!L87</f>
        <v>0.4000592671615476</v>
      </c>
      <c r="H25" s="1299">
        <f>Financials!M87</f>
        <v>0.93696615275562545</v>
      </c>
      <c r="I25" s="1299">
        <f>Financials!N87</f>
        <v>0.5872511086376565</v>
      </c>
      <c r="J25" s="1299">
        <f>Financials!O87</f>
        <v>0.83975874033822517</v>
      </c>
      <c r="K25" s="1300">
        <f>Financials!P87</f>
        <v>1.4811048649185479</v>
      </c>
      <c r="L25" s="1300">
        <f>Financials!Q87</f>
        <v>1.5764518198367707</v>
      </c>
      <c r="M25" s="1300">
        <f>Financials!R87</f>
        <v>1.8646097330913265</v>
      </c>
      <c r="N25" s="1300">
        <f>Financials!S87</f>
        <v>2.2286761856205777</v>
      </c>
      <c r="O25" s="1300">
        <f>Financials!T87</f>
        <v>2.3649831527464777</v>
      </c>
      <c r="P25" s="1300">
        <f>Financials!U87</f>
        <v>1.9555000102384512</v>
      </c>
      <c r="Q25" s="1300">
        <f>Financials!V87</f>
        <v>1.642178028403759</v>
      </c>
      <c r="R25" s="1300">
        <f>Financials!W87</f>
        <v>2.1463938340799791</v>
      </c>
      <c r="S25" s="1160"/>
      <c r="T25" s="731"/>
      <c r="U25" s="731"/>
      <c r="V25" s="731"/>
      <c r="W25" s="731"/>
      <c r="X25" s="731"/>
      <c r="Y25" s="731"/>
      <c r="Z25" s="1160"/>
      <c r="AA25" s="1160"/>
      <c r="AB25" s="1160"/>
      <c r="AC25" s="731"/>
      <c r="AD25" s="731"/>
      <c r="AE25" s="731"/>
      <c r="AF25" s="731"/>
    </row>
    <row r="26" spans="1:41" ht="12.75" hidden="1" customHeight="1" outlineLevel="1">
      <c r="A26" s="1301" t="s">
        <v>307</v>
      </c>
      <c r="B26" s="1160"/>
      <c r="C26" s="1250"/>
      <c r="D26" s="1250">
        <f t="shared" ref="D26:I26" si="2">D25/C25-1</f>
        <v>0.45088302471653585</v>
      </c>
      <c r="E26" s="1250">
        <f t="shared" si="2"/>
        <v>-0.10909156978424039</v>
      </c>
      <c r="F26" s="1250">
        <f t="shared" si="2"/>
        <v>-0.42201055964438128</v>
      </c>
      <c r="G26" s="1250">
        <f t="shared" si="2"/>
        <v>0.84866866373441008</v>
      </c>
      <c r="H26" s="1250">
        <f t="shared" si="2"/>
        <v>1.3420683625290697</v>
      </c>
      <c r="I26" s="1250">
        <f t="shared" si="2"/>
        <v>-0.37324191817330221</v>
      </c>
      <c r="J26" s="1250">
        <f>J25/I25-1</f>
        <v>0.42998238400324595</v>
      </c>
      <c r="K26" s="1251">
        <f>K25/J25-1</f>
        <v>0.76372664406209223</v>
      </c>
      <c r="L26" s="1251">
        <f>L25/K25-1</f>
        <v>6.4375559878716793E-2</v>
      </c>
      <c r="M26" s="1251">
        <f>M25/L25-1</f>
        <v>0.18278891218152937</v>
      </c>
      <c r="N26" s="1251">
        <f>N25/M25-1</f>
        <v>0.19525075197675146</v>
      </c>
      <c r="O26" s="1251">
        <f t="shared" ref="O26:R26" si="3">O25/N25-1</f>
        <v>6.1160507751351512E-2</v>
      </c>
      <c r="P26" s="1251">
        <f t="shared" si="3"/>
        <v>-0.17314421121033774</v>
      </c>
      <c r="Q26" s="1251">
        <f t="shared" si="3"/>
        <v>-0.16022601902031497</v>
      </c>
      <c r="R26" s="1251">
        <f t="shared" si="3"/>
        <v>0.30704089139856006</v>
      </c>
      <c r="S26" s="1160"/>
      <c r="Z26" s="1160"/>
      <c r="AA26" s="1160"/>
      <c r="AB26" s="1160"/>
      <c r="AC26" s="731"/>
      <c r="AD26" s="731"/>
      <c r="AE26" s="731"/>
      <c r="AF26" s="731"/>
    </row>
    <row r="27" spans="1:41" ht="12.75" customHeight="1" collapsed="1">
      <c r="A27" s="1160"/>
      <c r="B27" s="1160"/>
      <c r="C27" s="1160"/>
      <c r="D27" s="1160"/>
      <c r="E27" s="1160"/>
      <c r="F27" s="1160"/>
      <c r="G27" s="1160"/>
      <c r="H27" s="1160"/>
      <c r="I27" s="1160"/>
      <c r="J27" s="1160"/>
      <c r="K27" s="1302"/>
      <c r="L27" s="1302"/>
      <c r="M27" s="1302"/>
      <c r="N27" s="1302"/>
      <c r="O27" s="1302"/>
      <c r="P27" s="1302"/>
      <c r="Q27" s="1302"/>
      <c r="R27" s="1302"/>
      <c r="S27" s="1160"/>
      <c r="T27" s="435" t="s">
        <v>632</v>
      </c>
      <c r="U27" s="108"/>
      <c r="V27" s="108"/>
      <c r="W27" s="108"/>
      <c r="X27" s="108"/>
      <c r="Y27" s="108"/>
      <c r="Z27" s="1160"/>
      <c r="AA27" s="1160"/>
      <c r="AB27" s="1160"/>
      <c r="AC27" s="731"/>
      <c r="AD27" s="731"/>
      <c r="AE27" s="731"/>
      <c r="AF27" s="731"/>
    </row>
    <row r="28" spans="1:41" ht="12.75" customHeight="1">
      <c r="A28" s="1165" t="s">
        <v>460</v>
      </c>
      <c r="B28" s="1165"/>
      <c r="C28" s="1303">
        <f>Financials!H126</f>
        <v>766.10100000000011</v>
      </c>
      <c r="D28" s="1303">
        <f>Financials!I126</f>
        <v>515.38200000000006</v>
      </c>
      <c r="E28" s="1303">
        <f>Financials!J126</f>
        <v>836.07099999999991</v>
      </c>
      <c r="F28" s="1303">
        <f>Financials!K126</f>
        <v>1347.636</v>
      </c>
      <c r="G28" s="1303">
        <f>Financials!L126</f>
        <v>1538.4810000000002</v>
      </c>
      <c r="H28" s="1303">
        <f>Financials!M126</f>
        <v>2487.0839999999998</v>
      </c>
      <c r="I28" s="1303">
        <f>Financials!N126</f>
        <v>2719.038</v>
      </c>
      <c r="J28" s="1303">
        <f>Financials!O126</f>
        <v>2547.1279999999997</v>
      </c>
      <c r="K28" s="1304">
        <f>Financials!P126</f>
        <v>2250.5675568724828</v>
      </c>
      <c r="L28" s="1304">
        <f>Financials!Q126</f>
        <v>1993.232980283138</v>
      </c>
      <c r="M28" s="1304">
        <f>Financials!R126</f>
        <v>1926.4973908753568</v>
      </c>
      <c r="N28" s="1304">
        <f>Financials!S126</f>
        <v>1786.2434320649077</v>
      </c>
      <c r="O28" s="1304">
        <f>Financials!T126</f>
        <v>1592.7946640695084</v>
      </c>
      <c r="P28" s="1304">
        <f>Financials!U126</f>
        <v>1656.537572191578</v>
      </c>
      <c r="Q28" s="1304">
        <f>Financials!V126</f>
        <v>1911.2317342582433</v>
      </c>
      <c r="R28" s="1304">
        <f>Financials!W126</f>
        <v>2186.9524256318423</v>
      </c>
      <c r="S28" s="1160"/>
      <c r="T28" s="1347"/>
      <c r="U28" s="1501" t="s">
        <v>340</v>
      </c>
      <c r="V28" s="1502" t="s">
        <v>74</v>
      </c>
      <c r="W28" s="1468" t="s">
        <v>75</v>
      </c>
      <c r="X28" s="1502" t="s">
        <v>76</v>
      </c>
      <c r="Y28" s="1171" t="s">
        <v>633</v>
      </c>
      <c r="Z28" s="1160"/>
      <c r="AA28" s="1160"/>
      <c r="AB28" s="1160"/>
      <c r="AC28" s="731"/>
      <c r="AD28" s="731"/>
      <c r="AE28" s="731"/>
      <c r="AF28" s="731"/>
    </row>
    <row r="29" spans="1:41" ht="12.75" customHeight="1">
      <c r="A29" s="1160" t="s">
        <v>1720</v>
      </c>
      <c r="B29" s="1160"/>
      <c r="C29" s="1305">
        <f>Financials!H128</f>
        <v>1.6935161912846259</v>
      </c>
      <c r="D29" s="1305">
        <f>Financials!I128</f>
        <v>0.84132736515274698</v>
      </c>
      <c r="E29" s="1305">
        <f>Financials!J128</f>
        <v>1.5685575936317466</v>
      </c>
      <c r="F29" s="1305">
        <f>Financials!K128</f>
        <v>2.0674939899144094</v>
      </c>
      <c r="G29" s="1305">
        <f>Financials!L128</f>
        <v>2.0078317498433917</v>
      </c>
      <c r="H29" s="1305">
        <f>Financials!M128</f>
        <v>2.2785405739676143</v>
      </c>
      <c r="I29" s="1305">
        <f>Financials!N128</f>
        <v>2.0880132512883836</v>
      </c>
      <c r="J29" s="1305">
        <f>Financials!O128</f>
        <v>1.7626109967005468</v>
      </c>
      <c r="K29" s="1306">
        <f>Financials!P128</f>
        <v>1.279442490948657</v>
      </c>
      <c r="L29" s="1306">
        <f>Financials!Q128</f>
        <v>1.1196988856373464</v>
      </c>
      <c r="M29" s="1306">
        <f>Financials!R128</f>
        <v>0.98643440600281629</v>
      </c>
      <c r="N29" s="1306">
        <f>Financials!S128</f>
        <v>0.77709070619931553</v>
      </c>
      <c r="O29" s="1306">
        <f>Financials!T128</f>
        <v>0.64800237465439525</v>
      </c>
      <c r="P29" s="1306">
        <f>Financials!U128</f>
        <v>0.74393804111985284</v>
      </c>
      <c r="Q29" s="1306">
        <f>Financials!V128</f>
        <v>0.91441564201886139</v>
      </c>
      <c r="R29" s="1306">
        <f>Financials!W128</f>
        <v>0.82414613675650716</v>
      </c>
      <c r="S29" s="1160"/>
      <c r="T29" s="1295" t="s">
        <v>654</v>
      </c>
      <c r="U29" s="1503" t="str">
        <f>Financials!Z4</f>
        <v>2018E-20E</v>
      </c>
      <c r="V29" s="1504">
        <f>Bull!$Z$5</f>
        <v>1.036297108184514E-2</v>
      </c>
      <c r="W29" s="113">
        <f>Base!$Z$5</f>
        <v>1.036297108184514E-2</v>
      </c>
      <c r="X29" s="1504">
        <f>Bear!$Z$5</f>
        <v>0</v>
      </c>
      <c r="Y29" s="1294"/>
      <c r="Z29" s="1160"/>
      <c r="AA29" s="1160"/>
      <c r="AB29" s="1160"/>
      <c r="AC29" s="731"/>
      <c r="AD29" s="731"/>
      <c r="AE29" s="731"/>
      <c r="AF29" s="731"/>
    </row>
    <row r="30" spans="1:41" ht="12.75" customHeight="1">
      <c r="A30" s="1160" t="s">
        <v>461</v>
      </c>
      <c r="B30" s="1160"/>
      <c r="C30" s="1163">
        <f>Financials!H135</f>
        <v>1.369647743656225E-2</v>
      </c>
      <c r="D30" s="1163">
        <f>Financials!I135</f>
        <v>7.3580648449299915E-2</v>
      </c>
      <c r="E30" s="1163">
        <f>Financials!J135</f>
        <v>3.2267609858155508E-2</v>
      </c>
      <c r="F30" s="1163">
        <f>Financials!K135</f>
        <v>6.0132308040257834E-2</v>
      </c>
      <c r="G30" s="1163">
        <f>Financials!L135</f>
        <v>5.2097185663060611E-2</v>
      </c>
      <c r="H30" s="1163">
        <f>Financials!M135</f>
        <v>2.1536176834130304E-2</v>
      </c>
      <c r="I30" s="1163">
        <f>Financials!N135</f>
        <v>3.8319903467761561E-2</v>
      </c>
      <c r="J30" s="1163">
        <f>Financials!O135</f>
        <v>5.844786774838303E-2</v>
      </c>
      <c r="K30" s="1164">
        <f>Financials!P135</f>
        <v>6.1559253852271976E-2</v>
      </c>
      <c r="L30" s="1164">
        <f>Financials!Q135</f>
        <v>7.7482659639042079E-2</v>
      </c>
      <c r="M30" s="1164">
        <f>Financials!R135</f>
        <v>9.031771278531206E-2</v>
      </c>
      <c r="N30" s="1164">
        <f>Financials!S135</f>
        <v>0.10415131807922773</v>
      </c>
      <c r="O30" s="1164">
        <f>Financials!T135</f>
        <v>0.11799899113412919</v>
      </c>
      <c r="P30" s="1164">
        <f>Financials!U135</f>
        <v>0.13457420479084992</v>
      </c>
      <c r="Q30" s="1164">
        <f>Financials!V135</f>
        <v>0.14999004137041977</v>
      </c>
      <c r="R30" s="1164">
        <f>Financials!W135</f>
        <v>0.15457244701069117</v>
      </c>
      <c r="S30" s="1160"/>
      <c r="T30" s="1154" t="s">
        <v>203</v>
      </c>
      <c r="U30" s="1503" t="str">
        <f>$U$29</f>
        <v>2018E-20E</v>
      </c>
      <c r="V30" s="1497">
        <f>Bull!$Z$6</f>
        <v>3.4891298639620594E-2</v>
      </c>
      <c r="W30" s="113">
        <f>Base!$Z$6</f>
        <v>3.4891298639620594E-2</v>
      </c>
      <c r="X30" s="1497">
        <f>Bear!$Z$6</f>
        <v>3.1411653996598954E-2</v>
      </c>
      <c r="Y30" s="731"/>
      <c r="Z30" s="1160"/>
      <c r="AA30" s="1160"/>
      <c r="AB30" s="1160"/>
      <c r="AC30" s="731"/>
      <c r="AD30" s="731"/>
      <c r="AE30" s="731"/>
      <c r="AF30" s="731"/>
    </row>
    <row r="31" spans="1:41" ht="12.75" customHeight="1">
      <c r="A31" s="1160" t="s">
        <v>462</v>
      </c>
      <c r="B31" s="1160"/>
      <c r="C31" s="1163">
        <f>Financials!H133</f>
        <v>0.28255721778166903</v>
      </c>
      <c r="D31" s="1163">
        <f>Financials!I133</f>
        <v>0.35070206976219825</v>
      </c>
      <c r="E31" s="1163">
        <f>Financials!J133</f>
        <v>0.46164639097579357</v>
      </c>
      <c r="F31" s="1163">
        <f>Financials!K133</f>
        <v>0.41556216399595342</v>
      </c>
      <c r="G31" s="1163">
        <f>Financials!L133</f>
        <v>0.33394904878555959</v>
      </c>
      <c r="H31" s="1163">
        <f>Financials!M133</f>
        <v>0.34923545112125526</v>
      </c>
      <c r="I31" s="1163">
        <f>Financials!N133</f>
        <v>0.30828645377118474</v>
      </c>
      <c r="J31" s="1163">
        <f>Financials!O133</f>
        <v>0.32534744955013217</v>
      </c>
      <c r="K31" s="1164">
        <f>Financials!P133</f>
        <v>0.27098086180386327</v>
      </c>
      <c r="L31" s="1164">
        <f>Financials!Q133</f>
        <v>0.27028557798619574</v>
      </c>
      <c r="M31" s="1164">
        <f>Financials!R133</f>
        <v>0.29960104645501284</v>
      </c>
      <c r="N31" s="1164">
        <f>Financials!S133</f>
        <v>0.29427673164509283</v>
      </c>
      <c r="O31" s="1164">
        <f>Financials!T133</f>
        <v>0.29252096478619921</v>
      </c>
      <c r="P31" s="1164">
        <f>Financials!U133</f>
        <v>0.29594015112233379</v>
      </c>
      <c r="Q31" s="1164">
        <f>Financials!V133</f>
        <v>0.29849833331168785</v>
      </c>
      <c r="R31" s="1164">
        <f>Financials!W133</f>
        <v>0.2945986456630561</v>
      </c>
      <c r="S31" s="1160"/>
      <c r="T31" s="1505" t="s">
        <v>207</v>
      </c>
      <c r="U31" s="1503" t="str">
        <f t="shared" ref="U31:U32" si="4">$U$29</f>
        <v>2018E-20E</v>
      </c>
      <c r="V31" s="1497">
        <f>Bull!Z19</f>
        <v>4.2043286660372603E-2</v>
      </c>
      <c r="W31" s="113">
        <f>Base!Z19</f>
        <v>4.2107227096178201E-2</v>
      </c>
      <c r="X31" s="1497">
        <f>Bear!Z19</f>
        <v>3.8635540719546446E-2</v>
      </c>
      <c r="Y31" s="731"/>
      <c r="Z31" s="1160"/>
      <c r="AA31" s="1160"/>
      <c r="AB31" s="1160"/>
      <c r="AC31" s="731"/>
      <c r="AD31" s="731"/>
      <c r="AE31" s="731"/>
      <c r="AF31" s="731"/>
    </row>
    <row r="32" spans="1:41" ht="12.75" hidden="1" customHeight="1" outlineLevel="1">
      <c r="A32" s="1165" t="s">
        <v>1041</v>
      </c>
      <c r="B32" s="1165"/>
      <c r="C32" s="1307">
        <f>Financials!H132</f>
        <v>185.6099999999999</v>
      </c>
      <c r="D32" s="1307">
        <f>Financials!I132</f>
        <v>-156.84420799999975</v>
      </c>
      <c r="E32" s="1307">
        <f>Financials!J132</f>
        <v>-189.78616799999995</v>
      </c>
      <c r="F32" s="1307">
        <f>Financials!K132</f>
        <v>-311.34722399999993</v>
      </c>
      <c r="G32" s="1307">
        <f>Financials!L132</f>
        <v>-96.175792000000342</v>
      </c>
      <c r="H32" s="1307">
        <f>Financials!M132</f>
        <v>-146.47725999999977</v>
      </c>
      <c r="I32" s="1307">
        <f>Financials!N132</f>
        <v>288.58365200000037</v>
      </c>
      <c r="J32" s="1307">
        <f>Financials!O132</f>
        <v>-30.890999999999963</v>
      </c>
      <c r="K32" s="1308">
        <f>Financials!P132</f>
        <v>460.94419777451435</v>
      </c>
      <c r="L32" s="1308">
        <f>Financials!Q132</f>
        <v>543.82937490024051</v>
      </c>
      <c r="M32" s="1308">
        <f>Financials!R132</f>
        <v>541.14360858351824</v>
      </c>
      <c r="N32" s="1308">
        <f>Financials!S132</f>
        <v>707.29050047404962</v>
      </c>
      <c r="O32" s="1308">
        <f>Financials!T132</f>
        <v>795.1655524607163</v>
      </c>
      <c r="P32" s="1308">
        <f>Financials!U132</f>
        <v>647.01852965942771</v>
      </c>
      <c r="Q32" s="1308">
        <f>Financials!V132</f>
        <v>342.18480006594837</v>
      </c>
      <c r="R32" s="1308">
        <f>Financials!W132</f>
        <v>504.42451934925953</v>
      </c>
      <c r="S32" s="1160"/>
      <c r="T32" s="1505" t="s">
        <v>208</v>
      </c>
      <c r="U32" s="1503" t="str">
        <f t="shared" si="4"/>
        <v>2018E-20E</v>
      </c>
      <c r="V32" s="1497">
        <f>Bull!Z24</f>
        <v>4.5111944172536278E-2</v>
      </c>
      <c r="W32" s="113">
        <f>Base!Z24</f>
        <v>4.5176072903109432E-2</v>
      </c>
      <c r="X32" s="1497">
        <f>Bear!Z24</f>
        <v>4.1694162943046953E-2</v>
      </c>
      <c r="Y32" s="731"/>
      <c r="Z32" s="1160"/>
      <c r="AA32" s="1160"/>
      <c r="AB32" s="1160"/>
      <c r="AC32" s="731"/>
      <c r="AD32" s="731"/>
      <c r="AE32" s="731"/>
      <c r="AF32" s="731"/>
    </row>
    <row r="33" spans="1:32" ht="12.75" customHeight="1" collapsed="1">
      <c r="A33" s="1301" t="s">
        <v>329</v>
      </c>
      <c r="B33" s="1160"/>
      <c r="C33" s="1166">
        <f>Financials!H130</f>
        <v>6.1547189609424513E-2</v>
      </c>
      <c r="D33" s="1166">
        <f>Financials!I130</f>
        <v>7.4521666856081262E-2</v>
      </c>
      <c r="E33" s="1166">
        <f>Financials!J130</f>
        <v>6.4814843254876381E-2</v>
      </c>
      <c r="F33" s="1166">
        <f>Financials!K130</f>
        <v>3.6028534401694109E-2</v>
      </c>
      <c r="G33" s="1166">
        <f>Financials!L130</f>
        <v>6.4267784179600579E-2</v>
      </c>
      <c r="H33" s="1166">
        <f>Financials!M130</f>
        <v>0.15281567203865967</v>
      </c>
      <c r="I33" s="1166">
        <f>Financials!N130</f>
        <v>7.6233761517687681E-2</v>
      </c>
      <c r="J33" s="1166">
        <f>Financials!O130</f>
        <v>0.10726529199572134</v>
      </c>
      <c r="K33" s="1167">
        <f>Financials!P130</f>
        <v>0.1536152599865698</v>
      </c>
      <c r="L33" s="1167">
        <f>Financials!Q130</f>
        <v>0.16796228854269005</v>
      </c>
      <c r="M33" s="1167">
        <f>Financials!R130</f>
        <v>0.18327249842198215</v>
      </c>
      <c r="N33" s="1167">
        <f>Financials!S130</f>
        <v>0.20764017164641008</v>
      </c>
      <c r="O33" s="1167">
        <f>Financials!T130</f>
        <v>0.20741899524148216</v>
      </c>
      <c r="P33" s="1167">
        <f>Financials!U130</f>
        <v>0.16145871555437435</v>
      </c>
      <c r="Q33" s="1167">
        <f>Financials!V130</f>
        <v>0.13558882832496355</v>
      </c>
      <c r="R33" s="1167">
        <f>Financials!W130</f>
        <v>0.17722014303754671</v>
      </c>
      <c r="S33" s="1160"/>
      <c r="T33" s="1505" t="s">
        <v>655</v>
      </c>
      <c r="U33" s="1503" t="str">
        <f>U29</f>
        <v>2018E-20E</v>
      </c>
      <c r="V33" s="1497">
        <f>Bull!Z30</f>
        <v>1.1393428229918179E-2</v>
      </c>
      <c r="W33" s="113">
        <f>Base!Z30</f>
        <v>1.036297108184514E-2</v>
      </c>
      <c r="X33" s="1497">
        <f>Bear!Z30</f>
        <v>0</v>
      </c>
      <c r="Y33" s="731"/>
      <c r="Z33" s="1160"/>
      <c r="AA33" s="1160"/>
      <c r="AB33" s="1160"/>
      <c r="AC33" s="731"/>
      <c r="AD33" s="731"/>
      <c r="AE33" s="731"/>
      <c r="AF33" s="731"/>
    </row>
    <row r="34" spans="1:32" ht="12.75" customHeight="1">
      <c r="A34" s="1309" t="s">
        <v>463</v>
      </c>
      <c r="B34" s="1165"/>
      <c r="C34" s="1310">
        <f>Financials!H131</f>
        <v>2.9418368219598305E-2</v>
      </c>
      <c r="D34" s="1310">
        <f>Financials!I131</f>
        <v>5.6018699835137992E-2</v>
      </c>
      <c r="E34" s="1310">
        <f>Financials!J131</f>
        <v>5.1141831150253898E-2</v>
      </c>
      <c r="F34" s="1310">
        <f>Financials!K131</f>
        <v>3.5685402364574716E-2</v>
      </c>
      <c r="G34" s="1310">
        <f>Financials!L131</f>
        <v>4.7785048179808179E-2</v>
      </c>
      <c r="H34" s="1310">
        <f>Financials!M131</f>
        <v>6.6871600763110439E-2</v>
      </c>
      <c r="I34" s="1310">
        <f>Financials!N131</f>
        <v>5.3213869602196151E-2</v>
      </c>
      <c r="J34" s="1310">
        <f>Financials!O131</f>
        <v>6.8597832675230827E-2</v>
      </c>
      <c r="K34" s="1311">
        <f>Financials!P131</f>
        <v>7.7162616768305353E-2</v>
      </c>
      <c r="L34" s="1311">
        <f>Financials!Q131</f>
        <v>7.5577160545731756E-2</v>
      </c>
      <c r="M34" s="1311">
        <f>Financials!R131</f>
        <v>8.1633133523451515E-2</v>
      </c>
      <c r="N34" s="1311">
        <f>Financials!S131</f>
        <v>9.5628853366744565E-2</v>
      </c>
      <c r="O34" s="1311">
        <f>Financials!T131</f>
        <v>9.8886206931128137E-2</v>
      </c>
      <c r="P34" s="1311">
        <f>Financials!U131</f>
        <v>8.3211253622587397E-2</v>
      </c>
      <c r="Q34" s="1311">
        <f>Financials!V131</f>
        <v>7.4456733680659207E-2</v>
      </c>
      <c r="R34" s="1311">
        <f>Financials!W131</f>
        <v>0.10950831815951925</v>
      </c>
      <c r="S34" s="1160"/>
      <c r="T34" s="1506" t="s">
        <v>1716</v>
      </c>
      <c r="U34" s="2419">
        <f>U38</f>
        <v>2019</v>
      </c>
      <c r="V34" s="1507">
        <f>Bull!$Q$15</f>
        <v>3.3</v>
      </c>
      <c r="W34" s="114">
        <f>Base!$Q$15</f>
        <v>3.3</v>
      </c>
      <c r="X34" s="1507">
        <f>Bear!$Q$15</f>
        <v>3.3</v>
      </c>
      <c r="Y34" s="731"/>
      <c r="Z34" s="1160"/>
      <c r="AA34" s="1160"/>
      <c r="AB34" s="1160"/>
      <c r="AC34" s="731"/>
      <c r="AD34" s="731"/>
      <c r="AE34" s="731"/>
      <c r="AF34" s="731"/>
    </row>
    <row r="35" spans="1:32" s="1401" customFormat="1" ht="12.75" customHeight="1">
      <c r="A35" s="1309"/>
      <c r="B35" s="1165"/>
      <c r="C35" s="1310"/>
      <c r="D35" s="1310"/>
      <c r="E35" s="1310"/>
      <c r="F35" s="1310"/>
      <c r="G35" s="1310"/>
      <c r="H35" s="1310"/>
      <c r="I35" s="1310"/>
      <c r="J35" s="1310"/>
      <c r="K35" s="1311"/>
      <c r="L35" s="1311"/>
      <c r="M35" s="1311"/>
      <c r="N35" s="1311"/>
      <c r="O35" s="1311"/>
      <c r="P35" s="1311"/>
      <c r="Q35" s="1311"/>
      <c r="R35" s="1311"/>
      <c r="S35" s="1160"/>
      <c r="T35" s="2280" t="s">
        <v>210</v>
      </c>
      <c r="U35" s="2420">
        <f>L6</f>
        <v>2019</v>
      </c>
      <c r="V35" s="1305">
        <f>Bull!$Q$16</f>
        <v>18.938866951247341</v>
      </c>
      <c r="W35" s="2281">
        <f>Base!$Q$16</f>
        <v>16.31531880717511</v>
      </c>
      <c r="X35" s="1305">
        <f>Bear!$Q$16</f>
        <v>13.366639357923361</v>
      </c>
      <c r="Y35" s="731"/>
      <c r="Z35" s="1160"/>
      <c r="AA35" s="1160"/>
      <c r="AB35" s="1160"/>
      <c r="AC35" s="731"/>
      <c r="AD35" s="731"/>
      <c r="AE35" s="731"/>
      <c r="AF35" s="731"/>
    </row>
    <row r="36" spans="1:32" ht="12.75" customHeight="1">
      <c r="A36" s="731"/>
      <c r="B36" s="731"/>
      <c r="C36" s="731"/>
      <c r="D36" s="731"/>
      <c r="E36" s="731"/>
      <c r="F36" s="731"/>
      <c r="G36" s="731"/>
      <c r="H36" s="731"/>
      <c r="I36" s="731"/>
      <c r="J36" s="731"/>
      <c r="K36" s="731"/>
      <c r="L36" s="731"/>
      <c r="M36" s="731"/>
      <c r="N36" s="731"/>
      <c r="O36" s="731"/>
      <c r="P36" s="731"/>
      <c r="Q36" s="731"/>
      <c r="R36" s="731"/>
      <c r="S36" s="731"/>
      <c r="T36" s="2280"/>
      <c r="U36" s="2288" t="s">
        <v>1616</v>
      </c>
      <c r="V36" s="1305">
        <f>Bull!$W$16</f>
        <v>20.940757180119164</v>
      </c>
      <c r="W36" s="2281">
        <f>Base!$W$16</f>
        <v>17.055276269110166</v>
      </c>
      <c r="X36" s="1305">
        <f>Bear!$W$16</f>
        <v>15.695358267740904</v>
      </c>
      <c r="Y36" s="731"/>
      <c r="Z36" s="1160"/>
      <c r="AA36" s="1160"/>
      <c r="AB36" s="1160"/>
      <c r="AC36" s="731"/>
      <c r="AD36" s="731"/>
      <c r="AE36" s="731"/>
      <c r="AF36" s="731"/>
    </row>
    <row r="37" spans="1:32" ht="12.75" customHeight="1">
      <c r="A37" s="2199" t="s">
        <v>1377</v>
      </c>
      <c r="B37" s="2199"/>
      <c r="C37" s="2200">
        <f t="shared" ref="C37:R37" si="5">C6</f>
        <v>2010</v>
      </c>
      <c r="D37" s="2200">
        <f t="shared" si="5"/>
        <v>2011</v>
      </c>
      <c r="E37" s="2200">
        <f t="shared" si="5"/>
        <v>2012</v>
      </c>
      <c r="F37" s="2200">
        <f t="shared" si="5"/>
        <v>2013</v>
      </c>
      <c r="G37" s="2200">
        <f t="shared" si="5"/>
        <v>2014</v>
      </c>
      <c r="H37" s="2200">
        <f t="shared" si="5"/>
        <v>2015</v>
      </c>
      <c r="I37" s="2201">
        <f t="shared" si="5"/>
        <v>2016</v>
      </c>
      <c r="J37" s="2201">
        <f t="shared" si="5"/>
        <v>2017</v>
      </c>
      <c r="K37" s="2202">
        <f t="shared" si="5"/>
        <v>2018</v>
      </c>
      <c r="L37" s="2202">
        <f t="shared" si="5"/>
        <v>2019</v>
      </c>
      <c r="M37" s="2202">
        <f t="shared" si="5"/>
        <v>2020</v>
      </c>
      <c r="N37" s="2202">
        <f t="shared" si="5"/>
        <v>2021</v>
      </c>
      <c r="O37" s="2202">
        <f t="shared" si="5"/>
        <v>2022</v>
      </c>
      <c r="P37" s="2202">
        <f t="shared" si="5"/>
        <v>2023</v>
      </c>
      <c r="Q37" s="2202">
        <f t="shared" si="5"/>
        <v>2024</v>
      </c>
      <c r="R37" s="2202">
        <f t="shared" si="5"/>
        <v>2025</v>
      </c>
      <c r="S37" s="1160"/>
      <c r="T37" s="1154" t="s">
        <v>657</v>
      </c>
      <c r="U37" s="2420">
        <f>$U$35</f>
        <v>2019</v>
      </c>
      <c r="V37" s="1495">
        <f>Bull!$Q$22</f>
        <v>1971.8917682157382</v>
      </c>
      <c r="W37" s="2279">
        <f>Base!$Q$22</f>
        <v>1841.1499524966634</v>
      </c>
      <c r="X37" s="1495">
        <f>Bear!$Q$22</f>
        <v>1661.8613632914855</v>
      </c>
      <c r="Y37" s="731"/>
      <c r="Z37" s="1160"/>
      <c r="AA37" s="102"/>
      <c r="AB37" s="102"/>
    </row>
    <row r="38" spans="1:32" ht="12.75" customHeight="1">
      <c r="A38" s="1347" t="s">
        <v>263</v>
      </c>
      <c r="B38" s="1154"/>
      <c r="C38" s="1154"/>
      <c r="D38" s="1154"/>
      <c r="E38" s="1154"/>
      <c r="F38" s="1154"/>
      <c r="G38" s="1154"/>
      <c r="I38" s="1483" t="s">
        <v>634</v>
      </c>
      <c r="J38" s="1484">
        <f>Index!I41</f>
        <v>18.399994</v>
      </c>
      <c r="L38" s="1154"/>
      <c r="M38" s="1154"/>
      <c r="N38" s="1154"/>
      <c r="O38" s="1154"/>
      <c r="P38" s="1154"/>
      <c r="Q38" s="1154"/>
      <c r="R38" s="1154"/>
      <c r="S38" s="1160"/>
      <c r="T38" s="1501" t="s">
        <v>656</v>
      </c>
      <c r="U38" s="2421">
        <f>$U$35</f>
        <v>2019</v>
      </c>
      <c r="V38" s="1509">
        <f>Bull!$Q$29</f>
        <v>184.46010238717935</v>
      </c>
      <c r="W38" s="173">
        <f>Base!$Q$29</f>
        <v>181.66666666666666</v>
      </c>
      <c r="X38" s="1509">
        <f>Bear!$Q$29</f>
        <v>177.75503355704697</v>
      </c>
      <c r="Y38" s="731"/>
      <c r="Z38" s="1160"/>
      <c r="AA38" s="102"/>
      <c r="AB38" s="102"/>
    </row>
    <row r="39" spans="1:32" ht="12.75" customHeight="1">
      <c r="A39" s="1295" t="s">
        <v>775</v>
      </c>
      <c r="B39" s="1295"/>
      <c r="C39" s="1485">
        <f>Financials!H146</f>
        <v>79.504962421256081</v>
      </c>
      <c r="D39" s="1485">
        <f>Financials!I146</f>
        <v>112.40559689900142</v>
      </c>
      <c r="E39" s="1485">
        <f>Financials!J146</f>
        <v>128.53534439487981</v>
      </c>
      <c r="F39" s="1485">
        <f>Financials!K146</f>
        <v>125.37129795302681</v>
      </c>
      <c r="G39" s="1485">
        <f>Financials!L146</f>
        <v>102.7416797648512</v>
      </c>
      <c r="H39" s="1485">
        <f>Financials!M146</f>
        <v>72.769571628548334</v>
      </c>
      <c r="I39" s="1586">
        <f>Financials!N146</f>
        <v>84.866521864566366</v>
      </c>
      <c r="J39" s="1586">
        <f>Financials!O146</f>
        <v>77.174309905121248</v>
      </c>
      <c r="K39" s="1486">
        <f>Financials!P146</f>
        <v>90.663011628015198</v>
      </c>
      <c r="L39" s="1486">
        <f>Financials!Q146</f>
        <v>84.355452525931383</v>
      </c>
      <c r="M39" s="1486">
        <f>Financials!R146</f>
        <v>81.808487948620709</v>
      </c>
      <c r="N39" s="1486">
        <f>Financials!S146</f>
        <v>78.472270204067087</v>
      </c>
      <c r="O39" s="1486">
        <f>Financials!T146</f>
        <v>74.634741816282073</v>
      </c>
      <c r="P39" s="1486">
        <f>Financials!U146</f>
        <v>73.942382656902168</v>
      </c>
      <c r="Q39" s="1486">
        <f>Financials!V146</f>
        <v>75.459698044927066</v>
      </c>
      <c r="R39" s="1486">
        <f>Financials!W146</f>
        <v>77.156804549971611</v>
      </c>
      <c r="S39" s="1160"/>
      <c r="T39" s="1154" t="s">
        <v>353</v>
      </c>
      <c r="U39" s="1503" t="str">
        <f>U29</f>
        <v>2018E-20E</v>
      </c>
      <c r="V39" s="113">
        <f>Bull!$Z$36</f>
        <v>0.10109142082451039</v>
      </c>
      <c r="W39" s="113">
        <f>Base!$Z$36</f>
        <v>5.6905851645932648E-2</v>
      </c>
      <c r="X39" s="113">
        <f>Bear!$Z$36</f>
        <v>5.9385414256361901E-2</v>
      </c>
      <c r="Y39" s="731"/>
      <c r="Z39" s="1160"/>
      <c r="AA39" s="102"/>
      <c r="AB39" s="102"/>
    </row>
    <row r="40" spans="1:32" ht="12.75" hidden="1" customHeight="1" outlineLevel="1">
      <c r="A40" s="1154" t="s">
        <v>464</v>
      </c>
      <c r="B40" s="1154"/>
      <c r="C40" s="1487">
        <f>Financials!H141/C19</f>
        <v>2.0666792981578426</v>
      </c>
      <c r="D40" s="1487">
        <f>Financials!I141/D19</f>
        <v>2.4686411104624773</v>
      </c>
      <c r="E40" s="1487">
        <f>Financials!J141/E19</f>
        <v>2.4248939567955872</v>
      </c>
      <c r="F40" s="1487">
        <f>Financials!K141/F19</f>
        <v>2.6576738968981419</v>
      </c>
      <c r="G40" s="1487">
        <f>Financials!L141/G19</f>
        <v>2.4575567153051447</v>
      </c>
      <c r="H40" s="1487">
        <f>Financials!M141/H19</f>
        <v>2.8679924237536998</v>
      </c>
      <c r="I40" s="1487">
        <f>Financials!N141/I19</f>
        <v>2.9506189422152187</v>
      </c>
      <c r="J40" s="1487">
        <f>Financials!O141/J19</f>
        <v>2.7631826991536803</v>
      </c>
      <c r="K40" s="1488">
        <f>Financials!P141/K19</f>
        <v>2.3915743048685876</v>
      </c>
      <c r="L40" s="1488">
        <f>Financials!Q141/L19</f>
        <v>2.2952987237489411</v>
      </c>
      <c r="M40" s="1488">
        <f>Financials!R141/M19</f>
        <v>2.1088758063250923</v>
      </c>
      <c r="N40" s="1488">
        <f>Financials!S141/N19</f>
        <v>1.8025734175151562</v>
      </c>
      <c r="O40" s="1488">
        <f>Financials!T141/O19</f>
        <v>1.6458505040314841</v>
      </c>
      <c r="P40" s="1488">
        <f>Financials!U141/P19</f>
        <v>1.7427048709074244</v>
      </c>
      <c r="Q40" s="1488">
        <f>Financials!V141/Q19</f>
        <v>1.8430912785404023</v>
      </c>
      <c r="R40" s="1488">
        <f>Financials!W141/R19</f>
        <v>1.6998040859855743</v>
      </c>
      <c r="S40" s="1160"/>
      <c r="T40" s="1154" t="s">
        <v>219</v>
      </c>
      <c r="U40" s="1154" t="str">
        <f>U29</f>
        <v>2018E-20E</v>
      </c>
      <c r="V40" s="1514">
        <f>Bull!$Z$61</f>
        <v>0.13608725166107782</v>
      </c>
      <c r="W40" s="167">
        <f>Base!$Z$61</f>
        <v>5.3693897021299231E-2</v>
      </c>
      <c r="X40" s="1514">
        <f>Bear!$Z$61</f>
        <v>2.4866252912602027E-2</v>
      </c>
      <c r="Y40" s="731"/>
      <c r="Z40" s="1160"/>
      <c r="AA40" s="102"/>
      <c r="AB40" s="102"/>
    </row>
    <row r="41" spans="1:32" ht="12.75" customHeight="1" collapsed="1">
      <c r="A41" s="1160" t="s">
        <v>334</v>
      </c>
      <c r="B41" s="1160"/>
      <c r="C41" s="1489">
        <f>Financials!H142</f>
        <v>5.4058767433069619</v>
      </c>
      <c r="D41" s="1489">
        <f>Financials!I142</f>
        <v>5.2188268019628401</v>
      </c>
      <c r="E41" s="1489">
        <f>Financials!J142</f>
        <v>6.2189261358413113</v>
      </c>
      <c r="F41" s="1489">
        <f>Financials!K142</f>
        <v>6.6702896960975488</v>
      </c>
      <c r="G41" s="1489">
        <f>Financials!L142</f>
        <v>6.3237888912090225</v>
      </c>
      <c r="H41" s="1489">
        <f>Financials!M142</f>
        <v>6.109385492773872</v>
      </c>
      <c r="I41" s="1489">
        <f>Financials!N142</f>
        <v>6.1798309032393313</v>
      </c>
      <c r="J41" s="1489">
        <f>Financials!O142</f>
        <v>5.7418728755619046</v>
      </c>
      <c r="K41" s="1490">
        <f>Financials!P142</f>
        <v>4.9717489061199229</v>
      </c>
      <c r="L41" s="1490">
        <f>Financials!Q142</f>
        <v>4.8765752028052507</v>
      </c>
      <c r="M41" s="1490">
        <f>Financials!R142</f>
        <v>4.4108266327978232</v>
      </c>
      <c r="N41" s="1490">
        <f>Financials!S142</f>
        <v>3.6865667529331527</v>
      </c>
      <c r="O41" s="1490">
        <f>Financials!T142</f>
        <v>3.3688268226830922</v>
      </c>
      <c r="P41" s="1490">
        <f>Financials!U142</f>
        <v>3.7473796442979896</v>
      </c>
      <c r="Q41" s="1490">
        <f>Financials!V142</f>
        <v>4.114150663109946</v>
      </c>
      <c r="R41" s="1490">
        <f>Financials!W142</f>
        <v>3.3444250606486672</v>
      </c>
      <c r="S41" s="1160"/>
      <c r="T41" s="1154" t="s">
        <v>32</v>
      </c>
      <c r="U41" s="2420">
        <f t="shared" ref="U41:U45" si="6">$U$35</f>
        <v>2019</v>
      </c>
      <c r="V41" s="1163">
        <f>Bull!$Q$62</f>
        <v>0.52228067775010256</v>
      </c>
      <c r="W41" s="115">
        <f>Base!$Q$62</f>
        <v>0.47067842251844494</v>
      </c>
      <c r="X41" s="1163">
        <f>Bear!$Q$62</f>
        <v>0.41357796231572791</v>
      </c>
      <c r="Y41" s="731"/>
      <c r="Z41" s="1160"/>
      <c r="AA41" s="102"/>
      <c r="AB41" s="102"/>
    </row>
    <row r="42" spans="1:32" ht="12.75" customHeight="1">
      <c r="A42" s="1165" t="s">
        <v>266</v>
      </c>
      <c r="B42" s="1165"/>
      <c r="C42" s="1491">
        <f>Financials!H143</f>
        <v>17.123864915572263</v>
      </c>
      <c r="D42" s="1491">
        <f>Financials!I143</f>
        <v>18.845727136642534</v>
      </c>
      <c r="E42" s="1491">
        <f>Financials!J143</f>
        <v>19.577562692025154</v>
      </c>
      <c r="F42" s="1491">
        <f>Financials!K143</f>
        <v>41.126784098697854</v>
      </c>
      <c r="G42" s="1491">
        <f>Financials!L143</f>
        <v>24.496370424141858</v>
      </c>
      <c r="H42" s="1491">
        <f>Financials!M143</f>
        <v>13.180838991545793</v>
      </c>
      <c r="I42" s="1491">
        <f>Financials!N143</f>
        <v>26.717701796082917</v>
      </c>
      <c r="J42" s="1491">
        <f>Financials!O143</f>
        <v>20.255817752071238</v>
      </c>
      <c r="K42" s="1492">
        <f>Financials!P143</f>
        <v>12.423154116782873</v>
      </c>
      <c r="L42" s="1492">
        <f>Financials!Q143</f>
        <v>11.671776941400704</v>
      </c>
      <c r="M42" s="1492">
        <f>Financials!R143</f>
        <v>9.8680134901445289</v>
      </c>
      <c r="N42" s="1492">
        <f>Financials!S143</f>
        <v>8.2560194786110195</v>
      </c>
      <c r="O42" s="1492">
        <f>Financials!T143</f>
        <v>7.7801797355858158</v>
      </c>
      <c r="P42" s="1492">
        <f>Financials!U143</f>
        <v>9.4093551028702507</v>
      </c>
      <c r="Q42" s="1492">
        <f>Financials!V143</f>
        <v>11.204628049910815</v>
      </c>
      <c r="R42" s="1492">
        <f>Financials!W143</f>
        <v>8.5725153081642596</v>
      </c>
      <c r="S42" s="1160"/>
      <c r="T42" s="52" t="s">
        <v>1719</v>
      </c>
      <c r="U42" s="52" t="str">
        <f>U40</f>
        <v>2018E-20E</v>
      </c>
      <c r="V42" s="1514">
        <f>Bull!$Z$87</f>
        <v>0.2766039278512431</v>
      </c>
      <c r="W42" s="167">
        <f>Base!$Z$87</f>
        <v>0.12202121665392496</v>
      </c>
      <c r="X42" s="1514">
        <f>Bear!$Z$87</f>
        <v>1.4622166380163559E-2</v>
      </c>
      <c r="Y42" s="731"/>
      <c r="Z42" s="1160"/>
      <c r="AA42" s="102"/>
      <c r="AB42" s="102"/>
    </row>
    <row r="43" spans="1:32" ht="12.75" hidden="1" customHeight="1" outlineLevel="1">
      <c r="A43" s="1160" t="s">
        <v>267</v>
      </c>
      <c r="B43" s="1160"/>
      <c r="C43" s="1489">
        <f>Financials!H144</f>
        <v>0.87953262584771807</v>
      </c>
      <c r="D43" s="1489">
        <f>Financials!I144</f>
        <v>1.3727560501396008</v>
      </c>
      <c r="E43" s="1489">
        <f>Financials!J144</f>
        <v>1.2241971439916555</v>
      </c>
      <c r="F43" s="1489">
        <f>Financials!K144</f>
        <v>1.4282465104300308</v>
      </c>
      <c r="G43" s="1489">
        <f>Financials!L144</f>
        <v>1.5930324978612223</v>
      </c>
      <c r="H43" s="1489">
        <f>Financials!M144</f>
        <v>1.5983666432856729</v>
      </c>
      <c r="I43" s="1489">
        <f>Financials!N144</f>
        <v>2.0133092193484692</v>
      </c>
      <c r="J43" s="1489">
        <f>Financials!O144</f>
        <v>1.6896394079898456</v>
      </c>
      <c r="K43" s="1490">
        <f>Financials!P144</f>
        <v>1.9038558625009177</v>
      </c>
      <c r="L43" s="1490">
        <f>Financials!Q144</f>
        <v>1.8085354868006116</v>
      </c>
      <c r="M43" s="1490">
        <f>Financials!R144</f>
        <v>1.7142813016548972</v>
      </c>
      <c r="N43" s="1490">
        <f>Financials!S144</f>
        <v>1.6137570635533502</v>
      </c>
      <c r="O43" s="1490">
        <f>Financials!T144</f>
        <v>1.5192223891044287</v>
      </c>
      <c r="P43" s="1490">
        <f>Financials!U144</f>
        <v>1.5192223891044287</v>
      </c>
      <c r="Q43" s="1490">
        <f>Financials!V144</f>
        <v>1.519222389104429</v>
      </c>
      <c r="R43" s="1490">
        <f>Financials!W144</f>
        <v>1.519222389104429</v>
      </c>
      <c r="S43" s="1160"/>
      <c r="T43" s="52" t="str">
        <f>A29</f>
        <v>Net debt / EBITDA</v>
      </c>
      <c r="U43" s="2420">
        <f t="shared" si="6"/>
        <v>2019</v>
      </c>
      <c r="V43" s="1305">
        <f>+Bull!$Q$128</f>
        <v>0.70841939301484536</v>
      </c>
      <c r="W43" s="2281">
        <f>+Base!$Q$128</f>
        <v>1.1196988856373464</v>
      </c>
      <c r="X43" s="1305">
        <f>+Bear!$Q$128</f>
        <v>1.7541803692403124</v>
      </c>
      <c r="Y43" s="731"/>
      <c r="Z43" s="1160"/>
      <c r="AA43" s="102"/>
      <c r="AB43" s="102"/>
    </row>
    <row r="44" spans="1:32" ht="12.75" customHeight="1" collapsed="1">
      <c r="A44" s="1160" t="s">
        <v>39</v>
      </c>
      <c r="B44" s="1160"/>
      <c r="C44" s="1250">
        <f>Financials!H147</f>
        <v>0.11052347863815346</v>
      </c>
      <c r="D44" s="1250">
        <f>Financials!I147</f>
        <v>-5.848953319027117E-2</v>
      </c>
      <c r="E44" s="1250">
        <f>Financials!J147</f>
        <v>-7.6565741831541384E-2</v>
      </c>
      <c r="F44" s="1250">
        <f>Financials!K147</f>
        <v>-0.10377552768251461</v>
      </c>
      <c r="G44" s="1250">
        <f>Financials!L147</f>
        <v>-2.9081970415405452E-2</v>
      </c>
      <c r="H44" s="1250">
        <f>Financials!M147</f>
        <v>-3.5030146147412948E-2</v>
      </c>
      <c r="I44" s="1250">
        <f>Financials!N147</f>
        <v>5.4159347937359957E-2</v>
      </c>
      <c r="J44" s="1250">
        <f>Financials!O147</f>
        <v>-5.3719894536635518E-3</v>
      </c>
      <c r="K44" s="1251">
        <f>Financials!P147</f>
        <v>7.0970739989132892E-2</v>
      </c>
      <c r="L44" s="1251">
        <f>Financials!Q147</f>
        <v>8.1316550297160506E-2</v>
      </c>
      <c r="M44" s="1251">
        <f>Financials!R147</f>
        <v>8.0914958801996742E-2</v>
      </c>
      <c r="N44" s="1251">
        <f>Financials!S147</f>
        <v>0.10575821426904766</v>
      </c>
      <c r="O44" s="1251">
        <f>Financials!T147</f>
        <v>0.11889780623399103</v>
      </c>
      <c r="P44" s="1251">
        <f>Financials!U147</f>
        <v>9.6745996517560356E-2</v>
      </c>
      <c r="Q44" s="1251">
        <f>Financials!V147</f>
        <v>5.1165473565290116E-2</v>
      </c>
      <c r="R44" s="1251">
        <f>Financials!W147</f>
        <v>7.5424505721687782E-2</v>
      </c>
      <c r="S44" s="1160"/>
      <c r="T44" s="1154" t="s">
        <v>264</v>
      </c>
      <c r="U44" s="2420">
        <f t="shared" si="6"/>
        <v>2019</v>
      </c>
      <c r="V44" s="1161">
        <f>+Bull!$Q$126</f>
        <v>1584.7456278100935</v>
      </c>
      <c r="W44" s="118">
        <f>+Base!$Q$126</f>
        <v>1993.232980283138</v>
      </c>
      <c r="X44" s="1161">
        <f>+Bear!$Q$126</f>
        <v>2331.2045876033712</v>
      </c>
      <c r="Y44" s="731"/>
      <c r="Z44" s="1160"/>
      <c r="AA44" s="102"/>
      <c r="AB44" s="102"/>
    </row>
    <row r="45" spans="1:32" ht="12.75" customHeight="1">
      <c r="A45" s="731"/>
      <c r="B45" s="731"/>
      <c r="C45" s="731"/>
      <c r="D45" s="731"/>
      <c r="E45" s="731"/>
      <c r="F45" s="731"/>
      <c r="G45" s="731"/>
      <c r="H45" s="731"/>
      <c r="I45" s="731"/>
      <c r="J45" s="731"/>
      <c r="K45" s="731"/>
      <c r="L45" s="731"/>
      <c r="M45" s="731"/>
      <c r="N45" s="731"/>
      <c r="O45" s="731"/>
      <c r="P45" s="731"/>
      <c r="Q45" s="731"/>
      <c r="R45" s="731"/>
      <c r="S45" s="1160"/>
      <c r="T45" s="1154" t="s">
        <v>152</v>
      </c>
      <c r="U45" s="2420">
        <f t="shared" si="6"/>
        <v>2019</v>
      </c>
      <c r="V45" s="1949">
        <f>Bull!$Q$131</f>
        <v>0.10377399939850371</v>
      </c>
      <c r="W45" s="167">
        <f>Base!$Q$131</f>
        <v>7.5577160545731756E-2</v>
      </c>
      <c r="X45" s="1514">
        <f>Bear!$Q$131</f>
        <v>4.8025007967697715E-2</v>
      </c>
      <c r="Y45" s="731"/>
      <c r="Z45" s="1160"/>
      <c r="AA45" s="102"/>
      <c r="AB45" s="102"/>
    </row>
    <row r="46" spans="1:32" ht="12.75" customHeight="1">
      <c r="A46" s="1347" t="s">
        <v>465</v>
      </c>
      <c r="B46" s="1154"/>
      <c r="C46" s="1154"/>
      <c r="D46" s="1154"/>
      <c r="E46" s="1154"/>
      <c r="F46" s="1154"/>
      <c r="G46" s="1154"/>
      <c r="I46" s="1483" t="s">
        <v>635</v>
      </c>
      <c r="J46" s="1484">
        <f>W58</f>
        <v>16.399999999999999</v>
      </c>
      <c r="L46" s="1154"/>
      <c r="M46" s="1154"/>
      <c r="N46" s="1154"/>
      <c r="O46" s="1154"/>
      <c r="P46" s="1154"/>
      <c r="Q46" s="1154"/>
      <c r="R46" s="1154"/>
      <c r="S46" s="1160"/>
      <c r="T46" s="1510" t="str">
        <f>A38</f>
        <v>Current Multiples</v>
      </c>
      <c r="U46" s="1168"/>
      <c r="V46" s="1502" t="s">
        <v>74</v>
      </c>
      <c r="W46" s="1468" t="s">
        <v>75</v>
      </c>
      <c r="X46" s="1502" t="s">
        <v>76</v>
      </c>
      <c r="Y46" s="731"/>
      <c r="Z46" s="1160"/>
      <c r="AA46" s="102"/>
      <c r="AB46" s="102"/>
    </row>
    <row r="47" spans="1:32" ht="12.75" customHeight="1">
      <c r="A47" s="1295" t="str">
        <f>A39</f>
        <v>EV / Tn (US$)</v>
      </c>
      <c r="B47" s="1486"/>
      <c r="C47" s="1485">
        <f>Financials!H157</f>
        <v>79.504962421256081</v>
      </c>
      <c r="D47" s="1485">
        <f>Financials!I157</f>
        <v>112.40559689900142</v>
      </c>
      <c r="E47" s="1485">
        <f>Financials!J157</f>
        <v>128.53534439487981</v>
      </c>
      <c r="F47" s="1485">
        <f>Financials!K157</f>
        <v>125.37129795302681</v>
      </c>
      <c r="G47" s="1485">
        <f>Financials!L157</f>
        <v>102.7416797648512</v>
      </c>
      <c r="H47" s="1485">
        <f>Financials!M157</f>
        <v>72.769571628548334</v>
      </c>
      <c r="I47" s="1586">
        <f>Financials!N157</f>
        <v>84.866521864566366</v>
      </c>
      <c r="J47" s="1586">
        <f>Financials!O157</f>
        <v>77.174309905121248</v>
      </c>
      <c r="K47" s="1486">
        <f>Financials!P157</f>
        <v>81.174303348257709</v>
      </c>
      <c r="L47" s="1486">
        <f>Financials!Q157</f>
        <v>75.176998311376636</v>
      </c>
      <c r="M47" s="1486">
        <f>Financials!R157</f>
        <v>72.817349126199744</v>
      </c>
      <c r="N47" s="1486">
        <f>Financials!S157</f>
        <v>69.66095415809454</v>
      </c>
      <c r="O47" s="1486">
        <f>Financials!T157</f>
        <v>65.99619667317171</v>
      </c>
      <c r="P47" s="1486">
        <f>Financials!U157</f>
        <v>65.469963381928551</v>
      </c>
      <c r="Q47" s="1486">
        <f>Financials!V157</f>
        <v>67.147135737405776</v>
      </c>
      <c r="R47" s="1486">
        <f>Financials!W157</f>
        <v>68.998178581478498</v>
      </c>
      <c r="S47" s="1160"/>
      <c r="T47" s="1295" t="str">
        <f>A39</f>
        <v>EV / Tn (US$)</v>
      </c>
      <c r="U47" s="2420">
        <f t="shared" ref="U47:U51" si="7">$U$35</f>
        <v>2019</v>
      </c>
      <c r="V47" s="2187">
        <f>Bull!$Q$146</f>
        <v>80.567999701593379</v>
      </c>
      <c r="W47" s="2187">
        <f>Base!$Q$146</f>
        <v>84.355452525931383</v>
      </c>
      <c r="X47" s="2187">
        <f>Bear!$Q$146</f>
        <v>89.496299431617672</v>
      </c>
      <c r="Y47" s="731"/>
      <c r="Z47" s="1160"/>
      <c r="AA47" s="102"/>
      <c r="AB47" s="102"/>
    </row>
    <row r="48" spans="1:32" ht="12.75" hidden="1" customHeight="1" outlineLevel="1">
      <c r="A48" s="1154" t="s">
        <v>464</v>
      </c>
      <c r="B48" s="1154"/>
      <c r="C48" s="1487">
        <f>Financials!H152/C19</f>
        <v>2.0666792981578426</v>
      </c>
      <c r="D48" s="1487">
        <f>Financials!I152/D19</f>
        <v>2.4686411104624773</v>
      </c>
      <c r="E48" s="1487">
        <f>Financials!J152/E19</f>
        <v>2.4248939567955872</v>
      </c>
      <c r="F48" s="1487">
        <f>Financials!K152/F19</f>
        <v>2.6576738968981419</v>
      </c>
      <c r="G48" s="1487">
        <f>Financials!L152/G19</f>
        <v>2.4575567153051447</v>
      </c>
      <c r="H48" s="1487">
        <f>Financials!M152/H19</f>
        <v>2.8679924237536998</v>
      </c>
      <c r="I48" s="1487">
        <f>Financials!N152/I19</f>
        <v>2.9506189422152187</v>
      </c>
      <c r="J48" s="1487">
        <f>Financials!O152/J19</f>
        <v>2.7631826991536803</v>
      </c>
      <c r="K48" s="1488">
        <f>Financials!P152/K19</f>
        <v>2.1985182451029557</v>
      </c>
      <c r="L48" s="1488">
        <f>Financials!Q152/L19</f>
        <v>2.1030948226259691</v>
      </c>
      <c r="M48" s="1488">
        <f>Financials!R152/M19</f>
        <v>1.9309145224584263</v>
      </c>
      <c r="N48" s="1488">
        <f>Financials!S152/N19</f>
        <v>1.6479423843627712</v>
      </c>
      <c r="O48" s="1488">
        <f>Financials!T152/O19</f>
        <v>1.5013653480224134</v>
      </c>
      <c r="P48" s="1488">
        <f>Financials!U152/P19</f>
        <v>1.5908857909159884</v>
      </c>
      <c r="Q48" s="1488">
        <f>Financials!V152/Q19</f>
        <v>1.6872825877670659</v>
      </c>
      <c r="R48" s="1488">
        <f>Financials!W152/R19</f>
        <v>1.5605727408959107</v>
      </c>
      <c r="S48" s="1160"/>
      <c r="T48" s="1154" t="s">
        <v>334</v>
      </c>
      <c r="U48" s="2420">
        <f t="shared" si="7"/>
        <v>2019</v>
      </c>
      <c r="V48" s="168">
        <f>Bull!$Q$142</f>
        <v>3.6980297907027055</v>
      </c>
      <c r="W48" s="168">
        <f>Base!$Q$142</f>
        <v>4.8765752028052507</v>
      </c>
      <c r="X48" s="168">
        <f>Bear!$Q$142</f>
        <v>6.7866084095347636</v>
      </c>
      <c r="Y48" s="731"/>
      <c r="Z48" s="1160"/>
      <c r="AA48" s="102"/>
      <c r="AB48" s="102"/>
    </row>
    <row r="49" spans="1:28" ht="12.75" customHeight="1" collapsed="1">
      <c r="A49" s="1160" t="s">
        <v>334</v>
      </c>
      <c r="B49" s="1160"/>
      <c r="C49" s="1489">
        <f>Financials!H153</f>
        <v>5.4058767433069619</v>
      </c>
      <c r="D49" s="1489">
        <f>Financials!I153</f>
        <v>5.2188268019628401</v>
      </c>
      <c r="E49" s="1489">
        <f>Financials!J153</f>
        <v>6.2189261358413113</v>
      </c>
      <c r="F49" s="1489">
        <f>Financials!K153</f>
        <v>6.6702896960975488</v>
      </c>
      <c r="G49" s="1489">
        <f>Financials!L153</f>
        <v>6.3237888912090225</v>
      </c>
      <c r="H49" s="1489">
        <f>Financials!M153</f>
        <v>6.109385492773872</v>
      </c>
      <c r="I49" s="1489">
        <f>Financials!N153</f>
        <v>6.1798309032393313</v>
      </c>
      <c r="J49" s="1489">
        <f>Financials!O153</f>
        <v>5.7418728755619046</v>
      </c>
      <c r="K49" s="1490">
        <f>Financials!P153</f>
        <v>4.570412325439297</v>
      </c>
      <c r="L49" s="1490">
        <f>Financials!Q153</f>
        <v>4.468220173283072</v>
      </c>
      <c r="M49" s="1490">
        <f>Financials!R153</f>
        <v>4.0386110816820651</v>
      </c>
      <c r="N49" s="1490">
        <f>Financials!S153</f>
        <v>3.370320202167354</v>
      </c>
      <c r="O49" s="1490">
        <f>Financials!T153</f>
        <v>3.0730858256419675</v>
      </c>
      <c r="P49" s="1490">
        <f>Financials!U153</f>
        <v>3.4209194734030071</v>
      </c>
      <c r="Q49" s="1490">
        <f>Financials!V153</f>
        <v>3.7663543081887414</v>
      </c>
      <c r="R49" s="1490">
        <f>Financials!W153</f>
        <v>3.0704824318570068</v>
      </c>
      <c r="S49" s="1160"/>
      <c r="T49" s="1154" t="s">
        <v>143</v>
      </c>
      <c r="U49" s="2420">
        <f t="shared" si="7"/>
        <v>2019</v>
      </c>
      <c r="V49" s="1508">
        <f>Bull!$Q$143</f>
        <v>7.5620284213689155</v>
      </c>
      <c r="W49" s="119">
        <f>Base!$Q$143</f>
        <v>11.671776941400704</v>
      </c>
      <c r="X49" s="1508">
        <f>Bear!$Q$143</f>
        <v>23.260175050523983</v>
      </c>
      <c r="Y49" s="731"/>
      <c r="Z49" s="1160"/>
      <c r="AA49" s="102"/>
      <c r="AB49" s="102"/>
    </row>
    <row r="50" spans="1:28" ht="12.75" customHeight="1">
      <c r="A50" s="1165" t="s">
        <v>266</v>
      </c>
      <c r="B50" s="1165"/>
      <c r="C50" s="1491">
        <f>Financials!H154</f>
        <v>17.123864915572263</v>
      </c>
      <c r="D50" s="1491">
        <f>Financials!I154</f>
        <v>18.845727136642534</v>
      </c>
      <c r="E50" s="1491">
        <f>Financials!J154</f>
        <v>19.577562692025154</v>
      </c>
      <c r="F50" s="1491">
        <f>Financials!K154</f>
        <v>41.126784098697854</v>
      </c>
      <c r="G50" s="1491">
        <f>Financials!L154</f>
        <v>24.496370424141858</v>
      </c>
      <c r="H50" s="1491">
        <f>Financials!M154</f>
        <v>13.180838991545793</v>
      </c>
      <c r="I50" s="1491">
        <f>Financials!N154</f>
        <v>26.717701796082917</v>
      </c>
      <c r="J50" s="1491">
        <f>Financials!O154</f>
        <v>20.255817752071238</v>
      </c>
      <c r="K50" s="1492">
        <f>Financials!P154</f>
        <v>11.072814888702633</v>
      </c>
      <c r="L50" s="1492">
        <f>Financials!Q154</f>
        <v>10.403108927044844</v>
      </c>
      <c r="M50" s="1492">
        <f>Financials!R154</f>
        <v>8.7954061962395365</v>
      </c>
      <c r="N50" s="1492">
        <f>Financials!S154</f>
        <v>7.3586284565756239</v>
      </c>
      <c r="O50" s="1492">
        <f>Financials!T154</f>
        <v>6.9345102864494077</v>
      </c>
      <c r="P50" s="1492">
        <f>Financials!U154</f>
        <v>8.3866018481893043</v>
      </c>
      <c r="Q50" s="1492">
        <f>Financials!V154</f>
        <v>9.9867369532042982</v>
      </c>
      <c r="R50" s="1492">
        <f>Financials!W154</f>
        <v>7.64072265751249</v>
      </c>
      <c r="S50" s="1160"/>
      <c r="T50" s="52" t="str">
        <f>A43</f>
        <v>P/BV</v>
      </c>
      <c r="U50" s="2420">
        <f t="shared" si="7"/>
        <v>2019</v>
      </c>
      <c r="V50" s="1508">
        <f>Bull!$Q$144</f>
        <v>1.6972285637281217</v>
      </c>
      <c r="W50" s="119">
        <f>Base!$Q$144</f>
        <v>1.8085354868006116</v>
      </c>
      <c r="X50" s="1508">
        <f>Bear!$Q$144</f>
        <v>1.9152047523759017</v>
      </c>
      <c r="Y50" s="731"/>
      <c r="Z50" s="1160"/>
      <c r="AA50" s="102"/>
      <c r="AB50" s="102"/>
    </row>
    <row r="51" spans="1:28" ht="12.75" hidden="1" customHeight="1" outlineLevel="1">
      <c r="A51" s="1160" t="s">
        <v>267</v>
      </c>
      <c r="B51" s="1160"/>
      <c r="C51" s="1489">
        <f>Financials!H155</f>
        <v>0.87953262584771807</v>
      </c>
      <c r="D51" s="1489">
        <f>Financials!I155</f>
        <v>1.3727560501396008</v>
      </c>
      <c r="E51" s="1489">
        <f>Financials!J155</f>
        <v>1.2241971439916555</v>
      </c>
      <c r="F51" s="1489">
        <f>Financials!K155</f>
        <v>1.4282465104300308</v>
      </c>
      <c r="G51" s="1489">
        <f>Financials!L155</f>
        <v>1.5930324978612223</v>
      </c>
      <c r="H51" s="1489">
        <f>Financials!M155</f>
        <v>1.5983666432856729</v>
      </c>
      <c r="I51" s="1489">
        <f>Financials!N155</f>
        <v>2.0133092193484692</v>
      </c>
      <c r="J51" s="1489">
        <f>Financials!O155</f>
        <v>1.6896394079898456</v>
      </c>
      <c r="K51" s="1490">
        <f>Financials!P155</f>
        <v>1.6969155612232836</v>
      </c>
      <c r="L51" s="1490">
        <f>Financials!Q155</f>
        <v>1.6119560682210023</v>
      </c>
      <c r="M51" s="1490">
        <f>Financials!R155</f>
        <v>1.5279468758055201</v>
      </c>
      <c r="N51" s="1490">
        <f>Financials!S155</f>
        <v>1.4383491561070587</v>
      </c>
      <c r="O51" s="1490">
        <f>Financials!T155</f>
        <v>1.3540899622745872</v>
      </c>
      <c r="P51" s="1490">
        <f>Financials!U155</f>
        <v>1.3540899622745872</v>
      </c>
      <c r="Q51" s="1490">
        <f>Financials!V155</f>
        <v>1.3540899622745877</v>
      </c>
      <c r="R51" s="1490">
        <f>Financials!W155</f>
        <v>1.3540899622745877</v>
      </c>
      <c r="S51" s="1160"/>
      <c r="T51" s="52" t="str">
        <f>A44</f>
        <v>FCF yield</v>
      </c>
      <c r="U51" s="2420">
        <f t="shared" si="7"/>
        <v>2019</v>
      </c>
      <c r="V51" s="1520">
        <f>Bull!$Q$147</f>
        <v>0.14093137269678807</v>
      </c>
      <c r="W51" s="2422">
        <f>Base!$Q$147</f>
        <v>8.1316550297160506E-2</v>
      </c>
      <c r="X51" s="1520">
        <f>Bear!$Q$147</f>
        <v>2.747164381077875E-2</v>
      </c>
      <c r="Y51" s="731"/>
      <c r="Z51" s="1160"/>
      <c r="AA51" s="102"/>
      <c r="AB51" s="102"/>
    </row>
    <row r="52" spans="1:28" ht="12.75" customHeight="1" collapsed="1">
      <c r="A52" s="1160" t="s">
        <v>39</v>
      </c>
      <c r="B52" s="1160"/>
      <c r="C52" s="1250">
        <f>Financials!H158</f>
        <v>0.11052347863815346</v>
      </c>
      <c r="D52" s="1250">
        <f>Financials!I158</f>
        <v>-5.848953319027117E-2</v>
      </c>
      <c r="E52" s="1250">
        <f>Financials!J158</f>
        <v>-7.6565741831541384E-2</v>
      </c>
      <c r="F52" s="1250">
        <f>Financials!K158</f>
        <v>-0.10377552768251461</v>
      </c>
      <c r="G52" s="1250">
        <f>Financials!L158</f>
        <v>-2.9081970415405452E-2</v>
      </c>
      <c r="H52" s="1250">
        <f>Financials!M158</f>
        <v>-3.5030146147412948E-2</v>
      </c>
      <c r="I52" s="1250">
        <f>Financials!N158</f>
        <v>5.4159347937359957E-2</v>
      </c>
      <c r="J52" s="1250">
        <f>Financials!O158</f>
        <v>-5.3719894536635518E-3</v>
      </c>
      <c r="K52" s="2297">
        <f>Financials!P158</f>
        <v>7.9625682315585686E-2</v>
      </c>
      <c r="L52" s="2297">
        <f>Financials!Q158</f>
        <v>9.1233173022466557E-2</v>
      </c>
      <c r="M52" s="2297">
        <f>Financials!R158</f>
        <v>9.0782607101645554E-2</v>
      </c>
      <c r="N52" s="1251">
        <f>Financials!S158</f>
        <v>0.11865551878056044</v>
      </c>
      <c r="O52" s="1251">
        <f>Financials!T158</f>
        <v>0.1333974952023535</v>
      </c>
      <c r="P52" s="1251">
        <f>Financials!U158</f>
        <v>0.10854425338092265</v>
      </c>
      <c r="Q52" s="1251">
        <f>Financials!V158</f>
        <v>5.7405146744420529E-2</v>
      </c>
      <c r="R52" s="1251">
        <f>Financials!W158</f>
        <v>8.4622588581220778E-2</v>
      </c>
      <c r="S52" s="1160"/>
      <c r="T52" s="1510" t="str">
        <f>A46</f>
        <v>Price Target Implicit Multiples</v>
      </c>
      <c r="U52" s="1168"/>
      <c r="V52" s="1168"/>
      <c r="W52" s="437"/>
      <c r="X52" s="1168"/>
      <c r="Y52" s="731"/>
      <c r="Z52" s="1160"/>
      <c r="AA52" s="102"/>
      <c r="AB52" s="102"/>
    </row>
    <row r="53" spans="1:28" ht="12.75" customHeight="1">
      <c r="A53" s="1160"/>
      <c r="B53" s="1160"/>
      <c r="C53" s="1250"/>
      <c r="D53" s="1250"/>
      <c r="E53" s="1250"/>
      <c r="F53" s="1250"/>
      <c r="G53" s="1251"/>
      <c r="H53" s="1251"/>
      <c r="I53" s="1250"/>
      <c r="J53" s="1250"/>
      <c r="K53" s="1251"/>
      <c r="L53" s="1251"/>
      <c r="M53" s="1251"/>
      <c r="N53" s="1251"/>
      <c r="O53" s="1251"/>
      <c r="P53" s="1251"/>
      <c r="Q53" s="1251"/>
      <c r="R53" s="1251"/>
      <c r="S53" s="1160"/>
      <c r="T53" s="1154" t="str">
        <f>T47</f>
        <v>EV / Tn (US$)</v>
      </c>
      <c r="U53" s="2420">
        <f t="shared" ref="U53:U57" si="8">$U$35</f>
        <v>2019</v>
      </c>
      <c r="V53" s="1495">
        <f>Bull!$Q$157</f>
        <v>120.03549876203861</v>
      </c>
      <c r="W53" s="2279">
        <f>Base!$Q$157</f>
        <v>75.176998311376636</v>
      </c>
      <c r="X53" s="1495">
        <f>Bear!$Q$157</f>
        <v>65.173350329562936</v>
      </c>
      <c r="Y53" s="731"/>
      <c r="Z53" s="1160"/>
      <c r="AA53" s="102"/>
      <c r="AB53" s="102"/>
    </row>
    <row r="54" spans="1:28" s="1401" customFormat="1" ht="12.75" customHeight="1">
      <c r="A54" s="1160"/>
      <c r="B54" s="1160"/>
      <c r="C54" s="1250"/>
      <c r="D54" s="1250"/>
      <c r="E54" s="1250"/>
      <c r="F54" s="1250"/>
      <c r="G54" s="1251"/>
      <c r="H54" s="1251"/>
      <c r="I54" s="1250"/>
      <c r="J54" s="1250"/>
      <c r="K54" s="1251"/>
      <c r="L54" s="1251"/>
      <c r="M54" s="1251"/>
      <c r="N54" s="1251"/>
      <c r="O54" s="1251"/>
      <c r="P54" s="1251"/>
      <c r="Q54" s="1251"/>
      <c r="R54" s="1251"/>
      <c r="S54" s="1160"/>
      <c r="T54" s="1154" t="str">
        <f>T48</f>
        <v>EV / EBITDA</v>
      </c>
      <c r="U54" s="2420">
        <f t="shared" si="8"/>
        <v>2019</v>
      </c>
      <c r="V54" s="1508">
        <f>Bull!$Q$153</f>
        <v>5.0953491244904221</v>
      </c>
      <c r="W54" s="119">
        <f>Base!$Q$153</f>
        <v>4.468220173283072</v>
      </c>
      <c r="X54" s="1508">
        <f>Bear!$Q$153</f>
        <v>5.3370515010383617</v>
      </c>
      <c r="Y54" s="731"/>
      <c r="Z54" s="1160"/>
      <c r="AA54" s="102"/>
      <c r="AB54" s="102"/>
    </row>
    <row r="55" spans="1:28" s="1401" customFormat="1" ht="12.75" customHeight="1">
      <c r="A55" s="1160"/>
      <c r="B55" s="1160"/>
      <c r="C55" s="1250"/>
      <c r="D55" s="1250"/>
      <c r="E55" s="1250"/>
      <c r="F55" s="1250"/>
      <c r="G55" s="1251"/>
      <c r="H55" s="1251"/>
      <c r="I55" s="1250"/>
      <c r="J55" s="1250"/>
      <c r="K55" s="1251"/>
      <c r="L55" s="1251"/>
      <c r="M55" s="1251"/>
      <c r="N55" s="1251"/>
      <c r="O55" s="1251"/>
      <c r="P55" s="1251"/>
      <c r="Q55" s="1251"/>
      <c r="R55" s="1251"/>
      <c r="S55" s="1160"/>
      <c r="T55" s="1154" t="str">
        <f>T49</f>
        <v>PE</v>
      </c>
      <c r="U55" s="2420">
        <f t="shared" si="8"/>
        <v>2019</v>
      </c>
      <c r="V55" s="1508">
        <f>Bull!$Q$154</f>
        <v>11.096458367158203</v>
      </c>
      <c r="W55" s="119">
        <f>Base!$Q$154</f>
        <v>10.403108927044844</v>
      </c>
      <c r="X55" s="1508">
        <f>Bear!$Q$154</f>
        <v>16.560238724092205</v>
      </c>
      <c r="Y55" s="731"/>
      <c r="Z55" s="1160"/>
      <c r="AA55" s="102"/>
      <c r="AB55" s="102"/>
    </row>
    <row r="56" spans="1:28" s="1401" customFormat="1" ht="12.75" customHeight="1">
      <c r="A56" s="1160"/>
      <c r="B56" s="1160"/>
      <c r="C56" s="1250"/>
      <c r="D56" s="1250"/>
      <c r="E56" s="1250"/>
      <c r="F56" s="1250"/>
      <c r="G56" s="1251"/>
      <c r="H56" s="1251"/>
      <c r="I56" s="1250"/>
      <c r="J56" s="1250"/>
      <c r="K56" s="1251"/>
      <c r="L56" s="1251"/>
      <c r="M56" s="1251"/>
      <c r="N56" s="1251"/>
      <c r="O56" s="1251"/>
      <c r="P56" s="1251"/>
      <c r="Q56" s="1251"/>
      <c r="R56" s="1251"/>
      <c r="S56" s="1160"/>
      <c r="T56" s="1154" t="str">
        <f>T50</f>
        <v>P/BV</v>
      </c>
      <c r="U56" s="2420">
        <f t="shared" si="8"/>
        <v>2019</v>
      </c>
      <c r="V56" s="1508">
        <f>Bull!$Q$155</f>
        <v>2.4904992480247161</v>
      </c>
      <c r="W56" s="119">
        <f>Base!$Q$155</f>
        <v>1.6119560682210023</v>
      </c>
      <c r="X56" s="1508">
        <f>Bear!$Q$155</f>
        <v>1.3635429585533732</v>
      </c>
      <c r="Y56" s="731"/>
      <c r="Z56" s="1160"/>
      <c r="AA56" s="102"/>
      <c r="AB56" s="102"/>
    </row>
    <row r="57" spans="1:28" s="1401" customFormat="1" ht="12.75" customHeight="1">
      <c r="A57" s="1160"/>
      <c r="B57" s="1160"/>
      <c r="C57" s="1250"/>
      <c r="D57" s="1250"/>
      <c r="E57" s="1250"/>
      <c r="F57" s="1250"/>
      <c r="G57" s="1251"/>
      <c r="H57" s="1251"/>
      <c r="I57" s="1250"/>
      <c r="J57" s="1250"/>
      <c r="K57" s="1251"/>
      <c r="L57" s="1251"/>
      <c r="M57" s="1251"/>
      <c r="N57" s="1251"/>
      <c r="O57" s="1251"/>
      <c r="P57" s="1251"/>
      <c r="Q57" s="1251"/>
      <c r="R57" s="1251"/>
      <c r="S57" s="1160"/>
      <c r="T57" s="1401" t="str">
        <f>A52</f>
        <v>FCF yield</v>
      </c>
      <c r="U57" s="2420">
        <f t="shared" si="8"/>
        <v>2019</v>
      </c>
      <c r="V57" s="1520">
        <f>Bull!$Q$158</f>
        <v>9.6042089334543113E-2</v>
      </c>
      <c r="W57" s="2422">
        <f>Base!$Q$158</f>
        <v>9.1233173022466557E-2</v>
      </c>
      <c r="X57" s="1520">
        <f>Bear!$Q$158</f>
        <v>3.8586113075455425E-2</v>
      </c>
      <c r="Y57" s="731"/>
      <c r="Z57" s="1160"/>
      <c r="AA57" s="102"/>
      <c r="AB57" s="102"/>
    </row>
    <row r="58" spans="1:28" s="1401" customFormat="1" ht="12.75" customHeight="1">
      <c r="A58" s="1160"/>
      <c r="B58" s="1160"/>
      <c r="C58" s="1250"/>
      <c r="D58" s="1250"/>
      <c r="E58" s="1250"/>
      <c r="F58" s="1250"/>
      <c r="G58" s="1251"/>
      <c r="H58" s="1251"/>
      <c r="I58" s="1250"/>
      <c r="J58" s="1250"/>
      <c r="K58" s="1251"/>
      <c r="L58" s="1251"/>
      <c r="M58" s="1251"/>
      <c r="N58" s="1251"/>
      <c r="O58" s="1251"/>
      <c r="P58" s="1251"/>
      <c r="Q58" s="1251"/>
      <c r="R58" s="1251"/>
      <c r="S58" s="1160"/>
      <c r="T58" s="1157" t="s">
        <v>1077</v>
      </c>
      <c r="U58" s="1511" t="s">
        <v>466</v>
      </c>
      <c r="V58" s="1517">
        <f>+Bull!W150</f>
        <v>27</v>
      </c>
      <c r="W58" s="116">
        <f>+Base!W150</f>
        <v>16.399999999999999</v>
      </c>
      <c r="X58" s="1517">
        <f>+Bear!W150</f>
        <v>13.1</v>
      </c>
      <c r="Y58" s="731"/>
      <c r="Z58" s="1160"/>
      <c r="AA58" s="102"/>
      <c r="AB58" s="102"/>
    </row>
    <row r="59" spans="1:28" s="1401" customFormat="1" ht="12.75" customHeight="1">
      <c r="A59" s="1160"/>
      <c r="B59" s="1160"/>
      <c r="C59" s="1250"/>
      <c r="D59" s="1250"/>
      <c r="E59" s="1250"/>
      <c r="F59" s="1250"/>
      <c r="G59" s="1251"/>
      <c r="H59" s="1251"/>
      <c r="I59" s="1250"/>
      <c r="J59" s="1250"/>
      <c r="K59" s="1251"/>
      <c r="L59" s="1251"/>
      <c r="M59" s="1251"/>
      <c r="N59" s="1251"/>
      <c r="O59" s="1251"/>
      <c r="P59" s="1251"/>
      <c r="Q59" s="1251"/>
      <c r="R59" s="1251"/>
      <c r="S59" s="1160"/>
      <c r="T59" s="1154" t="s">
        <v>135</v>
      </c>
      <c r="U59" s="1512" t="s">
        <v>120</v>
      </c>
      <c r="V59" s="1515">
        <f>Bull!$S$150/Bull!$S$139-1</f>
        <v>0.4673917828451466</v>
      </c>
      <c r="W59" s="121">
        <f>Base!$S$150/Base!$S$139-1</f>
        <v>-0.10869536153109616</v>
      </c>
      <c r="X59" s="1515">
        <f>Bear!$S$150/Bear!$S$139-1</f>
        <v>-0.28804324610105847</v>
      </c>
      <c r="Y59" s="731"/>
      <c r="Z59" s="1160"/>
      <c r="AA59" s="102"/>
      <c r="AB59" s="102"/>
    </row>
    <row r="60" spans="1:28" ht="12.75" customHeight="1">
      <c r="A60" s="1160"/>
      <c r="B60" s="1160"/>
      <c r="C60" s="1160"/>
      <c r="D60" s="1160"/>
      <c r="E60" s="1160"/>
      <c r="F60" s="1160"/>
      <c r="G60" s="1160"/>
      <c r="H60" s="1160"/>
      <c r="I60" s="1160"/>
      <c r="J60" s="1160"/>
      <c r="K60" s="1160"/>
      <c r="L60" s="1160"/>
      <c r="M60" s="1160"/>
      <c r="N60" s="1160"/>
      <c r="O60" s="1160"/>
      <c r="P60" s="1160"/>
      <c r="Q60" s="1160"/>
      <c r="R60" s="1160"/>
      <c r="S60" s="1160"/>
      <c r="T60" s="1160"/>
      <c r="U60" s="1160"/>
      <c r="V60" s="1160"/>
      <c r="W60" s="1160"/>
      <c r="X60" s="1160"/>
      <c r="Y60" s="1160"/>
      <c r="Z60" s="731"/>
    </row>
    <row r="61" spans="1:28" ht="12.75" customHeight="1">
      <c r="A61" s="1493" t="s">
        <v>201</v>
      </c>
      <c r="B61" s="1494"/>
      <c r="C61" s="1494"/>
      <c r="D61" s="1494"/>
      <c r="E61" s="1494"/>
      <c r="F61" s="1494"/>
      <c r="G61" s="1494"/>
      <c r="H61" s="1494"/>
      <c r="I61" s="1494"/>
      <c r="J61" s="1494"/>
      <c r="K61" s="1494"/>
      <c r="L61" s="1494"/>
      <c r="M61" s="1494"/>
      <c r="N61" s="1494"/>
      <c r="O61" s="1494"/>
      <c r="P61" s="1494"/>
      <c r="Q61" s="1494"/>
      <c r="R61" s="1494"/>
      <c r="S61" s="1494"/>
      <c r="T61" s="1494"/>
      <c r="U61" s="1494"/>
      <c r="V61" s="1494"/>
      <c r="W61" s="1494"/>
      <c r="X61" s="1494"/>
      <c r="Y61" s="1513" t="s">
        <v>362</v>
      </c>
      <c r="Z61" s="731"/>
    </row>
    <row r="62" spans="1:28" ht="14.1" customHeight="1">
      <c r="A62" s="731"/>
      <c r="B62" s="731"/>
      <c r="C62" s="731"/>
      <c r="D62" s="731"/>
      <c r="E62" s="731"/>
      <c r="F62" s="731"/>
      <c r="G62" s="731"/>
      <c r="H62" s="731"/>
      <c r="I62" s="731"/>
      <c r="J62" s="731"/>
      <c r="K62" s="731"/>
      <c r="L62" s="731"/>
      <c r="M62" s="731"/>
      <c r="N62" s="731"/>
      <c r="O62" s="731"/>
      <c r="P62" s="731"/>
      <c r="Q62" s="731"/>
      <c r="R62" s="731"/>
      <c r="S62" s="731"/>
      <c r="T62" s="731"/>
      <c r="U62" s="731"/>
      <c r="V62" s="731"/>
      <c r="W62" s="731"/>
      <c r="X62" s="731"/>
      <c r="Y62" s="731"/>
      <c r="Z62" s="731"/>
    </row>
    <row r="63" spans="1:28">
      <c r="A63" s="731"/>
      <c r="B63" s="731"/>
      <c r="C63" s="731"/>
      <c r="D63" s="731"/>
      <c r="E63" s="731"/>
      <c r="F63" s="731"/>
      <c r="G63" s="731"/>
      <c r="H63" s="731"/>
      <c r="I63" s="731"/>
      <c r="J63" s="731"/>
      <c r="K63" s="731"/>
      <c r="L63" s="731"/>
      <c r="M63" s="731"/>
      <c r="N63" s="731"/>
      <c r="O63" s="731"/>
      <c r="P63" s="731"/>
      <c r="Q63" s="731"/>
      <c r="R63" s="731"/>
      <c r="S63" s="731"/>
      <c r="T63" s="731"/>
      <c r="U63" s="731"/>
      <c r="V63" s="1222"/>
      <c r="W63" s="1222"/>
      <c r="X63" s="1222"/>
      <c r="Y63" s="731"/>
      <c r="Z63" s="731"/>
    </row>
    <row r="64" spans="1:28">
      <c r="Y64" s="731"/>
      <c r="Z64" s="731"/>
    </row>
    <row r="65" spans="26:26">
      <c r="Z65" s="731"/>
    </row>
    <row r="66" spans="26:26">
      <c r="Z66" s="731"/>
    </row>
    <row r="67" spans="26:26">
      <c r="Z67" s="731"/>
    </row>
  </sheetData>
  <conditionalFormatting sqref="W21">
    <cfRule type="expression" dxfId="248" priority="1">
      <formula>LEFT(W$25,2)="4Q"</formula>
    </cfRule>
  </conditionalFormatting>
  <pageMargins left="0" right="0" top="0" bottom="0" header="0" footer="0"/>
  <pageSetup paperSize="5" scale="89" orientation="landscape" r:id="rId1"/>
  <headerFooter alignWithMargins="0"/>
  <colBreaks count="1" manualBreakCount="1">
    <brk id="19" max="60" man="1"/>
  </colBreaks>
  <ignoredErrors>
    <ignoredError sqref="W18:W23 W7:W16" formula="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enableFormatConditionsCalculation="0">
    <tabColor rgb="FF00B050"/>
    <pageSetUpPr fitToPage="1"/>
  </sheetPr>
  <dimension ref="A1:Y493"/>
  <sheetViews>
    <sheetView showGridLines="0" zoomScaleNormal="100" workbookViewId="0"/>
  </sheetViews>
  <sheetFormatPr defaultRowHeight="12.75"/>
  <cols>
    <col min="1" max="1" width="7" customWidth="1"/>
    <col min="2" max="22" width="17.85546875" customWidth="1"/>
    <col min="23" max="25" width="21.42578125" customWidth="1"/>
  </cols>
  <sheetData>
    <row r="1" spans="1:22" s="18" customFormat="1" ht="23.25">
      <c r="A1" s="25"/>
      <c r="B1" s="657" t="str">
        <f>Index!B1</f>
        <v>São Martinho</v>
      </c>
      <c r="C1" s="112"/>
      <c r="D1" s="170"/>
      <c r="E1" s="170"/>
      <c r="F1" s="170"/>
      <c r="G1" s="170"/>
      <c r="H1" s="170"/>
      <c r="I1" s="170"/>
      <c r="J1" s="170"/>
      <c r="K1" s="169"/>
      <c r="L1" s="169"/>
      <c r="M1" s="169"/>
      <c r="N1" s="169"/>
      <c r="O1" s="169"/>
      <c r="P1" s="169"/>
      <c r="Q1" s="169"/>
      <c r="R1" s="169"/>
      <c r="S1" s="169"/>
      <c r="T1" s="169"/>
      <c r="U1" s="169"/>
      <c r="V1" s="169"/>
    </row>
    <row r="2" spans="1:22" s="18" customFormat="1" ht="16.5" customHeight="1">
      <c r="A2" s="599"/>
      <c r="B2" s="606" t="s">
        <v>1101</v>
      </c>
      <c r="C2" s="171"/>
      <c r="D2" s="171"/>
      <c r="E2" s="171"/>
      <c r="F2" s="171"/>
      <c r="G2" s="171"/>
      <c r="H2" s="171"/>
      <c r="I2" s="171"/>
      <c r="J2" s="170"/>
      <c r="K2" s="169"/>
      <c r="L2" s="169"/>
      <c r="M2" s="169"/>
      <c r="N2" s="169"/>
      <c r="O2" s="169"/>
      <c r="P2" s="169"/>
      <c r="Q2" s="169"/>
      <c r="R2" s="169"/>
      <c r="S2" s="169"/>
      <c r="T2" s="169"/>
      <c r="U2" s="169"/>
      <c r="V2" s="665" t="s">
        <v>27</v>
      </c>
    </row>
    <row r="3" spans="1:22" s="18" customFormat="1" ht="8.25" customHeight="1" thickBot="1">
      <c r="A3" s="599"/>
    </row>
    <row r="4" spans="1:22" s="1128" customFormat="1" ht="12.75" customHeight="1">
      <c r="A4" s="2531"/>
      <c r="B4" s="2532" t="s">
        <v>1771</v>
      </c>
      <c r="C4" s="2533"/>
      <c r="D4" s="2534"/>
      <c r="E4" s="2522" t="s">
        <v>1772</v>
      </c>
      <c r="F4" s="2523"/>
      <c r="G4" s="2524"/>
      <c r="H4" s="2532" t="s">
        <v>199</v>
      </c>
      <c r="I4" s="2533"/>
      <c r="J4" s="2534"/>
      <c r="K4" s="2190" t="s">
        <v>1214</v>
      </c>
      <c r="L4" s="2191"/>
      <c r="M4" s="2191"/>
      <c r="N4" s="2191"/>
      <c r="P4" s="1353"/>
      <c r="Q4" s="1129"/>
      <c r="R4" s="1129"/>
      <c r="S4" s="1129"/>
      <c r="T4" s="1130"/>
      <c r="U4" s="1130"/>
      <c r="V4" s="1130"/>
    </row>
    <row r="5" spans="1:22" ht="12.75" customHeight="1">
      <c r="A5" s="2529"/>
      <c r="B5" s="2"/>
      <c r="C5" s="2"/>
      <c r="D5" s="2"/>
      <c r="E5" s="2"/>
      <c r="F5" s="2"/>
      <c r="G5" s="2"/>
      <c r="H5" s="1"/>
      <c r="I5" s="2"/>
      <c r="J5" s="2"/>
      <c r="K5" s="1467"/>
      <c r="L5" s="1467"/>
      <c r="M5" s="1467">
        <f>Financials!O4</f>
        <v>2017</v>
      </c>
      <c r="N5" s="1467"/>
      <c r="O5" s="31"/>
      <c r="P5" s="1354"/>
      <c r="Q5" s="3"/>
      <c r="R5" s="3"/>
      <c r="S5" s="3"/>
    </row>
    <row r="6" spans="1:22" ht="12.75" customHeight="1">
      <c r="A6" s="2529"/>
      <c r="B6" s="2"/>
      <c r="C6" s="2"/>
      <c r="D6" s="2"/>
      <c r="E6" s="2"/>
      <c r="F6" s="2"/>
      <c r="G6" s="2"/>
      <c r="H6" s="2"/>
      <c r="I6" s="2"/>
      <c r="J6" s="2"/>
      <c r="K6" s="31"/>
      <c r="L6" s="1352" t="s">
        <v>52</v>
      </c>
      <c r="M6" s="1352" t="s">
        <v>415</v>
      </c>
      <c r="N6" s="1352" t="s">
        <v>46</v>
      </c>
      <c r="O6" s="31"/>
      <c r="P6" s="1354"/>
      <c r="Q6" s="3"/>
      <c r="R6" s="3"/>
      <c r="S6" s="3"/>
    </row>
    <row r="7" spans="1:22" ht="12.75" customHeight="1">
      <c r="A7" s="2529"/>
      <c r="D7" s="2"/>
      <c r="E7" s="2"/>
      <c r="F7" s="2"/>
      <c r="G7" s="2"/>
      <c r="H7" s="2"/>
      <c r="I7" s="2"/>
      <c r="J7" s="2"/>
      <c r="K7" s="763" t="s">
        <v>49</v>
      </c>
      <c r="L7" s="1358">
        <f>1-M7</f>
        <v>0.46896345859375577</v>
      </c>
      <c r="M7" s="1359">
        <f>(Financials!O20*Financials!O37+Financials!O25*Financials!O38)/Financials!O36</f>
        <v>0.53103654140624423</v>
      </c>
      <c r="N7" s="1361"/>
      <c r="O7" s="41"/>
      <c r="P7" s="1354"/>
      <c r="Q7" s="3"/>
      <c r="R7" s="3"/>
      <c r="S7" s="3"/>
    </row>
    <row r="8" spans="1:22" ht="12.75" customHeight="1">
      <c r="A8" s="2529"/>
      <c r="D8" s="2"/>
      <c r="E8" s="2"/>
      <c r="F8" s="2"/>
      <c r="G8" s="2"/>
      <c r="H8" s="2"/>
      <c r="I8" s="2"/>
      <c r="J8" s="2"/>
      <c r="K8" s="763" t="s">
        <v>1184</v>
      </c>
      <c r="L8" s="1355" t="s">
        <v>963</v>
      </c>
      <c r="M8" s="1355">
        <v>0.3</v>
      </c>
      <c r="N8" s="1355" t="s">
        <v>963</v>
      </c>
      <c r="O8" s="41"/>
      <c r="P8" s="1356"/>
      <c r="Q8" s="4"/>
      <c r="R8" s="5"/>
      <c r="S8" s="4"/>
    </row>
    <row r="9" spans="1:22" ht="12.75" customHeight="1">
      <c r="A9" s="2529"/>
      <c r="D9" s="2"/>
      <c r="E9" s="2"/>
      <c r="F9" s="2"/>
      <c r="G9" s="86"/>
      <c r="H9" s="2"/>
      <c r="I9" s="2"/>
      <c r="J9" s="2"/>
      <c r="K9" s="763" t="s">
        <v>219</v>
      </c>
      <c r="L9" s="1355" t="s">
        <v>963</v>
      </c>
      <c r="M9" s="1355" t="s">
        <v>963</v>
      </c>
      <c r="N9" s="1355" t="s">
        <v>963</v>
      </c>
      <c r="O9" s="41"/>
      <c r="P9" s="1356"/>
      <c r="Q9" s="4"/>
      <c r="R9" s="5"/>
      <c r="S9" s="4"/>
    </row>
    <row r="10" spans="1:22" ht="12.75" customHeight="1">
      <c r="A10" s="2529"/>
      <c r="B10" s="2"/>
      <c r="C10" s="2"/>
      <c r="D10" s="2"/>
      <c r="G10" s="2"/>
      <c r="H10" s="2"/>
      <c r="I10" s="2"/>
      <c r="J10" s="2"/>
      <c r="K10" s="763" t="s">
        <v>417</v>
      </c>
      <c r="L10" s="1355" t="s">
        <v>963</v>
      </c>
      <c r="M10" s="1355">
        <v>0.3</v>
      </c>
      <c r="N10" s="1355" t="s">
        <v>963</v>
      </c>
      <c r="O10" s="41"/>
      <c r="P10" s="1354"/>
      <c r="Q10" s="3"/>
      <c r="R10" s="3"/>
      <c r="S10" s="3"/>
    </row>
    <row r="11" spans="1:22" ht="12.75" customHeight="1">
      <c r="A11" s="2529"/>
      <c r="B11" s="2"/>
      <c r="C11" s="2"/>
      <c r="D11" s="2"/>
      <c r="G11" s="2"/>
      <c r="H11" s="2"/>
      <c r="I11" s="2"/>
      <c r="J11" s="2"/>
      <c r="K11" s="763" t="s">
        <v>1185</v>
      </c>
      <c r="L11" s="1355">
        <f>100%-M11</f>
        <v>0.9463550931435909</v>
      </c>
      <c r="M11" s="1355">
        <f>62.878/(Q_Financials!AS48+Q_Financials!AS49)</f>
        <v>5.3644906856409137E-2</v>
      </c>
      <c r="N11" s="1355">
        <v>0</v>
      </c>
      <c r="O11" s="41" t="s">
        <v>1701</v>
      </c>
      <c r="P11" s="1354"/>
      <c r="Q11" s="3"/>
      <c r="R11" s="3"/>
      <c r="S11" s="3"/>
    </row>
    <row r="12" spans="1:22" ht="12.75" customHeight="1">
      <c r="A12" s="2529"/>
      <c r="B12" s="2"/>
      <c r="C12" s="2"/>
      <c r="D12" s="2"/>
      <c r="G12" s="2"/>
      <c r="H12" s="2"/>
      <c r="I12" s="2"/>
      <c r="J12" s="2"/>
      <c r="K12" s="763" t="s">
        <v>1186</v>
      </c>
      <c r="L12" s="1355">
        <f>100%-M12</f>
        <v>0.63896067022240821</v>
      </c>
      <c r="M12" s="1355">
        <f>(1342.793)/(Q_Financials!AS68+Q_Financials!AS77)</f>
        <v>0.36103932977759179</v>
      </c>
      <c r="N12" s="1355">
        <v>0</v>
      </c>
      <c r="O12" s="41" t="str">
        <f>O11</f>
        <v>(As of March 31, 2017 i.e. 4Q2017)</v>
      </c>
      <c r="P12" s="1354"/>
      <c r="Q12" s="3"/>
      <c r="R12" s="3"/>
      <c r="S12" s="3"/>
    </row>
    <row r="13" spans="1:22" ht="12.75" customHeight="1">
      <c r="A13" s="2529"/>
      <c r="B13" s="2"/>
      <c r="C13" s="2"/>
      <c r="D13" s="2"/>
      <c r="E13" s="2"/>
      <c r="F13" s="2"/>
      <c r="G13" s="2"/>
      <c r="H13" s="2"/>
      <c r="I13" s="2"/>
      <c r="J13" s="2"/>
      <c r="K13" s="31"/>
      <c r="L13" s="41"/>
      <c r="M13" s="41"/>
      <c r="N13" s="41"/>
      <c r="O13" s="41"/>
      <c r="P13" s="1354"/>
      <c r="Q13" s="3"/>
      <c r="R13" s="3"/>
      <c r="S13" s="3"/>
    </row>
    <row r="14" spans="1:22" ht="12.75" customHeight="1">
      <c r="A14" s="2529"/>
      <c r="B14" s="2"/>
      <c r="C14" s="2"/>
      <c r="D14" s="2"/>
      <c r="E14" s="2"/>
      <c r="F14" s="2"/>
      <c r="G14" s="2"/>
      <c r="H14" s="2"/>
      <c r="I14" s="2"/>
      <c r="J14" s="2"/>
      <c r="K14" s="31" t="s">
        <v>1187</v>
      </c>
      <c r="L14" s="1360" t="s">
        <v>1188</v>
      </c>
      <c r="M14" s="41"/>
      <c r="N14" s="41"/>
      <c r="O14" s="41"/>
      <c r="P14" s="1354"/>
      <c r="Q14" s="3"/>
      <c r="R14" s="3"/>
      <c r="S14" s="3"/>
    </row>
    <row r="15" spans="1:22" ht="12.75" customHeight="1">
      <c r="A15" s="2529"/>
      <c r="B15" s="2"/>
      <c r="C15" s="2"/>
      <c r="D15" s="2"/>
      <c r="E15" s="2"/>
      <c r="F15" s="2"/>
      <c r="G15" s="2"/>
      <c r="H15" s="2"/>
      <c r="I15" s="2"/>
      <c r="J15" s="2"/>
      <c r="K15" s="31"/>
      <c r="L15" s="41"/>
      <c r="M15" s="41"/>
      <c r="N15" s="41"/>
      <c r="O15" s="41"/>
      <c r="P15" s="1354"/>
      <c r="Q15" s="3"/>
      <c r="R15" s="3"/>
      <c r="S15" s="3"/>
    </row>
    <row r="16" spans="1:22" ht="12.75" customHeight="1">
      <c r="A16" s="2529"/>
      <c r="B16" s="2"/>
      <c r="C16" s="2"/>
      <c r="D16" s="2"/>
      <c r="E16" s="2"/>
      <c r="F16" s="2"/>
      <c r="G16" s="2"/>
      <c r="H16" s="2"/>
      <c r="I16" s="2"/>
      <c r="J16" s="2"/>
      <c r="K16" s="1357" t="s">
        <v>1702</v>
      </c>
      <c r="L16" s="41"/>
      <c r="M16" s="41"/>
      <c r="N16" s="41"/>
      <c r="O16" s="41"/>
      <c r="P16" s="1354"/>
      <c r="Q16" s="3"/>
      <c r="R16" s="3"/>
      <c r="S16" s="3"/>
    </row>
    <row r="17" spans="1:19" ht="12.75" customHeight="1">
      <c r="A17" s="2529"/>
      <c r="B17" s="2"/>
      <c r="C17" s="2"/>
      <c r="D17" s="2"/>
      <c r="E17" s="2"/>
      <c r="F17" s="2"/>
      <c r="G17" s="2"/>
      <c r="H17" s="2"/>
      <c r="I17" s="2"/>
      <c r="J17" s="2"/>
      <c r="K17" s="31"/>
      <c r="L17" s="31"/>
      <c r="M17" s="31"/>
      <c r="N17" s="86"/>
      <c r="O17" s="1354"/>
      <c r="P17" s="1354"/>
      <c r="Q17" s="3"/>
      <c r="R17" s="3"/>
      <c r="S17" s="3"/>
    </row>
    <row r="18" spans="1:19" ht="12.75" customHeight="1">
      <c r="A18" s="2529"/>
      <c r="B18" s="2"/>
      <c r="C18" s="2"/>
      <c r="D18" s="2"/>
      <c r="E18" s="2"/>
      <c r="F18" s="2"/>
      <c r="G18" s="2"/>
      <c r="H18" s="2"/>
      <c r="I18" s="2"/>
      <c r="J18" s="2"/>
      <c r="N18" s="2"/>
      <c r="O18" s="3"/>
      <c r="P18" s="3"/>
      <c r="Q18" s="3"/>
      <c r="R18" s="3"/>
      <c r="S18" s="3"/>
    </row>
    <row r="19" spans="1:19" ht="12.75" customHeight="1">
      <c r="A19" s="2529"/>
      <c r="B19" s="2"/>
      <c r="C19" s="2"/>
      <c r="D19" s="2"/>
      <c r="E19" s="2"/>
      <c r="F19" s="2"/>
      <c r="G19" s="2"/>
      <c r="H19" s="2"/>
      <c r="I19" s="2"/>
      <c r="J19" s="2"/>
      <c r="N19" s="2"/>
      <c r="O19" s="3"/>
      <c r="P19" s="3"/>
      <c r="Q19" s="3"/>
      <c r="R19" s="3"/>
      <c r="S19" s="3"/>
    </row>
    <row r="20" spans="1:19" ht="12.75" customHeight="1">
      <c r="A20" s="2529"/>
      <c r="B20" s="2"/>
      <c r="C20" s="2"/>
      <c r="D20" s="2"/>
      <c r="E20" s="2"/>
      <c r="F20" s="2"/>
      <c r="G20" s="2"/>
      <c r="H20" s="2"/>
      <c r="I20" s="2"/>
      <c r="J20" s="2"/>
      <c r="N20" s="2"/>
      <c r="O20" s="3"/>
      <c r="P20" s="3"/>
      <c r="Q20" s="3"/>
      <c r="R20" s="3"/>
      <c r="S20" s="3"/>
    </row>
    <row r="21" spans="1:19" ht="12.75" customHeight="1">
      <c r="A21" s="2529"/>
      <c r="B21" s="2"/>
      <c r="C21" s="2"/>
      <c r="D21" s="2"/>
      <c r="E21" s="2"/>
      <c r="F21" s="2"/>
      <c r="G21" s="2"/>
      <c r="H21" s="2"/>
      <c r="I21" s="2"/>
      <c r="J21" s="2"/>
      <c r="N21" s="2"/>
      <c r="O21" s="3"/>
      <c r="P21" s="3"/>
      <c r="Q21" s="3"/>
      <c r="R21" s="3"/>
      <c r="S21" s="3"/>
    </row>
    <row r="22" spans="1:19" ht="12.75" customHeight="1">
      <c r="A22" s="2529"/>
      <c r="B22" s="2"/>
      <c r="C22" s="2"/>
      <c r="D22" s="2"/>
      <c r="E22" s="2"/>
      <c r="F22" s="2"/>
      <c r="G22" s="2"/>
      <c r="H22" s="2"/>
      <c r="I22" s="2"/>
      <c r="J22" s="2"/>
      <c r="N22" s="2"/>
      <c r="O22" s="3"/>
      <c r="P22" s="3"/>
      <c r="Q22" s="3"/>
      <c r="R22" s="3"/>
      <c r="S22" s="3"/>
    </row>
    <row r="23" spans="1:19" ht="12.75" customHeight="1">
      <c r="A23" s="2529"/>
      <c r="B23" s="2"/>
      <c r="C23" s="2"/>
      <c r="D23" s="2"/>
      <c r="E23" s="2"/>
      <c r="F23" s="2"/>
      <c r="G23" s="2"/>
      <c r="H23" s="2"/>
      <c r="I23" s="2"/>
      <c r="J23" s="2"/>
      <c r="N23" s="2"/>
      <c r="O23" s="3"/>
      <c r="P23" s="3"/>
      <c r="Q23" s="3"/>
      <c r="R23" s="3"/>
      <c r="S23" s="3"/>
    </row>
    <row r="24" spans="1:19" ht="12.75" customHeight="1" thickBot="1">
      <c r="A24" s="2530"/>
      <c r="B24" s="2"/>
      <c r="C24" s="2"/>
      <c r="D24" s="2"/>
      <c r="E24" s="2"/>
      <c r="F24" s="2"/>
      <c r="G24" s="2"/>
      <c r="N24" s="3"/>
      <c r="O24" s="3"/>
      <c r="P24" s="3"/>
      <c r="Q24" s="3"/>
      <c r="R24" s="3"/>
      <c r="S24" s="3"/>
    </row>
    <row r="25" spans="1:19" s="1128" customFormat="1" ht="12.75" customHeight="1">
      <c r="A25" s="2528" t="s">
        <v>51</v>
      </c>
      <c r="B25" s="2522" t="s">
        <v>1773</v>
      </c>
      <c r="C25" s="2523"/>
      <c r="D25" s="2524"/>
      <c r="E25" s="2522" t="s">
        <v>1772</v>
      </c>
      <c r="F25" s="2523"/>
      <c r="G25" s="2524"/>
      <c r="H25" s="2522" t="s">
        <v>1774</v>
      </c>
      <c r="I25" s="2523"/>
      <c r="J25" s="2524"/>
      <c r="N25" s="1131"/>
      <c r="O25" s="1131"/>
      <c r="P25" s="1131"/>
      <c r="Q25" s="1131"/>
      <c r="R25" s="1131"/>
      <c r="S25" s="1131"/>
    </row>
    <row r="26" spans="1:19" ht="12.75" customHeight="1">
      <c r="A26" s="2529"/>
      <c r="B26" s="2"/>
      <c r="C26" s="2"/>
      <c r="D26" s="2"/>
      <c r="E26" s="2"/>
      <c r="F26" s="2"/>
      <c r="G26" s="2"/>
      <c r="H26" s="2"/>
      <c r="I26" s="2"/>
      <c r="J26" s="2"/>
      <c r="N26" s="3"/>
      <c r="O26" s="3"/>
      <c r="P26" s="3"/>
      <c r="Q26" s="3"/>
      <c r="R26" s="3"/>
      <c r="S26" s="3"/>
    </row>
    <row r="27" spans="1:19" ht="12.75" customHeight="1">
      <c r="A27" s="2529"/>
      <c r="B27" s="2"/>
      <c r="C27" s="2"/>
      <c r="D27" s="2"/>
      <c r="E27" s="2"/>
      <c r="F27" s="2"/>
      <c r="G27" s="2"/>
      <c r="H27" s="2"/>
      <c r="I27" s="2"/>
      <c r="J27" s="2"/>
      <c r="N27" s="3"/>
      <c r="O27" s="3"/>
      <c r="P27" s="3"/>
      <c r="Q27" s="3"/>
      <c r="R27" s="3"/>
      <c r="S27" s="3"/>
    </row>
    <row r="28" spans="1:19" ht="13.5" customHeight="1">
      <c r="A28" s="2529"/>
      <c r="B28" s="2"/>
      <c r="C28" s="2"/>
      <c r="D28" s="2"/>
      <c r="E28" s="2"/>
      <c r="F28" s="2"/>
      <c r="G28" s="2"/>
      <c r="H28" s="2"/>
      <c r="I28" s="2"/>
      <c r="J28" s="2"/>
      <c r="N28" s="3"/>
      <c r="O28" s="3"/>
      <c r="P28" s="3"/>
      <c r="Q28" s="3"/>
      <c r="R28" s="3"/>
      <c r="S28" s="3"/>
    </row>
    <row r="29" spans="1:19" ht="13.5" customHeight="1">
      <c r="A29" s="2529"/>
      <c r="B29" s="1"/>
      <c r="E29" s="2"/>
      <c r="F29" s="2"/>
      <c r="G29" s="2"/>
      <c r="J29" s="2"/>
      <c r="N29" s="3"/>
      <c r="O29" s="3"/>
      <c r="P29" s="3"/>
      <c r="Q29" s="3"/>
      <c r="R29" s="3"/>
      <c r="S29" s="3"/>
    </row>
    <row r="30" spans="1:19" ht="12.75" customHeight="1">
      <c r="A30" s="2529"/>
      <c r="E30" s="2"/>
      <c r="F30" s="2"/>
      <c r="G30" s="2"/>
      <c r="J30" s="2"/>
      <c r="N30" s="3"/>
      <c r="O30" s="3"/>
      <c r="P30" s="3"/>
      <c r="Q30" s="3"/>
      <c r="R30" s="3"/>
      <c r="S30" s="3"/>
    </row>
    <row r="31" spans="1:19" ht="12.75" customHeight="1">
      <c r="A31" s="2529"/>
      <c r="E31" s="2"/>
      <c r="F31" s="2"/>
      <c r="G31" s="2"/>
      <c r="J31" s="2"/>
      <c r="N31" s="3"/>
      <c r="O31" s="3"/>
      <c r="P31" s="3"/>
      <c r="Q31" s="3"/>
      <c r="R31" s="3"/>
      <c r="S31" s="3"/>
    </row>
    <row r="32" spans="1:19" ht="12.75" customHeight="1">
      <c r="A32" s="2529"/>
      <c r="E32" s="2"/>
      <c r="F32" s="2"/>
      <c r="G32" s="2"/>
      <c r="J32" s="2"/>
      <c r="N32" s="3"/>
      <c r="O32" s="3"/>
      <c r="P32" s="3"/>
      <c r="Q32" s="3"/>
      <c r="R32" s="3"/>
      <c r="S32" s="3"/>
    </row>
    <row r="33" spans="1:23" ht="12.75" customHeight="1">
      <c r="A33" s="2529"/>
      <c r="E33" s="2"/>
      <c r="F33" s="2"/>
      <c r="G33" s="2"/>
      <c r="N33" s="3"/>
      <c r="O33" s="3"/>
      <c r="P33" s="3"/>
      <c r="Q33" s="3"/>
      <c r="R33" s="3"/>
      <c r="S33" s="3"/>
    </row>
    <row r="34" spans="1:23" ht="12.75" customHeight="1">
      <c r="A34" s="2529"/>
      <c r="E34" s="2"/>
      <c r="F34" s="2"/>
      <c r="G34" s="2"/>
      <c r="N34" s="3"/>
      <c r="O34" s="3"/>
      <c r="P34" s="3"/>
      <c r="Q34" s="3"/>
      <c r="R34" s="3"/>
      <c r="S34" s="3"/>
    </row>
    <row r="35" spans="1:23" ht="12.75" customHeight="1">
      <c r="A35" s="2529"/>
      <c r="B35" s="2"/>
      <c r="C35" s="2"/>
      <c r="D35" s="2"/>
      <c r="E35" s="2"/>
      <c r="F35" s="2"/>
      <c r="G35" s="2"/>
      <c r="N35" s="3"/>
      <c r="O35" s="3"/>
      <c r="P35" s="3"/>
      <c r="Q35" s="3"/>
      <c r="R35" s="3"/>
      <c r="S35" s="3"/>
    </row>
    <row r="36" spans="1:23" ht="12.75" customHeight="1">
      <c r="A36" s="2529"/>
      <c r="B36" s="2"/>
      <c r="C36" s="2"/>
      <c r="D36" s="2"/>
      <c r="E36" s="2"/>
      <c r="F36" s="2"/>
      <c r="G36" s="2"/>
      <c r="H36" s="2"/>
      <c r="I36" s="2"/>
      <c r="J36" s="2"/>
      <c r="N36" s="3"/>
      <c r="O36" s="3"/>
      <c r="P36" s="3"/>
      <c r="Q36" s="3"/>
      <c r="R36" s="3"/>
      <c r="S36" s="3"/>
    </row>
    <row r="37" spans="1:23" ht="12.75" customHeight="1">
      <c r="A37" s="2529"/>
      <c r="B37" s="2"/>
      <c r="C37" s="2"/>
      <c r="D37" s="2"/>
      <c r="E37" s="2"/>
      <c r="F37" s="2"/>
      <c r="G37" s="2"/>
      <c r="H37" s="2"/>
      <c r="I37" s="2"/>
      <c r="J37" s="2"/>
      <c r="N37" s="3"/>
      <c r="O37" s="3"/>
      <c r="P37" s="3"/>
      <c r="Q37" s="3"/>
      <c r="R37" s="3"/>
      <c r="S37" s="3"/>
    </row>
    <row r="38" spans="1:23" ht="12.75" customHeight="1">
      <c r="A38" s="2529"/>
      <c r="B38" s="2"/>
      <c r="C38" s="2"/>
      <c r="D38" s="2"/>
      <c r="E38" s="2"/>
      <c r="F38" s="2"/>
      <c r="G38" s="2"/>
      <c r="H38" s="2"/>
      <c r="I38" s="2"/>
      <c r="J38" s="2"/>
      <c r="K38" s="2"/>
      <c r="L38" s="2"/>
      <c r="M38" s="2"/>
      <c r="N38" s="3"/>
      <c r="O38" s="3"/>
      <c r="P38" s="3"/>
      <c r="Q38" s="3"/>
      <c r="R38" s="3"/>
      <c r="S38" s="3"/>
    </row>
    <row r="39" spans="1:23" ht="12.75" customHeight="1">
      <c r="A39" s="2529"/>
      <c r="B39" s="2"/>
      <c r="C39" s="2"/>
      <c r="D39" s="2"/>
      <c r="E39" s="2"/>
      <c r="F39" s="2"/>
      <c r="G39" s="2"/>
      <c r="H39" s="2"/>
      <c r="I39" s="2"/>
      <c r="J39" s="2"/>
      <c r="K39" s="2"/>
      <c r="L39" s="2"/>
      <c r="M39" s="2"/>
      <c r="N39" s="3"/>
      <c r="O39" s="3"/>
      <c r="P39" s="3"/>
      <c r="Q39" s="3"/>
      <c r="R39" s="3"/>
      <c r="S39" s="3"/>
    </row>
    <row r="40" spans="1:23" ht="12.75" customHeight="1">
      <c r="A40" s="2529"/>
      <c r="B40" s="2"/>
      <c r="C40" s="2"/>
      <c r="D40" s="2"/>
      <c r="E40" s="2"/>
      <c r="F40" s="2"/>
      <c r="G40" s="2"/>
      <c r="H40" s="2"/>
      <c r="I40" s="2"/>
      <c r="J40" s="2"/>
      <c r="K40" s="2"/>
      <c r="L40" s="2"/>
      <c r="M40" s="2"/>
      <c r="N40" s="3"/>
      <c r="O40" s="3"/>
      <c r="P40" s="3"/>
      <c r="Q40" s="3"/>
      <c r="R40" s="3"/>
      <c r="S40" s="3"/>
    </row>
    <row r="41" spans="1:23" ht="12.75" customHeight="1">
      <c r="A41" s="2529"/>
      <c r="B41" s="2"/>
      <c r="C41" s="2"/>
      <c r="D41" s="2"/>
      <c r="E41" s="2"/>
      <c r="F41" s="2"/>
      <c r="G41" s="2"/>
      <c r="H41" s="2"/>
      <c r="I41" s="2"/>
      <c r="J41" s="2"/>
      <c r="K41" s="2"/>
      <c r="L41" s="2"/>
      <c r="M41" s="2"/>
      <c r="N41" s="3"/>
      <c r="O41" s="3"/>
      <c r="P41" s="3"/>
      <c r="Q41" s="3"/>
      <c r="R41" s="3"/>
      <c r="S41" s="3"/>
    </row>
    <row r="42" spans="1:23" ht="12.75" customHeight="1">
      <c r="A42" s="2529"/>
      <c r="B42" s="2"/>
      <c r="C42" s="2"/>
      <c r="D42" s="2"/>
      <c r="E42" s="2"/>
      <c r="F42" s="2"/>
      <c r="G42" s="2"/>
      <c r="H42" s="2"/>
      <c r="I42" s="2"/>
      <c r="J42" s="2"/>
      <c r="K42" s="2"/>
      <c r="L42" s="2"/>
      <c r="M42" s="2"/>
      <c r="N42" s="3"/>
      <c r="O42" s="3"/>
      <c r="P42" s="3"/>
      <c r="Q42" s="3"/>
      <c r="R42" s="3"/>
      <c r="S42" s="3"/>
    </row>
    <row r="43" spans="1:23" ht="12.75" customHeight="1">
      <c r="A43" s="2529"/>
      <c r="B43" s="2"/>
      <c r="C43" s="2"/>
      <c r="D43" s="2"/>
      <c r="E43" s="2"/>
      <c r="F43" s="2"/>
      <c r="G43" s="2"/>
      <c r="H43" s="2"/>
      <c r="I43" s="2"/>
      <c r="J43" s="2"/>
      <c r="K43" s="2"/>
      <c r="L43" s="2"/>
      <c r="M43" s="2"/>
      <c r="N43" s="3"/>
      <c r="O43" s="3"/>
      <c r="P43" s="3"/>
      <c r="Q43" s="3"/>
      <c r="R43" s="3"/>
      <c r="S43" s="3"/>
    </row>
    <row r="44" spans="1:23" ht="12.75" customHeight="1">
      <c r="A44" s="2529"/>
      <c r="B44" s="2"/>
      <c r="C44" s="2"/>
      <c r="D44" s="2"/>
      <c r="E44" s="2"/>
      <c r="F44" s="2"/>
      <c r="G44" s="2"/>
      <c r="H44" s="2"/>
      <c r="I44" s="2"/>
      <c r="J44" s="2"/>
      <c r="K44" s="2"/>
      <c r="L44" s="2"/>
      <c r="M44" s="2"/>
      <c r="N44" s="3"/>
      <c r="O44" s="3"/>
      <c r="P44" s="3"/>
      <c r="Q44" s="3"/>
      <c r="R44" s="3"/>
      <c r="S44" s="3"/>
    </row>
    <row r="45" spans="1:23" ht="12.75" customHeight="1" thickBot="1">
      <c r="A45" s="2530"/>
      <c r="E45" s="2"/>
      <c r="F45" s="2"/>
      <c r="G45" s="2"/>
      <c r="H45" s="2"/>
      <c r="I45" s="2"/>
      <c r="J45" s="2"/>
      <c r="K45" s="2"/>
      <c r="L45" s="2"/>
      <c r="M45" s="2"/>
      <c r="N45" s="2"/>
      <c r="O45" s="3"/>
      <c r="P45" s="2"/>
      <c r="Q45" s="2"/>
      <c r="R45" s="2"/>
      <c r="S45" s="2"/>
    </row>
    <row r="46" spans="1:23" s="1128" customFormat="1" ht="12.75" customHeight="1">
      <c r="A46" s="2528" t="s">
        <v>56</v>
      </c>
      <c r="B46" s="2522" t="s">
        <v>577</v>
      </c>
      <c r="C46" s="2523"/>
      <c r="D46" s="2524"/>
      <c r="E46" s="2522" t="s">
        <v>57</v>
      </c>
      <c r="F46" s="2523"/>
      <c r="G46" s="2524"/>
      <c r="H46" s="2522" t="s">
        <v>58</v>
      </c>
      <c r="I46" s="2523"/>
      <c r="J46" s="2524"/>
      <c r="K46" s="2522" t="s">
        <v>59</v>
      </c>
      <c r="L46" s="2523"/>
      <c r="M46" s="2524"/>
      <c r="N46" s="1132"/>
      <c r="O46" s="1131"/>
      <c r="P46" s="1132"/>
      <c r="Q46" s="1132"/>
      <c r="R46" s="1132"/>
      <c r="S46" s="1132"/>
    </row>
    <row r="47" spans="1:23" ht="12.75" customHeight="1">
      <c r="A47" s="2529"/>
      <c r="B47" s="94" t="s">
        <v>1197</v>
      </c>
      <c r="C47" s="2"/>
      <c r="D47" s="2"/>
      <c r="E47" s="94" t="s">
        <v>1197</v>
      </c>
      <c r="F47" s="2"/>
      <c r="G47" s="2"/>
      <c r="H47" s="94" t="s">
        <v>1197</v>
      </c>
      <c r="I47" s="2"/>
      <c r="J47" s="2"/>
      <c r="K47" s="94" t="s">
        <v>1197</v>
      </c>
      <c r="L47" s="1"/>
      <c r="M47" s="1"/>
      <c r="N47" s="94" t="s">
        <v>1197</v>
      </c>
      <c r="O47" s="2"/>
      <c r="P47" s="2"/>
      <c r="Q47" s="94" t="s">
        <v>1197</v>
      </c>
      <c r="R47" s="2"/>
      <c r="S47" s="2"/>
      <c r="T47" s="94" t="s">
        <v>1197</v>
      </c>
      <c r="U47" s="2"/>
      <c r="V47" s="2"/>
      <c r="W47" s="94" t="s">
        <v>1197</v>
      </c>
    </row>
    <row r="48" spans="1:23" ht="12.75" customHeight="1">
      <c r="A48" s="2529"/>
      <c r="B48" s="1"/>
      <c r="C48" s="1"/>
      <c r="D48" s="1"/>
      <c r="E48" s="1"/>
      <c r="F48" s="1"/>
      <c r="G48" s="1"/>
      <c r="H48" s="1"/>
      <c r="I48" s="1"/>
      <c r="J48" s="1"/>
      <c r="K48" s="1"/>
      <c r="L48" s="1"/>
      <c r="M48" s="1"/>
      <c r="N48" s="2"/>
      <c r="O48" s="3"/>
      <c r="P48" s="2"/>
      <c r="Q48" s="2"/>
      <c r="R48" s="2"/>
      <c r="S48" s="2"/>
    </row>
    <row r="49" spans="1:19" ht="12.75" customHeight="1">
      <c r="A49" s="2529"/>
      <c r="B49" s="1"/>
      <c r="C49" s="1"/>
      <c r="D49" s="1"/>
      <c r="E49" s="1"/>
      <c r="F49" s="1"/>
      <c r="G49" s="1"/>
      <c r="H49" s="1"/>
      <c r="I49" s="1"/>
      <c r="J49" s="1"/>
      <c r="K49" s="1"/>
      <c r="L49" s="1"/>
      <c r="M49" s="1"/>
      <c r="N49" s="2"/>
      <c r="O49" s="3"/>
      <c r="P49" s="2"/>
      <c r="Q49" s="2"/>
      <c r="R49" s="2"/>
      <c r="S49" s="2"/>
    </row>
    <row r="50" spans="1:19" ht="12.75" customHeight="1">
      <c r="A50" s="2529"/>
      <c r="B50" s="1"/>
      <c r="C50" s="1"/>
      <c r="D50" s="1"/>
      <c r="E50" s="1"/>
      <c r="F50" s="1"/>
      <c r="G50" s="1"/>
      <c r="H50" s="1"/>
      <c r="I50" s="1"/>
      <c r="J50" s="1"/>
      <c r="K50" s="1"/>
      <c r="L50" s="1"/>
      <c r="M50" s="1"/>
      <c r="N50" s="2"/>
      <c r="O50" s="3"/>
      <c r="P50" s="2"/>
      <c r="Q50" s="2"/>
      <c r="R50" s="2"/>
      <c r="S50" s="2"/>
    </row>
    <row r="51" spans="1:19" ht="12.75" customHeight="1">
      <c r="A51" s="2529"/>
      <c r="B51" s="1"/>
      <c r="C51" s="1"/>
      <c r="D51" s="1"/>
      <c r="E51" s="1"/>
      <c r="F51" s="1"/>
      <c r="G51" s="1"/>
      <c r="H51" s="1"/>
      <c r="I51" s="1"/>
      <c r="J51" s="1"/>
      <c r="K51" s="1"/>
      <c r="L51" s="1"/>
      <c r="M51" s="1"/>
      <c r="N51" s="2"/>
      <c r="O51" s="3"/>
      <c r="P51" s="2"/>
      <c r="Q51" s="2"/>
      <c r="R51" s="2"/>
      <c r="S51" s="2"/>
    </row>
    <row r="52" spans="1:19" ht="12.75" customHeight="1">
      <c r="A52" s="2529"/>
      <c r="B52" s="1"/>
      <c r="C52" s="1"/>
      <c r="D52" s="1"/>
      <c r="E52" s="1"/>
      <c r="F52" s="1"/>
      <c r="G52" s="1"/>
      <c r="H52" s="1"/>
      <c r="I52" s="1"/>
      <c r="J52" s="1"/>
      <c r="K52" s="1"/>
      <c r="L52" s="1"/>
      <c r="M52" s="1"/>
      <c r="N52" s="2"/>
      <c r="O52" s="2"/>
      <c r="P52" s="2"/>
      <c r="Q52" s="2"/>
      <c r="R52" s="2"/>
      <c r="S52" s="2"/>
    </row>
    <row r="53" spans="1:19" ht="12.75" customHeight="1">
      <c r="A53" s="2529"/>
      <c r="B53" s="1"/>
      <c r="C53" s="1"/>
      <c r="D53" s="1"/>
      <c r="E53" s="1"/>
      <c r="F53" s="1"/>
      <c r="G53" s="1"/>
      <c r="H53" s="1"/>
      <c r="I53" s="1"/>
      <c r="J53" s="1"/>
      <c r="K53" s="1"/>
      <c r="L53" s="1"/>
      <c r="M53" s="1"/>
      <c r="N53" s="2"/>
      <c r="O53" s="2"/>
      <c r="P53" s="2"/>
      <c r="Q53" s="2"/>
      <c r="R53" s="2"/>
      <c r="S53" s="2"/>
    </row>
    <row r="54" spans="1:19" ht="12.75" customHeight="1">
      <c r="A54" s="2529"/>
      <c r="B54" s="1"/>
      <c r="C54" s="1"/>
      <c r="D54" s="1"/>
      <c r="E54" s="1"/>
      <c r="F54" s="1"/>
      <c r="G54" s="1"/>
      <c r="H54" s="1"/>
      <c r="I54" s="1"/>
      <c r="J54" s="1"/>
      <c r="K54" s="1"/>
      <c r="L54" s="1"/>
      <c r="M54" s="1"/>
      <c r="N54" s="2"/>
      <c r="O54" s="2"/>
      <c r="P54" s="2"/>
      <c r="Q54" s="2"/>
      <c r="R54" s="2"/>
      <c r="S54" s="2"/>
    </row>
    <row r="55" spans="1:19" ht="12.75" customHeight="1">
      <c r="A55" s="2529"/>
      <c r="B55" s="1"/>
      <c r="C55" s="1"/>
      <c r="D55" s="1"/>
      <c r="E55" s="1"/>
      <c r="F55" s="1"/>
      <c r="G55" s="1"/>
      <c r="H55" s="1"/>
      <c r="I55" s="1"/>
      <c r="J55" s="1"/>
      <c r="K55" s="1"/>
      <c r="L55" s="1"/>
      <c r="M55" s="1"/>
      <c r="N55" s="2"/>
      <c r="O55" s="2"/>
      <c r="P55" s="2"/>
      <c r="Q55" s="2"/>
      <c r="R55" s="2"/>
      <c r="S55" s="2"/>
    </row>
    <row r="56" spans="1:19" ht="12.75" customHeight="1">
      <c r="A56" s="2529"/>
      <c r="B56" s="1"/>
      <c r="C56" s="1"/>
      <c r="D56" s="1"/>
      <c r="E56" s="1"/>
      <c r="F56" s="1"/>
      <c r="G56" s="1"/>
      <c r="H56" s="1"/>
      <c r="I56" s="1"/>
      <c r="J56" s="1"/>
      <c r="K56" s="1"/>
      <c r="L56" s="1"/>
      <c r="M56" s="1"/>
      <c r="N56" s="2"/>
      <c r="O56" s="2"/>
      <c r="P56" s="2"/>
      <c r="Q56" s="2"/>
      <c r="R56" s="2"/>
      <c r="S56" s="2"/>
    </row>
    <row r="57" spans="1:19" ht="12.75" customHeight="1">
      <c r="A57" s="2529"/>
      <c r="B57" s="1"/>
      <c r="C57" s="1"/>
      <c r="D57" s="1"/>
      <c r="E57" s="1"/>
      <c r="F57" s="1"/>
      <c r="G57" s="1"/>
      <c r="H57" s="1"/>
      <c r="I57" s="1"/>
      <c r="J57" s="1"/>
      <c r="K57" s="1"/>
      <c r="L57" s="1"/>
      <c r="M57" s="1"/>
      <c r="N57" s="2"/>
      <c r="O57" s="2"/>
      <c r="P57" s="2"/>
      <c r="Q57" s="2"/>
      <c r="R57" s="2"/>
      <c r="S57" s="2"/>
    </row>
    <row r="58" spans="1:19" ht="12.75" customHeight="1">
      <c r="A58" s="2529"/>
      <c r="B58" s="1"/>
      <c r="C58" s="1"/>
      <c r="D58" s="1"/>
      <c r="E58" s="1"/>
      <c r="F58" s="1"/>
      <c r="G58" s="1"/>
      <c r="H58" s="1"/>
      <c r="I58" s="1"/>
      <c r="J58" s="1"/>
      <c r="K58" s="1"/>
      <c r="L58" s="1"/>
      <c r="M58" s="1"/>
      <c r="N58" s="2"/>
      <c r="O58" s="2"/>
      <c r="P58" s="2"/>
      <c r="Q58" s="2"/>
      <c r="R58" s="2"/>
      <c r="S58" s="2"/>
    </row>
    <row r="59" spans="1:19" ht="12.75" customHeight="1">
      <c r="A59" s="2529"/>
      <c r="B59" s="1"/>
      <c r="C59" s="1"/>
      <c r="D59" s="1"/>
      <c r="E59" s="1"/>
      <c r="F59" s="1"/>
      <c r="G59" s="1"/>
      <c r="H59" s="1"/>
      <c r="I59" s="1"/>
      <c r="J59" s="1"/>
      <c r="K59" s="1"/>
      <c r="L59" s="1"/>
      <c r="M59" s="1"/>
      <c r="N59" s="2"/>
      <c r="O59" s="2"/>
      <c r="P59" s="2"/>
      <c r="Q59" s="2"/>
      <c r="R59" s="2"/>
      <c r="S59" s="2"/>
    </row>
    <row r="60" spans="1:19" ht="12.75" customHeight="1">
      <c r="A60" s="2529"/>
      <c r="B60" s="1"/>
      <c r="C60" s="1"/>
      <c r="D60" s="1"/>
      <c r="E60" s="1"/>
      <c r="F60" s="1"/>
      <c r="G60" s="1"/>
      <c r="H60" s="1"/>
      <c r="I60" s="1"/>
      <c r="J60" s="1"/>
      <c r="K60" s="1"/>
      <c r="L60" s="1"/>
      <c r="M60" s="1"/>
      <c r="N60" s="2"/>
      <c r="O60" s="2"/>
      <c r="P60" s="2"/>
      <c r="Q60" s="2"/>
      <c r="R60" s="2"/>
      <c r="S60" s="2"/>
    </row>
    <row r="61" spans="1:19" ht="12.75" customHeight="1">
      <c r="A61" s="2529"/>
      <c r="B61" s="1"/>
      <c r="C61" s="1"/>
      <c r="D61" s="1"/>
      <c r="E61" s="1"/>
      <c r="F61" s="1"/>
      <c r="G61" s="1"/>
      <c r="H61" s="1"/>
      <c r="I61" s="1"/>
      <c r="J61" s="1"/>
      <c r="K61" s="1"/>
      <c r="L61" s="1"/>
      <c r="M61" s="1"/>
      <c r="N61" s="2"/>
      <c r="O61" s="2"/>
      <c r="P61" s="2"/>
      <c r="Q61" s="2"/>
      <c r="R61" s="2"/>
      <c r="S61" s="2"/>
    </row>
    <row r="62" spans="1:19" ht="12.75" customHeight="1">
      <c r="A62" s="2529"/>
      <c r="B62" s="1"/>
      <c r="C62" s="1"/>
      <c r="D62" s="1"/>
      <c r="E62" s="1"/>
      <c r="F62" s="1"/>
      <c r="G62" s="1"/>
      <c r="H62" s="1"/>
      <c r="I62" s="1"/>
      <c r="J62" s="1"/>
      <c r="K62" s="1"/>
      <c r="L62" s="1"/>
      <c r="M62" s="1"/>
      <c r="N62" s="2"/>
      <c r="O62" s="2"/>
      <c r="P62" s="2"/>
      <c r="Q62" s="2"/>
      <c r="R62" s="2"/>
      <c r="S62" s="2"/>
    </row>
    <row r="63" spans="1:19" ht="12.75" customHeight="1">
      <c r="A63" s="2529"/>
      <c r="B63" s="1"/>
      <c r="C63" s="1"/>
      <c r="D63" s="1"/>
      <c r="E63" s="1"/>
      <c r="F63" s="1"/>
      <c r="G63" s="1"/>
      <c r="H63" s="1"/>
      <c r="I63" s="1"/>
      <c r="J63" s="1"/>
      <c r="K63" s="1"/>
      <c r="L63" s="1"/>
      <c r="M63" s="1"/>
      <c r="N63" s="2"/>
      <c r="O63" s="2"/>
      <c r="P63" s="2"/>
      <c r="Q63" s="2"/>
      <c r="R63" s="2"/>
      <c r="S63" s="2"/>
    </row>
    <row r="64" spans="1:19" ht="12.75" customHeight="1">
      <c r="A64" s="2529"/>
      <c r="B64" s="1"/>
      <c r="C64" s="1"/>
      <c r="D64" s="1"/>
      <c r="E64" s="1"/>
      <c r="F64" s="1"/>
      <c r="G64" s="1"/>
      <c r="H64" s="1"/>
      <c r="I64" s="1"/>
      <c r="J64" s="1"/>
      <c r="K64" s="1"/>
      <c r="L64" s="1"/>
      <c r="M64" s="1"/>
      <c r="N64" s="2"/>
      <c r="O64" s="2"/>
      <c r="P64" s="2"/>
      <c r="Q64" s="2"/>
      <c r="R64" s="2"/>
      <c r="S64" s="2"/>
    </row>
    <row r="65" spans="1:23" ht="12.75" customHeight="1" thickBot="1">
      <c r="A65" s="2530"/>
      <c r="B65" s="1"/>
      <c r="C65" s="1"/>
      <c r="D65" s="1"/>
      <c r="E65" s="1"/>
      <c r="F65" s="1"/>
      <c r="G65" s="1"/>
      <c r="H65" s="1"/>
      <c r="I65" s="1"/>
      <c r="J65" s="1"/>
      <c r="K65" s="1"/>
      <c r="L65" s="1"/>
      <c r="M65" s="1"/>
      <c r="N65" s="2"/>
      <c r="O65" s="2"/>
      <c r="P65" s="2"/>
      <c r="Q65" s="2"/>
      <c r="R65" s="2"/>
      <c r="S65" s="2"/>
    </row>
    <row r="66" spans="1:23" s="1128" customFormat="1" ht="12.75" customHeight="1">
      <c r="A66" s="2528" t="s">
        <v>1552</v>
      </c>
      <c r="B66" s="2188" t="s">
        <v>1100</v>
      </c>
      <c r="C66" s="2146"/>
      <c r="D66" s="2189"/>
      <c r="E66" s="2188" t="s">
        <v>1544</v>
      </c>
      <c r="F66" s="2146"/>
      <c r="G66" s="2189"/>
      <c r="H66" s="2188" t="s">
        <v>1545</v>
      </c>
      <c r="I66" s="2146"/>
      <c r="J66" s="2189"/>
      <c r="K66" s="2188" t="s">
        <v>1546</v>
      </c>
      <c r="L66" s="2146"/>
      <c r="M66" s="2189"/>
      <c r="N66" s="2188" t="s">
        <v>645</v>
      </c>
      <c r="O66" s="2146"/>
      <c r="P66" s="2189"/>
      <c r="Q66" s="2522" t="s">
        <v>290</v>
      </c>
      <c r="R66" s="2523"/>
      <c r="S66" s="2524"/>
      <c r="T66" s="2522" t="s">
        <v>291</v>
      </c>
      <c r="U66" s="2523"/>
      <c r="V66" s="2524"/>
    </row>
    <row r="67" spans="1:23" ht="12.75" customHeight="1">
      <c r="A67" s="2529"/>
      <c r="B67" s="94" t="s">
        <v>1197</v>
      </c>
      <c r="C67" s="2"/>
      <c r="D67" s="2"/>
      <c r="E67" s="94" t="s">
        <v>1197</v>
      </c>
      <c r="F67" s="2"/>
      <c r="G67" s="2"/>
      <c r="H67" s="94" t="s">
        <v>1197</v>
      </c>
      <c r="I67" s="2"/>
      <c r="J67" s="2"/>
      <c r="K67" s="94" t="s">
        <v>1197</v>
      </c>
      <c r="L67" s="1"/>
      <c r="M67" s="1"/>
      <c r="N67" s="94" t="s">
        <v>1197</v>
      </c>
      <c r="O67" s="2"/>
      <c r="P67" s="2"/>
      <c r="Q67" s="94" t="s">
        <v>1197</v>
      </c>
      <c r="R67" s="2"/>
      <c r="S67" s="2"/>
      <c r="T67" s="94" t="s">
        <v>1197</v>
      </c>
      <c r="U67" s="2"/>
      <c r="V67" s="2"/>
      <c r="W67" s="94" t="s">
        <v>1197</v>
      </c>
    </row>
    <row r="68" spans="1:23" ht="12.75" customHeight="1">
      <c r="A68" s="2529"/>
      <c r="B68" s="2"/>
      <c r="C68" s="2"/>
      <c r="D68" s="2"/>
      <c r="N68" s="2"/>
      <c r="O68" s="1"/>
      <c r="P68" s="1"/>
      <c r="Q68" s="2"/>
      <c r="R68" s="2"/>
      <c r="S68" s="2"/>
      <c r="T68" s="2"/>
      <c r="U68" s="2"/>
      <c r="V68" s="2"/>
    </row>
    <row r="69" spans="1:23" ht="12.75" customHeight="1">
      <c r="A69" s="2529"/>
      <c r="B69" s="2"/>
      <c r="C69" s="2"/>
      <c r="D69" s="2"/>
      <c r="N69" s="2"/>
      <c r="O69" s="1"/>
      <c r="P69" s="1"/>
      <c r="Q69" s="2"/>
      <c r="R69" s="2"/>
      <c r="S69" s="2"/>
      <c r="T69" s="2"/>
      <c r="U69" s="2"/>
      <c r="V69" s="2"/>
    </row>
    <row r="70" spans="1:23" ht="12.75" customHeight="1">
      <c r="A70" s="2529"/>
      <c r="B70" s="2"/>
      <c r="C70" s="2"/>
      <c r="D70" s="2"/>
      <c r="N70" s="2"/>
      <c r="O70" s="1"/>
      <c r="P70" s="1"/>
      <c r="Q70" s="2"/>
      <c r="R70" s="2"/>
      <c r="S70" s="2"/>
      <c r="T70" s="2"/>
      <c r="U70" s="2"/>
      <c r="V70" s="2"/>
    </row>
    <row r="71" spans="1:23" ht="12.75" customHeight="1">
      <c r="A71" s="2529"/>
      <c r="B71" s="2"/>
      <c r="C71" s="2"/>
      <c r="D71" s="2"/>
      <c r="N71" s="2"/>
      <c r="O71" s="1"/>
      <c r="P71" s="1"/>
      <c r="Q71" s="2"/>
      <c r="R71" s="2"/>
      <c r="S71" s="2"/>
      <c r="T71" s="2"/>
      <c r="U71" s="2"/>
      <c r="V71" s="2"/>
    </row>
    <row r="72" spans="1:23" ht="12.75" customHeight="1">
      <c r="A72" s="2529"/>
      <c r="B72" s="2"/>
      <c r="C72" s="2"/>
      <c r="D72" s="2"/>
      <c r="N72" s="2"/>
      <c r="O72" s="1"/>
      <c r="P72" s="1"/>
      <c r="Q72" s="2"/>
      <c r="R72" s="2"/>
      <c r="S72" s="2"/>
      <c r="T72" s="2"/>
      <c r="U72" s="2"/>
      <c r="V72" s="2"/>
    </row>
    <row r="73" spans="1:23" ht="12.75" customHeight="1">
      <c r="A73" s="2529"/>
      <c r="B73" s="2"/>
      <c r="C73" s="2"/>
      <c r="D73" s="2"/>
      <c r="N73" s="2"/>
      <c r="O73" s="1"/>
      <c r="P73" s="1"/>
      <c r="Q73" s="2"/>
      <c r="R73" s="2"/>
      <c r="S73" s="2"/>
      <c r="T73" s="2"/>
      <c r="U73" s="2"/>
      <c r="V73" s="2"/>
    </row>
    <row r="74" spans="1:23" ht="12.75" customHeight="1">
      <c r="A74" s="2529"/>
      <c r="B74" s="2"/>
      <c r="C74" s="2"/>
      <c r="D74" s="2"/>
      <c r="N74" s="2"/>
      <c r="O74" s="1"/>
      <c r="P74" s="1"/>
      <c r="Q74" s="2"/>
      <c r="R74" s="2"/>
      <c r="S74" s="2"/>
      <c r="T74" s="2"/>
      <c r="U74" s="2"/>
      <c r="V74" s="2"/>
    </row>
    <row r="75" spans="1:23" ht="12.75" customHeight="1">
      <c r="A75" s="2529"/>
      <c r="B75" s="2"/>
      <c r="C75" s="2"/>
      <c r="D75" s="2"/>
      <c r="N75" s="2"/>
      <c r="O75" s="1"/>
      <c r="P75" s="1"/>
      <c r="Q75" s="2"/>
      <c r="R75" s="2"/>
      <c r="S75" s="2"/>
      <c r="T75" s="2"/>
      <c r="U75" s="2"/>
      <c r="V75" s="2"/>
    </row>
    <row r="76" spans="1:23" ht="12.75" customHeight="1">
      <c r="A76" s="2529"/>
      <c r="B76" s="2"/>
      <c r="C76" s="2"/>
      <c r="D76" s="2"/>
      <c r="N76" s="2"/>
      <c r="O76" s="1"/>
      <c r="P76" s="1"/>
      <c r="Q76" s="2"/>
      <c r="R76" s="2"/>
      <c r="S76" s="2"/>
      <c r="T76" s="2"/>
      <c r="U76" s="2"/>
      <c r="V76" s="2"/>
    </row>
    <row r="77" spans="1:23" ht="12.75" customHeight="1">
      <c r="A77" s="2529"/>
      <c r="B77" s="2"/>
      <c r="C77" s="2"/>
      <c r="D77" s="2"/>
      <c r="N77" s="2"/>
      <c r="O77" s="1"/>
      <c r="P77" s="1"/>
      <c r="Q77" s="2"/>
      <c r="R77" s="2"/>
      <c r="S77" s="2"/>
      <c r="T77" s="2"/>
      <c r="U77" s="2"/>
      <c r="V77" s="2"/>
    </row>
    <row r="78" spans="1:23" ht="12.75" customHeight="1">
      <c r="A78" s="2529"/>
      <c r="B78" s="2"/>
      <c r="C78" s="2"/>
      <c r="D78" s="2"/>
      <c r="N78" s="2"/>
      <c r="O78" s="1"/>
      <c r="P78" s="1"/>
      <c r="Q78" s="2"/>
      <c r="R78" s="2"/>
      <c r="S78" s="2"/>
      <c r="T78" s="2"/>
      <c r="U78" s="2"/>
      <c r="V78" s="2"/>
    </row>
    <row r="79" spans="1:23" ht="12.75" customHeight="1">
      <c r="A79" s="2529"/>
      <c r="B79" s="2"/>
      <c r="C79" s="2"/>
      <c r="D79" s="2"/>
      <c r="N79" s="2"/>
      <c r="O79" s="1"/>
      <c r="P79" s="1"/>
      <c r="Q79" s="2"/>
      <c r="R79" s="2"/>
      <c r="S79" s="2"/>
      <c r="T79" s="2"/>
      <c r="U79" s="2"/>
      <c r="V79" s="2"/>
    </row>
    <row r="80" spans="1:23" ht="12.75" customHeight="1">
      <c r="A80" s="2529"/>
      <c r="B80" s="2"/>
      <c r="C80" s="2"/>
      <c r="D80" s="2"/>
      <c r="N80" s="2"/>
      <c r="O80" s="1"/>
      <c r="P80" s="1"/>
      <c r="Q80" s="2"/>
      <c r="R80" s="2"/>
      <c r="S80" s="2"/>
      <c r="T80" s="2"/>
      <c r="U80" s="2"/>
      <c r="V80" s="2"/>
    </row>
    <row r="81" spans="1:25" ht="12.75" customHeight="1">
      <c r="A81" s="2529"/>
      <c r="B81" s="2"/>
      <c r="C81" s="2"/>
      <c r="D81" s="2"/>
      <c r="N81" s="2"/>
      <c r="O81" s="1"/>
      <c r="P81" s="1"/>
      <c r="Q81" s="2"/>
      <c r="R81" s="2"/>
      <c r="S81" s="2"/>
      <c r="T81" s="2"/>
      <c r="U81" s="2"/>
      <c r="V81" s="2"/>
    </row>
    <row r="82" spans="1:25" ht="12.75" customHeight="1">
      <c r="A82" s="2529"/>
      <c r="B82" s="2"/>
      <c r="C82" s="2"/>
      <c r="D82" s="2"/>
      <c r="N82" s="2"/>
      <c r="O82" s="1"/>
      <c r="P82" s="1"/>
      <c r="Q82" s="2"/>
      <c r="R82" s="2"/>
      <c r="S82" s="2"/>
      <c r="T82" s="2"/>
      <c r="U82" s="2"/>
      <c r="V82" s="2"/>
    </row>
    <row r="83" spans="1:25" ht="12.75" customHeight="1">
      <c r="A83" s="2529"/>
      <c r="B83" s="2"/>
      <c r="C83" s="2"/>
      <c r="D83" s="2"/>
      <c r="N83" s="2"/>
      <c r="O83" s="1"/>
      <c r="P83" s="1"/>
      <c r="Q83" s="2"/>
      <c r="R83" s="2"/>
      <c r="S83" s="2"/>
      <c r="T83" s="2"/>
      <c r="U83" s="2"/>
      <c r="V83" s="2"/>
    </row>
    <row r="84" spans="1:25" ht="12.75" customHeight="1">
      <c r="A84" s="2529"/>
      <c r="B84" s="2"/>
      <c r="C84" s="2"/>
      <c r="D84" s="2"/>
      <c r="N84" s="2"/>
      <c r="O84" s="1"/>
      <c r="P84" s="1"/>
      <c r="Q84" s="2"/>
      <c r="R84" s="2"/>
      <c r="S84" s="2"/>
      <c r="T84" s="2"/>
      <c r="U84" s="2"/>
      <c r="V84" s="2"/>
    </row>
    <row r="85" spans="1:25" ht="12.75" customHeight="1" thickBot="1">
      <c r="A85" s="2530"/>
      <c r="B85" s="2"/>
      <c r="C85" s="2"/>
      <c r="D85" s="2"/>
      <c r="N85" s="2"/>
      <c r="Q85" s="2"/>
      <c r="R85" s="2"/>
      <c r="S85" s="2"/>
      <c r="T85" s="2"/>
      <c r="U85" s="2"/>
      <c r="V85" s="2"/>
    </row>
    <row r="86" spans="1:25" ht="12.75" customHeight="1">
      <c r="A86" s="2528" t="s">
        <v>1562</v>
      </c>
      <c r="B86" s="2522" t="s">
        <v>646</v>
      </c>
      <c r="C86" s="2523"/>
      <c r="D86" s="2524"/>
      <c r="E86" s="2522" t="s">
        <v>1556</v>
      </c>
      <c r="F86" s="2523"/>
      <c r="G86" s="2524"/>
      <c r="H86" s="2522" t="s">
        <v>1559</v>
      </c>
      <c r="I86" s="2523"/>
      <c r="J86" s="2524"/>
      <c r="K86" s="2522" t="s">
        <v>197</v>
      </c>
      <c r="L86" s="2523"/>
      <c r="M86" s="2524"/>
      <c r="N86" s="2522" t="s">
        <v>1563</v>
      </c>
      <c r="O86" s="2523"/>
      <c r="P86" s="2524"/>
      <c r="Q86" s="2"/>
      <c r="R86" s="2"/>
      <c r="S86" s="2"/>
      <c r="T86" s="2"/>
      <c r="U86" s="2"/>
      <c r="V86" s="2"/>
      <c r="W86" s="2"/>
      <c r="X86" s="2"/>
      <c r="Y86" s="2"/>
    </row>
    <row r="87" spans="1:25" ht="12.75" customHeight="1">
      <c r="A87" s="2529"/>
      <c r="B87" s="94" t="s">
        <v>1197</v>
      </c>
      <c r="C87" s="2"/>
      <c r="D87" s="2"/>
      <c r="E87" s="94" t="s">
        <v>1197</v>
      </c>
      <c r="F87" s="2"/>
      <c r="G87" s="2"/>
      <c r="H87" s="94" t="s">
        <v>1197</v>
      </c>
      <c r="I87" s="2"/>
      <c r="J87" s="2"/>
      <c r="K87" s="94" t="s">
        <v>1197</v>
      </c>
      <c r="L87" s="1"/>
      <c r="M87" s="1"/>
      <c r="N87" s="94" t="s">
        <v>1197</v>
      </c>
      <c r="O87" s="2"/>
      <c r="P87" s="2"/>
      <c r="Q87" s="94" t="s">
        <v>1197</v>
      </c>
      <c r="R87" s="2"/>
      <c r="S87" s="2"/>
      <c r="T87" s="94" t="s">
        <v>1197</v>
      </c>
      <c r="U87" s="2"/>
      <c r="V87" s="2"/>
      <c r="W87" s="94" t="s">
        <v>1197</v>
      </c>
      <c r="X87" s="2"/>
      <c r="Y87" s="2"/>
    </row>
    <row r="88" spans="1:25" ht="12.75" customHeight="1">
      <c r="A88" s="2529"/>
      <c r="B88" s="2"/>
      <c r="C88" s="2"/>
      <c r="D88" s="2"/>
      <c r="E88" s="2"/>
      <c r="F88" s="2"/>
      <c r="G88" s="2"/>
      <c r="H88" s="2"/>
      <c r="I88" s="2"/>
      <c r="J88" s="2"/>
      <c r="K88" s="1"/>
      <c r="L88" s="1"/>
      <c r="M88" s="1"/>
      <c r="N88" s="2"/>
      <c r="O88" s="2"/>
      <c r="P88" s="2"/>
      <c r="Q88" s="2"/>
      <c r="R88" s="2"/>
      <c r="S88" s="2"/>
      <c r="T88" s="2"/>
      <c r="U88" s="2"/>
      <c r="V88" s="2"/>
      <c r="W88" s="2"/>
      <c r="X88" s="2"/>
      <c r="Y88" s="2"/>
    </row>
    <row r="89" spans="1:25" ht="12.75" customHeight="1">
      <c r="A89" s="2529"/>
      <c r="B89" s="2"/>
      <c r="C89" s="2"/>
      <c r="D89" s="2"/>
      <c r="E89" s="2"/>
      <c r="F89" s="2"/>
      <c r="G89" s="2"/>
      <c r="H89" s="2"/>
      <c r="I89" s="2"/>
      <c r="J89" s="2"/>
      <c r="K89" s="1"/>
      <c r="L89" s="1"/>
      <c r="M89" s="1"/>
      <c r="N89" s="2"/>
      <c r="O89" s="2"/>
      <c r="P89" s="2"/>
      <c r="Q89" s="2"/>
      <c r="R89" s="2"/>
      <c r="S89" s="2"/>
      <c r="T89" s="2"/>
      <c r="U89" s="2"/>
      <c r="V89" s="2"/>
      <c r="W89" s="2"/>
      <c r="X89" s="2"/>
      <c r="Y89" s="2"/>
    </row>
    <row r="90" spans="1:25" ht="12.75" customHeight="1">
      <c r="A90" s="2529"/>
      <c r="B90" s="2"/>
      <c r="C90" s="2"/>
      <c r="D90" s="2"/>
      <c r="E90" s="2"/>
      <c r="F90" s="2"/>
      <c r="G90" s="2"/>
      <c r="H90" s="2"/>
      <c r="I90" s="2"/>
      <c r="J90" s="2"/>
      <c r="K90" s="1"/>
      <c r="L90" s="1"/>
      <c r="M90" s="1"/>
      <c r="N90" s="2"/>
      <c r="O90" s="2"/>
      <c r="P90" s="2"/>
      <c r="Q90" s="2"/>
      <c r="R90" s="2"/>
      <c r="S90" s="2"/>
      <c r="T90" s="2"/>
      <c r="U90" s="2"/>
      <c r="V90" s="2"/>
      <c r="W90" s="2"/>
      <c r="X90" s="2"/>
      <c r="Y90" s="2"/>
    </row>
    <row r="91" spans="1:25" ht="12.75" customHeight="1">
      <c r="A91" s="2529"/>
      <c r="B91" s="2"/>
      <c r="C91" s="2"/>
      <c r="D91" s="2"/>
      <c r="E91" s="2"/>
      <c r="F91" s="2"/>
      <c r="G91" s="2"/>
      <c r="H91" s="2"/>
      <c r="I91" s="2"/>
      <c r="J91" s="2"/>
      <c r="K91" s="1"/>
      <c r="L91" s="1"/>
      <c r="M91" s="1"/>
      <c r="N91" s="2"/>
      <c r="O91" s="2"/>
      <c r="P91" s="2"/>
      <c r="Q91" s="2"/>
      <c r="R91" s="2"/>
      <c r="S91" s="2"/>
      <c r="T91" s="2"/>
      <c r="U91" s="2"/>
      <c r="V91" s="2"/>
      <c r="W91" s="2"/>
      <c r="X91" s="2"/>
      <c r="Y91" s="2"/>
    </row>
    <row r="92" spans="1:25" ht="12.75" customHeight="1">
      <c r="A92" s="2529"/>
      <c r="B92" s="2"/>
      <c r="C92" s="2"/>
      <c r="D92" s="2"/>
      <c r="E92" s="2"/>
      <c r="F92" s="2"/>
      <c r="G92" s="2"/>
      <c r="H92" s="2"/>
      <c r="I92" s="2"/>
      <c r="J92" s="2"/>
      <c r="K92" s="1"/>
      <c r="L92" s="1"/>
      <c r="M92" s="1"/>
      <c r="N92" s="2"/>
      <c r="O92" s="2"/>
      <c r="P92" s="2"/>
      <c r="Q92" s="2"/>
      <c r="R92" s="2"/>
      <c r="S92" s="2"/>
      <c r="T92" s="2"/>
      <c r="U92" s="2"/>
      <c r="V92" s="2"/>
      <c r="W92" s="2"/>
      <c r="X92" s="2"/>
      <c r="Y92" s="2"/>
    </row>
    <row r="93" spans="1:25" ht="12.75" customHeight="1">
      <c r="A93" s="2529"/>
      <c r="B93" s="2"/>
      <c r="C93" s="2"/>
      <c r="D93" s="2"/>
      <c r="E93" s="2"/>
      <c r="F93" s="2"/>
      <c r="G93" s="2"/>
      <c r="H93" s="2"/>
      <c r="I93" s="2"/>
      <c r="J93" s="2"/>
      <c r="K93" s="1"/>
      <c r="L93" s="1"/>
      <c r="M93" s="1"/>
      <c r="N93" s="2"/>
      <c r="O93" s="2"/>
      <c r="P93" s="2"/>
      <c r="Q93" s="2"/>
      <c r="R93" s="2"/>
      <c r="S93" s="2"/>
      <c r="T93" s="2"/>
      <c r="U93" s="2"/>
      <c r="V93" s="2"/>
      <c r="W93" s="2"/>
      <c r="X93" s="2"/>
      <c r="Y93" s="2"/>
    </row>
    <row r="94" spans="1:25" ht="12.75" customHeight="1">
      <c r="A94" s="2529"/>
      <c r="B94" s="2"/>
      <c r="C94" s="2"/>
      <c r="D94" s="2"/>
      <c r="E94" s="2"/>
      <c r="F94" s="2"/>
      <c r="G94" s="2"/>
      <c r="H94" s="2"/>
      <c r="I94" s="2"/>
      <c r="J94" s="2"/>
      <c r="K94" s="1"/>
      <c r="L94" s="1"/>
      <c r="M94" s="1"/>
      <c r="N94" s="2"/>
      <c r="O94" s="2"/>
      <c r="P94" s="2"/>
      <c r="Q94" s="2"/>
      <c r="R94" s="2"/>
      <c r="S94" s="2"/>
      <c r="T94" s="2"/>
      <c r="U94" s="2"/>
      <c r="V94" s="2"/>
      <c r="W94" s="2"/>
      <c r="X94" s="2"/>
      <c r="Y94" s="2"/>
    </row>
    <row r="95" spans="1:25" ht="12.75" customHeight="1">
      <c r="A95" s="2529"/>
      <c r="B95" s="2"/>
      <c r="C95" s="2"/>
      <c r="D95" s="2"/>
      <c r="E95" s="2"/>
      <c r="F95" s="2"/>
      <c r="G95" s="2"/>
      <c r="H95" s="2"/>
      <c r="I95" s="2"/>
      <c r="J95" s="2"/>
      <c r="K95" s="1"/>
      <c r="L95" s="1"/>
      <c r="M95" s="1"/>
      <c r="N95" s="2"/>
      <c r="O95" s="2"/>
      <c r="P95" s="2"/>
      <c r="Q95" s="2"/>
      <c r="R95" s="2"/>
      <c r="S95" s="2"/>
      <c r="T95" s="2"/>
      <c r="U95" s="2"/>
      <c r="V95" s="2"/>
      <c r="W95" s="2"/>
      <c r="X95" s="2"/>
      <c r="Y95" s="2"/>
    </row>
    <row r="96" spans="1:25" ht="12.75" customHeight="1">
      <c r="A96" s="2529"/>
      <c r="B96" s="2"/>
      <c r="C96" s="2"/>
      <c r="D96" s="2"/>
      <c r="E96" s="2"/>
      <c r="F96" s="2"/>
      <c r="G96" s="2"/>
      <c r="H96" s="2"/>
      <c r="I96" s="2"/>
      <c r="J96" s="2"/>
      <c r="K96" s="1"/>
      <c r="L96" s="1"/>
      <c r="M96" s="1"/>
      <c r="N96" s="2"/>
      <c r="O96" s="2"/>
      <c r="P96" s="2"/>
      <c r="Q96" s="2"/>
      <c r="R96" s="2"/>
      <c r="S96" s="2"/>
      <c r="T96" s="2"/>
      <c r="U96" s="2"/>
      <c r="V96" s="2"/>
      <c r="W96" s="2"/>
      <c r="X96" s="2"/>
      <c r="Y96" s="2"/>
    </row>
    <row r="97" spans="1:25" ht="12.75" customHeight="1">
      <c r="A97" s="2529"/>
      <c r="B97" s="2"/>
      <c r="C97" s="2"/>
      <c r="D97" s="2"/>
      <c r="E97" s="2"/>
      <c r="F97" s="2"/>
      <c r="G97" s="2"/>
      <c r="H97" s="2"/>
      <c r="I97" s="2"/>
      <c r="J97" s="2"/>
      <c r="K97" s="1"/>
      <c r="L97" s="1"/>
      <c r="M97" s="1"/>
      <c r="N97" s="2"/>
      <c r="O97" s="2"/>
      <c r="P97" s="2"/>
      <c r="Q97" s="2"/>
      <c r="R97" s="2"/>
      <c r="S97" s="2"/>
      <c r="T97" s="2"/>
      <c r="U97" s="2"/>
      <c r="V97" s="2"/>
      <c r="W97" s="2"/>
      <c r="X97" s="2"/>
      <c r="Y97" s="2"/>
    </row>
    <row r="98" spans="1:25" ht="12.75" customHeight="1">
      <c r="A98" s="2529"/>
      <c r="B98" s="2"/>
      <c r="C98" s="2"/>
      <c r="D98" s="2"/>
      <c r="E98" s="2"/>
      <c r="F98" s="2"/>
      <c r="G98" s="2"/>
      <c r="H98" s="2"/>
      <c r="I98" s="2"/>
      <c r="J98" s="2"/>
      <c r="K98" s="1"/>
      <c r="L98" s="1"/>
      <c r="M98" s="1"/>
      <c r="N98" s="2"/>
      <c r="O98" s="2"/>
      <c r="P98" s="2"/>
      <c r="Q98" s="2"/>
      <c r="R98" s="2"/>
      <c r="S98" s="2"/>
      <c r="T98" s="2"/>
      <c r="U98" s="2"/>
      <c r="V98" s="2"/>
      <c r="W98" s="2"/>
      <c r="X98" s="2"/>
      <c r="Y98" s="2"/>
    </row>
    <row r="99" spans="1:25" ht="12.75" customHeight="1">
      <c r="A99" s="2529"/>
      <c r="B99" s="2"/>
      <c r="C99" s="2"/>
      <c r="D99" s="2"/>
      <c r="E99" s="2"/>
      <c r="F99" s="2"/>
      <c r="G99" s="2"/>
      <c r="H99" s="2"/>
      <c r="I99" s="2"/>
      <c r="J99" s="2"/>
      <c r="K99" s="1"/>
      <c r="L99" s="1"/>
      <c r="M99" s="1"/>
      <c r="N99" s="2"/>
      <c r="O99" s="2"/>
      <c r="P99" s="2"/>
      <c r="Q99" s="2"/>
      <c r="R99" s="2"/>
      <c r="S99" s="2"/>
      <c r="T99" s="2"/>
      <c r="U99" s="2"/>
      <c r="V99" s="2"/>
      <c r="W99" s="2"/>
      <c r="X99" s="2"/>
      <c r="Y99" s="2"/>
    </row>
    <row r="100" spans="1:25" ht="12.75" customHeight="1">
      <c r="A100" s="2529"/>
      <c r="B100" s="2"/>
      <c r="C100" s="2"/>
      <c r="D100" s="2"/>
      <c r="E100" s="2"/>
      <c r="F100" s="2"/>
      <c r="G100" s="2"/>
      <c r="H100" s="2"/>
      <c r="I100" s="2"/>
      <c r="J100" s="2"/>
      <c r="K100" s="1"/>
      <c r="L100" s="1"/>
      <c r="M100" s="1"/>
      <c r="N100" s="2"/>
      <c r="O100" s="2"/>
      <c r="P100" s="2"/>
      <c r="Q100" s="2"/>
      <c r="R100" s="2"/>
      <c r="S100" s="2"/>
      <c r="T100" s="2"/>
      <c r="U100" s="2"/>
      <c r="V100" s="2"/>
      <c r="W100" s="2"/>
      <c r="X100" s="2"/>
      <c r="Y100" s="2"/>
    </row>
    <row r="101" spans="1:25" ht="12.75" customHeight="1">
      <c r="A101" s="2529"/>
      <c r="B101" s="2"/>
      <c r="C101" s="2"/>
      <c r="D101" s="2"/>
      <c r="E101" s="2"/>
      <c r="F101" s="2"/>
      <c r="G101" s="2"/>
      <c r="H101" s="2"/>
      <c r="I101" s="2"/>
      <c r="J101" s="2"/>
      <c r="K101" s="1"/>
      <c r="L101" s="1"/>
      <c r="M101" s="1"/>
      <c r="N101" s="2"/>
      <c r="O101" s="2"/>
      <c r="P101" s="2"/>
      <c r="Q101" s="2"/>
      <c r="R101" s="2"/>
      <c r="S101" s="2"/>
      <c r="T101" s="2"/>
      <c r="U101" s="2"/>
      <c r="V101" s="2"/>
      <c r="W101" s="2"/>
      <c r="X101" s="2"/>
      <c r="Y101" s="2"/>
    </row>
    <row r="102" spans="1:25" ht="12.75" customHeight="1">
      <c r="A102" s="2529"/>
      <c r="B102" s="2"/>
      <c r="C102" s="2"/>
      <c r="D102" s="2"/>
      <c r="E102" s="2"/>
      <c r="F102" s="2"/>
      <c r="G102" s="2"/>
      <c r="H102" s="2"/>
      <c r="I102" s="2"/>
      <c r="J102" s="2"/>
      <c r="K102" s="1"/>
      <c r="L102" s="1"/>
      <c r="M102" s="1"/>
      <c r="N102" s="2"/>
      <c r="O102" s="2"/>
      <c r="P102" s="2"/>
      <c r="Q102" s="2"/>
      <c r="R102" s="2"/>
      <c r="S102" s="2"/>
      <c r="T102" s="2"/>
      <c r="U102" s="2"/>
      <c r="V102" s="2"/>
      <c r="W102" s="2"/>
      <c r="X102" s="2"/>
      <c r="Y102" s="2"/>
    </row>
    <row r="103" spans="1:25" ht="12.75" customHeight="1">
      <c r="A103" s="2529"/>
      <c r="B103" s="2"/>
      <c r="C103" s="2"/>
      <c r="D103" s="2"/>
      <c r="E103" s="2"/>
      <c r="F103" s="2"/>
      <c r="G103" s="2"/>
      <c r="H103" s="2"/>
      <c r="I103" s="2"/>
      <c r="J103" s="2"/>
      <c r="K103" s="1"/>
      <c r="L103" s="1"/>
      <c r="M103" s="1"/>
      <c r="N103" s="2"/>
      <c r="O103" s="2"/>
      <c r="P103" s="2"/>
      <c r="Q103" s="2"/>
      <c r="R103" s="2"/>
      <c r="S103" s="2"/>
      <c r="T103" s="2"/>
      <c r="U103" s="2"/>
      <c r="V103" s="2"/>
      <c r="W103" s="2"/>
      <c r="X103" s="2"/>
      <c r="Y103" s="2"/>
    </row>
    <row r="104" spans="1:25" ht="12.75" customHeight="1">
      <c r="A104" s="2529"/>
      <c r="B104" s="2"/>
      <c r="C104" s="2"/>
      <c r="D104" s="2"/>
      <c r="E104" s="2"/>
      <c r="F104" s="2"/>
      <c r="G104" s="2"/>
      <c r="H104" s="2"/>
      <c r="I104" s="2"/>
      <c r="J104" s="2"/>
      <c r="K104" s="1"/>
      <c r="L104" s="1"/>
      <c r="M104" s="1"/>
      <c r="N104" s="2"/>
      <c r="O104" s="2"/>
      <c r="P104" s="2"/>
      <c r="Q104" s="2"/>
      <c r="R104" s="2"/>
      <c r="S104" s="2"/>
      <c r="T104" s="2"/>
      <c r="U104" s="2"/>
      <c r="V104" s="2"/>
      <c r="W104" s="2"/>
      <c r="X104" s="2"/>
      <c r="Y104" s="2"/>
    </row>
    <row r="105" spans="1:25" ht="12.75" customHeight="1" thickBot="1">
      <c r="A105" s="2530"/>
      <c r="B105" s="2"/>
      <c r="C105" s="2"/>
      <c r="D105" s="2"/>
      <c r="E105" s="2"/>
      <c r="F105" s="2"/>
      <c r="G105" s="2"/>
      <c r="H105" s="2"/>
      <c r="I105" s="2"/>
      <c r="J105" s="2"/>
      <c r="K105" s="1"/>
      <c r="L105" s="1"/>
      <c r="M105" s="1"/>
      <c r="N105" s="2"/>
      <c r="O105" s="2"/>
      <c r="P105" s="2"/>
      <c r="Q105" s="2"/>
      <c r="R105" s="2"/>
      <c r="S105" s="2"/>
      <c r="T105" s="2"/>
      <c r="U105" s="2"/>
      <c r="V105" s="2"/>
      <c r="W105" s="2"/>
      <c r="X105" s="2"/>
      <c r="Y105" s="2"/>
    </row>
    <row r="106" spans="1:25" s="1128" customFormat="1" ht="12.75" customHeight="1">
      <c r="A106" s="2528" t="s">
        <v>51</v>
      </c>
      <c r="B106" s="2522" t="s">
        <v>1104</v>
      </c>
      <c r="C106" s="2523"/>
      <c r="D106" s="2524"/>
      <c r="E106" s="2522" t="s">
        <v>647</v>
      </c>
      <c r="F106" s="2523"/>
      <c r="G106" s="2524"/>
      <c r="H106" s="2522" t="s">
        <v>648</v>
      </c>
      <c r="I106" s="2523"/>
      <c r="J106" s="2524"/>
      <c r="N106" s="2188" t="s">
        <v>198</v>
      </c>
      <c r="O106" s="2146"/>
      <c r="P106" s="2189"/>
      <c r="Q106" s="2188" t="s">
        <v>292</v>
      </c>
      <c r="R106" s="2146"/>
      <c r="S106" s="2189"/>
      <c r="T106" s="1133"/>
      <c r="U106" s="1133"/>
      <c r="V106" s="1133"/>
    </row>
    <row r="107" spans="1:25" ht="12.75" customHeight="1">
      <c r="A107" s="2529"/>
      <c r="B107" s="94" t="s">
        <v>1197</v>
      </c>
      <c r="C107" s="2"/>
      <c r="D107" s="2"/>
      <c r="E107" s="94" t="s">
        <v>1197</v>
      </c>
      <c r="F107" s="2"/>
      <c r="G107" s="2"/>
      <c r="H107" s="94" t="s">
        <v>1197</v>
      </c>
      <c r="I107" s="2"/>
      <c r="J107" s="2"/>
      <c r="K107" s="94" t="s">
        <v>1197</v>
      </c>
      <c r="L107" s="1"/>
      <c r="M107" s="1"/>
      <c r="N107" s="94" t="s">
        <v>1197</v>
      </c>
      <c r="O107" s="2"/>
      <c r="P107" s="2"/>
      <c r="Q107" s="94" t="s">
        <v>1197</v>
      </c>
      <c r="R107" s="2"/>
      <c r="S107" s="2"/>
      <c r="T107" s="94" t="s">
        <v>1197</v>
      </c>
      <c r="U107" s="2"/>
      <c r="V107" s="2"/>
      <c r="W107" s="94" t="s">
        <v>1197</v>
      </c>
    </row>
    <row r="108" spans="1:25" ht="12.75" customHeight="1">
      <c r="A108" s="2529"/>
      <c r="B108" s="1"/>
      <c r="C108" s="1"/>
      <c r="D108" s="1"/>
      <c r="E108" s="1"/>
      <c r="F108" s="1"/>
      <c r="G108" s="1"/>
      <c r="H108" s="1"/>
      <c r="I108" s="1"/>
      <c r="J108" s="1"/>
      <c r="N108" s="1"/>
      <c r="O108" s="1"/>
      <c r="P108" s="1"/>
      <c r="Q108" s="1"/>
      <c r="R108" s="1"/>
      <c r="S108" s="1"/>
      <c r="T108" s="1"/>
      <c r="U108" s="1"/>
      <c r="V108" s="1"/>
    </row>
    <row r="109" spans="1:25" ht="12.75" customHeight="1">
      <c r="A109" s="2529"/>
      <c r="B109" s="1"/>
      <c r="C109" s="1"/>
      <c r="D109" s="1"/>
      <c r="E109" s="1"/>
      <c r="F109" s="1"/>
      <c r="G109" s="1"/>
      <c r="H109" s="1"/>
      <c r="I109" s="1"/>
      <c r="J109" s="1"/>
      <c r="N109" s="1"/>
      <c r="O109" s="1"/>
      <c r="P109" s="1"/>
      <c r="Q109" s="1"/>
      <c r="R109" s="1"/>
      <c r="S109" s="1"/>
      <c r="T109" s="1"/>
      <c r="U109" s="1"/>
      <c r="V109" s="1"/>
    </row>
    <row r="110" spans="1:25" ht="12.75" customHeight="1">
      <c r="A110" s="2529"/>
      <c r="B110" s="1"/>
      <c r="C110" s="1"/>
      <c r="D110" s="1"/>
      <c r="E110" s="1"/>
      <c r="F110" s="1"/>
      <c r="G110" s="1"/>
      <c r="H110" s="1"/>
      <c r="I110" s="1"/>
      <c r="J110" s="1"/>
      <c r="N110" s="1"/>
      <c r="O110" s="1"/>
      <c r="P110" s="1"/>
      <c r="Q110" s="1"/>
      <c r="R110" s="1"/>
      <c r="S110" s="1"/>
      <c r="T110" s="1"/>
      <c r="U110" s="1"/>
      <c r="V110" s="1"/>
    </row>
    <row r="111" spans="1:25" ht="12.75" customHeight="1">
      <c r="A111" s="2529"/>
      <c r="B111" s="1"/>
      <c r="C111" s="1"/>
      <c r="D111" s="1"/>
      <c r="E111" s="1"/>
      <c r="F111" s="1"/>
      <c r="G111" s="1"/>
      <c r="H111" s="1"/>
      <c r="I111" s="1"/>
      <c r="J111" s="1"/>
      <c r="N111" s="1"/>
      <c r="O111" s="1"/>
      <c r="P111" s="1"/>
      <c r="Q111" s="1"/>
      <c r="R111" s="1"/>
      <c r="S111" s="1"/>
      <c r="T111" s="1"/>
      <c r="U111" s="1"/>
      <c r="V111" s="1"/>
    </row>
    <row r="112" spans="1:25" ht="12.75" customHeight="1">
      <c r="A112" s="2529"/>
      <c r="B112" s="1"/>
      <c r="C112" s="1"/>
      <c r="D112" s="1"/>
      <c r="E112" s="1"/>
      <c r="F112" s="1"/>
      <c r="G112" s="1"/>
      <c r="H112" s="1"/>
      <c r="I112" s="1"/>
      <c r="J112" s="1"/>
      <c r="N112" s="1"/>
      <c r="O112" s="1"/>
      <c r="P112" s="1"/>
      <c r="Q112" s="1"/>
      <c r="R112" s="1"/>
      <c r="S112" s="1"/>
      <c r="T112" s="1"/>
      <c r="U112" s="1"/>
      <c r="V112" s="1"/>
    </row>
    <row r="113" spans="1:23" ht="12.75" customHeight="1">
      <c r="A113" s="2529"/>
      <c r="B113" s="1"/>
      <c r="C113" s="1"/>
      <c r="D113" s="1"/>
      <c r="E113" s="1"/>
      <c r="F113" s="1"/>
      <c r="G113" s="1"/>
      <c r="H113" s="1"/>
      <c r="I113" s="1"/>
      <c r="J113" s="1"/>
      <c r="N113" s="1"/>
      <c r="O113" s="1"/>
      <c r="P113" s="1"/>
      <c r="Q113" s="1"/>
      <c r="R113" s="1"/>
      <c r="S113" s="1"/>
      <c r="T113" s="1"/>
      <c r="U113" s="1"/>
      <c r="V113" s="1"/>
    </row>
    <row r="114" spans="1:23" ht="12.75" customHeight="1">
      <c r="A114" s="2529"/>
      <c r="B114" s="1"/>
      <c r="C114" s="1"/>
      <c r="D114" s="1"/>
      <c r="E114" s="1"/>
      <c r="F114" s="1"/>
      <c r="G114" s="1"/>
      <c r="H114" s="1"/>
      <c r="I114" s="1"/>
      <c r="J114" s="1"/>
      <c r="N114" s="1"/>
      <c r="O114" s="1"/>
      <c r="P114" s="1"/>
      <c r="Q114" s="1"/>
      <c r="R114" s="1"/>
      <c r="S114" s="1"/>
      <c r="T114" s="1"/>
      <c r="U114" s="1"/>
      <c r="V114" s="1"/>
    </row>
    <row r="115" spans="1:23" ht="12.75" customHeight="1">
      <c r="A115" s="2529"/>
      <c r="B115" s="1"/>
      <c r="C115" s="1"/>
      <c r="D115" s="1"/>
      <c r="E115" s="1"/>
      <c r="F115" s="1"/>
      <c r="G115" s="1"/>
      <c r="H115" s="1"/>
      <c r="I115" s="1"/>
      <c r="J115" s="1"/>
      <c r="N115" s="1"/>
      <c r="O115" s="1"/>
      <c r="P115" s="1"/>
      <c r="Q115" s="1"/>
      <c r="R115" s="1"/>
      <c r="S115" s="1"/>
      <c r="T115" s="1"/>
      <c r="U115" s="1"/>
      <c r="V115" s="1"/>
    </row>
    <row r="116" spans="1:23" ht="12.75" customHeight="1">
      <c r="A116" s="2529"/>
      <c r="B116" s="1"/>
      <c r="C116" s="1"/>
      <c r="D116" s="1"/>
      <c r="E116" s="1"/>
      <c r="F116" s="1"/>
      <c r="G116" s="1"/>
      <c r="H116" s="1"/>
      <c r="I116" s="1"/>
      <c r="J116" s="1"/>
      <c r="N116" s="1"/>
      <c r="O116" s="1"/>
      <c r="P116" s="1"/>
      <c r="Q116" s="1"/>
      <c r="R116" s="1"/>
      <c r="S116" s="1"/>
      <c r="T116" s="1"/>
      <c r="U116" s="1"/>
      <c r="V116" s="1"/>
    </row>
    <row r="117" spans="1:23" ht="12.75" customHeight="1">
      <c r="A117" s="2529"/>
      <c r="B117" s="1"/>
      <c r="C117" s="1"/>
      <c r="D117" s="1"/>
      <c r="E117" s="1"/>
      <c r="F117" s="1"/>
      <c r="G117" s="1"/>
      <c r="H117" s="1"/>
      <c r="I117" s="1"/>
      <c r="J117" s="1"/>
      <c r="N117" s="1"/>
      <c r="O117" s="1"/>
      <c r="P117" s="1"/>
      <c r="Q117" s="1"/>
      <c r="R117" s="1"/>
      <c r="S117" s="1"/>
      <c r="T117" s="1"/>
      <c r="U117" s="1"/>
      <c r="V117" s="1"/>
    </row>
    <row r="118" spans="1:23" ht="12.75" customHeight="1">
      <c r="A118" s="2529"/>
      <c r="B118" s="1"/>
      <c r="C118" s="1"/>
      <c r="D118" s="1"/>
      <c r="E118" s="1"/>
      <c r="F118" s="1"/>
      <c r="G118" s="1"/>
      <c r="H118" s="1"/>
      <c r="I118" s="1"/>
      <c r="J118" s="1"/>
      <c r="N118" s="1"/>
      <c r="O118" s="1"/>
      <c r="P118" s="1"/>
      <c r="Q118" s="1"/>
      <c r="R118" s="1"/>
      <c r="S118" s="1"/>
      <c r="T118" s="1"/>
      <c r="U118" s="1"/>
      <c r="V118" s="1"/>
    </row>
    <row r="119" spans="1:23" ht="12.75" customHeight="1">
      <c r="A119" s="2529"/>
      <c r="B119" s="1"/>
      <c r="C119" s="1"/>
      <c r="D119" s="1"/>
      <c r="E119" s="1"/>
      <c r="F119" s="1"/>
      <c r="G119" s="1"/>
      <c r="H119" s="1"/>
      <c r="I119" s="1"/>
      <c r="J119" s="1"/>
      <c r="N119" s="1"/>
      <c r="O119" s="1"/>
      <c r="P119" s="1"/>
      <c r="Q119" s="1"/>
      <c r="R119" s="1"/>
      <c r="S119" s="1"/>
      <c r="T119" s="1"/>
      <c r="U119" s="1"/>
      <c r="V119" s="1"/>
    </row>
    <row r="120" spans="1:23" ht="12.75" customHeight="1">
      <c r="A120" s="2529"/>
      <c r="B120" s="1"/>
      <c r="C120" s="1"/>
      <c r="D120" s="1"/>
      <c r="E120" s="1"/>
      <c r="F120" s="1"/>
      <c r="G120" s="1"/>
      <c r="H120" s="1"/>
      <c r="I120" s="1"/>
      <c r="J120" s="1"/>
      <c r="N120" s="1"/>
      <c r="O120" s="1"/>
      <c r="P120" s="1"/>
      <c r="Q120" s="1"/>
      <c r="R120" s="1"/>
      <c r="S120" s="1"/>
      <c r="T120" s="1"/>
      <c r="U120" s="1"/>
      <c r="V120" s="1"/>
    </row>
    <row r="121" spans="1:23" ht="12.75" customHeight="1">
      <c r="A121" s="2529"/>
      <c r="B121" s="1"/>
      <c r="C121" s="1"/>
      <c r="D121" s="1"/>
      <c r="E121" s="1"/>
      <c r="F121" s="1"/>
      <c r="G121" s="1"/>
      <c r="H121" s="1"/>
      <c r="I121" s="1"/>
      <c r="J121" s="1"/>
      <c r="N121" s="1"/>
      <c r="O121" s="1"/>
      <c r="P121" s="1"/>
      <c r="Q121" s="1"/>
      <c r="R121" s="1"/>
      <c r="S121" s="1"/>
      <c r="T121" s="1"/>
      <c r="U121" s="1"/>
      <c r="V121" s="1"/>
    </row>
    <row r="122" spans="1:23" ht="12.75" customHeight="1">
      <c r="A122" s="2529"/>
      <c r="B122" s="1"/>
      <c r="C122" s="1"/>
      <c r="D122" s="1"/>
      <c r="E122" s="1"/>
      <c r="F122" s="1"/>
      <c r="G122" s="1"/>
      <c r="H122" s="1"/>
      <c r="I122" s="1"/>
      <c r="J122" s="1"/>
      <c r="N122" s="1"/>
      <c r="O122" s="1"/>
      <c r="P122" s="1"/>
      <c r="Q122" s="1"/>
      <c r="R122" s="1"/>
      <c r="S122" s="1"/>
      <c r="T122" s="1"/>
      <c r="U122" s="1"/>
      <c r="V122" s="1"/>
    </row>
    <row r="123" spans="1:23" ht="12.75" customHeight="1">
      <c r="A123" s="2529"/>
      <c r="B123" s="1"/>
      <c r="C123" s="1"/>
      <c r="D123" s="1"/>
      <c r="E123" s="1"/>
      <c r="F123" s="1"/>
      <c r="G123" s="1"/>
      <c r="H123" s="1"/>
      <c r="I123" s="1"/>
      <c r="J123" s="1"/>
      <c r="N123" s="1"/>
      <c r="O123" s="1"/>
      <c r="P123" s="1"/>
      <c r="Q123" s="1"/>
      <c r="R123" s="1"/>
      <c r="S123" s="1"/>
      <c r="T123" s="1"/>
      <c r="U123" s="1"/>
      <c r="V123" s="1"/>
    </row>
    <row r="124" spans="1:23" ht="12.75" customHeight="1">
      <c r="A124" s="2529"/>
      <c r="B124" s="1"/>
      <c r="C124" s="1"/>
      <c r="D124" s="1"/>
      <c r="E124" s="1"/>
      <c r="F124" s="1"/>
      <c r="G124" s="1"/>
      <c r="H124" s="1"/>
      <c r="I124" s="1"/>
      <c r="J124" s="1"/>
      <c r="N124" s="1"/>
      <c r="O124" s="1"/>
      <c r="P124" s="1"/>
      <c r="Q124" s="1"/>
      <c r="R124" s="1"/>
      <c r="S124" s="1"/>
      <c r="T124" s="1"/>
      <c r="U124" s="1"/>
      <c r="V124" s="1"/>
    </row>
    <row r="125" spans="1:23" ht="12.75" customHeight="1" thickBot="1">
      <c r="A125" s="2530"/>
      <c r="H125" s="1"/>
      <c r="I125" s="1"/>
      <c r="J125" s="1"/>
      <c r="N125" s="1"/>
      <c r="O125" s="1"/>
      <c r="Q125" s="1"/>
      <c r="R125" s="1"/>
      <c r="S125" s="1"/>
      <c r="T125" s="1"/>
      <c r="U125" s="1"/>
      <c r="V125" s="1"/>
    </row>
    <row r="126" spans="1:23" s="1128" customFormat="1" ht="12.75" customHeight="1">
      <c r="A126" s="2528" t="s">
        <v>48</v>
      </c>
      <c r="B126" s="2522" t="s">
        <v>293</v>
      </c>
      <c r="C126" s="2523"/>
      <c r="D126" s="2524"/>
      <c r="E126" s="2522" t="s">
        <v>294</v>
      </c>
      <c r="F126" s="2523"/>
      <c r="G126" s="2524"/>
      <c r="H126" s="2522" t="s">
        <v>1105</v>
      </c>
      <c r="I126" s="2523"/>
      <c r="J126" s="2524"/>
      <c r="K126" s="2522" t="s">
        <v>1106</v>
      </c>
      <c r="L126" s="2523"/>
      <c r="M126" s="2524"/>
      <c r="N126" s="2522" t="s">
        <v>1709</v>
      </c>
      <c r="O126" s="2523"/>
      <c r="P126" s="2524"/>
      <c r="Q126" s="1132"/>
      <c r="R126" s="1132"/>
      <c r="S126" s="1132"/>
    </row>
    <row r="127" spans="1:23" ht="12.75" customHeight="1">
      <c r="A127" s="2529"/>
      <c r="B127" s="94" t="s">
        <v>1197</v>
      </c>
      <c r="C127" s="2"/>
      <c r="D127" s="2"/>
      <c r="E127" s="94" t="s">
        <v>1197</v>
      </c>
      <c r="F127" s="2"/>
      <c r="G127" s="2"/>
      <c r="H127" s="94" t="s">
        <v>1197</v>
      </c>
      <c r="I127" s="2"/>
      <c r="J127" s="2"/>
      <c r="K127" s="94" t="s">
        <v>1197</v>
      </c>
      <c r="L127" s="1"/>
      <c r="M127" s="1"/>
      <c r="N127" s="94" t="s">
        <v>1197</v>
      </c>
      <c r="O127" s="2"/>
      <c r="P127" s="2"/>
      <c r="Q127" s="94" t="s">
        <v>1197</v>
      </c>
      <c r="R127" s="2"/>
      <c r="S127" s="2"/>
      <c r="T127" s="94" t="s">
        <v>1197</v>
      </c>
      <c r="U127" s="2"/>
      <c r="V127" s="2"/>
      <c r="W127" s="94" t="s">
        <v>1197</v>
      </c>
    </row>
    <row r="128" spans="1:23" ht="12.75" customHeight="1">
      <c r="A128" s="2529"/>
      <c r="B128" s="1"/>
      <c r="C128" s="1"/>
      <c r="D128" s="1"/>
      <c r="E128" s="1"/>
      <c r="F128" s="1"/>
      <c r="G128" s="1"/>
      <c r="H128" s="1"/>
      <c r="I128" s="1"/>
      <c r="J128" s="1"/>
      <c r="K128" s="2"/>
      <c r="L128" s="2"/>
      <c r="M128" s="2"/>
      <c r="N128" s="2"/>
      <c r="O128" s="2"/>
      <c r="P128" s="2"/>
      <c r="Q128" s="2"/>
      <c r="R128" s="2"/>
      <c r="S128" s="2"/>
    </row>
    <row r="129" spans="1:19" ht="12.75" customHeight="1">
      <c r="A129" s="2529"/>
      <c r="B129" s="1"/>
      <c r="C129" s="1"/>
      <c r="D129" s="1"/>
      <c r="E129" s="1"/>
      <c r="F129" s="1"/>
      <c r="G129" s="1"/>
      <c r="H129" s="1"/>
      <c r="I129" s="1"/>
      <c r="J129" s="1"/>
      <c r="K129" s="2"/>
      <c r="L129" s="2"/>
      <c r="M129" s="2"/>
      <c r="N129" s="2"/>
      <c r="O129" s="2"/>
      <c r="P129" s="2"/>
      <c r="Q129" s="2"/>
      <c r="R129" s="2"/>
      <c r="S129" s="2"/>
    </row>
    <row r="130" spans="1:19" ht="12.75" customHeight="1">
      <c r="A130" s="2529"/>
      <c r="B130" s="1"/>
      <c r="C130" s="1"/>
      <c r="D130" s="1"/>
      <c r="E130" s="1"/>
      <c r="F130" s="1"/>
      <c r="G130" s="1"/>
      <c r="H130" s="1"/>
      <c r="I130" s="1"/>
      <c r="J130" s="1"/>
      <c r="K130" s="2"/>
      <c r="L130" s="2"/>
      <c r="M130" s="2"/>
      <c r="N130" s="2"/>
      <c r="O130" s="2"/>
      <c r="P130" s="2"/>
      <c r="Q130" s="2"/>
      <c r="R130" s="2"/>
      <c r="S130" s="2"/>
    </row>
    <row r="131" spans="1:19" ht="12.75" customHeight="1">
      <c r="A131" s="2529"/>
      <c r="B131" s="1"/>
      <c r="C131" s="1"/>
      <c r="D131" s="1"/>
      <c r="E131" s="1"/>
      <c r="F131" s="1"/>
      <c r="G131" s="1"/>
      <c r="H131" s="1"/>
      <c r="I131" s="1"/>
      <c r="J131" s="1"/>
      <c r="K131" s="2"/>
      <c r="L131" s="2"/>
      <c r="M131" s="2"/>
      <c r="N131" s="2"/>
      <c r="O131" s="2"/>
      <c r="P131" s="2"/>
      <c r="Q131" s="2"/>
      <c r="R131" s="2"/>
      <c r="S131" s="2"/>
    </row>
    <row r="132" spans="1:19" ht="12.75" customHeight="1">
      <c r="A132" s="2529"/>
      <c r="B132" s="1"/>
      <c r="C132" s="1"/>
      <c r="D132" s="1"/>
      <c r="E132" s="1"/>
      <c r="F132" s="1"/>
      <c r="G132" s="1"/>
      <c r="H132" s="1"/>
      <c r="I132" s="1"/>
      <c r="J132" s="1"/>
      <c r="K132" s="2"/>
      <c r="L132" s="2"/>
      <c r="M132" s="2"/>
      <c r="N132" s="2"/>
      <c r="O132" s="2"/>
      <c r="P132" s="2"/>
      <c r="Q132" s="2"/>
      <c r="R132" s="2"/>
      <c r="S132" s="2"/>
    </row>
    <row r="133" spans="1:19" ht="12.75" customHeight="1">
      <c r="A133" s="2529"/>
      <c r="B133" s="1"/>
      <c r="C133" s="1"/>
      <c r="D133" s="1"/>
      <c r="E133" s="1"/>
      <c r="F133" s="1"/>
      <c r="G133" s="1"/>
      <c r="H133" s="1"/>
      <c r="I133" s="1"/>
      <c r="J133" s="1"/>
      <c r="K133" s="2"/>
      <c r="L133" s="2"/>
      <c r="M133" s="2"/>
      <c r="N133" s="2"/>
      <c r="O133" s="2"/>
      <c r="P133" s="2"/>
      <c r="Q133" s="2"/>
      <c r="R133" s="2"/>
      <c r="S133" s="2"/>
    </row>
    <row r="134" spans="1:19" ht="12.75" customHeight="1">
      <c r="A134" s="2529"/>
      <c r="B134" s="1"/>
      <c r="C134" s="1"/>
      <c r="D134" s="1"/>
      <c r="E134" s="1"/>
      <c r="F134" s="1"/>
      <c r="G134" s="1"/>
      <c r="H134" s="1"/>
      <c r="I134" s="1"/>
      <c r="J134" s="1"/>
      <c r="K134" s="2"/>
      <c r="L134" s="2"/>
      <c r="M134" s="2"/>
      <c r="N134" s="2"/>
      <c r="O134" s="2"/>
      <c r="P134" s="2"/>
      <c r="Q134" s="2"/>
      <c r="R134" s="2"/>
      <c r="S134" s="2"/>
    </row>
    <row r="135" spans="1:19" ht="12.75" customHeight="1">
      <c r="A135" s="2529"/>
      <c r="B135" s="1"/>
      <c r="C135" s="1"/>
      <c r="D135" s="1"/>
      <c r="E135" s="1"/>
      <c r="F135" s="1"/>
      <c r="G135" s="1"/>
      <c r="H135" s="1"/>
      <c r="I135" s="1"/>
      <c r="J135" s="1"/>
      <c r="K135" s="2"/>
      <c r="L135" s="2"/>
      <c r="M135" s="2"/>
      <c r="N135" s="2"/>
      <c r="O135" s="2"/>
      <c r="P135" s="2"/>
      <c r="Q135" s="2"/>
      <c r="R135" s="2"/>
      <c r="S135" s="2"/>
    </row>
    <row r="136" spans="1:19" ht="12.75" customHeight="1">
      <c r="A136" s="2529"/>
      <c r="B136" s="1"/>
      <c r="C136" s="1"/>
      <c r="D136" s="1"/>
      <c r="E136" s="1"/>
      <c r="F136" s="1"/>
      <c r="G136" s="1"/>
      <c r="H136" s="1"/>
      <c r="I136" s="1"/>
      <c r="J136" s="1"/>
      <c r="K136" s="2"/>
      <c r="L136" s="2"/>
      <c r="M136" s="2"/>
      <c r="N136" s="2"/>
      <c r="O136" s="2"/>
      <c r="P136" s="2"/>
      <c r="Q136" s="2"/>
      <c r="R136" s="2"/>
      <c r="S136" s="2"/>
    </row>
    <row r="137" spans="1:19" ht="12.75" customHeight="1">
      <c r="A137" s="2529"/>
      <c r="B137" s="1"/>
      <c r="C137" s="1"/>
      <c r="D137" s="1"/>
      <c r="E137" s="1"/>
      <c r="F137" s="1"/>
      <c r="G137" s="1"/>
      <c r="H137" s="1"/>
      <c r="I137" s="1"/>
      <c r="J137" s="1"/>
      <c r="K137" s="2"/>
      <c r="L137" s="2"/>
      <c r="M137" s="2"/>
      <c r="N137" s="2"/>
      <c r="O137" s="2"/>
      <c r="P137" s="2"/>
      <c r="Q137" s="2"/>
      <c r="R137" s="2"/>
      <c r="S137" s="2"/>
    </row>
    <row r="138" spans="1:19" ht="12.75" customHeight="1">
      <c r="A138" s="2529"/>
      <c r="B138" s="1"/>
      <c r="C138" s="1"/>
      <c r="D138" s="1"/>
      <c r="E138" s="1"/>
      <c r="F138" s="1"/>
      <c r="G138" s="1"/>
      <c r="H138" s="1"/>
      <c r="I138" s="1"/>
      <c r="J138" s="1"/>
      <c r="K138" s="2"/>
      <c r="L138" s="2"/>
      <c r="M138" s="2"/>
      <c r="N138" s="2"/>
      <c r="O138" s="2"/>
      <c r="P138" s="2"/>
      <c r="Q138" s="2"/>
      <c r="R138" s="2"/>
      <c r="S138" s="2"/>
    </row>
    <row r="139" spans="1:19" ht="12.75" customHeight="1">
      <c r="A139" s="2529"/>
      <c r="B139" s="1"/>
      <c r="C139" s="1"/>
      <c r="D139" s="1"/>
      <c r="E139" s="1"/>
      <c r="F139" s="1"/>
      <c r="G139" s="1"/>
      <c r="H139" s="1"/>
      <c r="I139" s="1"/>
      <c r="J139" s="1"/>
      <c r="K139" s="2"/>
      <c r="L139" s="2"/>
      <c r="M139" s="2"/>
      <c r="N139" s="2"/>
      <c r="O139" s="2"/>
      <c r="P139" s="2"/>
      <c r="Q139" s="2"/>
      <c r="R139" s="2"/>
      <c r="S139" s="2"/>
    </row>
    <row r="140" spans="1:19" ht="12.75" customHeight="1">
      <c r="A140" s="2529"/>
      <c r="B140" s="1"/>
      <c r="C140" s="1"/>
      <c r="D140" s="1"/>
      <c r="E140" s="1"/>
      <c r="F140" s="1"/>
      <c r="G140" s="1"/>
      <c r="H140" s="1"/>
      <c r="I140" s="1"/>
      <c r="J140" s="1"/>
      <c r="K140" s="2"/>
      <c r="L140" s="2"/>
      <c r="M140" s="2"/>
      <c r="N140" s="2"/>
      <c r="O140" s="2"/>
      <c r="P140" s="2"/>
      <c r="Q140" s="2"/>
      <c r="R140" s="2"/>
      <c r="S140" s="2"/>
    </row>
    <row r="141" spans="1:19" ht="12.75" customHeight="1">
      <c r="A141" s="2529"/>
      <c r="B141" s="1"/>
      <c r="C141" s="1"/>
      <c r="D141" s="1"/>
      <c r="E141" s="1"/>
      <c r="F141" s="1"/>
      <c r="G141" s="1"/>
      <c r="H141" s="1"/>
      <c r="I141" s="1"/>
      <c r="J141" s="1"/>
      <c r="K141" s="2"/>
      <c r="L141" s="2"/>
      <c r="M141" s="2"/>
      <c r="N141" s="2"/>
      <c r="O141" s="2"/>
      <c r="P141" s="2"/>
      <c r="Q141" s="2"/>
      <c r="R141" s="2"/>
      <c r="S141" s="2"/>
    </row>
    <row r="142" spans="1:19" ht="12.75" customHeight="1">
      <c r="A142" s="2529"/>
      <c r="B142" s="1"/>
      <c r="C142" s="1"/>
      <c r="D142" s="1"/>
      <c r="E142" s="1"/>
      <c r="F142" s="1"/>
      <c r="G142" s="1"/>
      <c r="H142" s="1"/>
      <c r="I142" s="1"/>
      <c r="J142" s="1"/>
      <c r="K142" s="2"/>
      <c r="L142" s="2"/>
      <c r="M142" s="2"/>
      <c r="N142" s="2"/>
      <c r="O142" s="2"/>
      <c r="P142" s="2"/>
      <c r="Q142" s="2"/>
      <c r="R142" s="2"/>
      <c r="S142" s="2"/>
    </row>
    <row r="143" spans="1:19" ht="12.75" customHeight="1">
      <c r="A143" s="2529"/>
      <c r="B143" s="1"/>
      <c r="C143" s="1"/>
      <c r="D143" s="1"/>
      <c r="E143" s="1"/>
      <c r="F143" s="1"/>
      <c r="G143" s="1"/>
      <c r="H143" s="1"/>
      <c r="I143" s="1"/>
      <c r="J143" s="1"/>
      <c r="K143" s="2"/>
      <c r="L143" s="2"/>
      <c r="M143" s="2"/>
      <c r="N143" s="1"/>
      <c r="O143" s="2"/>
      <c r="P143" s="2"/>
      <c r="Q143" s="2"/>
      <c r="R143" s="2"/>
      <c r="S143" s="2"/>
    </row>
    <row r="144" spans="1:19" ht="12.75" customHeight="1">
      <c r="A144" s="2529"/>
      <c r="B144" s="1"/>
      <c r="C144" s="1"/>
      <c r="D144" s="1"/>
      <c r="E144" s="1"/>
      <c r="F144" s="1"/>
      <c r="G144" s="1"/>
      <c r="H144" s="1"/>
      <c r="I144" s="1"/>
      <c r="J144" s="1"/>
      <c r="K144" s="2"/>
      <c r="L144" s="2"/>
      <c r="M144" s="2"/>
      <c r="N144" s="2"/>
      <c r="O144" s="2"/>
      <c r="P144" s="2"/>
      <c r="Q144" s="2"/>
      <c r="R144" s="2"/>
      <c r="S144" s="2"/>
    </row>
    <row r="145" spans="1:23" ht="12.75" customHeight="1" thickBot="1">
      <c r="A145" s="2530"/>
      <c r="B145" s="1"/>
      <c r="C145" s="1"/>
      <c r="D145" s="1"/>
      <c r="E145" s="1"/>
      <c r="F145" s="1"/>
      <c r="G145" s="1"/>
      <c r="H145" s="1"/>
      <c r="I145" s="1"/>
      <c r="J145" s="1"/>
      <c r="K145" s="2"/>
      <c r="L145" s="2"/>
      <c r="M145" s="2"/>
      <c r="N145" s="2"/>
      <c r="O145" s="2"/>
      <c r="P145" s="2"/>
      <c r="Q145" s="2"/>
      <c r="R145" s="2"/>
      <c r="S145" s="2"/>
    </row>
    <row r="146" spans="1:23" s="1128" customFormat="1" ht="12.75" customHeight="1">
      <c r="A146" s="2528" t="s">
        <v>295</v>
      </c>
      <c r="B146" s="2522" t="s">
        <v>1604</v>
      </c>
      <c r="C146" s="2523"/>
      <c r="D146" s="2524"/>
      <c r="E146" s="2522" t="s">
        <v>1605</v>
      </c>
      <c r="F146" s="2523"/>
      <c r="G146" s="2524"/>
      <c r="H146" s="2522" t="s">
        <v>1606</v>
      </c>
      <c r="I146" s="2523"/>
      <c r="J146" s="2524"/>
      <c r="K146" s="2522" t="s">
        <v>1607</v>
      </c>
      <c r="L146" s="2523"/>
      <c r="M146" s="2524"/>
    </row>
    <row r="147" spans="1:23" ht="12.75" customHeight="1">
      <c r="A147" s="2529"/>
      <c r="B147" s="94" t="s">
        <v>1197</v>
      </c>
      <c r="C147" s="2"/>
      <c r="D147" s="2"/>
      <c r="E147" s="94" t="s">
        <v>1197</v>
      </c>
      <c r="F147" s="2"/>
      <c r="G147" s="2"/>
      <c r="H147" s="94" t="s">
        <v>1197</v>
      </c>
      <c r="I147" s="2"/>
      <c r="J147" s="2"/>
      <c r="K147" s="94" t="s">
        <v>1197</v>
      </c>
      <c r="L147" s="1"/>
      <c r="M147" s="1"/>
      <c r="N147" s="94" t="s">
        <v>1197</v>
      </c>
      <c r="O147" s="2"/>
      <c r="P147" s="2"/>
      <c r="Q147" s="94" t="s">
        <v>1197</v>
      </c>
      <c r="R147" s="2"/>
      <c r="S147" s="2"/>
      <c r="T147" s="94" t="s">
        <v>1197</v>
      </c>
      <c r="U147" s="2"/>
      <c r="V147" s="2"/>
      <c r="W147" s="94" t="s">
        <v>1197</v>
      </c>
    </row>
    <row r="148" spans="1:23" ht="12.75" customHeight="1">
      <c r="A148" s="2529"/>
      <c r="B148" s="2"/>
      <c r="C148" s="2"/>
      <c r="D148" s="2"/>
      <c r="E148" s="1"/>
      <c r="F148" s="1"/>
      <c r="G148" s="1"/>
      <c r="H148" s="1"/>
      <c r="I148" s="1"/>
      <c r="J148" s="1"/>
      <c r="K148" s="1"/>
      <c r="L148" s="1"/>
      <c r="M148" s="1"/>
    </row>
    <row r="149" spans="1:23" ht="12.75" customHeight="1">
      <c r="A149" s="2529"/>
      <c r="B149" s="2"/>
      <c r="C149" s="2"/>
      <c r="D149" s="2"/>
      <c r="E149" s="1"/>
      <c r="F149" s="1"/>
      <c r="G149" s="1"/>
      <c r="H149" s="1"/>
      <c r="I149" s="1"/>
      <c r="J149" s="1"/>
      <c r="K149" s="1"/>
      <c r="L149" s="1"/>
      <c r="M149" s="1"/>
    </row>
    <row r="150" spans="1:23" ht="12.75" customHeight="1">
      <c r="A150" s="2529"/>
      <c r="B150" s="2"/>
      <c r="C150" s="2"/>
      <c r="D150" s="2"/>
      <c r="E150" s="1"/>
      <c r="F150" s="1"/>
      <c r="G150" s="1"/>
      <c r="H150" s="1"/>
      <c r="I150" s="1"/>
      <c r="J150" s="1"/>
      <c r="K150" s="1"/>
      <c r="L150" s="1"/>
      <c r="M150" s="1"/>
    </row>
    <row r="151" spans="1:23" ht="12.75" customHeight="1">
      <c r="A151" s="2529"/>
      <c r="B151" s="2"/>
      <c r="C151" s="2"/>
      <c r="D151" s="2"/>
      <c r="E151" s="1"/>
      <c r="F151" s="1"/>
      <c r="G151" s="1"/>
      <c r="H151" s="1"/>
      <c r="I151" s="1"/>
      <c r="J151" s="1"/>
      <c r="K151" s="1"/>
      <c r="L151" s="1"/>
      <c r="M151" s="1"/>
    </row>
    <row r="152" spans="1:23" ht="12.75" customHeight="1">
      <c r="A152" s="2529"/>
      <c r="B152" s="2"/>
      <c r="C152" s="2"/>
      <c r="D152" s="2"/>
      <c r="E152" s="1"/>
      <c r="F152" s="1"/>
      <c r="G152" s="1"/>
      <c r="H152" s="1"/>
      <c r="I152" s="1"/>
      <c r="J152" s="1"/>
      <c r="K152" s="1"/>
      <c r="L152" s="1"/>
      <c r="M152" s="1"/>
    </row>
    <row r="153" spans="1:23" ht="12.75" customHeight="1">
      <c r="A153" s="2529"/>
      <c r="B153" s="2"/>
      <c r="C153" s="2"/>
      <c r="D153" s="2"/>
      <c r="E153" s="1"/>
      <c r="F153" s="1"/>
      <c r="G153" s="1"/>
      <c r="H153" s="1"/>
      <c r="I153" s="1"/>
      <c r="J153" s="1"/>
      <c r="K153" s="1"/>
      <c r="L153" s="1"/>
      <c r="M153" s="1"/>
    </row>
    <row r="154" spans="1:23" ht="12.75" customHeight="1">
      <c r="A154" s="2529"/>
      <c r="B154" s="2"/>
      <c r="C154" s="2"/>
      <c r="D154" s="2"/>
      <c r="E154" s="1"/>
      <c r="F154" s="1"/>
      <c r="G154" s="1"/>
      <c r="H154" s="1"/>
      <c r="I154" s="1"/>
      <c r="J154" s="1"/>
      <c r="K154" s="1"/>
      <c r="L154" s="1"/>
      <c r="M154" s="1"/>
    </row>
    <row r="155" spans="1:23" ht="12.75" customHeight="1">
      <c r="A155" s="2529"/>
      <c r="B155" s="2"/>
      <c r="C155" s="2"/>
      <c r="D155" s="2"/>
      <c r="E155" s="1"/>
      <c r="F155" s="1"/>
      <c r="G155" s="1"/>
      <c r="H155" s="1"/>
      <c r="I155" s="1"/>
      <c r="J155" s="1"/>
      <c r="K155" s="1"/>
      <c r="L155" s="1"/>
      <c r="M155" s="1"/>
    </row>
    <row r="156" spans="1:23" ht="12.75" customHeight="1">
      <c r="A156" s="2529"/>
      <c r="B156" s="2"/>
      <c r="C156" s="2"/>
      <c r="D156" s="2"/>
      <c r="E156" s="1"/>
      <c r="F156" s="1"/>
      <c r="G156" s="1"/>
      <c r="H156" s="1"/>
      <c r="I156" s="1"/>
      <c r="J156" s="1"/>
      <c r="K156" s="1"/>
      <c r="L156" s="1"/>
      <c r="M156" s="1"/>
    </row>
    <row r="157" spans="1:23" ht="12.75" customHeight="1">
      <c r="A157" s="2529"/>
      <c r="B157" s="2"/>
      <c r="C157" s="2"/>
      <c r="D157" s="2"/>
      <c r="E157" s="1"/>
      <c r="F157" s="1"/>
      <c r="G157" s="1"/>
      <c r="H157" s="1"/>
      <c r="I157" s="1"/>
      <c r="J157" s="1"/>
      <c r="K157" s="1"/>
      <c r="L157" s="1"/>
      <c r="M157" s="1"/>
    </row>
    <row r="158" spans="1:23" ht="12.75" customHeight="1">
      <c r="A158" s="2529"/>
      <c r="B158" s="2"/>
      <c r="C158" s="2"/>
      <c r="D158" s="2"/>
      <c r="E158" s="1"/>
      <c r="F158" s="1"/>
      <c r="G158" s="1"/>
      <c r="H158" s="1"/>
      <c r="I158" s="1"/>
      <c r="J158" s="1"/>
      <c r="K158" s="1"/>
      <c r="L158" s="1"/>
      <c r="M158" s="1"/>
    </row>
    <row r="159" spans="1:23" ht="12.75" customHeight="1">
      <c r="A159" s="2529"/>
      <c r="B159" s="2"/>
      <c r="C159" s="2"/>
      <c r="D159" s="2"/>
      <c r="E159" s="1"/>
      <c r="F159" s="1"/>
      <c r="G159" s="1"/>
      <c r="H159" s="1"/>
      <c r="I159" s="1"/>
      <c r="J159" s="1"/>
      <c r="K159" s="1"/>
      <c r="L159" s="1"/>
      <c r="M159" s="1"/>
    </row>
    <row r="160" spans="1:23" ht="12.75" customHeight="1">
      <c r="A160" s="2529"/>
      <c r="B160" s="2"/>
      <c r="C160" s="2"/>
      <c r="D160" s="2"/>
      <c r="E160" s="1"/>
      <c r="F160" s="1"/>
      <c r="G160" s="1"/>
      <c r="H160" s="1"/>
      <c r="I160" s="1"/>
      <c r="J160" s="1"/>
      <c r="K160" s="1"/>
      <c r="L160" s="1"/>
      <c r="M160" s="1"/>
    </row>
    <row r="161" spans="1:23" ht="12.75" customHeight="1">
      <c r="A161" s="2529"/>
      <c r="B161" s="2"/>
      <c r="C161" s="2"/>
      <c r="D161" s="2"/>
      <c r="E161" s="1"/>
      <c r="F161" s="1"/>
      <c r="G161" s="1"/>
      <c r="H161" s="1"/>
      <c r="I161" s="1"/>
      <c r="J161" s="1"/>
      <c r="K161" s="1"/>
      <c r="L161" s="1"/>
      <c r="M161" s="1"/>
    </row>
    <row r="162" spans="1:23" ht="12.75" customHeight="1">
      <c r="A162" s="2529"/>
      <c r="B162" s="2"/>
      <c r="C162" s="2"/>
      <c r="D162" s="2"/>
      <c r="E162" s="1"/>
      <c r="F162" s="1"/>
      <c r="G162" s="1"/>
      <c r="H162" s="1"/>
      <c r="I162" s="1"/>
      <c r="J162" s="1"/>
      <c r="K162" s="1"/>
      <c r="L162" s="1"/>
      <c r="M162" s="1"/>
    </row>
    <row r="163" spans="1:23" ht="12.75" customHeight="1">
      <c r="A163" s="2529"/>
      <c r="B163" s="2"/>
      <c r="C163" s="2"/>
      <c r="D163" s="2"/>
      <c r="E163" s="1"/>
      <c r="F163" s="1"/>
      <c r="G163" s="1"/>
      <c r="H163" s="1"/>
      <c r="I163" s="1"/>
      <c r="J163" s="1"/>
      <c r="K163" s="1"/>
      <c r="L163" s="1"/>
      <c r="M163" s="1"/>
    </row>
    <row r="164" spans="1:23" ht="12.75" customHeight="1">
      <c r="A164" s="2529"/>
      <c r="B164" s="2"/>
      <c r="C164" s="2"/>
      <c r="D164" s="2"/>
      <c r="E164" s="1"/>
      <c r="F164" s="1"/>
      <c r="G164" s="1"/>
      <c r="H164" s="1"/>
      <c r="I164" s="1"/>
      <c r="J164" s="1"/>
      <c r="K164" s="1"/>
      <c r="L164" s="1"/>
      <c r="M164" s="1"/>
    </row>
    <row r="165" spans="1:23" ht="12.75" customHeight="1" thickBot="1">
      <c r="A165" s="2529"/>
      <c r="B165" s="2"/>
      <c r="C165" s="2"/>
      <c r="D165" s="2"/>
      <c r="E165" s="1"/>
      <c r="F165" s="1"/>
      <c r="G165" s="1"/>
      <c r="H165" s="1"/>
      <c r="I165" s="1"/>
      <c r="J165" s="1"/>
      <c r="K165" s="1"/>
      <c r="L165" s="1"/>
      <c r="M165" s="1"/>
    </row>
    <row r="166" spans="1:23" s="1128" customFormat="1" ht="12.75" customHeight="1" thickTop="1">
      <c r="A166" s="2527" t="s">
        <v>298</v>
      </c>
      <c r="B166" s="2522" t="s">
        <v>299</v>
      </c>
      <c r="C166" s="2523"/>
      <c r="D166" s="2524"/>
      <c r="E166" s="2522" t="s">
        <v>1109</v>
      </c>
      <c r="F166" s="2523"/>
      <c r="G166" s="2524"/>
      <c r="H166" s="2522" t="s">
        <v>1107</v>
      </c>
      <c r="I166" s="2523"/>
      <c r="J166" s="2524"/>
      <c r="K166" s="2522" t="s">
        <v>1108</v>
      </c>
      <c r="L166" s="2523"/>
      <c r="M166" s="2524"/>
      <c r="N166" s="1940"/>
      <c r="O166" s="2146" t="s">
        <v>1457</v>
      </c>
      <c r="P166" s="2146"/>
      <c r="Q166" s="2146"/>
      <c r="R166"/>
      <c r="S166"/>
      <c r="T166"/>
      <c r="U166"/>
    </row>
    <row r="167" spans="1:23" ht="12.75" customHeight="1">
      <c r="A167" s="2525"/>
      <c r="B167" s="94" t="s">
        <v>1197</v>
      </c>
      <c r="C167" s="2"/>
      <c r="D167" s="2"/>
      <c r="E167" s="94" t="s">
        <v>1197</v>
      </c>
      <c r="F167" s="2"/>
      <c r="G167" s="2"/>
      <c r="H167" s="94" t="s">
        <v>1197</v>
      </c>
      <c r="I167" s="2"/>
      <c r="J167" s="2"/>
      <c r="K167" s="94" t="s">
        <v>1197</v>
      </c>
      <c r="L167" s="1"/>
      <c r="M167" s="1"/>
      <c r="N167" s="94" t="s">
        <v>1197</v>
      </c>
      <c r="O167" s="2"/>
      <c r="P167" s="2"/>
      <c r="Q167" s="94" t="s">
        <v>1197</v>
      </c>
      <c r="R167" s="2"/>
      <c r="S167" s="2"/>
      <c r="T167" s="94" t="s">
        <v>1197</v>
      </c>
      <c r="U167" s="2"/>
      <c r="V167" s="2"/>
      <c r="W167" s="94" t="s">
        <v>1197</v>
      </c>
    </row>
    <row r="168" spans="1:23" ht="12.75" customHeight="1">
      <c r="A168" s="2525"/>
      <c r="B168" s="93"/>
      <c r="C168" s="2"/>
      <c r="D168" s="2"/>
      <c r="E168" s="1"/>
      <c r="F168" s="1"/>
      <c r="G168" s="1"/>
      <c r="H168" s="2"/>
      <c r="I168" s="2"/>
      <c r="J168" s="2"/>
      <c r="K168" s="2"/>
      <c r="L168" s="2"/>
      <c r="M168" s="2"/>
      <c r="N168" s="2"/>
      <c r="O168" s="1941"/>
      <c r="P168" s="1941"/>
      <c r="Q168" s="1941"/>
    </row>
    <row r="169" spans="1:23" ht="12.75" customHeight="1">
      <c r="A169" s="2525"/>
      <c r="B169" s="93"/>
      <c r="C169" s="2"/>
      <c r="D169" s="2"/>
      <c r="E169" s="1"/>
      <c r="F169" s="1"/>
      <c r="G169" s="1"/>
      <c r="H169" s="2"/>
      <c r="I169" s="2"/>
      <c r="J169" s="2"/>
      <c r="K169" s="2"/>
      <c r="L169" s="2"/>
      <c r="M169" s="2"/>
      <c r="N169" s="2"/>
      <c r="O169" s="1941"/>
      <c r="P169" s="1941"/>
      <c r="Q169" s="1941"/>
    </row>
    <row r="170" spans="1:23" ht="12.75" customHeight="1">
      <c r="A170" s="2525"/>
      <c r="B170" s="93"/>
      <c r="C170" s="2"/>
      <c r="D170" s="2"/>
      <c r="E170" s="1"/>
      <c r="F170" s="1"/>
      <c r="G170" s="1"/>
      <c r="H170" s="2"/>
      <c r="I170" s="2"/>
      <c r="J170" s="2"/>
      <c r="K170" s="2"/>
      <c r="L170" s="2"/>
      <c r="M170" s="2"/>
      <c r="N170" s="2"/>
      <c r="O170" s="1941"/>
      <c r="P170" s="1941"/>
      <c r="Q170" s="1941"/>
    </row>
    <row r="171" spans="1:23" ht="12.75" customHeight="1">
      <c r="A171" s="2525"/>
      <c r="B171" s="93"/>
      <c r="C171" s="2"/>
      <c r="D171" s="2"/>
      <c r="E171" s="1"/>
      <c r="F171" s="1"/>
      <c r="G171" s="1"/>
      <c r="H171" s="2"/>
      <c r="I171" s="2"/>
      <c r="J171" s="2"/>
      <c r="K171" s="2"/>
      <c r="L171" s="2"/>
      <c r="M171" s="2"/>
      <c r="N171" s="2"/>
      <c r="O171" s="1941"/>
      <c r="P171" s="1941"/>
      <c r="Q171" s="1941"/>
    </row>
    <row r="172" spans="1:23" ht="12.75" customHeight="1">
      <c r="A172" s="2525"/>
      <c r="B172" s="93"/>
      <c r="C172" s="2"/>
      <c r="D172" s="2"/>
      <c r="E172" s="1"/>
      <c r="F172" s="1"/>
      <c r="G172" s="1"/>
      <c r="H172" s="2"/>
      <c r="I172" s="2"/>
      <c r="J172" s="2"/>
      <c r="K172" s="2"/>
      <c r="L172" s="2"/>
      <c r="M172" s="2"/>
      <c r="N172" s="2"/>
      <c r="O172" s="1941"/>
      <c r="P172" s="1941"/>
      <c r="Q172" s="1941"/>
    </row>
    <row r="173" spans="1:23" ht="12.75" customHeight="1">
      <c r="A173" s="2525"/>
      <c r="B173" s="93"/>
      <c r="C173" s="2"/>
      <c r="D173" s="2"/>
      <c r="E173" s="1"/>
      <c r="F173" s="1"/>
      <c r="G173" s="1"/>
      <c r="H173" s="2"/>
      <c r="I173" s="2"/>
      <c r="J173" s="2"/>
      <c r="K173" s="2"/>
      <c r="L173" s="2"/>
      <c r="M173" s="2"/>
      <c r="N173" s="2"/>
      <c r="O173" s="1941"/>
      <c r="P173" s="1941"/>
      <c r="Q173" s="1941"/>
    </row>
    <row r="174" spans="1:23" ht="12.75" customHeight="1">
      <c r="A174" s="2525"/>
      <c r="B174" s="93"/>
      <c r="C174" s="2"/>
      <c r="D174" s="2"/>
      <c r="E174" s="1"/>
      <c r="F174" s="1"/>
      <c r="G174" s="1"/>
      <c r="H174" s="2"/>
      <c r="I174" s="2"/>
      <c r="J174" s="2"/>
      <c r="K174" s="2"/>
      <c r="L174" s="2"/>
      <c r="M174" s="2"/>
      <c r="N174" s="2"/>
      <c r="O174" s="1941"/>
      <c r="P174" s="1941"/>
      <c r="Q174" s="1941"/>
    </row>
    <row r="175" spans="1:23" ht="12.75" customHeight="1">
      <c r="A175" s="2525"/>
      <c r="B175" s="93"/>
      <c r="C175" s="2"/>
      <c r="D175" s="2"/>
      <c r="E175" s="1"/>
      <c r="F175" s="1"/>
      <c r="G175" s="1"/>
      <c r="H175" s="2"/>
      <c r="I175" s="2"/>
      <c r="J175" s="2"/>
      <c r="K175" s="2"/>
      <c r="L175" s="2"/>
      <c r="M175" s="2"/>
      <c r="N175" s="2"/>
      <c r="O175" s="1941"/>
      <c r="P175" s="1941"/>
      <c r="Q175" s="1941"/>
    </row>
    <row r="176" spans="1:23" ht="12.75" customHeight="1">
      <c r="A176" s="2525"/>
      <c r="B176" s="93"/>
      <c r="C176" s="2"/>
      <c r="D176" s="2"/>
      <c r="E176" s="1"/>
      <c r="F176" s="1"/>
      <c r="G176" s="1"/>
      <c r="H176" s="2"/>
      <c r="I176" s="2"/>
      <c r="J176" s="2"/>
      <c r="K176" s="2"/>
      <c r="L176" s="2"/>
      <c r="M176" s="2"/>
      <c r="N176" s="2"/>
      <c r="O176" s="1941"/>
      <c r="P176" s="1941"/>
      <c r="Q176" s="1941"/>
    </row>
    <row r="177" spans="1:25" ht="12.75" customHeight="1">
      <c r="A177" s="2525"/>
      <c r="B177" s="93"/>
      <c r="C177" s="2"/>
      <c r="D177" s="2"/>
      <c r="E177" s="1"/>
      <c r="F177" s="1"/>
      <c r="G177" s="1"/>
      <c r="H177" s="2"/>
      <c r="I177" s="2"/>
      <c r="J177" s="2"/>
      <c r="K177" s="2"/>
      <c r="L177" s="2"/>
      <c r="M177" s="2"/>
      <c r="N177" s="2"/>
      <c r="O177" s="1941"/>
      <c r="P177" s="1941"/>
      <c r="Q177" s="1941"/>
    </row>
    <row r="178" spans="1:25" ht="12.75" customHeight="1">
      <c r="A178" s="2525"/>
      <c r="B178" s="93"/>
      <c r="C178" s="2"/>
      <c r="D178" s="2"/>
      <c r="E178" s="1"/>
      <c r="F178" s="1"/>
      <c r="G178" s="1"/>
      <c r="H178" s="2"/>
      <c r="I178" s="2"/>
      <c r="J178" s="2"/>
      <c r="K178" s="2"/>
      <c r="L178" s="2"/>
      <c r="M178" s="2"/>
      <c r="N178" s="2"/>
      <c r="O178" s="1941"/>
      <c r="P178" s="1941"/>
      <c r="Q178" s="1941"/>
    </row>
    <row r="179" spans="1:25" ht="12.75" customHeight="1">
      <c r="A179" s="2525"/>
      <c r="B179" s="93"/>
      <c r="C179" s="2"/>
      <c r="D179" s="2"/>
      <c r="E179" s="1"/>
      <c r="F179" s="1"/>
      <c r="G179" s="1"/>
      <c r="H179" s="2"/>
      <c r="I179" s="2"/>
      <c r="J179" s="2"/>
      <c r="K179" s="2"/>
      <c r="L179" s="2"/>
      <c r="M179" s="2"/>
      <c r="N179" s="2"/>
      <c r="O179" s="1941"/>
      <c r="P179" s="1941"/>
      <c r="Q179" s="1941"/>
    </row>
    <row r="180" spans="1:25" ht="12.75" customHeight="1">
      <c r="A180" s="2525"/>
      <c r="B180" s="93"/>
      <c r="C180" s="2"/>
      <c r="D180" s="2"/>
      <c r="E180" s="1"/>
      <c r="F180" s="1"/>
      <c r="G180" s="1"/>
      <c r="H180" s="2"/>
      <c r="I180" s="2"/>
      <c r="J180" s="2"/>
      <c r="K180" s="2"/>
      <c r="L180" s="2"/>
      <c r="M180" s="2"/>
      <c r="N180" s="2"/>
      <c r="O180" s="1941"/>
      <c r="P180" s="1941"/>
      <c r="Q180" s="1941"/>
    </row>
    <row r="181" spans="1:25" ht="12.75" customHeight="1">
      <c r="A181" s="2525"/>
      <c r="B181" s="93"/>
      <c r="C181" s="2"/>
      <c r="D181" s="2"/>
      <c r="E181" s="1"/>
      <c r="F181" s="1"/>
      <c r="G181" s="1"/>
      <c r="H181" s="2"/>
      <c r="I181" s="2"/>
      <c r="J181" s="2"/>
      <c r="K181" s="2"/>
      <c r="L181" s="2"/>
      <c r="M181" s="2"/>
      <c r="N181" s="2"/>
      <c r="O181" s="1941"/>
      <c r="P181" s="1941"/>
      <c r="Q181" s="1941"/>
    </row>
    <row r="182" spans="1:25" ht="12.75" customHeight="1">
      <c r="A182" s="2525"/>
      <c r="B182" s="93"/>
      <c r="C182" s="2"/>
      <c r="D182" s="2"/>
      <c r="E182" s="1"/>
      <c r="F182" s="1"/>
      <c r="G182" s="1"/>
      <c r="H182" s="2"/>
      <c r="I182" s="2"/>
      <c r="J182" s="2"/>
      <c r="K182" s="2"/>
      <c r="L182" s="2"/>
      <c r="M182" s="2"/>
      <c r="N182" s="2"/>
      <c r="O182" s="1941"/>
      <c r="P182" s="1941"/>
      <c r="Q182" s="1941"/>
    </row>
    <row r="183" spans="1:25" ht="12.75" customHeight="1">
      <c r="A183" s="2525"/>
      <c r="B183" s="93"/>
      <c r="C183" s="2"/>
      <c r="D183" s="2"/>
      <c r="E183" s="1"/>
      <c r="F183" s="1"/>
      <c r="G183" s="1"/>
      <c r="H183" s="2"/>
      <c r="I183" s="2"/>
      <c r="J183" s="2"/>
      <c r="K183" s="2"/>
      <c r="L183" s="2"/>
      <c r="M183" s="2"/>
      <c r="N183" s="2"/>
      <c r="O183" s="2"/>
      <c r="P183" s="2"/>
      <c r="Q183" s="2"/>
    </row>
    <row r="184" spans="1:25" ht="12.75" customHeight="1">
      <c r="A184" s="2525"/>
      <c r="B184" s="93"/>
      <c r="C184" s="2"/>
      <c r="D184" s="2"/>
      <c r="E184" s="1"/>
      <c r="F184" s="1"/>
      <c r="G184" s="1"/>
      <c r="H184" s="2"/>
      <c r="I184" s="2"/>
      <c r="J184" s="2"/>
      <c r="K184" s="2"/>
      <c r="L184" s="2"/>
      <c r="M184" s="2"/>
      <c r="N184" s="2"/>
      <c r="O184" s="2"/>
      <c r="P184" s="2"/>
      <c r="Q184" s="2"/>
    </row>
    <row r="185" spans="1:25" ht="12.75" customHeight="1">
      <c r="A185" s="2525"/>
      <c r="B185" s="93"/>
      <c r="C185" s="2"/>
      <c r="D185" s="2"/>
      <c r="E185" s="1"/>
      <c r="F185" s="1"/>
      <c r="G185" s="1"/>
      <c r="H185" s="2"/>
      <c r="I185" s="2"/>
      <c r="J185" s="2"/>
      <c r="K185" s="2"/>
      <c r="L185" s="2"/>
      <c r="M185" s="2"/>
      <c r="N185" s="2"/>
      <c r="O185" s="2"/>
      <c r="P185" s="2"/>
      <c r="Q185" s="2"/>
    </row>
    <row r="186" spans="1:25" ht="12.75" customHeight="1">
      <c r="A186" s="2525"/>
      <c r="B186" s="2522" t="s">
        <v>1578</v>
      </c>
      <c r="C186" s="2523"/>
      <c r="D186" s="2524"/>
      <c r="E186" s="2522" t="s">
        <v>1700</v>
      </c>
      <c r="F186" s="2523"/>
      <c r="G186" s="2524"/>
      <c r="H186" s="2522" t="s">
        <v>647</v>
      </c>
      <c r="I186" s="2523"/>
      <c r="J186" s="2524"/>
      <c r="K186" s="2522" t="s">
        <v>648</v>
      </c>
      <c r="L186" s="2523"/>
      <c r="M186" s="2524"/>
      <c r="N186" s="2522" t="s">
        <v>1585</v>
      </c>
      <c r="O186" s="2523"/>
      <c r="P186" s="2524"/>
      <c r="Q186" s="2522" t="s">
        <v>1586</v>
      </c>
      <c r="R186" s="2523"/>
      <c r="S186" s="2524"/>
      <c r="T186" s="2522" t="s">
        <v>1589</v>
      </c>
      <c r="U186" s="2523"/>
      <c r="V186" s="2524"/>
      <c r="W186" s="2522" t="s">
        <v>1590</v>
      </c>
      <c r="X186" s="2523"/>
      <c r="Y186" s="2524"/>
    </row>
    <row r="187" spans="1:25" ht="12.75" customHeight="1">
      <c r="A187" s="2525"/>
      <c r="B187" s="94" t="s">
        <v>1197</v>
      </c>
      <c r="C187" s="2"/>
      <c r="D187" s="2"/>
      <c r="E187" s="94" t="s">
        <v>1197</v>
      </c>
      <c r="F187" s="2"/>
      <c r="G187" s="2"/>
      <c r="H187" s="94" t="s">
        <v>1197</v>
      </c>
      <c r="I187" s="2"/>
      <c r="J187" s="2"/>
      <c r="K187" s="94" t="s">
        <v>1197</v>
      </c>
      <c r="L187" s="1"/>
      <c r="M187" s="1"/>
      <c r="N187" s="94" t="s">
        <v>1197</v>
      </c>
      <c r="O187" s="2"/>
      <c r="P187" s="2"/>
      <c r="Q187" s="94" t="s">
        <v>1197</v>
      </c>
      <c r="R187" s="2"/>
      <c r="S187" s="2"/>
      <c r="T187" s="94" t="s">
        <v>1197</v>
      </c>
      <c r="U187" s="2"/>
      <c r="V187" s="2"/>
      <c r="W187" s="94" t="s">
        <v>1197</v>
      </c>
    </row>
    <row r="188" spans="1:25" ht="12.75" customHeight="1">
      <c r="A188" s="2525"/>
      <c r="B188" s="1"/>
      <c r="C188" s="1"/>
      <c r="D188" s="1"/>
      <c r="E188" s="1"/>
      <c r="F188" s="1"/>
      <c r="G188" s="1"/>
      <c r="H188" s="1"/>
      <c r="I188" s="1"/>
      <c r="J188" s="1"/>
      <c r="K188" s="1"/>
      <c r="L188" s="1"/>
      <c r="M188" s="1"/>
      <c r="N188" s="1"/>
      <c r="O188" s="1"/>
      <c r="P188" s="1"/>
      <c r="Q188" s="1"/>
      <c r="R188" s="1"/>
      <c r="S188" s="1"/>
      <c r="T188" s="1"/>
      <c r="U188" s="1"/>
      <c r="V188" s="1"/>
    </row>
    <row r="189" spans="1:25" ht="12.75" customHeight="1">
      <c r="A189" s="2525"/>
      <c r="B189" s="1"/>
      <c r="C189" s="1"/>
      <c r="D189" s="1"/>
      <c r="E189" s="1"/>
      <c r="F189" s="1"/>
      <c r="G189" s="1"/>
      <c r="H189" s="1"/>
      <c r="I189" s="1"/>
      <c r="J189" s="1"/>
      <c r="K189" s="1"/>
      <c r="L189" s="1"/>
      <c r="M189" s="1"/>
      <c r="N189" s="1"/>
      <c r="O189" s="1"/>
      <c r="P189" s="1"/>
      <c r="Q189" s="1"/>
      <c r="R189" s="1"/>
      <c r="S189" s="1"/>
      <c r="T189" s="1"/>
      <c r="U189" s="1"/>
      <c r="V189" s="1"/>
    </row>
    <row r="190" spans="1:25" ht="12.75" customHeight="1">
      <c r="A190" s="2525"/>
      <c r="B190" s="1"/>
      <c r="C190" s="1"/>
      <c r="D190" s="1"/>
      <c r="E190" s="1"/>
      <c r="F190" s="1"/>
      <c r="G190" s="1"/>
      <c r="H190" s="1"/>
      <c r="I190" s="1"/>
      <c r="J190" s="1"/>
      <c r="K190" s="1"/>
      <c r="L190" s="1"/>
      <c r="M190" s="1"/>
      <c r="N190" s="1"/>
      <c r="O190" s="1"/>
      <c r="P190" s="1"/>
      <c r="Q190" s="1"/>
      <c r="R190" s="1"/>
      <c r="S190" s="1"/>
      <c r="T190" s="1"/>
      <c r="U190" s="1"/>
      <c r="V190" s="1"/>
    </row>
    <row r="191" spans="1:25" ht="12.75" customHeight="1">
      <c r="A191" s="2525"/>
      <c r="B191" s="1"/>
      <c r="C191" s="1"/>
      <c r="D191" s="1"/>
      <c r="E191" s="1"/>
      <c r="F191" s="1"/>
      <c r="G191" s="1"/>
      <c r="H191" s="1"/>
      <c r="I191" s="1"/>
      <c r="J191" s="1"/>
      <c r="K191" s="1"/>
      <c r="L191" s="1"/>
      <c r="M191" s="1"/>
      <c r="N191" s="1"/>
      <c r="O191" s="1"/>
      <c r="P191" s="1"/>
      <c r="Q191" s="1"/>
      <c r="R191" s="1"/>
      <c r="S191" s="1"/>
      <c r="T191" s="1"/>
      <c r="U191" s="1"/>
      <c r="V191" s="1"/>
    </row>
    <row r="192" spans="1:25" ht="12.75" customHeight="1">
      <c r="A192" s="2525"/>
      <c r="B192" s="1"/>
      <c r="C192" s="1"/>
      <c r="D192" s="1"/>
      <c r="E192" s="1"/>
      <c r="F192" s="1"/>
      <c r="G192" s="1"/>
      <c r="H192" s="1"/>
      <c r="I192" s="1"/>
      <c r="J192" s="1"/>
      <c r="K192" s="1"/>
      <c r="L192" s="1"/>
      <c r="M192" s="1"/>
      <c r="N192" s="1"/>
      <c r="O192" s="1"/>
      <c r="P192" s="1"/>
      <c r="Q192" s="1"/>
      <c r="R192" s="1"/>
      <c r="S192" s="1"/>
      <c r="T192" s="1"/>
      <c r="U192" s="1"/>
      <c r="V192" s="1"/>
    </row>
    <row r="193" spans="1:25" ht="12.75" customHeight="1">
      <c r="A193" s="2525"/>
      <c r="B193" s="1"/>
      <c r="C193" s="1"/>
      <c r="D193" s="1"/>
      <c r="E193" s="1"/>
      <c r="F193" s="1"/>
      <c r="G193" s="1"/>
      <c r="H193" s="1"/>
      <c r="I193" s="1"/>
      <c r="J193" s="1"/>
      <c r="K193" s="1"/>
      <c r="L193" s="1"/>
      <c r="M193" s="1"/>
      <c r="N193" s="1"/>
      <c r="O193" s="1"/>
      <c r="P193" s="1"/>
      <c r="Q193" s="1"/>
      <c r="R193" s="1"/>
      <c r="S193" s="1"/>
      <c r="T193" s="1"/>
      <c r="U193" s="1"/>
      <c r="V193" s="1"/>
    </row>
    <row r="194" spans="1:25" ht="12.75" customHeight="1">
      <c r="A194" s="2525"/>
      <c r="B194" s="1"/>
      <c r="C194" s="1"/>
      <c r="D194" s="1"/>
      <c r="E194" s="1"/>
      <c r="F194" s="1"/>
      <c r="G194" s="1"/>
      <c r="H194" s="1"/>
      <c r="I194" s="1"/>
      <c r="J194" s="1"/>
      <c r="K194" s="1"/>
      <c r="L194" s="1"/>
      <c r="M194" s="1"/>
      <c r="N194" s="1"/>
      <c r="O194" s="1"/>
      <c r="P194" s="1"/>
      <c r="Q194" s="1"/>
      <c r="R194" s="1"/>
      <c r="S194" s="1"/>
      <c r="T194" s="1"/>
      <c r="U194" s="1"/>
      <c r="V194" s="1"/>
    </row>
    <row r="195" spans="1:25" ht="12.75" customHeight="1">
      <c r="A195" s="2525"/>
      <c r="B195" s="1"/>
      <c r="C195" s="1"/>
      <c r="D195" s="1"/>
      <c r="E195" s="1"/>
      <c r="F195" s="1"/>
      <c r="G195" s="1"/>
      <c r="H195" s="1"/>
      <c r="I195" s="1"/>
      <c r="J195" s="1"/>
      <c r="K195" s="1"/>
      <c r="L195" s="1"/>
      <c r="M195" s="1"/>
      <c r="N195" s="1"/>
      <c r="O195" s="1"/>
      <c r="P195" s="1"/>
      <c r="Q195" s="1"/>
      <c r="R195" s="1"/>
      <c r="S195" s="1"/>
      <c r="T195" s="1"/>
      <c r="U195" s="1"/>
      <c r="V195" s="1"/>
    </row>
    <row r="196" spans="1:25" ht="12.75" customHeight="1">
      <c r="A196" s="2525"/>
      <c r="B196" s="1"/>
      <c r="C196" s="1"/>
      <c r="D196" s="1"/>
      <c r="E196" s="1"/>
      <c r="F196" s="1"/>
      <c r="G196" s="1"/>
      <c r="H196" s="1"/>
      <c r="I196" s="1"/>
      <c r="J196" s="1"/>
      <c r="K196" s="1"/>
      <c r="L196" s="1"/>
      <c r="M196" s="1"/>
      <c r="N196" s="1"/>
      <c r="O196" s="1"/>
      <c r="P196" s="1"/>
      <c r="Q196" s="1"/>
      <c r="R196" s="1"/>
      <c r="S196" s="1"/>
      <c r="T196" s="1"/>
      <c r="U196" s="1"/>
      <c r="V196" s="1"/>
    </row>
    <row r="197" spans="1:25" ht="12.75" customHeight="1">
      <c r="A197" s="2525"/>
      <c r="B197" s="1"/>
      <c r="C197" s="1"/>
      <c r="D197" s="1"/>
      <c r="E197" s="1"/>
      <c r="F197" s="1"/>
      <c r="G197" s="1"/>
      <c r="H197" s="1"/>
      <c r="I197" s="1"/>
      <c r="J197" s="1"/>
      <c r="K197" s="1"/>
      <c r="L197" s="1"/>
      <c r="M197" s="1"/>
      <c r="N197" s="1"/>
      <c r="O197" s="1"/>
      <c r="P197" s="1"/>
      <c r="Q197" s="1"/>
      <c r="R197" s="1"/>
      <c r="S197" s="1"/>
      <c r="T197" s="1"/>
      <c r="U197" s="1"/>
      <c r="V197" s="1"/>
    </row>
    <row r="198" spans="1:25" ht="12.75" customHeight="1">
      <c r="A198" s="2525"/>
      <c r="B198" s="1"/>
      <c r="C198" s="1"/>
      <c r="D198" s="1"/>
      <c r="E198" s="1"/>
      <c r="F198" s="1"/>
      <c r="G198" s="1"/>
      <c r="H198" s="1"/>
      <c r="I198" s="1"/>
      <c r="J198" s="1"/>
      <c r="K198" s="1"/>
      <c r="L198" s="1"/>
      <c r="M198" s="1"/>
      <c r="N198" s="1"/>
      <c r="O198" s="1"/>
      <c r="P198" s="1"/>
      <c r="Q198" s="1"/>
      <c r="R198" s="1"/>
      <c r="S198" s="1"/>
      <c r="T198" s="1"/>
      <c r="U198" s="1"/>
      <c r="V198" s="1"/>
    </row>
    <row r="199" spans="1:25" ht="12.75" customHeight="1">
      <c r="A199" s="2525"/>
      <c r="B199" s="1"/>
      <c r="C199" s="1"/>
      <c r="D199" s="1"/>
      <c r="E199" s="1"/>
      <c r="F199" s="1"/>
      <c r="G199" s="1"/>
      <c r="H199" s="1"/>
      <c r="I199" s="1"/>
      <c r="J199" s="1"/>
      <c r="K199" s="1"/>
      <c r="L199" s="1"/>
      <c r="M199" s="1"/>
      <c r="N199" s="1"/>
      <c r="O199" s="1"/>
      <c r="P199" s="1"/>
      <c r="Q199" s="1"/>
      <c r="R199" s="1"/>
      <c r="S199" s="1"/>
      <c r="T199" s="1"/>
      <c r="U199" s="1"/>
      <c r="V199" s="1"/>
    </row>
    <row r="200" spans="1:25" ht="12.75" customHeight="1">
      <c r="A200" s="2525"/>
      <c r="B200" s="1"/>
      <c r="C200" s="1"/>
      <c r="D200" s="1"/>
      <c r="E200" s="1"/>
      <c r="F200" s="1"/>
      <c r="G200" s="1"/>
      <c r="H200" s="1"/>
      <c r="I200" s="1"/>
      <c r="J200" s="1"/>
      <c r="K200" s="1"/>
      <c r="L200" s="1"/>
      <c r="M200" s="1"/>
      <c r="N200" s="1"/>
      <c r="O200" s="1"/>
      <c r="P200" s="1"/>
      <c r="Q200" s="1"/>
      <c r="R200" s="1"/>
      <c r="S200" s="1"/>
      <c r="T200" s="1"/>
      <c r="U200" s="1"/>
      <c r="V200" s="1"/>
    </row>
    <row r="201" spans="1:25" ht="12.75" customHeight="1">
      <c r="A201" s="2525"/>
      <c r="B201" s="1"/>
      <c r="C201" s="1"/>
      <c r="D201" s="1"/>
      <c r="E201" s="1"/>
      <c r="F201" s="1"/>
      <c r="G201" s="1"/>
      <c r="H201" s="1"/>
      <c r="I201" s="1"/>
      <c r="J201" s="1"/>
      <c r="K201" s="1"/>
      <c r="L201" s="1"/>
      <c r="M201" s="1"/>
      <c r="N201" s="1"/>
      <c r="O201" s="1"/>
      <c r="P201" s="1"/>
      <c r="Q201" s="1"/>
      <c r="R201" s="1"/>
      <c r="S201" s="1"/>
      <c r="T201" s="1"/>
      <c r="U201" s="1"/>
      <c r="V201" s="1"/>
    </row>
    <row r="202" spans="1:25" ht="12.75" customHeight="1">
      <c r="A202" s="2525"/>
      <c r="B202" s="1"/>
      <c r="C202" s="1"/>
      <c r="D202" s="1"/>
      <c r="E202" s="1"/>
      <c r="F202" s="1"/>
      <c r="G202" s="1"/>
      <c r="H202" s="1"/>
      <c r="I202" s="1"/>
      <c r="J202" s="1"/>
      <c r="K202" s="1"/>
      <c r="L202" s="1"/>
      <c r="M202" s="1"/>
      <c r="N202" s="1"/>
      <c r="O202" s="1"/>
      <c r="P202" s="1"/>
      <c r="Q202" s="1"/>
      <c r="R202" s="1"/>
      <c r="S202" s="1"/>
      <c r="T202" s="1"/>
      <c r="U202" s="1"/>
      <c r="V202" s="1"/>
    </row>
    <row r="203" spans="1:25" ht="12.75" customHeight="1">
      <c r="A203" s="2525"/>
      <c r="B203" s="1"/>
      <c r="C203" s="1"/>
      <c r="D203" s="1"/>
      <c r="E203" s="1"/>
      <c r="F203" s="1"/>
      <c r="G203" s="1"/>
      <c r="H203" s="1"/>
      <c r="I203" s="1"/>
      <c r="J203" s="1"/>
      <c r="K203" s="1"/>
      <c r="L203" s="1"/>
      <c r="M203" s="1"/>
      <c r="N203" s="1"/>
      <c r="O203" s="1"/>
      <c r="P203" s="1"/>
      <c r="Q203" s="1"/>
      <c r="R203" s="1"/>
      <c r="S203" s="1"/>
      <c r="T203" s="1"/>
      <c r="U203" s="1"/>
      <c r="V203" s="1"/>
    </row>
    <row r="204" spans="1:25" ht="12.75" customHeight="1">
      <c r="A204" s="2525"/>
      <c r="B204" s="1"/>
      <c r="C204" s="1"/>
      <c r="D204" s="1"/>
      <c r="E204" s="1"/>
      <c r="F204" s="1"/>
      <c r="G204" s="1"/>
      <c r="H204" s="1"/>
      <c r="I204" s="1"/>
      <c r="J204" s="1"/>
      <c r="K204" s="1"/>
      <c r="L204" s="1"/>
      <c r="M204" s="1"/>
      <c r="N204" s="1"/>
      <c r="O204" s="1"/>
      <c r="P204" s="1"/>
      <c r="Q204" s="1"/>
      <c r="R204" s="1"/>
      <c r="S204" s="1"/>
      <c r="T204" s="1"/>
      <c r="U204" s="1"/>
      <c r="V204" s="1"/>
    </row>
    <row r="205" spans="1:25" ht="12.75" customHeight="1">
      <c r="A205" s="2525"/>
      <c r="H205" s="1"/>
      <c r="I205" s="1"/>
      <c r="J205" s="1"/>
      <c r="Q205" s="1"/>
      <c r="R205" s="1"/>
      <c r="S205" s="1"/>
      <c r="T205" s="1"/>
      <c r="U205" s="1"/>
      <c r="V205" s="1"/>
    </row>
    <row r="206" spans="1:25" s="1128" customFormat="1" ht="12.75" customHeight="1">
      <c r="A206" s="2525"/>
      <c r="B206" s="2522" t="s">
        <v>301</v>
      </c>
      <c r="C206" s="2523"/>
      <c r="D206" s="2524"/>
      <c r="E206" s="2522" t="s">
        <v>1576</v>
      </c>
      <c r="F206" s="2523"/>
      <c r="G206" s="2524"/>
      <c r="H206" s="2522" t="s">
        <v>1025</v>
      </c>
      <c r="I206" s="2523"/>
      <c r="J206" s="2524"/>
      <c r="K206" s="2522" t="s">
        <v>1577</v>
      </c>
      <c r="L206" s="2523"/>
      <c r="M206" s="2524"/>
      <c r="N206" s="2522" t="s">
        <v>302</v>
      </c>
      <c r="O206" s="2523"/>
      <c r="P206" s="2524"/>
      <c r="Q206" s="2522" t="s">
        <v>1110</v>
      </c>
      <c r="R206" s="2523"/>
      <c r="S206" s="2524"/>
      <c r="T206" s="2522" t="s">
        <v>1592</v>
      </c>
      <c r="U206" s="2523"/>
      <c r="V206" s="2524"/>
      <c r="X206" s="1133"/>
    </row>
    <row r="207" spans="1:25" ht="12.75" customHeight="1">
      <c r="A207" s="2525"/>
      <c r="B207" s="94" t="s">
        <v>1197</v>
      </c>
      <c r="C207" s="2"/>
      <c r="D207" s="2"/>
      <c r="E207" s="94" t="s">
        <v>1197</v>
      </c>
      <c r="F207" s="2"/>
      <c r="G207" s="2"/>
      <c r="H207" s="94" t="s">
        <v>1197</v>
      </c>
      <c r="I207" s="2"/>
      <c r="J207" s="2"/>
      <c r="K207" s="94" t="s">
        <v>1197</v>
      </c>
      <c r="L207" s="1"/>
      <c r="M207" s="1"/>
      <c r="N207" s="94" t="s">
        <v>1197</v>
      </c>
      <c r="O207" s="2"/>
      <c r="P207" s="2"/>
      <c r="Q207" s="94" t="s">
        <v>1197</v>
      </c>
      <c r="R207" s="2"/>
      <c r="S207" s="2"/>
      <c r="T207" s="94" t="s">
        <v>1197</v>
      </c>
      <c r="U207" s="2"/>
      <c r="V207" s="2"/>
      <c r="W207" s="94" t="s">
        <v>1197</v>
      </c>
      <c r="X207" s="2"/>
    </row>
    <row r="208" spans="1:25" ht="12.75" customHeight="1">
      <c r="A208" s="2525"/>
      <c r="B208" s="2"/>
      <c r="C208" s="2"/>
      <c r="D208" s="2"/>
      <c r="H208" s="2"/>
      <c r="I208" s="2"/>
      <c r="J208" s="2"/>
      <c r="N208" s="2"/>
      <c r="O208" s="2"/>
      <c r="P208" s="2"/>
      <c r="Q208" s="2"/>
      <c r="R208" s="2"/>
      <c r="S208" s="2"/>
      <c r="T208" s="1"/>
      <c r="U208" s="1"/>
      <c r="V208" s="1"/>
      <c r="W208" s="9"/>
      <c r="X208" s="9"/>
      <c r="Y208" s="7"/>
    </row>
    <row r="209" spans="1:25" ht="12.75" customHeight="1">
      <c r="A209" s="2525"/>
      <c r="B209" s="2"/>
      <c r="C209" s="2"/>
      <c r="D209" s="2"/>
      <c r="H209" s="2"/>
      <c r="I209" s="2"/>
      <c r="J209" s="2"/>
      <c r="N209" s="2"/>
      <c r="O209" s="2"/>
      <c r="P209" s="2"/>
      <c r="Q209" s="2"/>
      <c r="R209" s="2"/>
      <c r="S209" s="2"/>
      <c r="T209" s="1"/>
      <c r="U209" s="1"/>
      <c r="V209" s="1"/>
      <c r="W209" s="9"/>
      <c r="X209" s="9"/>
      <c r="Y209" s="7"/>
    </row>
    <row r="210" spans="1:25" ht="12.75" customHeight="1">
      <c r="A210" s="2525"/>
      <c r="B210" s="2"/>
      <c r="C210" s="2"/>
      <c r="D210" s="2"/>
      <c r="H210" s="2"/>
      <c r="I210" s="2"/>
      <c r="J210" s="2"/>
      <c r="N210" s="2"/>
      <c r="O210" s="2"/>
      <c r="P210" s="2"/>
      <c r="Q210" s="2"/>
      <c r="R210" s="2"/>
      <c r="S210" s="2"/>
      <c r="T210" s="1"/>
      <c r="U210" s="1"/>
      <c r="V210" s="1"/>
      <c r="W210" s="9"/>
      <c r="X210" s="9"/>
      <c r="Y210" s="7"/>
    </row>
    <row r="211" spans="1:25" ht="12.75" customHeight="1">
      <c r="A211" s="2525"/>
      <c r="B211" s="2"/>
      <c r="C211" s="2"/>
      <c r="D211" s="2"/>
      <c r="H211" s="2"/>
      <c r="I211" s="2"/>
      <c r="J211" s="2"/>
      <c r="N211" s="2"/>
      <c r="O211" s="2"/>
      <c r="P211" s="2"/>
      <c r="Q211" s="2"/>
      <c r="R211" s="2"/>
      <c r="S211" s="2"/>
      <c r="T211" s="1"/>
      <c r="U211" s="1"/>
      <c r="V211" s="1"/>
      <c r="W211" s="9"/>
      <c r="X211" s="9"/>
      <c r="Y211" s="7"/>
    </row>
    <row r="212" spans="1:25" ht="12.75" customHeight="1">
      <c r="A212" s="2525"/>
      <c r="B212" s="2"/>
      <c r="C212" s="2"/>
      <c r="D212" s="2"/>
      <c r="H212" s="2"/>
      <c r="I212" s="2"/>
      <c r="J212" s="2"/>
      <c r="N212" s="2"/>
      <c r="O212" s="2"/>
      <c r="P212" s="2"/>
      <c r="Q212" s="2"/>
      <c r="R212" s="2"/>
      <c r="S212" s="2"/>
      <c r="T212" s="1"/>
      <c r="U212" s="1"/>
      <c r="V212" s="1"/>
      <c r="W212" s="9"/>
      <c r="X212" s="9"/>
      <c r="Y212" s="7"/>
    </row>
    <row r="213" spans="1:25" ht="12.75" customHeight="1">
      <c r="A213" s="2525"/>
      <c r="B213" s="2"/>
      <c r="C213" s="2"/>
      <c r="D213" s="2"/>
      <c r="H213" s="2"/>
      <c r="I213" s="2"/>
      <c r="J213" s="2"/>
      <c r="N213" s="2"/>
      <c r="O213" s="2"/>
      <c r="P213" s="2"/>
      <c r="Q213" s="2"/>
      <c r="R213" s="2"/>
      <c r="S213" s="2"/>
      <c r="T213" s="1"/>
      <c r="U213" s="1"/>
      <c r="V213" s="1"/>
      <c r="W213" s="9"/>
      <c r="X213" s="9"/>
      <c r="Y213" s="7"/>
    </row>
    <row r="214" spans="1:25" ht="12.75" customHeight="1">
      <c r="A214" s="2525"/>
      <c r="B214" s="2"/>
      <c r="C214" s="2"/>
      <c r="D214" s="2"/>
      <c r="H214" s="2"/>
      <c r="I214" s="2"/>
      <c r="J214" s="2"/>
      <c r="N214" s="2"/>
      <c r="O214" s="2"/>
      <c r="P214" s="2"/>
      <c r="Q214" s="2"/>
      <c r="R214" s="2"/>
      <c r="S214" s="2"/>
      <c r="T214" s="1"/>
      <c r="U214" s="1"/>
      <c r="V214" s="1"/>
      <c r="W214" s="8"/>
      <c r="X214" s="8"/>
      <c r="Y214" s="7"/>
    </row>
    <row r="215" spans="1:25" ht="12.75" customHeight="1">
      <c r="A215" s="2525"/>
      <c r="B215" s="2"/>
      <c r="C215" s="2"/>
      <c r="D215" s="2"/>
      <c r="H215" s="2"/>
      <c r="I215" s="2"/>
      <c r="J215" s="2"/>
      <c r="N215" s="2"/>
      <c r="O215" s="2"/>
      <c r="P215" s="2"/>
      <c r="Q215" s="2"/>
      <c r="R215" s="2"/>
      <c r="S215" s="2"/>
      <c r="T215" s="1"/>
      <c r="U215" s="1"/>
      <c r="V215" s="1"/>
      <c r="W215" s="10"/>
      <c r="X215" s="10"/>
      <c r="Y215" s="7"/>
    </row>
    <row r="216" spans="1:25" ht="12.75" customHeight="1">
      <c r="A216" s="2525"/>
      <c r="B216" s="2"/>
      <c r="C216" s="2"/>
      <c r="D216" s="2"/>
      <c r="H216" s="2"/>
      <c r="I216" s="2"/>
      <c r="J216" s="2"/>
      <c r="N216" s="2"/>
      <c r="O216" s="2"/>
      <c r="P216" s="2"/>
      <c r="Q216" s="2"/>
      <c r="R216" s="2"/>
      <c r="S216" s="2"/>
      <c r="T216" s="1"/>
      <c r="U216" s="1"/>
      <c r="V216" s="1"/>
      <c r="W216" s="10"/>
      <c r="X216" s="10"/>
      <c r="Y216" s="7"/>
    </row>
    <row r="217" spans="1:25" ht="12.75" customHeight="1">
      <c r="A217" s="2525"/>
      <c r="B217" s="2"/>
      <c r="C217" s="2"/>
      <c r="D217" s="2"/>
      <c r="H217" s="2"/>
      <c r="I217" s="2"/>
      <c r="J217" s="2"/>
      <c r="N217" s="2"/>
      <c r="O217" s="2"/>
      <c r="P217" s="2"/>
      <c r="Q217" s="2"/>
      <c r="R217" s="2"/>
      <c r="S217" s="2"/>
      <c r="T217" s="1"/>
      <c r="U217" s="1"/>
      <c r="V217" s="1"/>
      <c r="W217" s="10"/>
      <c r="X217" s="10"/>
      <c r="Y217" s="7"/>
    </row>
    <row r="218" spans="1:25" ht="12.75" customHeight="1">
      <c r="A218" s="2525"/>
      <c r="B218" s="2"/>
      <c r="C218" s="2"/>
      <c r="D218" s="2"/>
      <c r="H218" s="2"/>
      <c r="I218" s="2"/>
      <c r="J218" s="2"/>
      <c r="N218" s="2"/>
      <c r="O218" s="2"/>
      <c r="P218" s="2"/>
      <c r="Q218" s="2"/>
      <c r="R218" s="11"/>
      <c r="S218" s="11"/>
      <c r="T218" s="1"/>
      <c r="U218" s="1"/>
      <c r="V218" s="1"/>
      <c r="W218" s="10"/>
      <c r="X218" s="10"/>
      <c r="Y218" s="7"/>
    </row>
    <row r="219" spans="1:25" ht="12.75" customHeight="1">
      <c r="A219" s="2525"/>
      <c r="B219" s="2"/>
      <c r="C219" s="2"/>
      <c r="D219" s="2"/>
      <c r="H219" s="2"/>
      <c r="I219" s="2"/>
      <c r="J219" s="2"/>
      <c r="N219" s="2"/>
      <c r="O219" s="2"/>
      <c r="P219" s="2"/>
      <c r="Q219" s="2"/>
      <c r="R219" s="2"/>
      <c r="S219" s="2"/>
      <c r="T219" s="1"/>
      <c r="U219" s="1"/>
      <c r="V219" s="1"/>
      <c r="W219" s="10"/>
      <c r="X219" s="10"/>
      <c r="Y219" s="7"/>
    </row>
    <row r="220" spans="1:25" ht="12.75" customHeight="1">
      <c r="A220" s="2525"/>
      <c r="B220" s="2"/>
      <c r="C220" s="2"/>
      <c r="D220" s="2"/>
      <c r="H220" s="2"/>
      <c r="I220" s="2"/>
      <c r="J220" s="2"/>
      <c r="N220" s="2"/>
      <c r="O220" s="2"/>
      <c r="P220" s="2"/>
      <c r="Q220" s="2"/>
      <c r="R220" s="2"/>
      <c r="S220" s="2"/>
      <c r="T220" s="1"/>
      <c r="U220" s="1"/>
      <c r="V220" s="1"/>
      <c r="W220" s="10"/>
      <c r="X220" s="10"/>
      <c r="Y220" s="7"/>
    </row>
    <row r="221" spans="1:25" ht="12.75" customHeight="1">
      <c r="A221" s="2525"/>
      <c r="B221" s="2"/>
      <c r="C221" s="2"/>
      <c r="D221" s="2"/>
      <c r="H221" s="2"/>
      <c r="I221" s="2"/>
      <c r="J221" s="2"/>
      <c r="N221" s="2"/>
      <c r="O221" s="2"/>
      <c r="P221" s="2"/>
      <c r="Q221" s="2"/>
      <c r="R221" s="2"/>
      <c r="S221" s="2"/>
      <c r="T221" s="1"/>
      <c r="U221" s="1"/>
      <c r="V221" s="1"/>
      <c r="W221" s="8"/>
      <c r="X221" s="8"/>
      <c r="Y221" s="7"/>
    </row>
    <row r="222" spans="1:25" ht="12.75" customHeight="1">
      <c r="A222" s="2525"/>
      <c r="B222" s="2"/>
      <c r="C222" s="2"/>
      <c r="D222" s="2"/>
      <c r="H222" s="2"/>
      <c r="I222" s="2"/>
      <c r="J222" s="2"/>
      <c r="N222" s="2"/>
      <c r="O222" s="2"/>
      <c r="P222" s="2"/>
      <c r="Q222" s="2"/>
      <c r="R222" s="2"/>
      <c r="S222" s="2"/>
      <c r="T222" s="1"/>
      <c r="U222" s="1"/>
      <c r="V222" s="1"/>
      <c r="W222" s="8"/>
      <c r="X222" s="8"/>
      <c r="Y222" s="7"/>
    </row>
    <row r="223" spans="1:25" ht="12.75" customHeight="1">
      <c r="A223" s="2525"/>
      <c r="B223" s="2"/>
      <c r="C223" s="2"/>
      <c r="D223" s="2"/>
      <c r="H223" s="2"/>
      <c r="I223" s="2"/>
      <c r="J223" s="2"/>
      <c r="N223" s="2"/>
      <c r="O223" s="2"/>
      <c r="P223" s="2"/>
      <c r="Q223" s="2"/>
      <c r="R223" s="2"/>
      <c r="S223" s="2"/>
      <c r="T223" s="1"/>
      <c r="U223" s="1"/>
      <c r="V223" s="1"/>
      <c r="W223" s="7"/>
      <c r="X223" s="7"/>
      <c r="Y223" s="7"/>
    </row>
    <row r="224" spans="1:25" ht="12.75" customHeight="1">
      <c r="A224" s="2525"/>
      <c r="B224" s="2"/>
      <c r="C224" s="2"/>
      <c r="D224" s="2"/>
      <c r="H224" s="2"/>
      <c r="I224" s="2"/>
      <c r="J224" s="2"/>
      <c r="N224" s="2"/>
      <c r="O224" s="2"/>
      <c r="P224" s="2"/>
      <c r="Q224" s="2"/>
      <c r="R224" s="2"/>
      <c r="S224" s="2"/>
      <c r="T224" s="1"/>
      <c r="U224" s="1"/>
      <c r="V224" s="1"/>
      <c r="W224" s="7"/>
      <c r="X224" s="7"/>
      <c r="Y224" s="7"/>
    </row>
    <row r="225" spans="1:25" ht="12.75" customHeight="1" thickBot="1">
      <c r="A225" s="2526"/>
      <c r="B225" s="2"/>
      <c r="C225" s="2"/>
      <c r="D225" s="2"/>
      <c r="H225" s="2"/>
      <c r="I225" s="2"/>
      <c r="J225" s="2"/>
      <c r="N225" s="2"/>
      <c r="O225" s="2"/>
      <c r="P225" s="2"/>
      <c r="Q225" s="2"/>
      <c r="R225" s="2"/>
      <c r="S225" s="2"/>
      <c r="T225" s="1"/>
      <c r="U225" s="1"/>
      <c r="V225" s="1"/>
      <c r="W225" s="7"/>
      <c r="X225" s="7"/>
      <c r="Y225" s="7"/>
    </row>
    <row r="226" spans="1:25" s="1128" customFormat="1" ht="12.75" customHeight="1" thickTop="1">
      <c r="A226" s="2529" t="s">
        <v>304</v>
      </c>
      <c r="B226" s="2522" t="s">
        <v>1111</v>
      </c>
      <c r="C226" s="2523"/>
      <c r="D226" s="2524"/>
      <c r="E226" s="2522" t="s">
        <v>306</v>
      </c>
      <c r="F226" s="2523"/>
      <c r="G226" s="2524"/>
      <c r="H226" s="2522" t="s">
        <v>307</v>
      </c>
      <c r="I226" s="2523"/>
      <c r="J226" s="2524"/>
    </row>
    <row r="227" spans="1:25" ht="12.75" customHeight="1">
      <c r="A227" s="2529"/>
      <c r="B227" s="94" t="s">
        <v>1197</v>
      </c>
      <c r="C227" s="2"/>
      <c r="D227" s="2"/>
      <c r="E227" s="94" t="s">
        <v>1197</v>
      </c>
      <c r="F227" s="2"/>
      <c r="G227" s="2"/>
      <c r="H227" s="94" t="s">
        <v>1197</v>
      </c>
      <c r="I227" s="2"/>
      <c r="J227" s="2"/>
      <c r="K227" s="94" t="s">
        <v>1197</v>
      </c>
      <c r="L227" s="1"/>
      <c r="M227" s="1"/>
      <c r="N227" s="94" t="s">
        <v>1197</v>
      </c>
      <c r="O227" s="2"/>
      <c r="P227" s="2"/>
      <c r="Q227" s="94" t="s">
        <v>1197</v>
      </c>
      <c r="R227" s="2"/>
      <c r="S227" s="2"/>
      <c r="T227" s="94" t="s">
        <v>1197</v>
      </c>
      <c r="U227" s="2"/>
      <c r="V227" s="2"/>
      <c r="W227" s="94" t="s">
        <v>1197</v>
      </c>
    </row>
    <row r="228" spans="1:25" ht="12.75" customHeight="1">
      <c r="A228" s="2529"/>
      <c r="B228" s="2"/>
      <c r="C228" s="2"/>
      <c r="D228" s="2"/>
      <c r="E228" s="2"/>
      <c r="F228" s="2"/>
      <c r="G228" s="2"/>
      <c r="H228" s="1"/>
      <c r="I228" s="1"/>
      <c r="J228" s="1"/>
      <c r="K228" s="1"/>
      <c r="L228" s="1"/>
      <c r="M228" s="1"/>
      <c r="T228" s="7"/>
    </row>
    <row r="229" spans="1:25" ht="12.75" customHeight="1">
      <c r="A229" s="2529"/>
      <c r="B229" s="2"/>
      <c r="C229" s="2"/>
      <c r="D229" s="2"/>
      <c r="E229" s="2"/>
      <c r="F229" s="2"/>
      <c r="G229" s="2"/>
      <c r="H229" s="1"/>
      <c r="I229" s="1"/>
      <c r="J229" s="1"/>
      <c r="K229" s="1"/>
      <c r="L229" s="1"/>
      <c r="M229" s="1"/>
      <c r="T229" s="7"/>
    </row>
    <row r="230" spans="1:25" ht="12.75" customHeight="1">
      <c r="A230" s="2529"/>
      <c r="B230" s="2"/>
      <c r="C230" s="2"/>
      <c r="D230" s="2"/>
      <c r="E230" s="2"/>
      <c r="F230" s="2"/>
      <c r="G230" s="2"/>
      <c r="H230" s="1"/>
      <c r="I230" s="1"/>
      <c r="J230" s="1"/>
      <c r="K230" s="1"/>
      <c r="L230" s="1"/>
      <c r="M230" s="1"/>
      <c r="T230" s="7"/>
    </row>
    <row r="231" spans="1:25" ht="12.75" customHeight="1">
      <c r="A231" s="2529"/>
      <c r="B231" s="2"/>
      <c r="C231" s="2"/>
      <c r="D231" s="2"/>
      <c r="E231" s="2"/>
      <c r="F231" s="2"/>
      <c r="G231" s="2"/>
      <c r="H231" s="1"/>
      <c r="I231" s="1"/>
      <c r="J231" s="1"/>
      <c r="K231" s="1"/>
      <c r="L231" s="1"/>
      <c r="M231" s="1"/>
      <c r="T231" s="7"/>
    </row>
    <row r="232" spans="1:25" ht="12.75" customHeight="1">
      <c r="A232" s="2529"/>
      <c r="B232" s="2"/>
      <c r="C232" s="2"/>
      <c r="D232" s="2"/>
      <c r="E232" s="2"/>
      <c r="F232" s="2"/>
      <c r="G232" s="2"/>
      <c r="H232" s="1"/>
      <c r="I232" s="1"/>
      <c r="J232" s="1"/>
      <c r="K232" s="1"/>
      <c r="L232" s="1"/>
      <c r="M232" s="1"/>
      <c r="T232" s="7"/>
    </row>
    <row r="233" spans="1:25" ht="12.75" customHeight="1">
      <c r="A233" s="2529"/>
      <c r="B233" s="2"/>
      <c r="C233" s="2"/>
      <c r="D233" s="2"/>
      <c r="E233" s="2"/>
      <c r="F233" s="2"/>
      <c r="G233" s="2"/>
      <c r="H233" s="1"/>
      <c r="I233" s="1"/>
      <c r="J233" s="1"/>
      <c r="K233" s="1"/>
      <c r="L233" s="1"/>
      <c r="M233" s="1"/>
      <c r="T233" s="7"/>
    </row>
    <row r="234" spans="1:25" ht="12.75" customHeight="1">
      <c r="A234" s="2529"/>
      <c r="B234" s="2"/>
      <c r="C234" s="2"/>
      <c r="D234" s="2"/>
      <c r="E234" s="2"/>
      <c r="F234" s="2"/>
      <c r="G234" s="2"/>
      <c r="H234" s="1"/>
      <c r="I234" s="1"/>
      <c r="J234" s="1"/>
      <c r="K234" s="1"/>
      <c r="L234" s="1"/>
      <c r="M234" s="1"/>
      <c r="T234" s="8"/>
    </row>
    <row r="235" spans="1:25" ht="12.75" customHeight="1">
      <c r="A235" s="2529"/>
      <c r="B235" s="2"/>
      <c r="C235" s="2"/>
      <c r="D235" s="2"/>
      <c r="E235" s="2"/>
      <c r="F235" s="2"/>
      <c r="G235" s="2"/>
      <c r="H235" s="1"/>
      <c r="I235" s="1"/>
      <c r="J235" s="1"/>
      <c r="K235" s="1"/>
      <c r="L235" s="1"/>
      <c r="M235" s="1"/>
      <c r="T235" s="7"/>
    </row>
    <row r="236" spans="1:25" ht="12.75" customHeight="1">
      <c r="A236" s="2529"/>
      <c r="B236" s="2"/>
      <c r="C236" s="2"/>
      <c r="D236" s="2"/>
      <c r="E236" s="2"/>
      <c r="F236" s="2"/>
      <c r="G236" s="2"/>
      <c r="H236" s="1"/>
      <c r="I236" s="1"/>
      <c r="J236" s="1"/>
      <c r="K236" s="1"/>
      <c r="L236" s="1"/>
      <c r="M236" s="1"/>
      <c r="T236" s="7"/>
    </row>
    <row r="237" spans="1:25" ht="12.75" customHeight="1">
      <c r="A237" s="2529"/>
      <c r="B237" s="2"/>
      <c r="C237" s="2"/>
      <c r="D237" s="2"/>
      <c r="E237" s="2"/>
      <c r="F237" s="2"/>
      <c r="G237" s="2"/>
      <c r="H237" s="1"/>
      <c r="I237" s="1"/>
      <c r="J237" s="1"/>
      <c r="K237" s="1"/>
      <c r="L237" s="1"/>
      <c r="M237" s="1"/>
      <c r="T237" s="7"/>
    </row>
    <row r="238" spans="1:25" ht="12.75" customHeight="1">
      <c r="A238" s="2529"/>
      <c r="B238" s="2"/>
      <c r="C238" s="2"/>
      <c r="D238" s="2"/>
      <c r="E238" s="2"/>
      <c r="F238" s="2"/>
      <c r="G238" s="2"/>
      <c r="H238" s="1"/>
      <c r="I238" s="1"/>
      <c r="J238" s="1"/>
      <c r="K238" s="1"/>
      <c r="L238" s="1"/>
      <c r="M238" s="1"/>
      <c r="T238" s="7"/>
    </row>
    <row r="239" spans="1:25" ht="12.75" customHeight="1">
      <c r="A239" s="2529"/>
      <c r="B239" s="2"/>
      <c r="C239" s="2"/>
      <c r="D239" s="2"/>
      <c r="E239" s="2"/>
      <c r="F239" s="2"/>
      <c r="G239" s="2"/>
      <c r="H239" s="1"/>
      <c r="I239" s="1"/>
      <c r="J239" s="1"/>
      <c r="K239" s="1"/>
      <c r="L239" s="1"/>
      <c r="M239" s="1"/>
      <c r="T239" s="7"/>
    </row>
    <row r="240" spans="1:25" ht="12.75" customHeight="1">
      <c r="A240" s="2529"/>
      <c r="B240" s="2"/>
      <c r="C240" s="2"/>
      <c r="D240" s="2"/>
      <c r="E240" s="2"/>
      <c r="F240" s="2"/>
      <c r="G240" s="2"/>
      <c r="H240" s="1"/>
      <c r="I240" s="1"/>
      <c r="J240" s="1"/>
      <c r="K240" s="1"/>
      <c r="L240" s="1"/>
      <c r="M240" s="1"/>
      <c r="T240" s="7"/>
    </row>
    <row r="241" spans="1:23" ht="12.75" customHeight="1">
      <c r="A241" s="2529"/>
      <c r="B241" s="2"/>
      <c r="C241" s="2"/>
      <c r="D241" s="2"/>
      <c r="E241" s="2"/>
      <c r="F241" s="2"/>
      <c r="G241" s="2"/>
      <c r="H241" s="1"/>
      <c r="I241" s="1"/>
      <c r="J241" s="1"/>
      <c r="K241" s="1"/>
      <c r="L241" s="1"/>
      <c r="M241" s="1"/>
      <c r="T241" s="7"/>
    </row>
    <row r="242" spans="1:23" ht="12.75" customHeight="1">
      <c r="A242" s="2529"/>
      <c r="B242" s="2"/>
      <c r="C242" s="2"/>
      <c r="D242" s="2"/>
      <c r="E242" s="2"/>
      <c r="F242" s="2"/>
      <c r="G242" s="2"/>
      <c r="H242" s="1"/>
      <c r="I242" s="1"/>
      <c r="J242" s="1"/>
      <c r="K242" s="1"/>
      <c r="L242" s="1"/>
      <c r="M242" s="1"/>
      <c r="T242" s="7"/>
    </row>
    <row r="243" spans="1:23" ht="12.75" customHeight="1">
      <c r="A243" s="2529"/>
      <c r="B243" s="2"/>
      <c r="C243" s="2"/>
      <c r="D243" s="2"/>
      <c r="E243" s="2"/>
      <c r="F243" s="2"/>
      <c r="G243" s="2"/>
      <c r="H243" s="1"/>
      <c r="I243" s="1"/>
      <c r="J243" s="1"/>
      <c r="K243" s="1"/>
      <c r="L243" s="1"/>
      <c r="M243" s="1"/>
    </row>
    <row r="244" spans="1:23" ht="12.75" customHeight="1">
      <c r="A244" s="2529"/>
      <c r="B244" s="2"/>
      <c r="C244" s="2"/>
      <c r="D244" s="2"/>
      <c r="E244" s="2"/>
      <c r="F244" s="2"/>
      <c r="G244" s="2"/>
      <c r="H244" s="1"/>
      <c r="I244" s="1"/>
      <c r="J244" s="1"/>
      <c r="K244" s="1"/>
      <c r="L244" s="1"/>
      <c r="M244" s="1"/>
    </row>
    <row r="245" spans="1:23" ht="12.75" customHeight="1" thickBot="1">
      <c r="A245" s="2530"/>
      <c r="B245" s="2"/>
      <c r="C245" s="2"/>
      <c r="D245" s="2"/>
      <c r="E245" s="2"/>
      <c r="F245" s="2"/>
      <c r="G245" s="2"/>
      <c r="H245" s="1"/>
      <c r="I245" s="1"/>
      <c r="J245" s="1"/>
      <c r="K245" s="1"/>
      <c r="L245" s="1"/>
      <c r="M245" s="1"/>
    </row>
    <row r="246" spans="1:23" s="1128" customFormat="1" ht="12.75" customHeight="1">
      <c r="A246" s="2528" t="s">
        <v>309</v>
      </c>
      <c r="B246" s="2522" t="s">
        <v>59</v>
      </c>
      <c r="C246" s="2523"/>
      <c r="D246" s="2524"/>
      <c r="E246" s="2522" t="s">
        <v>310</v>
      </c>
      <c r="F246" s="2523"/>
      <c r="G246" s="2524"/>
      <c r="H246" s="2522" t="s">
        <v>311</v>
      </c>
      <c r="I246" s="2523"/>
      <c r="J246" s="2524"/>
      <c r="K246" s="1133"/>
      <c r="L246" s="1133"/>
      <c r="M246" s="1133"/>
    </row>
    <row r="247" spans="1:23" ht="12.75" customHeight="1">
      <c r="A247" s="2529"/>
      <c r="B247" s="94" t="s">
        <v>1197</v>
      </c>
      <c r="C247" s="2"/>
      <c r="D247" s="2"/>
      <c r="E247" s="94" t="s">
        <v>1197</v>
      </c>
      <c r="F247" s="2"/>
      <c r="G247" s="2"/>
      <c r="H247" s="94" t="s">
        <v>1197</v>
      </c>
      <c r="I247" s="2"/>
      <c r="J247" s="2"/>
      <c r="K247" s="94" t="s">
        <v>1197</v>
      </c>
      <c r="L247" s="1"/>
      <c r="M247" s="1"/>
      <c r="N247" s="94" t="s">
        <v>1197</v>
      </c>
      <c r="O247" s="2"/>
      <c r="P247" s="2"/>
      <c r="Q247" s="94" t="s">
        <v>1197</v>
      </c>
      <c r="R247" s="2"/>
      <c r="S247" s="2"/>
      <c r="T247" s="94" t="s">
        <v>1197</v>
      </c>
      <c r="U247" s="2"/>
      <c r="V247" s="2"/>
      <c r="W247" s="94" t="s">
        <v>1197</v>
      </c>
    </row>
    <row r="248" spans="1:23" ht="12.75" customHeight="1">
      <c r="A248" s="2529"/>
      <c r="B248" s="1"/>
      <c r="C248" s="1"/>
      <c r="D248" s="1"/>
      <c r="E248" s="1"/>
      <c r="F248" s="1"/>
      <c r="G248" s="1"/>
      <c r="H248" s="1"/>
      <c r="I248" s="1"/>
      <c r="J248" s="1"/>
      <c r="K248" s="1"/>
      <c r="L248" s="1"/>
      <c r="M248" s="1"/>
    </row>
    <row r="249" spans="1:23" ht="12.75" customHeight="1">
      <c r="A249" s="2529"/>
      <c r="B249" s="1"/>
      <c r="C249" s="1"/>
      <c r="D249" s="1"/>
      <c r="E249" s="1"/>
      <c r="F249" s="1"/>
      <c r="G249" s="1"/>
      <c r="H249" s="1"/>
      <c r="I249" s="1"/>
      <c r="J249" s="1"/>
      <c r="K249" s="1"/>
      <c r="L249" s="1"/>
      <c r="M249" s="1"/>
    </row>
    <row r="250" spans="1:23" ht="12.75" customHeight="1">
      <c r="A250" s="2529"/>
      <c r="B250" s="1"/>
      <c r="C250" s="1"/>
      <c r="D250" s="1"/>
      <c r="E250" s="1"/>
      <c r="F250" s="1"/>
      <c r="G250" s="1"/>
      <c r="H250" s="1"/>
      <c r="I250" s="1"/>
      <c r="J250" s="1"/>
      <c r="K250" s="1"/>
      <c r="L250" s="1"/>
      <c r="M250" s="1"/>
    </row>
    <row r="251" spans="1:23" ht="12.75" customHeight="1">
      <c r="A251" s="2529"/>
      <c r="B251" s="1"/>
      <c r="C251" s="1"/>
      <c r="D251" s="1"/>
      <c r="E251" s="1"/>
      <c r="F251" s="1"/>
      <c r="G251" s="1"/>
      <c r="H251" s="1"/>
      <c r="I251" s="1"/>
      <c r="J251" s="1"/>
      <c r="K251" s="1"/>
      <c r="L251" s="1"/>
      <c r="M251" s="1"/>
    </row>
    <row r="252" spans="1:23" ht="12.75" customHeight="1">
      <c r="A252" s="2529"/>
      <c r="B252" s="1"/>
      <c r="C252" s="1"/>
      <c r="D252" s="1"/>
      <c r="E252" s="1"/>
      <c r="F252" s="1"/>
      <c r="G252" s="1"/>
      <c r="H252" s="1"/>
      <c r="I252" s="1"/>
      <c r="J252" s="1"/>
      <c r="K252" s="1"/>
      <c r="L252" s="1"/>
      <c r="M252" s="1"/>
    </row>
    <row r="253" spans="1:23" ht="12.75" customHeight="1">
      <c r="A253" s="2529"/>
      <c r="B253" s="1"/>
      <c r="C253" s="1"/>
      <c r="D253" s="1"/>
      <c r="E253" s="1"/>
      <c r="F253" s="1"/>
      <c r="G253" s="1"/>
      <c r="H253" s="1"/>
      <c r="I253" s="1"/>
      <c r="J253" s="1"/>
      <c r="K253" s="1"/>
      <c r="L253" s="1"/>
      <c r="M253" s="1"/>
    </row>
    <row r="254" spans="1:23" ht="12.75" customHeight="1">
      <c r="A254" s="2529"/>
      <c r="B254" s="1"/>
      <c r="C254" s="1"/>
      <c r="D254" s="1"/>
      <c r="E254" s="1"/>
      <c r="F254" s="1"/>
      <c r="G254" s="1"/>
      <c r="H254" s="1"/>
      <c r="I254" s="1"/>
      <c r="J254" s="1"/>
      <c r="K254" s="1"/>
      <c r="L254" s="1"/>
      <c r="M254" s="1"/>
      <c r="T254" s="8"/>
    </row>
    <row r="255" spans="1:23" ht="12.75" customHeight="1">
      <c r="A255" s="2529"/>
      <c r="B255" s="1"/>
      <c r="C255" s="1"/>
      <c r="D255" s="1"/>
      <c r="E255" s="1"/>
      <c r="F255" s="1"/>
      <c r="G255" s="1"/>
      <c r="H255" s="1"/>
      <c r="I255" s="1"/>
      <c r="J255" s="1"/>
      <c r="K255" s="1"/>
      <c r="L255" s="1"/>
      <c r="M255" s="1"/>
      <c r="T255" s="6"/>
    </row>
    <row r="256" spans="1:23" ht="12.75" customHeight="1">
      <c r="A256" s="2529"/>
      <c r="B256" s="1"/>
      <c r="C256" s="1"/>
      <c r="D256" s="1"/>
      <c r="E256" s="1"/>
      <c r="F256" s="1"/>
      <c r="G256" s="1"/>
      <c r="H256" s="1"/>
      <c r="I256" s="1"/>
      <c r="J256" s="1"/>
      <c r="K256" s="1"/>
      <c r="L256" s="1"/>
      <c r="M256" s="1"/>
      <c r="T256" s="6"/>
    </row>
    <row r="257" spans="1:23" ht="12.75" customHeight="1">
      <c r="A257" s="2529"/>
      <c r="B257" s="1"/>
      <c r="C257" s="1"/>
      <c r="D257" s="1"/>
      <c r="E257" s="1"/>
      <c r="F257" s="1"/>
      <c r="G257" s="1"/>
      <c r="H257" s="1"/>
      <c r="I257" s="1"/>
      <c r="J257" s="1"/>
      <c r="K257" s="1"/>
      <c r="L257" s="1"/>
      <c r="M257" s="1"/>
      <c r="T257" s="6"/>
    </row>
    <row r="258" spans="1:23" ht="12.75" customHeight="1">
      <c r="A258" s="2529"/>
      <c r="B258" s="1"/>
      <c r="C258" s="1"/>
      <c r="D258" s="1"/>
      <c r="E258" s="1"/>
      <c r="F258" s="1"/>
      <c r="G258" s="1"/>
      <c r="H258" s="1"/>
      <c r="I258" s="1"/>
      <c r="J258" s="1"/>
      <c r="K258" s="1"/>
      <c r="L258" s="1"/>
      <c r="M258" s="1"/>
      <c r="T258" s="6"/>
    </row>
    <row r="259" spans="1:23" ht="12.75" customHeight="1">
      <c r="A259" s="2529"/>
      <c r="B259" s="1"/>
      <c r="C259" s="1"/>
      <c r="D259" s="1"/>
      <c r="E259" s="1"/>
      <c r="F259" s="1"/>
      <c r="G259" s="1"/>
      <c r="H259" s="1"/>
      <c r="I259" s="1"/>
      <c r="J259" s="1"/>
      <c r="K259" s="1"/>
      <c r="L259" s="1"/>
      <c r="M259" s="1"/>
      <c r="T259" s="6"/>
    </row>
    <row r="260" spans="1:23" ht="12.75" customHeight="1">
      <c r="A260" s="2529"/>
      <c r="B260" s="1"/>
      <c r="C260" s="1"/>
      <c r="D260" s="1"/>
      <c r="E260" s="1"/>
      <c r="F260" s="1"/>
      <c r="G260" s="1"/>
      <c r="H260" s="1"/>
      <c r="I260" s="1"/>
      <c r="J260" s="1"/>
      <c r="K260" s="1"/>
      <c r="L260" s="1"/>
      <c r="M260" s="1"/>
      <c r="T260" s="6"/>
    </row>
    <row r="261" spans="1:23" ht="12.75" customHeight="1">
      <c r="A261" s="2529"/>
      <c r="B261" s="1"/>
      <c r="C261" s="1"/>
      <c r="D261" s="1"/>
      <c r="E261" s="1"/>
      <c r="F261" s="1"/>
      <c r="G261" s="1"/>
      <c r="H261" s="1"/>
      <c r="I261" s="1"/>
      <c r="J261" s="1"/>
      <c r="K261" s="1"/>
      <c r="L261" s="1"/>
      <c r="M261" s="1"/>
    </row>
    <row r="262" spans="1:23" ht="12.75" customHeight="1">
      <c r="A262" s="2529"/>
      <c r="B262" s="1"/>
      <c r="C262" s="1"/>
      <c r="D262" s="1"/>
      <c r="E262" s="1"/>
      <c r="F262" s="1"/>
      <c r="G262" s="1"/>
      <c r="H262" s="1"/>
      <c r="I262" s="1"/>
      <c r="J262" s="1"/>
      <c r="K262" s="1"/>
      <c r="L262" s="1"/>
      <c r="M262" s="1"/>
    </row>
    <row r="263" spans="1:23" ht="12.75" customHeight="1">
      <c r="A263" s="2529"/>
      <c r="B263" s="1"/>
      <c r="C263" s="1"/>
      <c r="D263" s="1"/>
      <c r="E263" s="1"/>
      <c r="F263" s="1"/>
      <c r="G263" s="1"/>
      <c r="H263" s="1"/>
      <c r="I263" s="1"/>
      <c r="J263" s="1"/>
      <c r="K263" s="1"/>
      <c r="L263" s="1"/>
      <c r="M263" s="1"/>
    </row>
    <row r="264" spans="1:23" ht="12.75" customHeight="1">
      <c r="A264" s="2529"/>
      <c r="B264" s="1"/>
      <c r="C264" s="1"/>
      <c r="D264" s="1"/>
      <c r="E264" s="1"/>
      <c r="F264" s="1"/>
      <c r="G264" s="1"/>
      <c r="H264" s="1"/>
      <c r="I264" s="1"/>
      <c r="J264" s="1"/>
      <c r="K264" s="1"/>
      <c r="L264" s="1"/>
      <c r="M264" s="1"/>
    </row>
    <row r="265" spans="1:23" ht="12.75" customHeight="1" thickBot="1">
      <c r="A265" s="2530"/>
      <c r="B265" s="1"/>
      <c r="C265" s="1"/>
      <c r="D265" s="1"/>
      <c r="E265" s="1"/>
      <c r="F265" s="1"/>
      <c r="G265" s="1"/>
      <c r="H265" s="1"/>
      <c r="I265" s="1"/>
      <c r="J265" s="1"/>
      <c r="K265" s="1"/>
      <c r="L265" s="1"/>
      <c r="M265" s="1"/>
    </row>
    <row r="266" spans="1:23" s="1128" customFormat="1" ht="12.75" customHeight="1">
      <c r="A266" s="2528" t="s">
        <v>313</v>
      </c>
      <c r="B266" s="2522" t="s">
        <v>314</v>
      </c>
      <c r="C266" s="2523"/>
      <c r="D266" s="2524"/>
      <c r="E266" s="2522" t="s">
        <v>1134</v>
      </c>
      <c r="F266" s="2523"/>
      <c r="G266" s="2524"/>
      <c r="H266" s="2522" t="s">
        <v>315</v>
      </c>
      <c r="I266" s="2523"/>
      <c r="J266" s="2524"/>
      <c r="K266" s="2522" t="s">
        <v>1058</v>
      </c>
      <c r="L266" s="2523"/>
      <c r="M266" s="2524"/>
    </row>
    <row r="267" spans="1:23" ht="12.75" customHeight="1">
      <c r="A267" s="2529"/>
      <c r="B267" s="94" t="s">
        <v>1197</v>
      </c>
      <c r="C267" s="2"/>
      <c r="D267" s="2"/>
      <c r="E267" s="94" t="s">
        <v>1197</v>
      </c>
      <c r="F267" s="2"/>
      <c r="G267" s="2"/>
      <c r="H267" s="94" t="s">
        <v>1197</v>
      </c>
      <c r="I267" s="2"/>
      <c r="J267" s="2"/>
      <c r="K267" s="94" t="s">
        <v>1197</v>
      </c>
      <c r="L267" s="1"/>
      <c r="M267" s="1"/>
      <c r="N267" s="94" t="s">
        <v>1197</v>
      </c>
      <c r="O267" s="2"/>
      <c r="P267" s="2"/>
      <c r="Q267" s="94" t="s">
        <v>1197</v>
      </c>
      <c r="R267" s="2"/>
      <c r="S267" s="2"/>
      <c r="T267" s="94" t="s">
        <v>1197</v>
      </c>
      <c r="U267" s="2"/>
      <c r="V267" s="2"/>
      <c r="W267" s="94" t="s">
        <v>1197</v>
      </c>
    </row>
    <row r="268" spans="1:23" ht="12.75" customHeight="1">
      <c r="A268" s="2529"/>
      <c r="B268" s="2"/>
      <c r="C268" s="2"/>
      <c r="D268" s="2"/>
      <c r="E268" s="1"/>
      <c r="F268" s="1"/>
      <c r="G268" s="1"/>
      <c r="H268" s="1"/>
      <c r="I268" s="1"/>
      <c r="J268" s="1"/>
      <c r="K268" s="1"/>
      <c r="L268" s="1"/>
      <c r="M268" s="1"/>
      <c r="T268" s="7"/>
    </row>
    <row r="269" spans="1:23" ht="12.75" customHeight="1">
      <c r="A269" s="2529"/>
      <c r="B269" s="2"/>
      <c r="C269" s="2"/>
      <c r="D269" s="2"/>
      <c r="E269" s="1"/>
      <c r="F269" s="1"/>
      <c r="G269" s="1"/>
      <c r="H269" s="1"/>
      <c r="I269" s="1"/>
      <c r="J269" s="1"/>
      <c r="K269" s="1"/>
      <c r="L269" s="1"/>
      <c r="M269" s="1"/>
      <c r="T269" s="7"/>
    </row>
    <row r="270" spans="1:23" ht="12.75" customHeight="1">
      <c r="A270" s="2529"/>
      <c r="B270" s="2"/>
      <c r="C270" s="2"/>
      <c r="D270" s="2"/>
      <c r="E270" s="1"/>
      <c r="F270" s="1"/>
      <c r="G270" s="1"/>
      <c r="H270" s="1"/>
      <c r="I270" s="1"/>
      <c r="J270" s="1"/>
      <c r="K270" s="1"/>
      <c r="L270" s="1"/>
      <c r="M270" s="1"/>
      <c r="T270" s="7"/>
    </row>
    <row r="271" spans="1:23" ht="12.75" customHeight="1">
      <c r="A271" s="2529"/>
      <c r="B271" s="2"/>
      <c r="C271" s="2"/>
      <c r="D271" s="2"/>
      <c r="E271" s="1"/>
      <c r="F271" s="1"/>
      <c r="G271" s="1"/>
      <c r="H271" s="1"/>
      <c r="I271" s="1"/>
      <c r="J271" s="1"/>
      <c r="K271" s="1"/>
      <c r="L271" s="1"/>
      <c r="M271" s="1"/>
      <c r="T271" s="7"/>
    </row>
    <row r="272" spans="1:23" ht="12.75" customHeight="1">
      <c r="A272" s="2529"/>
      <c r="B272" s="2"/>
      <c r="C272" s="2"/>
      <c r="D272" s="2"/>
      <c r="E272" s="1"/>
      <c r="F272" s="1"/>
      <c r="G272" s="1"/>
      <c r="H272" s="1"/>
      <c r="I272" s="1"/>
      <c r="J272" s="1"/>
      <c r="K272" s="1"/>
      <c r="L272" s="1"/>
      <c r="M272" s="1"/>
      <c r="T272" s="7"/>
    </row>
    <row r="273" spans="1:23" ht="12.75" customHeight="1">
      <c r="A273" s="2529"/>
      <c r="B273" s="2"/>
      <c r="C273" s="2"/>
      <c r="D273" s="2"/>
      <c r="E273" s="1"/>
      <c r="F273" s="1"/>
      <c r="G273" s="1"/>
      <c r="H273" s="1"/>
      <c r="I273" s="1"/>
      <c r="J273" s="1"/>
      <c r="K273" s="1"/>
      <c r="L273" s="1"/>
      <c r="M273" s="1"/>
      <c r="T273" s="7"/>
    </row>
    <row r="274" spans="1:23" ht="12.75" customHeight="1">
      <c r="A274" s="2529"/>
      <c r="B274" s="2"/>
      <c r="C274" s="2"/>
      <c r="D274" s="2"/>
      <c r="E274" s="1"/>
      <c r="F274" s="1"/>
      <c r="G274" s="1"/>
      <c r="H274" s="1"/>
      <c r="I274" s="1"/>
      <c r="J274" s="1"/>
      <c r="K274" s="1"/>
      <c r="L274" s="1"/>
      <c r="M274" s="1"/>
      <c r="T274" s="8"/>
    </row>
    <row r="275" spans="1:23" ht="12.75" customHeight="1">
      <c r="A275" s="2529"/>
      <c r="B275" s="2"/>
      <c r="C275" s="2"/>
      <c r="D275" s="2"/>
      <c r="E275" s="1"/>
      <c r="F275" s="1"/>
      <c r="G275" s="1"/>
      <c r="H275" s="1"/>
      <c r="I275" s="1"/>
      <c r="J275" s="1"/>
      <c r="K275" s="1"/>
      <c r="L275" s="1"/>
      <c r="M275" s="1"/>
      <c r="T275" s="7"/>
    </row>
    <row r="276" spans="1:23" ht="12.75" customHeight="1">
      <c r="A276" s="2529"/>
      <c r="B276" s="2"/>
      <c r="C276" s="2"/>
      <c r="D276" s="2"/>
      <c r="E276" s="1"/>
      <c r="F276" s="1"/>
      <c r="G276" s="1"/>
      <c r="H276" s="1"/>
      <c r="I276" s="1"/>
      <c r="J276" s="1"/>
      <c r="K276" s="1"/>
      <c r="L276" s="1"/>
      <c r="M276" s="1"/>
      <c r="T276" s="7"/>
    </row>
    <row r="277" spans="1:23" ht="12.75" customHeight="1">
      <c r="A277" s="2529"/>
      <c r="B277" s="2"/>
      <c r="C277" s="2"/>
      <c r="D277" s="2"/>
      <c r="E277" s="1"/>
      <c r="F277" s="1"/>
      <c r="G277" s="1"/>
      <c r="H277" s="1"/>
      <c r="I277" s="1"/>
      <c r="J277" s="1"/>
      <c r="K277" s="1"/>
      <c r="L277" s="1"/>
      <c r="M277" s="1"/>
      <c r="T277" s="7"/>
    </row>
    <row r="278" spans="1:23" ht="12.75" customHeight="1">
      <c r="A278" s="2529"/>
      <c r="B278" s="2"/>
      <c r="C278" s="2"/>
      <c r="D278" s="2"/>
      <c r="E278" s="1"/>
      <c r="F278" s="1"/>
      <c r="G278" s="1"/>
      <c r="H278" s="1"/>
      <c r="I278" s="1"/>
      <c r="J278" s="1"/>
      <c r="K278" s="1"/>
      <c r="L278" s="1"/>
      <c r="M278" s="1"/>
      <c r="T278" s="7"/>
    </row>
    <row r="279" spans="1:23" ht="12.75" customHeight="1">
      <c r="A279" s="2529"/>
      <c r="B279" s="2"/>
      <c r="C279" s="2"/>
      <c r="D279" s="2"/>
      <c r="E279" s="1"/>
      <c r="F279" s="1"/>
      <c r="G279" s="1"/>
      <c r="H279" s="1"/>
      <c r="I279" s="1"/>
      <c r="J279" s="1"/>
      <c r="K279" s="1"/>
      <c r="L279" s="1"/>
      <c r="M279" s="1"/>
      <c r="T279" s="7"/>
    </row>
    <row r="280" spans="1:23" ht="12.75" customHeight="1">
      <c r="A280" s="2529"/>
      <c r="B280" s="2"/>
      <c r="C280" s="2"/>
      <c r="D280" s="2"/>
      <c r="E280" s="1"/>
      <c r="F280" s="1"/>
      <c r="G280" s="1"/>
      <c r="H280" s="1"/>
      <c r="I280" s="1"/>
      <c r="J280" s="1"/>
      <c r="K280" s="1"/>
      <c r="L280" s="1"/>
      <c r="M280" s="1"/>
      <c r="T280" s="7"/>
    </row>
    <row r="281" spans="1:23" ht="12.75" customHeight="1">
      <c r="A281" s="2529"/>
      <c r="B281" s="2"/>
      <c r="C281" s="2"/>
      <c r="D281" s="2"/>
      <c r="E281" s="1"/>
      <c r="F281" s="1"/>
      <c r="G281" s="1"/>
      <c r="H281" s="1"/>
      <c r="I281" s="1"/>
      <c r="J281" s="1"/>
      <c r="K281" s="1"/>
      <c r="L281" s="1"/>
      <c r="M281" s="1"/>
      <c r="T281" s="7"/>
    </row>
    <row r="282" spans="1:23" ht="12.75" customHeight="1">
      <c r="A282" s="2529"/>
      <c r="B282" s="2"/>
      <c r="C282" s="2"/>
      <c r="D282" s="2"/>
      <c r="E282" s="1"/>
      <c r="F282" s="1"/>
      <c r="G282" s="1"/>
      <c r="H282" s="1"/>
      <c r="I282" s="1"/>
      <c r="J282" s="1"/>
      <c r="K282" s="1"/>
      <c r="L282" s="1"/>
      <c r="M282" s="1"/>
      <c r="T282" s="7"/>
    </row>
    <row r="283" spans="1:23" ht="12.75" customHeight="1">
      <c r="A283" s="2529"/>
      <c r="B283" s="2"/>
      <c r="C283" s="2"/>
      <c r="D283" s="2"/>
      <c r="E283" s="1"/>
      <c r="F283" s="1"/>
      <c r="G283" s="1"/>
      <c r="H283" s="1"/>
      <c r="I283" s="1"/>
      <c r="J283" s="1"/>
      <c r="K283" s="1"/>
      <c r="L283" s="1"/>
      <c r="M283" s="1"/>
      <c r="T283" s="7"/>
    </row>
    <row r="284" spans="1:23" ht="12.75" customHeight="1">
      <c r="A284" s="2529"/>
      <c r="B284" s="2"/>
      <c r="C284" s="2"/>
      <c r="D284" s="2"/>
      <c r="E284" s="1"/>
      <c r="F284" s="1"/>
      <c r="G284" s="1"/>
      <c r="H284" s="1"/>
      <c r="I284" s="1"/>
      <c r="J284" s="1"/>
      <c r="K284" s="1"/>
      <c r="L284" s="1"/>
      <c r="M284" s="1"/>
    </row>
    <row r="285" spans="1:23" ht="12.75" customHeight="1" thickBot="1">
      <c r="A285" s="2530"/>
      <c r="B285" s="2"/>
      <c r="C285" s="2"/>
      <c r="D285" s="2"/>
      <c r="E285" s="1"/>
      <c r="F285" s="1"/>
      <c r="G285" s="1"/>
      <c r="H285" s="1"/>
      <c r="I285" s="1"/>
      <c r="J285" s="1"/>
      <c r="K285" s="1"/>
      <c r="L285" s="1"/>
      <c r="M285" s="1"/>
    </row>
    <row r="286" spans="1:23" s="1128" customFormat="1" ht="12.75" customHeight="1">
      <c r="A286" s="2528" t="s">
        <v>317</v>
      </c>
      <c r="B286" s="2522" t="s">
        <v>318</v>
      </c>
      <c r="C286" s="2523"/>
      <c r="D286" s="2524"/>
      <c r="E286" s="2522" t="s">
        <v>320</v>
      </c>
      <c r="F286" s="2523"/>
      <c r="G286" s="2524"/>
      <c r="H286" s="2522" t="s">
        <v>320</v>
      </c>
      <c r="I286" s="2523"/>
      <c r="J286" s="2524"/>
      <c r="K286" s="2522" t="s">
        <v>1694</v>
      </c>
      <c r="L286" s="2523"/>
      <c r="M286" s="2524"/>
    </row>
    <row r="287" spans="1:23" ht="12.75" customHeight="1">
      <c r="A287" s="2529"/>
      <c r="B287" s="94" t="s">
        <v>1197</v>
      </c>
      <c r="C287" s="2"/>
      <c r="D287" s="2"/>
      <c r="E287" s="94" t="s">
        <v>1197</v>
      </c>
      <c r="F287" s="2"/>
      <c r="G287" s="2"/>
      <c r="H287" s="94" t="s">
        <v>1197</v>
      </c>
      <c r="I287" s="2"/>
      <c r="J287" s="2"/>
      <c r="K287" s="94" t="s">
        <v>1197</v>
      </c>
      <c r="L287" s="1"/>
      <c r="M287" s="1"/>
      <c r="N287" s="94" t="s">
        <v>1197</v>
      </c>
      <c r="O287" s="2"/>
      <c r="P287" s="2"/>
      <c r="Q287" s="94" t="s">
        <v>1197</v>
      </c>
      <c r="R287" s="2"/>
      <c r="S287" s="2"/>
      <c r="T287" s="94" t="s">
        <v>1197</v>
      </c>
      <c r="U287" s="2"/>
      <c r="V287" s="2"/>
      <c r="W287" s="94" t="s">
        <v>1197</v>
      </c>
    </row>
    <row r="288" spans="1:23" ht="12.75" customHeight="1">
      <c r="A288" s="2529"/>
      <c r="B288" s="1"/>
      <c r="C288" s="1"/>
      <c r="D288" s="1"/>
      <c r="E288" s="1"/>
      <c r="F288" s="1"/>
      <c r="G288" s="1"/>
      <c r="H288" s="1"/>
      <c r="I288" s="1"/>
      <c r="J288" s="1"/>
      <c r="Q288" s="7"/>
    </row>
    <row r="289" spans="1:17" ht="12.75" customHeight="1">
      <c r="A289" s="2529"/>
      <c r="B289" s="1"/>
      <c r="C289" s="1"/>
      <c r="D289" s="1"/>
      <c r="E289" s="1"/>
      <c r="F289" s="1"/>
      <c r="G289" s="1"/>
      <c r="H289" s="1"/>
      <c r="I289" s="1"/>
      <c r="J289" s="1"/>
      <c r="Q289" s="7"/>
    </row>
    <row r="290" spans="1:17" ht="12.75" customHeight="1">
      <c r="A290" s="2529"/>
      <c r="B290" s="1"/>
      <c r="C290" s="1"/>
      <c r="D290" s="1"/>
      <c r="E290" s="1"/>
      <c r="F290" s="1"/>
      <c r="G290" s="1"/>
      <c r="H290" s="1"/>
      <c r="I290" s="1"/>
      <c r="J290" s="1"/>
      <c r="Q290" s="7"/>
    </row>
    <row r="291" spans="1:17" ht="12.75" customHeight="1">
      <c r="A291" s="2529"/>
      <c r="B291" s="1"/>
      <c r="C291" s="1"/>
      <c r="D291" s="1"/>
      <c r="E291" s="1"/>
      <c r="F291" s="1"/>
      <c r="G291" s="1"/>
      <c r="H291" s="1"/>
      <c r="I291" s="1"/>
      <c r="J291" s="1"/>
      <c r="Q291" s="7"/>
    </row>
    <row r="292" spans="1:17" ht="12.75" customHeight="1">
      <c r="A292" s="2529"/>
      <c r="B292" s="1"/>
      <c r="C292" s="1"/>
      <c r="D292" s="1"/>
      <c r="E292" s="1"/>
      <c r="F292" s="1"/>
      <c r="G292" s="1"/>
      <c r="H292" s="1"/>
      <c r="I292" s="1"/>
      <c r="J292" s="1"/>
      <c r="Q292" s="7"/>
    </row>
    <row r="293" spans="1:17" ht="12.75" customHeight="1">
      <c r="A293" s="2529"/>
      <c r="B293" s="1"/>
      <c r="C293" s="1"/>
      <c r="D293" s="1"/>
      <c r="E293" s="1"/>
      <c r="F293" s="1"/>
      <c r="G293" s="1"/>
      <c r="H293" s="1"/>
      <c r="I293" s="1"/>
      <c r="J293" s="1"/>
      <c r="Q293" s="7"/>
    </row>
    <row r="294" spans="1:17" ht="12.75" customHeight="1">
      <c r="A294" s="2529"/>
      <c r="B294" s="1"/>
      <c r="C294" s="1"/>
      <c r="D294" s="1"/>
      <c r="E294" s="1"/>
      <c r="F294" s="1"/>
      <c r="G294" s="1"/>
      <c r="H294" s="1"/>
      <c r="I294" s="1"/>
      <c r="J294" s="1"/>
      <c r="Q294" s="8"/>
    </row>
    <row r="295" spans="1:17" ht="12.75" customHeight="1">
      <c r="A295" s="2529"/>
      <c r="B295" s="1"/>
      <c r="C295" s="1"/>
      <c r="D295" s="1"/>
      <c r="E295" s="1"/>
      <c r="F295" s="1"/>
      <c r="G295" s="1"/>
      <c r="H295" s="1"/>
      <c r="I295" s="1"/>
      <c r="J295" s="1"/>
      <c r="Q295" s="7"/>
    </row>
    <row r="296" spans="1:17" ht="12.75" customHeight="1">
      <c r="A296" s="2529"/>
      <c r="B296" s="1"/>
      <c r="C296" s="1"/>
      <c r="D296" s="1"/>
      <c r="E296" s="1"/>
      <c r="F296" s="1"/>
      <c r="G296" s="1"/>
      <c r="H296" s="1"/>
      <c r="I296" s="1"/>
      <c r="J296" s="1"/>
      <c r="Q296" s="7"/>
    </row>
    <row r="297" spans="1:17" ht="12.75" customHeight="1">
      <c r="A297" s="2529"/>
      <c r="B297" s="1"/>
      <c r="C297" s="1"/>
      <c r="D297" s="1"/>
      <c r="E297" s="1"/>
      <c r="F297" s="1"/>
      <c r="G297" s="1"/>
      <c r="H297" s="1"/>
      <c r="I297" s="1"/>
      <c r="J297" s="1"/>
      <c r="Q297" s="7"/>
    </row>
    <row r="298" spans="1:17" ht="12.75" customHeight="1">
      <c r="A298" s="2529"/>
      <c r="B298" s="1"/>
      <c r="C298" s="1"/>
      <c r="D298" s="1"/>
      <c r="E298" s="1"/>
      <c r="F298" s="1"/>
      <c r="G298" s="1"/>
      <c r="H298" s="1"/>
      <c r="I298" s="1"/>
      <c r="J298" s="1"/>
      <c r="Q298" s="7"/>
    </row>
    <row r="299" spans="1:17" ht="12.75" customHeight="1">
      <c r="A299" s="2529"/>
      <c r="B299" s="1"/>
      <c r="C299" s="1"/>
      <c r="D299" s="1"/>
      <c r="E299" s="1"/>
      <c r="F299" s="1"/>
      <c r="G299" s="1"/>
      <c r="H299" s="1"/>
      <c r="I299" s="1"/>
      <c r="J299" s="1"/>
      <c r="Q299" s="7"/>
    </row>
    <row r="300" spans="1:17" ht="12.75" customHeight="1">
      <c r="A300" s="2529"/>
      <c r="B300" s="1"/>
      <c r="C300" s="1"/>
      <c r="D300" s="1"/>
      <c r="E300" s="1"/>
      <c r="F300" s="1"/>
      <c r="G300" s="1"/>
      <c r="H300" s="1"/>
      <c r="I300" s="1"/>
      <c r="J300" s="1"/>
      <c r="Q300" s="7"/>
    </row>
    <row r="301" spans="1:17" ht="12.75" customHeight="1">
      <c r="A301" s="2529"/>
      <c r="B301" s="1"/>
      <c r="C301" s="1"/>
      <c r="D301" s="1"/>
      <c r="E301" s="1"/>
      <c r="F301" s="1"/>
      <c r="G301" s="1"/>
      <c r="H301" s="1"/>
      <c r="I301" s="1"/>
      <c r="J301" s="1"/>
      <c r="Q301" s="7"/>
    </row>
    <row r="302" spans="1:17" ht="12.75" customHeight="1">
      <c r="A302" s="2529"/>
      <c r="B302" s="1"/>
      <c r="C302" s="1"/>
      <c r="D302" s="1"/>
      <c r="E302" s="1"/>
      <c r="F302" s="1"/>
      <c r="G302" s="1"/>
      <c r="H302" s="1"/>
      <c r="I302" s="1"/>
      <c r="J302" s="1"/>
      <c r="Q302" s="7"/>
    </row>
    <row r="303" spans="1:17" ht="12.75" customHeight="1">
      <c r="A303" s="2529"/>
      <c r="B303" s="1"/>
      <c r="C303" s="1"/>
      <c r="D303" s="1"/>
      <c r="E303" s="1"/>
      <c r="F303" s="1"/>
      <c r="G303" s="1"/>
      <c r="H303" s="1"/>
      <c r="I303" s="1"/>
      <c r="J303" s="1"/>
      <c r="Q303" s="7"/>
    </row>
    <row r="304" spans="1:17" ht="12.75" customHeight="1">
      <c r="A304" s="2529"/>
      <c r="B304" s="1"/>
      <c r="C304" s="1"/>
      <c r="D304" s="1"/>
      <c r="E304" s="1"/>
      <c r="F304" s="1"/>
      <c r="G304" s="1"/>
      <c r="H304" s="1"/>
      <c r="I304" s="1"/>
      <c r="J304" s="1"/>
      <c r="Q304" s="7"/>
    </row>
    <row r="305" spans="1:23" ht="12.75" customHeight="1" thickBot="1">
      <c r="A305" s="2530"/>
      <c r="B305" s="1"/>
      <c r="C305" s="1"/>
      <c r="D305" s="1"/>
      <c r="E305" s="1"/>
      <c r="F305" s="1"/>
      <c r="G305" s="1"/>
      <c r="H305" s="1"/>
      <c r="I305" s="1"/>
      <c r="J305" s="1"/>
    </row>
    <row r="306" spans="1:23" s="1128" customFormat="1" ht="12.75" customHeight="1">
      <c r="A306" s="2528" t="s">
        <v>322</v>
      </c>
      <c r="B306" s="2522" t="s">
        <v>323</v>
      </c>
      <c r="C306" s="2523"/>
      <c r="D306" s="2524"/>
      <c r="E306" s="2522" t="s">
        <v>1112</v>
      </c>
      <c r="F306" s="2523"/>
      <c r="G306" s="2524"/>
      <c r="H306" s="2522" t="s">
        <v>324</v>
      </c>
      <c r="I306" s="2523"/>
      <c r="J306" s="2524"/>
      <c r="K306" s="2522" t="s">
        <v>325</v>
      </c>
      <c r="L306" s="2523"/>
      <c r="M306" s="2524"/>
      <c r="N306" s="2522" t="s">
        <v>1121</v>
      </c>
      <c r="O306" s="2523"/>
      <c r="P306" s="2524"/>
    </row>
    <row r="307" spans="1:23" ht="12.75" customHeight="1">
      <c r="A307" s="2529"/>
      <c r="B307" s="94" t="s">
        <v>1197</v>
      </c>
      <c r="C307" s="2"/>
      <c r="D307" s="2"/>
      <c r="E307" s="94" t="s">
        <v>1197</v>
      </c>
      <c r="F307" s="2"/>
      <c r="G307" s="2"/>
      <c r="H307" s="94" t="s">
        <v>1197</v>
      </c>
      <c r="I307" s="2"/>
      <c r="J307" s="2"/>
      <c r="K307" s="94" t="s">
        <v>1197</v>
      </c>
      <c r="L307" s="1"/>
      <c r="M307" s="1"/>
      <c r="N307" s="94" t="s">
        <v>1197</v>
      </c>
      <c r="O307" s="2"/>
      <c r="P307" s="2"/>
      <c r="Q307" s="94" t="s">
        <v>1197</v>
      </c>
      <c r="R307" s="2"/>
      <c r="S307" s="2"/>
      <c r="T307" s="94" t="s">
        <v>1197</v>
      </c>
      <c r="U307" s="2"/>
      <c r="V307" s="2"/>
      <c r="W307" s="94" t="s">
        <v>1197</v>
      </c>
    </row>
    <row r="308" spans="1:23" ht="12.75" customHeight="1">
      <c r="A308" s="2529"/>
      <c r="B308" s="2"/>
      <c r="C308" s="2"/>
      <c r="D308" s="2"/>
      <c r="E308" s="2"/>
      <c r="F308" s="2"/>
      <c r="G308" s="2"/>
      <c r="H308" s="1"/>
      <c r="I308" s="1"/>
      <c r="J308" s="1"/>
      <c r="K308" s="1"/>
      <c r="L308" s="1"/>
      <c r="M308" s="1"/>
      <c r="N308" s="2"/>
      <c r="O308" s="2"/>
      <c r="P308" s="2"/>
      <c r="T308" s="7"/>
      <c r="U308" s="7"/>
    </row>
    <row r="309" spans="1:23" ht="12.75" customHeight="1">
      <c r="A309" s="2529"/>
      <c r="B309" s="2"/>
      <c r="C309" s="2"/>
      <c r="D309" s="2"/>
      <c r="E309" s="2"/>
      <c r="F309" s="2"/>
      <c r="G309" s="2"/>
      <c r="H309" s="1"/>
      <c r="I309" s="1"/>
      <c r="J309" s="1"/>
      <c r="K309" s="1"/>
      <c r="L309" s="1"/>
      <c r="M309" s="1"/>
      <c r="N309" s="2"/>
      <c r="O309" s="2"/>
      <c r="P309" s="2"/>
      <c r="T309" s="7"/>
      <c r="U309" s="7"/>
    </row>
    <row r="310" spans="1:23" ht="12.75" customHeight="1">
      <c r="A310" s="2529"/>
      <c r="B310" s="2"/>
      <c r="C310" s="2"/>
      <c r="D310" s="2"/>
      <c r="E310" s="2"/>
      <c r="F310" s="2"/>
      <c r="G310" s="2"/>
      <c r="H310" s="1"/>
      <c r="I310" s="1"/>
      <c r="J310" s="1"/>
      <c r="K310" s="1"/>
      <c r="L310" s="1"/>
      <c r="M310" s="1"/>
      <c r="N310" s="2"/>
      <c r="O310" s="2"/>
      <c r="P310" s="2"/>
      <c r="T310" s="7"/>
      <c r="U310" s="7"/>
    </row>
    <row r="311" spans="1:23" ht="12.75" customHeight="1">
      <c r="A311" s="2529"/>
      <c r="B311" s="2"/>
      <c r="C311" s="2"/>
      <c r="D311" s="2"/>
      <c r="E311" s="2"/>
      <c r="F311" s="2"/>
      <c r="G311" s="2"/>
      <c r="H311" s="1"/>
      <c r="I311" s="1"/>
      <c r="J311" s="1"/>
      <c r="K311" s="1"/>
      <c r="L311" s="1"/>
      <c r="M311" s="1"/>
      <c r="N311" s="2"/>
      <c r="O311" s="2"/>
      <c r="P311" s="2"/>
      <c r="T311" s="7"/>
      <c r="U311" s="7"/>
    </row>
    <row r="312" spans="1:23" ht="12.75" customHeight="1">
      <c r="A312" s="2529"/>
      <c r="B312" s="2"/>
      <c r="C312" s="2"/>
      <c r="D312" s="2"/>
      <c r="E312" s="2"/>
      <c r="F312" s="2"/>
      <c r="G312" s="2"/>
      <c r="H312" s="1"/>
      <c r="I312" s="1"/>
      <c r="J312" s="1"/>
      <c r="K312" s="1"/>
      <c r="L312" s="1"/>
      <c r="M312" s="1"/>
      <c r="N312" s="2"/>
      <c r="O312" s="2"/>
      <c r="P312" s="2"/>
      <c r="T312" s="7"/>
      <c r="U312" s="7"/>
    </row>
    <row r="313" spans="1:23" ht="12.75" customHeight="1">
      <c r="A313" s="2529"/>
      <c r="B313" s="2"/>
      <c r="C313" s="2"/>
      <c r="D313" s="2"/>
      <c r="E313" s="2"/>
      <c r="F313" s="2"/>
      <c r="G313" s="2"/>
      <c r="H313" s="1"/>
      <c r="I313" s="1"/>
      <c r="J313" s="1"/>
      <c r="K313" s="1"/>
      <c r="L313" s="1"/>
      <c r="M313" s="1"/>
      <c r="N313" s="2"/>
      <c r="O313" s="2"/>
      <c r="P313" s="2"/>
      <c r="T313" s="7"/>
      <c r="U313" s="7"/>
    </row>
    <row r="314" spans="1:23" ht="12.75" customHeight="1">
      <c r="A314" s="2529"/>
      <c r="B314" s="2"/>
      <c r="C314" s="2"/>
      <c r="D314" s="2"/>
      <c r="E314" s="2"/>
      <c r="F314" s="2"/>
      <c r="G314" s="2"/>
      <c r="H314" s="1"/>
      <c r="I314" s="1"/>
      <c r="J314" s="1"/>
      <c r="K314" s="1"/>
      <c r="L314" s="1"/>
      <c r="M314" s="1"/>
      <c r="N314" s="2"/>
      <c r="O314" s="2"/>
      <c r="P314" s="2"/>
      <c r="T314" s="7"/>
      <c r="U314" s="7"/>
    </row>
    <row r="315" spans="1:23" ht="12.75" customHeight="1">
      <c r="A315" s="2529"/>
      <c r="B315" s="2"/>
      <c r="C315" s="2"/>
      <c r="D315" s="2"/>
      <c r="E315" s="2"/>
      <c r="F315" s="2"/>
      <c r="G315" s="2"/>
      <c r="H315" s="1"/>
      <c r="I315" s="1"/>
      <c r="J315" s="1"/>
      <c r="K315" s="1"/>
      <c r="L315" s="1"/>
      <c r="M315" s="1"/>
      <c r="N315" s="2"/>
      <c r="O315" s="2"/>
      <c r="P315" s="2"/>
      <c r="T315" s="7"/>
      <c r="U315" s="7"/>
    </row>
    <row r="316" spans="1:23" ht="12.75" customHeight="1">
      <c r="A316" s="2529"/>
      <c r="B316" s="2"/>
      <c r="C316" s="2"/>
      <c r="D316" s="2"/>
      <c r="E316" s="2"/>
      <c r="F316" s="2"/>
      <c r="G316" s="2"/>
      <c r="H316" s="1"/>
      <c r="I316" s="1"/>
      <c r="J316" s="1"/>
      <c r="K316" s="1"/>
      <c r="L316" s="1"/>
      <c r="M316" s="1"/>
      <c r="N316" s="2"/>
      <c r="O316" s="2"/>
      <c r="P316" s="2"/>
      <c r="T316" s="7"/>
      <c r="U316" s="7"/>
    </row>
    <row r="317" spans="1:23" ht="12.75" customHeight="1">
      <c r="A317" s="2529"/>
      <c r="B317" s="2"/>
      <c r="C317" s="2"/>
      <c r="D317" s="2"/>
      <c r="E317" s="2"/>
      <c r="F317" s="2"/>
      <c r="G317" s="2"/>
      <c r="H317" s="1"/>
      <c r="I317" s="1"/>
      <c r="J317" s="1"/>
      <c r="K317" s="1"/>
      <c r="L317" s="1"/>
      <c r="M317" s="1"/>
      <c r="N317" s="2"/>
      <c r="O317" s="2"/>
      <c r="P317" s="2"/>
      <c r="T317" s="7"/>
      <c r="U317" s="7"/>
    </row>
    <row r="318" spans="1:23" ht="12.75" customHeight="1">
      <c r="A318" s="2529"/>
      <c r="B318" s="2"/>
      <c r="C318" s="2"/>
      <c r="D318" s="2"/>
      <c r="E318" s="2"/>
      <c r="F318" s="2"/>
      <c r="G318" s="2"/>
      <c r="H318" s="1"/>
      <c r="I318" s="1"/>
      <c r="J318" s="1"/>
      <c r="K318" s="1"/>
      <c r="L318" s="1"/>
      <c r="M318" s="1"/>
      <c r="N318" s="2"/>
      <c r="O318" s="2"/>
      <c r="P318" s="2"/>
      <c r="T318" s="7"/>
      <c r="U318" s="7"/>
    </row>
    <row r="319" spans="1:23" ht="12.75" customHeight="1">
      <c r="A319" s="2529"/>
      <c r="B319" s="2"/>
      <c r="C319" s="2"/>
      <c r="D319" s="2"/>
      <c r="E319" s="2"/>
      <c r="F319" s="2"/>
      <c r="G319" s="2"/>
      <c r="H319" s="1"/>
      <c r="I319" s="1"/>
      <c r="J319" s="1"/>
      <c r="K319" s="1"/>
      <c r="L319" s="1"/>
      <c r="M319" s="1"/>
      <c r="N319" s="2"/>
      <c r="O319" s="2"/>
      <c r="P319" s="2"/>
      <c r="T319" s="7"/>
      <c r="U319" s="7"/>
    </row>
    <row r="320" spans="1:23" ht="12.75" customHeight="1">
      <c r="A320" s="2529"/>
      <c r="B320" s="2"/>
      <c r="C320" s="2"/>
      <c r="D320" s="2"/>
      <c r="E320" s="2"/>
      <c r="F320" s="2"/>
      <c r="G320" s="2"/>
      <c r="H320" s="1"/>
      <c r="I320" s="1"/>
      <c r="J320" s="1"/>
      <c r="K320" s="1"/>
      <c r="L320" s="1"/>
      <c r="M320" s="1"/>
      <c r="N320" s="2"/>
      <c r="O320" s="2"/>
      <c r="P320" s="2"/>
      <c r="T320" s="7"/>
      <c r="U320" s="7"/>
    </row>
    <row r="321" spans="1:23" ht="12.75" customHeight="1">
      <c r="A321" s="2529"/>
      <c r="B321" s="2"/>
      <c r="C321" s="2"/>
      <c r="D321" s="2"/>
      <c r="E321" s="2"/>
      <c r="F321" s="2"/>
      <c r="G321" s="2"/>
      <c r="H321" s="1"/>
      <c r="I321" s="1"/>
      <c r="J321" s="1"/>
      <c r="K321" s="1"/>
      <c r="L321" s="1"/>
      <c r="M321" s="1"/>
      <c r="N321" s="2"/>
      <c r="O321" s="2"/>
      <c r="P321" s="2"/>
      <c r="T321" s="7"/>
      <c r="U321" s="7"/>
    </row>
    <row r="322" spans="1:23" ht="12.75" customHeight="1">
      <c r="A322" s="2529"/>
      <c r="B322" s="2"/>
      <c r="C322" s="2"/>
      <c r="D322" s="2"/>
      <c r="E322" s="2"/>
      <c r="F322" s="2"/>
      <c r="G322" s="2"/>
      <c r="H322" s="1"/>
      <c r="I322" s="1"/>
      <c r="J322" s="1"/>
      <c r="K322" s="1"/>
      <c r="L322" s="1"/>
      <c r="M322" s="1"/>
      <c r="N322" s="2"/>
      <c r="O322" s="2"/>
      <c r="P322" s="2"/>
      <c r="T322" s="7"/>
      <c r="U322" s="7"/>
    </row>
    <row r="323" spans="1:23" ht="12.75" customHeight="1">
      <c r="A323" s="2529"/>
      <c r="B323" s="2"/>
      <c r="C323" s="2"/>
      <c r="D323" s="2"/>
      <c r="E323" s="2"/>
      <c r="F323" s="2"/>
      <c r="G323" s="2"/>
      <c r="H323" s="1"/>
      <c r="I323" s="1"/>
      <c r="J323" s="1"/>
      <c r="K323" s="1"/>
      <c r="L323" s="1"/>
      <c r="M323" s="1"/>
      <c r="N323" s="2"/>
      <c r="O323" s="2"/>
      <c r="P323" s="2"/>
      <c r="T323" s="7"/>
      <c r="U323" s="7"/>
    </row>
    <row r="324" spans="1:23" ht="12.75" customHeight="1">
      <c r="A324" s="2529"/>
      <c r="B324" s="2"/>
      <c r="C324" s="2"/>
      <c r="D324" s="2"/>
      <c r="E324" s="2"/>
      <c r="F324" s="2"/>
      <c r="G324" s="2"/>
      <c r="H324" s="1"/>
      <c r="I324" s="1"/>
      <c r="J324" s="1"/>
      <c r="K324" s="1"/>
      <c r="L324" s="1"/>
      <c r="M324" s="1"/>
      <c r="N324" s="2"/>
      <c r="O324" s="2"/>
      <c r="P324" s="2"/>
    </row>
    <row r="325" spans="1:23" ht="12.75" customHeight="1" thickBot="1">
      <c r="A325" s="2530"/>
      <c r="B325" s="2"/>
      <c r="C325" s="2"/>
      <c r="D325" s="2"/>
      <c r="E325" s="2"/>
      <c r="F325" s="2"/>
      <c r="G325" s="2"/>
      <c r="H325" s="1"/>
      <c r="I325" s="1"/>
      <c r="J325" s="1"/>
      <c r="K325" s="1"/>
      <c r="L325" s="1"/>
      <c r="M325" s="1"/>
      <c r="N325" s="2"/>
      <c r="O325" s="2"/>
      <c r="P325" s="2"/>
    </row>
    <row r="326" spans="1:23" s="1128" customFormat="1" ht="12.75" customHeight="1">
      <c r="A326" s="2528" t="s">
        <v>327</v>
      </c>
      <c r="B326" s="2522" t="s">
        <v>328</v>
      </c>
      <c r="C326" s="2523"/>
      <c r="D326" s="2524"/>
      <c r="E326" s="2522" t="s">
        <v>329</v>
      </c>
      <c r="F326" s="2523"/>
      <c r="G326" s="2524"/>
      <c r="H326" s="2522" t="s">
        <v>330</v>
      </c>
      <c r="I326" s="2523"/>
      <c r="J326" s="2524"/>
      <c r="K326" s="2522" t="s">
        <v>463</v>
      </c>
      <c r="L326" s="2523"/>
      <c r="M326" s="2524"/>
    </row>
    <row r="327" spans="1:23" ht="12.75" customHeight="1">
      <c r="A327" s="2529"/>
      <c r="B327" s="94" t="s">
        <v>1197</v>
      </c>
      <c r="C327" s="2"/>
      <c r="D327" s="2"/>
      <c r="E327" s="94" t="s">
        <v>1197</v>
      </c>
      <c r="F327" s="2"/>
      <c r="G327" s="2"/>
      <c r="H327" s="94" t="s">
        <v>1197</v>
      </c>
      <c r="I327" s="2"/>
      <c r="J327" s="2"/>
      <c r="K327" s="94" t="s">
        <v>1197</v>
      </c>
      <c r="L327" s="1"/>
      <c r="M327" s="1"/>
      <c r="N327" s="94" t="s">
        <v>1197</v>
      </c>
      <c r="O327" s="2"/>
      <c r="P327" s="2"/>
      <c r="Q327" s="94" t="s">
        <v>1197</v>
      </c>
      <c r="R327" s="2"/>
      <c r="S327" s="2"/>
      <c r="T327" s="94" t="s">
        <v>1197</v>
      </c>
      <c r="U327" s="2"/>
      <c r="V327" s="2"/>
      <c r="W327" s="94" t="s">
        <v>1197</v>
      </c>
    </row>
    <row r="328" spans="1:23" ht="12.75" customHeight="1">
      <c r="A328" s="2529"/>
      <c r="B328" s="1"/>
      <c r="C328" s="1"/>
      <c r="D328" s="1"/>
      <c r="E328" s="1"/>
      <c r="F328" s="1"/>
      <c r="G328" s="1"/>
      <c r="H328" s="1"/>
      <c r="I328" s="1"/>
      <c r="J328" s="1"/>
      <c r="K328" s="2"/>
      <c r="L328" s="2"/>
      <c r="M328" s="2"/>
      <c r="T328" s="7"/>
      <c r="U328" s="7"/>
    </row>
    <row r="329" spans="1:23" ht="12.75" customHeight="1">
      <c r="A329" s="2529"/>
      <c r="B329" s="1"/>
      <c r="C329" s="1"/>
      <c r="D329" s="1"/>
      <c r="E329" s="1"/>
      <c r="F329" s="1"/>
      <c r="G329" s="1"/>
      <c r="H329" s="1"/>
      <c r="I329" s="1"/>
      <c r="J329" s="1"/>
      <c r="K329" s="2"/>
      <c r="L329" s="2"/>
      <c r="M329" s="2"/>
      <c r="T329" s="7"/>
      <c r="U329" s="7"/>
    </row>
    <row r="330" spans="1:23" ht="12.75" customHeight="1">
      <c r="A330" s="2529"/>
      <c r="B330" s="1"/>
      <c r="C330" s="1"/>
      <c r="D330" s="1"/>
      <c r="E330" s="1"/>
      <c r="F330" s="1"/>
      <c r="G330" s="1"/>
      <c r="H330" s="1"/>
      <c r="I330" s="1"/>
      <c r="J330" s="1"/>
      <c r="K330" s="2"/>
      <c r="L330" s="2"/>
      <c r="M330" s="2"/>
      <c r="T330" s="7"/>
      <c r="U330" s="7"/>
    </row>
    <row r="331" spans="1:23" ht="12.75" customHeight="1">
      <c r="A331" s="2529"/>
      <c r="B331" s="1"/>
      <c r="C331" s="1"/>
      <c r="D331" s="1"/>
      <c r="E331" s="1"/>
      <c r="F331" s="1"/>
      <c r="G331" s="1"/>
      <c r="H331" s="1"/>
      <c r="I331" s="1"/>
      <c r="J331" s="1"/>
      <c r="K331" s="2"/>
      <c r="L331" s="2"/>
      <c r="M331" s="2"/>
      <c r="T331" s="7"/>
      <c r="U331" s="7"/>
    </row>
    <row r="332" spans="1:23" ht="12.75" customHeight="1">
      <c r="A332" s="2529"/>
      <c r="B332" s="1"/>
      <c r="C332" s="1"/>
      <c r="D332" s="1"/>
      <c r="E332" s="1"/>
      <c r="F332" s="1"/>
      <c r="G332" s="1"/>
      <c r="H332" s="1"/>
      <c r="I332" s="1"/>
      <c r="J332" s="1"/>
      <c r="K332" s="2"/>
      <c r="L332" s="2"/>
      <c r="M332" s="2"/>
      <c r="T332" s="7"/>
      <c r="U332" s="7"/>
    </row>
    <row r="333" spans="1:23" ht="12.75" customHeight="1">
      <c r="A333" s="2529"/>
      <c r="B333" s="1"/>
      <c r="C333" s="1"/>
      <c r="D333" s="1"/>
      <c r="E333" s="1"/>
      <c r="F333" s="1"/>
      <c r="G333" s="1"/>
      <c r="H333" s="1"/>
      <c r="I333" s="1"/>
      <c r="J333" s="1"/>
      <c r="K333" s="2"/>
      <c r="L333" s="2"/>
      <c r="M333" s="2"/>
      <c r="T333" s="7"/>
      <c r="U333" s="7"/>
    </row>
    <row r="334" spans="1:23" ht="12.75" customHeight="1">
      <c r="A334" s="2529"/>
      <c r="B334" s="1"/>
      <c r="C334" s="1"/>
      <c r="D334" s="1"/>
      <c r="E334" s="1"/>
      <c r="F334" s="1"/>
      <c r="G334" s="1"/>
      <c r="H334" s="1"/>
      <c r="I334" s="1"/>
      <c r="J334" s="1"/>
      <c r="K334" s="2"/>
      <c r="L334" s="2"/>
      <c r="M334" s="2"/>
      <c r="T334" s="7"/>
      <c r="U334" s="7"/>
    </row>
    <row r="335" spans="1:23" ht="12.75" customHeight="1">
      <c r="A335" s="2529"/>
      <c r="B335" s="1"/>
      <c r="C335" s="1"/>
      <c r="D335" s="1"/>
      <c r="E335" s="1"/>
      <c r="F335" s="1"/>
      <c r="G335" s="1"/>
      <c r="H335" s="1"/>
      <c r="I335" s="1"/>
      <c r="J335" s="1"/>
      <c r="K335" s="2"/>
      <c r="L335" s="2"/>
      <c r="M335" s="2"/>
      <c r="T335" s="7"/>
      <c r="U335" s="7"/>
    </row>
    <row r="336" spans="1:23" ht="12.75" customHeight="1">
      <c r="A336" s="2529"/>
      <c r="B336" s="1"/>
      <c r="C336" s="1"/>
      <c r="D336" s="1"/>
      <c r="E336" s="1"/>
      <c r="F336" s="1"/>
      <c r="G336" s="1"/>
      <c r="H336" s="1"/>
      <c r="I336" s="1"/>
      <c r="J336" s="1"/>
      <c r="K336" s="2"/>
      <c r="L336" s="2"/>
      <c r="M336" s="2"/>
      <c r="T336" s="7"/>
      <c r="U336" s="7"/>
    </row>
    <row r="337" spans="1:23" ht="12.75" customHeight="1">
      <c r="A337" s="2529"/>
      <c r="B337" s="1"/>
      <c r="C337" s="1"/>
      <c r="D337" s="1"/>
      <c r="E337" s="1"/>
      <c r="F337" s="1"/>
      <c r="G337" s="1"/>
      <c r="H337" s="1"/>
      <c r="I337" s="1"/>
      <c r="J337" s="1"/>
      <c r="K337" s="2"/>
      <c r="L337" s="2"/>
      <c r="M337" s="2"/>
      <c r="T337" s="7"/>
      <c r="U337" s="7"/>
    </row>
    <row r="338" spans="1:23" ht="12.75" customHeight="1">
      <c r="A338" s="2529"/>
      <c r="B338" s="1"/>
      <c r="C338" s="1"/>
      <c r="D338" s="1"/>
      <c r="E338" s="1"/>
      <c r="F338" s="1"/>
      <c r="G338" s="1"/>
      <c r="H338" s="1"/>
      <c r="I338" s="1"/>
      <c r="J338" s="1"/>
      <c r="K338" s="2"/>
      <c r="L338" s="2"/>
      <c r="M338" s="2"/>
      <c r="T338" s="7"/>
      <c r="U338" s="7"/>
    </row>
    <row r="339" spans="1:23" ht="12.75" customHeight="1">
      <c r="A339" s="2529"/>
      <c r="B339" s="1"/>
      <c r="C339" s="1"/>
      <c r="D339" s="1"/>
      <c r="E339" s="1"/>
      <c r="F339" s="1"/>
      <c r="G339" s="1"/>
      <c r="H339" s="1"/>
      <c r="I339" s="1"/>
      <c r="J339" s="1"/>
      <c r="K339" s="2"/>
      <c r="L339" s="2"/>
      <c r="M339" s="2"/>
      <c r="T339" s="7"/>
      <c r="U339" s="7"/>
    </row>
    <row r="340" spans="1:23" ht="12.75" customHeight="1">
      <c r="A340" s="2529"/>
      <c r="B340" s="1"/>
      <c r="C340" s="1"/>
      <c r="D340" s="1"/>
      <c r="E340" s="1"/>
      <c r="F340" s="1"/>
      <c r="G340" s="1"/>
      <c r="H340" s="1"/>
      <c r="I340" s="1"/>
      <c r="J340" s="1"/>
      <c r="K340" s="2"/>
      <c r="L340" s="2"/>
      <c r="M340" s="2"/>
      <c r="T340" s="7"/>
      <c r="U340" s="7"/>
    </row>
    <row r="341" spans="1:23" ht="12.75" customHeight="1">
      <c r="A341" s="2529"/>
      <c r="B341" s="1"/>
      <c r="C341" s="1"/>
      <c r="D341" s="1"/>
      <c r="E341" s="1"/>
      <c r="F341" s="1"/>
      <c r="G341" s="1"/>
      <c r="H341" s="1"/>
      <c r="I341" s="1"/>
      <c r="J341" s="1"/>
      <c r="K341" s="2"/>
      <c r="L341" s="2"/>
      <c r="M341" s="2"/>
      <c r="T341" s="7"/>
      <c r="U341" s="7"/>
    </row>
    <row r="342" spans="1:23" ht="12.75" customHeight="1">
      <c r="A342" s="2529"/>
      <c r="B342" s="1"/>
      <c r="C342" s="1"/>
      <c r="D342" s="1"/>
      <c r="E342" s="1"/>
      <c r="F342" s="1"/>
      <c r="G342" s="1"/>
      <c r="H342" s="1"/>
      <c r="I342" s="1"/>
      <c r="J342" s="1"/>
      <c r="K342" s="2"/>
      <c r="L342" s="2"/>
      <c r="M342" s="2"/>
      <c r="T342" s="7"/>
      <c r="U342" s="7"/>
    </row>
    <row r="343" spans="1:23" ht="12.75" customHeight="1">
      <c r="A343" s="2529"/>
      <c r="B343" s="1"/>
      <c r="C343" s="1"/>
      <c r="D343" s="1"/>
      <c r="E343" s="1"/>
      <c r="F343" s="1"/>
      <c r="G343" s="1"/>
      <c r="H343" s="1"/>
      <c r="I343" s="1"/>
      <c r="J343" s="1"/>
      <c r="K343" s="2"/>
      <c r="L343" s="2"/>
      <c r="M343" s="2"/>
      <c r="T343" s="7"/>
      <c r="U343" s="7"/>
    </row>
    <row r="344" spans="1:23" ht="12.75" customHeight="1">
      <c r="A344" s="2529"/>
      <c r="B344" s="1"/>
      <c r="C344" s="1"/>
      <c r="D344" s="1"/>
      <c r="E344" s="1"/>
      <c r="F344" s="1"/>
      <c r="G344" s="1"/>
      <c r="H344" s="1"/>
      <c r="I344" s="1"/>
      <c r="J344" s="1"/>
      <c r="K344" s="2"/>
      <c r="L344" s="2"/>
      <c r="M344" s="2"/>
      <c r="T344" s="7"/>
      <c r="U344" s="7"/>
    </row>
    <row r="345" spans="1:23" ht="12.75" customHeight="1" thickBot="1">
      <c r="A345" s="2529"/>
      <c r="B345" s="1"/>
      <c r="C345" s="1"/>
      <c r="D345" s="1"/>
      <c r="E345" s="1"/>
      <c r="F345" s="1"/>
      <c r="G345" s="1"/>
      <c r="H345" s="1"/>
      <c r="I345" s="1"/>
      <c r="J345" s="1"/>
      <c r="K345" s="2"/>
      <c r="L345" s="2"/>
      <c r="M345" s="2"/>
      <c r="T345" s="7"/>
      <c r="U345" s="7"/>
    </row>
    <row r="346" spans="1:23" s="1128" customFormat="1" ht="12.75" customHeight="1" thickTop="1">
      <c r="A346" s="2527" t="s">
        <v>28</v>
      </c>
      <c r="B346" s="2522" t="s">
        <v>332</v>
      </c>
      <c r="C346" s="2523"/>
      <c r="D346" s="2524"/>
      <c r="E346" s="2522" t="s">
        <v>333</v>
      </c>
      <c r="F346" s="2523"/>
      <c r="G346" s="2524"/>
      <c r="H346" s="2522" t="s">
        <v>334</v>
      </c>
      <c r="I346" s="2523"/>
      <c r="J346" s="2524"/>
      <c r="K346" s="2522" t="s">
        <v>336</v>
      </c>
      <c r="L346" s="2523"/>
      <c r="M346" s="2524"/>
      <c r="N346" s="2522" t="s">
        <v>339</v>
      </c>
      <c r="O346" s="2523"/>
      <c r="P346" s="2524"/>
      <c r="Q346" s="2522" t="s">
        <v>337</v>
      </c>
      <c r="R346" s="2523"/>
      <c r="S346" s="2524"/>
      <c r="T346" s="2522" t="s">
        <v>338</v>
      </c>
      <c r="U346" s="2523"/>
      <c r="V346" s="2524"/>
    </row>
    <row r="347" spans="1:23" ht="12.75" customHeight="1">
      <c r="A347" s="2525"/>
      <c r="B347" s="94" t="s">
        <v>1197</v>
      </c>
      <c r="C347" s="2"/>
      <c r="D347" s="2"/>
      <c r="E347" s="94" t="s">
        <v>1197</v>
      </c>
      <c r="F347" s="2"/>
      <c r="G347" s="2"/>
      <c r="H347" s="94" t="s">
        <v>1197</v>
      </c>
      <c r="I347" s="2"/>
      <c r="J347" s="2"/>
      <c r="K347" s="94" t="s">
        <v>1197</v>
      </c>
      <c r="L347" s="1"/>
      <c r="M347" s="1"/>
      <c r="N347" s="94" t="s">
        <v>1197</v>
      </c>
      <c r="O347" s="2"/>
      <c r="P347" s="2"/>
      <c r="Q347" s="94" t="s">
        <v>1197</v>
      </c>
      <c r="R347" s="2"/>
      <c r="S347" s="2"/>
      <c r="T347" s="94" t="s">
        <v>1197</v>
      </c>
      <c r="U347" s="2"/>
      <c r="V347" s="2"/>
      <c r="W347" s="94" t="s">
        <v>1197</v>
      </c>
    </row>
    <row r="348" spans="1:23" ht="12.75" customHeight="1">
      <c r="A348" s="2525"/>
      <c r="B348" s="2"/>
      <c r="C348" s="2"/>
      <c r="D348" s="2"/>
      <c r="E348" s="2"/>
      <c r="F348" s="2"/>
      <c r="G348" s="2"/>
      <c r="H348" s="2"/>
      <c r="I348" s="2"/>
      <c r="J348" s="2"/>
      <c r="K348" s="2"/>
      <c r="L348" s="2"/>
      <c r="M348" s="2"/>
      <c r="N348" s="1"/>
      <c r="O348" s="1"/>
      <c r="P348" s="1"/>
      <c r="Q348" s="2"/>
      <c r="R348" s="2"/>
      <c r="S348" s="2"/>
      <c r="T348" s="1"/>
      <c r="U348" s="1"/>
      <c r="V348" s="1"/>
    </row>
    <row r="349" spans="1:23" ht="12.75" customHeight="1">
      <c r="A349" s="2525"/>
      <c r="B349" s="2"/>
      <c r="C349" s="2"/>
      <c r="D349" s="2"/>
      <c r="E349" s="2"/>
      <c r="F349" s="2"/>
      <c r="G349" s="2"/>
      <c r="H349" s="2"/>
      <c r="I349" s="2"/>
      <c r="J349" s="2"/>
      <c r="K349" s="2"/>
      <c r="L349" s="2"/>
      <c r="M349" s="2"/>
      <c r="N349" s="1"/>
      <c r="O349" s="1"/>
      <c r="P349" s="1"/>
      <c r="Q349" s="2"/>
      <c r="R349" s="2"/>
      <c r="S349" s="2"/>
      <c r="T349" s="1"/>
      <c r="U349" s="1"/>
      <c r="V349" s="1"/>
    </row>
    <row r="350" spans="1:23" ht="12.75" customHeight="1">
      <c r="A350" s="2525"/>
      <c r="B350" s="2"/>
      <c r="C350" s="2"/>
      <c r="D350" s="2"/>
      <c r="E350" s="2"/>
      <c r="F350" s="2"/>
      <c r="G350" s="2"/>
      <c r="H350" s="2"/>
      <c r="I350" s="2"/>
      <c r="J350" s="2"/>
      <c r="K350" s="2"/>
      <c r="L350" s="2"/>
      <c r="M350" s="2"/>
      <c r="N350" s="1"/>
      <c r="O350" s="1"/>
      <c r="P350" s="1"/>
      <c r="Q350" s="2"/>
      <c r="R350" s="2"/>
      <c r="S350" s="2"/>
      <c r="T350" s="1"/>
      <c r="U350" s="1"/>
      <c r="V350" s="1"/>
    </row>
    <row r="351" spans="1:23" ht="12.75" customHeight="1">
      <c r="A351" s="2525"/>
      <c r="B351" s="2"/>
      <c r="C351" s="2"/>
      <c r="D351" s="2"/>
      <c r="E351" s="2"/>
      <c r="F351" s="2"/>
      <c r="G351" s="2"/>
      <c r="H351" s="2"/>
      <c r="I351" s="2"/>
      <c r="J351" s="2"/>
      <c r="K351" s="2"/>
      <c r="L351" s="2"/>
      <c r="M351" s="2"/>
      <c r="N351" s="1"/>
      <c r="O351" s="1"/>
      <c r="P351" s="1"/>
      <c r="Q351" s="2"/>
      <c r="R351" s="2"/>
      <c r="S351" s="2"/>
      <c r="T351" s="1"/>
      <c r="U351" s="1"/>
      <c r="V351" s="1"/>
    </row>
    <row r="352" spans="1:23" ht="12.75" customHeight="1">
      <c r="A352" s="2525"/>
      <c r="B352" s="2"/>
      <c r="C352" s="2"/>
      <c r="D352" s="2"/>
      <c r="E352" s="2"/>
      <c r="F352" s="2"/>
      <c r="G352" s="2"/>
      <c r="H352" s="2"/>
      <c r="I352" s="2"/>
      <c r="J352" s="2"/>
      <c r="K352" s="2"/>
      <c r="L352" s="2"/>
      <c r="M352" s="2"/>
      <c r="N352" s="1"/>
      <c r="O352" s="1"/>
      <c r="P352" s="1"/>
      <c r="Q352" s="2"/>
      <c r="R352" s="2"/>
      <c r="S352" s="2"/>
      <c r="T352" s="1"/>
      <c r="U352" s="1"/>
      <c r="V352" s="1"/>
    </row>
    <row r="353" spans="1:23" ht="12.75" customHeight="1">
      <c r="A353" s="2525"/>
      <c r="B353" s="2"/>
      <c r="C353" s="2"/>
      <c r="D353" s="2"/>
      <c r="E353" s="2"/>
      <c r="F353" s="2"/>
      <c r="G353" s="2"/>
      <c r="H353" s="2"/>
      <c r="I353" s="2"/>
      <c r="J353" s="2"/>
      <c r="K353" s="2"/>
      <c r="L353" s="2"/>
      <c r="M353" s="2"/>
      <c r="N353" s="1"/>
      <c r="O353" s="1"/>
      <c r="P353" s="1"/>
      <c r="Q353" s="2"/>
      <c r="R353" s="2"/>
      <c r="S353" s="2"/>
      <c r="T353" s="1"/>
      <c r="U353" s="1"/>
      <c r="V353" s="1"/>
    </row>
    <row r="354" spans="1:23" ht="12.75" customHeight="1">
      <c r="A354" s="2525"/>
      <c r="B354" s="2"/>
      <c r="C354" s="2"/>
      <c r="D354" s="2"/>
      <c r="E354" s="2"/>
      <c r="F354" s="2"/>
      <c r="G354" s="2"/>
      <c r="H354" s="2"/>
      <c r="I354" s="2"/>
      <c r="J354" s="2"/>
      <c r="K354" s="2"/>
      <c r="L354" s="2"/>
      <c r="M354" s="2"/>
      <c r="N354" s="1"/>
      <c r="O354" s="1"/>
      <c r="P354" s="1"/>
      <c r="Q354" s="2"/>
      <c r="R354" s="2"/>
      <c r="S354" s="2"/>
      <c r="T354" s="1"/>
      <c r="U354" s="1"/>
      <c r="V354" s="1"/>
    </row>
    <row r="355" spans="1:23" ht="12.75" customHeight="1">
      <c r="A355" s="2525"/>
      <c r="B355" s="2"/>
      <c r="C355" s="2"/>
      <c r="D355" s="2"/>
      <c r="E355" s="2"/>
      <c r="F355" s="2"/>
      <c r="G355" s="2"/>
      <c r="H355" s="2"/>
      <c r="I355" s="2"/>
      <c r="J355" s="2"/>
      <c r="K355" s="2"/>
      <c r="L355" s="2"/>
      <c r="M355" s="2"/>
      <c r="N355" s="1"/>
      <c r="O355" s="1"/>
      <c r="P355" s="1"/>
      <c r="Q355" s="2"/>
      <c r="R355" s="2"/>
      <c r="S355" s="2"/>
      <c r="T355" s="1"/>
      <c r="U355" s="1"/>
      <c r="V355" s="1"/>
    </row>
    <row r="356" spans="1:23" ht="12.75" customHeight="1">
      <c r="A356" s="2525"/>
      <c r="B356" s="2"/>
      <c r="C356" s="2"/>
      <c r="D356" s="2"/>
      <c r="E356" s="2"/>
      <c r="F356" s="2"/>
      <c r="G356" s="2"/>
      <c r="H356" s="2"/>
      <c r="I356" s="2"/>
      <c r="J356" s="2"/>
      <c r="K356" s="2"/>
      <c r="L356" s="2"/>
      <c r="M356" s="2"/>
      <c r="N356" s="1"/>
      <c r="O356" s="1"/>
      <c r="P356" s="1"/>
      <c r="Q356" s="2"/>
      <c r="R356" s="2"/>
      <c r="S356" s="2"/>
      <c r="T356" s="1"/>
      <c r="U356" s="1"/>
      <c r="V356" s="1"/>
    </row>
    <row r="357" spans="1:23" ht="12.75" customHeight="1">
      <c r="A357" s="2525"/>
      <c r="B357" s="2"/>
      <c r="C357" s="2"/>
      <c r="D357" s="2"/>
      <c r="E357" s="2"/>
      <c r="F357" s="2"/>
      <c r="G357" s="2"/>
      <c r="H357" s="2"/>
      <c r="I357" s="2"/>
      <c r="J357" s="2"/>
      <c r="K357" s="2"/>
      <c r="L357" s="2"/>
      <c r="M357" s="2"/>
      <c r="N357" s="1"/>
      <c r="O357" s="1"/>
      <c r="P357" s="1"/>
      <c r="Q357" s="2"/>
      <c r="R357" s="2"/>
      <c r="S357" s="2"/>
      <c r="T357" s="1"/>
      <c r="U357" s="1"/>
      <c r="V357" s="1"/>
    </row>
    <row r="358" spans="1:23" ht="12.75" customHeight="1">
      <c r="A358" s="2525"/>
      <c r="B358" s="2"/>
      <c r="C358" s="2"/>
      <c r="D358" s="2"/>
      <c r="E358" s="2"/>
      <c r="F358" s="2"/>
      <c r="G358" s="2"/>
      <c r="H358" s="2"/>
      <c r="I358" s="2"/>
      <c r="J358" s="2"/>
      <c r="K358" s="2"/>
      <c r="L358" s="2"/>
      <c r="M358" s="2"/>
      <c r="N358" s="1"/>
      <c r="O358" s="1"/>
      <c r="P358" s="1"/>
      <c r="Q358" s="2"/>
      <c r="R358" s="2"/>
      <c r="S358" s="2"/>
      <c r="T358" s="1"/>
      <c r="U358" s="1"/>
      <c r="V358" s="1"/>
    </row>
    <row r="359" spans="1:23" ht="12.75" customHeight="1">
      <c r="A359" s="2525"/>
      <c r="B359" s="2"/>
      <c r="C359" s="2"/>
      <c r="D359" s="2"/>
      <c r="E359" s="2"/>
      <c r="F359" s="2"/>
      <c r="G359" s="2"/>
      <c r="H359" s="2"/>
      <c r="I359" s="2"/>
      <c r="J359" s="2"/>
      <c r="K359" s="2"/>
      <c r="L359" s="2"/>
      <c r="M359" s="2"/>
      <c r="N359" s="1"/>
      <c r="O359" s="1"/>
      <c r="P359" s="1"/>
      <c r="Q359" s="2"/>
      <c r="R359" s="2"/>
      <c r="S359" s="2"/>
      <c r="T359" s="1"/>
      <c r="U359" s="1"/>
      <c r="V359" s="1"/>
    </row>
    <row r="360" spans="1:23" ht="12.75" customHeight="1">
      <c r="A360" s="2525"/>
      <c r="B360" s="2"/>
      <c r="C360" s="2"/>
      <c r="D360" s="2"/>
      <c r="E360" s="2"/>
      <c r="F360" s="2"/>
      <c r="G360" s="2"/>
      <c r="H360" s="2"/>
      <c r="I360" s="2"/>
      <c r="J360" s="2"/>
      <c r="K360" s="2"/>
      <c r="L360" s="2"/>
      <c r="M360" s="2"/>
      <c r="N360" s="1"/>
      <c r="O360" s="1"/>
      <c r="P360" s="1"/>
      <c r="Q360" s="2"/>
      <c r="R360" s="2"/>
      <c r="S360" s="2"/>
      <c r="T360" s="1"/>
      <c r="U360" s="1"/>
      <c r="V360" s="1"/>
    </row>
    <row r="361" spans="1:23" ht="12.75" customHeight="1">
      <c r="A361" s="2525"/>
      <c r="B361" s="2"/>
      <c r="C361" s="2"/>
      <c r="D361" s="2"/>
      <c r="E361" s="2"/>
      <c r="F361" s="2"/>
      <c r="G361" s="2"/>
      <c r="H361" s="2"/>
      <c r="I361" s="2"/>
      <c r="J361" s="2"/>
      <c r="K361" s="2"/>
      <c r="L361" s="2"/>
      <c r="M361" s="2"/>
      <c r="N361" s="1"/>
      <c r="O361" s="1"/>
      <c r="P361" s="1"/>
      <c r="Q361" s="2"/>
      <c r="R361" s="2"/>
      <c r="S361" s="2"/>
      <c r="T361" s="1"/>
      <c r="U361" s="1"/>
      <c r="V361" s="1"/>
    </row>
    <row r="362" spans="1:23" ht="12.75" customHeight="1">
      <c r="A362" s="2525"/>
      <c r="B362" s="2"/>
      <c r="C362" s="2"/>
      <c r="D362" s="2"/>
      <c r="E362" s="2"/>
      <c r="F362" s="2"/>
      <c r="G362" s="2"/>
      <c r="H362" s="2"/>
      <c r="I362" s="2"/>
      <c r="J362" s="2"/>
      <c r="K362" s="2"/>
      <c r="L362" s="2"/>
      <c r="M362" s="2"/>
      <c r="N362" s="1"/>
      <c r="O362" s="1"/>
      <c r="P362" s="1"/>
      <c r="Q362" s="2"/>
      <c r="R362" s="2"/>
      <c r="S362" s="2"/>
      <c r="T362" s="1"/>
      <c r="U362" s="1"/>
      <c r="V362" s="1"/>
    </row>
    <row r="363" spans="1:23" ht="12.75" customHeight="1">
      <c r="A363" s="2525"/>
      <c r="B363" s="2"/>
      <c r="C363" s="2"/>
      <c r="D363" s="2"/>
      <c r="E363" s="2"/>
      <c r="F363" s="2"/>
      <c r="G363" s="2"/>
      <c r="H363" s="2"/>
      <c r="I363" s="2"/>
      <c r="J363" s="2"/>
      <c r="K363" s="2"/>
      <c r="L363" s="2"/>
      <c r="M363" s="2"/>
      <c r="N363" s="1"/>
      <c r="O363" s="1"/>
      <c r="P363" s="1"/>
      <c r="Q363" s="2"/>
      <c r="R363" s="2"/>
      <c r="S363" s="2"/>
      <c r="T363" s="1"/>
      <c r="U363" s="1"/>
      <c r="V363" s="1"/>
    </row>
    <row r="364" spans="1:23" ht="12.75" customHeight="1">
      <c r="A364" s="2525"/>
      <c r="B364" s="2"/>
      <c r="C364" s="2"/>
      <c r="D364" s="2"/>
      <c r="E364" s="2"/>
      <c r="F364" s="2"/>
      <c r="G364" s="2"/>
      <c r="H364" s="2"/>
      <c r="I364" s="2"/>
      <c r="J364" s="2"/>
      <c r="K364" s="2"/>
      <c r="L364" s="2"/>
      <c r="M364" s="2"/>
      <c r="N364" s="1"/>
      <c r="O364" s="1"/>
      <c r="P364" s="1"/>
      <c r="Q364" s="2"/>
      <c r="R364" s="2"/>
      <c r="S364" s="2"/>
      <c r="T364" s="1"/>
      <c r="U364" s="1"/>
      <c r="V364" s="1"/>
    </row>
    <row r="365" spans="1:23" ht="12.75" customHeight="1" thickBot="1">
      <c r="A365" s="2526"/>
      <c r="B365" s="2"/>
      <c r="C365" s="2"/>
      <c r="D365" s="2"/>
      <c r="E365" s="2"/>
      <c r="F365" s="2"/>
      <c r="G365" s="2"/>
      <c r="H365" s="2"/>
      <c r="I365" s="2"/>
      <c r="J365" s="2"/>
      <c r="K365" s="2"/>
      <c r="L365" s="2"/>
      <c r="M365" s="2"/>
      <c r="N365" s="1"/>
      <c r="O365" s="1"/>
      <c r="P365" s="1"/>
      <c r="Q365" s="2"/>
      <c r="R365" s="2"/>
      <c r="S365" s="2"/>
      <c r="T365" s="1"/>
      <c r="U365" s="1"/>
      <c r="V365" s="1"/>
    </row>
    <row r="366" spans="1:23" ht="3" customHeight="1" thickTop="1">
      <c r="A366" s="2"/>
      <c r="B366" s="2"/>
      <c r="C366" s="2"/>
      <c r="D366" s="2"/>
      <c r="E366" s="2"/>
      <c r="F366" s="2"/>
      <c r="G366" s="2"/>
      <c r="H366" s="2"/>
      <c r="I366" s="2"/>
      <c r="J366" s="2"/>
      <c r="K366" s="2"/>
      <c r="L366" s="2"/>
      <c r="M366" s="2"/>
    </row>
    <row r="367" spans="1:23" ht="12.75" customHeight="1">
      <c r="A367" s="1150"/>
      <c r="B367" s="2522" t="s">
        <v>888</v>
      </c>
      <c r="C367" s="2523"/>
      <c r="D367" s="2524"/>
      <c r="E367" s="2522" t="s">
        <v>1142</v>
      </c>
      <c r="F367" s="2523"/>
      <c r="G367" s="2524"/>
      <c r="H367" s="2522" t="s">
        <v>1141</v>
      </c>
      <c r="I367" s="2523"/>
      <c r="J367" s="2524"/>
      <c r="K367" s="2522" t="s">
        <v>1158</v>
      </c>
      <c r="L367" s="2523"/>
      <c r="M367" s="2524"/>
      <c r="N367" s="2522" t="s">
        <v>1159</v>
      </c>
      <c r="O367" s="2523"/>
      <c r="P367" s="2524"/>
      <c r="Q367" s="2522" t="s">
        <v>1160</v>
      </c>
      <c r="R367" s="2523"/>
      <c r="S367" s="2524"/>
    </row>
    <row r="368" spans="1:23" ht="12.75" customHeight="1">
      <c r="A368" s="1150"/>
      <c r="B368" s="94" t="s">
        <v>1197</v>
      </c>
      <c r="C368" s="2"/>
      <c r="D368" s="2"/>
      <c r="E368" s="94" t="s">
        <v>1197</v>
      </c>
      <c r="F368" s="2"/>
      <c r="G368" s="2"/>
      <c r="H368" s="94" t="s">
        <v>1197</v>
      </c>
      <c r="I368" s="2"/>
      <c r="J368" s="2"/>
      <c r="K368" s="94" t="s">
        <v>1197</v>
      </c>
      <c r="L368" s="1"/>
      <c r="M368" s="1"/>
      <c r="N368" s="94" t="s">
        <v>1197</v>
      </c>
      <c r="O368" s="2"/>
      <c r="P368" s="2"/>
      <c r="Q368" s="94" t="s">
        <v>1197</v>
      </c>
      <c r="R368" s="2"/>
      <c r="S368" s="2"/>
      <c r="T368" s="94" t="s">
        <v>1197</v>
      </c>
      <c r="U368" s="2"/>
      <c r="V368" s="2"/>
      <c r="W368" s="94" t="s">
        <v>1197</v>
      </c>
    </row>
    <row r="369" spans="1:13" ht="12.75" customHeight="1">
      <c r="A369" s="1150"/>
      <c r="B369" s="2"/>
      <c r="C369" s="2"/>
      <c r="D369" s="2"/>
      <c r="E369" s="2"/>
      <c r="F369" s="2"/>
      <c r="G369" s="2"/>
      <c r="H369" s="2"/>
      <c r="I369" s="2"/>
      <c r="J369" s="2"/>
      <c r="K369" s="2"/>
      <c r="L369" s="2"/>
      <c r="M369" s="2"/>
    </row>
    <row r="370" spans="1:13" ht="12.75" customHeight="1">
      <c r="A370" s="1150"/>
      <c r="B370" s="2"/>
      <c r="C370" s="2"/>
      <c r="D370" s="2"/>
      <c r="E370" s="2"/>
      <c r="F370" s="2"/>
      <c r="G370" s="2"/>
      <c r="H370" s="2"/>
      <c r="I370" s="2"/>
      <c r="J370" s="2"/>
      <c r="K370" s="2"/>
      <c r="L370" s="2"/>
      <c r="M370" s="2"/>
    </row>
    <row r="371" spans="1:13" ht="12.75" customHeight="1">
      <c r="A371" s="1150"/>
      <c r="B371" s="2"/>
      <c r="C371" s="2"/>
      <c r="D371" s="2"/>
      <c r="E371" s="2"/>
      <c r="F371" s="2"/>
      <c r="G371" s="2"/>
      <c r="H371" s="2"/>
      <c r="I371" s="2"/>
      <c r="J371" s="2"/>
      <c r="K371" s="2"/>
      <c r="L371" s="2"/>
      <c r="M371" s="2"/>
    </row>
    <row r="372" spans="1:13" ht="12.75" customHeight="1">
      <c r="A372" s="1150"/>
      <c r="B372" s="2"/>
      <c r="C372" s="2"/>
      <c r="D372" s="2"/>
      <c r="E372" s="2"/>
      <c r="F372" s="2"/>
      <c r="G372" s="2"/>
      <c r="H372" s="2"/>
      <c r="I372" s="2"/>
      <c r="J372" s="2"/>
      <c r="K372" s="2"/>
      <c r="L372" s="2"/>
      <c r="M372" s="2"/>
    </row>
    <row r="373" spans="1:13" ht="12.75" customHeight="1">
      <c r="A373" s="1150"/>
      <c r="B373" s="2"/>
      <c r="C373" s="2"/>
      <c r="D373" s="2"/>
      <c r="E373" s="2"/>
      <c r="F373" s="2"/>
      <c r="G373" s="2"/>
      <c r="H373" s="2"/>
      <c r="I373" s="2"/>
      <c r="J373" s="2"/>
      <c r="K373" s="2"/>
      <c r="L373" s="2"/>
      <c r="M373" s="2"/>
    </row>
    <row r="374" spans="1:13" ht="12.75" customHeight="1">
      <c r="A374" s="1150"/>
      <c r="B374" s="2"/>
      <c r="C374" s="2"/>
      <c r="D374" s="2"/>
      <c r="E374" s="2"/>
      <c r="F374" s="2"/>
      <c r="G374" s="2"/>
      <c r="H374" s="2"/>
      <c r="I374" s="2"/>
      <c r="J374" s="2"/>
      <c r="K374" s="2"/>
      <c r="L374" s="2"/>
      <c r="M374" s="2"/>
    </row>
    <row r="375" spans="1:13" ht="12.75" customHeight="1">
      <c r="A375" s="1150"/>
      <c r="B375" s="2"/>
      <c r="C375" s="2"/>
      <c r="D375" s="2"/>
      <c r="E375" s="2"/>
      <c r="F375" s="2"/>
      <c r="G375" s="2"/>
      <c r="H375" s="2"/>
      <c r="I375" s="2"/>
      <c r="J375" s="2"/>
      <c r="K375" s="2"/>
      <c r="L375" s="2"/>
      <c r="M375" s="2"/>
    </row>
    <row r="376" spans="1:13" ht="12.75" customHeight="1">
      <c r="A376" s="1150"/>
      <c r="B376" s="2"/>
      <c r="C376" s="2"/>
      <c r="D376" s="2"/>
      <c r="E376" s="2"/>
      <c r="F376" s="2"/>
      <c r="G376" s="2"/>
      <c r="H376" s="2"/>
      <c r="I376" s="2"/>
      <c r="J376" s="2"/>
      <c r="K376" s="2"/>
      <c r="L376" s="2"/>
      <c r="M376" s="2"/>
    </row>
    <row r="377" spans="1:13" ht="12.75" customHeight="1">
      <c r="A377" s="1150"/>
      <c r="B377" s="2"/>
      <c r="C377" s="2"/>
      <c r="D377" s="2"/>
      <c r="E377" s="2"/>
      <c r="F377" s="2"/>
      <c r="G377" s="2"/>
      <c r="H377" s="2"/>
      <c r="I377" s="2"/>
      <c r="J377" s="2"/>
      <c r="K377" s="2"/>
      <c r="L377" s="2"/>
      <c r="M377" s="2"/>
    </row>
    <row r="378" spans="1:13" ht="12.75" customHeight="1">
      <c r="A378" s="1150"/>
      <c r="B378" s="2"/>
      <c r="C378" s="2"/>
      <c r="D378" s="2"/>
      <c r="E378" s="2"/>
      <c r="F378" s="2"/>
      <c r="G378" s="2"/>
      <c r="H378" s="2"/>
      <c r="I378" s="2"/>
      <c r="J378" s="2"/>
      <c r="K378" s="2"/>
      <c r="L378" s="2"/>
      <c r="M378" s="2"/>
    </row>
    <row r="379" spans="1:13" ht="12.75" customHeight="1">
      <c r="A379" s="1150"/>
      <c r="B379" s="2"/>
      <c r="C379" s="2"/>
      <c r="D379" s="2"/>
      <c r="E379" s="2"/>
      <c r="F379" s="2"/>
      <c r="G379" s="2"/>
      <c r="H379" s="2"/>
      <c r="I379" s="2"/>
      <c r="J379" s="2"/>
      <c r="K379" s="2"/>
      <c r="L379" s="2"/>
      <c r="M379" s="2"/>
    </row>
    <row r="380" spans="1:13" ht="12.75" customHeight="1">
      <c r="A380" s="1150"/>
      <c r="B380" s="2"/>
      <c r="C380" s="2"/>
      <c r="D380" s="2"/>
      <c r="E380" s="2"/>
      <c r="F380" s="2"/>
      <c r="G380" s="2"/>
      <c r="H380" s="2"/>
      <c r="I380" s="2"/>
      <c r="J380" s="2"/>
      <c r="K380" s="2"/>
      <c r="L380" s="2"/>
      <c r="M380" s="2"/>
    </row>
    <row r="381" spans="1:13" ht="12.75" customHeight="1">
      <c r="A381" s="1150"/>
      <c r="B381" s="2"/>
      <c r="C381" s="2"/>
      <c r="D381" s="2"/>
      <c r="E381" s="2"/>
      <c r="F381" s="2"/>
      <c r="G381" s="2"/>
      <c r="H381" s="2"/>
      <c r="I381" s="2"/>
      <c r="J381" s="2"/>
      <c r="K381" s="2"/>
      <c r="L381" s="2"/>
      <c r="M381" s="2"/>
    </row>
    <row r="382" spans="1:13" ht="12.75" customHeight="1">
      <c r="A382" s="1150"/>
      <c r="B382" s="2"/>
      <c r="C382" s="2"/>
      <c r="D382" s="2"/>
      <c r="E382" s="2"/>
      <c r="F382" s="2"/>
      <c r="G382" s="2"/>
      <c r="H382" s="2"/>
      <c r="I382" s="2"/>
      <c r="J382" s="2"/>
      <c r="K382" s="2"/>
      <c r="L382" s="2"/>
      <c r="M382" s="2"/>
    </row>
    <row r="383" spans="1:13" ht="12.75" customHeight="1">
      <c r="A383" s="1150"/>
      <c r="B383" s="2"/>
      <c r="C383" s="2"/>
      <c r="D383" s="2"/>
      <c r="E383" s="2"/>
      <c r="F383" s="2"/>
      <c r="G383" s="2"/>
      <c r="H383" s="2"/>
      <c r="I383" s="2"/>
      <c r="J383" s="2"/>
      <c r="K383" s="2"/>
      <c r="L383" s="2"/>
      <c r="M383" s="2"/>
    </row>
    <row r="384" spans="1:13" ht="12.75" customHeight="1">
      <c r="A384" s="1150"/>
      <c r="B384" s="2"/>
      <c r="C384" s="2"/>
      <c r="D384" s="2"/>
      <c r="E384" s="2"/>
      <c r="F384" s="2"/>
      <c r="G384" s="2"/>
      <c r="H384" s="2"/>
      <c r="I384" s="2"/>
      <c r="J384" s="2"/>
      <c r="K384" s="2"/>
      <c r="L384" s="2"/>
      <c r="M384" s="2"/>
    </row>
    <row r="385" spans="1:23" ht="12.75" customHeight="1">
      <c r="A385" s="1150"/>
      <c r="B385" s="2"/>
      <c r="C385" s="2"/>
      <c r="D385" s="2"/>
      <c r="E385" s="2"/>
      <c r="F385" s="2"/>
      <c r="G385" s="2"/>
      <c r="H385" s="2"/>
      <c r="I385" s="2"/>
      <c r="J385" s="2"/>
      <c r="K385" s="2"/>
      <c r="L385" s="2"/>
      <c r="M385" s="2"/>
    </row>
    <row r="386" spans="1:23" ht="12.75" customHeight="1">
      <c r="A386" s="1150"/>
      <c r="B386" s="2"/>
      <c r="C386" s="2"/>
      <c r="D386" s="2"/>
      <c r="E386" s="2"/>
      <c r="F386" s="2"/>
      <c r="G386" s="2"/>
      <c r="H386" s="2"/>
      <c r="I386" s="2"/>
      <c r="J386" s="2"/>
      <c r="K386" s="2"/>
      <c r="L386" s="2"/>
      <c r="M386" s="2"/>
    </row>
    <row r="387" spans="1:23" ht="12.75" customHeight="1">
      <c r="A387" s="1150"/>
      <c r="B387" s="2522" t="s">
        <v>1147</v>
      </c>
      <c r="C387" s="2523"/>
      <c r="D387" s="2524"/>
      <c r="E387" s="2522" t="s">
        <v>1</v>
      </c>
      <c r="F387" s="2523"/>
      <c r="G387" s="2524"/>
      <c r="H387" s="2522" t="s">
        <v>1161</v>
      </c>
      <c r="I387" s="2523"/>
      <c r="J387" s="2524"/>
      <c r="K387" s="2522" t="s">
        <v>1422</v>
      </c>
      <c r="L387" s="2523"/>
      <c r="M387" s="2524"/>
    </row>
    <row r="388" spans="1:23" ht="12.75" customHeight="1">
      <c r="A388" s="1150"/>
      <c r="B388" s="94" t="s">
        <v>1197</v>
      </c>
      <c r="C388" s="2"/>
      <c r="D388" s="2"/>
      <c r="E388" s="94" t="s">
        <v>1197</v>
      </c>
      <c r="F388" s="2"/>
      <c r="G388" s="2"/>
      <c r="H388" s="94" t="s">
        <v>1197</v>
      </c>
      <c r="I388" s="2"/>
      <c r="J388" s="2"/>
      <c r="K388" s="94" t="s">
        <v>1197</v>
      </c>
      <c r="L388" s="1"/>
      <c r="M388" s="1"/>
      <c r="N388" s="94" t="s">
        <v>1197</v>
      </c>
      <c r="O388" s="2"/>
      <c r="P388" s="2"/>
      <c r="Q388" s="94" t="s">
        <v>1197</v>
      </c>
      <c r="R388" s="2"/>
      <c r="S388" s="2"/>
      <c r="T388" s="94" t="s">
        <v>1197</v>
      </c>
      <c r="U388" s="2"/>
      <c r="V388" s="2"/>
      <c r="W388" s="94" t="s">
        <v>1197</v>
      </c>
    </row>
    <row r="389" spans="1:23" ht="12.75" customHeight="1">
      <c r="A389" s="1150"/>
      <c r="B389" s="2"/>
      <c r="C389" s="2"/>
      <c r="D389" s="2"/>
      <c r="E389" s="2"/>
      <c r="F389" s="2"/>
      <c r="G389" s="2"/>
    </row>
    <row r="390" spans="1:23" ht="12.75" customHeight="1">
      <c r="A390" s="1150"/>
      <c r="B390" s="2"/>
      <c r="C390" s="2"/>
      <c r="D390" s="2"/>
      <c r="E390" s="2"/>
      <c r="F390" s="2"/>
      <c r="G390" s="2"/>
    </row>
    <row r="391" spans="1:23" ht="12.75" customHeight="1">
      <c r="A391" s="1150"/>
      <c r="B391" s="2"/>
      <c r="C391" s="2"/>
      <c r="D391" s="2"/>
      <c r="E391" s="2"/>
      <c r="F391" s="2"/>
      <c r="G391" s="2"/>
    </row>
    <row r="392" spans="1:23" ht="12.75" customHeight="1">
      <c r="A392" s="1150"/>
      <c r="B392" s="2"/>
      <c r="C392" s="2"/>
      <c r="D392" s="2"/>
      <c r="E392" s="2"/>
      <c r="F392" s="2"/>
      <c r="G392" s="2"/>
    </row>
    <row r="393" spans="1:23" ht="12.75" customHeight="1">
      <c r="A393" s="1150"/>
      <c r="B393" s="2"/>
      <c r="C393" s="2"/>
      <c r="D393" s="2"/>
      <c r="E393" s="2"/>
      <c r="F393" s="2"/>
      <c r="G393" s="2"/>
    </row>
    <row r="394" spans="1:23" ht="12.75" customHeight="1">
      <c r="A394" s="1150"/>
      <c r="B394" s="2"/>
      <c r="C394" s="2"/>
      <c r="D394" s="2"/>
      <c r="E394" s="2"/>
      <c r="F394" s="2"/>
      <c r="G394" s="2"/>
    </row>
    <row r="395" spans="1:23" ht="12.75" customHeight="1">
      <c r="A395" s="1150"/>
      <c r="B395" s="2"/>
      <c r="C395" s="2"/>
      <c r="D395" s="2"/>
      <c r="E395" s="2"/>
      <c r="F395" s="2"/>
      <c r="G395" s="2"/>
    </row>
    <row r="396" spans="1:23" ht="12.75" customHeight="1">
      <c r="A396" s="1150"/>
      <c r="B396" s="2"/>
      <c r="C396" s="2"/>
      <c r="D396" s="2"/>
      <c r="E396" s="2"/>
      <c r="F396" s="2"/>
      <c r="G396" s="2"/>
    </row>
    <row r="397" spans="1:23" ht="12.75" customHeight="1">
      <c r="A397" s="1150"/>
      <c r="B397" s="2"/>
      <c r="C397" s="2"/>
      <c r="D397" s="2"/>
      <c r="E397" s="2"/>
      <c r="F397" s="2"/>
      <c r="G397" s="2"/>
    </row>
    <row r="398" spans="1:23" ht="12.75" customHeight="1">
      <c r="A398" s="1150"/>
      <c r="B398" s="2"/>
      <c r="C398" s="2"/>
      <c r="D398" s="2"/>
      <c r="E398" s="2"/>
      <c r="F398" s="2"/>
      <c r="G398" s="2"/>
    </row>
    <row r="399" spans="1:23" ht="12.75" customHeight="1">
      <c r="A399" s="1150"/>
      <c r="B399" s="2"/>
      <c r="C399" s="2"/>
      <c r="D399" s="2"/>
      <c r="E399" s="2"/>
      <c r="F399" s="2"/>
      <c r="G399" s="2"/>
    </row>
    <row r="400" spans="1:23" ht="12.75" customHeight="1">
      <c r="A400" s="1150"/>
      <c r="B400" s="2"/>
      <c r="C400" s="2"/>
      <c r="D400" s="2"/>
      <c r="E400" s="2"/>
      <c r="F400" s="2"/>
      <c r="G400" s="2"/>
    </row>
    <row r="401" spans="1:23" ht="12.75" customHeight="1">
      <c r="A401" s="1150"/>
      <c r="B401" s="2"/>
      <c r="C401" s="2"/>
      <c r="D401" s="2"/>
      <c r="E401" s="2"/>
      <c r="F401" s="2"/>
      <c r="G401" s="2"/>
    </row>
    <row r="402" spans="1:23" ht="12.75" customHeight="1">
      <c r="A402" s="1150"/>
      <c r="B402" s="2"/>
      <c r="C402" s="2"/>
      <c r="D402" s="2"/>
      <c r="E402" s="2"/>
      <c r="F402" s="2"/>
      <c r="G402" s="2"/>
    </row>
    <row r="403" spans="1:23" ht="12.75" customHeight="1">
      <c r="A403" s="1150"/>
      <c r="B403" s="2"/>
      <c r="C403" s="2"/>
      <c r="D403" s="2"/>
      <c r="E403" s="2"/>
      <c r="F403" s="2"/>
      <c r="G403" s="2"/>
    </row>
    <row r="404" spans="1:23" ht="12.75" customHeight="1">
      <c r="A404" s="1150"/>
      <c r="B404" s="2"/>
      <c r="C404" s="2"/>
      <c r="D404" s="2"/>
      <c r="E404" s="2"/>
      <c r="F404" s="2"/>
      <c r="G404" s="2"/>
    </row>
    <row r="405" spans="1:23" ht="12.75" customHeight="1">
      <c r="A405" s="1150"/>
      <c r="B405" s="2"/>
      <c r="C405" s="2"/>
      <c r="D405" s="2"/>
      <c r="E405" s="2"/>
      <c r="F405" s="2"/>
      <c r="G405" s="2"/>
    </row>
    <row r="406" spans="1:23" ht="12.75" customHeight="1">
      <c r="A406" s="1150"/>
      <c r="B406" s="2"/>
      <c r="C406" s="2"/>
      <c r="D406" s="2"/>
      <c r="E406" s="2"/>
      <c r="F406" s="2"/>
      <c r="G406" s="2"/>
    </row>
    <row r="407" spans="1:23" s="1128" customFormat="1" ht="12.75" customHeight="1">
      <c r="A407" s="2525" t="s">
        <v>768</v>
      </c>
      <c r="B407" s="2522" t="s">
        <v>820</v>
      </c>
      <c r="C407" s="2523"/>
      <c r="D407" s="2524"/>
      <c r="E407" s="2522" t="s">
        <v>1109</v>
      </c>
      <c r="F407" s="2523"/>
      <c r="G407" s="2524"/>
      <c r="H407" s="2522" t="s">
        <v>1025</v>
      </c>
      <c r="I407" s="2523"/>
      <c r="J407" s="2524"/>
      <c r="K407" s="2522" t="s">
        <v>301</v>
      </c>
      <c r="L407" s="2523"/>
      <c r="M407" s="2524"/>
      <c r="N407" s="2522" t="s">
        <v>1140</v>
      </c>
      <c r="O407" s="2523"/>
      <c r="P407" s="2524"/>
      <c r="Q407" s="2522" t="s">
        <v>305</v>
      </c>
      <c r="R407" s="2523"/>
      <c r="S407" s="2524"/>
      <c r="T407" s="2522" t="s">
        <v>1207</v>
      </c>
      <c r="U407" s="2523"/>
      <c r="V407" s="2524"/>
    </row>
    <row r="408" spans="1:23" ht="12.75" customHeight="1">
      <c r="A408" s="2525"/>
      <c r="B408" s="94" t="s">
        <v>1197</v>
      </c>
      <c r="C408" s="2"/>
      <c r="D408" s="2"/>
      <c r="E408" s="94" t="s">
        <v>1197</v>
      </c>
      <c r="F408" s="2"/>
      <c r="G408" s="2"/>
      <c r="H408" s="94" t="s">
        <v>1197</v>
      </c>
      <c r="I408" s="2"/>
      <c r="J408" s="2"/>
      <c r="K408" s="94" t="s">
        <v>1197</v>
      </c>
      <c r="L408" s="1"/>
      <c r="M408" s="1"/>
      <c r="N408" s="94" t="s">
        <v>1197</v>
      </c>
      <c r="O408" s="2"/>
      <c r="P408" s="2"/>
      <c r="Q408" s="94" t="s">
        <v>1197</v>
      </c>
      <c r="R408" s="2"/>
      <c r="S408" s="2"/>
      <c r="T408" s="94" t="s">
        <v>1197</v>
      </c>
      <c r="U408" s="2"/>
      <c r="V408" s="2"/>
      <c r="W408" s="94" t="s">
        <v>1197</v>
      </c>
    </row>
    <row r="409" spans="1:23" ht="12.75" customHeight="1">
      <c r="A409" s="2525"/>
      <c r="B409" s="2"/>
      <c r="C409" s="2"/>
      <c r="D409" s="2"/>
      <c r="E409" s="2"/>
      <c r="F409" s="2"/>
      <c r="G409" s="2"/>
      <c r="H409" s="2"/>
      <c r="I409" s="2"/>
      <c r="J409" s="2"/>
      <c r="K409" s="2"/>
      <c r="L409" s="2"/>
      <c r="M409" s="2"/>
      <c r="N409" s="2"/>
      <c r="O409" s="2"/>
      <c r="P409" s="2"/>
      <c r="Q409" s="2"/>
      <c r="R409" s="2"/>
      <c r="S409" s="2"/>
      <c r="T409" s="2"/>
      <c r="U409" s="2"/>
      <c r="V409" s="2"/>
    </row>
    <row r="410" spans="1:23" ht="12.75" customHeight="1">
      <c r="A410" s="2525"/>
      <c r="B410" s="2"/>
      <c r="C410" s="2"/>
      <c r="D410" s="2"/>
      <c r="E410" s="2"/>
      <c r="F410" s="2"/>
      <c r="G410" s="2"/>
      <c r="H410" s="2"/>
      <c r="I410" s="2"/>
      <c r="J410" s="2"/>
      <c r="K410" s="2"/>
      <c r="L410" s="2"/>
      <c r="M410" s="2"/>
      <c r="N410" s="2"/>
      <c r="O410" s="2"/>
      <c r="P410" s="2"/>
      <c r="Q410" s="2"/>
      <c r="R410" s="2"/>
      <c r="S410" s="2"/>
      <c r="T410" s="2"/>
      <c r="U410" s="2"/>
      <c r="V410" s="2"/>
    </row>
    <row r="411" spans="1:23" ht="12.75" customHeight="1">
      <c r="A411" s="2525"/>
      <c r="B411" s="2"/>
      <c r="C411" s="2"/>
      <c r="D411" s="2"/>
      <c r="E411" s="2"/>
      <c r="F411" s="2"/>
      <c r="G411" s="2"/>
      <c r="H411" s="2"/>
      <c r="I411" s="2"/>
      <c r="J411" s="2"/>
      <c r="K411" s="2"/>
      <c r="L411" s="2"/>
      <c r="M411" s="2"/>
      <c r="N411" s="2"/>
      <c r="O411" s="2"/>
      <c r="P411" s="2"/>
      <c r="Q411" s="2"/>
      <c r="R411" s="2"/>
      <c r="S411" s="2"/>
      <c r="T411" s="2"/>
      <c r="U411" s="2"/>
      <c r="V411" s="2"/>
    </row>
    <row r="412" spans="1:23" ht="12.75" customHeight="1">
      <c r="A412" s="2525"/>
      <c r="B412" s="2"/>
      <c r="C412" s="2"/>
      <c r="D412" s="2"/>
      <c r="E412" s="2"/>
      <c r="F412" s="2"/>
      <c r="G412" s="2"/>
      <c r="H412" s="2"/>
      <c r="I412" s="2"/>
      <c r="J412" s="2"/>
      <c r="K412" s="2"/>
      <c r="L412" s="2"/>
      <c r="M412" s="2"/>
      <c r="N412" s="2"/>
      <c r="O412" s="2"/>
      <c r="P412" s="2"/>
      <c r="Q412" s="2"/>
      <c r="R412" s="2"/>
      <c r="S412" s="2"/>
      <c r="T412" s="2"/>
      <c r="U412" s="2"/>
      <c r="V412" s="2"/>
    </row>
    <row r="413" spans="1:23" ht="12.75" customHeight="1">
      <c r="A413" s="2525"/>
      <c r="B413" s="2"/>
      <c r="C413" s="2"/>
      <c r="D413" s="2"/>
      <c r="E413" s="2"/>
      <c r="F413" s="2"/>
      <c r="G413" s="2"/>
      <c r="H413" s="2"/>
      <c r="I413" s="2"/>
      <c r="J413" s="2"/>
      <c r="K413" s="2"/>
      <c r="L413" s="2"/>
      <c r="M413" s="2"/>
      <c r="N413" s="2"/>
      <c r="O413" s="2"/>
      <c r="P413" s="2"/>
      <c r="Q413" s="2"/>
      <c r="R413" s="2"/>
      <c r="S413" s="2"/>
      <c r="T413" s="2"/>
      <c r="U413" s="2"/>
      <c r="V413" s="2"/>
    </row>
    <row r="414" spans="1:23" ht="12.75" customHeight="1">
      <c r="A414" s="2525"/>
      <c r="B414" s="2"/>
      <c r="C414" s="2"/>
      <c r="D414" s="2"/>
      <c r="E414" s="2"/>
      <c r="F414" s="2"/>
      <c r="G414" s="2"/>
      <c r="H414" s="2"/>
      <c r="I414" s="2"/>
      <c r="J414" s="2"/>
      <c r="K414" s="2"/>
      <c r="L414" s="2"/>
      <c r="M414" s="2"/>
      <c r="N414" s="2"/>
      <c r="O414" s="2"/>
      <c r="P414" s="2"/>
      <c r="Q414" s="2"/>
      <c r="R414" s="2"/>
      <c r="S414" s="2"/>
      <c r="T414" s="2"/>
      <c r="U414" s="2"/>
      <c r="V414" s="2"/>
    </row>
    <row r="415" spans="1:23" ht="12.75" customHeight="1">
      <c r="A415" s="2525"/>
      <c r="B415" s="2"/>
      <c r="C415" s="2"/>
      <c r="D415" s="2"/>
      <c r="E415" s="2"/>
      <c r="F415" s="2"/>
      <c r="G415" s="2"/>
      <c r="H415" s="2"/>
      <c r="I415" s="2"/>
      <c r="J415" s="2"/>
      <c r="K415" s="2"/>
      <c r="L415" s="2"/>
      <c r="M415" s="2"/>
      <c r="N415" s="2"/>
      <c r="O415" s="2"/>
      <c r="P415" s="2"/>
      <c r="Q415" s="2"/>
      <c r="R415" s="2"/>
      <c r="S415" s="2"/>
      <c r="T415" s="2"/>
      <c r="U415" s="2"/>
      <c r="V415" s="2"/>
    </row>
    <row r="416" spans="1:23" ht="12.75" customHeight="1">
      <c r="A416" s="2525"/>
      <c r="B416" s="2"/>
      <c r="C416" s="2"/>
      <c r="D416" s="2"/>
      <c r="E416" s="2"/>
      <c r="F416" s="2"/>
      <c r="G416" s="2"/>
      <c r="H416" s="2"/>
      <c r="I416" s="2"/>
      <c r="J416" s="2"/>
      <c r="K416" s="2"/>
      <c r="L416" s="2"/>
      <c r="M416" s="2"/>
      <c r="N416" s="2"/>
      <c r="O416" s="2"/>
      <c r="P416" s="2"/>
      <c r="Q416" s="2"/>
      <c r="R416" s="2"/>
      <c r="S416" s="2"/>
      <c r="T416" s="2"/>
      <c r="U416" s="2"/>
      <c r="V416" s="2"/>
    </row>
    <row r="417" spans="1:23" ht="12.75" customHeight="1">
      <c r="A417" s="2525"/>
      <c r="B417" s="2"/>
      <c r="C417" s="2"/>
      <c r="D417" s="2"/>
      <c r="E417" s="2"/>
      <c r="F417" s="2"/>
      <c r="G417" s="2"/>
      <c r="H417" s="2"/>
      <c r="I417" s="2"/>
      <c r="J417" s="2"/>
      <c r="K417" s="2"/>
      <c r="L417" s="2"/>
      <c r="M417" s="2"/>
      <c r="N417" s="2"/>
      <c r="O417" s="2"/>
      <c r="P417" s="2"/>
      <c r="Q417" s="2"/>
      <c r="R417" s="2"/>
      <c r="S417" s="2"/>
      <c r="T417" s="2"/>
      <c r="U417" s="2"/>
      <c r="V417" s="2"/>
    </row>
    <row r="418" spans="1:23" ht="12.75" customHeight="1">
      <c r="A418" s="2525"/>
      <c r="B418" s="2"/>
      <c r="C418" s="2"/>
      <c r="D418" s="2"/>
      <c r="E418" s="2"/>
      <c r="F418" s="2"/>
      <c r="G418" s="2"/>
      <c r="H418" s="2"/>
      <c r="I418" s="2"/>
      <c r="J418" s="2"/>
      <c r="K418" s="2"/>
      <c r="L418" s="2"/>
      <c r="M418" s="2"/>
      <c r="N418" s="2"/>
      <c r="O418" s="2"/>
      <c r="P418" s="2"/>
      <c r="Q418" s="2"/>
      <c r="R418" s="2"/>
      <c r="S418" s="2"/>
      <c r="T418" s="2"/>
      <c r="U418" s="2"/>
      <c r="V418" s="2"/>
    </row>
    <row r="419" spans="1:23" ht="12.75" customHeight="1">
      <c r="A419" s="2525"/>
      <c r="B419" s="2"/>
      <c r="C419" s="2"/>
      <c r="D419" s="2"/>
      <c r="E419" s="2"/>
      <c r="F419" s="2"/>
      <c r="G419" s="2"/>
      <c r="H419" s="2"/>
      <c r="I419" s="2"/>
      <c r="J419" s="2"/>
      <c r="K419" s="2"/>
      <c r="L419" s="2"/>
      <c r="M419" s="2"/>
      <c r="N419" s="2"/>
      <c r="O419" s="2"/>
      <c r="P419" s="2"/>
      <c r="Q419" s="2"/>
      <c r="R419" s="2"/>
      <c r="S419" s="2"/>
      <c r="T419" s="2"/>
      <c r="U419" s="2"/>
      <c r="V419" s="2"/>
    </row>
    <row r="420" spans="1:23" ht="12.75" customHeight="1">
      <c r="A420" s="2525"/>
      <c r="B420" s="2"/>
      <c r="C420" s="2"/>
      <c r="D420" s="2"/>
      <c r="E420" s="2"/>
      <c r="F420" s="2"/>
      <c r="G420" s="2"/>
      <c r="H420" s="2"/>
      <c r="I420" s="2"/>
      <c r="J420" s="2"/>
      <c r="K420" s="2"/>
      <c r="L420" s="2"/>
      <c r="M420" s="2"/>
      <c r="N420" s="2"/>
      <c r="O420" s="2"/>
      <c r="P420" s="2"/>
      <c r="Q420" s="2"/>
      <c r="R420" s="2"/>
      <c r="S420" s="2"/>
      <c r="T420" s="2"/>
      <c r="U420" s="2"/>
      <c r="V420" s="2"/>
    </row>
    <row r="421" spans="1:23" ht="12.75" customHeight="1">
      <c r="A421" s="2525"/>
      <c r="B421" s="2"/>
      <c r="C421" s="2"/>
      <c r="D421" s="2"/>
      <c r="E421" s="2"/>
      <c r="F421" s="2"/>
      <c r="G421" s="2"/>
      <c r="H421" s="2"/>
      <c r="I421" s="2"/>
      <c r="J421" s="2"/>
      <c r="K421" s="2"/>
      <c r="L421" s="2"/>
      <c r="M421" s="2"/>
      <c r="N421" s="2"/>
      <c r="O421" s="2"/>
      <c r="P421" s="2"/>
      <c r="Q421" s="2"/>
      <c r="R421" s="2"/>
      <c r="S421" s="2"/>
      <c r="T421" s="2"/>
      <c r="U421" s="2"/>
      <c r="V421" s="2"/>
    </row>
    <row r="422" spans="1:23" ht="12.75" customHeight="1">
      <c r="A422" s="2525"/>
      <c r="B422" s="2"/>
      <c r="C422" s="2"/>
      <c r="D422" s="2"/>
      <c r="E422" s="2"/>
      <c r="F422" s="2"/>
      <c r="G422" s="2"/>
      <c r="H422" s="2"/>
      <c r="I422" s="2"/>
      <c r="J422" s="2"/>
      <c r="K422" s="2"/>
      <c r="L422" s="2"/>
      <c r="M422" s="2"/>
      <c r="N422" s="2"/>
      <c r="O422" s="2"/>
      <c r="P422" s="2"/>
      <c r="Q422" s="2"/>
      <c r="R422" s="2"/>
      <c r="S422" s="2"/>
      <c r="T422" s="2"/>
      <c r="U422" s="2"/>
      <c r="V422" s="2"/>
    </row>
    <row r="423" spans="1:23" ht="12.75" customHeight="1">
      <c r="A423" s="2525"/>
      <c r="B423" s="2"/>
      <c r="C423" s="2"/>
      <c r="D423" s="2"/>
      <c r="E423" s="2"/>
      <c r="F423" s="2"/>
      <c r="G423" s="2"/>
      <c r="H423" s="2"/>
      <c r="I423" s="2"/>
      <c r="J423" s="2"/>
      <c r="K423" s="2"/>
      <c r="L423" s="2"/>
      <c r="M423" s="2"/>
      <c r="N423" s="2"/>
      <c r="O423" s="2"/>
      <c r="P423" s="2"/>
      <c r="Q423" s="2"/>
      <c r="R423" s="2"/>
      <c r="S423" s="2"/>
      <c r="T423" s="2"/>
      <c r="U423" s="2"/>
      <c r="V423" s="2"/>
    </row>
    <row r="424" spans="1:23" ht="12.75" customHeight="1">
      <c r="A424" s="2525"/>
      <c r="B424" s="2"/>
      <c r="C424" s="2"/>
      <c r="D424" s="2"/>
      <c r="E424" s="2"/>
      <c r="F424" s="2"/>
      <c r="G424" s="2"/>
      <c r="H424" s="2"/>
      <c r="I424" s="2"/>
      <c r="J424" s="2"/>
      <c r="K424" s="2"/>
      <c r="L424" s="2"/>
      <c r="M424" s="2"/>
      <c r="N424" s="2"/>
      <c r="O424" s="2"/>
      <c r="P424" s="2"/>
      <c r="Q424" s="2"/>
      <c r="R424" s="2"/>
      <c r="S424" s="2"/>
      <c r="T424" s="2"/>
      <c r="U424" s="2"/>
      <c r="V424" s="2"/>
    </row>
    <row r="425" spans="1:23" ht="12.75" customHeight="1">
      <c r="A425" s="2525"/>
      <c r="B425" s="2"/>
      <c r="C425" s="2"/>
      <c r="D425" s="2"/>
      <c r="E425" s="2"/>
      <c r="F425" s="2"/>
      <c r="G425" s="2"/>
      <c r="H425" s="2"/>
      <c r="I425" s="2"/>
      <c r="J425" s="2"/>
      <c r="K425" s="2"/>
      <c r="L425" s="2"/>
      <c r="M425" s="2"/>
      <c r="N425" s="2"/>
      <c r="O425" s="2"/>
      <c r="P425" s="2"/>
      <c r="Q425" s="2"/>
      <c r="R425" s="2"/>
      <c r="S425" s="2"/>
      <c r="T425" s="2"/>
      <c r="U425" s="2"/>
      <c r="V425" s="2"/>
    </row>
    <row r="426" spans="1:23" ht="12.75" customHeight="1">
      <c r="A426" s="2525"/>
      <c r="B426" s="2"/>
      <c r="C426" s="2"/>
      <c r="D426" s="2"/>
      <c r="E426" s="2"/>
      <c r="F426" s="2"/>
      <c r="G426" s="2"/>
      <c r="H426" s="2"/>
      <c r="I426" s="2"/>
      <c r="J426" s="2"/>
      <c r="K426" s="2"/>
      <c r="L426" s="2"/>
      <c r="M426" s="2"/>
      <c r="N426" s="2"/>
      <c r="O426" s="2"/>
      <c r="P426" s="2"/>
      <c r="Q426" s="2"/>
      <c r="R426" s="2"/>
      <c r="S426" s="2"/>
      <c r="T426" s="2"/>
      <c r="U426" s="2"/>
      <c r="V426" s="2"/>
    </row>
    <row r="427" spans="1:23" s="1128" customFormat="1" ht="12.75" customHeight="1">
      <c r="A427" s="2525"/>
      <c r="B427" s="2522" t="s">
        <v>59</v>
      </c>
      <c r="C427" s="2523"/>
      <c r="D427" s="2524"/>
      <c r="E427" s="2522" t="s">
        <v>314</v>
      </c>
      <c r="F427" s="2523"/>
      <c r="G427" s="2524"/>
      <c r="H427" s="2522" t="s">
        <v>319</v>
      </c>
      <c r="I427" s="2523"/>
      <c r="J427" s="2524"/>
      <c r="K427" s="2522" t="s">
        <v>328</v>
      </c>
      <c r="L427" s="2523"/>
      <c r="M427" s="2524"/>
      <c r="N427" s="2522" t="s">
        <v>323</v>
      </c>
      <c r="O427" s="2523"/>
      <c r="P427" s="2524"/>
      <c r="Q427" s="2522" t="s">
        <v>1040</v>
      </c>
      <c r="R427" s="2523"/>
      <c r="S427" s="2524"/>
    </row>
    <row r="428" spans="1:23" ht="12.75" customHeight="1">
      <c r="A428" s="2525"/>
      <c r="B428" s="94" t="s">
        <v>1197</v>
      </c>
      <c r="C428" s="2"/>
      <c r="D428" s="2"/>
      <c r="E428" s="94" t="s">
        <v>1197</v>
      </c>
      <c r="F428" s="2"/>
      <c r="G428" s="2"/>
      <c r="H428" s="94" t="s">
        <v>1197</v>
      </c>
      <c r="I428" s="2"/>
      <c r="J428" s="2"/>
      <c r="K428" s="94" t="s">
        <v>1197</v>
      </c>
      <c r="L428" s="1"/>
      <c r="M428" s="1"/>
      <c r="N428" s="94" t="s">
        <v>1197</v>
      </c>
      <c r="O428" s="2"/>
      <c r="P428" s="2"/>
      <c r="Q428" s="94" t="s">
        <v>1197</v>
      </c>
      <c r="R428" s="2"/>
      <c r="S428" s="2"/>
      <c r="T428" s="94" t="s">
        <v>1197</v>
      </c>
      <c r="U428" s="2"/>
      <c r="V428" s="2"/>
      <c r="W428" s="94" t="s">
        <v>1197</v>
      </c>
    </row>
    <row r="429" spans="1:23" ht="12.75" customHeight="1">
      <c r="A429" s="2525"/>
      <c r="B429" s="86"/>
      <c r="C429" s="86"/>
      <c r="D429" s="86"/>
      <c r="E429" s="86"/>
      <c r="F429" s="86"/>
      <c r="G429" s="86"/>
      <c r="H429" s="86"/>
      <c r="I429" s="86"/>
      <c r="J429" s="86"/>
      <c r="K429" s="86"/>
      <c r="L429" s="86"/>
      <c r="M429" s="86"/>
      <c r="N429" s="86"/>
      <c r="O429" s="86"/>
      <c r="P429" s="86"/>
      <c r="Q429" s="2"/>
      <c r="R429" s="2"/>
      <c r="S429" s="2"/>
    </row>
    <row r="430" spans="1:23" ht="12.75" customHeight="1">
      <c r="A430" s="2525"/>
      <c r="B430" s="86"/>
      <c r="C430" s="86"/>
      <c r="D430" s="86"/>
      <c r="E430" s="86"/>
      <c r="F430" s="86"/>
      <c r="G430" s="86"/>
      <c r="H430" s="86"/>
      <c r="I430" s="86"/>
      <c r="J430" s="86"/>
      <c r="K430" s="86"/>
      <c r="L430" s="86"/>
      <c r="M430" s="86"/>
      <c r="N430" s="86"/>
      <c r="O430" s="86"/>
      <c r="P430" s="86"/>
      <c r="Q430" s="2"/>
      <c r="R430" s="2"/>
      <c r="S430" s="2"/>
    </row>
    <row r="431" spans="1:23" ht="12.75" customHeight="1">
      <c r="A431" s="2525"/>
      <c r="B431" s="86"/>
      <c r="C431" s="86"/>
      <c r="D431" s="86"/>
      <c r="E431" s="86"/>
      <c r="F431" s="86"/>
      <c r="G431" s="86"/>
      <c r="H431" s="86"/>
      <c r="I431" s="86"/>
      <c r="J431" s="86"/>
      <c r="K431" s="86"/>
      <c r="L431" s="86"/>
      <c r="M431" s="86"/>
      <c r="N431" s="86"/>
      <c r="O431" s="86"/>
      <c r="P431" s="86"/>
      <c r="Q431" s="2"/>
      <c r="R431" s="2"/>
      <c r="S431" s="2"/>
    </row>
    <row r="432" spans="1:23" ht="12.75" customHeight="1">
      <c r="A432" s="2525"/>
      <c r="B432" s="86"/>
      <c r="C432" s="86"/>
      <c r="D432" s="86"/>
      <c r="E432" s="86"/>
      <c r="F432" s="86"/>
      <c r="G432" s="86"/>
      <c r="H432" s="86"/>
      <c r="I432" s="86"/>
      <c r="J432" s="86"/>
      <c r="K432" s="86"/>
      <c r="L432" s="86"/>
      <c r="M432" s="86"/>
      <c r="N432" s="86"/>
      <c r="O432" s="86"/>
      <c r="P432" s="86"/>
      <c r="Q432" s="2"/>
      <c r="R432" s="2"/>
      <c r="S432" s="2"/>
    </row>
    <row r="433" spans="1:23" ht="12.75" customHeight="1">
      <c r="A433" s="2525"/>
      <c r="B433" s="86"/>
      <c r="C433" s="86"/>
      <c r="D433" s="86"/>
      <c r="E433" s="86"/>
      <c r="F433" s="86"/>
      <c r="G433" s="86"/>
      <c r="H433" s="86"/>
      <c r="I433" s="86"/>
      <c r="J433" s="86"/>
      <c r="K433" s="86"/>
      <c r="L433" s="86"/>
      <c r="M433" s="86"/>
      <c r="N433" s="86"/>
      <c r="O433" s="86"/>
      <c r="P433" s="86"/>
      <c r="Q433" s="2"/>
      <c r="R433" s="2"/>
      <c r="S433" s="2"/>
    </row>
    <row r="434" spans="1:23" ht="12.75" customHeight="1">
      <c r="A434" s="2525"/>
      <c r="B434" s="86"/>
      <c r="C434" s="86"/>
      <c r="D434" s="86"/>
      <c r="E434" s="86"/>
      <c r="F434" s="86"/>
      <c r="G434" s="86"/>
      <c r="H434" s="86"/>
      <c r="I434" s="86"/>
      <c r="J434" s="86"/>
      <c r="K434" s="86"/>
      <c r="L434" s="86"/>
      <c r="M434" s="86"/>
      <c r="N434" s="86"/>
      <c r="O434" s="86"/>
      <c r="P434" s="86"/>
      <c r="Q434" s="2"/>
      <c r="R434" s="2"/>
      <c r="S434" s="2"/>
    </row>
    <row r="435" spans="1:23" ht="12.75" customHeight="1">
      <c r="A435" s="2525"/>
      <c r="B435" s="86"/>
      <c r="C435" s="86"/>
      <c r="D435" s="86"/>
      <c r="E435" s="86"/>
      <c r="F435" s="86"/>
      <c r="G435" s="86"/>
      <c r="H435" s="86"/>
      <c r="I435" s="86"/>
      <c r="J435" s="86"/>
      <c r="K435" s="86"/>
      <c r="L435" s="86"/>
      <c r="M435" s="86"/>
      <c r="N435" s="86"/>
      <c r="O435" s="86"/>
      <c r="P435" s="86"/>
      <c r="Q435" s="2"/>
      <c r="R435" s="2"/>
      <c r="S435" s="2"/>
    </row>
    <row r="436" spans="1:23" ht="12.75" customHeight="1">
      <c r="A436" s="2525"/>
      <c r="B436" s="86"/>
      <c r="C436" s="86"/>
      <c r="D436" s="86"/>
      <c r="E436" s="86"/>
      <c r="F436" s="86"/>
      <c r="G436" s="86"/>
      <c r="H436" s="86"/>
      <c r="I436" s="86"/>
      <c r="J436" s="86"/>
      <c r="K436" s="86"/>
      <c r="L436" s="86"/>
      <c r="M436" s="86"/>
      <c r="N436" s="86"/>
      <c r="O436" s="86"/>
      <c r="P436" s="86"/>
      <c r="Q436" s="2"/>
      <c r="R436" s="2"/>
      <c r="S436" s="2"/>
    </row>
    <row r="437" spans="1:23" ht="12.75" customHeight="1">
      <c r="A437" s="2525"/>
      <c r="B437" s="86"/>
      <c r="C437" s="86"/>
      <c r="D437" s="86"/>
      <c r="E437" s="86"/>
      <c r="F437" s="86"/>
      <c r="G437" s="86"/>
      <c r="H437" s="86"/>
      <c r="I437" s="86"/>
      <c r="J437" s="86"/>
      <c r="K437" s="86"/>
      <c r="L437" s="86"/>
      <c r="M437" s="86"/>
      <c r="N437" s="86"/>
      <c r="O437" s="86"/>
      <c r="P437" s="86"/>
      <c r="Q437" s="2"/>
      <c r="R437" s="2"/>
      <c r="S437" s="2"/>
    </row>
    <row r="438" spans="1:23" ht="12.75" customHeight="1">
      <c r="A438" s="2525"/>
      <c r="B438" s="86"/>
      <c r="C438" s="86"/>
      <c r="D438" s="86"/>
      <c r="E438" s="86"/>
      <c r="F438" s="86"/>
      <c r="G438" s="86"/>
      <c r="H438" s="86"/>
      <c r="I438" s="86"/>
      <c r="J438" s="86"/>
      <c r="K438" s="86"/>
      <c r="L438" s="86"/>
      <c r="M438" s="86"/>
      <c r="N438" s="86"/>
      <c r="O438" s="86"/>
      <c r="P438" s="86"/>
      <c r="Q438" s="2"/>
      <c r="R438" s="2"/>
      <c r="S438" s="2"/>
    </row>
    <row r="439" spans="1:23" ht="12.75" customHeight="1">
      <c r="A439" s="2525"/>
      <c r="B439" s="86"/>
      <c r="C439" s="86"/>
      <c r="D439" s="86"/>
      <c r="E439" s="86"/>
      <c r="F439" s="86"/>
      <c r="G439" s="86"/>
      <c r="H439" s="86"/>
      <c r="I439" s="86"/>
      <c r="J439" s="86"/>
      <c r="K439" s="86"/>
      <c r="L439" s="86"/>
      <c r="M439" s="86"/>
      <c r="N439" s="86"/>
      <c r="O439" s="86"/>
      <c r="P439" s="86"/>
      <c r="Q439" s="2"/>
      <c r="R439" s="2"/>
      <c r="S439" s="2"/>
    </row>
    <row r="440" spans="1:23" ht="12.75" customHeight="1">
      <c r="A440" s="2525"/>
      <c r="B440" s="86"/>
      <c r="C440" s="86"/>
      <c r="D440" s="86"/>
      <c r="E440" s="86"/>
      <c r="F440" s="86"/>
      <c r="G440" s="86"/>
      <c r="H440" s="86"/>
      <c r="I440" s="86"/>
      <c r="J440" s="86"/>
      <c r="K440" s="86"/>
      <c r="L440" s="86"/>
      <c r="M440" s="86"/>
      <c r="N440" s="86"/>
      <c r="O440" s="86"/>
      <c r="P440" s="86"/>
      <c r="Q440" s="2"/>
      <c r="R440" s="2"/>
      <c r="S440" s="2"/>
    </row>
    <row r="441" spans="1:23" ht="12.75" customHeight="1">
      <c r="A441" s="2525"/>
      <c r="B441" s="86"/>
      <c r="C441" s="86"/>
      <c r="D441" s="86"/>
      <c r="E441" s="86"/>
      <c r="F441" s="86"/>
      <c r="G441" s="86"/>
      <c r="H441" s="86"/>
      <c r="I441" s="86"/>
      <c r="J441" s="86"/>
      <c r="K441" s="86"/>
      <c r="L441" s="86"/>
      <c r="M441" s="86"/>
      <c r="N441" s="86"/>
      <c r="O441" s="86"/>
      <c r="P441" s="86"/>
      <c r="Q441" s="2"/>
      <c r="R441" s="2"/>
      <c r="S441" s="2"/>
    </row>
    <row r="442" spans="1:23" ht="12.75" customHeight="1">
      <c r="A442" s="2525"/>
      <c r="B442" s="86"/>
      <c r="C442" s="86"/>
      <c r="D442" s="86"/>
      <c r="E442" s="86"/>
      <c r="F442" s="86"/>
      <c r="G442" s="86"/>
      <c r="H442" s="86"/>
      <c r="I442" s="86"/>
      <c r="J442" s="86"/>
      <c r="K442" s="86"/>
      <c r="L442" s="86"/>
      <c r="M442" s="86"/>
      <c r="N442" s="86"/>
      <c r="O442" s="86"/>
      <c r="P442" s="86"/>
      <c r="Q442" s="2"/>
      <c r="R442" s="2"/>
      <c r="S442" s="2"/>
    </row>
    <row r="443" spans="1:23" ht="12.75" customHeight="1">
      <c r="A443" s="2525"/>
      <c r="B443" s="86"/>
      <c r="C443" s="86"/>
      <c r="D443" s="86"/>
      <c r="E443" s="86"/>
      <c r="F443" s="86"/>
      <c r="G443" s="86"/>
      <c r="H443" s="86"/>
      <c r="I443" s="86"/>
      <c r="J443" s="86"/>
      <c r="K443" s="86"/>
      <c r="L443" s="86"/>
      <c r="M443" s="86"/>
      <c r="N443" s="86"/>
      <c r="O443" s="86"/>
      <c r="P443" s="86"/>
      <c r="Q443" s="2"/>
      <c r="R443" s="2"/>
      <c r="S443" s="2"/>
    </row>
    <row r="444" spans="1:23" ht="12.75" customHeight="1">
      <c r="A444" s="2525"/>
      <c r="B444" s="86"/>
      <c r="C444" s="86"/>
      <c r="D444" s="86"/>
      <c r="E444" s="86"/>
      <c r="F444" s="86"/>
      <c r="G444" s="86"/>
      <c r="H444" s="86"/>
      <c r="I444" s="86"/>
      <c r="J444" s="86"/>
      <c r="K444" s="86"/>
      <c r="L444" s="86"/>
      <c r="M444" s="86"/>
      <c r="N444" s="86"/>
      <c r="O444" s="86"/>
      <c r="P444" s="86"/>
      <c r="Q444" s="2"/>
      <c r="R444" s="2"/>
      <c r="S444" s="2"/>
    </row>
    <row r="445" spans="1:23" ht="12.75" customHeight="1" thickBot="1">
      <c r="A445" s="2526"/>
      <c r="B445" s="86"/>
      <c r="C445" s="86"/>
      <c r="D445" s="86"/>
      <c r="E445" s="86"/>
      <c r="F445" s="86"/>
      <c r="G445" s="86"/>
      <c r="H445" s="86"/>
      <c r="I445" s="86"/>
      <c r="J445" s="86"/>
      <c r="N445" s="86"/>
      <c r="O445" s="86"/>
      <c r="P445" s="86"/>
      <c r="Q445" s="2"/>
      <c r="R445" s="2"/>
      <c r="S445" s="2"/>
    </row>
    <row r="446" spans="1:23" ht="12.75" customHeight="1" thickTop="1" thickBot="1">
      <c r="A446" s="2"/>
      <c r="F446" s="2"/>
      <c r="G446" s="2"/>
      <c r="H446" s="2"/>
      <c r="I446" s="2"/>
      <c r="J446" s="2"/>
      <c r="N446" s="2"/>
      <c r="O446" s="2"/>
      <c r="P446" s="2"/>
      <c r="Q446" s="2"/>
      <c r="R446" s="2"/>
      <c r="S446" s="2"/>
    </row>
    <row r="447" spans="1:23" s="1128" customFormat="1" ht="12.75" customHeight="1" thickTop="1">
      <c r="A447" s="2527" t="s">
        <v>576</v>
      </c>
      <c r="B447" s="2522" t="s">
        <v>1113</v>
      </c>
      <c r="C447" s="2523"/>
      <c r="D447" s="2524"/>
      <c r="E447" s="2522" t="s">
        <v>1114</v>
      </c>
      <c r="F447" s="2523"/>
      <c r="G447" s="2524"/>
      <c r="H447" s="2522" t="s">
        <v>297</v>
      </c>
      <c r="I447" s="2523"/>
      <c r="J447" s="2524"/>
      <c r="K447" s="2522" t="s">
        <v>300</v>
      </c>
      <c r="L447" s="2523"/>
      <c r="M447" s="2524"/>
      <c r="N447" s="2522" t="s">
        <v>303</v>
      </c>
      <c r="O447" s="2523"/>
      <c r="P447" s="2524"/>
      <c r="Q447" s="1132"/>
      <c r="R447" s="1132"/>
      <c r="S447" s="1132"/>
    </row>
    <row r="448" spans="1:23" ht="12.75" customHeight="1">
      <c r="A448" s="2525"/>
      <c r="B448" s="94" t="s">
        <v>1197</v>
      </c>
      <c r="C448" s="2"/>
      <c r="D448" s="2"/>
      <c r="E448" s="94" t="s">
        <v>1197</v>
      </c>
      <c r="F448" s="2"/>
      <c r="G448" s="2"/>
      <c r="H448" s="94" t="s">
        <v>1197</v>
      </c>
      <c r="I448" s="2"/>
      <c r="J448" s="2"/>
      <c r="K448" s="94" t="s">
        <v>1197</v>
      </c>
      <c r="L448" s="1"/>
      <c r="M448" s="1"/>
      <c r="N448" s="94" t="s">
        <v>1197</v>
      </c>
      <c r="O448" s="2"/>
      <c r="P448" s="2"/>
      <c r="Q448" s="94" t="s">
        <v>1197</v>
      </c>
      <c r="R448" s="2"/>
      <c r="S448" s="2"/>
      <c r="T448" s="94" t="s">
        <v>1197</v>
      </c>
      <c r="U448" s="2"/>
      <c r="V448" s="2"/>
      <c r="W448" s="94" t="s">
        <v>1197</v>
      </c>
    </row>
    <row r="449" spans="1:19" ht="12.75" customHeight="1">
      <c r="A449" s="2525"/>
      <c r="B449" s="86"/>
      <c r="C449" s="86"/>
      <c r="D449" s="86"/>
      <c r="E449" s="90"/>
      <c r="F449" s="90"/>
      <c r="G449" s="90"/>
      <c r="H449" s="2"/>
      <c r="I449" s="2"/>
      <c r="J449" s="2"/>
      <c r="K449" s="9"/>
      <c r="L449" s="9"/>
      <c r="M449" s="9"/>
      <c r="N449" s="9"/>
      <c r="O449" s="9"/>
      <c r="P449" s="9"/>
      <c r="Q449" s="2"/>
      <c r="R449" s="2"/>
      <c r="S449" s="2"/>
    </row>
    <row r="450" spans="1:19" ht="12.75" customHeight="1">
      <c r="A450" s="2525"/>
      <c r="B450" s="86"/>
      <c r="C450" s="86"/>
      <c r="D450" s="86"/>
      <c r="E450" s="90"/>
      <c r="F450" s="90"/>
      <c r="G450" s="90"/>
      <c r="H450" s="2"/>
      <c r="I450" s="2"/>
      <c r="J450" s="2"/>
      <c r="K450" s="9"/>
      <c r="L450" s="9"/>
      <c r="M450" s="9"/>
      <c r="N450" s="9"/>
      <c r="O450" s="9"/>
      <c r="P450" s="9"/>
      <c r="Q450" s="2"/>
      <c r="R450" s="2"/>
      <c r="S450" s="2"/>
    </row>
    <row r="451" spans="1:19" ht="12.75" customHeight="1">
      <c r="A451" s="2525"/>
      <c r="B451" s="86"/>
      <c r="C451" s="86"/>
      <c r="D451" s="86"/>
      <c r="E451" s="90"/>
      <c r="F451" s="90"/>
      <c r="G451" s="90"/>
      <c r="H451" s="2"/>
      <c r="I451" s="2"/>
      <c r="J451" s="2"/>
      <c r="K451" s="9"/>
      <c r="L451" s="9"/>
      <c r="M451" s="9"/>
      <c r="N451" s="9"/>
      <c r="O451" s="9"/>
      <c r="P451" s="9"/>
      <c r="Q451" s="2"/>
      <c r="R451" s="2"/>
      <c r="S451" s="2"/>
    </row>
    <row r="452" spans="1:19" ht="12.75" customHeight="1">
      <c r="A452" s="2525"/>
      <c r="B452" s="86"/>
      <c r="C452" s="86"/>
      <c r="D452" s="86"/>
      <c r="E452" s="90"/>
      <c r="F452" s="90"/>
      <c r="G452" s="90"/>
      <c r="H452" s="2"/>
      <c r="I452" s="2"/>
      <c r="J452" s="2"/>
      <c r="K452" s="9"/>
      <c r="L452" s="9"/>
      <c r="M452" s="9"/>
      <c r="N452" s="9"/>
      <c r="O452" s="9"/>
      <c r="P452" s="9"/>
      <c r="Q452" s="2"/>
      <c r="R452" s="2"/>
      <c r="S452" s="2"/>
    </row>
    <row r="453" spans="1:19" ht="12.75" customHeight="1">
      <c r="A453" s="2525"/>
      <c r="B453" s="86"/>
      <c r="C453" s="86"/>
      <c r="D453" s="86"/>
      <c r="E453" s="90"/>
      <c r="F453" s="90"/>
      <c r="G453" s="90"/>
      <c r="H453" s="2"/>
      <c r="I453" s="2"/>
      <c r="J453" s="2"/>
      <c r="K453" s="9"/>
      <c r="L453" s="9"/>
      <c r="M453" s="9"/>
      <c r="N453" s="9"/>
      <c r="O453" s="9"/>
      <c r="P453" s="9"/>
      <c r="Q453" s="2"/>
      <c r="R453" s="2"/>
      <c r="S453" s="2"/>
    </row>
    <row r="454" spans="1:19" ht="12.75" customHeight="1">
      <c r="A454" s="2525"/>
      <c r="B454" s="86"/>
      <c r="C454" s="86"/>
      <c r="D454" s="86"/>
      <c r="E454" s="90"/>
      <c r="F454" s="90"/>
      <c r="G454" s="90"/>
      <c r="H454" s="2"/>
      <c r="I454" s="2"/>
      <c r="J454" s="2"/>
      <c r="K454" s="8"/>
      <c r="L454" s="8"/>
      <c r="M454" s="8"/>
      <c r="N454" s="9"/>
      <c r="O454" s="9"/>
      <c r="P454" s="9"/>
      <c r="Q454" s="2"/>
      <c r="R454" s="2"/>
      <c r="S454" s="2"/>
    </row>
    <row r="455" spans="1:19" ht="12.75" customHeight="1">
      <c r="A455" s="2525"/>
      <c r="B455" s="86"/>
      <c r="C455" s="86"/>
      <c r="D455" s="86"/>
      <c r="E455" s="90"/>
      <c r="F455" s="90"/>
      <c r="G455" s="90"/>
      <c r="H455" s="2"/>
      <c r="I455" s="2"/>
      <c r="J455" s="2"/>
      <c r="K455" s="10"/>
      <c r="L455" s="10"/>
      <c r="M455" s="10"/>
      <c r="N455" s="8"/>
      <c r="O455" s="8"/>
      <c r="P455" s="8"/>
      <c r="Q455" s="2"/>
      <c r="R455" s="2"/>
      <c r="S455" s="2"/>
    </row>
    <row r="456" spans="1:19" ht="12.75" customHeight="1">
      <c r="A456" s="2525"/>
      <c r="B456" s="86"/>
      <c r="C456" s="86"/>
      <c r="D456" s="86"/>
      <c r="E456" s="90"/>
      <c r="F456" s="90"/>
      <c r="G456" s="90"/>
      <c r="H456" s="2"/>
      <c r="I456" s="2"/>
      <c r="J456" s="2"/>
      <c r="K456" s="10"/>
      <c r="L456" s="10"/>
      <c r="M456" s="10"/>
      <c r="N456" s="10"/>
      <c r="O456" s="10"/>
      <c r="P456" s="10"/>
      <c r="Q456" s="2"/>
      <c r="R456" s="2"/>
      <c r="S456" s="2"/>
    </row>
    <row r="457" spans="1:19" ht="12.75" customHeight="1">
      <c r="A457" s="2525"/>
      <c r="B457" s="86"/>
      <c r="C457" s="86"/>
      <c r="D457" s="86"/>
      <c r="E457" s="90"/>
      <c r="F457" s="90"/>
      <c r="G457" s="90"/>
      <c r="H457" s="2"/>
      <c r="I457" s="2"/>
      <c r="J457" s="2"/>
      <c r="K457" s="10"/>
      <c r="L457" s="10"/>
      <c r="M457" s="10"/>
      <c r="N457" s="10"/>
      <c r="O457" s="10"/>
      <c r="P457" s="10"/>
      <c r="Q457" s="2"/>
      <c r="R457" s="2"/>
      <c r="S457" s="2"/>
    </row>
    <row r="458" spans="1:19" ht="12.75" customHeight="1">
      <c r="A458" s="2525"/>
      <c r="B458" s="90" t="s">
        <v>194</v>
      </c>
      <c r="C458" s="90" t="s">
        <v>195</v>
      </c>
      <c r="D458" s="90" t="s">
        <v>196</v>
      </c>
      <c r="E458" s="90"/>
      <c r="F458" s="90"/>
      <c r="G458" s="90"/>
      <c r="H458" s="2"/>
      <c r="I458" s="2"/>
      <c r="J458" s="2"/>
      <c r="K458" s="10"/>
      <c r="L458" s="10"/>
      <c r="M458" s="10"/>
      <c r="N458" s="10"/>
      <c r="O458" s="10"/>
      <c r="P458" s="10"/>
      <c r="Q458" s="2"/>
      <c r="R458" s="2"/>
      <c r="S458" s="2"/>
    </row>
    <row r="459" spans="1:19" ht="12.75" customHeight="1">
      <c r="A459" s="2525"/>
      <c r="B459" s="86"/>
      <c r="C459" s="86"/>
      <c r="D459" s="86"/>
      <c r="E459" s="90"/>
      <c r="F459" s="90"/>
      <c r="G459" s="90"/>
      <c r="H459" s="2"/>
      <c r="I459" s="2"/>
      <c r="J459" s="2"/>
      <c r="K459" s="10"/>
      <c r="L459" s="10"/>
      <c r="M459" s="10"/>
      <c r="N459" s="10"/>
      <c r="O459" s="10"/>
      <c r="P459" s="10"/>
      <c r="Q459" s="2"/>
      <c r="R459" s="2"/>
      <c r="S459" s="2"/>
    </row>
    <row r="460" spans="1:19" ht="12.75" customHeight="1">
      <c r="A460" s="2525"/>
      <c r="B460" s="86"/>
      <c r="C460" s="86"/>
      <c r="D460" s="86"/>
      <c r="E460" s="90"/>
      <c r="F460" s="90"/>
      <c r="G460" s="90"/>
      <c r="H460" s="2"/>
      <c r="I460" s="2"/>
      <c r="J460" s="2"/>
      <c r="K460" s="10"/>
      <c r="L460" s="10"/>
      <c r="M460" s="10"/>
      <c r="N460" s="10"/>
      <c r="O460" s="10"/>
      <c r="P460" s="10"/>
      <c r="Q460" s="2"/>
      <c r="R460" s="2"/>
      <c r="S460" s="2"/>
    </row>
    <row r="461" spans="1:19" ht="12.75" customHeight="1">
      <c r="A461" s="2525"/>
      <c r="B461" s="86"/>
      <c r="C461" s="86"/>
      <c r="D461" s="86"/>
      <c r="E461" s="90"/>
      <c r="F461" s="90"/>
      <c r="G461" s="90"/>
      <c r="H461" s="2"/>
      <c r="I461" s="2"/>
      <c r="J461" s="2"/>
      <c r="K461" s="8"/>
      <c r="L461" s="8"/>
      <c r="M461" s="8"/>
      <c r="N461" s="10"/>
      <c r="O461" s="10"/>
      <c r="P461" s="10"/>
      <c r="Q461" s="2"/>
      <c r="R461" s="2"/>
      <c r="S461" s="2"/>
    </row>
    <row r="462" spans="1:19" ht="12.75" customHeight="1">
      <c r="A462" s="2525"/>
      <c r="B462" s="86"/>
      <c r="C462" s="86"/>
      <c r="D462" s="86"/>
      <c r="E462" s="90"/>
      <c r="F462" s="90"/>
      <c r="G462" s="90"/>
      <c r="H462" s="2"/>
      <c r="I462" s="2"/>
      <c r="J462" s="2"/>
      <c r="K462" s="8"/>
      <c r="L462" s="8"/>
      <c r="M462" s="8"/>
      <c r="N462" s="8"/>
      <c r="O462" s="8"/>
      <c r="P462" s="8"/>
      <c r="Q462" s="2"/>
      <c r="R462" s="2"/>
      <c r="S462" s="2"/>
    </row>
    <row r="463" spans="1:19" ht="12.75" customHeight="1">
      <c r="A463" s="2525"/>
      <c r="B463" s="86"/>
      <c r="C463" s="86"/>
      <c r="D463" s="86"/>
      <c r="E463" s="90"/>
      <c r="F463" s="90"/>
      <c r="G463" s="90"/>
      <c r="H463" s="2"/>
      <c r="I463" s="2"/>
      <c r="J463" s="2"/>
      <c r="K463" s="8"/>
      <c r="L463" s="8"/>
      <c r="M463" s="8"/>
      <c r="N463" s="8"/>
      <c r="O463" s="8"/>
      <c r="P463" s="8"/>
      <c r="Q463" s="2"/>
      <c r="R463" s="2"/>
      <c r="S463" s="2"/>
    </row>
    <row r="464" spans="1:19" ht="12.75" customHeight="1">
      <c r="A464" s="2525"/>
      <c r="B464" s="86"/>
      <c r="C464" s="86"/>
      <c r="D464" s="86"/>
      <c r="E464" s="90"/>
      <c r="F464" s="90"/>
      <c r="G464" s="90"/>
      <c r="H464" s="2"/>
      <c r="I464" s="2"/>
      <c r="J464" s="2"/>
      <c r="K464" s="8"/>
      <c r="L464" s="8"/>
      <c r="M464" s="8"/>
      <c r="N464" s="8"/>
      <c r="O464" s="8"/>
      <c r="P464" s="8"/>
      <c r="Q464" s="2"/>
      <c r="R464" s="2"/>
      <c r="S464" s="2"/>
    </row>
    <row r="465" spans="1:23" ht="12.75" customHeight="1">
      <c r="A465" s="2525"/>
      <c r="B465" s="86"/>
      <c r="C465" s="86"/>
      <c r="D465" s="86"/>
      <c r="E465" s="90"/>
      <c r="F465" s="90"/>
      <c r="G465" s="90"/>
      <c r="H465" s="2"/>
      <c r="I465" s="2"/>
      <c r="J465" s="2"/>
      <c r="K465" s="8"/>
      <c r="L465" s="8"/>
      <c r="M465" s="8"/>
      <c r="N465" s="8"/>
      <c r="O465" s="8"/>
      <c r="P465" s="8"/>
      <c r="Q465" s="2"/>
      <c r="R465" s="2"/>
      <c r="S465" s="2"/>
    </row>
    <row r="466" spans="1:23" ht="12.75" customHeight="1">
      <c r="A466" s="2525"/>
      <c r="B466" s="86"/>
      <c r="C466" s="86"/>
      <c r="D466" s="86"/>
      <c r="E466" s="90"/>
      <c r="F466" s="90"/>
      <c r="G466" s="90"/>
      <c r="H466" s="2"/>
      <c r="I466" s="2"/>
      <c r="J466" s="2"/>
      <c r="K466" s="8"/>
      <c r="L466" s="8"/>
      <c r="M466" s="8"/>
      <c r="N466" s="8"/>
      <c r="O466" s="8"/>
      <c r="P466" s="8"/>
      <c r="Q466" s="2"/>
      <c r="R466" s="2"/>
      <c r="S466" s="2"/>
    </row>
    <row r="467" spans="1:23" ht="12.75" customHeight="1">
      <c r="A467" s="2525"/>
      <c r="B467" s="2"/>
      <c r="C467" s="2"/>
      <c r="D467" s="2"/>
      <c r="E467" s="2"/>
      <c r="F467" s="2"/>
      <c r="G467" s="2"/>
      <c r="H467" s="2"/>
      <c r="I467" s="2"/>
      <c r="J467" s="2"/>
      <c r="K467" s="2"/>
      <c r="L467" s="2"/>
      <c r="M467" s="2"/>
      <c r="N467" s="2"/>
      <c r="O467" s="2"/>
      <c r="P467" s="2"/>
      <c r="Q467" s="2"/>
      <c r="R467" s="2"/>
      <c r="S467" s="2"/>
    </row>
    <row r="468" spans="1:23" s="1128" customFormat="1" ht="12.75" customHeight="1">
      <c r="A468" s="2525"/>
      <c r="B468" s="2522" t="s">
        <v>312</v>
      </c>
      <c r="C468" s="2523"/>
      <c r="D468" s="2524"/>
      <c r="E468" s="2522" t="s">
        <v>316</v>
      </c>
      <c r="F468" s="2523"/>
      <c r="G468" s="2524"/>
      <c r="H468" s="2522" t="s">
        <v>321</v>
      </c>
      <c r="I468" s="2523"/>
      <c r="J468" s="2524"/>
      <c r="K468" s="2522" t="s">
        <v>326</v>
      </c>
      <c r="L468" s="2523"/>
      <c r="M468" s="2524"/>
      <c r="N468" s="2522" t="s">
        <v>308</v>
      </c>
      <c r="O468" s="2523"/>
      <c r="P468" s="2524"/>
      <c r="Q468" s="2522" t="s">
        <v>331</v>
      </c>
      <c r="R468" s="2523"/>
      <c r="S468" s="2524"/>
    </row>
    <row r="469" spans="1:23" ht="12.75" customHeight="1">
      <c r="A469" s="2525"/>
      <c r="B469" s="94" t="s">
        <v>1197</v>
      </c>
      <c r="C469" s="2"/>
      <c r="D469" s="2"/>
      <c r="E469" s="94" t="s">
        <v>1197</v>
      </c>
      <c r="F469" s="2"/>
      <c r="G469" s="2"/>
      <c r="H469" s="94" t="s">
        <v>1197</v>
      </c>
      <c r="I469" s="2"/>
      <c r="J469" s="2"/>
      <c r="K469" s="94" t="s">
        <v>1197</v>
      </c>
      <c r="L469" s="1"/>
      <c r="M469" s="1"/>
      <c r="N469" s="94" t="s">
        <v>1197</v>
      </c>
      <c r="O469" s="2"/>
      <c r="P469" s="2"/>
      <c r="Q469" s="94" t="s">
        <v>1197</v>
      </c>
      <c r="R469" s="2"/>
      <c r="S469" s="2"/>
      <c r="T469" s="94" t="s">
        <v>1197</v>
      </c>
      <c r="U469" s="2"/>
      <c r="V469" s="2"/>
      <c r="W469" s="94" t="s">
        <v>1197</v>
      </c>
    </row>
    <row r="470" spans="1:23" ht="12.75" customHeight="1">
      <c r="A470" s="2525"/>
      <c r="B470" s="89"/>
      <c r="C470" s="89"/>
      <c r="D470" s="89"/>
      <c r="E470" s="89"/>
      <c r="F470" s="89"/>
      <c r="G470" s="89"/>
      <c r="H470" s="89"/>
      <c r="I470" s="89"/>
      <c r="J470" s="89"/>
      <c r="K470" s="89"/>
      <c r="L470" s="89"/>
      <c r="M470" s="89"/>
      <c r="N470" s="9"/>
      <c r="O470" s="9"/>
      <c r="P470" s="9"/>
      <c r="Q470" s="89"/>
      <c r="R470" s="89"/>
      <c r="S470" s="89"/>
    </row>
    <row r="471" spans="1:23" ht="12.75" customHeight="1">
      <c r="A471" s="2525"/>
      <c r="B471" s="89"/>
      <c r="C471" s="89"/>
      <c r="D471" s="89"/>
      <c r="E471" s="89"/>
      <c r="F471" s="89"/>
      <c r="G471" s="89"/>
      <c r="H471" s="89"/>
      <c r="I471" s="89"/>
      <c r="J471" s="89"/>
      <c r="K471" s="89"/>
      <c r="L471" s="89"/>
      <c r="M471" s="89"/>
      <c r="N471" s="9"/>
      <c r="O471" s="9"/>
      <c r="P471" s="9"/>
      <c r="Q471" s="89"/>
      <c r="R471" s="89"/>
      <c r="S471" s="89"/>
    </row>
    <row r="472" spans="1:23" ht="12.75" customHeight="1">
      <c r="A472" s="2525"/>
      <c r="B472" s="89"/>
      <c r="C472" s="89"/>
      <c r="D472" s="89"/>
      <c r="E472" s="89"/>
      <c r="F472" s="89"/>
      <c r="G472" s="89"/>
      <c r="H472" s="89"/>
      <c r="I472" s="89"/>
      <c r="J472" s="89"/>
      <c r="K472" s="89"/>
      <c r="L472" s="89"/>
      <c r="M472" s="89"/>
      <c r="N472" s="9"/>
      <c r="O472" s="9"/>
      <c r="P472" s="9"/>
      <c r="Q472" s="89"/>
      <c r="R472" s="89"/>
      <c r="S472" s="89"/>
    </row>
    <row r="473" spans="1:23" ht="12.75" customHeight="1">
      <c r="A473" s="2525"/>
      <c r="B473" s="89"/>
      <c r="C473" s="89"/>
      <c r="D473" s="89"/>
      <c r="E473" s="89"/>
      <c r="F473" s="89"/>
      <c r="G473" s="89"/>
      <c r="H473" s="89"/>
      <c r="I473" s="89"/>
      <c r="J473" s="89"/>
      <c r="K473" s="89"/>
      <c r="L473" s="89"/>
      <c r="M473" s="89"/>
      <c r="N473" s="9"/>
      <c r="O473" s="9"/>
      <c r="P473" s="9"/>
      <c r="Q473" s="89"/>
      <c r="R473" s="89"/>
      <c r="S473" s="89"/>
    </row>
    <row r="474" spans="1:23" ht="12.75" customHeight="1">
      <c r="A474" s="2525"/>
      <c r="B474" s="89"/>
      <c r="C474" s="89"/>
      <c r="D474" s="89"/>
      <c r="E474" s="89"/>
      <c r="F474" s="89"/>
      <c r="G474" s="89"/>
      <c r="H474" s="89"/>
      <c r="I474" s="89"/>
      <c r="J474" s="89"/>
      <c r="K474" s="89"/>
      <c r="L474" s="89"/>
      <c r="M474" s="89"/>
      <c r="N474" s="9"/>
      <c r="O474" s="9"/>
      <c r="P474" s="9"/>
      <c r="Q474" s="89"/>
      <c r="R474" s="89"/>
      <c r="S474" s="89"/>
    </row>
    <row r="475" spans="1:23" ht="12.75" customHeight="1">
      <c r="A475" s="2525"/>
      <c r="B475" s="89"/>
      <c r="C475" s="89"/>
      <c r="D475" s="89"/>
      <c r="E475" s="89"/>
      <c r="F475" s="89"/>
      <c r="G475" s="89"/>
      <c r="H475" s="89"/>
      <c r="I475" s="89"/>
      <c r="J475" s="89"/>
      <c r="K475" s="89"/>
      <c r="L475" s="89"/>
      <c r="M475" s="89"/>
      <c r="N475" s="9"/>
      <c r="O475" s="9"/>
      <c r="P475" s="9"/>
      <c r="Q475" s="89"/>
      <c r="R475" s="89"/>
      <c r="S475" s="89"/>
    </row>
    <row r="476" spans="1:23" ht="12.75" customHeight="1">
      <c r="A476" s="2525"/>
      <c r="B476" s="87"/>
      <c r="C476" s="87"/>
      <c r="D476" s="87"/>
      <c r="E476" s="87"/>
      <c r="F476" s="87"/>
      <c r="G476" s="87"/>
      <c r="H476" s="87"/>
      <c r="I476" s="87"/>
      <c r="J476" s="87"/>
      <c r="K476" s="87"/>
      <c r="L476" s="87"/>
      <c r="M476" s="87"/>
      <c r="N476" s="8"/>
      <c r="O476" s="8"/>
      <c r="P476" s="8"/>
      <c r="Q476" s="87"/>
      <c r="R476" s="87"/>
      <c r="S476" s="87"/>
    </row>
    <row r="477" spans="1:23" ht="12.75" customHeight="1">
      <c r="A477" s="2525"/>
      <c r="B477" s="88"/>
      <c r="C477" s="88"/>
      <c r="D477" s="88"/>
      <c r="E477" s="92"/>
      <c r="F477" s="92"/>
      <c r="G477" s="92"/>
      <c r="H477" s="92"/>
      <c r="I477" s="92"/>
      <c r="J477" s="92"/>
      <c r="K477" s="88"/>
      <c r="L477" s="88"/>
      <c r="M477" s="88"/>
      <c r="N477" s="12"/>
      <c r="O477" s="12"/>
      <c r="P477" s="12"/>
      <c r="Q477" s="91"/>
      <c r="R477" s="91"/>
      <c r="S477" s="91"/>
    </row>
    <row r="478" spans="1:23" ht="12.75" customHeight="1">
      <c r="A478" s="2525"/>
      <c r="B478" s="88"/>
      <c r="C478" s="88"/>
      <c r="D478" s="88"/>
      <c r="E478" s="92"/>
      <c r="F478" s="92"/>
      <c r="G478" s="92"/>
      <c r="H478" s="92"/>
      <c r="I478" s="92"/>
      <c r="J478" s="92"/>
      <c r="K478" s="88"/>
      <c r="L478" s="88"/>
      <c r="M478" s="88"/>
      <c r="N478" s="12"/>
      <c r="O478" s="12"/>
      <c r="P478" s="12"/>
      <c r="Q478" s="91"/>
      <c r="R478" s="91"/>
      <c r="S478" s="91"/>
    </row>
    <row r="479" spans="1:23" ht="12.75" customHeight="1">
      <c r="A479" s="2525"/>
      <c r="B479" s="88"/>
      <c r="C479" s="88"/>
      <c r="D479" s="88"/>
      <c r="E479" s="92"/>
      <c r="F479" s="92"/>
      <c r="G479" s="92"/>
      <c r="H479" s="92"/>
      <c r="I479" s="92"/>
      <c r="J479" s="92"/>
      <c r="K479" s="88"/>
      <c r="L479" s="88"/>
      <c r="M479" s="88"/>
      <c r="N479" s="12"/>
      <c r="O479" s="12"/>
      <c r="P479" s="12"/>
      <c r="Q479" s="91"/>
      <c r="R479" s="91"/>
      <c r="S479" s="91"/>
    </row>
    <row r="480" spans="1:23" ht="12.75" customHeight="1">
      <c r="A480" s="2525"/>
      <c r="B480" s="88"/>
      <c r="C480" s="88"/>
      <c r="D480" s="88"/>
      <c r="E480" s="92"/>
      <c r="F480" s="92"/>
      <c r="G480" s="92"/>
      <c r="H480" s="92"/>
      <c r="I480" s="92"/>
      <c r="J480" s="92"/>
      <c r="K480" s="88"/>
      <c r="L480" s="88"/>
      <c r="M480" s="88"/>
      <c r="N480" s="12"/>
      <c r="O480" s="12"/>
      <c r="P480" s="12"/>
      <c r="Q480" s="91"/>
      <c r="R480" s="91"/>
      <c r="S480" s="91"/>
    </row>
    <row r="481" spans="1:22" ht="12.75" customHeight="1">
      <c r="A481" s="2525"/>
      <c r="B481" s="88"/>
      <c r="C481" s="88"/>
      <c r="D481" s="88"/>
      <c r="E481" s="92"/>
      <c r="F481" s="92"/>
      <c r="G481" s="92"/>
      <c r="H481" s="92"/>
      <c r="I481" s="92"/>
      <c r="J481" s="92"/>
      <c r="K481" s="88"/>
      <c r="L481" s="88"/>
      <c r="M481" s="88"/>
      <c r="N481" s="12"/>
      <c r="O481" s="12"/>
      <c r="P481" s="12"/>
      <c r="Q481" s="91"/>
      <c r="R481" s="91"/>
      <c r="S481" s="91"/>
    </row>
    <row r="482" spans="1:22" ht="12.75" customHeight="1">
      <c r="A482" s="2525"/>
      <c r="B482" s="88"/>
      <c r="C482" s="88"/>
      <c r="D482" s="88"/>
      <c r="E482" s="92"/>
      <c r="F482" s="92"/>
      <c r="G482" s="92"/>
      <c r="H482" s="92"/>
      <c r="I482" s="92"/>
      <c r="J482" s="92"/>
      <c r="K482" s="88"/>
      <c r="L482" s="88"/>
      <c r="M482" s="88"/>
      <c r="N482" s="12"/>
      <c r="O482" s="12"/>
      <c r="P482" s="12"/>
      <c r="Q482" s="91"/>
      <c r="R482" s="91"/>
      <c r="S482" s="91"/>
    </row>
    <row r="483" spans="1:22" ht="12.75" customHeight="1">
      <c r="A483" s="2525"/>
      <c r="B483" s="87"/>
      <c r="C483" s="87"/>
      <c r="D483" s="87"/>
      <c r="E483" s="87"/>
      <c r="F483" s="87"/>
      <c r="G483" s="87"/>
      <c r="H483" s="87"/>
      <c r="I483" s="87"/>
      <c r="J483" s="87"/>
      <c r="K483" s="87"/>
      <c r="L483" s="87"/>
      <c r="M483" s="87"/>
      <c r="N483" s="8"/>
      <c r="O483" s="8"/>
      <c r="P483" s="8"/>
      <c r="Q483" s="87"/>
      <c r="R483" s="87"/>
      <c r="S483" s="87"/>
    </row>
    <row r="484" spans="1:22" ht="12.75" customHeight="1">
      <c r="A484" s="2525"/>
      <c r="B484" s="87"/>
      <c r="C484" s="87"/>
      <c r="D484" s="87"/>
      <c r="E484" s="87"/>
      <c r="F484" s="87"/>
      <c r="G484" s="87"/>
      <c r="H484" s="87"/>
      <c r="I484" s="87"/>
      <c r="J484" s="87"/>
      <c r="K484" s="87"/>
      <c r="L484" s="87"/>
      <c r="M484" s="87"/>
      <c r="N484" s="8"/>
      <c r="O484" s="8"/>
      <c r="P484" s="8"/>
      <c r="Q484" s="87"/>
      <c r="R484" s="87"/>
      <c r="S484" s="87"/>
    </row>
    <row r="485" spans="1:22" ht="12.75" customHeight="1">
      <c r="A485" s="2525"/>
      <c r="B485" s="86"/>
      <c r="C485" s="86"/>
      <c r="D485" s="86"/>
      <c r="E485" s="87"/>
      <c r="F485" s="87"/>
      <c r="G485" s="87"/>
      <c r="H485" s="87"/>
      <c r="I485" s="87"/>
      <c r="J485" s="87"/>
      <c r="K485" s="87"/>
      <c r="L485" s="87"/>
      <c r="M485" s="87"/>
      <c r="N485" s="2"/>
      <c r="O485" s="2"/>
      <c r="P485" s="2"/>
      <c r="Q485" s="87"/>
      <c r="R485" s="87"/>
      <c r="S485" s="87"/>
    </row>
    <row r="486" spans="1:22" ht="12.75" customHeight="1">
      <c r="A486" s="2525"/>
      <c r="B486" s="86"/>
      <c r="C486" s="86"/>
      <c r="D486" s="86"/>
      <c r="E486" s="86"/>
      <c r="F486" s="86"/>
      <c r="G486" s="86"/>
      <c r="H486" s="87"/>
      <c r="I486" s="87"/>
      <c r="J486" s="87"/>
      <c r="K486" s="86"/>
      <c r="L486" s="86"/>
      <c r="M486" s="86"/>
      <c r="N486" s="2"/>
      <c r="O486" s="2"/>
      <c r="P486" s="2"/>
      <c r="Q486" s="87"/>
      <c r="R486" s="87"/>
      <c r="S486" s="87"/>
    </row>
    <row r="487" spans="1:22" ht="12.75" customHeight="1">
      <c r="A487" s="2525"/>
      <c r="B487" s="86"/>
      <c r="C487" s="86"/>
      <c r="D487" s="86"/>
      <c r="E487" s="86"/>
      <c r="F487" s="86"/>
      <c r="G487" s="86"/>
      <c r="H487" s="86"/>
      <c r="I487" s="86"/>
      <c r="J487" s="86"/>
      <c r="K487" s="86"/>
      <c r="L487" s="86"/>
      <c r="M487" s="86"/>
      <c r="N487" s="2"/>
      <c r="O487" s="2"/>
      <c r="P487" s="2"/>
      <c r="Q487" s="87"/>
      <c r="R487" s="87"/>
      <c r="S487" s="87"/>
    </row>
    <row r="488" spans="1:22" ht="12.75" customHeight="1">
      <c r="A488" s="2"/>
      <c r="B488" s="86"/>
      <c r="C488" s="86"/>
      <c r="D488" s="86"/>
      <c r="E488" s="86"/>
      <c r="F488" s="86"/>
      <c r="G488" s="86"/>
      <c r="H488" s="87"/>
      <c r="I488" s="87"/>
      <c r="J488" s="87"/>
      <c r="K488" s="2"/>
      <c r="L488" s="2"/>
      <c r="M488" s="2"/>
      <c r="N488" s="2"/>
      <c r="O488" s="2"/>
      <c r="P488" s="2"/>
      <c r="Q488" s="2"/>
      <c r="R488" s="2"/>
      <c r="S488" s="2"/>
    </row>
    <row r="489" spans="1:22" ht="12.75" customHeight="1">
      <c r="A489" s="1"/>
      <c r="B489" s="604" t="s">
        <v>200</v>
      </c>
      <c r="C489" s="172"/>
      <c r="D489" s="655"/>
      <c r="E489" s="655"/>
      <c r="F489" s="655"/>
      <c r="G489" s="655"/>
      <c r="H489" s="655"/>
      <c r="I489" s="655"/>
      <c r="J489" s="655"/>
      <c r="K489" s="655"/>
      <c r="L489" s="655"/>
      <c r="M489" s="655"/>
      <c r="N489" s="655"/>
      <c r="O489" s="655"/>
      <c r="P489" s="655"/>
      <c r="Q489" s="655"/>
      <c r="R489" s="655"/>
      <c r="S489" s="655"/>
      <c r="T489" s="656"/>
      <c r="U489" s="656"/>
      <c r="V489" s="605" t="s">
        <v>201</v>
      </c>
    </row>
    <row r="490" spans="1:22" ht="12.75" customHeight="1">
      <c r="A490" s="2"/>
      <c r="B490" s="2"/>
      <c r="C490" s="2"/>
      <c r="D490" s="2"/>
      <c r="E490" s="2"/>
      <c r="F490" s="2"/>
      <c r="G490" s="2"/>
      <c r="H490" s="2"/>
      <c r="I490" s="2"/>
      <c r="J490" s="2"/>
      <c r="K490" s="2"/>
      <c r="L490" s="2"/>
      <c r="M490" s="2"/>
      <c r="N490" s="2"/>
      <c r="O490" s="2"/>
      <c r="P490" s="2"/>
      <c r="Q490" s="2"/>
      <c r="R490" s="2"/>
      <c r="S490" s="2"/>
    </row>
    <row r="491" spans="1:22" ht="12.75" customHeight="1">
      <c r="A491" s="2"/>
      <c r="B491" s="2"/>
      <c r="C491" s="2"/>
      <c r="D491" s="2"/>
      <c r="E491" s="2"/>
      <c r="F491" s="2"/>
      <c r="G491" s="2"/>
      <c r="H491" s="2"/>
      <c r="I491" s="2"/>
      <c r="J491" s="2"/>
      <c r="K491" s="2"/>
      <c r="L491" s="2"/>
      <c r="M491" s="2"/>
      <c r="N491" s="2"/>
      <c r="O491" s="2"/>
      <c r="P491" s="2"/>
      <c r="Q491" s="2"/>
      <c r="R491" s="2"/>
      <c r="S491" s="2"/>
    </row>
    <row r="492" spans="1:22" ht="12.75" customHeight="1">
      <c r="A492" s="2"/>
      <c r="B492" s="2"/>
      <c r="C492" s="2"/>
      <c r="D492" s="2"/>
      <c r="E492" s="2"/>
      <c r="F492" s="2"/>
      <c r="G492" s="2"/>
      <c r="H492" s="2"/>
      <c r="I492" s="2"/>
      <c r="J492" s="2"/>
      <c r="K492" s="2"/>
      <c r="L492" s="2"/>
      <c r="M492" s="2"/>
      <c r="N492" s="2"/>
      <c r="O492" s="2"/>
      <c r="P492" s="2"/>
      <c r="Q492" s="2"/>
      <c r="R492" s="2"/>
      <c r="S492" s="2"/>
    </row>
    <row r="493" spans="1:22" ht="12.75" customHeight="1">
      <c r="A493" s="2"/>
      <c r="B493" s="2"/>
      <c r="C493" s="2"/>
      <c r="D493" s="2"/>
      <c r="E493" s="2"/>
      <c r="F493" s="2"/>
      <c r="G493" s="2"/>
      <c r="H493" s="2"/>
      <c r="I493" s="2"/>
      <c r="J493" s="2"/>
      <c r="K493" s="2"/>
      <c r="L493" s="2"/>
      <c r="M493" s="2"/>
      <c r="N493" s="2"/>
      <c r="O493" s="2"/>
      <c r="P493" s="2"/>
      <c r="Q493" s="2"/>
      <c r="R493" s="2"/>
      <c r="S493" s="2"/>
    </row>
  </sheetData>
  <mergeCells count="130">
    <mergeCell ref="H4:J4"/>
    <mergeCell ref="B86:D86"/>
    <mergeCell ref="H106:J106"/>
    <mergeCell ref="B166:D166"/>
    <mergeCell ref="T66:V66"/>
    <mergeCell ref="H46:J46"/>
    <mergeCell ref="H25:J25"/>
    <mergeCell ref="K46:M46"/>
    <mergeCell ref="B46:D46"/>
    <mergeCell ref="E46:G46"/>
    <mergeCell ref="Q66:S66"/>
    <mergeCell ref="B126:D126"/>
    <mergeCell ref="E126:G126"/>
    <mergeCell ref="H126:J126"/>
    <mergeCell ref="E106:G106"/>
    <mergeCell ref="B25:D25"/>
    <mergeCell ref="E25:G25"/>
    <mergeCell ref="E4:G4"/>
    <mergeCell ref="K166:M166"/>
    <mergeCell ref="H86:J86"/>
    <mergeCell ref="N86:P86"/>
    <mergeCell ref="K86:M86"/>
    <mergeCell ref="Q206:S206"/>
    <mergeCell ref="Q186:S186"/>
    <mergeCell ref="T186:V186"/>
    <mergeCell ref="N126:P126"/>
    <mergeCell ref="W186:Y186"/>
    <mergeCell ref="T206:V206"/>
    <mergeCell ref="K206:M206"/>
    <mergeCell ref="H206:J206"/>
    <mergeCell ref="K126:M126"/>
    <mergeCell ref="N206:P206"/>
    <mergeCell ref="K286:M286"/>
    <mergeCell ref="H186:J186"/>
    <mergeCell ref="K186:M186"/>
    <mergeCell ref="N186:P186"/>
    <mergeCell ref="H146:J146"/>
    <mergeCell ref="K146:M146"/>
    <mergeCell ref="H226:J226"/>
    <mergeCell ref="E166:G166"/>
    <mergeCell ref="H166:J166"/>
    <mergeCell ref="E266:G266"/>
    <mergeCell ref="E286:G286"/>
    <mergeCell ref="K266:M266"/>
    <mergeCell ref="H266:J266"/>
    <mergeCell ref="H246:J246"/>
    <mergeCell ref="A246:A265"/>
    <mergeCell ref="B246:D246"/>
    <mergeCell ref="E246:G246"/>
    <mergeCell ref="A266:A285"/>
    <mergeCell ref="B266:D266"/>
    <mergeCell ref="B286:D286"/>
    <mergeCell ref="A286:A305"/>
    <mergeCell ref="A346:A365"/>
    <mergeCell ref="A306:A325"/>
    <mergeCell ref="E346:G346"/>
    <mergeCell ref="E306:G306"/>
    <mergeCell ref="A326:A345"/>
    <mergeCell ref="B326:D326"/>
    <mergeCell ref="E326:G326"/>
    <mergeCell ref="B306:D306"/>
    <mergeCell ref="B346:D346"/>
    <mergeCell ref="A146:A165"/>
    <mergeCell ref="B146:D146"/>
    <mergeCell ref="E146:G146"/>
    <mergeCell ref="A226:A245"/>
    <mergeCell ref="B226:D226"/>
    <mergeCell ref="A4:A24"/>
    <mergeCell ref="B4:D4"/>
    <mergeCell ref="A126:A145"/>
    <mergeCell ref="B206:D206"/>
    <mergeCell ref="A166:A225"/>
    <mergeCell ref="A25:A45"/>
    <mergeCell ref="A46:A65"/>
    <mergeCell ref="A66:A85"/>
    <mergeCell ref="E226:G226"/>
    <mergeCell ref="A106:A125"/>
    <mergeCell ref="A86:A105"/>
    <mergeCell ref="B106:D106"/>
    <mergeCell ref="E206:G206"/>
    <mergeCell ref="E86:G86"/>
    <mergeCell ref="E186:G186"/>
    <mergeCell ref="B186:D186"/>
    <mergeCell ref="H468:J468"/>
    <mergeCell ref="K468:M468"/>
    <mergeCell ref="Q468:S468"/>
    <mergeCell ref="A407:A445"/>
    <mergeCell ref="H407:J407"/>
    <mergeCell ref="E427:G427"/>
    <mergeCell ref="H427:J427"/>
    <mergeCell ref="B407:D407"/>
    <mergeCell ref="A447:A487"/>
    <mergeCell ref="E407:G407"/>
    <mergeCell ref="N468:P468"/>
    <mergeCell ref="B468:D468"/>
    <mergeCell ref="E468:G468"/>
    <mergeCell ref="B447:D447"/>
    <mergeCell ref="B427:D427"/>
    <mergeCell ref="H447:J447"/>
    <mergeCell ref="Q427:S427"/>
    <mergeCell ref="E447:G447"/>
    <mergeCell ref="K427:M427"/>
    <mergeCell ref="K447:M447"/>
    <mergeCell ref="N427:P427"/>
    <mergeCell ref="N447:P447"/>
    <mergeCell ref="Q407:S407"/>
    <mergeCell ref="T407:V407"/>
    <mergeCell ref="Q367:S367"/>
    <mergeCell ref="K326:M326"/>
    <mergeCell ref="H286:J286"/>
    <mergeCell ref="B367:D367"/>
    <mergeCell ref="E367:G367"/>
    <mergeCell ref="H367:J367"/>
    <mergeCell ref="K367:M367"/>
    <mergeCell ref="N367:P367"/>
    <mergeCell ref="B387:D387"/>
    <mergeCell ref="N407:P407"/>
    <mergeCell ref="E387:G387"/>
    <mergeCell ref="K407:M407"/>
    <mergeCell ref="H387:J387"/>
    <mergeCell ref="K387:M387"/>
    <mergeCell ref="Q346:S346"/>
    <mergeCell ref="T346:V346"/>
    <mergeCell ref="H326:J326"/>
    <mergeCell ref="H346:J346"/>
    <mergeCell ref="N346:P346"/>
    <mergeCell ref="N306:P306"/>
    <mergeCell ref="K346:M346"/>
    <mergeCell ref="H306:J306"/>
    <mergeCell ref="K306:M306"/>
  </mergeCells>
  <phoneticPr fontId="11" type="noConversion"/>
  <pageMargins left="0" right="0" top="0" bottom="0" header="0" footer="0"/>
  <pageSetup paperSize="9" scale="14" orientation="landscape" r:id="rId1"/>
  <headerFooter alignWithMargins="0"/>
  <rowBreaks count="2" manualBreakCount="2">
    <brk id="165" max="18" man="1"/>
    <brk id="265" max="18" man="1"/>
  </rowBreak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enableFormatConditionsCalculation="0">
    <tabColor rgb="FF00B050"/>
    <pageSetUpPr fitToPage="1"/>
  </sheetPr>
  <dimension ref="A1:AL683"/>
  <sheetViews>
    <sheetView showGridLines="0" zoomScaleNormal="100" workbookViewId="0">
      <pane xSplit="10" ySplit="4" topLeftCell="K5" activePane="bottomRight" state="frozen"/>
      <selection activeCell="B141" activeCellId="1" sqref="A1 B141"/>
      <selection pane="topRight" activeCell="B141" activeCellId="1" sqref="A1 B141"/>
      <selection pane="bottomLeft" activeCell="B141" activeCellId="1" sqref="A1 B141"/>
      <selection pane="bottomRight"/>
    </sheetView>
  </sheetViews>
  <sheetFormatPr defaultRowHeight="12.75" outlineLevelRow="2" outlineLevelCol="1"/>
  <cols>
    <col min="1" max="1" width="27.42578125" style="31" customWidth="1"/>
    <col min="2" max="3" width="7.85546875" style="31" hidden="1" customWidth="1" outlineLevel="1"/>
    <col min="4" max="4" width="7.85546875" style="31" hidden="1" customWidth="1" outlineLevel="1" collapsed="1"/>
    <col min="5" max="5" width="7.85546875" style="31" hidden="1" customWidth="1" outlineLevel="1"/>
    <col min="6" max="6" width="7.85546875" style="31" hidden="1" customWidth="1" outlineLevel="1" collapsed="1"/>
    <col min="7" max="10" width="7.85546875" style="31" hidden="1" customWidth="1" outlineLevel="1"/>
    <col min="11" max="11" width="9.140625" style="31" customWidth="1" collapsed="1"/>
    <col min="12" max="13" width="9.140625" style="31" customWidth="1"/>
    <col min="14" max="14" width="9.140625" style="784" customWidth="1"/>
    <col min="15" max="29" width="9.140625" style="31" customWidth="1"/>
    <col min="30" max="16384" width="9.140625" style="31"/>
  </cols>
  <sheetData>
    <row r="1" spans="1:32" s="43" customFormat="1" ht="18">
      <c r="A1" s="112" t="str">
        <f>Index!B1</f>
        <v>São Martinho</v>
      </c>
      <c r="B1" s="126"/>
      <c r="C1" s="126"/>
      <c r="D1" s="126"/>
      <c r="E1" s="126"/>
      <c r="F1" s="126"/>
      <c r="G1" s="126"/>
      <c r="H1" s="126"/>
      <c r="I1" s="126"/>
      <c r="J1" s="126"/>
      <c r="K1" s="126"/>
      <c r="L1" s="126"/>
      <c r="M1" s="126"/>
      <c r="N1" s="126"/>
      <c r="O1" s="126"/>
      <c r="P1" s="126"/>
      <c r="Q1" s="169"/>
      <c r="R1" s="169"/>
      <c r="S1" s="169"/>
      <c r="T1" s="169"/>
      <c r="U1" s="169"/>
      <c r="V1" s="169"/>
      <c r="W1" s="169"/>
      <c r="X1" s="1292"/>
      <c r="Y1" s="1519"/>
      <c r="Z1" s="1519"/>
      <c r="AA1" s="1519"/>
      <c r="AB1" s="1292"/>
      <c r="AC1" s="1292"/>
      <c r="AD1" s="1292"/>
      <c r="AE1" s="1292"/>
      <c r="AF1" s="1292"/>
    </row>
    <row r="2" spans="1:32">
      <c r="A2" s="170" t="s">
        <v>1416</v>
      </c>
      <c r="B2" s="1841" t="s">
        <v>843</v>
      </c>
      <c r="C2" s="126"/>
      <c r="D2" s="126"/>
      <c r="E2" s="126"/>
      <c r="F2" s="126"/>
      <c r="G2" s="126"/>
      <c r="H2" s="126"/>
      <c r="I2" s="126"/>
      <c r="J2" s="126"/>
      <c r="K2" s="126"/>
      <c r="L2" s="126"/>
      <c r="M2" s="126"/>
      <c r="N2" s="126"/>
      <c r="O2" s="126"/>
      <c r="P2" s="126"/>
      <c r="Q2" s="126"/>
      <c r="R2" s="126"/>
      <c r="S2" s="126"/>
      <c r="T2" s="438"/>
      <c r="U2" s="438"/>
      <c r="V2" s="438"/>
      <c r="W2" s="438" t="s">
        <v>27</v>
      </c>
      <c r="X2" s="1181"/>
      <c r="Y2" s="2535" t="s">
        <v>340</v>
      </c>
      <c r="Z2" s="2535"/>
      <c r="AA2" s="2535"/>
      <c r="AB2" s="1181"/>
      <c r="AC2" s="1181"/>
      <c r="AD2" s="1181"/>
      <c r="AE2" s="1181"/>
      <c r="AF2" s="1181"/>
    </row>
    <row r="3" spans="1:32" s="41" customFormat="1">
      <c r="A3" s="2169"/>
      <c r="B3" s="2170"/>
      <c r="C3" s="2170"/>
      <c r="D3" s="2170"/>
      <c r="E3" s="2170"/>
      <c r="F3" s="2170"/>
      <c r="G3" s="2170"/>
      <c r="H3" s="2170"/>
      <c r="I3" s="2170"/>
      <c r="J3" s="2170"/>
      <c r="K3" s="2170"/>
      <c r="L3" s="2170"/>
      <c r="M3" s="2170"/>
      <c r="N3" s="2340"/>
      <c r="O3" s="2340"/>
      <c r="P3" s="2340"/>
      <c r="Q3" s="2340"/>
      <c r="R3" s="2340"/>
      <c r="S3" s="2340"/>
      <c r="T3" s="2171"/>
      <c r="U3" s="2171"/>
      <c r="V3" s="2171"/>
      <c r="W3" s="2171"/>
      <c r="X3" s="1181"/>
      <c r="Y3" s="2172" t="s">
        <v>1538</v>
      </c>
      <c r="Z3" s="2168"/>
      <c r="AA3" s="2168"/>
      <c r="AB3" s="1181"/>
      <c r="AC3" s="1181"/>
      <c r="AD3" s="1181"/>
      <c r="AE3" s="1181"/>
      <c r="AF3" s="1181"/>
    </row>
    <row r="4" spans="1:32">
      <c r="A4" s="1342" t="s">
        <v>202</v>
      </c>
      <c r="B4" s="1343">
        <v>2004</v>
      </c>
      <c r="C4" s="1343">
        <v>2005</v>
      </c>
      <c r="D4" s="1343">
        <v>2006</v>
      </c>
      <c r="E4" s="1343">
        <v>2007</v>
      </c>
      <c r="F4" s="1343">
        <v>2008</v>
      </c>
      <c r="G4" s="1343">
        <v>2009</v>
      </c>
      <c r="H4" s="1343">
        <v>2010</v>
      </c>
      <c r="I4" s="1343">
        <v>2011</v>
      </c>
      <c r="J4" s="1343">
        <v>2012</v>
      </c>
      <c r="K4" s="1343">
        <v>2013</v>
      </c>
      <c r="L4" s="1343">
        <v>2014</v>
      </c>
      <c r="M4" s="1343">
        <v>2015</v>
      </c>
      <c r="N4" s="1343">
        <v>2016</v>
      </c>
      <c r="O4" s="1343">
        <v>2017</v>
      </c>
      <c r="P4" s="1344">
        <v>2018</v>
      </c>
      <c r="Q4" s="1344">
        <v>2019</v>
      </c>
      <c r="R4" s="1344">
        <v>2020</v>
      </c>
      <c r="S4" s="1344">
        <v>2021</v>
      </c>
      <c r="T4" s="1344">
        <v>2022</v>
      </c>
      <c r="U4" s="1344">
        <v>2023</v>
      </c>
      <c r="V4" s="1344">
        <v>2024</v>
      </c>
      <c r="W4" s="1344">
        <v>2025</v>
      </c>
      <c r="X4" s="731"/>
      <c r="Y4" s="1519" t="s">
        <v>1687</v>
      </c>
      <c r="Z4" s="1519" t="s">
        <v>1717</v>
      </c>
      <c r="AA4" s="1519" t="s">
        <v>1688</v>
      </c>
      <c r="AB4" s="731"/>
      <c r="AC4" s="1181"/>
      <c r="AD4" s="1181"/>
      <c r="AE4" s="1181"/>
      <c r="AF4" s="1181"/>
    </row>
    <row r="5" spans="1:32" ht="12.75" customHeight="1">
      <c r="A5" s="990" t="s">
        <v>974</v>
      </c>
      <c r="B5" s="1175"/>
      <c r="C5" s="1175"/>
      <c r="D5" s="1340">
        <f>Q_IS!B6</f>
        <v>9000</v>
      </c>
      <c r="E5" s="1340">
        <f>Q_IS!C6</f>
        <v>9500</v>
      </c>
      <c r="F5" s="1340">
        <f>Q_IS!D6</f>
        <v>12000</v>
      </c>
      <c r="G5" s="1340">
        <f>Q_IS!E6</f>
        <v>12900</v>
      </c>
      <c r="H5" s="1340">
        <f>Q_IS!F6</f>
        <v>13100</v>
      </c>
      <c r="I5" s="1340">
        <f>Q_IS!G6</f>
        <v>14500</v>
      </c>
      <c r="J5" s="1340">
        <f>Q_IS!H6</f>
        <v>14800</v>
      </c>
      <c r="K5" s="1340">
        <f>Q_IS!I6</f>
        <v>16000</v>
      </c>
      <c r="L5" s="1340">
        <f>Q_IS!J6</f>
        <v>20000</v>
      </c>
      <c r="M5" s="1340">
        <f>Q_IS!K6</f>
        <v>20000</v>
      </c>
      <c r="N5" s="1340">
        <f>Q_IS!L6</f>
        <v>20024</v>
      </c>
      <c r="O5" s="1340">
        <f>Q_IS!M6</f>
        <v>24000</v>
      </c>
      <c r="P5" s="1341">
        <f>Q_IS!N6</f>
        <v>24000</v>
      </c>
      <c r="Q5" s="1341">
        <f>Q_IS!O6</f>
        <v>24000</v>
      </c>
      <c r="R5" s="1341">
        <f>Q_IS!P6</f>
        <v>24500</v>
      </c>
      <c r="S5" s="1341">
        <f>Q_IS!Q6</f>
        <v>25000</v>
      </c>
      <c r="T5" s="1341">
        <f>Q_IS!R6</f>
        <v>25500</v>
      </c>
      <c r="U5" s="1341">
        <f>Q_IS!S6</f>
        <v>26000</v>
      </c>
      <c r="V5" s="1341">
        <f>Q_IS!T6</f>
        <v>26500</v>
      </c>
      <c r="W5" s="1341">
        <f>Q_IS!U6</f>
        <v>27000</v>
      </c>
      <c r="X5" s="731"/>
      <c r="Y5" s="1215">
        <f>(O5/H5)^(1/7)-1</f>
        <v>9.0342271131966578E-2</v>
      </c>
      <c r="Z5" s="1215">
        <f>(R5/P5)^(1/2)-1</f>
        <v>1.036297108184514E-2</v>
      </c>
      <c r="AA5" s="1215">
        <f>(W5/S5)^(1/5)-1</f>
        <v>1.5511278397481565E-2</v>
      </c>
      <c r="AB5" s="731"/>
      <c r="AC5" s="1181"/>
      <c r="AD5" s="1181"/>
      <c r="AE5" s="1181"/>
      <c r="AF5" s="1181"/>
    </row>
    <row r="6" spans="1:32">
      <c r="A6" s="1120" t="s">
        <v>965</v>
      </c>
      <c r="B6" s="2240"/>
      <c r="C6" s="2240"/>
      <c r="D6" s="2240">
        <f t="shared" ref="D6:J6" si="0">SUM(D7:D8)</f>
        <v>9739</v>
      </c>
      <c r="E6" s="2240">
        <f t="shared" si="0"/>
        <v>9276</v>
      </c>
      <c r="F6" s="2240">
        <f t="shared" si="0"/>
        <v>10218</v>
      </c>
      <c r="G6" s="2240">
        <f t="shared" si="0"/>
        <v>12001</v>
      </c>
      <c r="H6" s="2240">
        <f t="shared" si="0"/>
        <v>12923</v>
      </c>
      <c r="I6" s="2240">
        <f t="shared" si="0"/>
        <v>13067</v>
      </c>
      <c r="J6" s="2240">
        <f t="shared" si="0"/>
        <v>10590</v>
      </c>
      <c r="K6" s="2240">
        <f t="shared" ref="K6" si="1">SUM(K7:K8)</f>
        <v>12885</v>
      </c>
      <c r="L6" s="2240">
        <f t="shared" ref="L6" si="2">SUM(L7:L8)</f>
        <v>15593</v>
      </c>
      <c r="M6" s="2240">
        <f t="shared" ref="M6:S6" si="3">SUM(M7:M8)</f>
        <v>18718</v>
      </c>
      <c r="N6" s="2240">
        <f t="shared" si="3"/>
        <v>20024</v>
      </c>
      <c r="O6" s="2240">
        <f t="shared" si="3"/>
        <v>19281</v>
      </c>
      <c r="P6" s="2241">
        <f t="shared" si="3"/>
        <v>22299.999999999996</v>
      </c>
      <c r="Q6" s="2241">
        <f t="shared" si="3"/>
        <v>23414.999999999996</v>
      </c>
      <c r="R6" s="2241">
        <f t="shared" si="3"/>
        <v>23883.3</v>
      </c>
      <c r="S6" s="2241">
        <f t="shared" si="3"/>
        <v>24599.798999999995</v>
      </c>
      <c r="T6" s="2241">
        <f t="shared" ref="T6:W6" si="4">SUM(T7:T8)</f>
        <v>25042.595381999992</v>
      </c>
      <c r="U6" s="2241">
        <f t="shared" si="4"/>
        <v>25493.362098875994</v>
      </c>
      <c r="V6" s="2241">
        <f t="shared" si="4"/>
        <v>25952.242616655767</v>
      </c>
      <c r="W6" s="2241">
        <f t="shared" si="4"/>
        <v>26419.382983755571</v>
      </c>
      <c r="X6" s="731"/>
      <c r="Y6" s="1215">
        <f t="shared" ref="Y6:Y8" si="5">(O6/H6)^(1/7)-1</f>
        <v>5.8823920970006549E-2</v>
      </c>
      <c r="Z6" s="1215">
        <f t="shared" ref="Z6:Z9" si="6">(R6/P6)^(1/2)-1</f>
        <v>3.4891298639620594E-2</v>
      </c>
      <c r="AA6" s="1215">
        <f t="shared" ref="AA6:AA9" si="7">(W6/S6)^(1/5)-1</f>
        <v>1.437426479744186E-2</v>
      </c>
      <c r="AB6" s="731"/>
      <c r="AC6" s="1181"/>
      <c r="AD6" s="1181"/>
      <c r="AE6" s="1181"/>
      <c r="AF6" s="1181"/>
    </row>
    <row r="7" spans="1:32" ht="12.75" hidden="1" customHeight="1" outlineLevel="1">
      <c r="A7" s="1141" t="s">
        <v>204</v>
      </c>
      <c r="B7" s="1127"/>
      <c r="C7" s="1127"/>
      <c r="D7" s="1127">
        <f>Q_IS!B10</f>
        <v>6745</v>
      </c>
      <c r="E7" s="1127">
        <f>Q_IS!C10</f>
        <v>6191</v>
      </c>
      <c r="F7" s="1127">
        <f>Q_IS!D10</f>
        <v>6673</v>
      </c>
      <c r="G7" s="1127">
        <f>Q_IS!E10</f>
        <v>7212</v>
      </c>
      <c r="H7" s="1127">
        <f>Q_IS!F10</f>
        <v>7584</v>
      </c>
      <c r="I7" s="1127">
        <f>Q_IS!G10</f>
        <v>8511</v>
      </c>
      <c r="J7" s="1127">
        <f>Q_IS!H10</f>
        <v>6886</v>
      </c>
      <c r="K7" s="1127">
        <f>Q_IS!I10</f>
        <v>8206</v>
      </c>
      <c r="L7" s="1127">
        <f>Q_IS!J10</f>
        <v>10315</v>
      </c>
      <c r="M7" s="1127">
        <f>Q_IS!K10</f>
        <v>12326</v>
      </c>
      <c r="N7" s="1127">
        <f>Q_IS!L10</f>
        <v>12985</v>
      </c>
      <c r="O7" s="1127">
        <f>Q_IS!M10</f>
        <v>13398</v>
      </c>
      <c r="P7" s="1173">
        <f>Q_IS!N10</f>
        <v>15495.84565115917</v>
      </c>
      <c r="Q7" s="1173">
        <f>Q_IS!O10</f>
        <v>16270.637933717129</v>
      </c>
      <c r="R7" s="1173">
        <f>Q_IS!P10</f>
        <v>16596.050692391473</v>
      </c>
      <c r="S7" s="1173">
        <f>Q_IS!Q10</f>
        <v>17093.932213163214</v>
      </c>
      <c r="T7" s="1173">
        <f>Q_IS!R10</f>
        <v>17401.62299300015</v>
      </c>
      <c r="U7" s="1173">
        <f>Q_IS!S10</f>
        <v>17714.852206874155</v>
      </c>
      <c r="V7" s="1173">
        <f>Q_IS!T10</f>
        <v>18033.719546597891</v>
      </c>
      <c r="W7" s="1173">
        <f>Q_IS!U10</f>
        <v>18358.326498436654</v>
      </c>
      <c r="X7" s="731"/>
      <c r="Y7" s="1215">
        <f t="shared" si="5"/>
        <v>8.4690783139507397E-2</v>
      </c>
      <c r="Z7" s="1215">
        <f t="shared" si="6"/>
        <v>3.4891298639620594E-2</v>
      </c>
      <c r="AA7" s="1215">
        <f t="shared" si="7"/>
        <v>1.437426479744186E-2</v>
      </c>
      <c r="AB7" s="731"/>
      <c r="AC7" s="1181"/>
      <c r="AD7" s="1181"/>
      <c r="AE7" s="1181"/>
      <c r="AF7" s="1181"/>
    </row>
    <row r="8" spans="1:32" ht="12.75" hidden="1" customHeight="1" outlineLevel="1">
      <c r="A8" s="1141" t="s">
        <v>205</v>
      </c>
      <c r="B8" s="1127"/>
      <c r="C8" s="1127"/>
      <c r="D8" s="1127">
        <f>Q_IS!B11</f>
        <v>2994</v>
      </c>
      <c r="E8" s="1127">
        <f>Q_IS!C11</f>
        <v>3085</v>
      </c>
      <c r="F8" s="1127">
        <f>Q_IS!D11</f>
        <v>3545</v>
      </c>
      <c r="G8" s="1127">
        <f>Q_IS!E11</f>
        <v>4789</v>
      </c>
      <c r="H8" s="1127">
        <f>Q_IS!F11</f>
        <v>5339</v>
      </c>
      <c r="I8" s="1127">
        <f>Q_IS!G11</f>
        <v>4556</v>
      </c>
      <c r="J8" s="1127">
        <f>Q_IS!H11</f>
        <v>3704</v>
      </c>
      <c r="K8" s="1127">
        <f>Q_IS!I11</f>
        <v>4679</v>
      </c>
      <c r="L8" s="1127">
        <f>Q_IS!J11</f>
        <v>5278</v>
      </c>
      <c r="M8" s="1127">
        <f>Q_IS!K11</f>
        <v>6392</v>
      </c>
      <c r="N8" s="1127">
        <f>Q_IS!L11</f>
        <v>7039</v>
      </c>
      <c r="O8" s="1127">
        <f>Q_IS!M11</f>
        <v>5883</v>
      </c>
      <c r="P8" s="1173">
        <f>Q_IS!N11</f>
        <v>6804.154348840827</v>
      </c>
      <c r="Q8" s="1173">
        <f>Q_IS!O11</f>
        <v>7144.362066282868</v>
      </c>
      <c r="R8" s="1173">
        <f>Q_IS!P11</f>
        <v>7287.2493076085257</v>
      </c>
      <c r="S8" s="1173">
        <f>Q_IS!Q11</f>
        <v>7505.8667868367811</v>
      </c>
      <c r="T8" s="1173">
        <f>Q_IS!R11</f>
        <v>7640.9723889998431</v>
      </c>
      <c r="U8" s="1173">
        <f>Q_IS!S11</f>
        <v>7778.5098920018409</v>
      </c>
      <c r="V8" s="1173">
        <f>Q_IS!T11</f>
        <v>7918.523070057875</v>
      </c>
      <c r="W8" s="1173">
        <f>Q_IS!U11</f>
        <v>8061.0564853189162</v>
      </c>
      <c r="X8" s="731"/>
      <c r="Y8" s="1215">
        <f t="shared" si="5"/>
        <v>1.3957721453403904E-2</v>
      </c>
      <c r="Z8" s="1215">
        <f t="shared" si="6"/>
        <v>3.4891298639620372E-2</v>
      </c>
      <c r="AA8" s="1215">
        <f t="shared" si="7"/>
        <v>1.437426479744186E-2</v>
      </c>
      <c r="AB8" s="731"/>
      <c r="AC8" s="1181"/>
      <c r="AD8" s="1181"/>
      <c r="AE8" s="1181"/>
      <c r="AF8" s="1181"/>
    </row>
    <row r="9" spans="1:32" ht="12.75" customHeight="1" collapsed="1">
      <c r="A9" s="731" t="s">
        <v>671</v>
      </c>
      <c r="B9" s="1126"/>
      <c r="C9" s="1126"/>
      <c r="D9" s="1126" t="e">
        <f>+Q_IS!B18</f>
        <v>#N/A</v>
      </c>
      <c r="E9" s="1126" t="e">
        <f>+Q_IS!C18</f>
        <v>#N/A</v>
      </c>
      <c r="F9" s="1126" t="e">
        <f>+Q_IS!D18</f>
        <v>#N/A</v>
      </c>
      <c r="G9" s="1126" t="e">
        <f>+Q_IS!E18</f>
        <v>#N/A</v>
      </c>
      <c r="H9" s="1126" t="e">
        <f>+Q_IS!F18</f>
        <v>#N/A</v>
      </c>
      <c r="I9" s="1126" t="e">
        <f>+Q_IS!G18</f>
        <v>#N/A</v>
      </c>
      <c r="J9" s="1126" t="e">
        <f>+Q_IS!H18</f>
        <v>#N/A</v>
      </c>
      <c r="K9" s="1126">
        <f>+Q_IS!I18</f>
        <v>139.13999999999999</v>
      </c>
      <c r="L9" s="1126">
        <f>+Q_IS!J18</f>
        <v>136.94999999999999</v>
      </c>
      <c r="M9" s="1126">
        <f>+Q_IS!K18</f>
        <v>141.6</v>
      </c>
      <c r="N9" s="1126">
        <f>+Q_IS!L18</f>
        <v>128.9</v>
      </c>
      <c r="O9" s="1126">
        <f>+Q_IS!M18</f>
        <v>130.30000000000001</v>
      </c>
      <c r="P9" s="1174">
        <f>+Q_IS!N18</f>
        <v>133.5</v>
      </c>
      <c r="Q9" s="1174">
        <f>+Q_IS!O18</f>
        <v>135.06499999999997</v>
      </c>
      <c r="R9" s="1174">
        <f>+Q_IS!P18</f>
        <v>135.74032499999996</v>
      </c>
      <c r="S9" s="1174">
        <f>+Q_IS!Q18</f>
        <v>136.41902662499993</v>
      </c>
      <c r="T9" s="1174">
        <f>+Q_IS!R18</f>
        <v>137.10112175812492</v>
      </c>
      <c r="U9" s="1174">
        <f>+Q_IS!S18</f>
        <v>137.78662736691552</v>
      </c>
      <c r="V9" s="1174">
        <f>+Q_IS!T18</f>
        <v>138.47556050375007</v>
      </c>
      <c r="W9" s="1174">
        <f>+Q_IS!U18</f>
        <v>139.16793830626881</v>
      </c>
      <c r="X9" s="731"/>
      <c r="Y9" s="1520" t="str">
        <f>IFERROR("NA",((O9/H9)^(1/7)-1))</f>
        <v>NA</v>
      </c>
      <c r="Z9" s="1215">
        <f t="shared" si="6"/>
        <v>8.3558204692215643E-3</v>
      </c>
      <c r="AA9" s="1215">
        <f t="shared" si="7"/>
        <v>3.9980039890350483E-3</v>
      </c>
      <c r="AB9" s="731"/>
      <c r="AC9" s="1181"/>
      <c r="AD9" s="1181"/>
      <c r="AE9" s="1181"/>
      <c r="AF9" s="1181"/>
    </row>
    <row r="10" spans="1:32">
      <c r="A10" s="1120" t="s">
        <v>1558</v>
      </c>
      <c r="B10" s="2239"/>
      <c r="C10" s="2239"/>
      <c r="D10" s="2240" t="str">
        <f>+Q_IS!B15</f>
        <v>NA</v>
      </c>
      <c r="E10" s="2240">
        <f>+Q_IS!C15</f>
        <v>1403</v>
      </c>
      <c r="F10" s="2240">
        <f>+Q_IS!D15</f>
        <v>1569</v>
      </c>
      <c r="G10" s="2240">
        <f>+Q_IS!E15</f>
        <v>1514</v>
      </c>
      <c r="H10" s="2240">
        <f>+Q_IS!F15</f>
        <v>1906</v>
      </c>
      <c r="I10" s="2240">
        <f>+Q_IS!G15</f>
        <v>1774</v>
      </c>
      <c r="J10" s="2240">
        <f>+Q_IS!H15</f>
        <v>1461</v>
      </c>
      <c r="K10" s="2240">
        <f>+Q_IS!I15</f>
        <v>1793</v>
      </c>
      <c r="L10" s="2240">
        <f>+Q_IS!J15</f>
        <v>2136</v>
      </c>
      <c r="M10" s="2240">
        <f>+Q_IS!K15</f>
        <v>2650</v>
      </c>
      <c r="N10" s="2240">
        <f>+Q_IS!L15</f>
        <v>2581</v>
      </c>
      <c r="O10" s="2240">
        <f>+Q_IS!M15</f>
        <v>2512</v>
      </c>
      <c r="P10" s="2241">
        <f>+Q_IS!N15</f>
        <v>2977.0499999999997</v>
      </c>
      <c r="Q10" s="2241">
        <f>+Q_IS!O15</f>
        <v>3162.5469749999988</v>
      </c>
      <c r="R10" s="2241">
        <f>+Q_IS!P15</f>
        <v>3241.9269040724985</v>
      </c>
      <c r="S10" s="2241">
        <f>+Q_IS!Q15</f>
        <v>3355.8806347506461</v>
      </c>
      <c r="T10" s="2241">
        <f>+Q_IS!R15</f>
        <v>3433.3679186070385</v>
      </c>
      <c r="U10" s="2241">
        <f>+Q_IS!S15</f>
        <v>3512.6443838476744</v>
      </c>
      <c r="V10" s="2241">
        <f>+Q_IS!T15</f>
        <v>3593.7513426707169</v>
      </c>
      <c r="W10" s="2241">
        <f>+Q_IS!U15</f>
        <v>3676.7310611729831</v>
      </c>
      <c r="X10" s="731"/>
      <c r="Y10" s="1520"/>
      <c r="Z10" s="1215"/>
      <c r="AA10" s="1215"/>
      <c r="AB10" s="731"/>
      <c r="AC10" s="1181"/>
      <c r="AD10" s="1181"/>
      <c r="AE10" s="1181"/>
      <c r="AF10" s="1181"/>
    </row>
    <row r="11" spans="1:32" s="1417" customFormat="1" ht="12.75" hidden="1" customHeight="1" outlineLevel="1" collapsed="1">
      <c r="A11" s="1416" t="s">
        <v>1198</v>
      </c>
      <c r="B11" s="1175"/>
      <c r="C11" s="1175"/>
      <c r="D11" s="1175" t="e">
        <f>Q_IS!B19</f>
        <v>#N/A</v>
      </c>
      <c r="E11" s="1175" t="e">
        <f>Q_IS!C19</f>
        <v>#N/A</v>
      </c>
      <c r="F11" s="1175" t="e">
        <f>Q_IS!D19</f>
        <v>#N/A</v>
      </c>
      <c r="G11" s="1175" t="e">
        <f>Q_IS!E19</f>
        <v>#N/A</v>
      </c>
      <c r="H11" s="1175" t="e">
        <f>Q_IS!F19</f>
        <v>#N/A</v>
      </c>
      <c r="I11" s="1175" t="e">
        <f>Q_IS!G19</f>
        <v>#N/A</v>
      </c>
      <c r="J11" s="1175" t="e">
        <f>Q_IS!H19</f>
        <v>#N/A</v>
      </c>
      <c r="K11" s="1175">
        <f>Q_IS!I19</f>
        <v>88.58</v>
      </c>
      <c r="L11" s="1175">
        <f>Q_IS!J19</f>
        <v>99.47</v>
      </c>
      <c r="M11" s="1175">
        <f>Q_IS!K19</f>
        <v>87.6</v>
      </c>
      <c r="N11" s="1175">
        <f>Q_IS!L19</f>
        <v>85.9</v>
      </c>
      <c r="O11" s="1175">
        <f>Q_IS!M19</f>
        <v>78.752876712328785</v>
      </c>
      <c r="P11" s="1176">
        <f>Q_IS!N19</f>
        <v>91.083924624497243</v>
      </c>
      <c r="Q11" s="1176">
        <f>Q_IS!O19</f>
        <v>95.638120855722107</v>
      </c>
      <c r="R11" s="1176">
        <f>Q_IS!P19</f>
        <v>95.638120855722107</v>
      </c>
      <c r="S11" s="1176">
        <f>Q_IS!Q19</f>
        <v>96.612894010597728</v>
      </c>
      <c r="T11" s="1176">
        <f>Q_IS!R19</f>
        <v>96.496229383867927</v>
      </c>
      <c r="U11" s="1176">
        <f>Q_IS!S19</f>
        <v>96.414028892170592</v>
      </c>
      <c r="V11" s="1176">
        <f>Q_IS!T19</f>
        <v>96.364945386552762</v>
      </c>
      <c r="W11" s="1176">
        <f>Q_IS!U19</f>
        <v>96.34773736059087</v>
      </c>
      <c r="X11" s="1416"/>
      <c r="Y11" s="1520" t="str">
        <f>IFERROR("NA",((O11/H11)^(1/7)-1))</f>
        <v>NA</v>
      </c>
      <c r="Z11" s="1215">
        <f t="shared" ref="Z11" si="8">(R11/O11)^(1/3)-1</f>
        <v>6.6894646285195369E-2</v>
      </c>
      <c r="AA11" s="1215">
        <f t="shared" ref="AA11" si="9">(W11/S11)^(1/5)-1</f>
        <v>-5.4950889273519543E-4</v>
      </c>
      <c r="AB11" s="1416"/>
      <c r="AC11" s="1521"/>
      <c r="AD11" s="1521"/>
      <c r="AE11" s="1521"/>
      <c r="AF11" s="1521"/>
    </row>
    <row r="12" spans="1:32" ht="12.75" customHeight="1" collapsed="1">
      <c r="A12" s="2242" t="s">
        <v>1566</v>
      </c>
      <c r="B12" s="1179"/>
      <c r="C12" s="1179"/>
      <c r="D12" s="1179">
        <f>Q_IS!B23</f>
        <v>0.4276852678359338</v>
      </c>
      <c r="E12" s="1179">
        <f>Q_IS!C23</f>
        <v>0.50519321281368457</v>
      </c>
      <c r="F12" s="1179">
        <f>Q_IS!D23</f>
        <v>0.40447370691386925</v>
      </c>
      <c r="G12" s="1179">
        <f>Q_IS!E23</f>
        <v>0.28880521854426672</v>
      </c>
      <c r="H12" s="1179">
        <f>Q_IS!F23</f>
        <v>0.44983986789117447</v>
      </c>
      <c r="I12" s="1179">
        <f>Q_IS!G23</f>
        <v>0.49178107921508046</v>
      </c>
      <c r="J12" s="1179">
        <f>Q_IS!H23</f>
        <v>0.56000000000000005</v>
      </c>
      <c r="K12" s="1179">
        <f>Q_IS!I23</f>
        <v>0.56999999999999995</v>
      </c>
      <c r="L12" s="1179">
        <f>Q_IS!J23</f>
        <v>0.48</v>
      </c>
      <c r="M12" s="1179">
        <f>Q_IS!K23</f>
        <v>0.49</v>
      </c>
      <c r="N12" s="1179">
        <f>Q_IS!L23</f>
        <v>0.5</v>
      </c>
      <c r="O12" s="1179">
        <f>Q_IS!M23</f>
        <v>0.63</v>
      </c>
      <c r="P12" s="1180">
        <f>Q_IS!N23</f>
        <v>0.49</v>
      </c>
      <c r="Q12" s="1180">
        <f>Q_IS!O23</f>
        <v>0.49</v>
      </c>
      <c r="R12" s="1180">
        <f>Q_IS!P23</f>
        <v>0.49</v>
      </c>
      <c r="S12" s="1180">
        <f>Q_IS!Q23</f>
        <v>0.49</v>
      </c>
      <c r="T12" s="1180">
        <f>Q_IS!R23</f>
        <v>0.49</v>
      </c>
      <c r="U12" s="1180">
        <f>Q_IS!S23</f>
        <v>0.49</v>
      </c>
      <c r="V12" s="1180">
        <f>Q_IS!T23</f>
        <v>0.49</v>
      </c>
      <c r="W12" s="1180">
        <f>Q_IS!U23</f>
        <v>0.49</v>
      </c>
      <c r="X12" s="731"/>
      <c r="Y12" s="1520"/>
      <c r="Z12" s="1215"/>
      <c r="AA12" s="1215"/>
      <c r="AB12" s="731"/>
      <c r="AC12" s="1181"/>
      <c r="AD12" s="1181"/>
      <c r="AE12" s="1181"/>
      <c r="AF12" s="1181"/>
    </row>
    <row r="13" spans="1:32" ht="12.75" customHeight="1">
      <c r="A13" s="985" t="s">
        <v>1567</v>
      </c>
      <c r="B13" s="1179"/>
      <c r="C13" s="1179"/>
      <c r="D13" s="2243">
        <f>Q_IS!B24</f>
        <v>0.57231473216406625</v>
      </c>
      <c r="E13" s="2243">
        <f>Q_IS!C24</f>
        <v>0.49480678718631554</v>
      </c>
      <c r="F13" s="2243">
        <f>Q_IS!D24</f>
        <v>0.5955262930861307</v>
      </c>
      <c r="G13" s="2243">
        <f>Q_IS!E24</f>
        <v>0.71119478145573334</v>
      </c>
      <c r="H13" s="2243">
        <f>Q_IS!F24</f>
        <v>0.55016013210882564</v>
      </c>
      <c r="I13" s="2243">
        <f>Q_IS!G24</f>
        <v>0.50821892078491948</v>
      </c>
      <c r="J13" s="2243">
        <f>Q_IS!H24</f>
        <v>0.44</v>
      </c>
      <c r="K13" s="2243">
        <f>Q_IS!I24</f>
        <v>0.43</v>
      </c>
      <c r="L13" s="2243">
        <f>Q_IS!J24</f>
        <v>0.52</v>
      </c>
      <c r="M13" s="2243">
        <f>Q_IS!K24</f>
        <v>0.51</v>
      </c>
      <c r="N13" s="2243">
        <f>Q_IS!L24</f>
        <v>0.5</v>
      </c>
      <c r="O13" s="2243">
        <f>Q_IS!M24</f>
        <v>0.37</v>
      </c>
      <c r="P13" s="2244">
        <f>Q_IS!N24</f>
        <v>0.51</v>
      </c>
      <c r="Q13" s="2244">
        <f>Q_IS!O24</f>
        <v>0.51</v>
      </c>
      <c r="R13" s="2244">
        <f>Q_IS!P24</f>
        <v>0.51</v>
      </c>
      <c r="S13" s="2244">
        <f>Q_IS!Q24</f>
        <v>0.51</v>
      </c>
      <c r="T13" s="2244">
        <f>Q_IS!R24</f>
        <v>0.51</v>
      </c>
      <c r="U13" s="2244">
        <f>Q_IS!S24</f>
        <v>0.51</v>
      </c>
      <c r="V13" s="2244">
        <f>Q_IS!T24</f>
        <v>0.51</v>
      </c>
      <c r="W13" s="2244">
        <f>Q_IS!U24</f>
        <v>0.51</v>
      </c>
      <c r="X13" s="731"/>
      <c r="Y13" s="1520"/>
      <c r="Z13" s="1215"/>
      <c r="AA13" s="1215"/>
      <c r="AB13" s="731"/>
      <c r="AC13" s="1181"/>
      <c r="AD13" s="1181"/>
      <c r="AE13" s="1181"/>
      <c r="AF13" s="1181"/>
    </row>
    <row r="14" spans="1:32" s="763" customFormat="1" ht="12.75" customHeight="1">
      <c r="A14" s="1171" t="s">
        <v>54</v>
      </c>
      <c r="B14" s="1542"/>
      <c r="C14" s="1542"/>
      <c r="D14" s="1542"/>
      <c r="E14" s="1542"/>
      <c r="F14" s="1542"/>
      <c r="G14" s="1542"/>
      <c r="H14" s="1542"/>
      <c r="I14" s="1542"/>
      <c r="J14" s="1542"/>
      <c r="K14" s="1542"/>
      <c r="L14" s="1542"/>
      <c r="M14" s="1542"/>
      <c r="N14" s="1542"/>
      <c r="O14" s="1542"/>
      <c r="P14" s="1543"/>
      <c r="Q14" s="1543"/>
      <c r="R14" s="1543"/>
      <c r="S14" s="1543"/>
      <c r="T14" s="1543"/>
      <c r="U14" s="1543"/>
      <c r="V14" s="1543"/>
      <c r="W14" s="1543"/>
      <c r="X14" s="1120"/>
      <c r="Y14" s="1520"/>
      <c r="Z14" s="1215"/>
      <c r="AA14" s="1215"/>
      <c r="AB14" s="1120"/>
      <c r="AC14" s="1522"/>
      <c r="AD14" s="1522"/>
      <c r="AE14" s="1522"/>
      <c r="AF14" s="1522"/>
    </row>
    <row r="15" spans="1:32" s="763" customFormat="1" ht="12.75" hidden="1" customHeight="1" outlineLevel="1">
      <c r="A15" s="1141" t="s">
        <v>1718</v>
      </c>
      <c r="B15" s="1544"/>
      <c r="C15" s="1544"/>
      <c r="D15" s="1544">
        <f>Inputs!D154</f>
        <v>2.1706000000000003</v>
      </c>
      <c r="E15" s="1544">
        <f>Inputs!E154</f>
        <v>2.0460000000000003</v>
      </c>
      <c r="F15" s="1544">
        <f>Inputs!F154</f>
        <v>1.7519</v>
      </c>
      <c r="G15" s="1544">
        <f>Inputs!G154</f>
        <v>2.3228</v>
      </c>
      <c r="H15" s="1544">
        <f>Inputs!H154</f>
        <v>1.7806</v>
      </c>
      <c r="I15" s="1544">
        <f>Inputs!I154</f>
        <v>1.6282999999999999</v>
      </c>
      <c r="J15" s="1544">
        <f>Inputs!J154</f>
        <v>1.8218000000000001</v>
      </c>
      <c r="K15" s="1544">
        <f>Inputs!K154</f>
        <v>2.0134999999999996</v>
      </c>
      <c r="L15" s="1544">
        <f>Inputs!L154</f>
        <v>2.2627000000000002</v>
      </c>
      <c r="M15" s="1544">
        <f>Inputs!M154</f>
        <v>3.2077</v>
      </c>
      <c r="N15" s="1544">
        <f>Inputs!N154</f>
        <v>3.5586000000000002</v>
      </c>
      <c r="O15" s="1544">
        <f>Inputs!O154</f>
        <v>3.4</v>
      </c>
      <c r="P15" s="1545">
        <f>Inputs!P154</f>
        <v>3.1</v>
      </c>
      <c r="Q15" s="1545">
        <f>Inputs!Q154</f>
        <v>3.3</v>
      </c>
      <c r="R15" s="1545">
        <f>Inputs!R154</f>
        <v>3.3</v>
      </c>
      <c r="S15" s="1545">
        <f>Inputs!S154</f>
        <v>3.3</v>
      </c>
      <c r="T15" s="1545">
        <f>Inputs!T154</f>
        <v>3.3</v>
      </c>
      <c r="U15" s="1545">
        <f>Inputs!U154</f>
        <v>3.3</v>
      </c>
      <c r="V15" s="1545">
        <f>Inputs!V154</f>
        <v>3.3</v>
      </c>
      <c r="W15" s="1545">
        <f>Inputs!W154</f>
        <v>3.3</v>
      </c>
      <c r="X15" s="1120"/>
      <c r="Y15" s="1520"/>
      <c r="Z15" s="1215"/>
      <c r="AA15" s="1215"/>
      <c r="AB15" s="1120"/>
      <c r="AC15" s="1522"/>
      <c r="AD15" s="1522"/>
      <c r="AE15" s="1522"/>
      <c r="AF15" s="1522"/>
    </row>
    <row r="16" spans="1:32" s="41" customFormat="1" collapsed="1">
      <c r="A16" s="1141" t="s">
        <v>210</v>
      </c>
      <c r="B16" s="1544"/>
      <c r="C16" s="1544"/>
      <c r="D16" s="1544">
        <f>Q_IS!B$64</f>
        <v>13.545</v>
      </c>
      <c r="E16" s="1544">
        <f>Q_IS!C$64</f>
        <v>10.401666666666666</v>
      </c>
      <c r="F16" s="1544">
        <f>Q_IS!D$64</f>
        <v>12.4</v>
      </c>
      <c r="G16" s="1544">
        <f>Q_IS!E$64</f>
        <v>18.787500000000001</v>
      </c>
      <c r="H16" s="1544">
        <f>Q_IS!F$64</f>
        <v>23.440833333333334</v>
      </c>
      <c r="I16" s="1544">
        <f>Q_IS!G$64</f>
        <v>25.258333333333336</v>
      </c>
      <c r="J16" s="1544">
        <f>Q_IS!H$64</f>
        <v>20.410833333333333</v>
      </c>
      <c r="K16" s="1544">
        <f>Q_IS!I$64</f>
        <v>17.066666666666666</v>
      </c>
      <c r="L16" s="1544">
        <f>Q_IS!J$64</f>
        <v>15.978333333333333</v>
      </c>
      <c r="M16" s="1544">
        <f>Q_IS!K$64</f>
        <v>13.149166666666668</v>
      </c>
      <c r="N16" s="1544">
        <f>Q_IS!L$64</f>
        <v>19.252499999999998</v>
      </c>
      <c r="O16" s="1544">
        <f>Q_IS!M$64</f>
        <v>17.805000000000003</v>
      </c>
      <c r="P16" s="1545">
        <f>Q_IS!N$64</f>
        <v>16.244658605325153</v>
      </c>
      <c r="Q16" s="1545">
        <f>Q_IS!O$64</f>
        <v>16.31531880717511</v>
      </c>
      <c r="R16" s="1545">
        <f>Q_IS!P$64</f>
        <v>16.498655235130911</v>
      </c>
      <c r="S16" s="1545">
        <f>Q_IS!Q$64</f>
        <v>19.747444770453257</v>
      </c>
      <c r="T16" s="1545">
        <f>Q_IS!R$64</f>
        <v>20.93514679550681</v>
      </c>
      <c r="U16" s="1545">
        <f>Q_IS!S$64</f>
        <v>17.432162450241776</v>
      </c>
      <c r="V16" s="1545">
        <f>Q_IS!T$64</f>
        <v>15.017906650666538</v>
      </c>
      <c r="W16" s="1545">
        <f>Q_IS!U$64</f>
        <v>17.055276269110166</v>
      </c>
      <c r="X16" s="731"/>
      <c r="Y16" s="1520">
        <f t="shared" ref="Y16:Y17" si="10">(O16/H16)^(1/7)-1</f>
        <v>-3.8524064867703323E-2</v>
      </c>
      <c r="Z16" s="1215">
        <f t="shared" ref="Z16:Z19" si="11">(R16/P16)^(1/2)-1</f>
        <v>7.7875278589984998E-3</v>
      </c>
      <c r="AA16" s="1215">
        <f t="shared" ref="AA16:AA19" si="12">(W16/S16)^(1/5)-1</f>
        <v>-2.8887442216976478E-2</v>
      </c>
      <c r="AB16" s="731"/>
      <c r="AC16" s="1181"/>
      <c r="AD16" s="1181"/>
      <c r="AE16" s="1181"/>
      <c r="AF16" s="1181"/>
    </row>
    <row r="17" spans="1:38" ht="12.75" customHeight="1">
      <c r="A17" s="1182" t="s">
        <v>1565</v>
      </c>
      <c r="B17" s="1546"/>
      <c r="C17" s="1546"/>
      <c r="D17" s="1155">
        <f>Q_IS!B$81</f>
        <v>549.87709759784548</v>
      </c>
      <c r="E17" s="1155">
        <f>Q_IS!C$81</f>
        <v>624.90574295252998</v>
      </c>
      <c r="F17" s="1155">
        <f>Q_IS!D$81</f>
        <v>452.08478127006822</v>
      </c>
      <c r="G17" s="1155">
        <f>Q_IS!E$81</f>
        <v>548.48455829542741</v>
      </c>
      <c r="H17" s="1155">
        <f>Q_IS!F$81</f>
        <v>711.1921338707707</v>
      </c>
      <c r="I17" s="1155">
        <f>Q_IS!G$81</f>
        <v>839.72135852666827</v>
      </c>
      <c r="J17" s="1155">
        <f>Q_IS!H$81</f>
        <v>928.64219961240303</v>
      </c>
      <c r="K17" s="1155">
        <f>Q_IS!I$81</f>
        <v>973.49518541282532</v>
      </c>
      <c r="L17" s="1155">
        <f>Q_IS!J$81</f>
        <v>892.12469733656167</v>
      </c>
      <c r="M17" s="1155">
        <f>Q_IS!K$81</f>
        <v>925.27992523999671</v>
      </c>
      <c r="N17" s="1155">
        <f>Q_IS!L$81</f>
        <v>1048.068276436303</v>
      </c>
      <c r="O17" s="1155">
        <f>Q_IS!M$81</f>
        <v>1251.9068280429321</v>
      </c>
      <c r="P17" s="1156">
        <f>Q_IS!N$81</f>
        <v>1407.8772144231391</v>
      </c>
      <c r="Q17" s="1156">
        <f>Q_IS!O$81</f>
        <v>1203.2894278945732</v>
      </c>
      <c r="R17" s="1156">
        <f>Q_IS!P$81</f>
        <v>1245.1088064177579</v>
      </c>
      <c r="S17" s="1156">
        <f>Q_IS!Q$81</f>
        <v>1490.2861498423542</v>
      </c>
      <c r="T17" s="1156">
        <f>Q_IS!R$81</f>
        <v>1586.8475041008783</v>
      </c>
      <c r="U17" s="1156">
        <f>Q_IS!S$81</f>
        <v>1327.0967708404357</v>
      </c>
      <c r="V17" s="1156">
        <f>Q_IS!T$81</f>
        <v>1148.2717115571372</v>
      </c>
      <c r="W17" s="1156">
        <f>Q_IS!U$81</f>
        <v>1309.6939589258038</v>
      </c>
      <c r="X17" s="731"/>
      <c r="Y17" s="1520">
        <f t="shared" si="10"/>
        <v>8.4135537198038124E-2</v>
      </c>
      <c r="Z17" s="1215">
        <f t="shared" si="11"/>
        <v>-5.9581287181831644E-2</v>
      </c>
      <c r="AA17" s="1215">
        <f t="shared" si="12"/>
        <v>-2.5504065106759066E-2</v>
      </c>
      <c r="AB17" s="731"/>
      <c r="AC17" s="1181"/>
      <c r="AD17" s="1181"/>
      <c r="AE17" s="1181"/>
      <c r="AF17" s="1181"/>
    </row>
    <row r="18" spans="1:38" hidden="1" outlineLevel="1">
      <c r="A18" s="1141" t="s">
        <v>1581</v>
      </c>
      <c r="B18" s="1195"/>
      <c r="C18" s="1194"/>
      <c r="D18" s="1185" t="str">
        <f>+Q_IS!B132</f>
        <v>NA</v>
      </c>
      <c r="E18" s="1185" t="str">
        <f>+Q_IS!C132</f>
        <v>NA</v>
      </c>
      <c r="F18" s="1185" t="str">
        <f>+Q_IS!D132</f>
        <v>NA</v>
      </c>
      <c r="G18" s="1185" t="str">
        <f>+Q_IS!E132</f>
        <v>NA</v>
      </c>
      <c r="H18" s="1194">
        <f>+Q_IS!F132</f>
        <v>-335.65811965811963</v>
      </c>
      <c r="I18" s="1194">
        <f>+Q_IS!G132</f>
        <v>-294.35051546391753</v>
      </c>
      <c r="J18" s="1194">
        <f>+Q_IS!H132</f>
        <v>-421.47545219638238</v>
      </c>
      <c r="K18" s="1194">
        <f>+Q_IS!I132</f>
        <v>-404.72858617131061</v>
      </c>
      <c r="L18" s="1194">
        <f>+Q_IS!J132</f>
        <v>-419.89350912778906</v>
      </c>
      <c r="M18" s="1194">
        <f>+Q_IS!K132</f>
        <v>-380.00568643379364</v>
      </c>
      <c r="N18" s="1194">
        <f>+Q_IS!L132</f>
        <v>-464.8130081300813</v>
      </c>
      <c r="O18" s="1194">
        <f>+Q_IS!M132</f>
        <v>-540.44734819369705</v>
      </c>
      <c r="P18" s="1195">
        <f>+Q_IS!N132</f>
        <v>-507.1305245299186</v>
      </c>
      <c r="Q18" s="1195">
        <f>+Q_IS!O132</f>
        <v>-512.53864833248508</v>
      </c>
      <c r="R18" s="1195">
        <f>+Q_IS!P132</f>
        <v>-533.19481983669561</v>
      </c>
      <c r="S18" s="1195">
        <f>+Q_IS!Q132</f>
        <v>-589.26822832689129</v>
      </c>
      <c r="T18" s="1195">
        <f>+Q_IS!R132</f>
        <v>-619.00142861769882</v>
      </c>
      <c r="U18" s="1195">
        <f>+Q_IS!S132</f>
        <v>-593.91317171006688</v>
      </c>
      <c r="V18" s="1195">
        <f>+Q_IS!T132</f>
        <v>-576.69103480975548</v>
      </c>
      <c r="W18" s="1195">
        <f>+Q_IS!U132</f>
        <v>-553.62339341736526</v>
      </c>
      <c r="X18" s="1250"/>
      <c r="Y18" s="1215"/>
      <c r="Z18" s="1215">
        <f t="shared" si="11"/>
        <v>2.5375850574891334E-2</v>
      </c>
      <c r="AA18" s="731"/>
      <c r="AB18" s="731"/>
      <c r="AC18" s="1195"/>
      <c r="AD18" s="1195"/>
      <c r="AE18" s="1181"/>
      <c r="AF18" s="1523"/>
      <c r="AG18" s="1408"/>
      <c r="AH18" s="165"/>
      <c r="AI18" s="165"/>
      <c r="AJ18" s="43"/>
      <c r="AK18" s="174"/>
      <c r="AL18" s="43"/>
    </row>
    <row r="19" spans="1:38" ht="12.75" customHeight="1" collapsed="1">
      <c r="A19" s="1182" t="s">
        <v>1568</v>
      </c>
      <c r="B19" s="1546"/>
      <c r="C19" s="1546"/>
      <c r="D19" s="1547">
        <f>Q_IS!B53</f>
        <v>629.76800000000003</v>
      </c>
      <c r="E19" s="1547">
        <f>Q_IS!C53</f>
        <v>676.34199999999998</v>
      </c>
      <c r="F19" s="1547">
        <f>Q_IS!D53</f>
        <v>605.74699999999996</v>
      </c>
      <c r="G19" s="1547">
        <f>Q_IS!E53</f>
        <v>417.7</v>
      </c>
      <c r="H19" s="1547">
        <f>Q_IS!F53</f>
        <v>818.7</v>
      </c>
      <c r="I19" s="1547">
        <f>Q_IS!G53</f>
        <v>836.2</v>
      </c>
      <c r="J19" s="1547">
        <f>Q_IS!H53</f>
        <v>825.6</v>
      </c>
      <c r="K19" s="1547">
        <f>Q_IS!I53</f>
        <v>976.19999999999993</v>
      </c>
      <c r="L19" s="1547">
        <f>Q_IS!J53</f>
        <v>991.2</v>
      </c>
      <c r="M19" s="1547">
        <f>Q_IS!K53</f>
        <v>1177.0999999999999</v>
      </c>
      <c r="N19" s="1547">
        <f>Q_IS!L53</f>
        <v>1201</v>
      </c>
      <c r="O19" s="1547">
        <f>Q_IS!M53</f>
        <v>1313.7</v>
      </c>
      <c r="P19" s="1548">
        <f>Q_IS!N53</f>
        <v>1395.035815774088</v>
      </c>
      <c r="Q19" s="1548">
        <f>Q_IS!O53</f>
        <v>1477.5586582487051</v>
      </c>
      <c r="R19" s="1548">
        <f>Q_IS!P53</f>
        <v>1514.9914199906761</v>
      </c>
      <c r="S19" s="1548">
        <f>Q_IS!Q53</f>
        <v>1568.2177770680119</v>
      </c>
      <c r="T19" s="1548">
        <f>Q_IS!R53</f>
        <v>1604.4296709965454</v>
      </c>
      <c r="U19" s="1548">
        <f>Q_IS!S53</f>
        <v>1641.4758404898287</v>
      </c>
      <c r="V19" s="1548">
        <f>Q_IS!T53</f>
        <v>1679.3775243636262</v>
      </c>
      <c r="W19" s="1548">
        <f>Q_IS!U53</f>
        <v>1718.1543510194051</v>
      </c>
      <c r="X19" s="990"/>
      <c r="Y19" s="1520">
        <f>(O19/H19)^(1/7)-1</f>
        <v>6.9889124209381315E-2</v>
      </c>
      <c r="Z19" s="1215">
        <f t="shared" si="11"/>
        <v>4.2107227096178201E-2</v>
      </c>
      <c r="AA19" s="1215">
        <f t="shared" si="12"/>
        <v>1.8429945664225844E-2</v>
      </c>
      <c r="AB19" s="731"/>
      <c r="AC19" s="1181"/>
      <c r="AD19" s="1181"/>
      <c r="AE19" s="1181"/>
      <c r="AF19" s="1181"/>
    </row>
    <row r="20" spans="1:38" ht="12.75" hidden="1" customHeight="1" outlineLevel="1">
      <c r="A20" s="1182" t="s">
        <v>192</v>
      </c>
      <c r="B20" s="1291"/>
      <c r="C20" s="1291"/>
      <c r="D20" s="1291">
        <f>Q_IS!B55/Q_IS!B53</f>
        <v>0.67055169522744873</v>
      </c>
      <c r="E20" s="1291">
        <f>Q_IS!C55/Q_IS!C53</f>
        <v>0.70873463425308492</v>
      </c>
      <c r="F20" s="1291">
        <f>Q_IS!D55/Q_IS!D53</f>
        <v>0.66949733139412992</v>
      </c>
      <c r="G20" s="1291">
        <f>Q_IS!E55/Q_IS!E53</f>
        <v>0.88747905195116117</v>
      </c>
      <c r="H20" s="1291">
        <f>Q_IS!F55/Q_IS!F53</f>
        <v>0.92402589471112739</v>
      </c>
      <c r="I20" s="1291">
        <f>Q_IS!G55/Q_IS!G53</f>
        <v>0.93231284381726853</v>
      </c>
      <c r="J20" s="1291">
        <f>Q_IS!H55/Q_IS!H53</f>
        <v>0.92599321705426352</v>
      </c>
      <c r="K20" s="1291">
        <f>Q_IS!I55/Q_IS!I53</f>
        <v>0.9314689612784266</v>
      </c>
      <c r="L20" s="1291">
        <f>Q_IS!J55/Q_IS!J53</f>
        <v>0.92877320419693299</v>
      </c>
      <c r="M20" s="1291">
        <f>Q_IS!K55/Q_IS!K53</f>
        <v>0.91750913261405154</v>
      </c>
      <c r="N20" s="1291">
        <f>Q_IS!L55/Q_IS!L53</f>
        <v>0.91923397169025811</v>
      </c>
      <c r="O20" s="1291">
        <f>Q_IS!M55/Q_IS!M53</f>
        <v>0.89518154829869834</v>
      </c>
      <c r="P20" s="1549">
        <f>Q_IS!N55/Q_IS!N53</f>
        <v>0.91064203284489875</v>
      </c>
      <c r="Q20" s="1549">
        <f>Q_IS!O55/Q_IS!O53</f>
        <v>0.91064203284489875</v>
      </c>
      <c r="R20" s="1549">
        <f>Q_IS!P55/Q_IS!P53</f>
        <v>0.91064203284489864</v>
      </c>
      <c r="S20" s="1549">
        <f>Q_IS!Q55/Q_IS!Q53</f>
        <v>0.91064203284489875</v>
      </c>
      <c r="T20" s="1549">
        <f>Q_IS!R55/Q_IS!R53</f>
        <v>0.91064203284489875</v>
      </c>
      <c r="U20" s="1549">
        <f>Q_IS!S55/Q_IS!S53</f>
        <v>0.91064203284489875</v>
      </c>
      <c r="V20" s="1549">
        <f>Q_IS!T55/Q_IS!T53</f>
        <v>0.91064203284489875</v>
      </c>
      <c r="W20" s="1549">
        <f>Q_IS!U55/Q_IS!U53</f>
        <v>0.91064203284489875</v>
      </c>
      <c r="X20" s="990"/>
      <c r="Y20" s="1520"/>
      <c r="Z20" s="1215"/>
      <c r="AA20" s="1215"/>
      <c r="AB20" s="731"/>
      <c r="AC20" s="1181"/>
      <c r="AD20" s="1181"/>
      <c r="AE20" s="1181"/>
      <c r="AF20" s="1181"/>
    </row>
    <row r="21" spans="1:38" s="763" customFormat="1" ht="12.75" customHeight="1" collapsed="1">
      <c r="A21" s="1171" t="s">
        <v>1367</v>
      </c>
      <c r="B21" s="1542"/>
      <c r="C21" s="1542"/>
      <c r="D21" s="1542"/>
      <c r="E21" s="1542"/>
      <c r="F21" s="1542"/>
      <c r="G21" s="1542"/>
      <c r="H21" s="1542"/>
      <c r="I21" s="1542"/>
      <c r="J21" s="1542"/>
      <c r="K21" s="1542"/>
      <c r="L21" s="1542"/>
      <c r="M21" s="1542"/>
      <c r="N21" s="1542"/>
      <c r="O21" s="1542"/>
      <c r="P21" s="1543"/>
      <c r="Q21" s="1543"/>
      <c r="R21" s="1543"/>
      <c r="S21" s="1543"/>
      <c r="T21" s="1543"/>
      <c r="U21" s="1543"/>
      <c r="V21" s="1543"/>
      <c r="W21" s="1543"/>
      <c r="X21" s="1171"/>
      <c r="Y21" s="1520"/>
      <c r="Z21" s="1215"/>
      <c r="AA21" s="1215"/>
      <c r="AB21" s="1120"/>
      <c r="AC21" s="1522"/>
      <c r="AD21" s="1522"/>
      <c r="AE21" s="1522"/>
      <c r="AF21" s="1522"/>
    </row>
    <row r="22" spans="1:38" ht="12.75" customHeight="1">
      <c r="A22" s="1182" t="s">
        <v>1569</v>
      </c>
      <c r="B22" s="1546"/>
      <c r="C22" s="1546"/>
      <c r="D22" s="1155">
        <f>Q_IS!B87</f>
        <v>850.76573527607229</v>
      </c>
      <c r="E22" s="1155">
        <f>Q_IS!C87</f>
        <v>916.0210009941004</v>
      </c>
      <c r="F22" s="1155">
        <f>Q_IS!D87</f>
        <v>749.30788867466026</v>
      </c>
      <c r="G22" s="1155">
        <f>Q_IS!E87</f>
        <v>769.57647434872933</v>
      </c>
      <c r="H22" s="1155">
        <f>Q_IS!F87</f>
        <v>857.95536593370525</v>
      </c>
      <c r="I22" s="1155">
        <f>Q_IS!G87</f>
        <v>994.76608745464966</v>
      </c>
      <c r="J22" s="1155">
        <f>Q_IS!H87</f>
        <v>1258.2710513203785</v>
      </c>
      <c r="K22" s="1155">
        <f>Q_IS!I87</f>
        <v>1211.548358473824</v>
      </c>
      <c r="L22" s="1155">
        <f>Q_IS!J87</f>
        <v>1317.1515815847165</v>
      </c>
      <c r="M22" s="1155">
        <f>Q_IS!K87</f>
        <v>1349.1070927950659</v>
      </c>
      <c r="N22" s="1155">
        <f>Q_IS!L87</f>
        <v>1637.3106918238993</v>
      </c>
      <c r="O22" s="1155">
        <f>Q_IS!M87</f>
        <v>1773.8788659793813</v>
      </c>
      <c r="P22" s="1156">
        <f>Q_IS!N87</f>
        <v>1691.3685141076389</v>
      </c>
      <c r="Q22" s="1156">
        <f>Q_IS!O87</f>
        <v>1841.1499524966634</v>
      </c>
      <c r="R22" s="1156">
        <f>Q_IS!P87</f>
        <v>1970.8083998555833</v>
      </c>
      <c r="S22" s="1156">
        <f>Q_IS!Q87</f>
        <v>2045.2427213153921</v>
      </c>
      <c r="T22" s="1156">
        <f>Q_IS!R87</f>
        <v>2094.3285466269617</v>
      </c>
      <c r="U22" s="1156">
        <f>Q_IS!S87</f>
        <v>2144.5924317460085</v>
      </c>
      <c r="V22" s="1156">
        <f>Q_IS!T87</f>
        <v>2196.0626501079128</v>
      </c>
      <c r="W22" s="1156">
        <f>Q_IS!U87</f>
        <v>2343.940671516048</v>
      </c>
      <c r="X22" s="990"/>
      <c r="Y22" s="1520">
        <f t="shared" ref="Y22:Y24" si="13">(O22/H22)^(1/7)-1</f>
        <v>0.10934239193841244</v>
      </c>
      <c r="Z22" s="1215">
        <f t="shared" ref="Z22:Z24" si="14">(R22/P22)^(1/2)-1</f>
        <v>7.9451369070033806E-2</v>
      </c>
      <c r="AA22" s="1215">
        <f t="shared" ref="AA22:AA24" si="15">(W22/S22)^(1/5)-1</f>
        <v>2.7638465176881954E-2</v>
      </c>
      <c r="AB22" s="731"/>
      <c r="AC22" s="1181"/>
      <c r="AD22" s="1181"/>
      <c r="AE22" s="1181"/>
      <c r="AF22" s="1181"/>
    </row>
    <row r="23" spans="1:38" hidden="1" outlineLevel="1">
      <c r="A23" s="1141" t="s">
        <v>1582</v>
      </c>
      <c r="B23" s="1195"/>
      <c r="C23" s="1194"/>
      <c r="D23" s="1185" t="str">
        <f>+Q_IS!B133</f>
        <v>NA</v>
      </c>
      <c r="E23" s="1185" t="str">
        <f>+Q_IS!C133</f>
        <v>NA</v>
      </c>
      <c r="F23" s="1185" t="str">
        <f>+Q_IS!D133</f>
        <v>NA</v>
      </c>
      <c r="G23" s="1185" t="str">
        <f>+Q_IS!E133</f>
        <v>NA</v>
      </c>
      <c r="H23" s="1194">
        <f>+Q_IS!F133</f>
        <v>-491.00674536256315</v>
      </c>
      <c r="I23" s="1194">
        <f>+Q_IS!G133</f>
        <v>-403.21238938053096</v>
      </c>
      <c r="J23" s="1194">
        <f>+Q_IS!H133</f>
        <v>-749.8733509234828</v>
      </c>
      <c r="K23" s="1194">
        <f>+Q_IS!I133</f>
        <v>-691.68292682926835</v>
      </c>
      <c r="L23" s="1194">
        <f>+Q_IS!J133</f>
        <v>-676.73593749999998</v>
      </c>
      <c r="M23" s="1194">
        <f>+Q_IS!K133</f>
        <v>-612.83059418457651</v>
      </c>
      <c r="N23" s="1194">
        <f>+Q_IS!L133</f>
        <v>-833.66577896138483</v>
      </c>
      <c r="O23" s="1194">
        <f>+Q_IS!M133</f>
        <v>-943.14992503748135</v>
      </c>
      <c r="P23" s="1195">
        <f>+Q_IS!N133</f>
        <v>-885.00779547388561</v>
      </c>
      <c r="Q23" s="1195">
        <f>+Q_IS!O133</f>
        <v>-894.44566500184544</v>
      </c>
      <c r="R23" s="1195">
        <f>+Q_IS!P133</f>
        <v>-930.49333305104676</v>
      </c>
      <c r="S23" s="1195">
        <f>+Q_IS!Q133</f>
        <v>-1028.3486212504993</v>
      </c>
      <c r="T23" s="1195">
        <f>+Q_IS!R133</f>
        <v>-1080.2368684944267</v>
      </c>
      <c r="U23" s="1195">
        <f>+Q_IS!S133</f>
        <v>-1036.4546430827597</v>
      </c>
      <c r="V23" s="1195">
        <f>+Q_IS!T133</f>
        <v>-1006.3998057691858</v>
      </c>
      <c r="W23" s="1195">
        <f>+Q_IS!U133</f>
        <v>-966.14381353841839</v>
      </c>
      <c r="X23" s="1250"/>
      <c r="Y23" s="1215"/>
      <c r="Z23" s="1215">
        <f t="shared" si="14"/>
        <v>2.5375850574891334E-2</v>
      </c>
      <c r="AA23" s="731"/>
      <c r="AB23" s="731"/>
      <c r="AC23" s="1195"/>
      <c r="AD23" s="1195"/>
      <c r="AE23" s="1181"/>
      <c r="AF23" s="1523"/>
      <c r="AG23" s="1408"/>
      <c r="AH23" s="165"/>
      <c r="AI23" s="165"/>
      <c r="AJ23" s="43"/>
      <c r="AK23" s="174"/>
      <c r="AL23" s="43"/>
    </row>
    <row r="24" spans="1:38" ht="12.75" customHeight="1" collapsed="1">
      <c r="A24" s="1182" t="s">
        <v>1570</v>
      </c>
      <c r="B24" s="1546"/>
      <c r="C24" s="1546"/>
      <c r="D24" s="1547">
        <f>Q_IS!B56</f>
        <v>505.26600000000002</v>
      </c>
      <c r="E24" s="1547">
        <f>Q_IS!C56</f>
        <v>400.36199999999997</v>
      </c>
      <c r="F24" s="1547">
        <f>Q_IS!D56</f>
        <v>537.84699999999998</v>
      </c>
      <c r="G24" s="1547">
        <f>Q_IS!E56</f>
        <v>625.69999999999993</v>
      </c>
      <c r="H24" s="1547">
        <f>Q_IS!F56</f>
        <v>609.4</v>
      </c>
      <c r="I24" s="1547">
        <f>Q_IS!G56</f>
        <v>523.70000000000005</v>
      </c>
      <c r="J24" s="1547">
        <f>Q_IS!H56</f>
        <v>401.40000000000003</v>
      </c>
      <c r="K24" s="1547">
        <f>Q_IS!I56</f>
        <v>450.8</v>
      </c>
      <c r="L24" s="1547">
        <f>Q_IS!J56</f>
        <v>638.6</v>
      </c>
      <c r="M24" s="1547">
        <f>Q_IS!K56</f>
        <v>713.39999999999986</v>
      </c>
      <c r="N24" s="1547">
        <f>Q_IS!L56</f>
        <v>795.00000000000011</v>
      </c>
      <c r="O24" s="1547">
        <f>Q_IS!M56</f>
        <v>698.4</v>
      </c>
      <c r="P24" s="1548">
        <f>Q_IS!N56</f>
        <v>879.55627833581912</v>
      </c>
      <c r="Q24" s="1548">
        <f>Q_IS!O56</f>
        <v>937.54041027191488</v>
      </c>
      <c r="R24" s="1548">
        <f>Q_IS!P56</f>
        <v>960.82114211459702</v>
      </c>
      <c r="S24" s="1548">
        <f>Q_IS!Q56</f>
        <v>994.61259887007463</v>
      </c>
      <c r="T24" s="1548">
        <f>Q_IS!R56</f>
        <v>1017.5769355600827</v>
      </c>
      <c r="U24" s="1548">
        <f>Q_IS!S56</f>
        <v>1041.0728680958862</v>
      </c>
      <c r="V24" s="1548">
        <f>Q_IS!T56</f>
        <v>1065.1112357398565</v>
      </c>
      <c r="W24" s="1548">
        <f>Q_IS!U56</f>
        <v>1089.7046544504815</v>
      </c>
      <c r="X24" s="990"/>
      <c r="Y24" s="1520">
        <f t="shared" si="13"/>
        <v>1.9664729661517999E-2</v>
      </c>
      <c r="Z24" s="1215">
        <f t="shared" si="14"/>
        <v>4.5176072903109432E-2</v>
      </c>
      <c r="AA24" s="1215">
        <f t="shared" si="15"/>
        <v>1.842949828305751E-2</v>
      </c>
      <c r="AB24" s="731"/>
      <c r="AC24" s="1181"/>
      <c r="AD24" s="1181"/>
      <c r="AE24" s="1181"/>
      <c r="AF24" s="1181"/>
    </row>
    <row r="25" spans="1:38" ht="12.75" hidden="1" customHeight="1" outlineLevel="1">
      <c r="A25" s="1182" t="s">
        <v>192</v>
      </c>
      <c r="B25" s="1291"/>
      <c r="C25" s="1291"/>
      <c r="D25" s="1291">
        <f>(Q_IS!B58+Q_IS!B60)/Q_IS!B56</f>
        <v>0.17739171050496172</v>
      </c>
      <c r="E25" s="1291">
        <f>(Q_IS!C58+Q_IS!C60)/Q_IS!C56</f>
        <v>0.30257367082790082</v>
      </c>
      <c r="F25" s="1291">
        <f>(Q_IS!D58+Q_IS!D60)/Q_IS!D56</f>
        <v>0.26400630662623387</v>
      </c>
      <c r="G25" s="1291">
        <f>(Q_IS!E58+Q_IS!E60)/Q_IS!E56</f>
        <v>8.9819402269458212E-2</v>
      </c>
      <c r="H25" s="1291">
        <f>(Q_IS!F58+Q_IS!F60)/Q_IS!F56</f>
        <v>0.14243518214637349</v>
      </c>
      <c r="I25" s="1291">
        <f>(Q_IS!G58+Q_IS!G60)/Q_IS!G56</f>
        <v>9.9866335688371194E-2</v>
      </c>
      <c r="J25" s="1291">
        <f>(Q_IS!H58+Q_IS!H60)/Q_IS!H56</f>
        <v>0.13602391629297458</v>
      </c>
      <c r="K25" s="1291">
        <f>(Q_IS!I58+Q_IS!I60)/Q_IS!I56</f>
        <v>0.20629991126885536</v>
      </c>
      <c r="L25" s="1291">
        <f>(Q_IS!J58+Q_IS!J60)/Q_IS!J56</f>
        <v>0.26980895709364233</v>
      </c>
      <c r="M25" s="1291">
        <f>(Q_IS!K58+Q_IS!K60)/Q_IS!K56</f>
        <v>0.12643678160919541</v>
      </c>
      <c r="N25" s="1291">
        <f>(Q_IS!L58+Q_IS!L60)/Q_IS!L56</f>
        <v>0.17408805031446539</v>
      </c>
      <c r="O25" s="1291">
        <f>(Q_IS!M58+Q_IS!M60)/Q_IS!M56</f>
        <v>9.8797250859106539E-2</v>
      </c>
      <c r="P25" s="1549">
        <f>(Q_IS!N58+Q_IS!N60)/Q_IS!N56</f>
        <v>0.13309733143461588</v>
      </c>
      <c r="Q25" s="1549">
        <f>(Q_IS!O58+Q_IS!O60)/Q_IS!O56</f>
        <v>0.13309733143461588</v>
      </c>
      <c r="R25" s="1549">
        <f>(Q_IS!P58+Q_IS!P60)/Q_IS!P56</f>
        <v>0.13309733143461588</v>
      </c>
      <c r="S25" s="1549">
        <f>(Q_IS!Q58+Q_IS!Q60)/Q_IS!Q56</f>
        <v>0.13309733143461591</v>
      </c>
      <c r="T25" s="1549">
        <f>(Q_IS!R58+Q_IS!R60)/Q_IS!R56</f>
        <v>0.13309733143461588</v>
      </c>
      <c r="U25" s="1549">
        <f>(Q_IS!S58+Q_IS!S60)/Q_IS!S56</f>
        <v>0.13309733143461586</v>
      </c>
      <c r="V25" s="1549">
        <f>(Q_IS!T58+Q_IS!T60)/Q_IS!T56</f>
        <v>0.13309733143461586</v>
      </c>
      <c r="W25" s="1549">
        <f>(Q_IS!U58+Q_IS!U60)/Q_IS!U56</f>
        <v>0.13309733143461588</v>
      </c>
      <c r="X25" s="990"/>
      <c r="Y25" s="1125"/>
      <c r="Z25" s="731"/>
      <c r="AA25" s="731"/>
      <c r="AB25" s="731"/>
      <c r="AC25" s="1181"/>
      <c r="AD25" s="1181"/>
      <c r="AE25" s="1181"/>
      <c r="AF25" s="1181"/>
    </row>
    <row r="26" spans="1:38" ht="12.75" customHeight="1" collapsed="1">
      <c r="A26" s="1141" t="s">
        <v>1571</v>
      </c>
      <c r="B26" s="1179"/>
      <c r="C26" s="1179"/>
      <c r="D26" s="1179">
        <f>SUM(Q_IS!B29:B30)</f>
        <v>0.74622562857709751</v>
      </c>
      <c r="E26" s="1179">
        <f>SUM(Q_IS!C29:C30)</f>
        <v>0.55625722996109961</v>
      </c>
      <c r="F26" s="1179">
        <f>SUM(Q_IS!D29:D30)</f>
        <v>0.61105429439039072</v>
      </c>
      <c r="G26" s="1179">
        <f>SUM(Q_IS!E29:E30)</f>
        <v>0.38774640744154415</v>
      </c>
      <c r="H26" s="1179">
        <f>SUM(Q_IS!F29:F30)</f>
        <v>0.37191642266622787</v>
      </c>
      <c r="I26" s="1179">
        <f>SUM(Q_IS!G29:G30)</f>
        <v>0.47138787997344889</v>
      </c>
      <c r="J26" s="1179">
        <f>'Annual historicals'!M28</f>
        <v>0.51</v>
      </c>
      <c r="K26" s="1179">
        <f>'Annual historicals'!N28</f>
        <v>0.62</v>
      </c>
      <c r="L26" s="1179">
        <f>'Annual historicals'!O28</f>
        <v>0.62</v>
      </c>
      <c r="M26" s="1179">
        <f>'Annual historicals'!P28</f>
        <v>0.56000000000000005</v>
      </c>
      <c r="N26" s="1179">
        <f>'Annual historicals'!Q28</f>
        <v>0.6</v>
      </c>
      <c r="O26" s="1179">
        <f>'Annual historicals'!R28</f>
        <v>0.54</v>
      </c>
      <c r="P26" s="1180">
        <f>SUM(Q_IS!N29:N30)</f>
        <v>0.5876873570332416</v>
      </c>
      <c r="Q26" s="1180">
        <f>SUM(Q_IS!O29:O30)</f>
        <v>0.5876873570332416</v>
      </c>
      <c r="R26" s="1180">
        <f>SUM(Q_IS!P29:P30)</f>
        <v>0.5876873570332416</v>
      </c>
      <c r="S26" s="1180">
        <f>SUM(Q_IS!Q29:Q30)</f>
        <v>0.5876873570332416</v>
      </c>
      <c r="T26" s="1180">
        <f>SUM(Q_IS!R29:R30)</f>
        <v>0.5876873570332416</v>
      </c>
      <c r="U26" s="1180">
        <f>SUM(Q_IS!S29:S30)</f>
        <v>0.5876873570332416</v>
      </c>
      <c r="V26" s="1180">
        <f>SUM(Q_IS!T29:T30)</f>
        <v>0.5876873570332416</v>
      </c>
      <c r="W26" s="1180">
        <f>SUM(Q_IS!U29:U30)</f>
        <v>0.5876873570332416</v>
      </c>
      <c r="X26" s="731"/>
      <c r="Y26" s="1520"/>
      <c r="Z26" s="1215"/>
      <c r="AA26" s="1215"/>
      <c r="AB26" s="731"/>
      <c r="AC26" s="1181"/>
      <c r="AD26" s="1181"/>
      <c r="AE26" s="1181"/>
      <c r="AF26" s="1181"/>
    </row>
    <row r="27" spans="1:38" ht="12.75" customHeight="1">
      <c r="A27" s="2510" t="s">
        <v>1572</v>
      </c>
      <c r="B27" s="1179"/>
      <c r="C27" s="1179"/>
      <c r="D27" s="2243">
        <f>SUM(Q_IS!B31:B32)</f>
        <v>0.25377437142290249</v>
      </c>
      <c r="E27" s="2243">
        <f>SUM(Q_IS!C31:C32)</f>
        <v>0.44374277003890045</v>
      </c>
      <c r="F27" s="2243">
        <f>SUM(Q_IS!D31:D32)</f>
        <v>0.38894570560960928</v>
      </c>
      <c r="G27" s="2243">
        <f>SUM(Q_IS!E31:E32)</f>
        <v>0.61225359255845591</v>
      </c>
      <c r="H27" s="2243">
        <f>SUM(Q_IS!F31:F32)</f>
        <v>0.62808357733377207</v>
      </c>
      <c r="I27" s="2243">
        <f>SUM(Q_IS!G31:G32)</f>
        <v>0.52861212002655111</v>
      </c>
      <c r="J27" s="2243">
        <f>'Annual historicals'!M29</f>
        <v>0.49</v>
      </c>
      <c r="K27" s="2243">
        <f>'Annual historicals'!N29</f>
        <v>0.38</v>
      </c>
      <c r="L27" s="2243">
        <f>'Annual historicals'!O29</f>
        <v>0.38</v>
      </c>
      <c r="M27" s="2243">
        <f>'Annual historicals'!P29</f>
        <v>0.44</v>
      </c>
      <c r="N27" s="2243">
        <f>'Annual historicals'!Q29</f>
        <v>0.4</v>
      </c>
      <c r="O27" s="2243">
        <f>'Annual historicals'!R29</f>
        <v>0.46</v>
      </c>
      <c r="P27" s="2244">
        <f>SUM(Q_IS!N31:N32)</f>
        <v>0.4123126429667584</v>
      </c>
      <c r="Q27" s="2244">
        <f>SUM(Q_IS!O31:O32)</f>
        <v>0.4123126429667584</v>
      </c>
      <c r="R27" s="2244">
        <f>SUM(Q_IS!P31:P32)</f>
        <v>0.4123126429667584</v>
      </c>
      <c r="S27" s="2244">
        <f>SUM(Q_IS!Q31:Q32)</f>
        <v>0.4123126429667584</v>
      </c>
      <c r="T27" s="2244">
        <f>SUM(Q_IS!R31:R32)</f>
        <v>0.4123126429667584</v>
      </c>
      <c r="U27" s="2244">
        <f>SUM(Q_IS!S31:S32)</f>
        <v>0.4123126429667584</v>
      </c>
      <c r="V27" s="2244">
        <f>SUM(Q_IS!T31:T32)</f>
        <v>0.4123126429667584</v>
      </c>
      <c r="W27" s="2244">
        <f>SUM(Q_IS!U31:U32)</f>
        <v>0.4123126429667584</v>
      </c>
      <c r="X27" s="731"/>
      <c r="Y27" s="1520"/>
      <c r="Z27" s="1215"/>
      <c r="AA27" s="1215"/>
      <c r="AB27" s="731"/>
      <c r="AC27" s="1181"/>
      <c r="AD27" s="1181"/>
      <c r="AE27" s="1181"/>
      <c r="AF27" s="1181"/>
    </row>
    <row r="28" spans="1:38" s="763" customFormat="1" ht="12.75" customHeight="1">
      <c r="A28" s="1171" t="s">
        <v>1564</v>
      </c>
      <c r="B28" s="1542"/>
      <c r="C28" s="1542"/>
      <c r="D28" s="1542"/>
      <c r="E28" s="1542"/>
      <c r="F28" s="1542"/>
      <c r="G28" s="1542"/>
      <c r="H28" s="1542"/>
      <c r="I28" s="1542"/>
      <c r="J28" s="1542"/>
      <c r="K28" s="1542"/>
      <c r="L28" s="1542"/>
      <c r="M28" s="1542"/>
      <c r="N28" s="1542"/>
      <c r="O28" s="1542"/>
      <c r="P28" s="1543"/>
      <c r="Q28" s="1543"/>
      <c r="R28" s="1543"/>
      <c r="S28" s="1543"/>
      <c r="T28" s="1543"/>
      <c r="U28" s="1543"/>
      <c r="V28" s="1543"/>
      <c r="W28" s="1543"/>
      <c r="X28" s="1171"/>
      <c r="Y28" s="1520"/>
      <c r="Z28" s="1215"/>
      <c r="AA28" s="1215"/>
      <c r="AB28" s="1120"/>
      <c r="AC28" s="1522"/>
      <c r="AD28" s="1522"/>
      <c r="AE28" s="1522"/>
      <c r="AF28" s="1522"/>
    </row>
    <row r="29" spans="1:38" ht="12.75" customHeight="1">
      <c r="A29" s="1182" t="s">
        <v>1573</v>
      </c>
      <c r="B29" s="1546"/>
      <c r="C29" s="1546"/>
      <c r="D29" s="1155" t="str">
        <f>Q_IS!B98</f>
        <v>NA</v>
      </c>
      <c r="E29" s="1155" t="str">
        <f>Q_IS!C98</f>
        <v>NA</v>
      </c>
      <c r="F29" s="1155" t="str">
        <f>Q_IS!D98</f>
        <v>NA</v>
      </c>
      <c r="G29" s="1155" t="str">
        <f>Q_IS!E98</f>
        <v>NA</v>
      </c>
      <c r="H29" s="1155" t="str">
        <f>Q_IS!F98</f>
        <v>NA</v>
      </c>
      <c r="I29" s="1155">
        <f>Q_IS!G98</f>
        <v>129.8590021691974</v>
      </c>
      <c r="J29" s="1155">
        <f>Q_IS!H98</f>
        <v>110.63753007217322</v>
      </c>
      <c r="K29" s="1155">
        <f>Q_IS!I98</f>
        <v>170.40675364543361</v>
      </c>
      <c r="L29" s="1155">
        <f>Q_IS!J98</f>
        <v>173.45230078563412</v>
      </c>
      <c r="M29" s="1155">
        <f>Q_IS!K98</f>
        <v>295.95305164319251</v>
      </c>
      <c r="N29" s="1155">
        <f>Q_IS!L98</f>
        <v>223.25914340712222</v>
      </c>
      <c r="O29" s="1155">
        <f>Q_IS!M98</f>
        <v>166.30836522689995</v>
      </c>
      <c r="P29" s="1156">
        <f>Q_IS!N98</f>
        <v>183.49999999999997</v>
      </c>
      <c r="Q29" s="1156">
        <f>Q_IS!O98</f>
        <v>181.66666666666666</v>
      </c>
      <c r="R29" s="1156">
        <f>Q_IS!P98</f>
        <v>187.24</v>
      </c>
      <c r="S29" s="1156">
        <f>Q_IS!Q98</f>
        <v>193.05856</v>
      </c>
      <c r="T29" s="1156">
        <f>Q_IS!R98</f>
        <v>199.13313664</v>
      </c>
      <c r="U29" s="1156">
        <f>Q_IS!S98</f>
        <v>205.47499465216001</v>
      </c>
      <c r="V29" s="1156">
        <f>Q_IS!T98</f>
        <v>212.09589441685506</v>
      </c>
      <c r="W29" s="1156">
        <f>Q_IS!U98</f>
        <v>219.00811377119669</v>
      </c>
      <c r="X29" s="990"/>
      <c r="Y29" s="1796">
        <f>(O29/I29)^(1/6)-1</f>
        <v>4.2094264246646862E-2</v>
      </c>
      <c r="Z29" s="1215">
        <f t="shared" ref="Z29:Z30" si="16">(R29/P29)^(1/2)-1</f>
        <v>1.0139332661413647E-2</v>
      </c>
      <c r="AA29" s="1215">
        <f t="shared" ref="AA29" si="17">(W29/S29)^(1/5)-1</f>
        <v>2.5543835542761073E-2</v>
      </c>
      <c r="AB29" s="731"/>
      <c r="AC29" s="1181"/>
      <c r="AD29" s="1181"/>
      <c r="AE29" s="1181"/>
      <c r="AF29" s="1181"/>
    </row>
    <row r="30" spans="1:38" ht="12.75" customHeight="1">
      <c r="A30" s="1182" t="s">
        <v>1574</v>
      </c>
      <c r="B30" s="1546"/>
      <c r="C30" s="1546"/>
      <c r="D30" s="1547" t="str">
        <f>Q_IS!B61</f>
        <v>NA</v>
      </c>
      <c r="E30" s="1547" t="str">
        <f>Q_IS!C61</f>
        <v>NA</v>
      </c>
      <c r="F30" s="1547" t="str">
        <f>Q_IS!D61</f>
        <v>NA</v>
      </c>
      <c r="G30" s="1547" t="str">
        <f>Q_IS!E61</f>
        <v>NA</v>
      </c>
      <c r="H30" s="1547" t="str">
        <f>Q_IS!F61</f>
        <v>NA</v>
      </c>
      <c r="I30" s="1547">
        <f>Q_IS!G61</f>
        <v>184.4</v>
      </c>
      <c r="J30" s="1547">
        <f>Q_IS!H61</f>
        <v>249.4</v>
      </c>
      <c r="K30" s="1547">
        <f>Q_IS!I61</f>
        <v>260.60000000000002</v>
      </c>
      <c r="L30" s="1547">
        <f>Q_IS!J61</f>
        <v>445.5</v>
      </c>
      <c r="M30" s="1547">
        <f>Q_IS!K61</f>
        <v>639</v>
      </c>
      <c r="N30" s="1547">
        <f>Q_IS!L61</f>
        <v>831.2</v>
      </c>
      <c r="O30" s="1547">
        <f>Q_IS!M61</f>
        <v>914.5</v>
      </c>
      <c r="P30" s="1548">
        <f>Q_IS!N61</f>
        <v>900.00000000000011</v>
      </c>
      <c r="Q30" s="1548">
        <f>Q_IS!O61</f>
        <v>900.00000000000011</v>
      </c>
      <c r="R30" s="1548">
        <f>Q_IS!P61</f>
        <v>918.75</v>
      </c>
      <c r="S30" s="1548">
        <f>Q_IS!Q61</f>
        <v>937.5</v>
      </c>
      <c r="T30" s="1548">
        <f>Q_IS!R61</f>
        <v>956.25</v>
      </c>
      <c r="U30" s="1548">
        <f>Q_IS!S61</f>
        <v>974.99999999999989</v>
      </c>
      <c r="V30" s="1548">
        <f>Q_IS!T61</f>
        <v>993.74999999999977</v>
      </c>
      <c r="W30" s="1548">
        <f>Q_IS!U61</f>
        <v>1012.4999999999998</v>
      </c>
      <c r="X30" s="990"/>
      <c r="Y30" s="1796">
        <f>(O30/I30)^(1/6)-1</f>
        <v>0.30588158851624647</v>
      </c>
      <c r="Z30" s="1215">
        <f t="shared" si="16"/>
        <v>1.036297108184514E-2</v>
      </c>
      <c r="AA30" s="1215">
        <f t="shared" ref="AA30" si="18">(W30/S30)^(1/5)-1</f>
        <v>1.5511278397481565E-2</v>
      </c>
      <c r="AB30" s="731"/>
      <c r="AC30" s="1181"/>
      <c r="AD30" s="1181"/>
      <c r="AE30" s="1181"/>
      <c r="AF30" s="1181"/>
    </row>
    <row r="31" spans="1:38" ht="12.75" customHeight="1">
      <c r="A31" s="1171"/>
      <c r="B31" s="1550"/>
      <c r="C31" s="1550"/>
      <c r="D31" s="1550"/>
      <c r="E31" s="1550"/>
      <c r="F31" s="1550"/>
      <c r="G31" s="1550"/>
      <c r="H31" s="1550"/>
      <c r="I31" s="1550"/>
      <c r="J31" s="1550"/>
      <c r="K31" s="1550"/>
      <c r="L31" s="1550"/>
      <c r="M31" s="1550"/>
      <c r="N31" s="1550"/>
      <c r="O31" s="1550"/>
      <c r="P31" s="1551"/>
      <c r="Q31" s="1551"/>
      <c r="R31" s="1551"/>
      <c r="S31" s="1551"/>
      <c r="T31" s="1551"/>
      <c r="U31" s="1551"/>
      <c r="V31" s="1551"/>
      <c r="W31" s="1551"/>
      <c r="X31" s="990"/>
      <c r="Y31" s="1215"/>
      <c r="Z31" s="1215"/>
      <c r="AA31" s="1215"/>
      <c r="AB31" s="731"/>
      <c r="AC31" s="1181"/>
      <c r="AD31" s="1181"/>
      <c r="AE31" s="1181"/>
      <c r="AF31" s="1181"/>
    </row>
    <row r="32" spans="1:38" ht="12.75" hidden="1" customHeight="1" outlineLevel="1">
      <c r="A32" s="990"/>
      <c r="B32" s="1291"/>
      <c r="C32" s="1291"/>
      <c r="D32" s="1291"/>
      <c r="E32" s="1291"/>
      <c r="F32" s="1291"/>
      <c r="G32" s="1291"/>
      <c r="H32" s="1291"/>
      <c r="I32" s="1291"/>
      <c r="J32" s="1291"/>
      <c r="K32" s="1291"/>
      <c r="L32" s="1291"/>
      <c r="M32" s="1291"/>
      <c r="N32" s="1291"/>
      <c r="O32" s="1187"/>
      <c r="P32" s="1549"/>
      <c r="Q32" s="1549"/>
      <c r="R32" s="1549"/>
      <c r="S32" s="1549"/>
      <c r="T32" s="1549"/>
      <c r="U32" s="1549"/>
      <c r="V32" s="1549"/>
      <c r="W32" s="1549"/>
      <c r="X32" s="990"/>
      <c r="Y32" s="731"/>
      <c r="Z32" s="731"/>
      <c r="AA32" s="731"/>
      <c r="AB32" s="731"/>
      <c r="AC32" s="1181"/>
      <c r="AD32" s="1181"/>
      <c r="AE32" s="1181"/>
      <c r="AF32" s="1181"/>
    </row>
    <row r="33" spans="1:38" hidden="1" outlineLevel="1">
      <c r="A33" s="1125"/>
      <c r="B33" s="1316"/>
      <c r="C33" s="1316"/>
      <c r="D33" s="1316"/>
      <c r="E33" s="1316"/>
      <c r="F33" s="1316"/>
      <c r="G33" s="1316"/>
      <c r="H33" s="1316"/>
      <c r="I33" s="1316"/>
      <c r="J33" s="1316"/>
      <c r="K33" s="1316" t="s">
        <v>212</v>
      </c>
      <c r="L33" s="1316" t="s">
        <v>1157</v>
      </c>
      <c r="M33" s="1316" t="s">
        <v>1157</v>
      </c>
      <c r="N33" s="1316" t="s">
        <v>1157</v>
      </c>
      <c r="O33" s="1316" t="s">
        <v>1157</v>
      </c>
      <c r="P33" s="1316" t="s">
        <v>1157</v>
      </c>
      <c r="Q33" s="1316" t="s">
        <v>1157</v>
      </c>
      <c r="R33" s="1316" t="s">
        <v>1157</v>
      </c>
      <c r="S33" s="1316" t="s">
        <v>1157</v>
      </c>
      <c r="T33" s="1316" t="s">
        <v>1157</v>
      </c>
      <c r="U33" s="1316" t="s">
        <v>1157</v>
      </c>
      <c r="V33" s="1316" t="s">
        <v>1157</v>
      </c>
      <c r="W33" s="1316" t="s">
        <v>1157</v>
      </c>
      <c r="X33" s="1181"/>
      <c r="Y33" s="1181"/>
      <c r="Z33" s="1181"/>
      <c r="AA33" s="1181"/>
      <c r="AB33" s="1181"/>
      <c r="AC33" s="1181"/>
      <c r="AD33" s="1181"/>
      <c r="AE33" s="1181"/>
      <c r="AF33" s="1181"/>
    </row>
    <row r="34" spans="1:38" ht="12.75" hidden="1" customHeight="1" outlineLevel="1">
      <c r="A34" s="731"/>
      <c r="B34" s="1316" t="s">
        <v>211</v>
      </c>
      <c r="C34" s="1316" t="s">
        <v>211</v>
      </c>
      <c r="D34" s="1316" t="s">
        <v>211</v>
      </c>
      <c r="E34" s="1316" t="s">
        <v>211</v>
      </c>
      <c r="F34" s="1316" t="s">
        <v>211</v>
      </c>
      <c r="G34" s="1316" t="s">
        <v>211</v>
      </c>
      <c r="H34" s="1316" t="s">
        <v>212</v>
      </c>
      <c r="I34" s="1316" t="s">
        <v>212</v>
      </c>
      <c r="J34" s="1316" t="s">
        <v>212</v>
      </c>
      <c r="K34" s="1316" t="s">
        <v>212</v>
      </c>
      <c r="L34" s="1316" t="s">
        <v>212</v>
      </c>
      <c r="M34" s="1316" t="s">
        <v>212</v>
      </c>
      <c r="N34" s="1316" t="s">
        <v>212</v>
      </c>
      <c r="O34" s="1316" t="s">
        <v>212</v>
      </c>
      <c r="P34" s="1316" t="s">
        <v>212</v>
      </c>
      <c r="Q34" s="1316" t="s">
        <v>212</v>
      </c>
      <c r="R34" s="1316" t="s">
        <v>212</v>
      </c>
      <c r="S34" s="1316" t="s">
        <v>212</v>
      </c>
      <c r="T34" s="1316" t="s">
        <v>212</v>
      </c>
      <c r="U34" s="1316" t="s">
        <v>212</v>
      </c>
      <c r="V34" s="1316" t="s">
        <v>212</v>
      </c>
      <c r="W34" s="1316" t="s">
        <v>212</v>
      </c>
      <c r="X34" s="731"/>
      <c r="Y34" s="731"/>
      <c r="Z34" s="731"/>
      <c r="AA34" s="731"/>
      <c r="AB34" s="731"/>
      <c r="AC34" s="1181"/>
      <c r="AD34" s="1181"/>
      <c r="AE34" s="1181"/>
      <c r="AF34" s="1181"/>
      <c r="AG34" s="43"/>
      <c r="AH34" s="43"/>
      <c r="AI34" s="43"/>
      <c r="AJ34" s="43"/>
      <c r="AK34" s="43"/>
      <c r="AL34" s="43"/>
    </row>
    <row r="35" spans="1:38" hidden="1" outlineLevel="1">
      <c r="A35" s="1342" t="s">
        <v>213</v>
      </c>
      <c r="B35" s="1343">
        <f t="shared" ref="B35:W35" si="19">B$4</f>
        <v>2004</v>
      </c>
      <c r="C35" s="1343">
        <f t="shared" si="19"/>
        <v>2005</v>
      </c>
      <c r="D35" s="1343">
        <f t="shared" si="19"/>
        <v>2006</v>
      </c>
      <c r="E35" s="1343">
        <f t="shared" si="19"/>
        <v>2007</v>
      </c>
      <c r="F35" s="1343">
        <f t="shared" si="19"/>
        <v>2008</v>
      </c>
      <c r="G35" s="1343">
        <f t="shared" si="19"/>
        <v>2009</v>
      </c>
      <c r="H35" s="1343">
        <f t="shared" si="19"/>
        <v>2010</v>
      </c>
      <c r="I35" s="1343">
        <f t="shared" si="19"/>
        <v>2011</v>
      </c>
      <c r="J35" s="1343">
        <f t="shared" si="19"/>
        <v>2012</v>
      </c>
      <c r="K35" s="1343">
        <f t="shared" si="19"/>
        <v>2013</v>
      </c>
      <c r="L35" s="1343">
        <f t="shared" si="19"/>
        <v>2014</v>
      </c>
      <c r="M35" s="1343">
        <f t="shared" si="19"/>
        <v>2015</v>
      </c>
      <c r="N35" s="1343">
        <f t="shared" si="19"/>
        <v>2016</v>
      </c>
      <c r="O35" s="1343">
        <f t="shared" si="19"/>
        <v>2017</v>
      </c>
      <c r="P35" s="1344">
        <f t="shared" si="19"/>
        <v>2018</v>
      </c>
      <c r="Q35" s="1344">
        <f t="shared" si="19"/>
        <v>2019</v>
      </c>
      <c r="R35" s="1344">
        <f t="shared" si="19"/>
        <v>2020</v>
      </c>
      <c r="S35" s="1344">
        <f t="shared" si="19"/>
        <v>2021</v>
      </c>
      <c r="T35" s="1344">
        <f t="shared" si="19"/>
        <v>2022</v>
      </c>
      <c r="U35" s="1344">
        <f t="shared" si="19"/>
        <v>2023</v>
      </c>
      <c r="V35" s="1344">
        <f t="shared" si="19"/>
        <v>2024</v>
      </c>
      <c r="W35" s="1344">
        <f t="shared" si="19"/>
        <v>2025</v>
      </c>
      <c r="X35" s="731"/>
      <c r="Y35" s="731"/>
      <c r="Z35" s="731"/>
      <c r="AA35" s="731"/>
      <c r="AB35" s="731"/>
      <c r="AC35" s="1411"/>
      <c r="AD35" s="1411"/>
      <c r="AE35" s="1181"/>
      <c r="AF35" s="1181"/>
      <c r="AG35" s="231"/>
      <c r="AH35" s="231"/>
      <c r="AI35" s="231"/>
      <c r="AJ35" s="43"/>
      <c r="AK35" s="43"/>
      <c r="AL35" s="43"/>
    </row>
    <row r="36" spans="1:38" collapsed="1">
      <c r="A36" s="1120" t="s">
        <v>295</v>
      </c>
      <c r="B36" s="1187">
        <f t="shared" ref="B36:C36" si="20">+SUM(B37:B40)</f>
        <v>518</v>
      </c>
      <c r="C36" s="1187">
        <f t="shared" si="20"/>
        <v>648.19999999999993</v>
      </c>
      <c r="D36" s="1187">
        <f>+SUM(D37:D40)</f>
        <v>808.02199999999993</v>
      </c>
      <c r="E36" s="1187">
        <f>SUM(Q_Financials!B10:E10)</f>
        <v>826.53699999999992</v>
      </c>
      <c r="F36" s="1187">
        <f>SUM(Q_Financials!F10:I10)</f>
        <v>712.42000000000007</v>
      </c>
      <c r="G36" s="1187">
        <f>SUM(Q_Financials!J10:M10)</f>
        <v>774.44299999999998</v>
      </c>
      <c r="H36" s="1187">
        <f>SUM(Q_Financials!N10:Q10)</f>
        <v>1183.2859999999998</v>
      </c>
      <c r="I36" s="1187">
        <f>SUM(Q_Financials!R10:U10)</f>
        <v>1295.0279999999998</v>
      </c>
      <c r="J36" s="1187">
        <f>SUM(Q_Financials!V10:Y10)</f>
        <v>1366.99</v>
      </c>
      <c r="K36" s="1187">
        <f>SUM(Q_Financials!Z10:AC10)</f>
        <v>1635.9549999999999</v>
      </c>
      <c r="L36" s="1187">
        <f>SUM(Q_Financials!AD10:AG10)</f>
        <v>1971.69</v>
      </c>
      <c r="M36" s="1187">
        <f t="shared" ref="M36:S36" si="21">SUM(M37:M40)</f>
        <v>2325.1619999999998</v>
      </c>
      <c r="N36" s="1187">
        <f t="shared" si="21"/>
        <v>2727.3789999999999</v>
      </c>
      <c r="O36" s="1187">
        <f t="shared" si="21"/>
        <v>3002.8820000000001</v>
      </c>
      <c r="P36" s="1188">
        <f t="shared" si="21"/>
        <v>3656.7611338954334</v>
      </c>
      <c r="Q36" s="1188">
        <f t="shared" si="21"/>
        <v>3782.0958344005958</v>
      </c>
      <c r="R36" s="1188">
        <f t="shared" si="21"/>
        <v>4084.7849487160179</v>
      </c>
      <c r="S36" s="1188">
        <f t="shared" si="21"/>
        <v>4701.0846333566287</v>
      </c>
      <c r="T36" s="1188">
        <f t="shared" ref="T36:W36" si="22">SUM(T37:T40)</f>
        <v>5031.1990094477269</v>
      </c>
      <c r="U36" s="1188">
        <f t="shared" si="22"/>
        <v>4788.1568893299891</v>
      </c>
      <c r="V36" s="1188">
        <f t="shared" si="22"/>
        <v>4665.5521600540633</v>
      </c>
      <c r="W36" s="1188">
        <f t="shared" si="22"/>
        <v>5221.0482727477665</v>
      </c>
      <c r="X36" s="1524"/>
      <c r="Y36" s="1215">
        <f>(O36/H36)^(1/7)-1</f>
        <v>0.14229522909060632</v>
      </c>
      <c r="Z36" s="1215">
        <f t="shared" ref="Z36" si="23">(R36/P36)^(1/2)-1</f>
        <v>5.6905851645932648E-2</v>
      </c>
      <c r="AA36" s="1215">
        <f>(W36/S36)^(1/5)-1</f>
        <v>2.1202637394289514E-2</v>
      </c>
      <c r="AB36" s="731"/>
      <c r="AC36" s="1188"/>
      <c r="AD36" s="1188"/>
      <c r="AE36" s="1525"/>
      <c r="AF36" s="1523"/>
      <c r="AG36" s="1408"/>
      <c r="AH36" s="19"/>
      <c r="AI36" s="19"/>
      <c r="AJ36" s="43"/>
      <c r="AK36" s="174"/>
      <c r="AL36" s="43"/>
    </row>
    <row r="37" spans="1:38" ht="12.75" hidden="1" customHeight="1" outlineLevel="1">
      <c r="A37" s="1182" t="s">
        <v>54</v>
      </c>
      <c r="B37" s="1183">
        <f>'Annual historicals'!E49</f>
        <v>293.2</v>
      </c>
      <c r="C37" s="1183">
        <f>'Annual historicals'!F49</f>
        <v>312.7</v>
      </c>
      <c r="D37" s="1183">
        <f>'Annual historicals'!G49</f>
        <v>346.29500000000002</v>
      </c>
      <c r="E37" s="1183">
        <f>'Annual historicals'!H49</f>
        <v>422.65</v>
      </c>
      <c r="F37" s="1183">
        <f>'Annual historicals'!I49</f>
        <v>273.84899999999999</v>
      </c>
      <c r="G37" s="1183">
        <f>Q_IS!E105</f>
        <v>229.102</v>
      </c>
      <c r="H37" s="1183">
        <f>Q_IS!F105</f>
        <v>582.25300000000004</v>
      </c>
      <c r="I37" s="1183">
        <f>Q_IS!G105</f>
        <v>702.17499999999995</v>
      </c>
      <c r="J37" s="1183">
        <f>Q_IS!H105</f>
        <v>766.68700000000001</v>
      </c>
      <c r="K37" s="1183">
        <f>Q_IS!I105</f>
        <v>950.32600000000002</v>
      </c>
      <c r="L37" s="1183">
        <f>Q_IS!J105</f>
        <v>884.274</v>
      </c>
      <c r="M37" s="1183">
        <f>Q_IS!K105</f>
        <v>1089.1469999999999</v>
      </c>
      <c r="N37" s="1183">
        <f>Q_IS!L105</f>
        <v>1258.73</v>
      </c>
      <c r="O37" s="1183">
        <f>Q_IS!M105</f>
        <v>1644.63</v>
      </c>
      <c r="P37" s="1184">
        <f>Q_IS!N105</f>
        <v>1964.0391383325343</v>
      </c>
      <c r="Q37" s="1184">
        <f>Q_IS!O105</f>
        <v>1777.9307125647576</v>
      </c>
      <c r="R37" s="1184">
        <f>Q_IS!P105</f>
        <v>1886.329158677735</v>
      </c>
      <c r="S37" s="1184">
        <f>Q_IS!Q105</f>
        <v>2337.0932331010231</v>
      </c>
      <c r="T37" s="1184">
        <f>Q_IS!R105</f>
        <v>2545.985218926261</v>
      </c>
      <c r="U37" s="1184">
        <f>Q_IS!S105</f>
        <v>2178.3972873266416</v>
      </c>
      <c r="V37" s="1184">
        <f>Q_IS!T105</f>
        <v>1928.3817042516089</v>
      </c>
      <c r="W37" s="1184">
        <f>Q_IS!U105</f>
        <v>2250.2563740321998</v>
      </c>
      <c r="X37" s="1250"/>
      <c r="Y37" s="460"/>
      <c r="Z37" s="731"/>
      <c r="AA37" s="731"/>
      <c r="AB37" s="731"/>
      <c r="AC37" s="1184"/>
      <c r="AD37" s="1184"/>
      <c r="AE37" s="1181"/>
      <c r="AF37" s="1523"/>
      <c r="AG37" s="1408"/>
      <c r="AH37" s="43"/>
      <c r="AI37" s="43"/>
      <c r="AJ37" s="43"/>
      <c r="AK37" s="43"/>
      <c r="AL37" s="43"/>
    </row>
    <row r="38" spans="1:38" ht="12.75" hidden="1" customHeight="1" outlineLevel="1">
      <c r="A38" s="1141" t="s">
        <v>42</v>
      </c>
      <c r="B38" s="1185">
        <f>'Annual historicals'!E52</f>
        <v>195</v>
      </c>
      <c r="C38" s="1185">
        <f>'Annual historicals'!F52</f>
        <v>304.2</v>
      </c>
      <c r="D38" s="1185">
        <f>'Annual historicals'!G52</f>
        <v>429.86299999999994</v>
      </c>
      <c r="E38" s="1185">
        <f>'Annual historicals'!H52</f>
        <v>366.74</v>
      </c>
      <c r="F38" s="1185">
        <f>'Annual historicals'!I52</f>
        <v>403.01299999999998</v>
      </c>
      <c r="G38" s="1183">
        <f>Q_IS!E108</f>
        <v>481.524</v>
      </c>
      <c r="H38" s="1183">
        <f>Q_IS!F108</f>
        <v>522.83799999999997</v>
      </c>
      <c r="I38" s="1183">
        <f>Q_IS!G108</f>
        <v>520.95900000000006</v>
      </c>
      <c r="J38" s="1183">
        <f>Q_IS!H108</f>
        <v>505.07</v>
      </c>
      <c r="K38" s="1183">
        <f>Q_IS!I108</f>
        <v>546.16599999999994</v>
      </c>
      <c r="L38" s="1183">
        <f>Q_IS!J108</f>
        <v>841.13300000000004</v>
      </c>
      <c r="M38" s="1183">
        <f>Q_IS!K108</f>
        <v>962.45299999999997</v>
      </c>
      <c r="N38" s="1183">
        <f>Q_IS!L108</f>
        <v>1301.662</v>
      </c>
      <c r="O38" s="1183">
        <f>Q_IS!M108</f>
        <v>1238.877</v>
      </c>
      <c r="P38" s="1184">
        <f>Q_IS!N108</f>
        <v>1487.6537955628992</v>
      </c>
      <c r="Q38" s="1184">
        <f>Q_IS!O108</f>
        <v>1726.1524818358384</v>
      </c>
      <c r="R38" s="1184">
        <f>Q_IS!P108</f>
        <v>1893.594377638283</v>
      </c>
      <c r="S38" s="1184">
        <f>Q_IS!Q108</f>
        <v>2034.2241783676059</v>
      </c>
      <c r="T38" s="1184">
        <f>Q_IS!R108</f>
        <v>2131.1404245326653</v>
      </c>
      <c r="U38" s="1184">
        <f>Q_IS!S108</f>
        <v>2232.676993814548</v>
      </c>
      <c r="V38" s="1184">
        <f>Q_IS!T108</f>
        <v>2339.0510030185833</v>
      </c>
      <c r="W38" s="1184">
        <f>Q_IS!U108</f>
        <v>2554.2030595068245</v>
      </c>
      <c r="X38" s="1250"/>
      <c r="Y38" s="460"/>
      <c r="Z38" s="731"/>
      <c r="AA38" s="731"/>
      <c r="AB38" s="731"/>
      <c r="AC38" s="1184"/>
      <c r="AD38" s="1184"/>
      <c r="AE38" s="1181"/>
      <c r="AF38" s="1523"/>
      <c r="AG38" s="1408"/>
      <c r="AH38" s="43"/>
      <c r="AI38" s="43"/>
      <c r="AJ38" s="43"/>
      <c r="AK38" s="43"/>
      <c r="AL38" s="43"/>
    </row>
    <row r="39" spans="1:38" ht="12.75" hidden="1" customHeight="1" outlineLevel="1">
      <c r="A39" s="1141" t="s">
        <v>214</v>
      </c>
      <c r="B39" s="1185">
        <f>'Annual historicals'!E57</f>
        <v>0</v>
      </c>
      <c r="C39" s="1185">
        <f>'Annual historicals'!F57</f>
        <v>0</v>
      </c>
      <c r="D39" s="1185">
        <f>'Annual historicals'!G57</f>
        <v>0</v>
      </c>
      <c r="E39" s="1185">
        <f>'Annual historicals'!H57</f>
        <v>0</v>
      </c>
      <c r="F39" s="1185">
        <f>'Annual historicals'!I57</f>
        <v>0</v>
      </c>
      <c r="G39" s="1183">
        <f>Q_IS!E113</f>
        <v>16.445</v>
      </c>
      <c r="H39" s="1183">
        <f>Q_IS!F113</f>
        <v>22.300999999999998</v>
      </c>
      <c r="I39" s="1183">
        <f>Q_IS!G113</f>
        <v>23.946000000000002</v>
      </c>
      <c r="J39" s="1183">
        <f>Q_IS!H113</f>
        <v>27.593</v>
      </c>
      <c r="K39" s="1183">
        <f>Q_IS!I113</f>
        <v>44.408000000000001</v>
      </c>
      <c r="L39" s="1183">
        <f>Q_IS!J113</f>
        <v>77.272999999999996</v>
      </c>
      <c r="M39" s="1183">
        <f>Q_IS!K113</f>
        <v>189.114</v>
      </c>
      <c r="N39" s="1183">
        <f>Q_IS!L113</f>
        <v>185.57300000000001</v>
      </c>
      <c r="O39" s="1183">
        <f>Q_IS!M113</f>
        <v>152.089</v>
      </c>
      <c r="P39" s="1184">
        <f>Q_IS!N113</f>
        <v>165.15</v>
      </c>
      <c r="Q39" s="1184">
        <f>Q_IS!O113</f>
        <v>163.50000000000003</v>
      </c>
      <c r="R39" s="1184">
        <f>Q_IS!P113</f>
        <v>172.02674999999999</v>
      </c>
      <c r="S39" s="1184">
        <f>Q_IS!Q113</f>
        <v>180.9924</v>
      </c>
      <c r="T39" s="1184">
        <f>Q_IS!R113</f>
        <v>190.421061912</v>
      </c>
      <c r="U39" s="1184">
        <f>Q_IS!S113</f>
        <v>200.33811978585598</v>
      </c>
      <c r="V39" s="1184">
        <f>Q_IS!T113</f>
        <v>210.77029507674968</v>
      </c>
      <c r="W39" s="1184">
        <f>Q_IS!U113</f>
        <v>221.74571519333659</v>
      </c>
      <c r="X39" s="1250"/>
      <c r="Y39" s="460"/>
      <c r="Z39" s="731"/>
      <c r="AA39" s="731"/>
      <c r="AB39" s="731"/>
      <c r="AC39" s="1184"/>
      <c r="AD39" s="1184"/>
      <c r="AE39" s="1181"/>
      <c r="AF39" s="1523"/>
      <c r="AG39" s="1408"/>
      <c r="AH39" s="43"/>
      <c r="AI39" s="43"/>
      <c r="AJ39" s="43"/>
      <c r="AK39" s="43"/>
      <c r="AL39" s="43"/>
    </row>
    <row r="40" spans="1:38" ht="12.75" hidden="1" customHeight="1" outlineLevel="1">
      <c r="A40" s="1141" t="s">
        <v>46</v>
      </c>
      <c r="B40" s="1183">
        <f>+'Annual historicals'!E59</f>
        <v>29.799999999999997</v>
      </c>
      <c r="C40" s="1183">
        <f>+'Annual historicals'!F59</f>
        <v>31.299999999999997</v>
      </c>
      <c r="D40" s="1183">
        <f>+'Annual historicals'!G59</f>
        <v>31.863999999999997</v>
      </c>
      <c r="E40" s="1183">
        <f>SUM(Q_IS!C115,Q_IS!C120)</f>
        <v>37.146000000000001</v>
      </c>
      <c r="F40" s="1183">
        <f>SUM(Q_IS!D115,Q_IS!D120)</f>
        <v>35.557000000000002</v>
      </c>
      <c r="G40" s="1183">
        <f>SUM(Q_IS!E115,Q_IS!E120)</f>
        <v>47.372</v>
      </c>
      <c r="H40" s="1183">
        <f>SUM(Q_IS!F115,Q_IS!F120)</f>
        <v>55.895000000000003</v>
      </c>
      <c r="I40" s="1183">
        <f>SUM(Q_IS!G115,Q_IS!G120)</f>
        <v>47.965000000000003</v>
      </c>
      <c r="J40" s="1183">
        <f>SUM(Q_IS!H115,Q_IS!H120)</f>
        <v>67.64</v>
      </c>
      <c r="K40" s="1183">
        <f>SUM(Q_IS!I115,Q_IS!I120)</f>
        <v>95.054000000000002</v>
      </c>
      <c r="L40" s="1183">
        <f>SUM(Q_IS!J115,Q_IS!J120)</f>
        <v>168.49199999999999</v>
      </c>
      <c r="M40" s="1183">
        <f>SUM(Q_IS!K115,Q_IS!K120,Q_IS!K114)</f>
        <v>84.448000000000008</v>
      </c>
      <c r="N40" s="1183">
        <f>SUM(Q_IS!L115,Q_IS!L120,Q_IS!L114)</f>
        <v>-18.586000000000006</v>
      </c>
      <c r="O40" s="1183">
        <f>SUM(Q_IS!M115,Q_IS!M120,Q_IS!M114)</f>
        <v>-32.714000000000013</v>
      </c>
      <c r="P40" s="1186">
        <f>SUM(Q_IS!N115,Q_IS!N120,Q_IS!N114)</f>
        <v>39.918199999999999</v>
      </c>
      <c r="Q40" s="1186">
        <f>SUM(Q_IS!O115,Q_IS!O120,Q_IS!O114)</f>
        <v>114.51264</v>
      </c>
      <c r="R40" s="1186">
        <f>SUM(Q_IS!P115,Q_IS!P120,Q_IS!P114)</f>
        <v>132.83466239999998</v>
      </c>
      <c r="S40" s="1186">
        <f>SUM(Q_IS!Q115,Q_IS!Q120,Q_IS!Q114)</f>
        <v>148.77482188799999</v>
      </c>
      <c r="T40" s="1186">
        <f>SUM(Q_IS!R115,Q_IS!R120,Q_IS!R114)</f>
        <v>163.65230407680002</v>
      </c>
      <c r="U40" s="1186">
        <f>SUM(Q_IS!S115,Q_IS!S120,Q_IS!S114)</f>
        <v>176.744488402944</v>
      </c>
      <c r="V40" s="1186">
        <f>SUM(Q_IS!T115,Q_IS!T120,Q_IS!T114)</f>
        <v>187.34915770712064</v>
      </c>
      <c r="W40" s="1186">
        <f>SUM(Q_IS!U115,Q_IS!U120,Q_IS!U114)</f>
        <v>194.84312401540546</v>
      </c>
      <c r="X40" s="1250"/>
      <c r="Y40" s="731"/>
      <c r="Z40" s="731"/>
      <c r="AA40" s="731"/>
      <c r="AB40" s="731"/>
      <c r="AC40" s="1186"/>
      <c r="AD40" s="1186"/>
      <c r="AE40" s="1181"/>
      <c r="AF40" s="1523"/>
      <c r="AG40" s="1408"/>
      <c r="AH40" s="43"/>
      <c r="AI40" s="43"/>
      <c r="AJ40" s="43"/>
      <c r="AK40" s="43"/>
      <c r="AL40" s="43"/>
    </row>
    <row r="41" spans="1:38" s="946" customFormat="1" collapsed="1">
      <c r="A41" s="1711" t="s">
        <v>215</v>
      </c>
      <c r="B41" s="1190"/>
      <c r="C41" s="1191">
        <f t="shared" ref="C41:S41" si="24">C36/B36-1</f>
        <v>0.25135135135135123</v>
      </c>
      <c r="D41" s="1191">
        <f t="shared" si="24"/>
        <v>0.24656278926257325</v>
      </c>
      <c r="E41" s="1191">
        <f t="shared" si="24"/>
        <v>2.2913980064899198E-2</v>
      </c>
      <c r="F41" s="1191">
        <f t="shared" si="24"/>
        <v>-0.1380664144496857</v>
      </c>
      <c r="G41" s="1191">
        <f t="shared" si="24"/>
        <v>8.7059599674349286E-2</v>
      </c>
      <c r="H41" s="1191">
        <f t="shared" si="24"/>
        <v>0.52791877517131658</v>
      </c>
      <c r="I41" s="1191">
        <f t="shared" si="24"/>
        <v>9.4433636500389495E-2</v>
      </c>
      <c r="J41" s="1191">
        <f t="shared" si="24"/>
        <v>5.5567910500776918E-2</v>
      </c>
      <c r="K41" s="1191">
        <f t="shared" si="24"/>
        <v>0.19675710868404295</v>
      </c>
      <c r="L41" s="1191">
        <f t="shared" si="24"/>
        <v>0.20522263754198633</v>
      </c>
      <c r="M41" s="1191">
        <f t="shared" si="24"/>
        <v>0.17927361806369135</v>
      </c>
      <c r="N41" s="1191">
        <f t="shared" si="24"/>
        <v>0.17298450602581683</v>
      </c>
      <c r="O41" s="1191">
        <f t="shared" si="24"/>
        <v>0.10101383049440504</v>
      </c>
      <c r="P41" s="1192">
        <f t="shared" si="24"/>
        <v>0.21775052562685882</v>
      </c>
      <c r="Q41" s="1192">
        <f t="shared" si="24"/>
        <v>3.4274784684021009E-2</v>
      </c>
      <c r="R41" s="1192">
        <f t="shared" si="24"/>
        <v>8.0032111180861731E-2</v>
      </c>
      <c r="S41" s="1192">
        <f t="shared" si="24"/>
        <v>0.150876898631918</v>
      </c>
      <c r="T41" s="1192">
        <f t="shared" ref="T41" si="25">T36/S36-1</f>
        <v>7.0220896205264172E-2</v>
      </c>
      <c r="U41" s="1192">
        <f t="shared" ref="U41" si="26">U36/T36-1</f>
        <v>-4.8306997926606865E-2</v>
      </c>
      <c r="V41" s="1192">
        <f t="shared" ref="V41" si="27">V36/U36-1</f>
        <v>-2.5605829572782013E-2</v>
      </c>
      <c r="W41" s="1192">
        <f t="shared" ref="W41" si="28">W36/V36-1</f>
        <v>0.11906331633151579</v>
      </c>
      <c r="X41" s="1191"/>
      <c r="Y41" s="1196"/>
      <c r="Z41" s="1196"/>
      <c r="AA41" s="1196"/>
      <c r="AB41" s="1196"/>
      <c r="AC41" s="1192"/>
      <c r="AD41" s="1192"/>
      <c r="AE41" s="1526"/>
      <c r="AF41" s="1523"/>
      <c r="AG41" s="1408"/>
      <c r="AH41" s="947"/>
      <c r="AI41" s="947"/>
      <c r="AJ41" s="945"/>
      <c r="AK41" s="947"/>
      <c r="AL41" s="945"/>
    </row>
    <row r="42" spans="1:38">
      <c r="A42" s="731" t="s">
        <v>1194</v>
      </c>
      <c r="B42" s="1194">
        <f>'Annual historicals'!E82-B67</f>
        <v>-295.76800000000003</v>
      </c>
      <c r="C42" s="1194">
        <f>'Annual historicals'!F82-C67</f>
        <v>-355.28999999999996</v>
      </c>
      <c r="D42" s="1194">
        <f>'Annual historicals'!G82-D67</f>
        <v>-372.45499999999998</v>
      </c>
      <c r="E42" s="1194">
        <f>'Annual historicals'!H82-E67</f>
        <v>-296.49299999999999</v>
      </c>
      <c r="F42" s="1194">
        <f>SUM(Q_Financials!F12:I12)</f>
        <v>-432.36899999999997</v>
      </c>
      <c r="G42" s="1194">
        <f>SUM(Q_Financials!J12:M12)</f>
        <v>-434.53500000000003</v>
      </c>
      <c r="H42" s="1194">
        <f>SUM(Q_Financials!N12:Q12)</f>
        <v>-627.75300000000004</v>
      </c>
      <c r="I42" s="1194">
        <f>SUM(Q_Financials!R12:U12)</f>
        <v>-565.33400000000006</v>
      </c>
      <c r="J42" s="1194">
        <f>SUM(Q_Financials!V12:Y12)</f>
        <v>-638.81099999999992</v>
      </c>
      <c r="K42" s="1194">
        <f>SUM(Q_Financials!Z12:AC12)</f>
        <v>-780.74500000000012</v>
      </c>
      <c r="L42" s="1194">
        <f>SUM(Q_Financials!AD12:AG12)</f>
        <v>-992.93300000000011</v>
      </c>
      <c r="M42" s="1194">
        <f>SUM(Q_Financials!AH12:AK12)</f>
        <v>-1044.027</v>
      </c>
      <c r="N42" s="1194">
        <f>SUM(Q_Financials!AL12:AO12)</f>
        <v>-1237.6200000000001</v>
      </c>
      <c r="O42" s="1194">
        <f>SUM(Q_Financials!AP12:AS12)</f>
        <v>-1436.1219999999998</v>
      </c>
      <c r="P42" s="1195">
        <f>Q_IS!N123</f>
        <v>-1607.4748353231146</v>
      </c>
      <c r="Q42" s="1195">
        <f>Q_IS!O123</f>
        <v>-1692.6128879189498</v>
      </c>
      <c r="R42" s="1195">
        <f>Q_IS!P123</f>
        <v>-1805.6630380194817</v>
      </c>
      <c r="S42" s="1195">
        <f>Q_IS!Q123</f>
        <v>-2057.2582494033295</v>
      </c>
      <c r="T42" s="1195">
        <f>Q_IS!R123</f>
        <v>-2209.5484185174632</v>
      </c>
      <c r="U42" s="1195">
        <f>Q_IS!S123</f>
        <v>-2178.364019461967</v>
      </c>
      <c r="V42" s="1195">
        <f>Q_IS!T123</f>
        <v>-2171.892145374688</v>
      </c>
      <c r="W42" s="1195">
        <f>Q_IS!U123</f>
        <v>-2142.3506189739287</v>
      </c>
      <c r="X42" s="1250"/>
      <c r="Y42" s="1215"/>
      <c r="Z42" s="731"/>
      <c r="AA42" s="731"/>
      <c r="AB42" s="731"/>
      <c r="AC42" s="1195"/>
      <c r="AD42" s="1195"/>
      <c r="AE42" s="1181"/>
      <c r="AF42" s="1523"/>
      <c r="AG42" s="1408"/>
      <c r="AH42" s="165"/>
      <c r="AI42" s="165"/>
      <c r="AJ42" s="43"/>
      <c r="AK42" s="174"/>
      <c r="AL42" s="43"/>
    </row>
    <row r="43" spans="1:38">
      <c r="A43" s="1120" t="s">
        <v>216</v>
      </c>
      <c r="B43" s="1187">
        <f t="shared" ref="B43:W43" si="29">B36+B42</f>
        <v>222.23199999999997</v>
      </c>
      <c r="C43" s="1187">
        <f t="shared" si="29"/>
        <v>292.90999999999997</v>
      </c>
      <c r="D43" s="1187">
        <f t="shared" si="29"/>
        <v>435.56699999999995</v>
      </c>
      <c r="E43" s="1187">
        <f t="shared" si="29"/>
        <v>530.04399999999987</v>
      </c>
      <c r="F43" s="1187">
        <f t="shared" si="29"/>
        <v>280.0510000000001</v>
      </c>
      <c r="G43" s="1187">
        <f t="shared" si="29"/>
        <v>339.90799999999996</v>
      </c>
      <c r="H43" s="1187">
        <f t="shared" si="29"/>
        <v>555.53299999999979</v>
      </c>
      <c r="I43" s="1187">
        <f t="shared" si="29"/>
        <v>729.69399999999973</v>
      </c>
      <c r="J43" s="1187">
        <f t="shared" si="29"/>
        <v>728.17900000000009</v>
      </c>
      <c r="K43" s="1187">
        <f t="shared" si="29"/>
        <v>855.20999999999981</v>
      </c>
      <c r="L43" s="1187">
        <f t="shared" si="29"/>
        <v>978.75699999999995</v>
      </c>
      <c r="M43" s="1187">
        <f t="shared" si="29"/>
        <v>1281.1349999999998</v>
      </c>
      <c r="N43" s="1187">
        <f t="shared" si="29"/>
        <v>1489.7589999999998</v>
      </c>
      <c r="O43" s="1187">
        <f t="shared" si="29"/>
        <v>1566.7600000000002</v>
      </c>
      <c r="P43" s="1188">
        <f t="shared" si="29"/>
        <v>2049.2862985723186</v>
      </c>
      <c r="Q43" s="1188">
        <f t="shared" si="29"/>
        <v>2089.4829464816457</v>
      </c>
      <c r="R43" s="1188">
        <f t="shared" si="29"/>
        <v>2279.1219106965364</v>
      </c>
      <c r="S43" s="1188">
        <f t="shared" si="29"/>
        <v>2643.8263839532992</v>
      </c>
      <c r="T43" s="1188">
        <f t="shared" si="29"/>
        <v>2821.6505909302637</v>
      </c>
      <c r="U43" s="1188">
        <f t="shared" si="29"/>
        <v>2609.7928698680221</v>
      </c>
      <c r="V43" s="1188">
        <f t="shared" si="29"/>
        <v>2493.6600146793753</v>
      </c>
      <c r="W43" s="1188">
        <f t="shared" si="29"/>
        <v>3078.6976537738378</v>
      </c>
      <c r="X43" s="1524"/>
      <c r="Y43" s="731"/>
      <c r="Z43" s="731"/>
      <c r="AA43" s="731"/>
      <c r="AB43" s="731"/>
      <c r="AC43" s="1188"/>
      <c r="AD43" s="1188"/>
      <c r="AE43" s="1525"/>
      <c r="AF43" s="1523"/>
      <c r="AG43" s="1408"/>
      <c r="AH43" s="19"/>
      <c r="AI43" s="19"/>
      <c r="AJ43" s="43"/>
      <c r="AK43" s="174"/>
      <c r="AL43" s="43"/>
    </row>
    <row r="44" spans="1:38">
      <c r="A44" s="1196" t="s">
        <v>217</v>
      </c>
      <c r="B44" s="1197">
        <f t="shared" ref="B44:W44" si="30">B43/B36</f>
        <v>0.42901930501930496</v>
      </c>
      <c r="C44" s="1197">
        <f t="shared" si="30"/>
        <v>0.45188213514347425</v>
      </c>
      <c r="D44" s="1197">
        <f t="shared" si="30"/>
        <v>0.53905339211061087</v>
      </c>
      <c r="E44" s="1197">
        <f t="shared" si="30"/>
        <v>0.64128284638195254</v>
      </c>
      <c r="F44" s="1197">
        <f t="shared" si="30"/>
        <v>0.39309817242637779</v>
      </c>
      <c r="G44" s="1197">
        <f t="shared" si="30"/>
        <v>0.43890641402917963</v>
      </c>
      <c r="H44" s="1197">
        <f t="shared" si="30"/>
        <v>0.46948328637370834</v>
      </c>
      <c r="I44" s="1197">
        <f t="shared" si="30"/>
        <v>0.56345808739270486</v>
      </c>
      <c r="J44" s="1197">
        <f t="shared" si="30"/>
        <v>0.53268787628292824</v>
      </c>
      <c r="K44" s="1197">
        <f t="shared" si="30"/>
        <v>0.52275887784199437</v>
      </c>
      <c r="L44" s="1197">
        <f t="shared" si="30"/>
        <v>0.49640511439425056</v>
      </c>
      <c r="M44" s="1197">
        <f t="shared" si="30"/>
        <v>0.55098741507043369</v>
      </c>
      <c r="N44" s="1197">
        <f t="shared" si="30"/>
        <v>0.54622368215051886</v>
      </c>
      <c r="O44" s="1197">
        <f t="shared" si="30"/>
        <v>0.5217521034792576</v>
      </c>
      <c r="P44" s="1198">
        <f t="shared" si="30"/>
        <v>0.56041021645547784</v>
      </c>
      <c r="Q44" s="1198">
        <f t="shared" si="30"/>
        <v>0.55246694900654114</v>
      </c>
      <c r="R44" s="1198">
        <f t="shared" si="30"/>
        <v>0.55795395334408959</v>
      </c>
      <c r="S44" s="1198">
        <f t="shared" si="30"/>
        <v>0.56238646826180971</v>
      </c>
      <c r="T44" s="1198">
        <f t="shared" si="30"/>
        <v>0.56083064606104605</v>
      </c>
      <c r="U44" s="1198">
        <f t="shared" si="30"/>
        <v>0.54505166187927745</v>
      </c>
      <c r="V44" s="1198">
        <f t="shared" si="30"/>
        <v>0.5344833642692528</v>
      </c>
      <c r="W44" s="1198">
        <f t="shared" si="30"/>
        <v>0.58967040581556651</v>
      </c>
      <c r="X44" s="1197"/>
      <c r="Y44" s="731"/>
      <c r="Z44" s="731"/>
      <c r="AA44" s="731"/>
      <c r="AB44" s="731"/>
      <c r="AC44" s="1198"/>
      <c r="AD44" s="1198"/>
      <c r="AE44" s="1181"/>
      <c r="AF44" s="1523"/>
      <c r="AG44" s="1408"/>
      <c r="AH44" s="13"/>
      <c r="AI44" s="13"/>
      <c r="AJ44" s="43"/>
      <c r="AK44" s="174"/>
      <c r="AL44" s="43"/>
    </row>
    <row r="45" spans="1:38" hidden="1" outlineLevel="1">
      <c r="A45" s="1182" t="str">
        <f>Q_IS!A144</f>
        <v>Sugar</v>
      </c>
      <c r="B45" s="1197"/>
      <c r="C45" s="1197"/>
      <c r="D45" s="1197"/>
      <c r="E45" s="1197"/>
      <c r="F45" s="1197"/>
      <c r="G45" s="1197"/>
      <c r="H45" s="1197">
        <f>Q_IS!F144</f>
        <v>0.59530994258509617</v>
      </c>
      <c r="I45" s="1197">
        <f>Q_IS!G144</f>
        <v>0.63403994730658308</v>
      </c>
      <c r="J45" s="1197">
        <f>Q_IS!H144</f>
        <v>0.57450432836346521</v>
      </c>
      <c r="K45" s="1197">
        <f>Q_IS!I144</f>
        <v>0.58731845703474383</v>
      </c>
      <c r="L45" s="1197">
        <f>Q_IS!J144</f>
        <v>0.53180235990202129</v>
      </c>
      <c r="M45" s="1197">
        <f>Q_IS!K144</f>
        <v>0.57050150255199705</v>
      </c>
      <c r="N45" s="1197">
        <f>Q_IS!L144</f>
        <v>0.54579615962120553</v>
      </c>
      <c r="O45" s="1197">
        <f>Q_IS!M144</f>
        <v>0.57247405191441236</v>
      </c>
      <c r="P45" s="1198">
        <f>Q_IS!N144</f>
        <v>0.63979065835104854</v>
      </c>
      <c r="Q45" s="1198">
        <f>Q_IS!O144</f>
        <v>0.57278351634501423</v>
      </c>
      <c r="R45" s="1198">
        <f>Q_IS!P144</f>
        <v>0.57059124886384605</v>
      </c>
      <c r="S45" s="1198">
        <f>Q_IS!Q144</f>
        <v>0.60350042892929268</v>
      </c>
      <c r="T45" s="1198">
        <f>Q_IS!R144</f>
        <v>0.60883918068424969</v>
      </c>
      <c r="U45" s="1198">
        <f>Q_IS!S144</f>
        <v>0.55123468491874372</v>
      </c>
      <c r="V45" s="1198">
        <f>Q_IS!T144</f>
        <v>0.49638639865534995</v>
      </c>
      <c r="W45" s="1198">
        <f>Q_IS!U144</f>
        <v>0.57611941458523397</v>
      </c>
      <c r="X45" s="1197"/>
      <c r="Y45" s="731"/>
      <c r="Z45" s="731"/>
      <c r="AA45" s="731"/>
      <c r="AB45" s="731"/>
      <c r="AC45" s="1198"/>
      <c r="AD45" s="1198"/>
      <c r="AE45" s="1181"/>
      <c r="AF45" s="1523"/>
      <c r="AG45" s="1408"/>
      <c r="AH45" s="13"/>
      <c r="AI45" s="13"/>
      <c r="AJ45" s="43"/>
      <c r="AK45" s="174"/>
      <c r="AL45" s="43"/>
    </row>
    <row r="46" spans="1:38" hidden="1" outlineLevel="1">
      <c r="A46" s="1182" t="str">
        <f>Q_IS!A145</f>
        <v>Ethanol</v>
      </c>
      <c r="B46" s="1197"/>
      <c r="C46" s="1197"/>
      <c r="D46" s="1197"/>
      <c r="E46" s="1197"/>
      <c r="F46" s="1197"/>
      <c r="G46" s="1197"/>
      <c r="H46" s="1197">
        <f>Q_IS!F145</f>
        <v>0.44310283491253505</v>
      </c>
      <c r="I46" s="1197">
        <f>Q_IS!G145</f>
        <v>0.56270071157231194</v>
      </c>
      <c r="J46" s="1197">
        <f>Q_IS!H145</f>
        <v>0.43730176015205813</v>
      </c>
      <c r="K46" s="1197">
        <f>Q_IS!I145</f>
        <v>0.42883848500272803</v>
      </c>
      <c r="L46" s="1197">
        <f>Q_IS!J145</f>
        <v>0.485086187321149</v>
      </c>
      <c r="M46" s="1197">
        <f>Q_IS!K145</f>
        <v>0.49634008102213817</v>
      </c>
      <c r="N46" s="1197">
        <f>Q_IS!L145</f>
        <v>0.51901261617839356</v>
      </c>
      <c r="O46" s="1197">
        <f>Q_IS!M145</f>
        <v>0.49221674145213767</v>
      </c>
      <c r="P46" s="1198">
        <f>Q_IS!N145</f>
        <v>0.47907371147576061</v>
      </c>
      <c r="Q46" s="1198">
        <f>Q_IS!O145</f>
        <v>0.51798925907754279</v>
      </c>
      <c r="R46" s="1198">
        <f>Q_IS!P145</f>
        <v>0.53143002841686016</v>
      </c>
      <c r="S46" s="1198">
        <f>Q_IS!Q145</f>
        <v>0.5010086840201301</v>
      </c>
      <c r="T46" s="1198">
        <f>Q_IS!R145</f>
        <v>0.4881152423738484</v>
      </c>
      <c r="U46" s="1198">
        <f>Q_IS!S145</f>
        <v>0.5203731216200681</v>
      </c>
      <c r="V46" s="1198">
        <f>Q_IS!T145</f>
        <v>0.54519649678958049</v>
      </c>
      <c r="W46" s="1198">
        <f>Q_IS!U145</f>
        <v>0.59093422521959482</v>
      </c>
      <c r="X46" s="1197"/>
      <c r="Y46" s="731"/>
      <c r="Z46" s="731"/>
      <c r="AA46" s="731"/>
      <c r="AB46" s="731"/>
      <c r="AC46" s="1198"/>
      <c r="AD46" s="1198"/>
      <c r="AE46" s="1181"/>
      <c r="AF46" s="1523"/>
      <c r="AG46" s="1408"/>
      <c r="AH46" s="13"/>
      <c r="AI46" s="13"/>
      <c r="AJ46" s="43"/>
      <c r="AK46" s="174"/>
      <c r="AL46" s="43"/>
    </row>
    <row r="47" spans="1:38" hidden="1" outlineLevel="1">
      <c r="A47" s="1182" t="str">
        <f>Q_IS!A146</f>
        <v>Cogen</v>
      </c>
      <c r="B47" s="1197"/>
      <c r="C47" s="1197"/>
      <c r="D47" s="1197"/>
      <c r="E47" s="1197"/>
      <c r="F47" s="1197"/>
      <c r="G47" s="1197"/>
      <c r="H47" s="1197">
        <f>Q_IS!F146</f>
        <v>0.8</v>
      </c>
      <c r="I47" s="1197">
        <f>Q_IS!G146</f>
        <v>0.8</v>
      </c>
      <c r="J47" s="1197">
        <f>Q_IS!H146</f>
        <v>0.8</v>
      </c>
      <c r="K47" s="1197">
        <f>Q_IS!I146</f>
        <v>0.8</v>
      </c>
      <c r="L47" s="1197">
        <f>Q_IS!J146</f>
        <v>0.8</v>
      </c>
      <c r="M47" s="1197">
        <f>Q_IS!K146</f>
        <v>0.8</v>
      </c>
      <c r="N47" s="1197">
        <f>Q_IS!L146</f>
        <v>0.8</v>
      </c>
      <c r="O47" s="1197">
        <f>Q_IS!M146</f>
        <v>0.8</v>
      </c>
      <c r="P47" s="1198">
        <f>Q_IS!N146</f>
        <v>0.5</v>
      </c>
      <c r="Q47" s="1198">
        <f>Q_IS!O146</f>
        <v>0.5</v>
      </c>
      <c r="R47" s="1198">
        <f>Q_IS!P146</f>
        <v>0.5</v>
      </c>
      <c r="S47" s="1198">
        <f>Q_IS!Q146</f>
        <v>0.5</v>
      </c>
      <c r="T47" s="1198">
        <f>Q_IS!R146</f>
        <v>0.5</v>
      </c>
      <c r="U47" s="1198">
        <f>Q_IS!S146</f>
        <v>0.5</v>
      </c>
      <c r="V47" s="1198">
        <f>Q_IS!T146</f>
        <v>0.5</v>
      </c>
      <c r="W47" s="1198">
        <f>Q_IS!U146</f>
        <v>0.5</v>
      </c>
      <c r="X47" s="1197"/>
      <c r="Y47" s="731"/>
      <c r="Z47" s="731"/>
      <c r="AA47" s="731"/>
      <c r="AB47" s="731"/>
      <c r="AC47" s="1198"/>
      <c r="AD47" s="1198"/>
      <c r="AE47" s="1181"/>
      <c r="AF47" s="1523"/>
      <c r="AG47" s="1408"/>
      <c r="AH47" s="13"/>
      <c r="AI47" s="13"/>
      <c r="AJ47" s="43"/>
      <c r="AK47" s="174"/>
      <c r="AL47" s="43"/>
    </row>
    <row r="48" spans="1:38" hidden="1" outlineLevel="1">
      <c r="A48" s="1182" t="str">
        <f>Q_IS!A147</f>
        <v>Other (incl. bio. assets)</v>
      </c>
      <c r="B48" s="1197"/>
      <c r="C48" s="1197"/>
      <c r="D48" s="1197"/>
      <c r="E48" s="1197"/>
      <c r="F48" s="1197"/>
      <c r="G48" s="1197"/>
      <c r="H48" s="1197">
        <f>Q_IS!F147</f>
        <v>2.7263404597906793</v>
      </c>
      <c r="I48" s="1197">
        <f>Q_IS!G147</f>
        <v>2.5795225685395571</v>
      </c>
      <c r="J48" s="1197">
        <f>Q_IS!H147</f>
        <v>1.3380898876404479</v>
      </c>
      <c r="K48" s="1197">
        <f>Q_IS!I147</f>
        <v>1.712567593157571</v>
      </c>
      <c r="L48" s="1197">
        <f>Q_IS!J147</f>
        <v>1.7736414785271699</v>
      </c>
      <c r="M48" s="1197">
        <f>Q_IS!K147</f>
        <v>1.3827237265291275</v>
      </c>
      <c r="N48" s="1197">
        <f>Q_IS!L147</f>
        <v>1.0317335807137262</v>
      </c>
      <c r="O48" s="1197">
        <f>Q_IS!M147</f>
        <v>1.8472565473994829</v>
      </c>
      <c r="P48" s="1198">
        <f>Q_IS!N147</f>
        <v>1.4451206783810064</v>
      </c>
      <c r="Q48" s="1198">
        <f>Q_IS!O147</f>
        <v>1.168344245665806</v>
      </c>
      <c r="R48" s="1198">
        <f>Q_IS!P147</f>
        <v>1.168344245665806</v>
      </c>
      <c r="S48" s="1198">
        <f>Q_IS!Q147</f>
        <v>1.168344245665806</v>
      </c>
      <c r="T48" s="1198">
        <f>Q_IS!R147</f>
        <v>1.168344245665806</v>
      </c>
      <c r="U48" s="1198">
        <f>Q_IS!S147</f>
        <v>1.168344245665806</v>
      </c>
      <c r="V48" s="1198">
        <f>Q_IS!T147</f>
        <v>1.168344245665806</v>
      </c>
      <c r="W48" s="1198">
        <f>Q_IS!U147</f>
        <v>1.168344245665806</v>
      </c>
      <c r="X48" s="1197"/>
      <c r="Y48" s="731"/>
      <c r="Z48" s="731"/>
      <c r="AA48" s="731"/>
      <c r="AB48" s="731"/>
      <c r="AC48" s="1198"/>
      <c r="AD48" s="1198"/>
      <c r="AE48" s="1181"/>
      <c r="AF48" s="1523"/>
      <c r="AG48" s="1408"/>
      <c r="AH48" s="13"/>
      <c r="AI48" s="13"/>
      <c r="AJ48" s="43"/>
      <c r="AK48" s="174"/>
      <c r="AL48" s="43"/>
    </row>
    <row r="49" spans="1:38" collapsed="1">
      <c r="A49" s="731" t="s">
        <v>218</v>
      </c>
      <c r="B49" s="1200">
        <f t="shared" ref="B49:M49" si="31">B50+B53+B54</f>
        <v>-130.30000000000001</v>
      </c>
      <c r="C49" s="1200">
        <f t="shared" si="31"/>
        <v>-129.80000000000001</v>
      </c>
      <c r="D49" s="1200">
        <f t="shared" si="31"/>
        <v>-113.37599999999999</v>
      </c>
      <c r="E49" s="1200">
        <f t="shared" si="31"/>
        <v>-139.56699999999998</v>
      </c>
      <c r="F49" s="1200">
        <f t="shared" si="31"/>
        <v>-151.678</v>
      </c>
      <c r="G49" s="1200">
        <f t="shared" si="31"/>
        <v>-96.729000000000013</v>
      </c>
      <c r="H49" s="1200">
        <f t="shared" si="31"/>
        <v>-154.21100000000001</v>
      </c>
      <c r="I49" s="1200">
        <f t="shared" si="31"/>
        <v>-163.57</v>
      </c>
      <c r="J49" s="1200">
        <f t="shared" si="31"/>
        <v>-145.54400000000001</v>
      </c>
      <c r="K49" s="1200">
        <f t="shared" si="31"/>
        <v>-203.45</v>
      </c>
      <c r="L49" s="1200">
        <f>L50+L53+L54</f>
        <v>-227.554</v>
      </c>
      <c r="M49" s="1200">
        <f t="shared" si="31"/>
        <v>-149.41999999999999</v>
      </c>
      <c r="N49" s="1200">
        <f t="shared" ref="N49" si="32">N50+N53+N54</f>
        <v>-253.94499999999996</v>
      </c>
      <c r="O49" s="1200">
        <f t="shared" ref="O49" si="33">O50+O53+O54</f>
        <v>-122.36199999999999</v>
      </c>
      <c r="P49" s="1195">
        <f t="shared" ref="P49" si="34">P50+P53+P54</f>
        <v>-290.26424576885552</v>
      </c>
      <c r="Q49" s="1195">
        <f t="shared" ref="Q49" si="35">Q50+Q53+Q54</f>
        <v>-309.33204533239154</v>
      </c>
      <c r="R49" s="1195">
        <f t="shared" ref="R49" si="36">R50+R53+R54</f>
        <v>-326.1310385697011</v>
      </c>
      <c r="S49" s="1195">
        <f t="shared" ref="S49:W49" si="37">S50+S53+S54</f>
        <v>-345.19712765801808</v>
      </c>
      <c r="T49" s="1195">
        <f t="shared" si="37"/>
        <v>-363.64314162267834</v>
      </c>
      <c r="U49" s="1195">
        <f t="shared" si="37"/>
        <v>-383.07843851835554</v>
      </c>
      <c r="V49" s="1195">
        <f t="shared" si="37"/>
        <v>-403.54732802563899</v>
      </c>
      <c r="W49" s="1195">
        <f t="shared" si="37"/>
        <v>-425.09979279402637</v>
      </c>
      <c r="X49" s="1250"/>
      <c r="Y49" s="731"/>
      <c r="Z49" s="731"/>
      <c r="AA49" s="731"/>
      <c r="AB49" s="731"/>
      <c r="AC49" s="1195"/>
      <c r="AD49" s="1195"/>
      <c r="AE49" s="1181"/>
      <c r="AF49" s="1523"/>
      <c r="AG49" s="1408"/>
      <c r="AH49" s="165"/>
      <c r="AI49" s="165"/>
      <c r="AJ49" s="43"/>
      <c r="AK49" s="174"/>
      <c r="AL49" s="43"/>
    </row>
    <row r="50" spans="1:38" hidden="1" outlineLevel="1">
      <c r="A50" s="1141" t="s">
        <v>168</v>
      </c>
      <c r="B50" s="1201">
        <f t="shared" ref="B50:D50" si="38">SUM(B51:B52)</f>
        <v>-130.30000000000001</v>
      </c>
      <c r="C50" s="1201">
        <f t="shared" si="38"/>
        <v>-129.80000000000001</v>
      </c>
      <c r="D50" s="1201">
        <f t="shared" si="38"/>
        <v>-108.011</v>
      </c>
      <c r="E50" s="1201">
        <f>SUM(E51:E52)</f>
        <v>-129.761</v>
      </c>
      <c r="F50" s="1200">
        <f>SUM(Q_Financials!F17:I17)</f>
        <v>-133.84700000000001</v>
      </c>
      <c r="G50" s="1200">
        <f>SUM(Q_Financials!J17:M17)</f>
        <v>-135.155</v>
      </c>
      <c r="H50" s="1200">
        <f>SUM(Q_Financials!N17:Q17)</f>
        <v>-154.39099999999999</v>
      </c>
      <c r="I50" s="1200">
        <f>SUM(Q_Financials!R17:U17)</f>
        <v>-159.32599999999999</v>
      </c>
      <c r="J50" s="1200">
        <f>SUM(Q_Financials!V17:Y17)</f>
        <v>-172.07900000000001</v>
      </c>
      <c r="K50" s="1200">
        <f>SUM(Q_Financials!Z17:AC17)</f>
        <v>-200.02699999999999</v>
      </c>
      <c r="L50" s="1200">
        <f>SUM(Q_Financials!AD17:AG17)</f>
        <v>-228.37900000000002</v>
      </c>
      <c r="M50" s="1200">
        <f>SUM(Q_Financials!AH17:AK17)</f>
        <v>-257.88499999999999</v>
      </c>
      <c r="N50" s="1200">
        <f>SUM(Q_Financials!AL17:AO17)</f>
        <v>-265.12799999999999</v>
      </c>
      <c r="O50" s="1200">
        <f>SUM(Q_Financials!AP17:AS17)</f>
        <v>-271.05899999999997</v>
      </c>
      <c r="P50" s="1195">
        <f t="shared" ref="P50:S50" si="39">P51+P52</f>
        <v>-290.53124576885551</v>
      </c>
      <c r="Q50" s="1195">
        <f t="shared" si="39"/>
        <v>-309.95804533239152</v>
      </c>
      <c r="R50" s="1195">
        <f t="shared" si="39"/>
        <v>-326.75703856970108</v>
      </c>
      <c r="S50" s="1195">
        <f t="shared" si="39"/>
        <v>-345.82312765801805</v>
      </c>
      <c r="T50" s="1195">
        <f t="shared" ref="T50:W50" si="40">T51+T52</f>
        <v>-364.26914162267832</v>
      </c>
      <c r="U50" s="1195">
        <f t="shared" si="40"/>
        <v>-383.70443851835552</v>
      </c>
      <c r="V50" s="1195">
        <f t="shared" si="40"/>
        <v>-404.17332802563897</v>
      </c>
      <c r="W50" s="1195">
        <f t="shared" si="40"/>
        <v>-425.72579279402635</v>
      </c>
      <c r="X50" s="1250"/>
      <c r="Y50" s="731"/>
      <c r="Z50" s="731"/>
      <c r="AA50" s="731"/>
      <c r="AB50" s="731"/>
      <c r="AC50" s="1403"/>
      <c r="AD50" s="1403"/>
      <c r="AE50" s="1525"/>
      <c r="AF50" s="1523"/>
      <c r="AG50" s="1408"/>
      <c r="AH50" s="165"/>
      <c r="AI50" s="165"/>
      <c r="AJ50" s="43"/>
      <c r="AK50" s="174"/>
      <c r="AL50" s="43"/>
    </row>
    <row r="51" spans="1:38" ht="12.75" hidden="1" customHeight="1" outlineLevel="2">
      <c r="A51" s="1202" t="s">
        <v>169</v>
      </c>
      <c r="B51" s="1257">
        <f>+'Annual historicals'!E121</f>
        <v>-57.6</v>
      </c>
      <c r="C51" s="1257">
        <f>+'Annual historicals'!F121</f>
        <v>-54.4</v>
      </c>
      <c r="D51" s="1257">
        <f>+'Annual historicals'!G121</f>
        <v>-39.162999999999997</v>
      </c>
      <c r="E51" s="1257">
        <f>+'Annual historicals'!H121</f>
        <v>-54.848999999999997</v>
      </c>
      <c r="F51" s="1200">
        <f>SUM(Q_Financials!F18:I18)</f>
        <v>-42.623999999999995</v>
      </c>
      <c r="G51" s="1200">
        <f>SUM(Q_Financials!J18:M18)</f>
        <v>-34.978999999999999</v>
      </c>
      <c r="H51" s="1200">
        <f>SUM(Q_Financials!N18:Q18)</f>
        <v>-61.453000000000003</v>
      </c>
      <c r="I51" s="1200">
        <f>SUM(Q_Financials!R18:U18)</f>
        <v>-58.196000000000005</v>
      </c>
      <c r="J51" s="1200">
        <f>SUM(Q_Financials!V18:Y18)</f>
        <v>-53.747999999999998</v>
      </c>
      <c r="K51" s="1200">
        <f>SUM(Q_Financials!Z18:AC18)</f>
        <v>-72.466000000000008</v>
      </c>
      <c r="L51" s="1200">
        <f>SUM(Q_Financials!AD18:AG18)</f>
        <v>-90.329000000000008</v>
      </c>
      <c r="M51" s="1200">
        <f>SUM(Q_Financials!AH18:AK18)</f>
        <v>-94.218000000000004</v>
      </c>
      <c r="N51" s="1200">
        <f>SUM(Q_Financials!AL18:AO18)</f>
        <v>-109.145</v>
      </c>
      <c r="O51" s="1200">
        <f>SUM(Q_Financials!AM18:AP18)</f>
        <v>-121.62100000000001</v>
      </c>
      <c r="P51" s="1195">
        <f>Q_IS!N153</f>
        <v>-120.36791326885553</v>
      </c>
      <c r="Q51" s="1195">
        <f>Q_IS!O153</f>
        <v>-132.80705820239154</v>
      </c>
      <c r="R51" s="1195">
        <f>Q_IS!P153</f>
        <v>-142.31094000598114</v>
      </c>
      <c r="S51" s="1195">
        <f>Q_IS!Q153</f>
        <v>-153.76093275749434</v>
      </c>
      <c r="T51" s="1195">
        <f>Q_IS!R153</f>
        <v>-164.25574214653162</v>
      </c>
      <c r="U51" s="1195">
        <f>Q_IS!S153</f>
        <v>-175.38998146525833</v>
      </c>
      <c r="V51" s="1195">
        <f>Q_IS!T153</f>
        <v>-187.19256686220547</v>
      </c>
      <c r="W51" s="1195">
        <f>Q_IS!U153</f>
        <v>-199.69741013940182</v>
      </c>
      <c r="X51" s="1250"/>
      <c r="Y51" s="731"/>
      <c r="Z51" s="731"/>
      <c r="AA51" s="731"/>
      <c r="AB51" s="731"/>
      <c r="AC51" s="1403"/>
      <c r="AD51" s="1403"/>
      <c r="AE51" s="1525"/>
      <c r="AF51" s="1523"/>
      <c r="AG51" s="1408"/>
      <c r="AH51" s="165"/>
      <c r="AI51" s="165"/>
      <c r="AJ51" s="43"/>
      <c r="AK51" s="174"/>
      <c r="AL51" s="43"/>
    </row>
    <row r="52" spans="1:38" ht="12.75" hidden="1" customHeight="1" outlineLevel="2">
      <c r="A52" s="1202" t="s">
        <v>170</v>
      </c>
      <c r="B52" s="1257">
        <f>+'Annual historicals'!E174</f>
        <v>-72.7</v>
      </c>
      <c r="C52" s="1257">
        <f>+'Annual historicals'!F174</f>
        <v>-75.400000000000006</v>
      </c>
      <c r="D52" s="1257">
        <f>+'Annual historicals'!G174</f>
        <v>-68.847999999999999</v>
      </c>
      <c r="E52" s="1257">
        <f>+'Annual historicals'!H174</f>
        <v>-74.912000000000006</v>
      </c>
      <c r="F52" s="1200">
        <f>SUM(Q_Financials!F19:I19)</f>
        <v>-91.222999999999985</v>
      </c>
      <c r="G52" s="1200">
        <f>SUM(Q_Financials!J19:M19)</f>
        <v>-100.17599999999999</v>
      </c>
      <c r="H52" s="1200">
        <f>SUM(Q_Financials!N19:Q19)</f>
        <v>-92.937999999999988</v>
      </c>
      <c r="I52" s="1200">
        <f>SUM(Q_Financials!R19:U19)</f>
        <v>-101.13</v>
      </c>
      <c r="J52" s="1200">
        <f>SUM(Q_Financials!V19:Y19)</f>
        <v>-118.331</v>
      </c>
      <c r="K52" s="1200">
        <f>SUM(Q_Financials!Z19:AC19)</f>
        <v>-127.56100000000001</v>
      </c>
      <c r="L52" s="1200">
        <f>SUM(Q_Financials!AD19:AG19)</f>
        <v>-138.05000000000001</v>
      </c>
      <c r="M52" s="1200">
        <f>SUM(Q_Financials!AH19:AK19)</f>
        <v>-163.66700000000003</v>
      </c>
      <c r="N52" s="1200">
        <f>SUM(Q_Financials!AL19:AO19)</f>
        <v>-155.983</v>
      </c>
      <c r="O52" s="1200">
        <f>SUM(Q_Financials!AP19:AS19)</f>
        <v>-164.23899999999998</v>
      </c>
      <c r="P52" s="1195">
        <f>Q_IS!N165</f>
        <v>-170.1633325</v>
      </c>
      <c r="Q52" s="1195">
        <f>Q_IS!O165</f>
        <v>-177.15098712999998</v>
      </c>
      <c r="R52" s="1195">
        <f>Q_IS!P165</f>
        <v>-184.44609856371997</v>
      </c>
      <c r="S52" s="1195">
        <f>Q_IS!Q165</f>
        <v>-192.06219490052368</v>
      </c>
      <c r="T52" s="1195">
        <f>Q_IS!R165</f>
        <v>-200.0133994761467</v>
      </c>
      <c r="U52" s="1195">
        <f>Q_IS!S165</f>
        <v>-208.31445705309719</v>
      </c>
      <c r="V52" s="1195">
        <f>Q_IS!T165</f>
        <v>-216.98076116343347</v>
      </c>
      <c r="W52" s="1195">
        <f>Q_IS!U165</f>
        <v>-226.02838265462455</v>
      </c>
      <c r="X52" s="1250"/>
      <c r="Y52" s="731"/>
      <c r="Z52" s="731"/>
      <c r="AA52" s="731"/>
      <c r="AB52" s="731"/>
      <c r="AC52" s="1403"/>
      <c r="AD52" s="1403"/>
      <c r="AE52" s="1525"/>
      <c r="AF52" s="1523"/>
      <c r="AG52" s="1408"/>
      <c r="AH52" s="165"/>
      <c r="AI52" s="165"/>
      <c r="AJ52" s="43"/>
      <c r="AK52" s="174"/>
      <c r="AL52" s="43"/>
    </row>
    <row r="53" spans="1:38" hidden="1" outlineLevel="1">
      <c r="A53" s="1141" t="s">
        <v>175</v>
      </c>
      <c r="B53" s="1257">
        <f>+'Annual historicals'!E175</f>
        <v>0</v>
      </c>
      <c r="C53" s="1257">
        <f>+'Annual historicals'!F175</f>
        <v>0</v>
      </c>
      <c r="D53" s="1257">
        <f>+'Annual historicals'!G175</f>
        <v>-6.28</v>
      </c>
      <c r="E53" s="1200">
        <f>SUM(Q_Financials!E20:H20)</f>
        <v>-8.2789999999999999</v>
      </c>
      <c r="F53" s="1200">
        <f>SUM(Q_Financials!F20:I20)</f>
        <v>-8.1720000000000006</v>
      </c>
      <c r="G53" s="1200">
        <f>SUM(Q_Financials!J20:M20)</f>
        <v>-8.4719999999999995</v>
      </c>
      <c r="H53" s="1200">
        <f>SUM(Q_Financials!N20:Q20)</f>
        <v>-5.6750000000000007</v>
      </c>
      <c r="I53" s="1200">
        <f>SUM(Q_Financials!R20:U20)</f>
        <v>0</v>
      </c>
      <c r="J53" s="1200">
        <f>SUM(Q_Financials!V20:Y20)</f>
        <v>-0.45099999999999973</v>
      </c>
      <c r="K53" s="1200">
        <f>SUM(Q_Financials!Z20:AC20)</f>
        <v>-3.6150000000000011</v>
      </c>
      <c r="L53" s="1200">
        <f>SUM(Q_Financials!AD20:AG20)</f>
        <v>0.8600000000000001</v>
      </c>
      <c r="M53" s="1200">
        <f>SUM(Q_Financials!AH20:AK20)</f>
        <v>0.54499999999999993</v>
      </c>
      <c r="N53" s="1200">
        <f>SUM(Q_Financials!AL20:AO20)</f>
        <v>0.45599999999999996</v>
      </c>
      <c r="O53" s="1200">
        <f>SUM(Q_Financials!AP20:AS20)</f>
        <v>0.62600000000000011</v>
      </c>
      <c r="P53" s="1195">
        <f>Q_IS!N174</f>
        <v>0.62600000000000011</v>
      </c>
      <c r="Q53" s="2393">
        <f>Q_IS!O174</f>
        <v>0.62600000000000011</v>
      </c>
      <c r="R53" s="2393">
        <f>Q_IS!P174</f>
        <v>0.62600000000000011</v>
      </c>
      <c r="S53" s="2393">
        <f>Q_IS!Q174</f>
        <v>0.62600000000000011</v>
      </c>
      <c r="T53" s="2393">
        <f>Q_IS!R174</f>
        <v>0.62600000000000011</v>
      </c>
      <c r="U53" s="2393">
        <f>Q_IS!S174</f>
        <v>0.62600000000000011</v>
      </c>
      <c r="V53" s="2393">
        <f>Q_IS!T174</f>
        <v>0.62600000000000011</v>
      </c>
      <c r="W53" s="2393">
        <f>Q_IS!U174</f>
        <v>0.62600000000000011</v>
      </c>
      <c r="X53" s="1250"/>
      <c r="Y53" s="731"/>
      <c r="Z53" s="731"/>
      <c r="AA53" s="731"/>
      <c r="AB53" s="731"/>
      <c r="AC53" s="1403"/>
      <c r="AD53" s="1403"/>
      <c r="AE53" s="1181"/>
      <c r="AF53" s="1523"/>
      <c r="AG53" s="1408"/>
      <c r="AH53" s="165"/>
      <c r="AI53" s="165"/>
      <c r="AJ53" s="43"/>
      <c r="AK53" s="174"/>
      <c r="AL53" s="43"/>
    </row>
    <row r="54" spans="1:38" collapsed="1">
      <c r="A54" s="1141" t="s">
        <v>821</v>
      </c>
      <c r="B54" s="1257">
        <f>+'Annual historicals'!E176</f>
        <v>0</v>
      </c>
      <c r="C54" s="1257">
        <f>+'Annual historicals'!F176</f>
        <v>0</v>
      </c>
      <c r="D54" s="1257">
        <f>+'Annual historicals'!G176</f>
        <v>0.91500000000000004</v>
      </c>
      <c r="E54" s="1257">
        <f>+'Annual historicals'!H176</f>
        <v>-1.5269999999999999</v>
      </c>
      <c r="F54" s="1200">
        <f>SUM(Q_Financials!F21:I21)</f>
        <v>-9.6590000000000025</v>
      </c>
      <c r="G54" s="1200">
        <f>SUM(Q_Financials!J21:M21)</f>
        <v>46.898000000000003</v>
      </c>
      <c r="H54" s="1200">
        <f>SUM(Q_Financials!N21:Q21)</f>
        <v>5.8550000000000004</v>
      </c>
      <c r="I54" s="1200">
        <f>SUM(Q_Financials!R21:U21)</f>
        <v>-4.2439999999999998</v>
      </c>
      <c r="J54" s="1200">
        <f>SUM(Q_Financials!V21:Y21)</f>
        <v>26.985999999999997</v>
      </c>
      <c r="K54" s="1200">
        <f>SUM(Q_Financials!Z21:AC21)</f>
        <v>0.19200000000000017</v>
      </c>
      <c r="L54" s="1200">
        <f>SUM(Q_Financials!AD21:AG21)</f>
        <v>-3.5000000000000142E-2</v>
      </c>
      <c r="M54" s="1200">
        <f>SUM(Q_Financials!AH21:AK21)</f>
        <v>107.91999999999999</v>
      </c>
      <c r="N54" s="1200">
        <f>SUM(Q_Financials!AL21:AO21)</f>
        <v>10.727</v>
      </c>
      <c r="O54" s="1200">
        <f>SUM(Q_Financials!AP21:AS21)</f>
        <v>148.071</v>
      </c>
      <c r="P54" s="1195">
        <f>Q_IS!N175</f>
        <v>-0.35899999999999999</v>
      </c>
      <c r="Q54" s="1195">
        <f>Q_IS!O175</f>
        <v>0</v>
      </c>
      <c r="R54" s="1195">
        <f>Q_IS!P175</f>
        <v>0</v>
      </c>
      <c r="S54" s="1195">
        <f>Q_IS!Q175</f>
        <v>0</v>
      </c>
      <c r="T54" s="1195">
        <f>Q_IS!R175</f>
        <v>0</v>
      </c>
      <c r="U54" s="1195">
        <f>Q_IS!S175</f>
        <v>0</v>
      </c>
      <c r="V54" s="1195">
        <f>Q_IS!T175</f>
        <v>0</v>
      </c>
      <c r="W54" s="1195">
        <f>Q_IS!U175</f>
        <v>0</v>
      </c>
      <c r="X54" s="1250"/>
      <c r="Y54" s="731"/>
      <c r="Z54" s="731"/>
      <c r="AA54" s="731"/>
      <c r="AB54" s="731"/>
      <c r="AC54" s="1403"/>
      <c r="AD54" s="1403"/>
      <c r="AE54" s="1181"/>
      <c r="AF54" s="1523"/>
      <c r="AG54" s="1408"/>
      <c r="AH54" s="165"/>
      <c r="AI54" s="165"/>
      <c r="AJ54" s="43"/>
      <c r="AK54" s="174"/>
      <c r="AL54" s="43"/>
    </row>
    <row r="55" spans="1:38">
      <c r="A55" s="1120" t="s">
        <v>681</v>
      </c>
      <c r="B55" s="1187">
        <f>B61</f>
        <v>91.93199999999996</v>
      </c>
      <c r="C55" s="1187">
        <f t="shared" ref="C55:E55" si="41">C61</f>
        <v>163.10999999999996</v>
      </c>
      <c r="D55" s="1187">
        <f t="shared" si="41"/>
        <v>322.19099999999997</v>
      </c>
      <c r="E55" s="1187">
        <f t="shared" si="41"/>
        <v>390.47699999999986</v>
      </c>
      <c r="F55" s="1187">
        <f>SUM(Q_Financials!F22:I22)</f>
        <v>132.607</v>
      </c>
      <c r="G55" s="1187">
        <f>SUM(Q_Financials!J22:M22)</f>
        <v>189.792</v>
      </c>
      <c r="H55" s="1187">
        <f>SUM(Q_Financials!N22:Q22)</f>
        <v>452.37299999999999</v>
      </c>
      <c r="I55" s="1187">
        <f>SUM(Q_Financials!R22:U22)</f>
        <v>612.58199999999999</v>
      </c>
      <c r="J55" s="1187">
        <f>SUM(Q_Financials!V22:Y22)</f>
        <v>533.01900000000001</v>
      </c>
      <c r="K55" s="1187">
        <f>SUM(Q_Financials!Z22:AC22)</f>
        <v>651.82099999999991</v>
      </c>
      <c r="L55" s="1187">
        <f>SUM(Q_Financials!AD22:AG22)</f>
        <v>766.2399999999999</v>
      </c>
      <c r="M55" s="1187">
        <f>SUM(Q_Financials!AH22:AK22)</f>
        <v>1091.5249999999999</v>
      </c>
      <c r="N55" s="1187">
        <f>SUM(Q_Financials!AL22:AO22)</f>
        <v>1302.2130000000002</v>
      </c>
      <c r="O55" s="1187">
        <f>SUM(Q_Financials!AP22:AS22)</f>
        <v>1445.088</v>
      </c>
      <c r="P55" s="1188">
        <f>SUM(P43,P49)</f>
        <v>1759.0220528034631</v>
      </c>
      <c r="Q55" s="1188">
        <f t="shared" ref="Q55:S55" si="42">SUM(Q43,Q49)</f>
        <v>1780.1509011492542</v>
      </c>
      <c r="R55" s="1188">
        <f t="shared" si="42"/>
        <v>1952.9908721268353</v>
      </c>
      <c r="S55" s="1188">
        <f t="shared" si="42"/>
        <v>2298.6292562952813</v>
      </c>
      <c r="T55" s="1188">
        <f t="shared" ref="T55:W55" si="43">SUM(T43,T49)</f>
        <v>2458.0074493075854</v>
      </c>
      <c r="U55" s="1188">
        <f t="shared" si="43"/>
        <v>2226.7144313496665</v>
      </c>
      <c r="V55" s="1188">
        <f t="shared" si="43"/>
        <v>2090.1126866537361</v>
      </c>
      <c r="W55" s="1188">
        <f t="shared" si="43"/>
        <v>2653.5978609798112</v>
      </c>
      <c r="X55" s="1250"/>
      <c r="Y55" s="731"/>
      <c r="Z55" s="731"/>
      <c r="AA55" s="731"/>
      <c r="AB55" s="731"/>
      <c r="AC55" s="1188"/>
      <c r="AD55" s="1188"/>
      <c r="AE55" s="1527"/>
      <c r="AF55" s="1523"/>
      <c r="AG55" s="1408"/>
      <c r="AH55" s="165"/>
      <c r="AI55" s="165"/>
      <c r="AJ55" s="43"/>
      <c r="AK55" s="174"/>
      <c r="AL55" s="43"/>
    </row>
    <row r="56" spans="1:38" hidden="1" outlineLevel="1">
      <c r="A56" s="1552" t="s">
        <v>54</v>
      </c>
      <c r="B56" s="1187"/>
      <c r="C56" s="1187"/>
      <c r="D56" s="1717" t="str">
        <f>Q_IS!B178</f>
        <v>NA</v>
      </c>
      <c r="E56" s="1717" t="str">
        <f>Q_IS!C178</f>
        <v>NA</v>
      </c>
      <c r="F56" s="2251" t="str">
        <f>Q_IS!D178</f>
        <v>NA</v>
      </c>
      <c r="G56" s="2251" t="str">
        <f>Q_IS!E178</f>
        <v>NA</v>
      </c>
      <c r="H56" s="2251" t="str">
        <f>Q_IS!F178</f>
        <v>NA</v>
      </c>
      <c r="I56" s="1200">
        <f>Q_IS!G178</f>
        <v>355.96600000000001</v>
      </c>
      <c r="J56" s="1200">
        <f>Q_IS!H178</f>
        <v>342.75</v>
      </c>
      <c r="K56" s="1200">
        <f>Q_IS!I178</f>
        <v>439.67700000000002</v>
      </c>
      <c r="L56" s="1200">
        <f>Q_IS!J178</f>
        <v>351.82900000000001</v>
      </c>
      <c r="M56" s="1200">
        <f>Q_IS!K178</f>
        <v>480.26499999999999</v>
      </c>
      <c r="N56" s="1200">
        <f>Q_IS!L178</f>
        <v>520.21900000000005</v>
      </c>
      <c r="O56" s="1200">
        <f>Q_IS!M178</f>
        <v>782.11199999999997</v>
      </c>
      <c r="P56" s="1173">
        <f>Q_IS!N178</f>
        <v>1085.4211436269286</v>
      </c>
      <c r="Q56" s="1173">
        <f>Q_IS!O178</f>
        <v>833.77523229599399</v>
      </c>
      <c r="R56" s="1173">
        <f>Q_IS!P178</f>
        <v>880.80750104456365</v>
      </c>
      <c r="S56" s="1173">
        <f>Q_IS!Q178</f>
        <v>1202.1634743468278</v>
      </c>
      <c r="T56" s="1173">
        <f>Q_IS!R178</f>
        <v>1329.7069063477907</v>
      </c>
      <c r="U56" s="1173">
        <f>Q_IS!S178</f>
        <v>967.57021915772054</v>
      </c>
      <c r="V56" s="1173">
        <f>Q_IS!T178</f>
        <v>710.3551910304684</v>
      </c>
      <c r="W56" s="1173">
        <f>Q_IS!U178</f>
        <v>1035.0907974979129</v>
      </c>
      <c r="X56" s="1250"/>
      <c r="Y56" s="731"/>
      <c r="Z56" s="731"/>
      <c r="AA56" s="731"/>
      <c r="AB56" s="731"/>
      <c r="AC56" s="1188"/>
      <c r="AD56" s="1188"/>
      <c r="AE56" s="1181"/>
      <c r="AF56" s="1523"/>
      <c r="AG56" s="1408"/>
      <c r="AH56" s="165"/>
      <c r="AI56" s="165"/>
      <c r="AJ56" s="43"/>
      <c r="AK56" s="174"/>
      <c r="AL56" s="43"/>
    </row>
    <row r="57" spans="1:38" hidden="1" outlineLevel="1">
      <c r="A57" s="1552" t="s">
        <v>42</v>
      </c>
      <c r="B57" s="1187"/>
      <c r="C57" s="1187"/>
      <c r="D57" s="1717" t="str">
        <f>Q_IS!B179</f>
        <v>NA</v>
      </c>
      <c r="E57" s="1717" t="str">
        <f>Q_IS!C179</f>
        <v>NA</v>
      </c>
      <c r="F57" s="2251" t="str">
        <f>Q_IS!D179</f>
        <v>NA</v>
      </c>
      <c r="G57" s="2251" t="str">
        <f>Q_IS!E179</f>
        <v>NA</v>
      </c>
      <c r="H57" s="2251" t="str">
        <f>Q_IS!F179</f>
        <v>NA</v>
      </c>
      <c r="I57" s="1200">
        <f>Q_IS!G179</f>
        <v>239.49799999999999</v>
      </c>
      <c r="J57" s="1200">
        <f>Q_IS!H179</f>
        <v>171.54599999999999</v>
      </c>
      <c r="K57" s="1200">
        <f>Q_IS!I179</f>
        <v>176.023</v>
      </c>
      <c r="L57" s="1200">
        <f>Q_IS!J179</f>
        <v>325.45699999999999</v>
      </c>
      <c r="M57" s="1200">
        <f>Q_IS!K179</f>
        <v>395.53</v>
      </c>
      <c r="N57" s="1200">
        <f>Q_IS!L179</f>
        <v>613.322</v>
      </c>
      <c r="O57" s="1200">
        <f>Q_IS!M179</f>
        <v>534.37699999999995</v>
      </c>
      <c r="P57" s="1173">
        <f>Q_IS!N179</f>
        <v>630.89793856831238</v>
      </c>
      <c r="Q57" s="1173">
        <f>Q_IS!O179</f>
        <v>807.57610876893693</v>
      </c>
      <c r="R57" s="1173">
        <f>Q_IS!P179</f>
        <v>915.46799225878112</v>
      </c>
      <c r="S57" s="1173">
        <f>Q_IS!Q179</f>
        <v>923.5880265590099</v>
      </c>
      <c r="T57" s="1173">
        <f>Q_IS!R179</f>
        <v>939.94016750781043</v>
      </c>
      <c r="U57" s="1173">
        <f>Q_IS!S179</f>
        <v>1056.5536977431084</v>
      </c>
      <c r="V57" s="1173">
        <f>Q_IS!T179</f>
        <v>1164.7450409830858</v>
      </c>
      <c r="W57" s="1173">
        <f>Q_IS!U179</f>
        <v>1393.3722617919086</v>
      </c>
      <c r="X57" s="1250"/>
      <c r="Y57" s="731"/>
      <c r="Z57" s="731"/>
      <c r="AA57" s="731"/>
      <c r="AB57" s="731"/>
      <c r="AC57" s="1188"/>
      <c r="AD57" s="1188"/>
      <c r="AE57" s="1181"/>
      <c r="AF57" s="1523"/>
      <c r="AG57" s="1408"/>
      <c r="AH57" s="165"/>
      <c r="AI57" s="165"/>
      <c r="AJ57" s="43"/>
      <c r="AK57" s="174"/>
      <c r="AL57" s="43"/>
    </row>
    <row r="58" spans="1:38" hidden="1" outlineLevel="1">
      <c r="A58" s="1552" t="s">
        <v>1052</v>
      </c>
      <c r="B58" s="1187"/>
      <c r="C58" s="1187"/>
      <c r="D58" s="1127" t="str">
        <f>Q_IS!B184</f>
        <v>NA</v>
      </c>
      <c r="E58" s="1127" t="str">
        <f>Q_IS!C184</f>
        <v>NA</v>
      </c>
      <c r="F58" s="1127" t="str">
        <f>Q_IS!D184</f>
        <v>NA</v>
      </c>
      <c r="G58" s="1127" t="str">
        <f>Q_IS!E184</f>
        <v>NA</v>
      </c>
      <c r="H58" s="1127" t="str">
        <f>Q_IS!F184</f>
        <v>NA</v>
      </c>
      <c r="I58" s="1127" t="str">
        <f>Q_IS!G184</f>
        <v>NA</v>
      </c>
      <c r="J58" s="1127" t="str">
        <f>Q_IS!H184</f>
        <v>NA</v>
      </c>
      <c r="K58" s="1127">
        <f>Q_IS!I184</f>
        <v>26.98</v>
      </c>
      <c r="L58" s="1127">
        <f>Q_IS!J184</f>
        <v>65.593000000000004</v>
      </c>
      <c r="M58" s="1127">
        <f>Q_IS!K184</f>
        <v>174.95099999999999</v>
      </c>
      <c r="N58" s="1127">
        <f>Q_IS!L184</f>
        <v>123.425</v>
      </c>
      <c r="O58" s="1127">
        <f>Q_IS!M184</f>
        <v>84.957999999999998</v>
      </c>
      <c r="P58" s="1173">
        <f>Q_IS!N184</f>
        <v>118.29242754512381</v>
      </c>
      <c r="Q58" s="1173">
        <f>Q_IS!O184</f>
        <v>117.11057767864212</v>
      </c>
      <c r="R58" s="1173">
        <f>Q_IS!P184</f>
        <v>123.21805546592871</v>
      </c>
      <c r="S58" s="1173">
        <f>Q_IS!Q184</f>
        <v>129.63990531769946</v>
      </c>
      <c r="T58" s="1173">
        <f>Q_IS!R184</f>
        <v>136.39339793697121</v>
      </c>
      <c r="U58" s="1173">
        <f>Q_IS!S184</f>
        <v>143.49671522430944</v>
      </c>
      <c r="V58" s="1173">
        <f>Q_IS!T184</f>
        <v>150.96899702713156</v>
      </c>
      <c r="W58" s="1173">
        <f>Q_IS!U184</f>
        <v>158.83039023887028</v>
      </c>
      <c r="X58" s="1250"/>
      <c r="Y58" s="731"/>
      <c r="Z58" s="731"/>
      <c r="AA58" s="731"/>
      <c r="AB58" s="731"/>
      <c r="AC58" s="1188"/>
      <c r="AD58" s="1188"/>
      <c r="AE58" s="1181"/>
      <c r="AF58" s="1523"/>
      <c r="AG58" s="1408"/>
      <c r="AH58" s="165"/>
      <c r="AI58" s="165"/>
      <c r="AJ58" s="43"/>
      <c r="AK58" s="174"/>
      <c r="AL58" s="43"/>
    </row>
    <row r="59" spans="1:38" hidden="1" outlineLevel="1">
      <c r="A59" s="1552" t="s">
        <v>222</v>
      </c>
      <c r="B59" s="1187"/>
      <c r="C59" s="1187"/>
      <c r="D59" s="1127" t="str">
        <f>Q_IS!B185</f>
        <v>NA</v>
      </c>
      <c r="E59" s="1127" t="str">
        <f>Q_IS!C185</f>
        <v>NA</v>
      </c>
      <c r="F59" s="1127" t="str">
        <f>Q_IS!D185</f>
        <v>NA</v>
      </c>
      <c r="G59" s="1127" t="str">
        <f>Q_IS!E185</f>
        <v>NA</v>
      </c>
      <c r="H59" s="1127" t="str">
        <f>Q_IS!F185</f>
        <v>NA</v>
      </c>
      <c r="I59" s="1127" t="str">
        <f>Q_IS!G185</f>
        <v>NA</v>
      </c>
      <c r="J59" s="1127" t="str">
        <f>Q_IS!H185</f>
        <v>NA</v>
      </c>
      <c r="K59" s="1127">
        <f>Q_IS!I185</f>
        <v>7.4219999999999997</v>
      </c>
      <c r="L59" s="1127">
        <f>Q_IS!J185</f>
        <v>23.722000000000001</v>
      </c>
      <c r="M59" s="1127">
        <f>Q_IS!K185</f>
        <v>40.847000000000001</v>
      </c>
      <c r="N59" s="1127">
        <f>Q_IS!L185</f>
        <v>44.274000000000001</v>
      </c>
      <c r="O59" s="1127">
        <f>Q_IS!M185</f>
        <v>43.637</v>
      </c>
      <c r="P59" s="1173">
        <f>Q_IS!N185</f>
        <v>-74.899456936901544</v>
      </c>
      <c r="Q59" s="1173">
        <f>Q_IS!O185</f>
        <v>22.378982405681526</v>
      </c>
      <c r="R59" s="1173">
        <f>Q_IS!P185</f>
        <v>34.187323357561596</v>
      </c>
      <c r="S59" s="1173">
        <f>Q_IS!Q185</f>
        <v>43.927850071744274</v>
      </c>
      <c r="T59" s="1173">
        <f>Q_IS!R185</f>
        <v>52.656977515012102</v>
      </c>
      <c r="U59" s="1173">
        <f>Q_IS!S185</f>
        <v>59.783799224528735</v>
      </c>
      <c r="V59" s="1173">
        <f>Q_IS!T185</f>
        <v>64.733457613049438</v>
      </c>
      <c r="W59" s="1173">
        <f>Q_IS!U185</f>
        <v>66.994411451118822</v>
      </c>
      <c r="X59" s="1250"/>
      <c r="Y59" s="731"/>
      <c r="Z59" s="731"/>
      <c r="AA59" s="731"/>
      <c r="AB59" s="731"/>
      <c r="AC59" s="1188"/>
      <c r="AD59" s="1188"/>
      <c r="AE59" s="1181"/>
      <c r="AF59" s="1523"/>
      <c r="AG59" s="1408"/>
      <c r="AH59" s="165"/>
      <c r="AI59" s="165"/>
      <c r="AJ59" s="43"/>
      <c r="AK59" s="174"/>
      <c r="AL59" s="43"/>
    </row>
    <row r="60" spans="1:38" collapsed="1">
      <c r="A60" s="1196" t="s">
        <v>1715</v>
      </c>
      <c r="B60" s="1203">
        <f t="shared" ref="B60:W60" si="44">B55/B36</f>
        <v>0.17747490347490338</v>
      </c>
      <c r="C60" s="1203">
        <f t="shared" si="44"/>
        <v>0.25163529774760873</v>
      </c>
      <c r="D60" s="1203">
        <f t="shared" si="44"/>
        <v>0.39874038083121499</v>
      </c>
      <c r="E60" s="1203">
        <f t="shared" si="44"/>
        <v>0.4724253118735155</v>
      </c>
      <c r="F60" s="1203">
        <f t="shared" si="44"/>
        <v>0.18613598719856261</v>
      </c>
      <c r="G60" s="1203">
        <f t="shared" si="44"/>
        <v>0.24506903671412875</v>
      </c>
      <c r="H60" s="1203">
        <f t="shared" si="44"/>
        <v>0.38230233434689503</v>
      </c>
      <c r="I60" s="1203">
        <f t="shared" si="44"/>
        <v>0.47302606584568063</v>
      </c>
      <c r="J60" s="1203">
        <f t="shared" si="44"/>
        <v>0.38992165268217033</v>
      </c>
      <c r="K60" s="1203">
        <f t="shared" si="44"/>
        <v>0.3984345535176701</v>
      </c>
      <c r="L60" s="1203">
        <f t="shared" si="44"/>
        <v>0.38862092925358444</v>
      </c>
      <c r="M60" s="1203">
        <f t="shared" si="44"/>
        <v>0.46944040888333799</v>
      </c>
      <c r="N60" s="1203">
        <f t="shared" si="44"/>
        <v>0.47745949499501178</v>
      </c>
      <c r="O60" s="1203">
        <f t="shared" si="44"/>
        <v>0.48123369483049949</v>
      </c>
      <c r="P60" s="1204">
        <f t="shared" si="44"/>
        <v>0.48103280154086298</v>
      </c>
      <c r="Q60" s="1204">
        <f t="shared" si="44"/>
        <v>0.47067842251844494</v>
      </c>
      <c r="R60" s="1204">
        <f t="shared" si="44"/>
        <v>0.47811351066124658</v>
      </c>
      <c r="S60" s="1204">
        <f t="shared" si="44"/>
        <v>0.48895721638051715</v>
      </c>
      <c r="T60" s="1204">
        <f t="shared" si="44"/>
        <v>0.48855301583019672</v>
      </c>
      <c r="U60" s="1204">
        <f t="shared" si="44"/>
        <v>0.4650462553371455</v>
      </c>
      <c r="V60" s="1204">
        <f t="shared" si="44"/>
        <v>0.44798827983299544</v>
      </c>
      <c r="W60" s="1204">
        <f t="shared" si="44"/>
        <v>0.50825001462460317</v>
      </c>
      <c r="X60" s="1250"/>
      <c r="Y60" s="731"/>
      <c r="Z60" s="731"/>
      <c r="AA60" s="731"/>
      <c r="AB60" s="731"/>
      <c r="AC60" s="1204"/>
      <c r="AD60" s="1204"/>
      <c r="AE60" s="1181"/>
      <c r="AF60" s="1523"/>
      <c r="AG60" s="1408"/>
      <c r="AH60" s="165"/>
      <c r="AI60" s="165"/>
      <c r="AJ60" s="43"/>
      <c r="AK60" s="174"/>
      <c r="AL60" s="43"/>
    </row>
    <row r="61" spans="1:38">
      <c r="A61" s="1120" t="s">
        <v>219</v>
      </c>
      <c r="B61" s="1187">
        <f t="shared" ref="B61:S61" si="45">B43+B49</f>
        <v>91.93199999999996</v>
      </c>
      <c r="C61" s="1187">
        <f t="shared" si="45"/>
        <v>163.10999999999996</v>
      </c>
      <c r="D61" s="1187">
        <f t="shared" si="45"/>
        <v>322.19099999999997</v>
      </c>
      <c r="E61" s="1187">
        <f t="shared" si="45"/>
        <v>390.47699999999986</v>
      </c>
      <c r="F61" s="1187">
        <f t="shared" si="45"/>
        <v>128.3730000000001</v>
      </c>
      <c r="G61" s="1187">
        <f t="shared" si="45"/>
        <v>243.17899999999995</v>
      </c>
      <c r="H61" s="1187">
        <f>H43+H49</f>
        <v>401.32199999999978</v>
      </c>
      <c r="I61" s="1187">
        <f t="shared" si="45"/>
        <v>566.1239999999998</v>
      </c>
      <c r="J61" s="1187">
        <f t="shared" si="45"/>
        <v>582.6350000000001</v>
      </c>
      <c r="K61" s="1187">
        <f t="shared" si="45"/>
        <v>651.75999999999976</v>
      </c>
      <c r="L61" s="1187">
        <f t="shared" si="45"/>
        <v>751.20299999999997</v>
      </c>
      <c r="M61" s="1187">
        <f t="shared" si="45"/>
        <v>1131.7149999999997</v>
      </c>
      <c r="N61" s="1187">
        <f t="shared" si="45"/>
        <v>1235.8139999999999</v>
      </c>
      <c r="O61" s="1187">
        <f t="shared" si="45"/>
        <v>1444.3980000000001</v>
      </c>
      <c r="P61" s="1188">
        <f>P43+P49</f>
        <v>1759.0220528034631</v>
      </c>
      <c r="Q61" s="1188">
        <f t="shared" si="45"/>
        <v>1780.1509011492542</v>
      </c>
      <c r="R61" s="1188">
        <f t="shared" si="45"/>
        <v>1952.9908721268353</v>
      </c>
      <c r="S61" s="1188">
        <f t="shared" si="45"/>
        <v>2298.6292562952813</v>
      </c>
      <c r="T61" s="1188">
        <f t="shared" ref="T61:V61" si="46">T43+T49</f>
        <v>2458.0074493075854</v>
      </c>
      <c r="U61" s="1188">
        <f t="shared" si="46"/>
        <v>2226.7144313496665</v>
      </c>
      <c r="V61" s="1188">
        <f t="shared" si="46"/>
        <v>2090.1126866537361</v>
      </c>
      <c r="W61" s="1188">
        <f>W43+W49</f>
        <v>2653.5978609798112</v>
      </c>
      <c r="X61" s="1524"/>
      <c r="Y61" s="1215">
        <f>(O61/H61)^(1/7)-1</f>
        <v>0.2007601680293043</v>
      </c>
      <c r="Z61" s="1215">
        <f t="shared" ref="Z61" si="47">(R61/P61)^(1/2)-1</f>
        <v>5.3693897021299231E-2</v>
      </c>
      <c r="AA61" s="1215">
        <f>(W61/S61)^(1/5)-1</f>
        <v>2.9137102506742618E-2</v>
      </c>
      <c r="AB61" s="731"/>
      <c r="AC61" s="1188"/>
      <c r="AD61" s="1188"/>
      <c r="AE61" s="1528"/>
      <c r="AF61" s="1523"/>
      <c r="AG61" s="1408"/>
      <c r="AH61" s="19"/>
      <c r="AI61" s="19"/>
      <c r="AJ61" s="43"/>
      <c r="AK61" s="174"/>
      <c r="AL61" s="43"/>
    </row>
    <row r="62" spans="1:38">
      <c r="A62" s="1196" t="s">
        <v>1025</v>
      </c>
      <c r="B62" s="1197">
        <f t="shared" ref="B62:W62" si="48">B61/B36</f>
        <v>0.17747490347490338</v>
      </c>
      <c r="C62" s="1197">
        <f t="shared" si="48"/>
        <v>0.25163529774760873</v>
      </c>
      <c r="D62" s="1197">
        <f t="shared" si="48"/>
        <v>0.39874038083121499</v>
      </c>
      <c r="E62" s="1197">
        <f t="shared" si="48"/>
        <v>0.4724253118735155</v>
      </c>
      <c r="F62" s="1197">
        <f t="shared" si="48"/>
        <v>0.18019286376014162</v>
      </c>
      <c r="G62" s="1197">
        <f t="shared" si="48"/>
        <v>0.31400503329489704</v>
      </c>
      <c r="H62" s="1197">
        <f t="shared" si="48"/>
        <v>0.33915891846941471</v>
      </c>
      <c r="I62" s="1197">
        <f t="shared" si="48"/>
        <v>0.43715193802759467</v>
      </c>
      <c r="J62" s="1197">
        <f t="shared" si="48"/>
        <v>0.42621745587019666</v>
      </c>
      <c r="K62" s="1197">
        <f t="shared" si="48"/>
        <v>0.39839726642847745</v>
      </c>
      <c r="L62" s="1197">
        <f t="shared" si="48"/>
        <v>0.38099447681937826</v>
      </c>
      <c r="M62" s="1197">
        <f t="shared" si="48"/>
        <v>0.48672522602726165</v>
      </c>
      <c r="N62" s="1197">
        <f t="shared" si="48"/>
        <v>0.45311414365220232</v>
      </c>
      <c r="O62" s="1197">
        <f t="shared" si="48"/>
        <v>0.48100391557177408</v>
      </c>
      <c r="P62" s="1198">
        <f t="shared" si="48"/>
        <v>0.48103280154086298</v>
      </c>
      <c r="Q62" s="1198">
        <f t="shared" si="48"/>
        <v>0.47067842251844494</v>
      </c>
      <c r="R62" s="1198">
        <f t="shared" si="48"/>
        <v>0.47811351066124658</v>
      </c>
      <c r="S62" s="1198">
        <f t="shared" si="48"/>
        <v>0.48895721638051715</v>
      </c>
      <c r="T62" s="1198">
        <f t="shared" si="48"/>
        <v>0.48855301583019672</v>
      </c>
      <c r="U62" s="1198">
        <f t="shared" si="48"/>
        <v>0.4650462553371455</v>
      </c>
      <c r="V62" s="1198">
        <f t="shared" si="48"/>
        <v>0.44798827983299544</v>
      </c>
      <c r="W62" s="1198">
        <f t="shared" si="48"/>
        <v>0.50825001462460317</v>
      </c>
      <c r="X62" s="1250"/>
      <c r="Y62" s="731"/>
      <c r="Z62" s="731"/>
      <c r="AA62" s="731"/>
      <c r="AB62" s="731"/>
      <c r="AC62" s="1198"/>
      <c r="AD62" s="1198"/>
      <c r="AE62" s="1181"/>
      <c r="AF62" s="1523"/>
      <c r="AG62" s="1408"/>
      <c r="AH62" s="13"/>
      <c r="AI62" s="13"/>
      <c r="AJ62" s="43"/>
      <c r="AK62" s="174"/>
      <c r="AL62" s="43"/>
    </row>
    <row r="63" spans="1:38" hidden="1" outlineLevel="1">
      <c r="A63" s="1552" t="str">
        <f>A56</f>
        <v>Sugar</v>
      </c>
      <c r="B63" s="1197"/>
      <c r="C63" s="1197"/>
      <c r="D63" s="1197"/>
      <c r="E63" s="1197"/>
      <c r="F63" s="1197"/>
      <c r="G63" s="1197"/>
      <c r="H63" s="1197"/>
      <c r="I63" s="1197">
        <f>Q_IS!G188</f>
        <v>0.50694769822337737</v>
      </c>
      <c r="J63" s="1197">
        <f>Q_IS!H188</f>
        <v>0.4470533607586929</v>
      </c>
      <c r="K63" s="1197">
        <f>Q_IS!I188</f>
        <v>0.46265912960394645</v>
      </c>
      <c r="L63" s="1197">
        <f>Q_IS!J188</f>
        <v>0.39787328362023539</v>
      </c>
      <c r="M63" s="1197">
        <f>Q_IS!K188</f>
        <v>0.44095516950420838</v>
      </c>
      <c r="N63" s="1197">
        <f>Q_IS!L188</f>
        <v>0.41328879108307581</v>
      </c>
      <c r="O63" s="1197">
        <f>Q_IS!M188</f>
        <v>0.47555498805202379</v>
      </c>
      <c r="P63" s="1198">
        <f>Q_IS!N188</f>
        <v>0.55264741035071696</v>
      </c>
      <c r="Q63" s="1198">
        <f>Q_IS!O188</f>
        <v>0.46895822565167894</v>
      </c>
      <c r="R63" s="1198">
        <f>Q_IS!P188</f>
        <v>0.46694263140266862</v>
      </c>
      <c r="S63" s="1198">
        <f>Q_IS!Q188</f>
        <v>0.51438404652419922</v>
      </c>
      <c r="T63" s="1198">
        <f>Q_IS!R188</f>
        <v>0.5222759725638072</v>
      </c>
      <c r="U63" s="1198">
        <f>Q_IS!S188</f>
        <v>0.44416609623359188</v>
      </c>
      <c r="V63" s="1198">
        <f>Q_IS!T188</f>
        <v>0.36836855974328597</v>
      </c>
      <c r="W63" s="1198">
        <f>Q_IS!U188</f>
        <v>0.4599879415709196</v>
      </c>
      <c r="X63" s="1250"/>
      <c r="Y63" s="731"/>
      <c r="Z63" s="731"/>
      <c r="AA63" s="731"/>
      <c r="AB63" s="731"/>
      <c r="AC63" s="1198"/>
      <c r="AD63" s="1198"/>
      <c r="AE63" s="1181"/>
      <c r="AF63" s="1523"/>
      <c r="AG63" s="1408"/>
      <c r="AH63" s="13"/>
      <c r="AI63" s="13"/>
      <c r="AJ63" s="43"/>
      <c r="AK63" s="174"/>
      <c r="AL63" s="43"/>
    </row>
    <row r="64" spans="1:38" hidden="1" outlineLevel="1">
      <c r="A64" s="1552" t="str">
        <f>A57</f>
        <v>Ethanol</v>
      </c>
      <c r="B64" s="1197"/>
      <c r="C64" s="1197"/>
      <c r="D64" s="1197"/>
      <c r="E64" s="1197"/>
      <c r="F64" s="1197"/>
      <c r="G64" s="1197"/>
      <c r="H64" s="1197"/>
      <c r="I64" s="1197">
        <f>Q_IS!G189</f>
        <v>0.45972523749469718</v>
      </c>
      <c r="J64" s="1197">
        <f>Q_IS!H189</f>
        <v>0.3396479695883739</v>
      </c>
      <c r="K64" s="1197">
        <f>Q_IS!I189</f>
        <v>0.32228846174972448</v>
      </c>
      <c r="L64" s="1197">
        <f>Q_IS!J189</f>
        <v>0.38692691881069935</v>
      </c>
      <c r="M64" s="1197">
        <f>Q_IS!K189</f>
        <v>0.41096032741339056</v>
      </c>
      <c r="N64" s="1197">
        <f>Q_IS!L189</f>
        <v>0.47118376352693708</v>
      </c>
      <c r="O64" s="1197">
        <f>Q_IS!M189</f>
        <v>0.43133983438226714</v>
      </c>
      <c r="P64" s="1198">
        <f>Q_IS!N189</f>
        <v>0.42408922052297315</v>
      </c>
      <c r="Q64" s="1198">
        <f>Q_IS!O189</f>
        <v>0.46784749161328121</v>
      </c>
      <c r="R64" s="1198">
        <f>Q_IS!P189</f>
        <v>0.48345517026754453</v>
      </c>
      <c r="S64" s="1198">
        <f>Q_IS!Q189</f>
        <v>0.45402470208576379</v>
      </c>
      <c r="T64" s="1198">
        <f>Q_IS!R189</f>
        <v>0.4410503206112889</v>
      </c>
      <c r="U64" s="1198">
        <f>Q_IS!S189</f>
        <v>0.47322281757289808</v>
      </c>
      <c r="V64" s="1198">
        <f>Q_IS!T189</f>
        <v>0.49795623929532251</v>
      </c>
      <c r="W64" s="1198">
        <f>Q_IS!U189</f>
        <v>0.54552133457272833</v>
      </c>
      <c r="X64" s="1250"/>
      <c r="Y64" s="731"/>
      <c r="Z64" s="731"/>
      <c r="AA64" s="731"/>
      <c r="AB64" s="731"/>
      <c r="AC64" s="1198"/>
      <c r="AD64" s="1198"/>
      <c r="AE64" s="1181"/>
      <c r="AF64" s="1523"/>
      <c r="AG64" s="1408"/>
      <c r="AH64" s="13"/>
      <c r="AI64" s="13"/>
      <c r="AJ64" s="43"/>
      <c r="AK64" s="174"/>
      <c r="AL64" s="43"/>
    </row>
    <row r="65" spans="1:38" hidden="1" outlineLevel="1">
      <c r="A65" s="1552" t="str">
        <f t="shared" ref="A65:A66" si="49">A58</f>
        <v>Cogen</v>
      </c>
      <c r="B65" s="1197"/>
      <c r="C65" s="1197"/>
      <c r="D65" s="1197"/>
      <c r="E65" s="1197"/>
      <c r="F65" s="1197"/>
      <c r="G65" s="1197"/>
      <c r="H65" s="1197"/>
      <c r="I65" s="2252" t="str">
        <f>Q_IS!G194</f>
        <v>NA</v>
      </c>
      <c r="J65" s="2252" t="str">
        <f>Q_IS!H194</f>
        <v>NA</v>
      </c>
      <c r="K65" s="2253">
        <f>Q_IS!I194</f>
        <v>0.60754818951540257</v>
      </c>
      <c r="L65" s="2253">
        <f>Q_IS!J194</f>
        <v>0.84884759230261553</v>
      </c>
      <c r="M65" s="2253">
        <f>Q_IS!K194</f>
        <v>0.92510866461499408</v>
      </c>
      <c r="N65" s="2253">
        <f>Q_IS!L194</f>
        <v>0.66510214309193683</v>
      </c>
      <c r="O65" s="2253">
        <f>Q_IS!M194</f>
        <v>0.55860713135072226</v>
      </c>
      <c r="P65" s="1198">
        <f>Q_IS!N194</f>
        <v>0.71627264635255106</v>
      </c>
      <c r="Q65" s="1198">
        <f>Q_IS!O194</f>
        <v>0.71627264635255106</v>
      </c>
      <c r="R65" s="1198">
        <f>Q_IS!P194</f>
        <v>0.71627264635255106</v>
      </c>
      <c r="S65" s="1198">
        <f>Q_IS!Q194</f>
        <v>0.71627264635255106</v>
      </c>
      <c r="T65" s="1198">
        <f>Q_IS!R194</f>
        <v>0.71627264635255106</v>
      </c>
      <c r="U65" s="1198">
        <f>Q_IS!S194</f>
        <v>0.71627264635255106</v>
      </c>
      <c r="V65" s="1198">
        <f>Q_IS!T194</f>
        <v>0.71627264635255106</v>
      </c>
      <c r="W65" s="1198">
        <f>Q_IS!U194</f>
        <v>0.71627264635255106</v>
      </c>
      <c r="X65" s="1250"/>
      <c r="Y65" s="731"/>
      <c r="Z65" s="731"/>
      <c r="AA65" s="731"/>
      <c r="AB65" s="731"/>
      <c r="AC65" s="1198"/>
      <c r="AD65" s="1198"/>
      <c r="AE65" s="1181"/>
      <c r="AF65" s="1523"/>
      <c r="AG65" s="1408"/>
      <c r="AH65" s="13"/>
      <c r="AI65" s="13"/>
      <c r="AJ65" s="43"/>
      <c r="AK65" s="174"/>
      <c r="AL65" s="43"/>
    </row>
    <row r="66" spans="1:38" hidden="1" outlineLevel="1">
      <c r="A66" s="1552" t="str">
        <f t="shared" si="49"/>
        <v>Others</v>
      </c>
      <c r="B66" s="1197"/>
      <c r="C66" s="1197"/>
      <c r="D66" s="1197"/>
      <c r="E66" s="1197"/>
      <c r="F66" s="1197"/>
      <c r="G66" s="1197"/>
      <c r="H66" s="1197"/>
      <c r="I66" s="2252" t="str">
        <f>Q_IS!G195</f>
        <v>NA</v>
      </c>
      <c r="J66" s="2252" t="str">
        <f>Q_IS!H195</f>
        <v>NA</v>
      </c>
      <c r="K66" s="2253">
        <f>Q_IS!I195</f>
        <v>7.808193237528141E-2</v>
      </c>
      <c r="L66" s="2253">
        <f>Q_IS!J195</f>
        <v>0.14079006718419868</v>
      </c>
      <c r="M66" s="2253">
        <f>Q_IS!K195</f>
        <v>0.37457129756992208</v>
      </c>
      <c r="N66" s="2253">
        <f>Q_IS!L195</f>
        <v>0.71468465996222708</v>
      </c>
      <c r="O66" s="2253">
        <f>Q_IS!M195</f>
        <v>0.66659028764340167</v>
      </c>
      <c r="P66" s="1198">
        <f>Q_IS!N195</f>
        <v>-1.040135884349682</v>
      </c>
      <c r="Q66" s="1198">
        <f>Q_IS!O195</f>
        <v>0.25898254815328864</v>
      </c>
      <c r="R66" s="1198">
        <f>Q_IS!P195</f>
        <v>0.34106509484025621</v>
      </c>
      <c r="S66" s="1198">
        <f>Q_IS!Q195</f>
        <v>0.39128581255287703</v>
      </c>
      <c r="T66" s="1198">
        <f>Q_IS!R195</f>
        <v>0.42640019527659634</v>
      </c>
      <c r="U66" s="1198">
        <f>Q_IS!S195</f>
        <v>0.4482509544463954</v>
      </c>
      <c r="V66" s="1198">
        <f>Q_IS!T195</f>
        <v>0.4578894651029275</v>
      </c>
      <c r="W66" s="1198">
        <f>Q_IS!U195</f>
        <v>0.45565599001261503</v>
      </c>
      <c r="X66" s="1250"/>
      <c r="Y66" s="731"/>
      <c r="Z66" s="731"/>
      <c r="AA66" s="731"/>
      <c r="AB66" s="731"/>
      <c r="AC66" s="1198"/>
      <c r="AD66" s="1198"/>
      <c r="AE66" s="1181"/>
      <c r="AF66" s="1523"/>
      <c r="AG66" s="1408"/>
      <c r="AH66" s="13"/>
      <c r="AI66" s="13"/>
      <c r="AJ66" s="43"/>
      <c r="AK66" s="174"/>
      <c r="AL66" s="43"/>
    </row>
    <row r="67" spans="1:38" collapsed="1">
      <c r="A67" s="1196" t="s">
        <v>382</v>
      </c>
      <c r="B67" s="1194">
        <f>+'Annual historicals'!E177</f>
        <v>-70.400000000000006</v>
      </c>
      <c r="C67" s="1194">
        <f>+'Annual historicals'!F177</f>
        <v>-77.599999999999994</v>
      </c>
      <c r="D67" s="1194">
        <f>+'Annual historicals'!G177</f>
        <v>-87.3</v>
      </c>
      <c r="E67" s="1194">
        <f>SUM(Q_Financials!B26:E26)</f>
        <v>-140.09100000000001</v>
      </c>
      <c r="F67" s="1194">
        <f>SUM(Q_Financials!F26:I26)</f>
        <v>-191.21400000000003</v>
      </c>
      <c r="G67" s="1194">
        <f>SUM(Q_Financials!J26:M26)</f>
        <v>-202.506</v>
      </c>
      <c r="H67" s="1194">
        <f>SUM(Q_Financials!N26:Q26)</f>
        <v>-277.01599999999996</v>
      </c>
      <c r="I67" s="1194">
        <f>SUM(Q_Financials!R26:U26)</f>
        <v>-330.35499999999996</v>
      </c>
      <c r="J67" s="1200">
        <f>SUM(Q_Financials!V26:Y26)</f>
        <v>-351.62699999999995</v>
      </c>
      <c r="K67" s="1200">
        <f>SUM(Q_Financials!Z26:AC26)</f>
        <v>-452.95</v>
      </c>
      <c r="L67" s="1200">
        <f>SUM(Q_Financials!AD26:AG26)</f>
        <v>-448.28499999999997</v>
      </c>
      <c r="M67" s="1200">
        <f>SUM(Q_Financials!AH26:AK26)</f>
        <v>-599.029</v>
      </c>
      <c r="N67" s="1200">
        <f>SUM(Q_Financials!AL26:AO26)</f>
        <v>-723.76099999999997</v>
      </c>
      <c r="O67" s="1200">
        <f>SUM(Q_Financials!AP26:AS26)</f>
        <v>-737.91100000000006</v>
      </c>
      <c r="P67" s="1195">
        <f>Q_IS!N197</f>
        <v>-937.02296374027128</v>
      </c>
      <c r="Q67" s="1195">
        <f>Q_IS!O197</f>
        <v>-969.13922406645224</v>
      </c>
      <c r="R67" s="1195">
        <f>Q_IS!P197</f>
        <v>-1046.7014821966725</v>
      </c>
      <c r="S67" s="1195">
        <f>Q_IS!Q197</f>
        <v>-1204.6245556239382</v>
      </c>
      <c r="T67" s="1195">
        <f>Q_IS!R197</f>
        <v>-1289.2143715107193</v>
      </c>
      <c r="U67" s="1195">
        <f>Q_IS!S197</f>
        <v>-1226.9362955391991</v>
      </c>
      <c r="V67" s="1195">
        <f>Q_IS!T197</f>
        <v>-1195.5195738589618</v>
      </c>
      <c r="W67" s="1195">
        <f>Q_IS!U197</f>
        <v>-1337.8620990618506</v>
      </c>
      <c r="X67" s="1250"/>
      <c r="Y67" s="731"/>
      <c r="Z67" s="731"/>
      <c r="AA67" s="731"/>
      <c r="AB67" s="731"/>
      <c r="AC67" s="1403"/>
      <c r="AD67" s="1403"/>
      <c r="AE67" s="1525"/>
      <c r="AF67" s="1523"/>
      <c r="AG67" s="1408"/>
      <c r="AH67" s="165"/>
      <c r="AI67" s="165"/>
      <c r="AJ67" s="43"/>
      <c r="AK67" s="174"/>
      <c r="AL67" s="43"/>
    </row>
    <row r="68" spans="1:38">
      <c r="A68" s="1120" t="s">
        <v>220</v>
      </c>
      <c r="B68" s="1187">
        <f t="shared" ref="B68:S68" si="50">B61+B67</f>
        <v>21.531999999999954</v>
      </c>
      <c r="C68" s="1187">
        <f t="shared" si="50"/>
        <v>85.509999999999962</v>
      </c>
      <c r="D68" s="1187">
        <f t="shared" si="50"/>
        <v>234.89099999999996</v>
      </c>
      <c r="E68" s="1187">
        <f t="shared" si="50"/>
        <v>250.38599999999985</v>
      </c>
      <c r="F68" s="1187">
        <f t="shared" si="50"/>
        <v>-62.840999999999923</v>
      </c>
      <c r="G68" s="1187">
        <f t="shared" si="50"/>
        <v>40.672999999999945</v>
      </c>
      <c r="H68" s="1187">
        <f t="shared" si="50"/>
        <v>124.30599999999981</v>
      </c>
      <c r="I68" s="1187">
        <f t="shared" si="50"/>
        <v>235.76899999999983</v>
      </c>
      <c r="J68" s="1187">
        <f t="shared" si="50"/>
        <v>231.00800000000015</v>
      </c>
      <c r="K68" s="1187">
        <f t="shared" si="50"/>
        <v>198.80999999999977</v>
      </c>
      <c r="L68" s="1187">
        <f t="shared" si="50"/>
        <v>302.91800000000001</v>
      </c>
      <c r="M68" s="1187">
        <f t="shared" si="50"/>
        <v>532.68599999999969</v>
      </c>
      <c r="N68" s="1187">
        <f>N61+N67</f>
        <v>512.05299999999988</v>
      </c>
      <c r="O68" s="1187">
        <f t="shared" si="50"/>
        <v>706.48700000000008</v>
      </c>
      <c r="P68" s="1188">
        <f>P61+P67</f>
        <v>821.99908906319183</v>
      </c>
      <c r="Q68" s="1188">
        <f t="shared" si="50"/>
        <v>811.01167708280195</v>
      </c>
      <c r="R68" s="1188">
        <f t="shared" si="50"/>
        <v>906.28938993016277</v>
      </c>
      <c r="S68" s="1188">
        <f t="shared" si="50"/>
        <v>1094.004700671343</v>
      </c>
      <c r="T68" s="1188">
        <f t="shared" ref="T68:W68" si="51">T61+T67</f>
        <v>1168.7930777968661</v>
      </c>
      <c r="U68" s="1188">
        <f t="shared" si="51"/>
        <v>999.77813581046735</v>
      </c>
      <c r="V68" s="1188">
        <f t="shared" si="51"/>
        <v>894.59311279477424</v>
      </c>
      <c r="W68" s="1188">
        <f t="shared" si="51"/>
        <v>1315.7357619179606</v>
      </c>
      <c r="X68" s="1524"/>
      <c r="Y68" s="1215">
        <f>(O68/H68)^(1/7)-1</f>
        <v>0.28174527803290172</v>
      </c>
      <c r="Z68" s="1215">
        <f t="shared" ref="Z68" si="52">(R68/P68)^(1/2)-1</f>
        <v>5.0020503957617146E-2</v>
      </c>
      <c r="AA68" s="1215">
        <f>(W68/S68)^(1/5)-1</f>
        <v>3.7599844995154008E-2</v>
      </c>
      <c r="AB68" s="731"/>
      <c r="AC68" s="1188"/>
      <c r="AD68" s="1188"/>
      <c r="AE68" s="1525"/>
      <c r="AF68" s="1523"/>
      <c r="AG68" s="1408"/>
      <c r="AH68" s="19"/>
      <c r="AI68" s="19"/>
      <c r="AJ68" s="43"/>
      <c r="AK68" s="174"/>
      <c r="AL68" s="43"/>
    </row>
    <row r="69" spans="1:38" s="946" customFormat="1">
      <c r="A69" s="1189" t="s">
        <v>215</v>
      </c>
      <c r="B69" s="1190"/>
      <c r="C69" s="1205">
        <f>IF(B68&lt;0,"NM",C68/B68-1)</f>
        <v>2.9712985324168746</v>
      </c>
      <c r="D69" s="1205">
        <f t="shared" ref="D69:S69" si="53">IF(C68&lt;0,"NM",D68/C68-1)</f>
        <v>1.7469418781429082</v>
      </c>
      <c r="E69" s="1205">
        <f t="shared" si="53"/>
        <v>6.596676756452946E-2</v>
      </c>
      <c r="F69" s="1205">
        <f t="shared" si="53"/>
        <v>-1.250976492295895</v>
      </c>
      <c r="G69" s="1205" t="str">
        <f t="shared" si="53"/>
        <v>NM</v>
      </c>
      <c r="H69" s="1205">
        <f t="shared" si="53"/>
        <v>2.0562289479507285</v>
      </c>
      <c r="I69" s="1205">
        <f t="shared" si="53"/>
        <v>0.89668238057696481</v>
      </c>
      <c r="J69" s="1205">
        <f t="shared" si="53"/>
        <v>-2.0193494479764929E-2</v>
      </c>
      <c r="K69" s="1205">
        <f t="shared" si="53"/>
        <v>-0.13938045435656066</v>
      </c>
      <c r="L69" s="1205">
        <f t="shared" si="53"/>
        <v>0.52365575172275203</v>
      </c>
      <c r="M69" s="1205">
        <f t="shared" si="53"/>
        <v>0.75851550584646565</v>
      </c>
      <c r="N69" s="1205">
        <f t="shared" si="53"/>
        <v>-3.8733888256871407E-2</v>
      </c>
      <c r="O69" s="1205">
        <f t="shared" si="53"/>
        <v>0.37971459985587486</v>
      </c>
      <c r="P69" s="1206">
        <f t="shared" si="53"/>
        <v>0.16350207302213882</v>
      </c>
      <c r="Q69" s="1206">
        <f t="shared" si="53"/>
        <v>-1.3366696054264326E-2</v>
      </c>
      <c r="R69" s="1206">
        <f t="shared" si="53"/>
        <v>0.11748007524388981</v>
      </c>
      <c r="S69" s="1206">
        <f t="shared" si="53"/>
        <v>0.20712513334801952</v>
      </c>
      <c r="T69" s="1206">
        <f t="shared" ref="T69" si="54">IF(S68&lt;0,"NM",T68/S68-1)</f>
        <v>6.8362025391324854E-2</v>
      </c>
      <c r="U69" s="1206">
        <f t="shared" ref="U69" si="55">IF(T68&lt;0,"NM",U68/T68-1)</f>
        <v>-0.14460638516527324</v>
      </c>
      <c r="V69" s="1206">
        <f t="shared" ref="V69" si="56">IF(U68&lt;0,"NM",V68/U68-1)</f>
        <v>-0.1052083649843224</v>
      </c>
      <c r="W69" s="1206">
        <f t="shared" ref="W69" si="57">IF(V68&lt;0,"NM",W68/V68-1)</f>
        <v>0.470764466101808</v>
      </c>
      <c r="X69" s="1191"/>
      <c r="Y69" s="1196"/>
      <c r="Z69" s="1196"/>
      <c r="AA69" s="1196"/>
      <c r="AB69" s="1196"/>
      <c r="AC69" s="1206"/>
      <c r="AD69" s="1206"/>
      <c r="AE69" s="1526"/>
      <c r="AF69" s="1523"/>
      <c r="AG69" s="1408"/>
      <c r="AH69" s="947"/>
      <c r="AI69" s="947"/>
      <c r="AJ69" s="945"/>
      <c r="AK69" s="947"/>
      <c r="AL69" s="945"/>
    </row>
    <row r="70" spans="1:38">
      <c r="A70" s="1196" t="s">
        <v>221</v>
      </c>
      <c r="B70" s="1163">
        <f t="shared" ref="B70:W70" si="58">B68/B36</f>
        <v>4.1567567567567479E-2</v>
      </c>
      <c r="C70" s="1163">
        <f t="shared" si="58"/>
        <v>0.13191916075285401</v>
      </c>
      <c r="D70" s="1163">
        <f t="shared" si="58"/>
        <v>0.29069876810284867</v>
      </c>
      <c r="E70" s="1163">
        <f t="shared" si="58"/>
        <v>0.3029338069560103</v>
      </c>
      <c r="F70" s="1163">
        <f t="shared" si="58"/>
        <v>-8.8207798770388132E-2</v>
      </c>
      <c r="G70" s="1163">
        <f t="shared" si="58"/>
        <v>5.2519036262190948E-2</v>
      </c>
      <c r="H70" s="1163">
        <f t="shared" si="58"/>
        <v>0.10505152600470202</v>
      </c>
      <c r="I70" s="1163">
        <f t="shared" si="58"/>
        <v>0.18205706749197692</v>
      </c>
      <c r="J70" s="1163">
        <f t="shared" si="58"/>
        <v>0.16899026327917552</v>
      </c>
      <c r="K70" s="1163">
        <f t="shared" si="58"/>
        <v>0.12152534757985384</v>
      </c>
      <c r="L70" s="1163">
        <f t="shared" si="58"/>
        <v>0.15363368480846382</v>
      </c>
      <c r="M70" s="1163">
        <f t="shared" si="58"/>
        <v>0.22909629522588093</v>
      </c>
      <c r="N70" s="1163">
        <f t="shared" si="58"/>
        <v>0.1877454508522651</v>
      </c>
      <c r="O70" s="1163">
        <f t="shared" si="58"/>
        <v>0.23526965095531563</v>
      </c>
      <c r="P70" s="1164">
        <f t="shared" si="58"/>
        <v>0.22478883880160416</v>
      </c>
      <c r="Q70" s="1164">
        <f t="shared" si="58"/>
        <v>0.21443445977918613</v>
      </c>
      <c r="R70" s="1164">
        <f t="shared" si="58"/>
        <v>0.22186954792198774</v>
      </c>
      <c r="S70" s="1164">
        <f t="shared" si="58"/>
        <v>0.23271325364125833</v>
      </c>
      <c r="T70" s="1164">
        <f t="shared" si="58"/>
        <v>0.23230905309093788</v>
      </c>
      <c r="U70" s="1164">
        <f t="shared" si="58"/>
        <v>0.20880229259788669</v>
      </c>
      <c r="V70" s="1164">
        <f t="shared" si="58"/>
        <v>0.19174431709373665</v>
      </c>
      <c r="W70" s="1164">
        <f t="shared" si="58"/>
        <v>0.25200605188534425</v>
      </c>
      <c r="X70" s="1163"/>
      <c r="Y70" s="731"/>
      <c r="Z70" s="731"/>
      <c r="AA70" s="731"/>
      <c r="AB70" s="731"/>
      <c r="AC70" s="1164"/>
      <c r="AD70" s="1164"/>
      <c r="AE70" s="1181"/>
      <c r="AF70" s="1523"/>
      <c r="AG70" s="1408"/>
      <c r="AH70" s="166"/>
      <c r="AI70" s="166"/>
      <c r="AJ70" s="43"/>
      <c r="AK70" s="174"/>
      <c r="AL70" s="43"/>
    </row>
    <row r="71" spans="1:38">
      <c r="A71" s="731" t="s">
        <v>223</v>
      </c>
      <c r="B71" s="1717">
        <f>+'Annual historicals'!E178</f>
        <v>-41.234999999999999</v>
      </c>
      <c r="C71" s="1257">
        <f>+'Annual historicals'!F178</f>
        <v>-32.064</v>
      </c>
      <c r="D71" s="1201">
        <f>SUM(D72:D73)</f>
        <v>-33.197000000000003</v>
      </c>
      <c r="E71" s="1201">
        <f>SUM(E72:E73)</f>
        <v>-22.667000000000002</v>
      </c>
      <c r="F71" s="1200">
        <f>F73+F72</f>
        <v>-9.4070000000000107</v>
      </c>
      <c r="G71" s="1200">
        <f t="shared" ref="G71:L71" si="59">G73+G72</f>
        <v>-102.31700000000002</v>
      </c>
      <c r="H71" s="1200">
        <f>H73+H72</f>
        <v>-76.158999999999978</v>
      </c>
      <c r="I71" s="1200">
        <f t="shared" si="59"/>
        <v>-62.14</v>
      </c>
      <c r="J71" s="1200">
        <f t="shared" si="59"/>
        <v>-42.481999999999985</v>
      </c>
      <c r="K71" s="1200">
        <f t="shared" si="59"/>
        <v>-84.881999999999962</v>
      </c>
      <c r="L71" s="1200">
        <f t="shared" si="59"/>
        <v>-114.68599999999999</v>
      </c>
      <c r="M71" s="1200">
        <f t="shared" ref="M71" si="60">M73+M72</f>
        <v>-168.55900000000003</v>
      </c>
      <c r="N71" s="1200">
        <f t="shared" ref="N71" si="61">N73+N72</f>
        <v>-191.04699999999994</v>
      </c>
      <c r="O71" s="1200">
        <f t="shared" ref="O71" si="62">O73+O72</f>
        <v>-211.01599999999996</v>
      </c>
      <c r="P71" s="1195">
        <f t="shared" ref="P71" si="63">P73+P72</f>
        <v>-182.90814133127279</v>
      </c>
      <c r="Q71" s="1195">
        <f t="shared" ref="Q71" si="64">Q73+Q72</f>
        <v>-152.4029453336143</v>
      </c>
      <c r="R71" s="1195">
        <f t="shared" ref="R71" si="65">R73+R72</f>
        <v>-127.29428455128455</v>
      </c>
      <c r="S71" s="1195">
        <f t="shared" ref="S71:W71" si="66">S73+S72</f>
        <v>-118.03819178390663</v>
      </c>
      <c r="T71" s="1195">
        <f t="shared" si="66"/>
        <v>-107.56418103263923</v>
      </c>
      <c r="U71" s="1195">
        <f t="shared" si="66"/>
        <v>-100.0801133022417</v>
      </c>
      <c r="V71" s="1195">
        <f t="shared" si="66"/>
        <v>-119.42562950566605</v>
      </c>
      <c r="W71" s="1195">
        <f t="shared" si="66"/>
        <v>-133.69756385302344</v>
      </c>
      <c r="X71" s="1250"/>
      <c r="Y71" s="731"/>
      <c r="Z71" s="731"/>
      <c r="AA71" s="731"/>
      <c r="AB71" s="731"/>
      <c r="AC71" s="1403"/>
      <c r="AD71" s="1403"/>
      <c r="AE71" s="1181"/>
      <c r="AF71" s="1523"/>
      <c r="AG71" s="1408"/>
      <c r="AH71" s="233"/>
      <c r="AI71" s="233"/>
      <c r="AJ71" s="43"/>
      <c r="AK71" s="174"/>
      <c r="AL71" s="43"/>
    </row>
    <row r="72" spans="1:38" ht="12.75" customHeight="1">
      <c r="A72" s="1207" t="s">
        <v>173</v>
      </c>
      <c r="B72" s="1717" t="str">
        <f>+'Annual historicals'!E179</f>
        <v>NA</v>
      </c>
      <c r="C72" s="1717" t="str">
        <f>+'Annual historicals'!F179</f>
        <v>NA</v>
      </c>
      <c r="D72" s="1717">
        <f>+'Annual historicals'!G179</f>
        <v>38.320999999999998</v>
      </c>
      <c r="E72" s="1194">
        <f>SUM(Q_Financials!B29:E29)</f>
        <v>68.447000000000003</v>
      </c>
      <c r="F72" s="1194">
        <f>SUM(Q_Financials!F29:I29)</f>
        <v>78.676999999999992</v>
      </c>
      <c r="G72" s="1194">
        <f>SUM(Q_Financials!J29:M29)</f>
        <v>52.430999999999997</v>
      </c>
      <c r="H72" s="1194">
        <f>SUM(Q_Financials!N29:Q29)</f>
        <v>104.629</v>
      </c>
      <c r="I72" s="1194">
        <f>SUM(Q_Financials!R29:U29)</f>
        <v>39.466999999999999</v>
      </c>
      <c r="J72" s="1194">
        <f>SUM(Q_Financials!V29:Y29)</f>
        <v>75.692000000000007</v>
      </c>
      <c r="K72" s="1194">
        <f>SUM(Q_Financials!Z29:AC29)</f>
        <v>91.283000000000001</v>
      </c>
      <c r="L72" s="1194">
        <f>SUM(Q_Financials!AD29:AG29)</f>
        <v>43.763999999999996</v>
      </c>
      <c r="M72" s="1194">
        <f>SUM(Q_Financials!AH29:AK29)</f>
        <v>97.546000000000006</v>
      </c>
      <c r="N72" s="1194">
        <f>SUM(Q_Financials!AL29:AO29)</f>
        <v>120.22499999999999</v>
      </c>
      <c r="O72" s="1194">
        <f>SUM(Q_Financials!AP29:AS29)</f>
        <v>132.553</v>
      </c>
      <c r="P72" s="1195">
        <f>SUM(Q_Financials!AT29:AW29)</f>
        <v>126.94602702177312</v>
      </c>
      <c r="Q72" s="1195">
        <f>SUM(Q_Financials!AX29:BA29)</f>
        <v>105.1441569759062</v>
      </c>
      <c r="R72" s="1195">
        <f>SUM(Q_Financials!BB29:BE29)</f>
        <v>114.70497610284015</v>
      </c>
      <c r="S72" s="1195">
        <f>SUM(Q_Financials!BF29:BI29)</f>
        <v>123.96106887021807</v>
      </c>
      <c r="T72" s="1195">
        <f>SUM(Q_Financials!BJ29:BM29)</f>
        <v>134.43507962148547</v>
      </c>
      <c r="U72" s="1195">
        <f>SUM(Q_Financials!BN29:BQ29)</f>
        <v>141.919147351883</v>
      </c>
      <c r="V72" s="1195">
        <f>SUM(Q_Financials!BR29:BU29)</f>
        <v>122.57363114845865</v>
      </c>
      <c r="W72" s="1195">
        <f>SUM(Q_Financials!BV29:BY29)</f>
        <v>108.30169680110124</v>
      </c>
      <c r="X72" s="1250"/>
      <c r="Y72" s="731"/>
      <c r="Z72" s="731"/>
      <c r="AA72" s="731"/>
      <c r="AB72" s="731"/>
      <c r="AC72" s="1403"/>
      <c r="AD72" s="1403"/>
      <c r="AE72" s="1181"/>
      <c r="AF72" s="1523"/>
      <c r="AG72" s="1408"/>
      <c r="AH72" s="233"/>
      <c r="AI72" s="233"/>
      <c r="AJ72" s="43"/>
      <c r="AK72" s="174"/>
      <c r="AL72" s="43"/>
    </row>
    <row r="73" spans="1:38" ht="12.75" customHeight="1">
      <c r="A73" s="1207" t="s">
        <v>174</v>
      </c>
      <c r="B73" s="1717" t="str">
        <f>+'Annual historicals'!E180</f>
        <v>NA</v>
      </c>
      <c r="C73" s="1717" t="str">
        <f>+'Annual historicals'!F180</f>
        <v>NA</v>
      </c>
      <c r="D73" s="1717">
        <f>+'Annual historicals'!G180</f>
        <v>-71.518000000000001</v>
      </c>
      <c r="E73" s="1200">
        <f>SUM(Q_Financials!B30:E30)</f>
        <v>-91.114000000000004</v>
      </c>
      <c r="F73" s="1200">
        <f>SUM(Q_Financials!F30:I30)</f>
        <v>-88.084000000000003</v>
      </c>
      <c r="G73" s="1200">
        <f>SUM(Q_Financials!J30:M30)</f>
        <v>-154.74800000000002</v>
      </c>
      <c r="H73" s="1200">
        <f>SUM(Q_Financials!N30:Q30)</f>
        <v>-180.78799999999998</v>
      </c>
      <c r="I73" s="1200">
        <f>SUM(Q_Financials!R30:U30)</f>
        <v>-101.607</v>
      </c>
      <c r="J73" s="1200">
        <f>SUM(Q_Financials!V30:Y30)</f>
        <v>-118.17399999999999</v>
      </c>
      <c r="K73" s="1200">
        <f>SUM(Q_Financials!Z30:AC30)</f>
        <v>-176.16499999999996</v>
      </c>
      <c r="L73" s="1200">
        <f>SUM(Q_Financials!AD30:AG30)</f>
        <v>-158.44999999999999</v>
      </c>
      <c r="M73" s="1200">
        <f>SUM(Q_Financials!AH30:AK30)</f>
        <v>-266.10500000000002</v>
      </c>
      <c r="N73" s="1200">
        <f>SUM(Q_Financials!AL30:AO30)</f>
        <v>-311.27199999999993</v>
      </c>
      <c r="O73" s="1200">
        <f>SUM(Q_Financials!AP30:AS30)</f>
        <v>-343.56899999999996</v>
      </c>
      <c r="P73" s="1195">
        <f>SUM(Q_Financials!AT30:AW30)</f>
        <v>-309.85416835304591</v>
      </c>
      <c r="Q73" s="1195">
        <f>SUM(Q_Financials!AX30:BA30)</f>
        <v>-257.54710230952048</v>
      </c>
      <c r="R73" s="1195">
        <f>SUM(Q_Financials!BB30:BE30)</f>
        <v>-241.9992606541247</v>
      </c>
      <c r="S73" s="1195">
        <f>SUM(Q_Financials!BF30:BI30)</f>
        <v>-241.9992606541247</v>
      </c>
      <c r="T73" s="1195">
        <f>SUM(Q_Financials!BJ30:BM30)</f>
        <v>-241.9992606541247</v>
      </c>
      <c r="U73" s="1195">
        <f>SUM(Q_Financials!BN30:BQ30)</f>
        <v>-241.9992606541247</v>
      </c>
      <c r="V73" s="1195">
        <f>SUM(Q_Financials!BR30:BU30)</f>
        <v>-241.9992606541247</v>
      </c>
      <c r="W73" s="1195">
        <f>SUM(Q_Financials!BV30:BY30)</f>
        <v>-241.9992606541247</v>
      </c>
      <c r="X73" s="1250"/>
      <c r="Y73" s="731"/>
      <c r="Z73" s="731"/>
      <c r="AA73" s="731"/>
      <c r="AB73" s="731"/>
      <c r="AC73" s="1403"/>
      <c r="AD73" s="1403"/>
      <c r="AE73" s="1181"/>
      <c r="AF73" s="1523"/>
      <c r="AG73" s="1408"/>
      <c r="AH73" s="233"/>
      <c r="AI73" s="233"/>
      <c r="AJ73" s="43"/>
      <c r="AK73" s="174"/>
      <c r="AL73" s="43"/>
    </row>
    <row r="74" spans="1:38">
      <c r="A74" s="731" t="s">
        <v>914</v>
      </c>
      <c r="B74" s="1717">
        <f>+'Annual historicals'!E181</f>
        <v>-2.6379999999999999</v>
      </c>
      <c r="C74" s="1717">
        <f>+'Annual historicals'!F181</f>
        <v>1.0920000000000001</v>
      </c>
      <c r="D74" s="1717">
        <f>+'Annual historicals'!G181</f>
        <v>8.6990000000000016</v>
      </c>
      <c r="E74" s="1717">
        <f>+'Annual historicals'!H181</f>
        <v>7.6210000000000004</v>
      </c>
      <c r="F74" s="1200">
        <f>SUM(Q_Financials!F31:I31)</f>
        <v>0.97700000000000042</v>
      </c>
      <c r="G74" s="1200">
        <f>SUM(Q_Financials!J31:M31)</f>
        <v>-70.171999999999997</v>
      </c>
      <c r="H74" s="1200">
        <f>SUM(Q_Financials!N31:Q31)</f>
        <v>92.875999999999991</v>
      </c>
      <c r="I74" s="1200">
        <f>SUM(Q_Financials!R31:U31)</f>
        <v>23.465000000000003</v>
      </c>
      <c r="J74" s="1200">
        <f>SUM(Q_Financials!V31:Y31)</f>
        <v>-22.323</v>
      </c>
      <c r="K74" s="1200">
        <f>SUM(Q_Financials!Z31:AC31)</f>
        <v>-15.769000000000002</v>
      </c>
      <c r="L74" s="1200">
        <f>SUM(Q_Financials!AD31:AG31)</f>
        <v>7.488999999999999</v>
      </c>
      <c r="M74" s="1200">
        <f>SUM(Q_Financials!AH31:AK31)</f>
        <v>-12.562000000000001</v>
      </c>
      <c r="N74" s="1200">
        <f>SUM(Q_Financials!AL31:AO31)</f>
        <v>-129.185</v>
      </c>
      <c r="O74" s="1589">
        <f>SUM(Q_Financials!AP31:AS31)</f>
        <v>-49.898000000000003</v>
      </c>
      <c r="P74" s="1195">
        <f>SUM(Q_Financials!AT31:AW31)</f>
        <v>10.859</v>
      </c>
      <c r="Q74" s="1195">
        <f>SUM(Q_Financials!AX31:BA31)</f>
        <v>0</v>
      </c>
      <c r="R74" s="1195">
        <f>SUM(Q_Financials!BB31:BE31)</f>
        <v>0</v>
      </c>
      <c r="S74" s="1195">
        <f>SUM(Q_Financials!BF31:BI31)</f>
        <v>0</v>
      </c>
      <c r="T74" s="1195">
        <f>SUM(Q_Financials!BJ31:BM31)</f>
        <v>0</v>
      </c>
      <c r="U74" s="1195">
        <f>SUM(Q_Financials!BN31:BQ31)</f>
        <v>0</v>
      </c>
      <c r="V74" s="1195">
        <f>SUM(Q_Financials!BR31:BU31)</f>
        <v>0</v>
      </c>
      <c r="W74" s="1195">
        <f>SUM(Q_Financials!BV31:BY31)</f>
        <v>0</v>
      </c>
      <c r="X74" s="1250"/>
      <c r="Y74" s="731"/>
      <c r="Z74" s="731"/>
      <c r="AA74" s="731"/>
      <c r="AB74" s="731"/>
      <c r="AC74" s="1403"/>
      <c r="AD74" s="1403"/>
      <c r="AE74" s="1181"/>
      <c r="AF74" s="1523"/>
      <c r="AG74" s="1408"/>
      <c r="AH74" s="233"/>
      <c r="AI74" s="233"/>
      <c r="AJ74" s="43"/>
      <c r="AK74" s="174"/>
      <c r="AL74" s="43"/>
    </row>
    <row r="75" spans="1:38">
      <c r="A75" s="1120" t="s">
        <v>224</v>
      </c>
      <c r="B75" s="1209">
        <f t="shared" ref="B75:S75" si="67">B68+B71+B74</f>
        <v>-22.341000000000044</v>
      </c>
      <c r="C75" s="1209">
        <f t="shared" si="67"/>
        <v>54.537999999999961</v>
      </c>
      <c r="D75" s="1209">
        <f t="shared" si="67"/>
        <v>210.39299999999997</v>
      </c>
      <c r="E75" s="1209">
        <f t="shared" si="67"/>
        <v>235.33999999999986</v>
      </c>
      <c r="F75" s="1209">
        <f t="shared" si="67"/>
        <v>-71.27099999999993</v>
      </c>
      <c r="G75" s="1209">
        <f>G68+G71+G74</f>
        <v>-131.81600000000009</v>
      </c>
      <c r="H75" s="1209">
        <f t="shared" si="67"/>
        <v>141.02299999999983</v>
      </c>
      <c r="I75" s="1209">
        <f t="shared" si="67"/>
        <v>197.09399999999985</v>
      </c>
      <c r="J75" s="1209">
        <f t="shared" si="67"/>
        <v>166.20300000000017</v>
      </c>
      <c r="K75" s="1209">
        <f t="shared" si="67"/>
        <v>98.158999999999807</v>
      </c>
      <c r="L75" s="1209">
        <f t="shared" si="67"/>
        <v>195.72100000000003</v>
      </c>
      <c r="M75" s="1209">
        <f t="shared" ref="M75" si="68">M68+M71+M74</f>
        <v>351.56499999999966</v>
      </c>
      <c r="N75" s="1209">
        <f t="shared" si="67"/>
        <v>191.82099999999997</v>
      </c>
      <c r="O75" s="1590">
        <f t="shared" si="67"/>
        <v>445.57300000000009</v>
      </c>
      <c r="P75" s="1210">
        <f>P68+P71+P74</f>
        <v>649.94994773191911</v>
      </c>
      <c r="Q75" s="1210">
        <f t="shared" si="67"/>
        <v>658.60873174918765</v>
      </c>
      <c r="R75" s="1210">
        <f t="shared" si="67"/>
        <v>778.99510537887818</v>
      </c>
      <c r="S75" s="1210">
        <f t="shared" si="67"/>
        <v>975.96650888743636</v>
      </c>
      <c r="T75" s="1210">
        <f t="shared" ref="T75:W75" si="69">T68+T71+T74</f>
        <v>1061.2288967642269</v>
      </c>
      <c r="U75" s="1210">
        <f t="shared" si="69"/>
        <v>899.69802250822568</v>
      </c>
      <c r="V75" s="1210">
        <f t="shared" si="69"/>
        <v>775.16748328910819</v>
      </c>
      <c r="W75" s="1210">
        <f t="shared" si="69"/>
        <v>1182.0381980649372</v>
      </c>
      <c r="X75" s="1250"/>
      <c r="Y75" s="731"/>
      <c r="Z75" s="731"/>
      <c r="AA75" s="731"/>
      <c r="AB75" s="731"/>
      <c r="AC75" s="1404"/>
      <c r="AD75" s="1404"/>
      <c r="AE75" s="1525"/>
      <c r="AF75" s="1523"/>
      <c r="AG75" s="1408"/>
      <c r="AH75" s="19"/>
      <c r="AI75" s="19"/>
      <c r="AJ75" s="43"/>
      <c r="AK75" s="174"/>
      <c r="AL75" s="43"/>
    </row>
    <row r="76" spans="1:38">
      <c r="A76" s="731" t="s">
        <v>225</v>
      </c>
      <c r="B76" s="1194">
        <f>+'Annual historicals'!E182</f>
        <v>3.94</v>
      </c>
      <c r="C76" s="1194">
        <f>+'Annual historicals'!F182</f>
        <v>-18.835999999999999</v>
      </c>
      <c r="D76" s="1194">
        <f>+'Annual historicals'!G182</f>
        <v>-37.890999999999998</v>
      </c>
      <c r="E76" s="1194">
        <f>+'Annual historicals'!H182</f>
        <v>-36.573999999999998</v>
      </c>
      <c r="F76" s="1194">
        <f>SUM(Q_Financials!F33:I33)</f>
        <v>22.477</v>
      </c>
      <c r="G76" s="1194">
        <f>SUM(Q_Financials!J33:M33)</f>
        <v>53.556000000000004</v>
      </c>
      <c r="H76" s="1194">
        <f>SUM(Q_Financials!N33:Q33)</f>
        <v>-39.864999999999995</v>
      </c>
      <c r="I76" s="1194">
        <f>SUM(Q_Financials!R33:U33)</f>
        <v>-54.802999999999997</v>
      </c>
      <c r="J76" s="1194">
        <f>SUM(Q_Financials!V33:Y33)</f>
        <v>-39.592000000000006</v>
      </c>
      <c r="K76" s="1194">
        <f>SUM(Q_Financials!Z33:AC33)</f>
        <v>-25.209000000000003</v>
      </c>
      <c r="L76" s="1194">
        <f>SUM(Q_Financials!AD33:AG33)</f>
        <v>-60.719000000000001</v>
      </c>
      <c r="M76" s="1194">
        <f>SUM(Q_Financials!AH33:AK33)</f>
        <v>-32.067999999999998</v>
      </c>
      <c r="N76" s="1194">
        <f>SUM(Q_Financials!AL33:AO33)</f>
        <v>7.6129999999999978</v>
      </c>
      <c r="O76" s="1591">
        <f>SUM(Q_Financials!AP33:AS33)</f>
        <v>-161.685</v>
      </c>
      <c r="P76" s="1195">
        <f>SUM(Q_Financials!AT33:AW33)</f>
        <v>-127.14806111442633</v>
      </c>
      <c r="Q76" s="1195">
        <f>SUM(Q_Financials!AX33:BA33)</f>
        <v>-85.619135127394514</v>
      </c>
      <c r="R76" s="1195">
        <f>SUM(Q_Financials!BB33:BE33)</f>
        <v>-101.26936369925423</v>
      </c>
      <c r="S76" s="1195">
        <f>SUM(Q_Financials!BF33:BI33)</f>
        <v>-165.91430651086424</v>
      </c>
      <c r="T76" s="1195">
        <f>SUM(Q_Financials!BJ33:BM33)</f>
        <v>-201.63349038520306</v>
      </c>
      <c r="U76" s="1195">
        <f>SUM(Q_Financials!BN33:BQ33)</f>
        <v>-188.93658472672757</v>
      </c>
      <c r="V76" s="1195">
        <f>SUM(Q_Financials!BR33:BU33)</f>
        <v>-178.28852115649482</v>
      </c>
      <c r="W76" s="1195">
        <f>SUM(Q_Financials!BV33:BY33)</f>
        <v>-401.89298734207887</v>
      </c>
      <c r="X76" s="1798"/>
      <c r="Y76" s="731"/>
      <c r="Z76" s="731"/>
      <c r="AA76" s="731"/>
      <c r="AB76" s="731"/>
      <c r="AC76" s="1403"/>
      <c r="AD76" s="1403"/>
      <c r="AE76" s="1181"/>
      <c r="AF76" s="1523"/>
      <c r="AG76" s="1408"/>
      <c r="AH76" s="233"/>
      <c r="AI76" s="233"/>
      <c r="AJ76" s="43"/>
      <c r="AK76" s="174"/>
      <c r="AL76" s="43"/>
    </row>
    <row r="77" spans="1:38">
      <c r="A77" s="1196" t="s">
        <v>226</v>
      </c>
      <c r="B77" s="1163">
        <f t="shared" ref="B77:O77" si="70">IF(OR(-B76/B75&gt;1,-B76/B75&lt;0),"NM",-B76/B75)</f>
        <v>0.17635736985810807</v>
      </c>
      <c r="C77" s="1163">
        <f t="shared" si="70"/>
        <v>0.34537386776192769</v>
      </c>
      <c r="D77" s="1163">
        <f t="shared" si="70"/>
        <v>0.180096295979429</v>
      </c>
      <c r="E77" s="1163">
        <f t="shared" si="70"/>
        <v>0.15540919520693472</v>
      </c>
      <c r="F77" s="1163">
        <f t="shared" si="70"/>
        <v>0.31537371441399759</v>
      </c>
      <c r="G77" s="1163">
        <f t="shared" si="70"/>
        <v>0.40629362141166453</v>
      </c>
      <c r="H77" s="1163">
        <f t="shared" si="70"/>
        <v>0.28268438481666142</v>
      </c>
      <c r="I77" s="1163">
        <f t="shared" si="70"/>
        <v>0.27805514120166031</v>
      </c>
      <c r="J77" s="1163">
        <f t="shared" si="70"/>
        <v>0.23821471333249078</v>
      </c>
      <c r="K77" s="1163">
        <f t="shared" si="70"/>
        <v>0.25681801974347795</v>
      </c>
      <c r="L77" s="1163">
        <f t="shared" si="70"/>
        <v>0.31023242268330936</v>
      </c>
      <c r="M77" s="1163">
        <f t="shared" si="70"/>
        <v>9.1214995804474369E-2</v>
      </c>
      <c r="N77" s="1250" t="str">
        <f t="shared" si="70"/>
        <v>NM</v>
      </c>
      <c r="O77" s="1649">
        <f t="shared" si="70"/>
        <v>0.36286983277712065</v>
      </c>
      <c r="P77" s="1164">
        <f>Inputs!P139</f>
        <v>0.17</v>
      </c>
      <c r="Q77" s="1164">
        <f>Inputs!Q139</f>
        <v>0.13</v>
      </c>
      <c r="R77" s="1164">
        <f>Inputs!R139</f>
        <v>0.13</v>
      </c>
      <c r="S77" s="1164">
        <f>Inputs!S139</f>
        <v>0.17</v>
      </c>
      <c r="T77" s="1164">
        <f>Inputs!T139</f>
        <v>0.19</v>
      </c>
      <c r="U77" s="1164">
        <f>Inputs!U139</f>
        <v>0.21</v>
      </c>
      <c r="V77" s="1164">
        <f>Inputs!V139</f>
        <v>0.22999999999999998</v>
      </c>
      <c r="W77" s="1164">
        <f>Inputs!W139</f>
        <v>0.34</v>
      </c>
      <c r="X77" s="1250"/>
      <c r="Y77" s="731"/>
      <c r="Z77" s="731"/>
      <c r="AA77" s="731"/>
      <c r="AB77" s="731"/>
      <c r="AC77" s="1164"/>
      <c r="AD77" s="1164"/>
      <c r="AE77" s="1181"/>
      <c r="AF77" s="1523"/>
      <c r="AG77" s="1408"/>
      <c r="AH77" s="174"/>
      <c r="AI77" s="174"/>
      <c r="AJ77" s="43"/>
      <c r="AK77" s="174"/>
      <c r="AL77" s="43"/>
    </row>
    <row r="78" spans="1:38">
      <c r="A78" s="1120" t="s">
        <v>354</v>
      </c>
      <c r="B78" s="1187">
        <f t="shared" ref="B78:S78" si="71">B75+B76</f>
        <v>-18.401000000000042</v>
      </c>
      <c r="C78" s="1187">
        <f t="shared" si="71"/>
        <v>35.701999999999963</v>
      </c>
      <c r="D78" s="1187">
        <f t="shared" si="71"/>
        <v>172.50199999999998</v>
      </c>
      <c r="E78" s="1187">
        <f>E75+E76</f>
        <v>198.76599999999985</v>
      </c>
      <c r="F78" s="1187">
        <f t="shared" ref="F78:N78" si="72">F75+F76</f>
        <v>-48.793999999999926</v>
      </c>
      <c r="G78" s="1187">
        <f t="shared" si="72"/>
        <v>-78.260000000000076</v>
      </c>
      <c r="H78" s="1187">
        <f t="shared" si="72"/>
        <v>101.15799999999983</v>
      </c>
      <c r="I78" s="1187">
        <f t="shared" si="72"/>
        <v>142.29099999999985</v>
      </c>
      <c r="J78" s="1187">
        <f t="shared" ref="J78" si="73">J75+J76</f>
        <v>126.61100000000016</v>
      </c>
      <c r="K78" s="1187">
        <f t="shared" si="72"/>
        <v>72.949999999999804</v>
      </c>
      <c r="L78" s="1187">
        <f t="shared" si="72"/>
        <v>135.00200000000004</v>
      </c>
      <c r="M78" s="1187">
        <f t="shared" ref="M78" si="74">M75+M76</f>
        <v>319.49699999999967</v>
      </c>
      <c r="N78" s="1187">
        <f t="shared" si="72"/>
        <v>199.43399999999997</v>
      </c>
      <c r="O78" s="1592">
        <f t="shared" si="71"/>
        <v>283.88800000000009</v>
      </c>
      <c r="P78" s="1188">
        <f t="shared" si="71"/>
        <v>522.80188661749276</v>
      </c>
      <c r="Q78" s="1188">
        <f t="shared" si="71"/>
        <v>572.98959662179311</v>
      </c>
      <c r="R78" s="1188">
        <f t="shared" si="71"/>
        <v>677.72574167962398</v>
      </c>
      <c r="S78" s="1188">
        <f t="shared" si="71"/>
        <v>810.05220237657215</v>
      </c>
      <c r="T78" s="1188">
        <f t="shared" ref="T78:W78" si="75">T75+T76</f>
        <v>859.59540637902387</v>
      </c>
      <c r="U78" s="1188">
        <f t="shared" si="75"/>
        <v>710.7614377814981</v>
      </c>
      <c r="V78" s="1188">
        <f t="shared" si="75"/>
        <v>596.87896213261342</v>
      </c>
      <c r="W78" s="1188">
        <f t="shared" si="75"/>
        <v>780.14521072285834</v>
      </c>
      <c r="X78" s="1250"/>
      <c r="Y78" s="731"/>
      <c r="Z78" s="731"/>
      <c r="AA78" s="731"/>
      <c r="AB78" s="731"/>
      <c r="AC78" s="1188"/>
      <c r="AD78" s="1188"/>
      <c r="AE78" s="1525"/>
      <c r="AF78" s="1523"/>
      <c r="AG78" s="1408"/>
      <c r="AH78" s="20"/>
      <c r="AI78" s="20"/>
      <c r="AJ78" s="43"/>
      <c r="AK78" s="174"/>
      <c r="AL78" s="43"/>
    </row>
    <row r="79" spans="1:38">
      <c r="A79" s="1211" t="s">
        <v>355</v>
      </c>
      <c r="B79" s="1193">
        <v>0</v>
      </c>
      <c r="C79" s="1193">
        <v>0</v>
      </c>
      <c r="D79" s="1193">
        <v>0</v>
      </c>
      <c r="E79" s="1193">
        <v>0</v>
      </c>
      <c r="F79" s="1194">
        <f>SUM(Q_Financials!F36:I36)</f>
        <v>0</v>
      </c>
      <c r="G79" s="1194">
        <f>SUM(Q_Financials!J36:M36)</f>
        <v>6.3950000000000005</v>
      </c>
      <c r="H79" s="1194">
        <f>SUM(Q_Financials!N36:Q36)</f>
        <v>-3.0859999999999999</v>
      </c>
      <c r="I79" s="1194">
        <f>SUM(Q_Financials!R36:U36)</f>
        <v>0</v>
      </c>
      <c r="J79" s="1194">
        <f>SUM(Q_Financials!Y36:AB36)</f>
        <v>0</v>
      </c>
      <c r="K79" s="1194">
        <f>SUM(Q_Financials!Z36:AC36)</f>
        <v>0</v>
      </c>
      <c r="L79" s="1194">
        <f>SUM(Q_Financials!AD36:AG36)</f>
        <v>0</v>
      </c>
      <c r="M79" s="1194">
        <f>SUM(Q_Financials!AH36:AK36)</f>
        <v>-2.2589999999999999</v>
      </c>
      <c r="N79" s="1194">
        <f>SUM(Q_Financials!AL36:AO36)</f>
        <v>0</v>
      </c>
      <c r="O79" s="1591">
        <f>SUM(Q_Financials!AP36:AS36)</f>
        <v>0</v>
      </c>
      <c r="P79" s="1238">
        <f>Inputs!P140</f>
        <v>0</v>
      </c>
      <c r="Q79" s="1238">
        <f>Inputs!Q140</f>
        <v>0</v>
      </c>
      <c r="R79" s="1238">
        <f>Inputs!R140</f>
        <v>0</v>
      </c>
      <c r="S79" s="1238">
        <f>Inputs!S140</f>
        <v>0</v>
      </c>
      <c r="T79" s="1238">
        <f>Inputs!T140</f>
        <v>0</v>
      </c>
      <c r="U79" s="1238">
        <f>Inputs!U140</f>
        <v>0</v>
      </c>
      <c r="V79" s="1238">
        <f>Inputs!V140</f>
        <v>0</v>
      </c>
      <c r="W79" s="1238">
        <f>Inputs!W140</f>
        <v>0</v>
      </c>
      <c r="X79" s="1250"/>
      <c r="Y79" s="731"/>
      <c r="Z79" s="731"/>
      <c r="AA79" s="731"/>
      <c r="AB79" s="731"/>
      <c r="AC79" s="1405"/>
      <c r="AD79" s="1405"/>
      <c r="AE79" s="1181"/>
      <c r="AF79" s="1523"/>
      <c r="AG79" s="1408"/>
      <c r="AH79" s="232"/>
      <c r="AI79" s="232"/>
      <c r="AJ79" s="43"/>
      <c r="AK79" s="174"/>
      <c r="AL79" s="43"/>
    </row>
    <row r="80" spans="1:38">
      <c r="A80" s="1213" t="s">
        <v>356</v>
      </c>
      <c r="B80" s="1187">
        <f t="shared" ref="B80:S80" si="76">B78+B79</f>
        <v>-18.401000000000042</v>
      </c>
      <c r="C80" s="1187">
        <f t="shared" si="76"/>
        <v>35.701999999999963</v>
      </c>
      <c r="D80" s="1187">
        <f t="shared" si="76"/>
        <v>172.50199999999998</v>
      </c>
      <c r="E80" s="1187">
        <f t="shared" si="76"/>
        <v>198.76599999999985</v>
      </c>
      <c r="F80" s="1187">
        <f t="shared" si="76"/>
        <v>-48.793999999999926</v>
      </c>
      <c r="G80" s="1187">
        <f t="shared" si="76"/>
        <v>-71.86500000000008</v>
      </c>
      <c r="H80" s="1187">
        <f t="shared" si="76"/>
        <v>98.071999999999832</v>
      </c>
      <c r="I80" s="1187">
        <f t="shared" si="76"/>
        <v>142.29099999999985</v>
      </c>
      <c r="J80" s="1187">
        <f t="shared" si="76"/>
        <v>126.61100000000016</v>
      </c>
      <c r="K80" s="1187">
        <f t="shared" si="76"/>
        <v>72.949999999999804</v>
      </c>
      <c r="L80" s="1187">
        <f t="shared" si="76"/>
        <v>135.00200000000004</v>
      </c>
      <c r="M80" s="1187">
        <f t="shared" ref="M80" si="77">M78+M79</f>
        <v>317.23799999999966</v>
      </c>
      <c r="N80" s="1187">
        <f t="shared" si="76"/>
        <v>199.43399999999997</v>
      </c>
      <c r="O80" s="1592">
        <f t="shared" si="76"/>
        <v>283.88800000000009</v>
      </c>
      <c r="P80" s="1188">
        <f t="shared" si="76"/>
        <v>522.80188661749276</v>
      </c>
      <c r="Q80" s="1188">
        <f t="shared" si="76"/>
        <v>572.98959662179311</v>
      </c>
      <c r="R80" s="1188">
        <f t="shared" si="76"/>
        <v>677.72574167962398</v>
      </c>
      <c r="S80" s="1188">
        <f t="shared" si="76"/>
        <v>810.05220237657215</v>
      </c>
      <c r="T80" s="1188">
        <f t="shared" ref="T80:W80" si="78">T78+T79</f>
        <v>859.59540637902387</v>
      </c>
      <c r="U80" s="1188">
        <f t="shared" si="78"/>
        <v>710.7614377814981</v>
      </c>
      <c r="V80" s="1188">
        <f t="shared" si="78"/>
        <v>596.87896213261342</v>
      </c>
      <c r="W80" s="1188">
        <f t="shared" si="78"/>
        <v>780.14521072285834</v>
      </c>
      <c r="X80" s="1524"/>
      <c r="Y80" s="1215">
        <f>(O80/H80)^(1/7)-1</f>
        <v>0.16397363507066465</v>
      </c>
      <c r="Z80" s="1215">
        <f t="shared" ref="Z80" si="79">(R80/P80)^(1/2)-1</f>
        <v>0.13856654262489188</v>
      </c>
      <c r="AA80" s="1215">
        <f>(W80/S80)^(1/5)-1</f>
        <v>-7.4954922362633347E-3</v>
      </c>
      <c r="AB80" s="1529"/>
      <c r="AC80" s="1188"/>
      <c r="AD80" s="1188"/>
      <c r="AE80" s="1530"/>
      <c r="AF80" s="1523"/>
      <c r="AG80" s="1408"/>
      <c r="AH80" s="20"/>
      <c r="AI80" s="20"/>
      <c r="AJ80" s="43"/>
      <c r="AK80" s="174"/>
      <c r="AL80" s="43"/>
    </row>
    <row r="81" spans="1:38" ht="12.75" hidden="1" customHeight="1" outlineLevel="1">
      <c r="A81" s="1213" t="s">
        <v>1038</v>
      </c>
      <c r="B81" s="1187">
        <f t="shared" ref="B81:D81" si="80">B80</f>
        <v>-18.401000000000042</v>
      </c>
      <c r="C81" s="1187">
        <f t="shared" si="80"/>
        <v>35.701999999999963</v>
      </c>
      <c r="D81" s="1187">
        <f t="shared" si="80"/>
        <v>172.50199999999998</v>
      </c>
      <c r="E81" s="1187">
        <f>E80</f>
        <v>198.76599999999985</v>
      </c>
      <c r="F81" s="1187">
        <f t="shared" ref="F81:S81" si="81">F80</f>
        <v>-48.793999999999926</v>
      </c>
      <c r="G81" s="1187">
        <f t="shared" si="81"/>
        <v>-71.86500000000008</v>
      </c>
      <c r="H81" s="1187">
        <f t="shared" si="81"/>
        <v>98.071999999999832</v>
      </c>
      <c r="I81" s="1187">
        <f t="shared" si="81"/>
        <v>142.29099999999985</v>
      </c>
      <c r="J81" s="1187">
        <f t="shared" si="81"/>
        <v>126.61100000000016</v>
      </c>
      <c r="K81" s="1187">
        <f t="shared" si="81"/>
        <v>72.949999999999804</v>
      </c>
      <c r="L81" s="1187">
        <f t="shared" si="81"/>
        <v>135.00200000000004</v>
      </c>
      <c r="M81" s="1187">
        <f t="shared" ref="M81" si="82">M80</f>
        <v>317.23799999999966</v>
      </c>
      <c r="N81" s="1187">
        <f t="shared" si="81"/>
        <v>199.43399999999997</v>
      </c>
      <c r="O81" s="1592">
        <f t="shared" si="81"/>
        <v>283.88800000000009</v>
      </c>
      <c r="P81" s="1188">
        <f t="shared" si="81"/>
        <v>522.80188661749276</v>
      </c>
      <c r="Q81" s="1188">
        <f t="shared" si="81"/>
        <v>572.98959662179311</v>
      </c>
      <c r="R81" s="1188">
        <f t="shared" si="81"/>
        <v>677.72574167962398</v>
      </c>
      <c r="S81" s="1188">
        <f t="shared" si="81"/>
        <v>810.05220237657215</v>
      </c>
      <c r="T81" s="1188">
        <f t="shared" ref="T81:W81" si="83">T80</f>
        <v>859.59540637902387</v>
      </c>
      <c r="U81" s="1188">
        <f t="shared" si="83"/>
        <v>710.7614377814981</v>
      </c>
      <c r="V81" s="1188">
        <f t="shared" si="83"/>
        <v>596.87896213261342</v>
      </c>
      <c r="W81" s="1188">
        <f t="shared" si="83"/>
        <v>780.14521072285834</v>
      </c>
      <c r="X81" s="1524"/>
      <c r="Y81" s="1163"/>
      <c r="Z81" s="1531"/>
      <c r="AA81" s="1531"/>
      <c r="AB81" s="1529"/>
      <c r="AC81" s="1188"/>
      <c r="AD81" s="1188"/>
      <c r="AE81" s="1530"/>
      <c r="AF81" s="1523"/>
      <c r="AG81" s="1408"/>
      <c r="AH81" s="20"/>
      <c r="AI81" s="20"/>
      <c r="AJ81" s="43"/>
      <c r="AK81" s="174"/>
      <c r="AL81" s="43"/>
    </row>
    <row r="82" spans="1:38" hidden="1" outlineLevel="1">
      <c r="A82" s="1211" t="s">
        <v>357</v>
      </c>
      <c r="B82" s="1214"/>
      <c r="C82" s="1214"/>
      <c r="D82" s="1214"/>
      <c r="E82" s="1214"/>
      <c r="F82" s="1215">
        <f t="shared" ref="F82:W82" si="84">+F81/F36</f>
        <v>-6.8490497178630469E-2</v>
      </c>
      <c r="G82" s="1215">
        <f t="shared" si="84"/>
        <v>-9.2795725443964347E-2</v>
      </c>
      <c r="H82" s="1215">
        <f t="shared" si="84"/>
        <v>8.2881061721341964E-2</v>
      </c>
      <c r="I82" s="1215">
        <f t="shared" si="84"/>
        <v>0.10987484440490852</v>
      </c>
      <c r="J82" s="1215">
        <f t="shared" si="84"/>
        <v>9.262028251852622E-2</v>
      </c>
      <c r="K82" s="1215">
        <f t="shared" si="84"/>
        <v>4.4591691091747515E-2</v>
      </c>
      <c r="L82" s="1215">
        <f t="shared" si="84"/>
        <v>6.8470195618986776E-2</v>
      </c>
      <c r="M82" s="1215">
        <f t="shared" si="84"/>
        <v>0.13643694503866813</v>
      </c>
      <c r="N82" s="1215">
        <f t="shared" si="84"/>
        <v>7.3122950642356632E-2</v>
      </c>
      <c r="O82" s="1533">
        <f t="shared" si="84"/>
        <v>9.4538513334856342E-2</v>
      </c>
      <c r="P82" s="1216">
        <f t="shared" si="84"/>
        <v>0.14296856356613269</v>
      </c>
      <c r="Q82" s="1216">
        <f t="shared" si="84"/>
        <v>0.15150054935416601</v>
      </c>
      <c r="R82" s="1216">
        <f t="shared" si="84"/>
        <v>0.16591466874961322</v>
      </c>
      <c r="S82" s="1216">
        <f t="shared" si="84"/>
        <v>0.17231176750761568</v>
      </c>
      <c r="T82" s="1216">
        <f t="shared" si="84"/>
        <v>0.17085299245067656</v>
      </c>
      <c r="U82" s="1216">
        <f t="shared" si="84"/>
        <v>0.1484415515634776</v>
      </c>
      <c r="V82" s="1216">
        <f t="shared" si="84"/>
        <v>0.12793318811072876</v>
      </c>
      <c r="W82" s="1216">
        <f t="shared" si="84"/>
        <v>0.14942309857485353</v>
      </c>
      <c r="X82" s="1214"/>
      <c r="Y82" s="1532"/>
      <c r="Z82" s="1214"/>
      <c r="AA82" s="1214"/>
      <c r="AB82" s="1533"/>
      <c r="AC82" s="1216"/>
      <c r="AD82" s="1216"/>
      <c r="AE82" s="1534"/>
      <c r="AF82" s="1523"/>
      <c r="AG82" s="1408"/>
      <c r="AH82" s="174"/>
      <c r="AI82" s="174"/>
      <c r="AJ82" s="43"/>
      <c r="AK82" s="174"/>
      <c r="AL82" s="43"/>
    </row>
    <row r="83" spans="1:38" collapsed="1">
      <c r="A83" s="1211"/>
      <c r="B83" s="1214"/>
      <c r="C83" s="1214"/>
      <c r="D83" s="1214"/>
      <c r="E83" s="1214"/>
      <c r="F83" s="1215"/>
      <c r="G83" s="1215"/>
      <c r="H83" s="1215"/>
      <c r="I83" s="1215"/>
      <c r="J83" s="1215"/>
      <c r="K83" s="1215"/>
      <c r="L83" s="1215"/>
      <c r="M83" s="1215"/>
      <c r="N83" s="1215"/>
      <c r="O83" s="1533"/>
      <c r="P83" s="1216"/>
      <c r="Q83" s="1216"/>
      <c r="R83" s="1216"/>
      <c r="S83" s="1216"/>
      <c r="T83" s="1216"/>
      <c r="U83" s="1216"/>
      <c r="V83" s="1216"/>
      <c r="W83" s="1216"/>
      <c r="X83" s="1214"/>
      <c r="Y83" s="1532"/>
      <c r="Z83" s="1214"/>
      <c r="AA83" s="1214"/>
      <c r="AB83" s="1533"/>
      <c r="AC83" s="1216"/>
      <c r="AD83" s="1216"/>
      <c r="AE83" s="1534"/>
      <c r="AF83" s="1523"/>
      <c r="AG83" s="1408"/>
      <c r="AH83" s="174"/>
      <c r="AI83" s="174"/>
      <c r="AJ83" s="43"/>
      <c r="AK83" s="174"/>
      <c r="AL83" s="43"/>
    </row>
    <row r="84" spans="1:38">
      <c r="A84" s="1211" t="s">
        <v>358</v>
      </c>
      <c r="B84" s="1217">
        <f>'Annual historicals'!E106*3</f>
        <v>300</v>
      </c>
      <c r="C84" s="1217">
        <f>'Annual historicals'!F106*3</f>
        <v>300</v>
      </c>
      <c r="D84" s="1217">
        <f>'Annual historicals'!G106*3</f>
        <v>300</v>
      </c>
      <c r="E84" s="1217">
        <f>'Annual historicals'!H106*3</f>
        <v>339</v>
      </c>
      <c r="F84" s="1217">
        <f>'Annual historicals'!I106</f>
        <v>339</v>
      </c>
      <c r="G84" s="1217">
        <f>'Annual historicals'!J106</f>
        <v>338.58300000000003</v>
      </c>
      <c r="H84" s="1217">
        <f>'Annual historicals'!K106</f>
        <v>338.58300000000003</v>
      </c>
      <c r="I84" s="1217">
        <f>'Annual historicals'!L106</f>
        <v>338.58300000000003</v>
      </c>
      <c r="J84" s="1217">
        <f>'Annual historicals'!M106</f>
        <v>338.16300000000001</v>
      </c>
      <c r="K84" s="1217">
        <f>'Annual historicals'!N106</f>
        <v>336.65100000000001</v>
      </c>
      <c r="L84" s="1217">
        <f>'Annual historicals'!O106</f>
        <v>336.72899999999998</v>
      </c>
      <c r="M84" s="1217">
        <f>'Annual historicals'!P106</f>
        <v>337.71</v>
      </c>
      <c r="N84" s="1217">
        <f>'Annual historicals'!Q106</f>
        <v>338.928</v>
      </c>
      <c r="O84" s="1593">
        <f>'Annual historicals'!R106</f>
        <v>339.98762099999999</v>
      </c>
      <c r="P84" s="1218">
        <f>AVERAGE(Q_BS!O163:P163)</f>
        <v>351.45602329999997</v>
      </c>
      <c r="Q84" s="1218">
        <f>AVERAGE(Q_BS!P163:Q163)</f>
        <v>363.4678773</v>
      </c>
      <c r="R84" s="1218">
        <f>AVERAGE(Q_BS!Q163:R163)</f>
        <v>363.4678773</v>
      </c>
      <c r="S84" s="1218">
        <f>AVERAGE(Q_BS!R163:S163)</f>
        <v>363.4678773</v>
      </c>
      <c r="T84" s="1218">
        <f>AVERAGE(Q_BS!S163:T163)</f>
        <v>363.4678773</v>
      </c>
      <c r="U84" s="1218">
        <f>AVERAGE(Q_BS!T163:U163)</f>
        <v>363.4678773</v>
      </c>
      <c r="V84" s="1218">
        <f>AVERAGE(Q_BS!U163:V163)</f>
        <v>363.4678773</v>
      </c>
      <c r="W84" s="1218">
        <f>AVERAGE(Q_BS!V163:W163)</f>
        <v>363.4678773</v>
      </c>
      <c r="X84" s="1214"/>
      <c r="Y84" s="2414"/>
      <c r="Z84" s="1531"/>
      <c r="AA84" s="1531"/>
      <c r="AB84" s="1529"/>
      <c r="AC84" s="1218"/>
      <c r="AD84" s="1218"/>
      <c r="AE84" s="1292"/>
      <c r="AF84" s="1523"/>
      <c r="AG84" s="1408"/>
      <c r="AH84" s="43"/>
      <c r="AI84" s="43"/>
      <c r="AJ84" s="43"/>
      <c r="AK84" s="174"/>
      <c r="AL84" s="43"/>
    </row>
    <row r="85" spans="1:38" ht="12.75" customHeight="1">
      <c r="A85" s="1219" t="s">
        <v>359</v>
      </c>
      <c r="B85" s="1217">
        <f>'Annual historicals'!E107*3</f>
        <v>300</v>
      </c>
      <c r="C85" s="1217">
        <f>'Annual historicals'!F107*3</f>
        <v>300</v>
      </c>
      <c r="D85" s="1217">
        <f>'Annual historicals'!G107*3</f>
        <v>300</v>
      </c>
      <c r="E85" s="1217">
        <f>'Annual historicals'!H107*3</f>
        <v>339</v>
      </c>
      <c r="F85" s="1217">
        <f>'Annual historicals'!I107</f>
        <v>339</v>
      </c>
      <c r="G85" s="1217">
        <f>'Annual historicals'!J107</f>
        <v>338.58300000000003</v>
      </c>
      <c r="H85" s="1217">
        <f>'Annual historicals'!K107</f>
        <v>338.58300000000003</v>
      </c>
      <c r="I85" s="1217">
        <f>'Annual historicals'!L107</f>
        <v>338.58300000000003</v>
      </c>
      <c r="J85" s="1217">
        <f>'Annual historicals'!M107</f>
        <v>338.16300000000001</v>
      </c>
      <c r="K85" s="1217">
        <f>'Annual historicals'!N107</f>
        <v>337.101</v>
      </c>
      <c r="L85" s="1217">
        <f>'Annual historicals'!O107</f>
        <v>337.45499999999998</v>
      </c>
      <c r="M85" s="1217">
        <f>'Annual historicals'!P107</f>
        <v>338.58</v>
      </c>
      <c r="N85" s="1217">
        <f>'Annual historicals'!Q107</f>
        <v>339.60599999999999</v>
      </c>
      <c r="O85" s="1593">
        <f>'Annual historicals'!R107</f>
        <v>338.05900000000003</v>
      </c>
      <c r="P85" s="1218">
        <f>AVERAGE(Q_BS!O165:P165)</f>
        <v>352.98100694999999</v>
      </c>
      <c r="Q85" s="1218">
        <f>AVERAGE(Q_BS!P165:Q165)</f>
        <v>363.4678773</v>
      </c>
      <c r="R85" s="1218">
        <f>AVERAGE(Q_BS!Q165:R165)</f>
        <v>363.4678773</v>
      </c>
      <c r="S85" s="1218">
        <f>AVERAGE(Q_BS!R165:S165)</f>
        <v>363.4678773</v>
      </c>
      <c r="T85" s="1218">
        <f>AVERAGE(Q_BS!S165:T165)</f>
        <v>363.4678773</v>
      </c>
      <c r="U85" s="1218">
        <f>AVERAGE(Q_BS!T165:U165)</f>
        <v>363.4678773</v>
      </c>
      <c r="V85" s="1218">
        <f>AVERAGE(Q_BS!U165:V165)</f>
        <v>363.4678773</v>
      </c>
      <c r="W85" s="1218">
        <f>AVERAGE(Q_BS!V165:W165)</f>
        <v>363.4678773</v>
      </c>
      <c r="X85" s="1532"/>
      <c r="Y85" s="1163"/>
      <c r="Z85" s="1531"/>
      <c r="AA85" s="1531"/>
      <c r="AB85" s="1535"/>
      <c r="AC85" s="1218"/>
      <c r="AD85" s="1218"/>
      <c r="AE85" s="1536"/>
      <c r="AF85" s="1523"/>
      <c r="AG85" s="1408"/>
      <c r="AH85" s="21"/>
      <c r="AI85" s="21"/>
      <c r="AJ85" s="43"/>
      <c r="AK85" s="174"/>
      <c r="AL85" s="43"/>
    </row>
    <row r="86" spans="1:38" ht="12.75" customHeight="1">
      <c r="A86" s="1211" t="s">
        <v>967</v>
      </c>
      <c r="B86" s="1220">
        <f>IF(ISERROR(B80/B84),"",B80/B84)</f>
        <v>-6.133666666666681E-2</v>
      </c>
      <c r="C86" s="1220">
        <f t="shared" ref="C86:S86" si="85">IF(ISERROR(C80/C84),"",C80/C84)</f>
        <v>0.11900666666666654</v>
      </c>
      <c r="D86" s="1220">
        <f t="shared" si="85"/>
        <v>0.57500666666666655</v>
      </c>
      <c r="E86" s="1220">
        <f t="shared" si="85"/>
        <v>0.58633038348082556</v>
      </c>
      <c r="F86" s="1220">
        <f t="shared" si="85"/>
        <v>-0.14393510324483755</v>
      </c>
      <c r="G86" s="1220">
        <f t="shared" si="85"/>
        <v>-0.21225223948042304</v>
      </c>
      <c r="H86" s="1220">
        <f t="shared" si="85"/>
        <v>0.28965423544596103</v>
      </c>
      <c r="I86" s="1220">
        <f t="shared" si="85"/>
        <v>0.42025441324579155</v>
      </c>
      <c r="J86" s="1220">
        <f t="shared" si="85"/>
        <v>0.37440819959605326</v>
      </c>
      <c r="K86" s="1220">
        <f t="shared" si="85"/>
        <v>0.21669325206222409</v>
      </c>
      <c r="L86" s="1220">
        <f t="shared" si="85"/>
        <v>0.40092180952635514</v>
      </c>
      <c r="M86" s="1220">
        <f t="shared" ref="M86" si="86">IF(ISERROR(M80/M84),"",M80/M84)</f>
        <v>0.9393799413698134</v>
      </c>
      <c r="N86" s="1220">
        <f t="shared" si="85"/>
        <v>0.58842586035972233</v>
      </c>
      <c r="O86" s="1220">
        <f t="shared" si="85"/>
        <v>0.83499510707185454</v>
      </c>
      <c r="P86" s="1221">
        <f t="shared" si="85"/>
        <v>1.4875314462066662</v>
      </c>
      <c r="Q86" s="1221">
        <f t="shared" si="85"/>
        <v>1.5764518198367707</v>
      </c>
      <c r="R86" s="1221">
        <f t="shared" si="85"/>
        <v>1.8646097330913265</v>
      </c>
      <c r="S86" s="1221">
        <f t="shared" si="85"/>
        <v>2.2286761856205777</v>
      </c>
      <c r="T86" s="1221">
        <f t="shared" ref="T86:W86" si="87">IF(ISERROR(T80/T84),"",T80/T84)</f>
        <v>2.3649831527464777</v>
      </c>
      <c r="U86" s="1221">
        <f t="shared" si="87"/>
        <v>1.9555000102384512</v>
      </c>
      <c r="V86" s="1221">
        <f t="shared" si="87"/>
        <v>1.642178028403759</v>
      </c>
      <c r="W86" s="1221">
        <f t="shared" si="87"/>
        <v>2.1463938340799791</v>
      </c>
      <c r="X86" s="1532"/>
      <c r="Y86" s="731"/>
      <c r="Z86" s="1531"/>
      <c r="AA86" s="1531"/>
      <c r="AB86" s="1535"/>
      <c r="AC86" s="1218"/>
      <c r="AD86" s="1406"/>
      <c r="AE86" s="1536"/>
      <c r="AF86" s="1523"/>
      <c r="AG86" s="1408"/>
      <c r="AH86" s="21"/>
      <c r="AI86" s="21"/>
      <c r="AJ86" s="43"/>
      <c r="AK86" s="174"/>
      <c r="AL86" s="43"/>
    </row>
    <row r="87" spans="1:38" s="763" customFormat="1">
      <c r="A87" s="1213" t="s">
        <v>360</v>
      </c>
      <c r="B87" s="1881">
        <f t="shared" ref="B87:S87" si="88">IF(ISERROR(B80/B85),"",B80/B85)</f>
        <v>-6.133666666666681E-2</v>
      </c>
      <c r="C87" s="1881">
        <f t="shared" si="88"/>
        <v>0.11900666666666654</v>
      </c>
      <c r="D87" s="1881">
        <f t="shared" si="88"/>
        <v>0.57500666666666655</v>
      </c>
      <c r="E87" s="1881">
        <f t="shared" si="88"/>
        <v>0.58633038348082556</v>
      </c>
      <c r="F87" s="1881">
        <f t="shared" ref="F87:N87" si="89">IF(ISERROR(F80/F85),"",F80/F85)</f>
        <v>-0.14393510324483755</v>
      </c>
      <c r="G87" s="1881">
        <f t="shared" si="89"/>
        <v>-0.21225223948042304</v>
      </c>
      <c r="H87" s="1881">
        <f t="shared" si="89"/>
        <v>0.28965423544596103</v>
      </c>
      <c r="I87" s="1881">
        <f t="shared" si="89"/>
        <v>0.42025441324579155</v>
      </c>
      <c r="J87" s="1881">
        <f t="shared" si="89"/>
        <v>0.37440819959605326</v>
      </c>
      <c r="K87" s="1881">
        <f t="shared" si="89"/>
        <v>0.2164039857490776</v>
      </c>
      <c r="L87" s="1881">
        <f t="shared" si="89"/>
        <v>0.4000592671615476</v>
      </c>
      <c r="M87" s="1881">
        <f t="shared" ref="M87" si="90">IF(ISERROR(M80/M85),"",M80/M85)</f>
        <v>0.93696615275562545</v>
      </c>
      <c r="N87" s="1881">
        <f t="shared" si="89"/>
        <v>0.5872511086376565</v>
      </c>
      <c r="O87" s="1881">
        <f t="shared" si="88"/>
        <v>0.83975874033822517</v>
      </c>
      <c r="P87" s="1882">
        <f t="shared" si="88"/>
        <v>1.4811048649185479</v>
      </c>
      <c r="Q87" s="1882">
        <f t="shared" si="88"/>
        <v>1.5764518198367707</v>
      </c>
      <c r="R87" s="1882">
        <f t="shared" si="88"/>
        <v>1.8646097330913265</v>
      </c>
      <c r="S87" s="1882">
        <f t="shared" si="88"/>
        <v>2.2286761856205777</v>
      </c>
      <c r="T87" s="1882">
        <f t="shared" ref="T87:W87" si="91">IF(ISERROR(T80/T85),"",T80/T85)</f>
        <v>2.3649831527464777</v>
      </c>
      <c r="U87" s="1882">
        <f t="shared" si="91"/>
        <v>1.9555000102384512</v>
      </c>
      <c r="V87" s="1882">
        <f t="shared" si="91"/>
        <v>1.642178028403759</v>
      </c>
      <c r="W87" s="1882">
        <f t="shared" si="91"/>
        <v>2.1463938340799791</v>
      </c>
      <c r="X87" s="1524"/>
      <c r="Y87" s="1215">
        <f>(O87/H87)^(1/7)-1</f>
        <v>0.16423120524286938</v>
      </c>
      <c r="Z87" s="1215">
        <f t="shared" ref="Z87" si="92">(R87/P87)^(1/2)-1</f>
        <v>0.12202121665392496</v>
      </c>
      <c r="AA87" s="1215">
        <f>(W87/S87)^(1/5)-1</f>
        <v>-7.4954922362633347E-3</v>
      </c>
      <c r="AB87" s="1529"/>
      <c r="AC87" s="1883"/>
      <c r="AD87" s="1884"/>
      <c r="AE87" s="1885"/>
      <c r="AF87" s="1886"/>
      <c r="AG87" s="1887"/>
      <c r="AH87" s="1888"/>
      <c r="AI87" s="1888"/>
      <c r="AJ87" s="1888"/>
      <c r="AK87" s="1888"/>
      <c r="AL87" s="1888"/>
    </row>
    <row r="88" spans="1:38" ht="12.75" hidden="1" customHeight="1" outlineLevel="1">
      <c r="A88" s="1211" t="s">
        <v>1021</v>
      </c>
      <c r="B88" s="1223">
        <f>'Annual historicals'!E115</f>
        <v>7</v>
      </c>
      <c r="C88" s="1223">
        <f>'Annual historicals'!F115</f>
        <v>7.4</v>
      </c>
      <c r="D88" s="1223">
        <f>'Annual historicals'!G115</f>
        <v>17.899999999999999</v>
      </c>
      <c r="E88" s="1223">
        <f>'Annual historicals'!H115</f>
        <v>19.99979626</v>
      </c>
      <c r="F88" s="1223">
        <f>'Annual historicals'!I115</f>
        <v>0</v>
      </c>
      <c r="G88" s="1223">
        <f>'Annual historicals'!J115</f>
        <v>0</v>
      </c>
      <c r="H88" s="1223">
        <f>'Annual historicals'!K115</f>
        <v>30.933</v>
      </c>
      <c r="I88" s="1223">
        <f>'Annual historicals'!L115</f>
        <v>30.242050030000001</v>
      </c>
      <c r="J88" s="1223">
        <f>'Annual historicals'!M115</f>
        <v>36.084000000000003</v>
      </c>
      <c r="K88" s="1223">
        <f>'Annual historicals'!N115</f>
        <v>30</v>
      </c>
      <c r="L88" s="1223">
        <f>'Annual historicals'!O115</f>
        <v>40.405000000000001</v>
      </c>
      <c r="M88" s="1223">
        <f>'Annual historicals'!P115</f>
        <v>67.938999999999993</v>
      </c>
      <c r="N88" s="1223">
        <f>'Annual historicals'!Q115</f>
        <v>53.164000000000001</v>
      </c>
      <c r="O88" s="1223">
        <f>'Annual historicals'!R115</f>
        <v>74.242000000000004</v>
      </c>
      <c r="P88" s="1224">
        <f t="shared" ref="P88:W88" si="93">IF(P80&lt;0,0,P80*P90)</f>
        <v>209.12075464699711</v>
      </c>
      <c r="Q88" s="1224">
        <f t="shared" si="93"/>
        <v>286.49479831089656</v>
      </c>
      <c r="R88" s="1224">
        <f t="shared" si="93"/>
        <v>474.40801917573674</v>
      </c>
      <c r="S88" s="1224">
        <f t="shared" si="93"/>
        <v>567.03654166360047</v>
      </c>
      <c r="T88" s="1224">
        <f t="shared" si="93"/>
        <v>601.71678446531666</v>
      </c>
      <c r="U88" s="1224">
        <f t="shared" si="93"/>
        <v>710.7614377814981</v>
      </c>
      <c r="V88" s="1224">
        <f t="shared" si="93"/>
        <v>596.87896213261342</v>
      </c>
      <c r="W88" s="1224">
        <f t="shared" si="93"/>
        <v>780.14521072285834</v>
      </c>
      <c r="X88" s="1524"/>
      <c r="Y88" s="731"/>
      <c r="Z88" s="1537"/>
      <c r="AA88" s="1537"/>
      <c r="AB88" s="990"/>
      <c r="AC88" s="1218"/>
      <c r="AD88" s="1407"/>
      <c r="AE88" s="1292"/>
      <c r="AF88" s="1523"/>
      <c r="AG88" s="1408"/>
      <c r="AH88" s="43"/>
      <c r="AI88" s="43"/>
      <c r="AJ88" s="43"/>
      <c r="AK88" s="43"/>
      <c r="AL88" s="43"/>
    </row>
    <row r="89" spans="1:38" hidden="1" outlineLevel="1">
      <c r="A89" s="1211" t="s">
        <v>361</v>
      </c>
      <c r="B89" s="1225" t="str">
        <f>'Annual historicals'!E117</f>
        <v>NA</v>
      </c>
      <c r="C89" s="1225" t="str">
        <f>'Annual historicals'!F117</f>
        <v>NA</v>
      </c>
      <c r="D89" s="1225" t="str">
        <f>'Annual historicals'!G117</f>
        <v>NA</v>
      </c>
      <c r="E89" s="1225">
        <f>'Annual historicals'!H117</f>
        <v>0.17699000000000001</v>
      </c>
      <c r="F89" s="1225">
        <f>'Annual historicals'!I117</f>
        <v>0</v>
      </c>
      <c r="G89" s="1225">
        <f>'Annual historicals'!J117</f>
        <v>0</v>
      </c>
      <c r="H89" s="1225">
        <f>'Annual historicals'!K117</f>
        <v>0.27410000000000001</v>
      </c>
      <c r="I89" s="1225">
        <f>'Annual historicals'!L117</f>
        <v>0.26789999999999997</v>
      </c>
      <c r="J89" s="1225">
        <f>'Annual historicals'!M117</f>
        <v>0.32134299999999999</v>
      </c>
      <c r="K89" s="1225">
        <f>'Annual historicals'!N117</f>
        <v>0.26730199999999998</v>
      </c>
      <c r="L89" s="1225">
        <f>'Annual historicals'!O117</f>
        <v>0.35949999999999999</v>
      </c>
      <c r="M89" s="1225">
        <f>'Annual historicals'!P117</f>
        <v>0.20117556483373308</v>
      </c>
      <c r="N89" s="1225">
        <f>'Annual historicals'!Q117</f>
        <v>0.15685927394608884</v>
      </c>
      <c r="O89" s="1225">
        <f>'Annual historicals'!R117</f>
        <v>0.20699999999999999</v>
      </c>
      <c r="P89" s="1221">
        <f t="shared" ref="P89:W89" si="94">P88/P84</f>
        <v>0.59501257848266653</v>
      </c>
      <c r="Q89" s="1221">
        <f t="shared" si="94"/>
        <v>0.78822590991838537</v>
      </c>
      <c r="R89" s="1221">
        <f t="shared" si="94"/>
        <v>1.3052268131639284</v>
      </c>
      <c r="S89" s="1221">
        <f t="shared" si="94"/>
        <v>1.5600733299344043</v>
      </c>
      <c r="T89" s="1221">
        <f t="shared" si="94"/>
        <v>1.6554882069225343</v>
      </c>
      <c r="U89" s="1221">
        <f t="shared" si="94"/>
        <v>1.9555000102384512</v>
      </c>
      <c r="V89" s="1221">
        <f t="shared" si="94"/>
        <v>1.642178028403759</v>
      </c>
      <c r="W89" s="1221">
        <f t="shared" si="94"/>
        <v>2.1463938340799791</v>
      </c>
      <c r="X89" s="731"/>
      <c r="Y89" s="731"/>
      <c r="Z89" s="731"/>
      <c r="AA89" s="731"/>
      <c r="AB89" s="1533"/>
      <c r="AC89" s="1406"/>
      <c r="AD89" s="1406"/>
      <c r="AE89" s="1534"/>
      <c r="AF89" s="1523"/>
      <c r="AG89" s="1408"/>
      <c r="AH89" s="174"/>
      <c r="AI89" s="174"/>
      <c r="AJ89" s="43"/>
      <c r="AK89" s="43"/>
      <c r="AL89" s="43"/>
    </row>
    <row r="90" spans="1:38" s="43" customFormat="1" ht="12.75" hidden="1" customHeight="1" outlineLevel="1">
      <c r="A90" s="1705" t="s">
        <v>1018</v>
      </c>
      <c r="B90" s="1533">
        <f t="shared" ref="B90:L90" si="95">B88/B80</f>
        <v>-0.38041410792891606</v>
      </c>
      <c r="C90" s="1533">
        <f t="shared" si="95"/>
        <v>0.20727130132765695</v>
      </c>
      <c r="D90" s="1533">
        <f t="shared" si="95"/>
        <v>0.10376691284738727</v>
      </c>
      <c r="E90" s="1533">
        <f t="shared" si="95"/>
        <v>0.10061980549993467</v>
      </c>
      <c r="F90" s="1533">
        <f t="shared" si="95"/>
        <v>0</v>
      </c>
      <c r="G90" s="1533">
        <f t="shared" si="95"/>
        <v>0</v>
      </c>
      <c r="H90" s="1533">
        <f t="shared" si="95"/>
        <v>0.31541112651929248</v>
      </c>
      <c r="I90" s="1533">
        <f t="shared" si="95"/>
        <v>0.21253663288612795</v>
      </c>
      <c r="J90" s="1533">
        <f t="shared" si="95"/>
        <v>0.28499893374193364</v>
      </c>
      <c r="K90" s="1533">
        <f t="shared" si="95"/>
        <v>0.41124057573680711</v>
      </c>
      <c r="L90" s="1533">
        <f t="shared" si="95"/>
        <v>0.29929186234278005</v>
      </c>
      <c r="M90" s="1533">
        <f>IF(ISERROR(M88/M80),"NM",M88/M80)</f>
        <v>0.21415782472465489</v>
      </c>
      <c r="N90" s="1533">
        <f>IF(ISERROR(N88/N80),"NM",N88/N80)</f>
        <v>0.2665744055677568</v>
      </c>
      <c r="O90" s="1533">
        <f>IF(ISERROR(O88/O80),"NM",O88/O80)</f>
        <v>0.26151862706419426</v>
      </c>
      <c r="P90" s="1706">
        <f>Inputs!P183</f>
        <v>0.4</v>
      </c>
      <c r="Q90" s="1706">
        <f>Inputs!Q183</f>
        <v>0.5</v>
      </c>
      <c r="R90" s="1706">
        <f>Inputs!R183</f>
        <v>0.7</v>
      </c>
      <c r="S90" s="1706">
        <f>Inputs!S183</f>
        <v>0.7</v>
      </c>
      <c r="T90" s="1706">
        <f>Inputs!T183</f>
        <v>0.7</v>
      </c>
      <c r="U90" s="1706">
        <f>Inputs!U183</f>
        <v>1</v>
      </c>
      <c r="V90" s="1706">
        <f>Inputs!V183</f>
        <v>1</v>
      </c>
      <c r="W90" s="1706">
        <f>Inputs!W183</f>
        <v>1</v>
      </c>
      <c r="X90" s="990"/>
      <c r="Y90" s="990"/>
      <c r="Z90" s="990"/>
      <c r="AA90" s="990"/>
      <c r="AB90" s="990"/>
      <c r="AC90" s="1706"/>
      <c r="AD90" s="1706"/>
      <c r="AE90" s="1292"/>
      <c r="AF90" s="1534"/>
      <c r="AG90" s="174"/>
    </row>
    <row r="91" spans="1:38" collapsed="1">
      <c r="A91" s="731"/>
      <c r="B91" s="731"/>
      <c r="C91" s="731"/>
      <c r="D91" s="731"/>
      <c r="E91" s="731"/>
      <c r="F91" s="731"/>
      <c r="G91" s="731"/>
      <c r="H91" s="731"/>
      <c r="I91" s="731"/>
      <c r="J91" s="1559"/>
      <c r="K91" s="1559"/>
      <c r="L91" s="1559"/>
      <c r="M91" s="1559"/>
      <c r="N91" s="1559"/>
      <c r="O91" s="1559"/>
      <c r="P91" s="1559"/>
      <c r="Q91" s="1559"/>
      <c r="R91" s="1559"/>
      <c r="S91" s="1559"/>
      <c r="T91" s="1559"/>
      <c r="U91" s="1559"/>
      <c r="V91" s="1559"/>
      <c r="W91" s="1559"/>
      <c r="X91" s="731"/>
      <c r="Y91" s="731"/>
      <c r="Z91" s="731"/>
      <c r="AA91" s="1538"/>
      <c r="AB91" s="1539"/>
      <c r="AC91" s="1540"/>
      <c r="AD91" s="1292"/>
      <c r="AE91" s="1292"/>
      <c r="AF91" s="1292"/>
      <c r="AG91" s="43"/>
      <c r="AH91" s="43"/>
      <c r="AI91" s="43"/>
      <c r="AJ91" s="43"/>
      <c r="AK91" s="43"/>
      <c r="AL91" s="43"/>
    </row>
    <row r="92" spans="1:38">
      <c r="A92" s="1342" t="s">
        <v>363</v>
      </c>
      <c r="B92" s="1343">
        <f t="shared" ref="B92:W92" si="96">B$4</f>
        <v>2004</v>
      </c>
      <c r="C92" s="1343">
        <f t="shared" si="96"/>
        <v>2005</v>
      </c>
      <c r="D92" s="1343">
        <f t="shared" si="96"/>
        <v>2006</v>
      </c>
      <c r="E92" s="1343">
        <f t="shared" si="96"/>
        <v>2007</v>
      </c>
      <c r="F92" s="1343">
        <f t="shared" si="96"/>
        <v>2008</v>
      </c>
      <c r="G92" s="1343">
        <f t="shared" si="96"/>
        <v>2009</v>
      </c>
      <c r="H92" s="1343">
        <f t="shared" si="96"/>
        <v>2010</v>
      </c>
      <c r="I92" s="1343">
        <f t="shared" si="96"/>
        <v>2011</v>
      </c>
      <c r="J92" s="1343">
        <f t="shared" si="96"/>
        <v>2012</v>
      </c>
      <c r="K92" s="1343">
        <f t="shared" si="96"/>
        <v>2013</v>
      </c>
      <c r="L92" s="1343">
        <f t="shared" si="96"/>
        <v>2014</v>
      </c>
      <c r="M92" s="1343">
        <f t="shared" si="96"/>
        <v>2015</v>
      </c>
      <c r="N92" s="1343">
        <f t="shared" si="96"/>
        <v>2016</v>
      </c>
      <c r="O92" s="1343">
        <f t="shared" si="96"/>
        <v>2017</v>
      </c>
      <c r="P92" s="1344">
        <f t="shared" si="96"/>
        <v>2018</v>
      </c>
      <c r="Q92" s="1344">
        <f t="shared" si="96"/>
        <v>2019</v>
      </c>
      <c r="R92" s="1344">
        <f t="shared" si="96"/>
        <v>2020</v>
      </c>
      <c r="S92" s="1344">
        <f t="shared" si="96"/>
        <v>2021</v>
      </c>
      <c r="T92" s="1344">
        <f t="shared" si="96"/>
        <v>2022</v>
      </c>
      <c r="U92" s="1344">
        <f t="shared" si="96"/>
        <v>2023</v>
      </c>
      <c r="V92" s="1344">
        <f t="shared" si="96"/>
        <v>2024</v>
      </c>
      <c r="W92" s="1344">
        <f t="shared" si="96"/>
        <v>2025</v>
      </c>
      <c r="X92" s="731"/>
      <c r="Y92" s="731"/>
      <c r="Z92" s="731"/>
      <c r="AA92" s="1215"/>
      <c r="AB92" s="1533"/>
      <c r="AC92" s="1534"/>
      <c r="AD92" s="1292"/>
      <c r="AE92" s="1292"/>
      <c r="AF92" s="1292"/>
      <c r="AG92" s="43"/>
      <c r="AH92" s="43"/>
      <c r="AI92" s="43"/>
      <c r="AJ92" s="43"/>
      <c r="AK92" s="43"/>
      <c r="AL92" s="43"/>
    </row>
    <row r="93" spans="1:38">
      <c r="A93" s="1226" t="s">
        <v>364</v>
      </c>
      <c r="B93" s="1172"/>
      <c r="C93" s="1172"/>
      <c r="D93" s="1172"/>
      <c r="E93" s="1172"/>
      <c r="F93" s="1172"/>
      <c r="G93" s="1172"/>
      <c r="H93" s="1172"/>
      <c r="I93" s="1172"/>
      <c r="J93" s="1172"/>
      <c r="K93" s="1172"/>
      <c r="L93" s="1172"/>
      <c r="M93" s="1172"/>
      <c r="N93" s="1172"/>
      <c r="O93" s="1172"/>
      <c r="P93" s="1172"/>
      <c r="Q93" s="1172"/>
      <c r="R93" s="1172"/>
      <c r="S93" s="1172"/>
      <c r="T93" s="1172"/>
      <c r="U93" s="1172"/>
      <c r="V93" s="1172"/>
      <c r="W93" s="1172"/>
      <c r="X93" s="731"/>
      <c r="Y93" s="731"/>
      <c r="Z93" s="731"/>
      <c r="AA93" s="731"/>
      <c r="AB93" s="731"/>
      <c r="AC93" s="1181"/>
      <c r="AD93" s="1181"/>
      <c r="AE93" s="1181"/>
      <c r="AF93" s="1181"/>
    </row>
    <row r="94" spans="1:38">
      <c r="A94" s="1889" t="s">
        <v>365</v>
      </c>
      <c r="B94" s="1194">
        <f>+'Annual historicals'!E185</f>
        <v>0</v>
      </c>
      <c r="C94" s="1194">
        <f>+'Annual historicals'!F185</f>
        <v>0</v>
      </c>
      <c r="D94" s="1194">
        <f>+'Annual historicals'!G185</f>
        <v>0</v>
      </c>
      <c r="E94" s="1194">
        <f>Q_Financials!E61+Q_Financials!E62</f>
        <v>7.65</v>
      </c>
      <c r="F94" s="1194">
        <f>Q_Financials!I61+Q_Financials!I62</f>
        <v>74.141999999999996</v>
      </c>
      <c r="G94" s="1194">
        <f>Q_Financials!M61+Q_Financials!M62</f>
        <v>80.706000000000003</v>
      </c>
      <c r="H94" s="1194">
        <f>Q_Financials!Q61+Q_Financials!Q62</f>
        <v>37.167000000000002</v>
      </c>
      <c r="I94" s="1194">
        <f>Q_Financials!U61</f>
        <v>36.725999999999999</v>
      </c>
      <c r="J94" s="1194">
        <f>Q_Financials!Y61</f>
        <v>69.41</v>
      </c>
      <c r="K94" s="1194">
        <f>Q_Financials!AC61</f>
        <v>242.946</v>
      </c>
      <c r="L94" s="1194">
        <f>Q_Financials!AG61</f>
        <v>202.48599999999999</v>
      </c>
      <c r="M94" s="1194">
        <f>Q_Financials!AK61</f>
        <v>500.67599999999999</v>
      </c>
      <c r="N94" s="1194">
        <f>Q_Financials!AO61</f>
        <v>489.63900000000001</v>
      </c>
      <c r="O94" s="1194">
        <f>Q_Financials!AS61</f>
        <v>473.94200000000001</v>
      </c>
      <c r="P94" s="1212">
        <f>Q_Financials!AW61</f>
        <v>468.40600000000001</v>
      </c>
      <c r="Q94" s="1212">
        <f>Q_Financials!BA61</f>
        <v>468.40600000000001</v>
      </c>
      <c r="R94" s="1212">
        <f>Q_Financials!BE61</f>
        <v>468.40600000000001</v>
      </c>
      <c r="S94" s="1212">
        <f>Q_Financials!BI61</f>
        <v>468.40600000000001</v>
      </c>
      <c r="T94" s="1212">
        <f>Q_Financials!BM61</f>
        <v>468.40600000000001</v>
      </c>
      <c r="U94" s="1212">
        <f>Q_Financials!BQ61</f>
        <v>468.40600000000001</v>
      </c>
      <c r="V94" s="1212">
        <f>Q_Financials!BU61</f>
        <v>468.40600000000001</v>
      </c>
      <c r="W94" s="1212">
        <f>Q_Financials!BY61</f>
        <v>468.40600000000001</v>
      </c>
      <c r="X94" s="731"/>
      <c r="Y94" s="731"/>
      <c r="Z94" s="731"/>
      <c r="AA94" s="731"/>
      <c r="AB94" s="731"/>
      <c r="AC94" s="1181"/>
      <c r="AD94" s="1181"/>
      <c r="AE94" s="1525"/>
      <c r="AF94" s="1181"/>
    </row>
    <row r="95" spans="1:38">
      <c r="A95" s="1889" t="s">
        <v>366</v>
      </c>
      <c r="B95" s="1194">
        <f>+'Annual historicals'!E186</f>
        <v>1258.3920000000001</v>
      </c>
      <c r="C95" s="1194">
        <f>+'Annual historicals'!F186</f>
        <v>1247.6500000000001</v>
      </c>
      <c r="D95" s="1194">
        <f>+'Annual historicals'!G186</f>
        <v>1241.558</v>
      </c>
      <c r="E95" s="1194">
        <f>Q_Financials!E60+Q_Financials!E55</f>
        <v>2033.703</v>
      </c>
      <c r="F95" s="1194">
        <f>Q_Financials!I60+Q_Financials!I55</f>
        <v>2412.9249999999997</v>
      </c>
      <c r="G95" s="1194">
        <f>Q_Financials!M60+Q_Financials!M55</f>
        <v>2505.6970000000001</v>
      </c>
      <c r="H95" s="1194">
        <f>Q_Financials!Q60+Q_Financials!Q55</f>
        <v>3046.779</v>
      </c>
      <c r="I95" s="1194">
        <f>Q_Financials!U60+Q_Financials!U55</f>
        <v>3116.8557919999998</v>
      </c>
      <c r="J95" s="1194">
        <f>Q_Financials!Y60+Q_Financials!Y55</f>
        <v>3597.8986239999999</v>
      </c>
      <c r="K95" s="1194">
        <f>Q_Financials!AC60+Q_Financials!AC55</f>
        <v>3783.2404000000001</v>
      </c>
      <c r="L95" s="1194">
        <f>Q_Financials!AG60+Q_Financials!AG55</f>
        <v>3912.1806080000001</v>
      </c>
      <c r="M95" s="1194">
        <f>Q_Financials!AK60+Q_Financials!AK55</f>
        <v>4417.7063479999997</v>
      </c>
      <c r="N95" s="1194">
        <f>Q_Financials!AO60+Q_Financials!AO55</f>
        <v>4492.4620000000004</v>
      </c>
      <c r="O95" s="1194">
        <f>Q_Financials!AS60+Q_Financials!AS55</f>
        <v>5289.8940000000002</v>
      </c>
      <c r="P95" s="1212">
        <f>Q_Financials!AW60+Q_Financials!AW55</f>
        <v>5285.3193197335859</v>
      </c>
      <c r="Q95" s="1212">
        <f>Q_Financials!BA60+Q_Financials!BA55</f>
        <v>5338.4260542672819</v>
      </c>
      <c r="R95" s="1212">
        <f>Q_Financials!BE60+Q_Financials!BE55</f>
        <v>5515.5304172496144</v>
      </c>
      <c r="S95" s="1212">
        <f>Q_Financials!BI60+Q_Financials!BI55</f>
        <v>5694.3256827168343</v>
      </c>
      <c r="T95" s="1212">
        <f>Q_Financials!BM60+Q_Financials!BM55</f>
        <v>5876.8424994811339</v>
      </c>
      <c r="U95" s="1212">
        <f>Q_Financials!BQ60+Q_Financials!BQ55</f>
        <v>6066.9140773676954</v>
      </c>
      <c r="V95" s="1212">
        <f>Q_Financials!BU60+Q_Financials!BU55</f>
        <v>6264.0540472636167</v>
      </c>
      <c r="W95" s="1212">
        <f>Q_Financials!BY60+Q_Financials!BY55</f>
        <v>6464.3056982946964</v>
      </c>
      <c r="X95" s="1533"/>
      <c r="Y95" s="1533"/>
      <c r="Z95" s="731"/>
      <c r="AA95" s="731"/>
      <c r="AB95" s="731"/>
      <c r="AC95" s="1181"/>
      <c r="AD95" s="1181"/>
      <c r="AE95" s="1525"/>
      <c r="AF95" s="1181"/>
    </row>
    <row r="96" spans="1:38">
      <c r="A96" s="1889" t="s">
        <v>367</v>
      </c>
      <c r="B96" s="1194">
        <f>+'Annual historicals'!E187</f>
        <v>106.429</v>
      </c>
      <c r="C96" s="1194">
        <f>+'Annual historicals'!F187</f>
        <v>92.368000000000009</v>
      </c>
      <c r="D96" s="1194">
        <f>+'Annual historicals'!G187</f>
        <v>78.088000000000008</v>
      </c>
      <c r="E96" s="1194">
        <f>Q_Financials!E56+Q_Financials!E59</f>
        <v>0.14199999999999999</v>
      </c>
      <c r="F96" s="1194">
        <f>Q_Financials!I56+Q_Financials!I59</f>
        <v>31.816000000000003</v>
      </c>
      <c r="G96" s="1194">
        <f>Q_Financials!M56+Q_Financials!M59</f>
        <v>206.29600000000002</v>
      </c>
      <c r="H96" s="1194">
        <f>Q_Financials!Q56+Q_Financials!Q59</f>
        <v>689.90200000000004</v>
      </c>
      <c r="I96" s="1194">
        <f>Q_Financials!U56+Q_Financials!U59</f>
        <v>123.48599999999999</v>
      </c>
      <c r="J96" s="1194">
        <f>Q_Financials!Y56+Q_Financials!Y59</f>
        <v>175.643</v>
      </c>
      <c r="K96" s="1194">
        <f>Q_Financials!AC56+Q_Financials!AC59</f>
        <v>220.90300000000002</v>
      </c>
      <c r="L96" s="1194">
        <f>Q_Financials!AG56+Q_Financials!AG59</f>
        <v>251.63500000000002</v>
      </c>
      <c r="M96" s="1194">
        <f>Q_Financials!AK56+Q_Financials!AK59</f>
        <v>282.30699999999996</v>
      </c>
      <c r="N96" s="1194">
        <f>Q_Financials!AO56+Q_Financials!AO59</f>
        <v>378.72200000000004</v>
      </c>
      <c r="O96" s="1194">
        <f>Q_Financials!AS56+Q_Financials!AS59</f>
        <v>444.69300000000004</v>
      </c>
      <c r="P96" s="1212">
        <f>Q_Financials!AW56+Q_Financials!AW59</f>
        <v>464.50700000000001</v>
      </c>
      <c r="Q96" s="1212">
        <f>Q_Financials!BA56+Q_Financials!BA59</f>
        <v>464.50700000000001</v>
      </c>
      <c r="R96" s="1212">
        <f>Q_Financials!BE56+Q_Financials!BE59</f>
        <v>464.50700000000001</v>
      </c>
      <c r="S96" s="1212">
        <f>Q_Financials!BI56+Q_Financials!BI59</f>
        <v>464.50700000000001</v>
      </c>
      <c r="T96" s="1212">
        <f>Q_Financials!BM56+Q_Financials!BM59</f>
        <v>464.50700000000001</v>
      </c>
      <c r="U96" s="1212">
        <f>Q_Financials!BQ56+Q_Financials!BQ59</f>
        <v>464.50700000000001</v>
      </c>
      <c r="V96" s="1212">
        <f>Q_Financials!BU56+Q_Financials!BU59</f>
        <v>464.50700000000001</v>
      </c>
      <c r="W96" s="1212">
        <f>Q_Financials!BY56+Q_Financials!BY59</f>
        <v>464.50700000000001</v>
      </c>
      <c r="X96" s="731"/>
      <c r="Y96" s="731"/>
      <c r="Z96" s="731"/>
      <c r="AA96" s="731"/>
      <c r="AB96" s="731"/>
      <c r="AC96" s="1181"/>
      <c r="AD96" s="1181"/>
      <c r="AE96" s="1525"/>
      <c r="AF96" s="1181"/>
    </row>
    <row r="97" spans="1:32">
      <c r="A97" s="1228" t="s">
        <v>368</v>
      </c>
      <c r="B97" s="1187">
        <f t="shared" ref="B97:L97" si="97">SUM(B94:B96)</f>
        <v>1364.8210000000001</v>
      </c>
      <c r="C97" s="1187">
        <f t="shared" si="97"/>
        <v>1340.018</v>
      </c>
      <c r="D97" s="1187">
        <f t="shared" si="97"/>
        <v>1319.646</v>
      </c>
      <c r="E97" s="1187">
        <f t="shared" si="97"/>
        <v>2041.4950000000001</v>
      </c>
      <c r="F97" s="1187">
        <f t="shared" si="97"/>
        <v>2518.8829999999994</v>
      </c>
      <c r="G97" s="1187">
        <f t="shared" si="97"/>
        <v>2792.6990000000001</v>
      </c>
      <c r="H97" s="1187">
        <f>SUM(H94:H96)</f>
        <v>3773.848</v>
      </c>
      <c r="I97" s="1187">
        <f>SUM(I94:I96)</f>
        <v>3277.0677919999998</v>
      </c>
      <c r="J97" s="1187">
        <f>SUM(J94:J96)</f>
        <v>3842.9516239999998</v>
      </c>
      <c r="K97" s="1187">
        <f>SUM(K94:K96)</f>
        <v>4247.0893999999998</v>
      </c>
      <c r="L97" s="1187">
        <f t="shared" si="97"/>
        <v>4366.3016080000007</v>
      </c>
      <c r="M97" s="1187">
        <f t="shared" ref="M97:S97" si="98">SUM(M94:M96)</f>
        <v>5200.6893479999999</v>
      </c>
      <c r="N97" s="1187">
        <f t="shared" si="98"/>
        <v>5360.8230000000003</v>
      </c>
      <c r="O97" s="1187">
        <f t="shared" si="98"/>
        <v>6208.5290000000005</v>
      </c>
      <c r="P97" s="1188">
        <f t="shared" si="98"/>
        <v>6218.2323197335854</v>
      </c>
      <c r="Q97" s="1188">
        <f t="shared" si="98"/>
        <v>6271.3390542672814</v>
      </c>
      <c r="R97" s="1188">
        <f t="shared" si="98"/>
        <v>6448.443417249614</v>
      </c>
      <c r="S97" s="1188">
        <f t="shared" si="98"/>
        <v>6627.2386827168339</v>
      </c>
      <c r="T97" s="1188">
        <f t="shared" ref="T97:W97" si="99">SUM(T94:T96)</f>
        <v>6809.7554994811335</v>
      </c>
      <c r="U97" s="1188">
        <f t="shared" si="99"/>
        <v>6999.827077367695</v>
      </c>
      <c r="V97" s="1188">
        <f t="shared" si="99"/>
        <v>7196.9670472636162</v>
      </c>
      <c r="W97" s="1188">
        <f t="shared" si="99"/>
        <v>7397.218698294696</v>
      </c>
      <c r="X97" s="731"/>
      <c r="Y97" s="731"/>
      <c r="Z97" s="731"/>
      <c r="AA97" s="731"/>
      <c r="AB97" s="731"/>
      <c r="AC97" s="1181"/>
      <c r="AD97" s="1181"/>
      <c r="AE97" s="1525"/>
      <c r="AF97" s="1181"/>
    </row>
    <row r="98" spans="1:32">
      <c r="A98" s="1889" t="s">
        <v>371</v>
      </c>
      <c r="B98" s="1194">
        <f>+'Annual historicals'!E193</f>
        <v>49.835000000000001</v>
      </c>
      <c r="C98" s="1194">
        <f>+'Annual historicals'!F193</f>
        <v>53.427</v>
      </c>
      <c r="D98" s="1194">
        <f>+'Annual historicals'!G193</f>
        <v>103.518</v>
      </c>
      <c r="E98" s="1194">
        <f>Q_Financials!E48+Q_Financials!E49</f>
        <v>366.964</v>
      </c>
      <c r="F98" s="1194">
        <f>Q_Financials!I48+Q_Financials!I49</f>
        <v>72.534000000000006</v>
      </c>
      <c r="G98" s="1194">
        <f>Q_Financials!M48+Q_Financials!M49</f>
        <v>196.173</v>
      </c>
      <c r="H98" s="1194">
        <f>Q_Financials!Q48+Q_Financials!Q49</f>
        <v>189.03799999999995</v>
      </c>
      <c r="I98" s="1194">
        <f>Q_Financials!U48+Q_Financials!U49</f>
        <v>222.21899999999999</v>
      </c>
      <c r="J98" s="1194">
        <f>Q_Financials!Y48+Q_Financials!Y49</f>
        <v>410.56700000000001</v>
      </c>
      <c r="K98" s="1194">
        <f>Q_Financials!AC48+Q_Financials!AC49</f>
        <v>634.29</v>
      </c>
      <c r="L98" s="1194">
        <f>Q_Financials!AG48+Q_Financials!AG49</f>
        <v>670.74099999999999</v>
      </c>
      <c r="M98" s="1194">
        <f>Q_Financials!AK48+Q_Financials!AK49</f>
        <v>1126.5170000000001</v>
      </c>
      <c r="N98" s="1194">
        <f>Q_Financials!AO48+Q_Financials!AO49</f>
        <v>1106.442</v>
      </c>
      <c r="O98" s="1194">
        <f>Q_Financials!AS48+Q_Financials!AS49</f>
        <v>1172.115</v>
      </c>
      <c r="P98" s="1212">
        <f>Q_Financials!AW48+Q_Financials!AW49</f>
        <v>1277.1672431275176</v>
      </c>
      <c r="Q98" s="1212">
        <f>Q_Financials!BA48+Q_Financials!BA49</f>
        <v>1534.5018197168622</v>
      </c>
      <c r="R98" s="1212">
        <f>Q_Financials!BE48+Q_Financials!BE49</f>
        <v>1601.2374091246434</v>
      </c>
      <c r="S98" s="1212">
        <f>Q_Financials!BI48+Q_Financials!BI49</f>
        <v>1741.4913679350925</v>
      </c>
      <c r="T98" s="1212">
        <f>Q_Financials!BM48+Q_Financials!BM49</f>
        <v>1934.9401359304918</v>
      </c>
      <c r="U98" s="1212">
        <f>Q_Financials!BQ48+Q_Financials!BQ49</f>
        <v>1871.1972278084222</v>
      </c>
      <c r="V98" s="1212">
        <f>Q_Financials!BU48+Q_Financials!BU49</f>
        <v>1616.5030657417569</v>
      </c>
      <c r="W98" s="1212">
        <f>Q_Financials!BY48+Q_Financials!BY49</f>
        <v>1340.7823743681579</v>
      </c>
      <c r="X98" s="731"/>
      <c r="Y98" s="731"/>
      <c r="Z98" s="731"/>
      <c r="AA98" s="731"/>
      <c r="AB98" s="731"/>
      <c r="AC98" s="1181"/>
      <c r="AD98" s="1181"/>
      <c r="AE98" s="1525"/>
      <c r="AF98" s="1181"/>
    </row>
    <row r="99" spans="1:32">
      <c r="A99" s="1889" t="s">
        <v>370</v>
      </c>
      <c r="B99" s="1194">
        <f>+'Annual historicals'!E190</f>
        <v>54.155999999999999</v>
      </c>
      <c r="C99" s="1194">
        <f>+'Annual historicals'!F190</f>
        <v>36.188000000000002</v>
      </c>
      <c r="D99" s="1194">
        <f>+'Annual historicals'!G190</f>
        <v>45.05</v>
      </c>
      <c r="E99" s="1194">
        <f>Q_Financials!E50</f>
        <v>22.707999999999998</v>
      </c>
      <c r="F99" s="1194">
        <f>Q_Financials!I50</f>
        <v>94.224999999999994</v>
      </c>
      <c r="G99" s="1194">
        <f>Q_Financials!M50</f>
        <v>45.543999999999997</v>
      </c>
      <c r="H99" s="1194">
        <f>Q_Financials!Q50</f>
        <v>41.628</v>
      </c>
      <c r="I99" s="1194">
        <f>Q_Financials!U50</f>
        <v>59.673000000000002</v>
      </c>
      <c r="J99" s="1194">
        <f>Q_Financials!Y50</f>
        <v>38.399000000000001</v>
      </c>
      <c r="K99" s="1194">
        <f>Q_Financials!AC50</f>
        <v>62.667000000000002</v>
      </c>
      <c r="L99" s="1194">
        <f>Q_Financials!AG50</f>
        <v>95.051000000000002</v>
      </c>
      <c r="M99" s="1194">
        <f>Q_Financials!AK50</f>
        <v>168.03100000000001</v>
      </c>
      <c r="N99" s="1194">
        <f>Q_Financials!AO50</f>
        <v>116.965</v>
      </c>
      <c r="O99" s="1194">
        <f>Q_Financials!AS50</f>
        <v>169.12899999999999</v>
      </c>
      <c r="P99" s="1212">
        <f>Q_Financials!AW50</f>
        <v>199.15102765726729</v>
      </c>
      <c r="Q99" s="1212">
        <f>Q_Financials!BA50</f>
        <v>165.71816371621969</v>
      </c>
      <c r="R99" s="1212">
        <f>Q_Financials!BE50</f>
        <v>204.48283808420524</v>
      </c>
      <c r="S99" s="1212">
        <f>Q_Financials!BI50</f>
        <v>261.70149391215585</v>
      </c>
      <c r="T99" s="1212">
        <f>Q_Financials!BM50</f>
        <v>309.63945742422618</v>
      </c>
      <c r="U99" s="1212">
        <f>Q_Financials!BQ50</f>
        <v>336.97709812790339</v>
      </c>
      <c r="V99" s="1212">
        <f>Q_Financials!BU50</f>
        <v>365.3891812005125</v>
      </c>
      <c r="W99" s="1212">
        <f>Q_Financials!BY50</f>
        <v>444.20870113916521</v>
      </c>
      <c r="X99" s="731"/>
      <c r="Y99" s="731"/>
      <c r="Z99" s="731"/>
      <c r="AA99" s="731"/>
      <c r="AB99" s="731"/>
      <c r="AC99" s="1181"/>
      <c r="AD99" s="1181"/>
      <c r="AE99" s="1525"/>
      <c r="AF99" s="1181"/>
    </row>
    <row r="100" spans="1:32">
      <c r="A100" s="1889" t="s">
        <v>369</v>
      </c>
      <c r="B100" s="1194">
        <f>+'Annual historicals'!E189</f>
        <v>116.495</v>
      </c>
      <c r="C100" s="1194">
        <f>+'Annual historicals'!F189</f>
        <v>149.80699999999999</v>
      </c>
      <c r="D100" s="1194">
        <f>+'Annual historicals'!G189</f>
        <v>142.69800000000001</v>
      </c>
      <c r="E100" s="1194">
        <f>Q_Financials!E51</f>
        <v>168.89</v>
      </c>
      <c r="F100" s="1194">
        <f>Q_Financials!I51</f>
        <v>173.625</v>
      </c>
      <c r="G100" s="1194">
        <f>Q_Financials!M51</f>
        <v>296.404</v>
      </c>
      <c r="H100" s="1194">
        <f>Q_Financials!Q51</f>
        <v>105.069</v>
      </c>
      <c r="I100" s="1194">
        <f>Q_Financials!U51</f>
        <v>139.10599999999999</v>
      </c>
      <c r="J100" s="1194">
        <f>Q_Financials!Y51</f>
        <v>137.375</v>
      </c>
      <c r="K100" s="1194">
        <f>Q_Financials!AC51</f>
        <v>148.661</v>
      </c>
      <c r="L100" s="1194">
        <f>Q_Financials!AG51</f>
        <v>145.02799999999999</v>
      </c>
      <c r="M100" s="1194">
        <f>Q_Financials!AK51</f>
        <v>212.97499999999999</v>
      </c>
      <c r="N100" s="1194">
        <f>Q_Financials!AO51</f>
        <v>270.35199999999998</v>
      </c>
      <c r="O100" s="1194">
        <f>Q_Financials!AS51</f>
        <v>256.57400000000001</v>
      </c>
      <c r="P100" s="1212">
        <f>Q_Financials!AW51</f>
        <v>310.10826607176898</v>
      </c>
      <c r="Q100" s="1212">
        <f>Q_Financials!BA51</f>
        <v>275.49082734678495</v>
      </c>
      <c r="R100" s="1212">
        <f>Q_Financials!BE51</f>
        <v>305.53234906692978</v>
      </c>
      <c r="S100" s="1212">
        <f>Q_Financials!BI51</f>
        <v>369.1033592046997</v>
      </c>
      <c r="T100" s="1212">
        <f>Q_Financials!BM51</f>
        <v>414.82598764304885</v>
      </c>
      <c r="U100" s="1212">
        <f>Q_Financials!BQ51</f>
        <v>427.11113287558578</v>
      </c>
      <c r="V100" s="1212">
        <f>Q_Financials!BU51</f>
        <v>439.04975119300758</v>
      </c>
      <c r="W100" s="1212">
        <f>Q_Financials!BY51</f>
        <v>455.72977203172456</v>
      </c>
      <c r="X100" s="731"/>
      <c r="Y100" s="731"/>
      <c r="Z100" s="731"/>
      <c r="AA100" s="731"/>
      <c r="AB100" s="731"/>
      <c r="AC100" s="1181"/>
      <c r="AD100" s="1181"/>
      <c r="AE100" s="1525"/>
      <c r="AF100" s="1181"/>
    </row>
    <row r="101" spans="1:32">
      <c r="A101" s="1889" t="s">
        <v>92</v>
      </c>
      <c r="B101" s="1194">
        <f>+'Annual historicals'!E191</f>
        <v>40.866999999999997</v>
      </c>
      <c r="C101" s="1194">
        <f>+'Annual historicals'!F191</f>
        <v>23.012</v>
      </c>
      <c r="D101" s="1194">
        <f>+'Annual historicals'!G191</f>
        <v>35.143999999999998</v>
      </c>
      <c r="E101" s="1194">
        <f>Q_Financials!E52</f>
        <v>42.869</v>
      </c>
      <c r="F101" s="1194">
        <f>Q_Financials!I52</f>
        <v>57.356000000000002</v>
      </c>
      <c r="G101" s="1194">
        <f>Q_Financials!M52</f>
        <v>63.872</v>
      </c>
      <c r="H101" s="1194">
        <f>Q_Financials!Q52</f>
        <v>6.0860000000000003</v>
      </c>
      <c r="I101" s="1194">
        <f>Q_Financials!U52</f>
        <v>11.658999999999999</v>
      </c>
      <c r="J101" s="1194">
        <f>Q_Financials!Y52</f>
        <v>16.614000000000001</v>
      </c>
      <c r="K101" s="1194">
        <f>Q_Financials!AC52</f>
        <v>84.998000000000005</v>
      </c>
      <c r="L101" s="1194">
        <f>Q_Financials!AG52</f>
        <v>37.466999999999999</v>
      </c>
      <c r="M101" s="1194">
        <f>Q_Financials!AK52</f>
        <v>68.718000000000004</v>
      </c>
      <c r="N101" s="1194">
        <f>Q_Financials!AO52</f>
        <v>119.78100000000001</v>
      </c>
      <c r="O101" s="1194">
        <f>Q_Financials!AS52</f>
        <v>11.231999999999999</v>
      </c>
      <c r="P101" s="1212">
        <f>Q_Financials!AW52</f>
        <v>12.439628744005896</v>
      </c>
      <c r="Q101" s="1212">
        <f>Q_Financials!BA52</f>
        <v>10.485594145480178</v>
      </c>
      <c r="R101" s="1212">
        <f>Q_Financials!BE52</f>
        <v>11.063007983766187</v>
      </c>
      <c r="S101" s="1212">
        <f>Q_Financials!BI52</f>
        <v>12.744541418567584</v>
      </c>
      <c r="T101" s="1212">
        <f>Q_Financials!BM52</f>
        <v>13.687966177456588</v>
      </c>
      <c r="U101" s="1212">
        <f>Q_Financials!BQ52</f>
        <v>13.494781454298376</v>
      </c>
      <c r="V101" s="1212">
        <f>Q_Financials!BU52</f>
        <v>13.306835017520037</v>
      </c>
      <c r="W101" s="1212">
        <f>Q_Financials!BY52</f>
        <v>13.271681474372974</v>
      </c>
      <c r="X101" s="731"/>
      <c r="Y101" s="731"/>
      <c r="Z101" s="731"/>
      <c r="AA101" s="731"/>
      <c r="AB101" s="731"/>
      <c r="AC101" s="1181"/>
      <c r="AD101" s="1181"/>
      <c r="AE101" s="1525"/>
      <c r="AF101" s="1181"/>
    </row>
    <row r="102" spans="1:32">
      <c r="A102" s="1889" t="s">
        <v>93</v>
      </c>
      <c r="B102" s="1194">
        <f>+'Annual historicals'!E192</f>
        <v>0</v>
      </c>
      <c r="C102" s="1194">
        <f>+'Annual historicals'!F192</f>
        <v>0</v>
      </c>
      <c r="D102" s="1194">
        <f>+'Annual historicals'!G192</f>
        <v>0</v>
      </c>
      <c r="E102" s="1194">
        <f>Q_Financials!E53</f>
        <v>0</v>
      </c>
      <c r="F102" s="1194">
        <f>Q_Financials!I53</f>
        <v>0</v>
      </c>
      <c r="G102" s="1194">
        <f>Q_Financials!M53</f>
        <v>0</v>
      </c>
      <c r="H102" s="1194">
        <f>Q_Financials!Q53</f>
        <v>71.774000000000001</v>
      </c>
      <c r="I102" s="1194">
        <f>Q_Financials!U53</f>
        <v>231.93320799999998</v>
      </c>
      <c r="J102" s="1194">
        <f>Q_Financials!Y53</f>
        <v>341.26037599999995</v>
      </c>
      <c r="K102" s="1194">
        <f>Q_Financials!AC53</f>
        <v>455.39559999999994</v>
      </c>
      <c r="L102" s="1194">
        <f>Q_Financials!AG53</f>
        <v>511.362392</v>
      </c>
      <c r="M102" s="1194">
        <f>Q_Financials!AK53</f>
        <v>842.10165199999983</v>
      </c>
      <c r="N102" s="1194">
        <f>Q_Financials!AO53</f>
        <v>781.22699999999986</v>
      </c>
      <c r="O102" s="1194">
        <f>Q_Financials!AS53</f>
        <v>873.94600000000014</v>
      </c>
      <c r="P102" s="1212">
        <f>Q_Financials!AW53</f>
        <v>775.73693888557364</v>
      </c>
      <c r="Q102" s="1212">
        <f>Q_Financials!BA53</f>
        <v>690.11780375817909</v>
      </c>
      <c r="R102" s="1212">
        <f>Q_Financials!BE53</f>
        <v>588.84844005892489</v>
      </c>
      <c r="S102" s="1212">
        <f>Q_Financials!BI53</f>
        <v>422.93413354806069</v>
      </c>
      <c r="T102" s="1212">
        <f>Q_Financials!BM53</f>
        <v>221.30064316285763</v>
      </c>
      <c r="U102" s="1212">
        <f>Q_Financials!BQ53</f>
        <v>36.13386890692842</v>
      </c>
      <c r="V102" s="1212">
        <f>Q_Financials!BU53</f>
        <v>36.13386890692842</v>
      </c>
      <c r="W102" s="1212">
        <f>Q_Financials!BY53</f>
        <v>36.13386890692842</v>
      </c>
      <c r="X102" s="731"/>
      <c r="Y102" s="731"/>
      <c r="Z102" s="731"/>
      <c r="AA102" s="731"/>
      <c r="AB102" s="731"/>
      <c r="AC102" s="1181"/>
      <c r="AD102" s="1181"/>
      <c r="AE102" s="1525"/>
      <c r="AF102" s="1181"/>
    </row>
    <row r="103" spans="1:32">
      <c r="A103" s="1228" t="s">
        <v>372</v>
      </c>
      <c r="B103" s="1187">
        <f t="shared" ref="B103:W103" si="100">SUM(B97:B102)</f>
        <v>1626.1740000000002</v>
      </c>
      <c r="C103" s="1187">
        <f t="shared" si="100"/>
        <v>1602.452</v>
      </c>
      <c r="D103" s="1187">
        <f t="shared" si="100"/>
        <v>1646.056</v>
      </c>
      <c r="E103" s="1187">
        <f t="shared" si="100"/>
        <v>2642.9260000000004</v>
      </c>
      <c r="F103" s="1187">
        <f t="shared" si="100"/>
        <v>2916.6229999999996</v>
      </c>
      <c r="G103" s="1187">
        <f t="shared" si="100"/>
        <v>3394.692</v>
      </c>
      <c r="H103" s="1187">
        <f t="shared" si="100"/>
        <v>4187.4430000000011</v>
      </c>
      <c r="I103" s="1187">
        <f t="shared" si="100"/>
        <v>3941.6579999999994</v>
      </c>
      <c r="J103" s="1187">
        <f t="shared" si="100"/>
        <v>4787.1670000000004</v>
      </c>
      <c r="K103" s="1187">
        <f t="shared" si="100"/>
        <v>5633.1009999999997</v>
      </c>
      <c r="L103" s="1187">
        <f t="shared" si="100"/>
        <v>5825.9510000000009</v>
      </c>
      <c r="M103" s="1187">
        <f t="shared" si="100"/>
        <v>7619.0319999999992</v>
      </c>
      <c r="N103" s="1187">
        <f t="shared" si="100"/>
        <v>7755.59</v>
      </c>
      <c r="O103" s="1187">
        <f t="shared" si="100"/>
        <v>8691.5249999999996</v>
      </c>
      <c r="P103" s="1188">
        <f t="shared" si="100"/>
        <v>8792.8354242197183</v>
      </c>
      <c r="Q103" s="1188">
        <f t="shared" si="100"/>
        <v>8947.6532629508074</v>
      </c>
      <c r="R103" s="1188">
        <f t="shared" si="100"/>
        <v>9159.6074615680809</v>
      </c>
      <c r="S103" s="1188">
        <f t="shared" si="100"/>
        <v>9435.2135787354091</v>
      </c>
      <c r="T103" s="1188">
        <f t="shared" si="100"/>
        <v>9704.1496898192145</v>
      </c>
      <c r="U103" s="1188">
        <f t="shared" si="100"/>
        <v>9684.7411865408321</v>
      </c>
      <c r="V103" s="1188">
        <f t="shared" si="100"/>
        <v>9667.3497493233426</v>
      </c>
      <c r="W103" s="1188">
        <f t="shared" si="100"/>
        <v>9687.3450962150437</v>
      </c>
      <c r="X103" s="731"/>
      <c r="Y103" s="731"/>
      <c r="Z103" s="731"/>
      <c r="AA103" s="731"/>
      <c r="AB103" s="731"/>
      <c r="AC103" s="1181"/>
      <c r="AD103" s="1181"/>
      <c r="AE103" s="1525"/>
      <c r="AF103" s="1181"/>
    </row>
    <row r="104" spans="1:32">
      <c r="A104" s="1228" t="s">
        <v>373</v>
      </c>
      <c r="B104" s="1194"/>
      <c r="C104" s="1194"/>
      <c r="D104" s="1194"/>
      <c r="E104" s="1194"/>
      <c r="F104" s="1194"/>
      <c r="G104" s="1194"/>
      <c r="H104" s="1194"/>
      <c r="I104" s="1194"/>
      <c r="J104" s="1194"/>
      <c r="K104" s="1194"/>
      <c r="L104" s="1194"/>
      <c r="M104" s="1194"/>
      <c r="N104" s="1194"/>
      <c r="O104" s="1194"/>
      <c r="P104" s="1212"/>
      <c r="Q104" s="1212"/>
      <c r="R104" s="1212"/>
      <c r="S104" s="1212"/>
      <c r="T104" s="1212"/>
      <c r="U104" s="1212"/>
      <c r="V104" s="1212"/>
      <c r="W104" s="1212"/>
      <c r="X104" s="731"/>
      <c r="Y104" s="731"/>
      <c r="Z104" s="731"/>
      <c r="AA104" s="731"/>
      <c r="AB104" s="731"/>
      <c r="AC104" s="1181"/>
      <c r="AD104" s="1181"/>
      <c r="AE104" s="1525"/>
      <c r="AF104" s="1181"/>
    </row>
    <row r="105" spans="1:32">
      <c r="A105" s="1889" t="s">
        <v>378</v>
      </c>
      <c r="B105" s="1194">
        <f>+'Annual historicals'!E201</f>
        <v>258.00600000000003</v>
      </c>
      <c r="C105" s="1194">
        <f>+'Annual historicals'!F201</f>
        <v>223.90299999999999</v>
      </c>
      <c r="D105" s="1194">
        <f>+'Annual historicals'!G201</f>
        <v>241.31199999999998</v>
      </c>
      <c r="E105" s="1194">
        <f>Q_Financials!E68+Q_Financials!E77</f>
        <v>322.803</v>
      </c>
      <c r="F105" s="1194">
        <f>Q_Financials!I68+Q_Financials!I77</f>
        <v>591.34400000000005</v>
      </c>
      <c r="G105" s="1194">
        <f>Q_Financials!M68+Q_Financials!M77</f>
        <v>1137.8699999999999</v>
      </c>
      <c r="H105" s="1194">
        <f>Q_Financials!Q68+Q_Financials!Q77</f>
        <v>955.13900000000001</v>
      </c>
      <c r="I105" s="1194">
        <f>Q_Financials!U68+Q_Financials!U77</f>
        <v>737.601</v>
      </c>
      <c r="J105" s="1194">
        <f>Q_Financials!Y68+Q_Financials!Y77</f>
        <v>1246.6379999999999</v>
      </c>
      <c r="K105" s="1194">
        <f>Q_Financials!AC68+Q_Financials!AC77</f>
        <v>1981.9259999999999</v>
      </c>
      <c r="L105" s="1194">
        <f>Q_Financials!AG68+Q_Financials!AG77</f>
        <v>2209.2220000000002</v>
      </c>
      <c r="M105" s="1194">
        <f>Q_Financials!AK68+Q_Financials!AK77</f>
        <v>3613.6010000000001</v>
      </c>
      <c r="N105" s="1194">
        <f>Q_Financials!AO68+Q_Financials!AO77</f>
        <v>3825.48</v>
      </c>
      <c r="O105" s="1194">
        <f>Q_Financials!AS68+Q_Financials!AS77</f>
        <v>3719.2429999999999</v>
      </c>
      <c r="P105" s="1212">
        <f>Q_Financials!AW68+Q_Financials!AW77</f>
        <v>3527.7348000000002</v>
      </c>
      <c r="Q105" s="1212">
        <f>Q_Financials!BA68+Q_Financials!BA77</f>
        <v>3527.7348000000002</v>
      </c>
      <c r="R105" s="1212">
        <f>Q_Financials!BE68+Q_Financials!BE77</f>
        <v>3527.7348000000002</v>
      </c>
      <c r="S105" s="1212">
        <f>Q_Financials!BI68+Q_Financials!BI77</f>
        <v>3527.7348000000002</v>
      </c>
      <c r="T105" s="1212">
        <f>Q_Financials!BM68+Q_Financials!BM77</f>
        <v>3527.7348000000002</v>
      </c>
      <c r="U105" s="1212">
        <f>Q_Financials!BQ68+Q_Financials!BQ77</f>
        <v>3527.7348000000002</v>
      </c>
      <c r="V105" s="1212">
        <f>Q_Financials!BU68+Q_Financials!BU77</f>
        <v>3527.7348000000002</v>
      </c>
      <c r="W105" s="1212">
        <f>Q_Financials!BY68+Q_Financials!BY77</f>
        <v>3527.7348000000002</v>
      </c>
      <c r="X105" s="731"/>
      <c r="Y105" s="731"/>
      <c r="Z105" s="731"/>
      <c r="AA105" s="731"/>
      <c r="AB105" s="731"/>
      <c r="AC105" s="1181"/>
      <c r="AD105" s="1181"/>
      <c r="AE105" s="1525"/>
      <c r="AF105" s="1181"/>
    </row>
    <row r="106" spans="1:32">
      <c r="A106" s="1889" t="s">
        <v>246</v>
      </c>
      <c r="B106" s="1194">
        <f>+'Annual historicals'!E202</f>
        <v>0</v>
      </c>
      <c r="C106" s="1194">
        <f>+'Annual historicals'!F202</f>
        <v>0</v>
      </c>
      <c r="D106" s="1194">
        <f>+'Annual historicals'!G202</f>
        <v>0</v>
      </c>
      <c r="E106" s="1194">
        <f>Q_Financials!E71</f>
        <v>20</v>
      </c>
      <c r="F106" s="1194">
        <f>Q_Financials!I71</f>
        <v>0</v>
      </c>
      <c r="G106" s="1194">
        <f>Q_Financials!M71</f>
        <v>0</v>
      </c>
      <c r="H106" s="1194">
        <f>Q_Financials!Q71</f>
        <v>0</v>
      </c>
      <c r="I106" s="1194">
        <f>Q_Financials!U71</f>
        <v>9.18</v>
      </c>
      <c r="J106" s="1194">
        <f>Q_Financials!Y71</f>
        <v>30.07</v>
      </c>
      <c r="K106" s="1194">
        <f>Q_Financials!AC71</f>
        <v>17.326000000000001</v>
      </c>
      <c r="L106" s="1194">
        <f>Q_Financials!AG71</f>
        <v>32.482999999999997</v>
      </c>
      <c r="M106" s="1194">
        <f>Q_Financials!AK71</f>
        <v>67.938999999999993</v>
      </c>
      <c r="N106" s="1194">
        <f>Q_Financials!AO71</f>
        <v>53.164000000000001</v>
      </c>
      <c r="O106" s="1194">
        <f>Q_Financials!AS71</f>
        <v>74.242999999999995</v>
      </c>
      <c r="P106" s="1212">
        <f>Q_Financials!AW71</f>
        <v>0</v>
      </c>
      <c r="Q106" s="1212">
        <f>Q_Financials!BA71</f>
        <v>0</v>
      </c>
      <c r="R106" s="1212">
        <f>Q_Financials!BE71</f>
        <v>0</v>
      </c>
      <c r="S106" s="1212">
        <f>Q_Financials!BI71</f>
        <v>0</v>
      </c>
      <c r="T106" s="1212">
        <f>Q_Financials!BM71</f>
        <v>0</v>
      </c>
      <c r="U106" s="1212">
        <f>Q_Financials!BQ71</f>
        <v>0</v>
      </c>
      <c r="V106" s="1212">
        <f>Q_Financials!BU71</f>
        <v>0</v>
      </c>
      <c r="W106" s="1212">
        <f>Q_Financials!BY71</f>
        <v>0</v>
      </c>
      <c r="X106" s="731"/>
      <c r="Y106" s="731"/>
      <c r="Z106" s="731"/>
      <c r="AA106" s="731"/>
      <c r="AB106" s="731"/>
      <c r="AC106" s="1181"/>
      <c r="AD106" s="1181"/>
      <c r="AE106" s="1525"/>
      <c r="AF106" s="1181"/>
    </row>
    <row r="107" spans="1:32">
      <c r="A107" s="1889" t="s">
        <v>1202</v>
      </c>
      <c r="B107" s="1194">
        <f>+'Annual historicals'!E203</f>
        <v>101.21899999999999</v>
      </c>
      <c r="C107" s="1194">
        <f>+'Annual historicals'!F203</f>
        <v>66.53</v>
      </c>
      <c r="D107" s="1194">
        <f>+'Annual historicals'!G203</f>
        <v>47.046999999999997</v>
      </c>
      <c r="E107" s="1194">
        <f>+'Annual historicals'!H203</f>
        <v>57.701000000000001</v>
      </c>
      <c r="F107" s="1116">
        <f>Q_Financials!I$69</f>
        <v>133.15100000000001</v>
      </c>
      <c r="G107" s="1116">
        <f>Q_Financials!M$69</f>
        <v>78.353000000000009</v>
      </c>
      <c r="H107" s="1116">
        <f>Q_Financials!Q$69</f>
        <v>76.375</v>
      </c>
      <c r="I107" s="1116">
        <f>Q_Financials!U$69</f>
        <v>63.298999999999999</v>
      </c>
      <c r="J107" s="1116">
        <f>Q_Financials!Y$69</f>
        <v>79.010999999999996</v>
      </c>
      <c r="K107" s="1116">
        <f>Q_Financials!AC$69</f>
        <v>98.234999999999999</v>
      </c>
      <c r="L107" s="1116">
        <f>Q_Financials!AG$69</f>
        <v>90.602000000000004</v>
      </c>
      <c r="M107" s="1116">
        <f>Q_Financials!AK$69</f>
        <v>115.727</v>
      </c>
      <c r="N107" s="1116">
        <f>Q_Financials!AO$69</f>
        <v>137.71100000000001</v>
      </c>
      <c r="O107" s="1116">
        <f>Q_Financials!AS$69</f>
        <v>138.93899999999999</v>
      </c>
      <c r="P107" s="1238">
        <f>Q_Financials!AW$69</f>
        <v>164.38506733799198</v>
      </c>
      <c r="Q107" s="1238">
        <f>Q_Financials!BA$69</f>
        <v>124.46841751959911</v>
      </c>
      <c r="R107" s="1238">
        <f>Q_Financials!BE$69</f>
        <v>116.45158982557402</v>
      </c>
      <c r="S107" s="1238">
        <f>Q_Financials!BI$69</f>
        <v>117.02046851715049</v>
      </c>
      <c r="T107" s="1238">
        <f>Q_Financials!BM$69</f>
        <v>107.28354092877612</v>
      </c>
      <c r="U107" s="1238">
        <f>Q_Financials!BQ$69</f>
        <v>87.629617644936758</v>
      </c>
      <c r="V107" s="1238">
        <f>Q_Financials!BU$69</f>
        <v>68.522028844178536</v>
      </c>
      <c r="W107" s="1238">
        <f>Q_Financials!BY$69</f>
        <v>50.501122179021507</v>
      </c>
      <c r="X107" s="731"/>
      <c r="Y107" s="731"/>
      <c r="Z107" s="731"/>
      <c r="AA107" s="731"/>
      <c r="AB107" s="731"/>
      <c r="AC107" s="1181"/>
      <c r="AD107" s="1181"/>
      <c r="AE107" s="1525"/>
      <c r="AF107" s="1181"/>
    </row>
    <row r="108" spans="1:32">
      <c r="A108" s="1889" t="s">
        <v>379</v>
      </c>
      <c r="B108" s="1194">
        <f>+'Annual historicals'!E204</f>
        <v>383.23399999999998</v>
      </c>
      <c r="C108" s="1194">
        <f>+'Annual historicals'!F204</f>
        <v>401.84699999999998</v>
      </c>
      <c r="D108" s="1194">
        <f>+'Annual historicals'!G204</f>
        <v>421.74599999999998</v>
      </c>
      <c r="E108" s="1194">
        <f>+Q_Financials!E70+Q_Financials!E72+Q_Financials!E73+Q_Financials!E74+Q_Financials!E78+Q_Financials!E79</f>
        <v>563.3309999999999</v>
      </c>
      <c r="F108" s="1194">
        <f>+Q_Financials!I70+Q_Financials!I72+Q_Financials!I73+Q_Financials!I74+Q_Financials!I78+Q_Financials!I79+1</f>
        <v>560.93599999999992</v>
      </c>
      <c r="G108" s="1194">
        <f>+Q_Financials!M70+Q_Financials!M72+Q_Financials!M73+Q_Financials!M74+Q_Financials!M78+Q_Financials!M79</f>
        <v>585.02499999999998</v>
      </c>
      <c r="H108" s="1194">
        <f>+Q_Financials!Q70+Q_Financials!Q72+Q_Financials!Q73+Q_Financials!Q74+Q_Financials!Q78+Q_Financials!Q79</f>
        <v>1246.538</v>
      </c>
      <c r="I108" s="1194">
        <f>+Q_Financials!U70+Q_Financials!U72+Q_Financials!U73+Q_Financials!U74+Q_Financials!U78+Q_Financials!U79</f>
        <v>1178.0900000000001</v>
      </c>
      <c r="J108" s="1194">
        <f>+Q_Financials!Y70+Q_Financials!Y72+Q_Financials!Y73+Q_Financials!Y74+Q_Financials!Y78+Q_Financials!Y79</f>
        <v>1406.77</v>
      </c>
      <c r="K108" s="1194">
        <f>+Q_Financials!AC70+Q_Financials!AC72+Q_Financials!AC73+Q_Financials!AC74+Q_Financials!AC78+Q_Financials!AC79</f>
        <v>1435.0060000000001</v>
      </c>
      <c r="L108" s="1194">
        <f>+Q_Financials!AG70+Q_Financials!AG72+Q_Financials!AG73+Q_Financials!AG74+Q_Financials!AG78+Q_Financials!AG79</f>
        <v>1417.692</v>
      </c>
      <c r="M108" s="1194">
        <f>+Q_Financials!AK70+Q_Financials!AK72+Q_Financials!AK73+Q_Financials!AK74+Q_Financials!AK78+Q_Financials!AK79</f>
        <v>1205.6799999999996</v>
      </c>
      <c r="N108" s="1194">
        <f>+Q_Financials!AO70+Q_Financials!AO72+Q_Financials!AO73+Q_Financials!AO74+Q_Financials!AO78+Q_Financials!AO79</f>
        <v>1092.6380000000001</v>
      </c>
      <c r="O108" s="1194">
        <f>+Q_Financials!AS70+Q_Financials!AS72+Q_Financials!AS73+Q_Financials!AS74+Q_Financials!AS78+Q_Financials!AS79</f>
        <v>1355.7800000000002</v>
      </c>
      <c r="P108" s="1212">
        <f>Q_Financials!AW70+Q_Financials!AW72+Q_Financials!AW73+Q_Financials!AW74+Q_Financials!AW78+Q_Financials!AW79</f>
        <v>1689.2974249112308</v>
      </c>
      <c r="Q108" s="1212">
        <f>+Q_Financials!BA70+Q_Financials!BA72+Q_Financials!BA73+Q_Financials!BA74+Q_Financials!BA78+Q_Financials!BA79</f>
        <v>1597.5371151498152</v>
      </c>
      <c r="R108" s="1212">
        <f>+Q_Financials!BE70+Q_Financials!BE72+Q_Financials!BE73+Q_Financials!BE74+Q_Financials!BE78+Q_Financials!BE79</f>
        <v>1614.1904189572292</v>
      </c>
      <c r="S108" s="1212">
        <f>+Q_Financials!BI70+Q_Financials!BI72+Q_Financials!BI73+Q_Financials!BI74+Q_Financials!BI78+Q_Financials!BI79</f>
        <v>1646.2119967200083</v>
      </c>
      <c r="T108" s="1212">
        <f>+Q_Financials!BM70+Q_Financials!BM72+Q_Financials!BM73+Q_Financials!BM74+Q_Financials!BM78+Q_Financials!BM79</f>
        <v>1667.0064134784798</v>
      </c>
      <c r="U108" s="1212">
        <f>+Q_Financials!BQ70+Q_Financials!BQ72+Q_Financials!BQ73+Q_Financials!BQ74+Q_Financials!BQ78+Q_Financials!BQ79</f>
        <v>1667.2518334839374</v>
      </c>
      <c r="V108" s="1212">
        <f>+Q_Financials!BU70+Q_Financials!BU72+Q_Financials!BU73+Q_Financials!BU74+Q_Financials!BU78+Q_Financials!BU79</f>
        <v>1668.9679850672044</v>
      </c>
      <c r="W108" s="1212">
        <f>+Q_Financials!BY70+Q_Financials!BY72+Q_Financials!BY73+Q_Financials!BY74+Q_Financials!BY78+Q_Financials!BY79</f>
        <v>1706.9842386240648</v>
      </c>
      <c r="X108" s="731"/>
      <c r="Y108" s="731"/>
      <c r="Z108" s="731"/>
      <c r="AA108" s="731"/>
      <c r="AB108" s="731"/>
      <c r="AC108" s="1181"/>
      <c r="AD108" s="1181"/>
      <c r="AE108" s="1525"/>
      <c r="AF108" s="1181"/>
    </row>
    <row r="109" spans="1:32">
      <c r="A109" s="1228" t="s">
        <v>377</v>
      </c>
      <c r="B109" s="1187">
        <f>+'Annual historicals'!E200+B110</f>
        <v>883.71500000000003</v>
      </c>
      <c r="C109" s="1187">
        <f>+'Annual historicals'!F200+C110</f>
        <v>910.17199999999991</v>
      </c>
      <c r="D109" s="1187">
        <f>+'Annual historicals'!G200+D110</f>
        <v>935.95100000000002</v>
      </c>
      <c r="E109" s="1187">
        <f>+Q_Financials!E89+E110</f>
        <v>1679.0909999999999</v>
      </c>
      <c r="F109" s="1187">
        <f>+Q_Financials!I89+F110</f>
        <v>1632.1920000000002</v>
      </c>
      <c r="G109" s="1187">
        <f>+Q_Financials!M89+G110</f>
        <v>1593.444</v>
      </c>
      <c r="H109" s="1187">
        <f>+Q_Financials!Q89+H110</f>
        <v>1909.3909999999998</v>
      </c>
      <c r="I109" s="1187">
        <f>+Q_Financials!U89+I110</f>
        <v>1953.4260000000002</v>
      </c>
      <c r="J109" s="1187">
        <f>+Q_Financials!Y89+J110</f>
        <v>2024.7839999999999</v>
      </c>
      <c r="K109" s="1187">
        <f>+Q_Financials!AC89+K110</f>
        <v>2100.6170000000002</v>
      </c>
      <c r="L109" s="1187">
        <f>+Q_Financials!AG89+L110</f>
        <v>2075.9520000000002</v>
      </c>
      <c r="M109" s="1187">
        <f>+Q_Financials!AK89+M110</f>
        <v>2616.085</v>
      </c>
      <c r="N109" s="1187">
        <f>+Q_Financials!AO89+N110</f>
        <v>2646.5969999999998</v>
      </c>
      <c r="O109" s="1187">
        <f>+Q_Financials!AS89</f>
        <v>3403.32</v>
      </c>
      <c r="P109" s="1188">
        <f>+Q_Financials!AW89</f>
        <v>3411.4181319704958</v>
      </c>
      <c r="Q109" s="1188">
        <f>+Q_Financials!BA89</f>
        <v>3697.9129302813931</v>
      </c>
      <c r="R109" s="1188">
        <f>+Q_Financials!BE89</f>
        <v>3901.2306527852807</v>
      </c>
      <c r="S109" s="1188">
        <f>+Q_Financials!BI89</f>
        <v>4144.2463134982518</v>
      </c>
      <c r="T109" s="1188">
        <f>+Q_Financials!BM89</f>
        <v>4402.1249354119591</v>
      </c>
      <c r="U109" s="1188">
        <f>+Q_Financials!BQ89</f>
        <v>4402.1249354119591</v>
      </c>
      <c r="V109" s="1188">
        <f>+Q_Financials!BU89</f>
        <v>4402.1249354119582</v>
      </c>
      <c r="W109" s="1188">
        <f>+Q_Financials!BY89</f>
        <v>4402.1249354119582</v>
      </c>
      <c r="X109" s="731"/>
      <c r="Y109" s="731"/>
      <c r="Z109" s="731"/>
      <c r="AA109" s="731"/>
      <c r="AB109" s="731"/>
      <c r="AC109" s="1181"/>
      <c r="AD109" s="1181"/>
      <c r="AE109" s="1525"/>
      <c r="AF109" s="1181"/>
    </row>
    <row r="110" spans="1:32">
      <c r="A110" s="1889" t="s">
        <v>376</v>
      </c>
      <c r="B110" s="1194">
        <f>+'Annual historicals'!E199</f>
        <v>0</v>
      </c>
      <c r="C110" s="1194">
        <f>+'Annual historicals'!F199</f>
        <v>0</v>
      </c>
      <c r="D110" s="1194">
        <f>+'Annual historicals'!G199</f>
        <v>0</v>
      </c>
      <c r="E110" s="1194">
        <f>Q_Financials!E82</f>
        <v>7.6109999999999998</v>
      </c>
      <c r="F110" s="1194">
        <f>Q_Financials!I82</f>
        <v>7.6109999999999998</v>
      </c>
      <c r="G110" s="1194">
        <f>Q_Financials!M82</f>
        <v>18.242999999999999</v>
      </c>
      <c r="H110" s="1194">
        <f>Q_Financials!Q82</f>
        <v>0</v>
      </c>
      <c r="I110" s="1194">
        <f>Q_Financials!U82</f>
        <v>0</v>
      </c>
      <c r="J110" s="1194">
        <f>Q_Financials!Y82</f>
        <v>0</v>
      </c>
      <c r="K110" s="1194">
        <f>Q_Financials!AC82</f>
        <v>0</v>
      </c>
      <c r="L110" s="1194">
        <f>Q_Financials!AG82</f>
        <v>0</v>
      </c>
      <c r="M110" s="1194">
        <f>Q_Financials!AK82</f>
        <v>0</v>
      </c>
      <c r="N110" s="1194">
        <f>Q_Financials!AO82</f>
        <v>0</v>
      </c>
      <c r="O110" s="1194">
        <f>Q_Financials!AS82</f>
        <v>0</v>
      </c>
      <c r="P110" s="1212">
        <f>Q_Financials!AW82</f>
        <v>0</v>
      </c>
      <c r="Q110" s="1212">
        <f>Q_Financials!BA82</f>
        <v>0</v>
      </c>
      <c r="R110" s="1212">
        <f>Q_Financials!BE82</f>
        <v>0</v>
      </c>
      <c r="S110" s="1212">
        <f>Q_Financials!BI82</f>
        <v>0</v>
      </c>
      <c r="T110" s="1212">
        <f>Q_Financials!BM82</f>
        <v>0</v>
      </c>
      <c r="U110" s="1212">
        <f>Q_Financials!BQ82</f>
        <v>0</v>
      </c>
      <c r="V110" s="1212">
        <f>Q_Financials!BU82</f>
        <v>0</v>
      </c>
      <c r="W110" s="1212">
        <f>Q_Financials!BY82</f>
        <v>0</v>
      </c>
      <c r="X110" s="731"/>
      <c r="Y110" s="731"/>
      <c r="Z110" s="731"/>
      <c r="AA110" s="731"/>
      <c r="AB110" s="731"/>
      <c r="AC110" s="1181"/>
      <c r="AD110" s="1181"/>
      <c r="AE110" s="1525"/>
      <c r="AF110" s="1181"/>
    </row>
    <row r="111" spans="1:32" s="43" customFormat="1">
      <c r="A111" s="1707" t="s">
        <v>380</v>
      </c>
      <c r="B111" s="1592">
        <f t="shared" ref="B111:W111" si="101">+SUM(B105:B109)</f>
        <v>1626.174</v>
      </c>
      <c r="C111" s="1592">
        <f t="shared" si="101"/>
        <v>1602.4519999999998</v>
      </c>
      <c r="D111" s="1592">
        <f t="shared" si="101"/>
        <v>1646.056</v>
      </c>
      <c r="E111" s="1592">
        <f t="shared" si="101"/>
        <v>2642.9259999999999</v>
      </c>
      <c r="F111" s="1592">
        <f t="shared" si="101"/>
        <v>2917.6230000000005</v>
      </c>
      <c r="G111" s="1592">
        <f t="shared" si="101"/>
        <v>3394.692</v>
      </c>
      <c r="H111" s="1592">
        <f t="shared" si="101"/>
        <v>4187.4430000000002</v>
      </c>
      <c r="I111" s="1592">
        <f t="shared" si="101"/>
        <v>3941.5960000000005</v>
      </c>
      <c r="J111" s="1592">
        <f t="shared" si="101"/>
        <v>4787.2729999999992</v>
      </c>
      <c r="K111" s="1592">
        <f t="shared" si="101"/>
        <v>5633.1100000000006</v>
      </c>
      <c r="L111" s="1592">
        <f t="shared" si="101"/>
        <v>5825.9510000000009</v>
      </c>
      <c r="M111" s="1592">
        <f t="shared" si="101"/>
        <v>7619.0319999999992</v>
      </c>
      <c r="N111" s="1592">
        <f t="shared" si="101"/>
        <v>7755.59</v>
      </c>
      <c r="O111" s="1592">
        <f t="shared" si="101"/>
        <v>8691.5249999999996</v>
      </c>
      <c r="P111" s="1648">
        <f t="shared" si="101"/>
        <v>8792.8354242197202</v>
      </c>
      <c r="Q111" s="1648">
        <f t="shared" si="101"/>
        <v>8947.6532629508074</v>
      </c>
      <c r="R111" s="1648">
        <f t="shared" si="101"/>
        <v>9159.6074615680845</v>
      </c>
      <c r="S111" s="1648">
        <f t="shared" si="101"/>
        <v>9435.2135787354109</v>
      </c>
      <c r="T111" s="1648">
        <f t="shared" si="101"/>
        <v>9704.1496898192163</v>
      </c>
      <c r="U111" s="1648">
        <f t="shared" si="101"/>
        <v>9684.741186540834</v>
      </c>
      <c r="V111" s="1648">
        <f t="shared" si="101"/>
        <v>9667.3497493233408</v>
      </c>
      <c r="W111" s="1648">
        <f t="shared" si="101"/>
        <v>9687.3450962150455</v>
      </c>
      <c r="X111" s="990"/>
      <c r="Y111" s="990"/>
      <c r="Z111" s="990"/>
      <c r="AA111" s="990"/>
      <c r="AB111" s="990"/>
      <c r="AC111" s="1292"/>
      <c r="AD111" s="1292"/>
      <c r="AE111" s="1708"/>
      <c r="AF111" s="1292"/>
    </row>
    <row r="112" spans="1:32" ht="12.75" customHeight="1">
      <c r="A112" s="731"/>
      <c r="B112" s="1169"/>
      <c r="C112" s="1169"/>
      <c r="D112" s="1169"/>
      <c r="E112" s="1169"/>
      <c r="F112" s="1169"/>
      <c r="G112" s="1169"/>
      <c r="H112" s="1169"/>
      <c r="I112" s="1169"/>
      <c r="J112" s="1169"/>
      <c r="K112" s="1169"/>
      <c r="L112" s="1169"/>
      <c r="M112" s="1169"/>
      <c r="N112" s="1169"/>
      <c r="O112" s="1169"/>
      <c r="P112" s="1169"/>
      <c r="Q112" s="1169"/>
      <c r="R112" s="1169"/>
      <c r="S112" s="1169"/>
      <c r="T112" s="1169"/>
      <c r="U112" s="1169"/>
      <c r="V112" s="1169"/>
      <c r="W112" s="1169"/>
      <c r="X112" s="731"/>
      <c r="Y112" s="731"/>
      <c r="Z112" s="731"/>
      <c r="AA112" s="731"/>
      <c r="AB112" s="731"/>
      <c r="AC112" s="1181"/>
      <c r="AD112" s="1181"/>
      <c r="AE112" s="1181"/>
      <c r="AF112" s="1181"/>
    </row>
    <row r="113" spans="1:32">
      <c r="A113" s="1342" t="s">
        <v>381</v>
      </c>
      <c r="B113" s="1343">
        <f t="shared" ref="B113:W113" si="102">B$4</f>
        <v>2004</v>
      </c>
      <c r="C113" s="1343">
        <f t="shared" si="102"/>
        <v>2005</v>
      </c>
      <c r="D113" s="1343">
        <f t="shared" si="102"/>
        <v>2006</v>
      </c>
      <c r="E113" s="1343">
        <f t="shared" si="102"/>
        <v>2007</v>
      </c>
      <c r="F113" s="1343">
        <f t="shared" si="102"/>
        <v>2008</v>
      </c>
      <c r="G113" s="1343">
        <f t="shared" si="102"/>
        <v>2009</v>
      </c>
      <c r="H113" s="1343">
        <f t="shared" si="102"/>
        <v>2010</v>
      </c>
      <c r="I113" s="1343">
        <f t="shared" si="102"/>
        <v>2011</v>
      </c>
      <c r="J113" s="1343">
        <f t="shared" si="102"/>
        <v>2012</v>
      </c>
      <c r="K113" s="1343">
        <f t="shared" si="102"/>
        <v>2013</v>
      </c>
      <c r="L113" s="1343">
        <f t="shared" si="102"/>
        <v>2014</v>
      </c>
      <c r="M113" s="1343">
        <f t="shared" si="102"/>
        <v>2015</v>
      </c>
      <c r="N113" s="1343">
        <f t="shared" si="102"/>
        <v>2016</v>
      </c>
      <c r="O113" s="1343">
        <f t="shared" si="102"/>
        <v>2017</v>
      </c>
      <c r="P113" s="1344">
        <f t="shared" si="102"/>
        <v>2018</v>
      </c>
      <c r="Q113" s="1344">
        <f t="shared" si="102"/>
        <v>2019</v>
      </c>
      <c r="R113" s="1344">
        <f t="shared" si="102"/>
        <v>2020</v>
      </c>
      <c r="S113" s="1344">
        <f t="shared" si="102"/>
        <v>2021</v>
      </c>
      <c r="T113" s="1344">
        <f t="shared" si="102"/>
        <v>2022</v>
      </c>
      <c r="U113" s="1344">
        <f t="shared" si="102"/>
        <v>2023</v>
      </c>
      <c r="V113" s="1344">
        <f t="shared" si="102"/>
        <v>2024</v>
      </c>
      <c r="W113" s="1344">
        <f t="shared" si="102"/>
        <v>2025</v>
      </c>
      <c r="X113" s="731"/>
      <c r="Y113" s="731"/>
      <c r="Z113" s="731"/>
      <c r="AA113" s="731"/>
      <c r="AB113" s="731"/>
      <c r="AC113" s="1181"/>
      <c r="AD113" s="1181"/>
      <c r="AE113" s="1181"/>
      <c r="AF113" s="1181"/>
    </row>
    <row r="114" spans="1:32">
      <c r="A114" s="1229" t="s">
        <v>1429</v>
      </c>
      <c r="B114" s="1230"/>
      <c r="C114" s="1230">
        <f t="shared" ref="C114:W114" si="103">C80</f>
        <v>35.701999999999963</v>
      </c>
      <c r="D114" s="1230">
        <f t="shared" si="103"/>
        <v>172.50199999999998</v>
      </c>
      <c r="E114" s="1230">
        <f t="shared" si="103"/>
        <v>198.76599999999985</v>
      </c>
      <c r="F114" s="1230">
        <f t="shared" si="103"/>
        <v>-48.793999999999926</v>
      </c>
      <c r="G114" s="1230">
        <f t="shared" si="103"/>
        <v>-71.86500000000008</v>
      </c>
      <c r="H114" s="1230">
        <f t="shared" si="103"/>
        <v>98.071999999999832</v>
      </c>
      <c r="I114" s="1230">
        <f t="shared" si="103"/>
        <v>142.29099999999985</v>
      </c>
      <c r="J114" s="1230">
        <f t="shared" si="103"/>
        <v>126.61100000000016</v>
      </c>
      <c r="K114" s="1230">
        <f t="shared" si="103"/>
        <v>72.949999999999804</v>
      </c>
      <c r="L114" s="1230">
        <f t="shared" si="103"/>
        <v>135.00200000000004</v>
      </c>
      <c r="M114" s="1230">
        <f t="shared" si="103"/>
        <v>317.23799999999966</v>
      </c>
      <c r="N114" s="1230">
        <f t="shared" si="103"/>
        <v>199.43399999999997</v>
      </c>
      <c r="O114" s="1230">
        <f t="shared" si="103"/>
        <v>283.88800000000009</v>
      </c>
      <c r="P114" s="1231">
        <f t="shared" si="103"/>
        <v>522.80188661749276</v>
      </c>
      <c r="Q114" s="1231">
        <f t="shared" si="103"/>
        <v>572.98959662179311</v>
      </c>
      <c r="R114" s="1231">
        <f t="shared" si="103"/>
        <v>677.72574167962398</v>
      </c>
      <c r="S114" s="1231">
        <f t="shared" si="103"/>
        <v>810.05220237657215</v>
      </c>
      <c r="T114" s="1231">
        <f t="shared" si="103"/>
        <v>859.59540637902387</v>
      </c>
      <c r="U114" s="1231">
        <f t="shared" si="103"/>
        <v>710.7614377814981</v>
      </c>
      <c r="V114" s="1231">
        <f t="shared" si="103"/>
        <v>596.87896213261342</v>
      </c>
      <c r="W114" s="1231">
        <f t="shared" si="103"/>
        <v>780.14521072285834</v>
      </c>
      <c r="X114" s="731"/>
      <c r="Y114" s="731"/>
      <c r="Z114" s="731"/>
      <c r="AA114" s="731"/>
      <c r="AB114" s="731"/>
      <c r="AC114" s="1181"/>
      <c r="AD114" s="1181"/>
      <c r="AE114" s="1181"/>
      <c r="AF114" s="1181"/>
    </row>
    <row r="115" spans="1:32">
      <c r="A115" s="1891" t="s">
        <v>382</v>
      </c>
      <c r="B115" s="1194"/>
      <c r="C115" s="1194">
        <f>-Financials!C67</f>
        <v>77.599999999999994</v>
      </c>
      <c r="D115" s="1194">
        <f>-Financials!D67</f>
        <v>87.3</v>
      </c>
      <c r="E115" s="1194">
        <f>-Financials!E67</f>
        <v>140.09100000000001</v>
      </c>
      <c r="F115" s="1194">
        <f>-Financials!F67</f>
        <v>191.21400000000003</v>
      </c>
      <c r="G115" s="1194">
        <f>-Financials!G67</f>
        <v>202.506</v>
      </c>
      <c r="H115" s="1194">
        <f>-Financials!H67</f>
        <v>277.01599999999996</v>
      </c>
      <c r="I115" s="1194">
        <f>-Financials!I67</f>
        <v>330.35499999999996</v>
      </c>
      <c r="J115" s="1194">
        <f>-Financials!J67</f>
        <v>351.62699999999995</v>
      </c>
      <c r="K115" s="1194">
        <f>-Financials!K67</f>
        <v>452.95</v>
      </c>
      <c r="L115" s="1194">
        <f>-Financials!L67</f>
        <v>448.28499999999997</v>
      </c>
      <c r="M115" s="1194">
        <f>-Financials!M67</f>
        <v>599.029</v>
      </c>
      <c r="N115" s="1194">
        <f>-Financials!N67</f>
        <v>723.76099999999997</v>
      </c>
      <c r="O115" s="1194">
        <f>-Financials!O67</f>
        <v>737.91100000000006</v>
      </c>
      <c r="P115" s="1212">
        <f>-Financials!P67</f>
        <v>937.02296374027128</v>
      </c>
      <c r="Q115" s="1212">
        <f>-Financials!Q67</f>
        <v>969.13922406645224</v>
      </c>
      <c r="R115" s="1212">
        <f>-Financials!R67</f>
        <v>1046.7014821966725</v>
      </c>
      <c r="S115" s="1212">
        <f>-Financials!S67</f>
        <v>1204.6245556239382</v>
      </c>
      <c r="T115" s="1212">
        <f>-Financials!T67</f>
        <v>1289.2143715107193</v>
      </c>
      <c r="U115" s="1212">
        <f>-Financials!U67</f>
        <v>1226.9362955391991</v>
      </c>
      <c r="V115" s="1212">
        <f>-Financials!V67</f>
        <v>1195.5195738589618</v>
      </c>
      <c r="W115" s="1212">
        <f>-Financials!W67</f>
        <v>1337.8620990618506</v>
      </c>
      <c r="X115" s="731"/>
      <c r="Y115" s="731"/>
      <c r="Z115" s="731"/>
      <c r="AA115" s="731"/>
      <c r="AB115" s="731"/>
      <c r="AC115" s="1181"/>
      <c r="AD115" s="1181"/>
      <c r="AE115" s="1181"/>
      <c r="AF115" s="1181"/>
    </row>
    <row r="116" spans="1:32">
      <c r="A116" s="1891" t="s">
        <v>383</v>
      </c>
      <c r="B116" s="1194"/>
      <c r="C116" s="1194">
        <f>B100+B99-C100-C99+C107-B107+B101-C101+C106-B106+C108-B108+B102-C102</f>
        <v>-13.564999999999998</v>
      </c>
      <c r="D116" s="1194">
        <f>C100+C99-D100-D99+D107-C107+C101-D101+D106-C106+D108-C108+C102-D102</f>
        <v>-13.468999999999994</v>
      </c>
      <c r="E116" s="1194">
        <f>D100+D99-E100-E99+E107-D107+D101-E101+E106-D106+E108-D108+D102-E102</f>
        <v>160.66399999999987</v>
      </c>
      <c r="F116" s="1194">
        <f>+SUM(Q_Financials!F96:I96)</f>
        <v>-30.394999999999982</v>
      </c>
      <c r="G116" s="1194">
        <f>+SUM(Q_Financials!J96:M96)</f>
        <v>-96.54200000000003</v>
      </c>
      <c r="H116" s="1194">
        <f>+SUM(Q_Financials!N96:Q96)</f>
        <v>183.60699999999991</v>
      </c>
      <c r="I116" s="1194">
        <f>+SUM(Q_Financials!R96:U96)</f>
        <v>-198.31420799999978</v>
      </c>
      <c r="J116" s="1194">
        <f>+SUM(Q_Financials!V96:Y96)</f>
        <v>-9.6651679999999658</v>
      </c>
      <c r="K116" s="1194">
        <f>+SUM(Q_Financials!Z96:AC96)</f>
        <v>-173.23622400000005</v>
      </c>
      <c r="L116" s="1194">
        <f>+SUM(Q_Financials!AD96:AG96)</f>
        <v>-28.566792000000191</v>
      </c>
      <c r="M116" s="1194">
        <f>+SUM(Q_Financials!AH96:AK96)</f>
        <v>-225.34625999999969</v>
      </c>
      <c r="N116" s="1194">
        <f>+SUM(Q_Financials!AL96:AO96)</f>
        <v>10.618652000000225</v>
      </c>
      <c r="O116" s="1194">
        <f>+SUM(Q_Financials!AP96:AS96)</f>
        <v>-126.29800000000012</v>
      </c>
      <c r="P116" s="1212">
        <f>+SUM(Q_Financials!AT96:AW96)</f>
        <v>2.8906308906073264</v>
      </c>
      <c r="Q116" s="1212">
        <f>+SUM(Q_Financials!AX96:BA96)</f>
        <v>23.946512812143283</v>
      </c>
      <c r="R116" s="1212">
        <f>+SUM(Q_Financials!BB96:BE96)</f>
        <v>40.522229886226796</v>
      </c>
      <c r="S116" s="1212">
        <f>+SUM(Q_Financials!BF96:BI96)</f>
        <v>76.033563564697488</v>
      </c>
      <c r="T116" s="1212">
        <f>+SUM(Q_Financials!BJ96:BM96)</f>
        <v>118.08696284599205</v>
      </c>
      <c r="U116" s="1212">
        <f>+SUM(Q_Financials!BN96:BQ96)</f>
        <v>126.32866976449145</v>
      </c>
      <c r="V116" s="1212">
        <f>+SUM(Q_Financials!BR96:BU96)</f>
        <v>-57.55419217074359</v>
      </c>
      <c r="W116" s="1212">
        <f>+SUM(Q_Financials!BV96:BY96)</f>
        <v>-75.469040342519065</v>
      </c>
      <c r="X116" s="731"/>
      <c r="Y116" s="731"/>
      <c r="Z116" s="731"/>
      <c r="AA116" s="731"/>
      <c r="AB116" s="731"/>
      <c r="AC116" s="1181"/>
      <c r="AD116" s="1181"/>
      <c r="AE116" s="1181"/>
      <c r="AF116" s="1181"/>
    </row>
    <row r="117" spans="1:32">
      <c r="A117" s="1233" t="s">
        <v>1430</v>
      </c>
      <c r="B117" s="1187"/>
      <c r="C117" s="1187">
        <f t="shared" ref="C117:W117" si="104">SUM(C114:C116)</f>
        <v>99.736999999999966</v>
      </c>
      <c r="D117" s="1187">
        <f t="shared" si="104"/>
        <v>246.33299999999997</v>
      </c>
      <c r="E117" s="1187">
        <f t="shared" si="104"/>
        <v>499.52099999999973</v>
      </c>
      <c r="F117" s="1187">
        <f t="shared" si="104"/>
        <v>112.02500000000012</v>
      </c>
      <c r="G117" s="1187">
        <f t="shared" si="104"/>
        <v>34.098999999999876</v>
      </c>
      <c r="H117" s="1187">
        <f t="shared" si="104"/>
        <v>558.69499999999971</v>
      </c>
      <c r="I117" s="1187">
        <f t="shared" si="104"/>
        <v>274.33179200000006</v>
      </c>
      <c r="J117" s="1187">
        <f t="shared" si="104"/>
        <v>468.57283200000018</v>
      </c>
      <c r="K117" s="1187">
        <f t="shared" si="104"/>
        <v>352.6637759999997</v>
      </c>
      <c r="L117" s="1187">
        <f t="shared" si="104"/>
        <v>554.72020799999984</v>
      </c>
      <c r="M117" s="1187">
        <f t="shared" si="104"/>
        <v>690.92073999999991</v>
      </c>
      <c r="N117" s="1187">
        <f t="shared" si="104"/>
        <v>933.81365200000016</v>
      </c>
      <c r="O117" s="1187">
        <f t="shared" si="104"/>
        <v>895.50100000000009</v>
      </c>
      <c r="P117" s="1188">
        <f t="shared" si="104"/>
        <v>1462.7154812483714</v>
      </c>
      <c r="Q117" s="1188">
        <f t="shared" si="104"/>
        <v>1566.0753335003888</v>
      </c>
      <c r="R117" s="1188">
        <f t="shared" si="104"/>
        <v>1764.9494537625233</v>
      </c>
      <c r="S117" s="1188">
        <f t="shared" si="104"/>
        <v>2090.7103215652078</v>
      </c>
      <c r="T117" s="1188">
        <f t="shared" si="104"/>
        <v>2266.896740735735</v>
      </c>
      <c r="U117" s="1188">
        <f t="shared" si="104"/>
        <v>2064.0264030851886</v>
      </c>
      <c r="V117" s="1188">
        <f t="shared" si="104"/>
        <v>1734.8443438208317</v>
      </c>
      <c r="W117" s="1188">
        <f t="shared" si="104"/>
        <v>2042.5382694421899</v>
      </c>
      <c r="X117" s="731"/>
      <c r="Y117" s="731"/>
      <c r="Z117" s="731"/>
      <c r="AA117" s="731"/>
      <c r="AB117" s="731"/>
      <c r="AC117" s="1181"/>
      <c r="AD117" s="1181"/>
      <c r="AE117" s="1181"/>
      <c r="AF117" s="1181"/>
    </row>
    <row r="118" spans="1:32">
      <c r="A118" s="1232" t="s">
        <v>385</v>
      </c>
      <c r="B118" s="1194"/>
      <c r="C118" s="1194">
        <f>B95-C95-C115</f>
        <v>-66.858000000000033</v>
      </c>
      <c r="D118" s="1194">
        <f>C95-D95-D115</f>
        <v>-81.207999999999899</v>
      </c>
      <c r="E118" s="1194">
        <f>D95-E95-E115</f>
        <v>-932.23599999999999</v>
      </c>
      <c r="F118" s="1194">
        <f>+SUM(Q_Financials!F100:I100)</f>
        <v>-519.18600000000004</v>
      </c>
      <c r="G118" s="1194">
        <f>+SUM(Q_Financials!J100:M100)</f>
        <v>-457.29100000000005</v>
      </c>
      <c r="H118" s="1194">
        <f>+SUM(Q_Financials!N100:Q100)</f>
        <v>-334.346</v>
      </c>
      <c r="I118" s="1194">
        <f>+SUM(Q_Financials!R100:U100)</f>
        <v>-454.16899999999998</v>
      </c>
      <c r="J118" s="1194">
        <f>+SUM(Q_Financials!V100:Y100)</f>
        <v>-631.06600000000003</v>
      </c>
      <c r="K118" s="1194">
        <f>+SUM(Q_Financials!Z100:AC100)</f>
        <v>-679.84099999999989</v>
      </c>
      <c r="L118" s="1194">
        <f>+SUM(Q_Financials!AD100:AG100)</f>
        <v>-658.44399999999996</v>
      </c>
      <c r="M118" s="1194">
        <f>+SUM(Q_Financials!AH100:AK100)</f>
        <v>-812.029</v>
      </c>
      <c r="N118" s="1194">
        <f>+SUM(Q_Financials!AL100:AO100)</f>
        <v>-840.81400000000008</v>
      </c>
      <c r="O118" s="1194">
        <f>+SUM(Q_Financials!AP100:AS100)</f>
        <v>-976.98</v>
      </c>
      <c r="P118" s="1212">
        <f>+SUM(Q_Financials!AT100:AW100)</f>
        <v>-990.91228347385686</v>
      </c>
      <c r="Q118" s="1212">
        <f>+SUM(Q_Financials!AX100:BA100)</f>
        <v>-1022.2459586001482</v>
      </c>
      <c r="R118" s="1212">
        <f>+SUM(Q_Financials!BB100:BE100)</f>
        <v>-1223.805845179005</v>
      </c>
      <c r="S118" s="1212">
        <f>+SUM(Q_Financials!BF100:BI100)</f>
        <v>-1383.4198210911582</v>
      </c>
      <c r="T118" s="1212">
        <f>+SUM(Q_Financials!BJ100:BM100)</f>
        <v>-1471.7311882750189</v>
      </c>
      <c r="U118" s="1212">
        <f>+SUM(Q_Financials!BN100:BQ100)</f>
        <v>-1417.0078734257606</v>
      </c>
      <c r="V118" s="1212">
        <f>+SUM(Q_Financials!BR100:BU100)</f>
        <v>-1392.6595437548831</v>
      </c>
      <c r="W118" s="1212">
        <f>+SUM(Q_Financials!BV100:BY100)</f>
        <v>-1538.1137500929303</v>
      </c>
      <c r="X118" s="731"/>
      <c r="Y118" s="731"/>
      <c r="Z118" s="731"/>
      <c r="AA118" s="731"/>
      <c r="AB118" s="731"/>
      <c r="AC118" s="1181"/>
      <c r="AD118" s="1181"/>
      <c r="AE118" s="1181"/>
      <c r="AF118" s="1181"/>
    </row>
    <row r="119" spans="1:32">
      <c r="A119" s="1232" t="s">
        <v>384</v>
      </c>
      <c r="B119" s="1194"/>
      <c r="C119" s="1931">
        <v>-35.701999999999963</v>
      </c>
      <c r="D119" s="1931">
        <v>-172.50199999999998</v>
      </c>
      <c r="E119" s="1931">
        <v>-198.76599999999985</v>
      </c>
      <c r="F119" s="1194">
        <f>+SUM(Q_Financials!F109:I109)</f>
        <v>48.793999999999969</v>
      </c>
      <c r="G119" s="1194">
        <f>+SUM(Q_Financials!J109:M109)</f>
        <v>71.865000000000038</v>
      </c>
      <c r="H119" s="1194">
        <f>+SUM(Q_Financials!N109:Q109)</f>
        <v>120.55900000000003</v>
      </c>
      <c r="I119" s="1194">
        <f>+SUM(Q_Financials!R109:U109)</f>
        <v>-166.40599999999989</v>
      </c>
      <c r="J119" s="1194">
        <f>+SUM(Q_Financials!V109:Y109)</f>
        <v>-12.259999999999962</v>
      </c>
      <c r="K119" s="1194">
        <f>+SUM(Q_Financials!Z109:AC109)</f>
        <v>-381.81700000000001</v>
      </c>
      <c r="L119" s="1194">
        <f>+SUM(Q_Financials!AD109:AG109)</f>
        <v>95.274999999999949</v>
      </c>
      <c r="M119" s="1194">
        <f>+SUM(Q_Financials!AH109:AK109)</f>
        <v>-125.77300000000008</v>
      </c>
      <c r="N119" s="1194">
        <f>+SUM(Q_Financials!AL109:AO109)</f>
        <v>-159.14699999999988</v>
      </c>
      <c r="O119" s="1194">
        <f>+SUM(Q_Financials!AP109:AS109)</f>
        <v>-108.57700000000007</v>
      </c>
      <c r="P119" s="1212">
        <f>+SUM(Q_Financials!AT109:AW109)</f>
        <v>-205.69575464699724</v>
      </c>
      <c r="Q119" s="1212">
        <f>+SUM(Q_Financials!AX109:BA109)</f>
        <v>-286.49479831089707</v>
      </c>
      <c r="R119" s="1212">
        <f>+SUM(Q_Financials!BB109:BE109)</f>
        <v>-474.40801917573714</v>
      </c>
      <c r="S119" s="1212">
        <f>+SUM(Q_Financials!BF109:BI109)</f>
        <v>-567.03654166360081</v>
      </c>
      <c r="T119" s="1212">
        <f>+SUM(Q_Financials!BJ109:BM109)</f>
        <v>-601.71678446531678</v>
      </c>
      <c r="U119" s="1212">
        <f>+SUM(Q_Financials!BN109:BQ109)</f>
        <v>-710.76143778149901</v>
      </c>
      <c r="V119" s="1212">
        <f>+SUM(Q_Financials!BR109:BU109)</f>
        <v>-596.87896213261376</v>
      </c>
      <c r="W119" s="1212">
        <f>+SUM(Q_Financials!BV109:BY109)</f>
        <v>-780.14521072285879</v>
      </c>
      <c r="X119" s="731"/>
      <c r="Y119" s="731"/>
      <c r="Z119" s="731"/>
      <c r="AA119" s="731"/>
      <c r="AB119" s="731"/>
      <c r="AC119" s="1181"/>
      <c r="AD119" s="1181"/>
      <c r="AE119" s="1181"/>
      <c r="AF119" s="1181"/>
    </row>
    <row r="120" spans="1:32">
      <c r="A120" s="1232" t="s">
        <v>1431</v>
      </c>
      <c r="B120" s="1194"/>
      <c r="C120" s="1931">
        <v>26.45699999999988</v>
      </c>
      <c r="D120" s="1931">
        <v>62.245000000000118</v>
      </c>
      <c r="E120" s="1931">
        <v>393.25999999999976</v>
      </c>
      <c r="F120" s="1194">
        <f>+SUM(Q_Financials!F106:I106)</f>
        <v>-46.898999999999987</v>
      </c>
      <c r="G120" s="1194">
        <f>+SUM(Q_Financials!J106:M106)</f>
        <v>-47.480999999999995</v>
      </c>
      <c r="H120" s="1194">
        <f>+SUM(Q_Financials!N106:Q106)</f>
        <v>115.55899999999997</v>
      </c>
      <c r="I120" s="1194">
        <f>+SUM(Q_Financials!R106:U106)</f>
        <v>-29.649000000000001</v>
      </c>
      <c r="J120" s="1194">
        <f>+SUM(Q_Financials!V106:Y106)</f>
        <v>-42.993000000000166</v>
      </c>
      <c r="K120" s="1194">
        <f>+SUM(Q_Financials!Z106:AC106)</f>
        <v>226.44999999999982</v>
      </c>
      <c r="L120" s="1194">
        <f>+SUM(Q_Financials!AD106:AG106)</f>
        <v>-377.99199999999996</v>
      </c>
      <c r="M120" s="1194">
        <f>+SUM(Q_Financials!AH106:AK106)</f>
        <v>294.9369999999999</v>
      </c>
      <c r="N120" s="1194">
        <f>+SUM(Q_Financials!AL106:AO106)</f>
        <v>-129.57399999999984</v>
      </c>
      <c r="O120" s="1194">
        <f>+SUM(Q_Financials!AP106:AS106)</f>
        <v>74.555000000000064</v>
      </c>
      <c r="P120" s="1212">
        <f>+SUM(Q_Financials!AT106:AW106)</f>
        <v>-309.00800000000004</v>
      </c>
      <c r="Q120" s="1212">
        <f>+SUM(Q_Financials!AX106:BA106)</f>
        <v>0</v>
      </c>
      <c r="R120" s="1212">
        <f>+SUM(Q_Financials!BB106:BE106)</f>
        <v>0</v>
      </c>
      <c r="S120" s="1212">
        <f>+SUM(Q_Financials!BF106:BI106)</f>
        <v>0</v>
      </c>
      <c r="T120" s="1212">
        <f>+SUM(Q_Financials!BJ106:BM106)</f>
        <v>0</v>
      </c>
      <c r="U120" s="1212">
        <f>+SUM(Q_Financials!BN106:BQ106)</f>
        <v>0</v>
      </c>
      <c r="V120" s="1212">
        <f>+SUM(Q_Financials!BR106:BU106)</f>
        <v>0</v>
      </c>
      <c r="W120" s="1212">
        <f>+SUM(Q_Financials!BV106:BY106)</f>
        <v>0</v>
      </c>
      <c r="X120" s="731"/>
      <c r="Y120" s="731"/>
      <c r="Z120" s="731"/>
      <c r="AA120" s="731"/>
      <c r="AB120" s="731"/>
      <c r="AC120" s="1181"/>
      <c r="AD120" s="1181"/>
      <c r="AE120" s="1181"/>
      <c r="AF120" s="1181"/>
    </row>
    <row r="121" spans="1:32">
      <c r="A121" s="1232" t="s">
        <v>1452</v>
      </c>
      <c r="B121" s="1194"/>
      <c r="C121" s="1931">
        <v>0</v>
      </c>
      <c r="D121" s="1931">
        <v>-36.466000000000001</v>
      </c>
      <c r="E121" s="1931">
        <v>342.26900000000001</v>
      </c>
      <c r="F121" s="1194">
        <f>+SUM(Q_Financials!F105:I105)</f>
        <v>0</v>
      </c>
      <c r="G121" s="1194">
        <f>+SUM(Q_Financials!J105:M105)</f>
        <v>-1.8990000000000009</v>
      </c>
      <c r="H121" s="1194">
        <f>+SUM(Q_Financials!N105:Q105)</f>
        <v>0</v>
      </c>
      <c r="I121" s="1194">
        <f>+SUM(Q_Financials!R105:U105)</f>
        <v>97.798999999999978</v>
      </c>
      <c r="J121" s="1194">
        <f>+SUM(Q_Financials!V105:Y105)</f>
        <v>0</v>
      </c>
      <c r="K121" s="1194">
        <f>+SUM(Q_Financials!Z105:AC105)</f>
        <v>158.25</v>
      </c>
      <c r="L121" s="1194">
        <f>+SUM(Q_Financials!AD105:AG105)</f>
        <v>123.05000000000007</v>
      </c>
      <c r="M121" s="1194">
        <f>+SUM(Q_Financials!AH105:AK105)</f>
        <v>84.910999999999945</v>
      </c>
      <c r="N121" s="1194">
        <f>+SUM(Q_Financials!AL105:AO105)</f>
        <v>119.75999999999999</v>
      </c>
      <c r="O121" s="1194">
        <f>+SUM(Q_Financials!AP105:AS105)</f>
        <v>506.85800000000006</v>
      </c>
      <c r="P121" s="1212">
        <f>+SUM(Q_Financials!AT105:AW105)</f>
        <v>0</v>
      </c>
      <c r="Q121" s="1212">
        <f>+SUM(Q_Financials!AX105:BA105)</f>
        <v>0</v>
      </c>
      <c r="R121" s="1212">
        <f>+SUM(Q_Financials!BB105:BE105)</f>
        <v>0</v>
      </c>
      <c r="S121" s="1212">
        <f>+SUM(Q_Financials!BF105:BI105)</f>
        <v>0</v>
      </c>
      <c r="T121" s="1212">
        <f>+SUM(Q_Financials!BJ105:BM105)</f>
        <v>0</v>
      </c>
      <c r="U121" s="1212">
        <f>+SUM(Q_Financials!BN105:BQ105)</f>
        <v>0</v>
      </c>
      <c r="V121" s="1212">
        <f>+SUM(Q_Financials!BR105:BU105)</f>
        <v>0</v>
      </c>
      <c r="W121" s="1212">
        <f>+SUM(Q_Financials!BV105:BY105)</f>
        <v>0</v>
      </c>
      <c r="X121" s="731"/>
      <c r="Y121" s="731"/>
      <c r="Z121" s="731"/>
      <c r="AA121" s="731"/>
      <c r="AB121" s="731"/>
      <c r="AC121" s="1181"/>
      <c r="AD121" s="1181"/>
      <c r="AE121" s="1181"/>
      <c r="AF121" s="1181"/>
    </row>
    <row r="122" spans="1:32">
      <c r="A122" s="1232" t="s">
        <v>833</v>
      </c>
      <c r="B122" s="1194"/>
      <c r="C122" s="1194"/>
      <c r="D122" s="1194"/>
      <c r="E122" s="1194"/>
      <c r="F122" s="1194">
        <f>+SUM(Q_Financials!F107:I108)+SUM(Q_Financials!F99:I99)+SUM(Q_Financials!F101:I101)</f>
        <v>-157.70499999999993</v>
      </c>
      <c r="G122" s="1194">
        <f>+SUM(Q_Financials!J107:M108)+SUM(Q_Financials!J99:M99)+SUM(Q_Financials!J101:M101)</f>
        <v>-22.180000000000216</v>
      </c>
      <c r="H122" s="1194">
        <f>+SUM(Q_Financials!N107:Q108)+SUM(Q_Financials!N99:Q99)+SUM(Q_Financials!N101:Q101)</f>
        <v>-284.87099999999987</v>
      </c>
      <c r="I122" s="1194">
        <f>+SUM(Q_Financials!R107:U108)+SUM(Q_Financials!R99:U99)+SUM(Q_Financials!R101:U101)</f>
        <v>528.75020799999993</v>
      </c>
      <c r="J122" s="1194">
        <f>+SUM(Q_Financials!V107:Y108)+SUM(Q_Financials!V99:Y99)+SUM(Q_Financials!V101:Y101)</f>
        <v>-102.77483199999985</v>
      </c>
      <c r="K122" s="1194">
        <f>+SUM(Q_Financials!Z107:AC108)+SUM(Q_Financials!Z99:AC99)+SUM(Q_Financials!Z101:AC101)</f>
        <v>-187.36777600000039</v>
      </c>
      <c r="L122" s="1194">
        <f>+SUM(Q_Financials!AD107:AG108)+SUM(Q_Financials!AD99:AG99)+SUM(Q_Financials!AD101:AG101)</f>
        <v>72.536791999999906</v>
      </c>
      <c r="M122" s="1194">
        <f>+SUM(Q_Financials!AH107:AK108)+SUM(Q_Financials!AH99:AK99)+SUM(Q_Financials!AH101:AK101)</f>
        <v>-1050.3897399999996</v>
      </c>
      <c r="N122" s="1194">
        <f>+SUM(Q_Financials!AL107:AO108)+SUM(Q_Financials!AL99:AO99)+SUM(Q_Financials!AL101:AO101)</f>
        <v>-156.03165200000024</v>
      </c>
      <c r="O122" s="1194">
        <f>+SUM(Q_Financials!AP107:AS108)+SUM(Q_Financials!AP99:AS99)+SUM(Q_Financials!AP101:AS101)</f>
        <v>-219.44600000000025</v>
      </c>
      <c r="P122" s="1212">
        <f>+SUM(Q_Financials!AT107:AW108)+SUM(Q_Financials!AT99:AW99)+SUM(Q_Financials!AT101:AW101)</f>
        <v>339.46100000000035</v>
      </c>
      <c r="Q122" s="1212">
        <f>+SUM(Q_Financials!AX107:BA108)+SUM(Q_Financials!AX99:BA99)+SUM(Q_Financials!AX101:BA101)</f>
        <v>0</v>
      </c>
      <c r="R122" s="1212">
        <f>+SUM(Q_Financials!BB107:BE108)+SUM(Q_Financials!BB99:BE99)+SUM(Q_Financials!BB101:BE101)</f>
        <v>0</v>
      </c>
      <c r="S122" s="1212">
        <f>+SUM(Q_Financials!BF107:BI108)+SUM(Q_Financials!BF99:BI99)+SUM(Q_Financials!BF101:BI101)</f>
        <v>0</v>
      </c>
      <c r="T122" s="1212">
        <f>+SUM(Q_Financials!BJ107:BM108)+SUM(Q_Financials!BJ99:BM99)+SUM(Q_Financials!BJ101:BM101)</f>
        <v>0</v>
      </c>
      <c r="U122" s="1212">
        <f>+SUM(Q_Financials!BN107:BQ108)</f>
        <v>0</v>
      </c>
      <c r="V122" s="1212">
        <f>+SUM(Q_Financials!BR107:BU108)</f>
        <v>0</v>
      </c>
      <c r="W122" s="1212">
        <f>+SUM(Q_Financials!BV107:BY108)</f>
        <v>0</v>
      </c>
      <c r="X122" s="731"/>
      <c r="Y122" s="731"/>
      <c r="Z122" s="731"/>
      <c r="AA122" s="731"/>
      <c r="AB122" s="731"/>
      <c r="AC122" s="1181"/>
      <c r="AD122" s="1181"/>
      <c r="AE122" s="1181"/>
      <c r="AF122" s="1181"/>
    </row>
    <row r="123" spans="1:32" s="43" customFormat="1">
      <c r="A123" s="1709" t="s">
        <v>386</v>
      </c>
      <c r="B123" s="1592"/>
      <c r="C123" s="1592">
        <f t="shared" ref="C123:V123" si="105">+SUM(C117:C122)</f>
        <v>23.633999999999851</v>
      </c>
      <c r="D123" s="1592">
        <f t="shared" si="105"/>
        <v>18.402000000000193</v>
      </c>
      <c r="E123" s="1592">
        <f t="shared" si="105"/>
        <v>104.04799999999966</v>
      </c>
      <c r="F123" s="1592">
        <f t="shared" si="105"/>
        <v>-562.97099999999989</v>
      </c>
      <c r="G123" s="1592">
        <f t="shared" si="105"/>
        <v>-422.88700000000034</v>
      </c>
      <c r="H123" s="1592">
        <f t="shared" si="105"/>
        <v>175.59599999999983</v>
      </c>
      <c r="I123" s="1592">
        <f t="shared" si="105"/>
        <v>250.6570000000001</v>
      </c>
      <c r="J123" s="1592">
        <f t="shared" si="105"/>
        <v>-320.52099999999984</v>
      </c>
      <c r="K123" s="1592">
        <f t="shared" si="105"/>
        <v>-511.66200000000083</v>
      </c>
      <c r="L123" s="1592">
        <f t="shared" si="105"/>
        <v>-190.85400000000013</v>
      </c>
      <c r="M123" s="1592">
        <f t="shared" si="105"/>
        <v>-917.423</v>
      </c>
      <c r="N123" s="1592">
        <f t="shared" si="105"/>
        <v>-231.99299999999988</v>
      </c>
      <c r="O123" s="1592">
        <f t="shared" si="105"/>
        <v>171.91099999999989</v>
      </c>
      <c r="P123" s="1648">
        <f t="shared" si="105"/>
        <v>296.5604431275176</v>
      </c>
      <c r="Q123" s="1648">
        <f t="shared" si="105"/>
        <v>257.33457658934344</v>
      </c>
      <c r="R123" s="1648">
        <f t="shared" si="105"/>
        <v>66.735589407781106</v>
      </c>
      <c r="S123" s="1648">
        <f t="shared" si="105"/>
        <v>140.25395881044881</v>
      </c>
      <c r="T123" s="1648">
        <f t="shared" si="105"/>
        <v>193.44876799539929</v>
      </c>
      <c r="U123" s="1648">
        <f t="shared" si="105"/>
        <v>-63.742908122071071</v>
      </c>
      <c r="V123" s="1648">
        <f t="shared" si="105"/>
        <v>-254.69416206666517</v>
      </c>
      <c r="W123" s="1648">
        <f>+SUM(W117:W122)</f>
        <v>-275.72069137359927</v>
      </c>
      <c r="X123" s="990"/>
      <c r="Y123" s="990"/>
      <c r="Z123" s="990"/>
      <c r="AA123" s="990"/>
      <c r="AB123" s="990"/>
      <c r="AC123" s="1292"/>
      <c r="AD123" s="1292"/>
      <c r="AE123" s="1292"/>
      <c r="AF123" s="1292"/>
    </row>
    <row r="124" spans="1:32" ht="12.75" customHeight="1">
      <c r="A124" s="990"/>
      <c r="B124" s="990"/>
      <c r="C124" s="990"/>
      <c r="D124" s="990"/>
      <c r="E124" s="990"/>
      <c r="F124" s="990"/>
      <c r="G124" s="990"/>
      <c r="H124" s="990"/>
      <c r="I124" s="990"/>
      <c r="J124" s="990"/>
      <c r="K124" s="990"/>
      <c r="L124" s="990"/>
      <c r="M124" s="1591"/>
      <c r="N124" s="1591"/>
      <c r="O124" s="1591"/>
      <c r="P124" s="1591"/>
      <c r="Q124" s="990"/>
      <c r="R124" s="990"/>
      <c r="S124" s="990"/>
      <c r="T124" s="990"/>
      <c r="U124" s="990"/>
      <c r="V124" s="990"/>
      <c r="W124" s="990"/>
      <c r="X124" s="731"/>
      <c r="Y124" s="731"/>
      <c r="Z124" s="731"/>
      <c r="AA124" s="731"/>
      <c r="AB124" s="731"/>
      <c r="AC124" s="1181"/>
      <c r="AD124" s="1181"/>
      <c r="AE124" s="1181"/>
      <c r="AF124" s="1181"/>
    </row>
    <row r="125" spans="1:32">
      <c r="A125" s="1342" t="s">
        <v>1039</v>
      </c>
      <c r="B125" s="1343">
        <f t="shared" ref="B125:W125" si="106">B$4</f>
        <v>2004</v>
      </c>
      <c r="C125" s="1343">
        <f t="shared" si="106"/>
        <v>2005</v>
      </c>
      <c r="D125" s="1343">
        <f t="shared" si="106"/>
        <v>2006</v>
      </c>
      <c r="E125" s="1343">
        <f t="shared" si="106"/>
        <v>2007</v>
      </c>
      <c r="F125" s="1343">
        <f t="shared" si="106"/>
        <v>2008</v>
      </c>
      <c r="G125" s="1343">
        <f t="shared" si="106"/>
        <v>2009</v>
      </c>
      <c r="H125" s="1343">
        <f t="shared" si="106"/>
        <v>2010</v>
      </c>
      <c r="I125" s="1343">
        <f t="shared" si="106"/>
        <v>2011</v>
      </c>
      <c r="J125" s="1343">
        <f t="shared" si="106"/>
        <v>2012</v>
      </c>
      <c r="K125" s="1343">
        <f t="shared" si="106"/>
        <v>2013</v>
      </c>
      <c r="L125" s="1343">
        <f t="shared" si="106"/>
        <v>2014</v>
      </c>
      <c r="M125" s="1343">
        <f t="shared" si="106"/>
        <v>2015</v>
      </c>
      <c r="N125" s="1343">
        <f t="shared" si="106"/>
        <v>2016</v>
      </c>
      <c r="O125" s="1343">
        <f t="shared" si="106"/>
        <v>2017</v>
      </c>
      <c r="P125" s="1344">
        <f t="shared" si="106"/>
        <v>2018</v>
      </c>
      <c r="Q125" s="1344">
        <f t="shared" si="106"/>
        <v>2019</v>
      </c>
      <c r="R125" s="1344">
        <f t="shared" si="106"/>
        <v>2020</v>
      </c>
      <c r="S125" s="1344">
        <f t="shared" si="106"/>
        <v>2021</v>
      </c>
      <c r="T125" s="1344">
        <f t="shared" si="106"/>
        <v>2022</v>
      </c>
      <c r="U125" s="1344">
        <f t="shared" si="106"/>
        <v>2023</v>
      </c>
      <c r="V125" s="1344">
        <f t="shared" si="106"/>
        <v>2024</v>
      </c>
      <c r="W125" s="1344">
        <f t="shared" si="106"/>
        <v>2025</v>
      </c>
      <c r="X125" s="731"/>
      <c r="Y125" s="731"/>
      <c r="Z125" s="731"/>
      <c r="AA125" s="731"/>
      <c r="AB125" s="731"/>
      <c r="AC125" s="1181"/>
      <c r="AD125" s="1181"/>
      <c r="AE125" s="1181"/>
      <c r="AF125" s="1181"/>
    </row>
    <row r="126" spans="1:32">
      <c r="A126" s="990" t="s">
        <v>1427</v>
      </c>
      <c r="B126" s="1089">
        <f t="shared" ref="B126:W126" si="107">(B105-B98)</f>
        <v>208.17100000000002</v>
      </c>
      <c r="C126" s="1089">
        <f t="shared" si="107"/>
        <v>170.476</v>
      </c>
      <c r="D126" s="1089">
        <f t="shared" si="107"/>
        <v>137.79399999999998</v>
      </c>
      <c r="E126" s="1089">
        <f t="shared" si="107"/>
        <v>-44.161000000000001</v>
      </c>
      <c r="F126" s="1089">
        <f t="shared" si="107"/>
        <v>518.81000000000006</v>
      </c>
      <c r="G126" s="1089">
        <f t="shared" si="107"/>
        <v>941.69699999999989</v>
      </c>
      <c r="H126" s="1089">
        <f t="shared" si="107"/>
        <v>766.10100000000011</v>
      </c>
      <c r="I126" s="1089">
        <f t="shared" si="107"/>
        <v>515.38200000000006</v>
      </c>
      <c r="J126" s="1089">
        <f t="shared" si="107"/>
        <v>836.07099999999991</v>
      </c>
      <c r="K126" s="1089">
        <f t="shared" si="107"/>
        <v>1347.636</v>
      </c>
      <c r="L126" s="1089">
        <f t="shared" si="107"/>
        <v>1538.4810000000002</v>
      </c>
      <c r="M126" s="1089">
        <f t="shared" si="107"/>
        <v>2487.0839999999998</v>
      </c>
      <c r="N126" s="1089">
        <f t="shared" si="107"/>
        <v>2719.038</v>
      </c>
      <c r="O126" s="1089">
        <f t="shared" si="107"/>
        <v>2547.1279999999997</v>
      </c>
      <c r="P126" s="1234">
        <f t="shared" si="107"/>
        <v>2250.5675568724828</v>
      </c>
      <c r="Q126" s="1234">
        <f t="shared" si="107"/>
        <v>1993.232980283138</v>
      </c>
      <c r="R126" s="1235">
        <f t="shared" si="107"/>
        <v>1926.4973908753568</v>
      </c>
      <c r="S126" s="1235">
        <f t="shared" si="107"/>
        <v>1786.2434320649077</v>
      </c>
      <c r="T126" s="1235">
        <f t="shared" si="107"/>
        <v>1592.7946640695084</v>
      </c>
      <c r="U126" s="1235">
        <f t="shared" si="107"/>
        <v>1656.537572191578</v>
      </c>
      <c r="V126" s="1235">
        <f t="shared" si="107"/>
        <v>1911.2317342582433</v>
      </c>
      <c r="W126" s="1235">
        <f t="shared" si="107"/>
        <v>2186.9524256318423</v>
      </c>
      <c r="X126" s="731"/>
      <c r="Y126" s="460"/>
      <c r="Z126" s="731"/>
      <c r="AA126" s="731"/>
      <c r="AB126" s="731"/>
      <c r="AC126" s="1181"/>
      <c r="AD126" s="1181"/>
      <c r="AE126" s="1181"/>
      <c r="AF126" s="1181"/>
    </row>
    <row r="127" spans="1:32">
      <c r="A127" s="731" t="s">
        <v>1428</v>
      </c>
      <c r="B127" s="1236">
        <f t="shared" ref="B127:W127" si="108">B126/(B109-B110)</f>
        <v>0.23556350180770952</v>
      </c>
      <c r="C127" s="1236">
        <f t="shared" si="108"/>
        <v>0.18730086181512948</v>
      </c>
      <c r="D127" s="1236">
        <f t="shared" si="108"/>
        <v>0.14722351917995705</v>
      </c>
      <c r="E127" s="1236">
        <f t="shared" si="108"/>
        <v>-2.6420298178859457E-2</v>
      </c>
      <c r="F127" s="1236">
        <f t="shared" si="108"/>
        <v>0.31935003548607305</v>
      </c>
      <c r="G127" s="1236">
        <f t="shared" si="108"/>
        <v>0.59782656308623461</v>
      </c>
      <c r="H127" s="1236">
        <f t="shared" si="108"/>
        <v>0.40122793079049823</v>
      </c>
      <c r="I127" s="1236">
        <f t="shared" si="108"/>
        <v>0.26383492387221219</v>
      </c>
      <c r="J127" s="1236">
        <f t="shared" si="108"/>
        <v>0.41291861255324025</v>
      </c>
      <c r="K127" s="1236">
        <f t="shared" si="108"/>
        <v>0.64154293714656208</v>
      </c>
      <c r="L127" s="1236">
        <f t="shared" si="108"/>
        <v>0.74109661495063472</v>
      </c>
      <c r="M127" s="1236">
        <f t="shared" si="108"/>
        <v>0.95068929335247132</v>
      </c>
      <c r="N127" s="1236">
        <f t="shared" si="108"/>
        <v>1.027371375392627</v>
      </c>
      <c r="O127" s="1236">
        <f t="shared" si="108"/>
        <v>0.74842447962577707</v>
      </c>
      <c r="P127" s="1224">
        <f t="shared" si="108"/>
        <v>0.65971612678640335</v>
      </c>
      <c r="Q127" s="1224">
        <f t="shared" si="108"/>
        <v>0.53901566041779758</v>
      </c>
      <c r="R127" s="1224">
        <f t="shared" si="108"/>
        <v>0.4938178647550448</v>
      </c>
      <c r="S127" s="1224">
        <f t="shared" si="108"/>
        <v>0.43101768016223418</v>
      </c>
      <c r="T127" s="1224">
        <f t="shared" si="108"/>
        <v>0.36182404803112467</v>
      </c>
      <c r="U127" s="1224">
        <f t="shared" si="108"/>
        <v>0.37630407961980211</v>
      </c>
      <c r="V127" s="1224">
        <f t="shared" si="108"/>
        <v>0.43416117495524625</v>
      </c>
      <c r="W127" s="1224">
        <f t="shared" si="108"/>
        <v>0.49679472021326981</v>
      </c>
      <c r="X127" s="731"/>
      <c r="Y127" s="731"/>
      <c r="Z127" s="731"/>
      <c r="AA127" s="731"/>
      <c r="AB127" s="731"/>
      <c r="AC127" s="1181"/>
      <c r="AD127" s="1181"/>
      <c r="AE127" s="1181"/>
      <c r="AF127" s="1181"/>
    </row>
    <row r="128" spans="1:32" ht="12.75" customHeight="1">
      <c r="A128" s="731" t="s">
        <v>1040</v>
      </c>
      <c r="B128" s="1236">
        <f t="shared" ref="B128:W128" si="109">B126/B55</f>
        <v>2.2644019492668508</v>
      </c>
      <c r="C128" s="1236">
        <f t="shared" si="109"/>
        <v>1.0451597081723993</v>
      </c>
      <c r="D128" s="1236">
        <f t="shared" si="109"/>
        <v>0.42767799224683495</v>
      </c>
      <c r="E128" s="1236">
        <f t="shared" si="109"/>
        <v>-0.1130950094371756</v>
      </c>
      <c r="F128" s="1236">
        <f t="shared" si="109"/>
        <v>3.9123877321710019</v>
      </c>
      <c r="G128" s="1236">
        <f t="shared" si="109"/>
        <v>4.9617317905918048</v>
      </c>
      <c r="H128" s="1236">
        <f t="shared" si="109"/>
        <v>1.6935161912846259</v>
      </c>
      <c r="I128" s="1236">
        <f t="shared" si="109"/>
        <v>0.84132736515274698</v>
      </c>
      <c r="J128" s="1236">
        <f t="shared" si="109"/>
        <v>1.5685575936317466</v>
      </c>
      <c r="K128" s="1236">
        <f t="shared" si="109"/>
        <v>2.0674939899144094</v>
      </c>
      <c r="L128" s="1236">
        <f t="shared" si="109"/>
        <v>2.0078317498433917</v>
      </c>
      <c r="M128" s="1236">
        <f t="shared" si="109"/>
        <v>2.2785405739676143</v>
      </c>
      <c r="N128" s="1236">
        <f t="shared" si="109"/>
        <v>2.0880132512883836</v>
      </c>
      <c r="O128" s="1236">
        <f t="shared" si="109"/>
        <v>1.7626109967005468</v>
      </c>
      <c r="P128" s="1224">
        <f t="shared" si="109"/>
        <v>1.279442490948657</v>
      </c>
      <c r="Q128" s="1224">
        <f t="shared" si="109"/>
        <v>1.1196988856373464</v>
      </c>
      <c r="R128" s="1224">
        <f t="shared" si="109"/>
        <v>0.98643440600281629</v>
      </c>
      <c r="S128" s="1224">
        <f t="shared" si="109"/>
        <v>0.77709070619931553</v>
      </c>
      <c r="T128" s="1224">
        <f t="shared" si="109"/>
        <v>0.64800237465439525</v>
      </c>
      <c r="U128" s="1224">
        <f t="shared" si="109"/>
        <v>0.74393804111985284</v>
      </c>
      <c r="V128" s="1224">
        <f t="shared" si="109"/>
        <v>0.91441564201886139</v>
      </c>
      <c r="W128" s="1224">
        <f t="shared" si="109"/>
        <v>0.82414613675650716</v>
      </c>
      <c r="X128" s="731"/>
      <c r="Y128" s="731"/>
      <c r="Z128" s="731"/>
      <c r="AA128" s="731"/>
      <c r="AB128" s="731"/>
      <c r="AC128" s="1181"/>
      <c r="AD128" s="1181"/>
      <c r="AE128" s="1181"/>
      <c r="AF128" s="1181"/>
    </row>
    <row r="129" spans="1:32">
      <c r="A129" s="731" t="s">
        <v>388</v>
      </c>
      <c r="B129" s="849">
        <f t="shared" ref="B129:W129" si="110">B80/B103</f>
        <v>-1.1315517281668529E-2</v>
      </c>
      <c r="C129" s="849">
        <f t="shared" si="110"/>
        <v>2.2279606503034077E-2</v>
      </c>
      <c r="D129" s="849">
        <f t="shared" si="110"/>
        <v>0.10479716364449325</v>
      </c>
      <c r="E129" s="849">
        <f t="shared" si="110"/>
        <v>7.520679731479421E-2</v>
      </c>
      <c r="F129" s="849">
        <f t="shared" si="110"/>
        <v>-1.6729621894910632E-2</v>
      </c>
      <c r="G129" s="849">
        <f t="shared" si="110"/>
        <v>-2.1169814522201152E-2</v>
      </c>
      <c r="H129" s="849">
        <f t="shared" si="110"/>
        <v>2.342049790289678E-2</v>
      </c>
      <c r="I129" s="849">
        <f t="shared" si="110"/>
        <v>3.6099275989951406E-2</v>
      </c>
      <c r="J129" s="849">
        <f t="shared" si="110"/>
        <v>2.6448001500678827E-2</v>
      </c>
      <c r="K129" s="849">
        <f t="shared" si="110"/>
        <v>1.295023824355356E-2</v>
      </c>
      <c r="L129" s="849">
        <f t="shared" si="110"/>
        <v>2.3172525824539207E-2</v>
      </c>
      <c r="M129" s="849">
        <f t="shared" si="110"/>
        <v>4.1637572857024317E-2</v>
      </c>
      <c r="N129" s="849">
        <f t="shared" si="110"/>
        <v>2.5714871466903221E-2</v>
      </c>
      <c r="O129" s="849">
        <f t="shared" si="110"/>
        <v>3.2662622497202747E-2</v>
      </c>
      <c r="P129" s="1237">
        <f t="shared" si="110"/>
        <v>5.9457713171503661E-2</v>
      </c>
      <c r="Q129" s="1237">
        <f t="shared" si="110"/>
        <v>6.4037975073793746E-2</v>
      </c>
      <c r="R129" s="1237">
        <f t="shared" si="110"/>
        <v>7.3990697147582843E-2</v>
      </c>
      <c r="S129" s="1237">
        <f t="shared" si="110"/>
        <v>8.5854145814168475E-2</v>
      </c>
      <c r="T129" s="1237">
        <f t="shared" si="110"/>
        <v>8.8580188255014222E-2</v>
      </c>
      <c r="U129" s="1237">
        <f t="shared" si="110"/>
        <v>7.3389822618002851E-2</v>
      </c>
      <c r="V129" s="1237">
        <f t="shared" si="110"/>
        <v>6.1741736629978804E-2</v>
      </c>
      <c r="W129" s="1237">
        <f t="shared" si="110"/>
        <v>8.0532406244892621E-2</v>
      </c>
      <c r="X129" s="731"/>
      <c r="Y129" s="731"/>
      <c r="Z129" s="731"/>
      <c r="AA129" s="731"/>
      <c r="AB129" s="731"/>
      <c r="AC129" s="1181"/>
      <c r="AD129" s="1181"/>
      <c r="AE129" s="1181"/>
      <c r="AF129" s="1181"/>
    </row>
    <row r="130" spans="1:32">
      <c r="A130" s="731" t="s">
        <v>389</v>
      </c>
      <c r="B130" s="1115" t="s">
        <v>972</v>
      </c>
      <c r="C130" s="849">
        <f>C80/(B109-B110)</f>
        <v>4.0399902683557441E-2</v>
      </c>
      <c r="D130" s="849">
        <f t="shared" ref="D130:W130" si="111">D80/C109</f>
        <v>0.18952681471194455</v>
      </c>
      <c r="E130" s="849">
        <f t="shared" si="111"/>
        <v>0.21236795516004561</v>
      </c>
      <c r="F130" s="849">
        <f t="shared" si="111"/>
        <v>-2.9059771030873208E-2</v>
      </c>
      <c r="G130" s="849">
        <f t="shared" si="111"/>
        <v>-4.4029746500411762E-2</v>
      </c>
      <c r="H130" s="849">
        <f t="shared" si="111"/>
        <v>6.1547189609424513E-2</v>
      </c>
      <c r="I130" s="849">
        <f t="shared" si="111"/>
        <v>7.4521666856081262E-2</v>
      </c>
      <c r="J130" s="849">
        <f t="shared" si="111"/>
        <v>6.4814843254876381E-2</v>
      </c>
      <c r="K130" s="849">
        <f t="shared" si="111"/>
        <v>3.6028534401694109E-2</v>
      </c>
      <c r="L130" s="849">
        <f t="shared" si="111"/>
        <v>6.4267784179600579E-2</v>
      </c>
      <c r="M130" s="849">
        <f t="shared" si="111"/>
        <v>0.15281567203865967</v>
      </c>
      <c r="N130" s="849">
        <f t="shared" si="111"/>
        <v>7.6233761517687681E-2</v>
      </c>
      <c r="O130" s="849">
        <f t="shared" si="111"/>
        <v>0.10726529199572134</v>
      </c>
      <c r="P130" s="1237">
        <f t="shared" si="111"/>
        <v>0.1536152599865698</v>
      </c>
      <c r="Q130" s="1237">
        <f t="shared" si="111"/>
        <v>0.16796228854269005</v>
      </c>
      <c r="R130" s="1237">
        <f t="shared" si="111"/>
        <v>0.18327249842198215</v>
      </c>
      <c r="S130" s="1237">
        <f t="shared" si="111"/>
        <v>0.20764017164641008</v>
      </c>
      <c r="T130" s="1237">
        <f t="shared" si="111"/>
        <v>0.20741899524148216</v>
      </c>
      <c r="U130" s="1237">
        <f t="shared" si="111"/>
        <v>0.16145871555437435</v>
      </c>
      <c r="V130" s="1237">
        <f t="shared" si="111"/>
        <v>0.13558882832496355</v>
      </c>
      <c r="W130" s="1237">
        <f t="shared" si="111"/>
        <v>0.17722014303754671</v>
      </c>
      <c r="X130" s="731"/>
      <c r="Y130" s="731"/>
      <c r="Z130" s="731"/>
      <c r="AA130" s="731"/>
      <c r="AB130" s="731"/>
      <c r="AC130" s="1181"/>
      <c r="AD130" s="1181"/>
      <c r="AE130" s="1181"/>
      <c r="AF130" s="1181"/>
    </row>
    <row r="131" spans="1:32" s="41" customFormat="1">
      <c r="A131" s="731" t="s">
        <v>390</v>
      </c>
      <c r="B131" s="1115" t="s">
        <v>972</v>
      </c>
      <c r="C131" s="849">
        <f t="shared" ref="C131:W131" si="112">C68*(1-34%)/AVERAGE(C105+C109-C110,B105+B109-B110)</f>
        <v>4.9597239822901505E-2</v>
      </c>
      <c r="D131" s="849">
        <f t="shared" si="112"/>
        <v>0.13414572857799245</v>
      </c>
      <c r="E131" s="849">
        <f t="shared" si="112"/>
        <v>0.10421085489537274</v>
      </c>
      <c r="F131" s="849">
        <f t="shared" si="112"/>
        <v>-1.9702142982009414E-2</v>
      </c>
      <c r="G131" s="849">
        <f t="shared" si="112"/>
        <v>1.089235211389904E-2</v>
      </c>
      <c r="H131" s="849">
        <f t="shared" si="112"/>
        <v>2.9418368219598305E-2</v>
      </c>
      <c r="I131" s="849">
        <f t="shared" si="112"/>
        <v>5.6018699835137992E-2</v>
      </c>
      <c r="J131" s="849">
        <f t="shared" si="112"/>
        <v>5.1141831150253898E-2</v>
      </c>
      <c r="K131" s="849">
        <f t="shared" si="112"/>
        <v>3.5685402364574716E-2</v>
      </c>
      <c r="L131" s="849">
        <f t="shared" si="112"/>
        <v>4.7785048179808179E-2</v>
      </c>
      <c r="M131" s="849">
        <f t="shared" si="112"/>
        <v>6.6871600763110439E-2</v>
      </c>
      <c r="N131" s="849">
        <f t="shared" si="112"/>
        <v>5.3213869602196151E-2</v>
      </c>
      <c r="O131" s="849">
        <f t="shared" si="112"/>
        <v>6.8597832675230827E-2</v>
      </c>
      <c r="P131" s="1237">
        <f t="shared" si="112"/>
        <v>7.7162616768305353E-2</v>
      </c>
      <c r="Q131" s="1237">
        <f t="shared" si="112"/>
        <v>7.5577160545731756E-2</v>
      </c>
      <c r="R131" s="1237">
        <f t="shared" si="112"/>
        <v>8.1633133523451515E-2</v>
      </c>
      <c r="S131" s="1237">
        <f t="shared" si="112"/>
        <v>9.5628853366744565E-2</v>
      </c>
      <c r="T131" s="1237">
        <f t="shared" si="112"/>
        <v>9.8886206931128137E-2</v>
      </c>
      <c r="U131" s="1237">
        <f t="shared" si="112"/>
        <v>8.3211253622587397E-2</v>
      </c>
      <c r="V131" s="1237">
        <f t="shared" si="112"/>
        <v>7.4456733680659207E-2</v>
      </c>
      <c r="W131" s="1237">
        <f t="shared" si="112"/>
        <v>0.10950831815951925</v>
      </c>
      <c r="X131" s="731"/>
      <c r="Y131" s="731"/>
      <c r="Z131" s="731"/>
      <c r="AA131" s="731"/>
      <c r="AB131" s="731"/>
      <c r="AC131" s="1181"/>
      <c r="AD131" s="1181"/>
      <c r="AE131" s="1181"/>
      <c r="AF131" s="1181"/>
    </row>
    <row r="132" spans="1:32" s="41" customFormat="1" ht="12.75" customHeight="1">
      <c r="A132" s="1243" t="s">
        <v>1456</v>
      </c>
      <c r="B132" s="1116" t="s">
        <v>972</v>
      </c>
      <c r="C132" s="1116">
        <f t="shared" ref="C132:V132" si="113">+C55+C71+C76+C118+C116</f>
        <v>31.786999999999935</v>
      </c>
      <c r="D132" s="1116">
        <f t="shared" si="113"/>
        <v>156.4260000000001</v>
      </c>
      <c r="E132" s="1116">
        <f t="shared" si="113"/>
        <v>-440.33600000000035</v>
      </c>
      <c r="F132" s="1116">
        <f t="shared" si="113"/>
        <v>-403.904</v>
      </c>
      <c r="G132" s="1116">
        <f t="shared" si="113"/>
        <v>-412.80200000000013</v>
      </c>
      <c r="H132" s="1116">
        <f t="shared" si="113"/>
        <v>185.6099999999999</v>
      </c>
      <c r="I132" s="1116">
        <f t="shared" si="113"/>
        <v>-156.84420799999975</v>
      </c>
      <c r="J132" s="1116">
        <f t="shared" si="113"/>
        <v>-189.78616799999995</v>
      </c>
      <c r="K132" s="1116">
        <f t="shared" si="113"/>
        <v>-311.34722399999993</v>
      </c>
      <c r="L132" s="1116">
        <f t="shared" si="113"/>
        <v>-96.175792000000342</v>
      </c>
      <c r="M132" s="1116">
        <f t="shared" si="113"/>
        <v>-146.47725999999977</v>
      </c>
      <c r="N132" s="1116">
        <f t="shared" si="113"/>
        <v>288.58365200000037</v>
      </c>
      <c r="O132" s="1116">
        <f t="shared" si="113"/>
        <v>-30.890999999999963</v>
      </c>
      <c r="P132" s="1238">
        <f t="shared" si="113"/>
        <v>460.94419777451435</v>
      </c>
      <c r="Q132" s="1238">
        <f t="shared" si="113"/>
        <v>543.82937490024051</v>
      </c>
      <c r="R132" s="1238">
        <f t="shared" si="113"/>
        <v>541.14360858351824</v>
      </c>
      <c r="S132" s="1238">
        <f t="shared" si="113"/>
        <v>707.29050047404962</v>
      </c>
      <c r="T132" s="1238">
        <f t="shared" si="113"/>
        <v>795.1655524607163</v>
      </c>
      <c r="U132" s="1238">
        <f t="shared" si="113"/>
        <v>647.01852965942771</v>
      </c>
      <c r="V132" s="1238">
        <f t="shared" si="113"/>
        <v>342.18480006594837</v>
      </c>
      <c r="W132" s="1238">
        <f>+W55+W71+W76+W118+W116</f>
        <v>504.42451934925953</v>
      </c>
      <c r="X132" s="731"/>
      <c r="Y132" s="731"/>
      <c r="Z132" s="731"/>
      <c r="AA132" s="731"/>
      <c r="AB132" s="731"/>
      <c r="AC132" s="1181"/>
      <c r="AD132" s="1181"/>
      <c r="AE132" s="1181"/>
      <c r="AF132" s="1181"/>
    </row>
    <row r="133" spans="1:32">
      <c r="A133" s="731" t="s">
        <v>391</v>
      </c>
      <c r="B133" s="1124">
        <f>-B118/Financials!B36</f>
        <v>0</v>
      </c>
      <c r="C133" s="1124">
        <f>-C118/Financials!C36</f>
        <v>0.10314409132983653</v>
      </c>
      <c r="D133" s="1124">
        <f>-D118/Financials!D36</f>
        <v>0.10050221404862728</v>
      </c>
      <c r="E133" s="1124">
        <f>-E118/Financials!E36</f>
        <v>1.1278817524200369</v>
      </c>
      <c r="F133" s="1124">
        <f>-F118/Financials!F36</f>
        <v>0.72876393138878748</v>
      </c>
      <c r="G133" s="1124">
        <f>-G118/Financials!G36</f>
        <v>0.590477284964807</v>
      </c>
      <c r="H133" s="1124">
        <f>-H118/Financials!H36</f>
        <v>0.28255721778166903</v>
      </c>
      <c r="I133" s="1124">
        <f>-I118/Financials!I36</f>
        <v>0.35070206976219825</v>
      </c>
      <c r="J133" s="1124">
        <f>-J118/Financials!J36</f>
        <v>0.46164639097579357</v>
      </c>
      <c r="K133" s="1124">
        <f>-K118/Financials!K36</f>
        <v>0.41556216399595342</v>
      </c>
      <c r="L133" s="1124">
        <f>-L118/Financials!L36</f>
        <v>0.33394904878555959</v>
      </c>
      <c r="M133" s="1124">
        <f>-M118/Financials!M36</f>
        <v>0.34923545112125526</v>
      </c>
      <c r="N133" s="1124">
        <f>-N118/Financials!N36</f>
        <v>0.30828645377118474</v>
      </c>
      <c r="O133" s="1124">
        <f>-O118/Financials!O36</f>
        <v>0.32534744955013217</v>
      </c>
      <c r="P133" s="1239">
        <f>-P118/Financials!P36</f>
        <v>0.27098086180386327</v>
      </c>
      <c r="Q133" s="1239">
        <f>-Q118/Financials!Q36</f>
        <v>0.27028557798619574</v>
      </c>
      <c r="R133" s="1239">
        <f>-R118/Financials!R36</f>
        <v>0.29960104645501284</v>
      </c>
      <c r="S133" s="1239">
        <f>-S118/Financials!S36</f>
        <v>0.29427673164509283</v>
      </c>
      <c r="T133" s="1239">
        <f>-T118/Financials!T36</f>
        <v>0.29252096478619921</v>
      </c>
      <c r="U133" s="1239">
        <f>-U118/Financials!U36</f>
        <v>0.29594015112233379</v>
      </c>
      <c r="V133" s="1239">
        <f>-V118/Financials!V36</f>
        <v>0.29849833331168785</v>
      </c>
      <c r="W133" s="1239">
        <f>-W118/Financials!W36</f>
        <v>0.2945986456630561</v>
      </c>
      <c r="X133" s="731"/>
      <c r="Y133" s="731"/>
      <c r="Z133" s="731"/>
      <c r="AA133" s="731"/>
      <c r="AB133" s="731"/>
      <c r="AC133" s="1181"/>
      <c r="AD133" s="1181"/>
      <c r="AE133" s="1181"/>
      <c r="AF133" s="1181"/>
    </row>
    <row r="134" spans="1:32" s="41" customFormat="1">
      <c r="A134" s="1232" t="s">
        <v>317</v>
      </c>
      <c r="B134" s="1194">
        <f>B99+B100-B107</f>
        <v>69.432000000000016</v>
      </c>
      <c r="C134" s="1931">
        <f>C99+C100-C107</f>
        <v>119.465</v>
      </c>
      <c r="D134" s="1931">
        <f>D99+D100-D107</f>
        <v>140.70099999999999</v>
      </c>
      <c r="E134" s="1931">
        <f>E99+E100-E107</f>
        <v>133.89699999999999</v>
      </c>
      <c r="F134" s="1194">
        <f>+Q_BS!C10</f>
        <v>168.72899999999998</v>
      </c>
      <c r="G134" s="1194">
        <f>+Q_BS!G10</f>
        <v>270.33589999999998</v>
      </c>
      <c r="H134" s="1194">
        <f>+Q_BS!K10</f>
        <v>16.206849999999996</v>
      </c>
      <c r="I134" s="1194">
        <f>+Q_BS!O10</f>
        <v>95.288999999999959</v>
      </c>
      <c r="J134" s="1194">
        <f>+Q_BS!S10</f>
        <v>44.109499999999997</v>
      </c>
      <c r="K134" s="1194">
        <f>+Q_BS!W10</f>
        <v>98.373750000000001</v>
      </c>
      <c r="L134" s="1194">
        <f>+Q_BS!AA10</f>
        <v>102.71949999999998</v>
      </c>
      <c r="M134" s="1194">
        <f>+Q_BS!AE10</f>
        <v>50.075100000000077</v>
      </c>
      <c r="N134" s="1194">
        <f>+Q_BS!AI10</f>
        <v>104.51290000000006</v>
      </c>
      <c r="O134" s="1194">
        <f>+Q_BS!AM10</f>
        <v>175.51204999999993</v>
      </c>
      <c r="P134" s="1212">
        <f>+Q_BS!AQ10</f>
        <v>225.10748691859089</v>
      </c>
      <c r="Q134" s="1212">
        <f>+Q_BS!AU10</f>
        <v>293.04684425910023</v>
      </c>
      <c r="R134" s="1212">
        <f>+Q_BS!AY10</f>
        <v>368.92843378789894</v>
      </c>
      <c r="S134" s="1212">
        <f>+Q_BS!BC10</f>
        <v>489.62416096609593</v>
      </c>
      <c r="T134" s="1212">
        <f>+Q_BS!BG10</f>
        <v>593.67640730986193</v>
      </c>
      <c r="U134" s="1212">
        <f>+Q_BS!BK10</f>
        <v>644.36240579541288</v>
      </c>
      <c r="V134" s="1212">
        <f>+Q_BS!BO10</f>
        <v>699.78636150236025</v>
      </c>
      <c r="W134" s="1212">
        <f>+Q_BS!BS10</f>
        <v>807.03020747956475</v>
      </c>
      <c r="X134" s="731"/>
      <c r="Y134" s="731"/>
      <c r="Z134" s="731"/>
      <c r="AA134" s="731"/>
      <c r="AB134" s="731"/>
      <c r="AC134" s="1181"/>
      <c r="AD134" s="1181"/>
      <c r="AE134" s="1181"/>
      <c r="AF134" s="1181"/>
    </row>
    <row r="135" spans="1:32" s="43" customFormat="1">
      <c r="A135" s="990" t="s">
        <v>392</v>
      </c>
      <c r="B135" s="1514">
        <f t="shared" ref="B135:W135" si="114">+B134/B36</f>
        <v>0.13403861003861006</v>
      </c>
      <c r="C135" s="1514">
        <f t="shared" si="114"/>
        <v>0.18430268435668007</v>
      </c>
      <c r="D135" s="1514">
        <f t="shared" si="114"/>
        <v>0.17413015982238109</v>
      </c>
      <c r="E135" s="1514">
        <f t="shared" si="114"/>
        <v>0.16199758752481741</v>
      </c>
      <c r="F135" s="1514">
        <f t="shared" si="114"/>
        <v>0.23683922405322699</v>
      </c>
      <c r="G135" s="1514">
        <f t="shared" si="114"/>
        <v>0.34907139712025287</v>
      </c>
      <c r="H135" s="1514">
        <f t="shared" si="114"/>
        <v>1.369647743656225E-2</v>
      </c>
      <c r="I135" s="1514">
        <f t="shared" si="114"/>
        <v>7.3580648449299915E-2</v>
      </c>
      <c r="J135" s="1514">
        <f t="shared" si="114"/>
        <v>3.2267609858155508E-2</v>
      </c>
      <c r="K135" s="1514">
        <f t="shared" si="114"/>
        <v>6.0132308040257834E-2</v>
      </c>
      <c r="L135" s="1514">
        <f t="shared" si="114"/>
        <v>5.2097185663060611E-2</v>
      </c>
      <c r="M135" s="1514">
        <f t="shared" si="114"/>
        <v>2.1536176834130304E-2</v>
      </c>
      <c r="N135" s="1514">
        <f t="shared" si="114"/>
        <v>3.8319903467761561E-2</v>
      </c>
      <c r="O135" s="1514">
        <f t="shared" si="114"/>
        <v>5.844786774838303E-2</v>
      </c>
      <c r="P135" s="2402">
        <f t="shared" si="114"/>
        <v>6.1559253852271976E-2</v>
      </c>
      <c r="Q135" s="2402">
        <f t="shared" si="114"/>
        <v>7.7482659639042079E-2</v>
      </c>
      <c r="R135" s="2402">
        <f t="shared" si="114"/>
        <v>9.031771278531206E-2</v>
      </c>
      <c r="S135" s="2402">
        <f t="shared" si="114"/>
        <v>0.10415131807922773</v>
      </c>
      <c r="T135" s="2402">
        <f t="shared" si="114"/>
        <v>0.11799899113412919</v>
      </c>
      <c r="U135" s="2402">
        <f t="shared" si="114"/>
        <v>0.13457420479084992</v>
      </c>
      <c r="V135" s="2402">
        <f t="shared" si="114"/>
        <v>0.14999004137041977</v>
      </c>
      <c r="W135" s="2402">
        <f t="shared" si="114"/>
        <v>0.15457244701069117</v>
      </c>
      <c r="X135" s="731"/>
      <c r="Y135" s="731"/>
      <c r="Z135" s="731"/>
      <c r="AA135" s="731"/>
      <c r="AB135" s="731"/>
      <c r="AC135" s="1181"/>
      <c r="AD135" s="1181"/>
      <c r="AE135" s="1181"/>
      <c r="AF135" s="1181"/>
    </row>
    <row r="136" spans="1:32">
      <c r="A136" s="731" t="s">
        <v>152</v>
      </c>
      <c r="B136" s="1514" t="s">
        <v>972</v>
      </c>
      <c r="C136" s="1514"/>
      <c r="D136" s="1514"/>
      <c r="E136" s="1514"/>
      <c r="F136" s="1514">
        <f>F68*(1-F77)/AVERAGE(F109+Q_Financials!I77-Q_Financials!I49-Q_Financials!I48,E109+Q_Financials!E77-Q_Financials!E49-Q_Financials!E48)</f>
        <v>-2.4368349009626911E-2</v>
      </c>
      <c r="G136" s="1514">
        <f>G68*(1-G77)/AVERAGE(G109+Q_Financials!M77-Q_Financials!M49-Q_Financials!M48,F109+Q_Financials!I77-Q_Financials!I49-Q_Financials!I48)</f>
        <v>1.1682550178458401E-2</v>
      </c>
      <c r="H136" s="1514">
        <f>H68*(1-H77)/AVERAGE(H109+Q_Financials!Q77-Q_Financials!Q49-Q_Financials!Q48,G109+Q_Financials!M77-Q_Financials!M49-Q_Financials!M48)</f>
        <v>3.9837629891448741E-2</v>
      </c>
      <c r="I136" s="1514">
        <f>I68*(1-I77)/AVERAGE(I109+Q_Financials!U77-Q_Financials!U49-Q_Financials!U48,H109+Q_Financials!Q77-Q_Financials!Q49-Q_Financials!Q48)</f>
        <v>7.3199103359875339E-2</v>
      </c>
      <c r="J136" s="1514">
        <f>J68*(1-J77)/AVERAGE(J109+Q_Financials!Y77-Q_Financials!Y49-Q_Financials!Y48,I109+Q_Financials!U77-Q_Financials!U49-Q_Financials!U48)</f>
        <v>7.1813301572123275E-2</v>
      </c>
      <c r="K136" s="1514">
        <f>K68*(1-K77)/AVERAGE(K109+Q_Financials!AC77-Q_Financials!AC49-Q_Financials!AC48,J109+Q_Financials!Y77-Q_Financials!Y49-Q_Financials!Y48)</f>
        <v>5.1990518147452251E-2</v>
      </c>
      <c r="L136" s="1514">
        <f>L68*(1-L77)/AVERAGE(L109+Q_Financials!AG77-Q_Financials!AG49-Q_Financials!AG48,K109+Q_Financials!AC77-Q_Financials!AC49-Q_Financials!AC48)</f>
        <v>6.8428918410521844E-2</v>
      </c>
      <c r="M136" s="1514">
        <f>M68*(1-M77)/AVERAGE(M109+Q_Financials!AK77-Q_Financials!AK49-Q_Financials!AK48,L109+Q_Financials!AG77-Q_Financials!AG49-Q_Financials!AG48)</f>
        <v>0.13547845897417959</v>
      </c>
      <c r="N136" s="1514">
        <f>N68/AVERAGE(N109+Q_Financials!AO77-Q_Financials!AO49-Q_Financials!AO48,M109+Q_Financials!AK77-Q_Financials!AK49-Q_Financials!AK48)</f>
        <v>0.11753171306316995</v>
      </c>
      <c r="O136" s="1514">
        <f>O68*(1-O77)/AVERAGE(O109+Q_Financials!AS77-Q_Financials!AS49-Q_Financials!AS48,N109+Q_Financials!AO77-Q_Financials!AO49-Q_Financials!AO48)</f>
        <v>9.9586075258512818E-2</v>
      </c>
      <c r="P136" s="2402">
        <f>P68*(1-P77)/AVERAGE(P109+Q_Financials!AW77-Q_Financials!AW49-Q_Financials!AW48,O109+Q_Financials!AS77-Q_Financials!AS49-Q_Financials!AS48)</f>
        <v>0.14426905468959175</v>
      </c>
      <c r="Q136" s="2402">
        <f>Q68*(1-Q77)/AVERAGE(Q109+Q_Financials!BA77-Q_Financials!BA49-Q_Financials!BA48,P109+Q_Financials!AW77-Q_Financials!AW49-Q_Financials!AW48)</f>
        <v>0.14049974374476998</v>
      </c>
      <c r="R136" s="2402">
        <f>R68*(1-R77)/AVERAGE(R109+Q_Financials!BE77-Q_Financials!BE49-Q_Financials!BE48,Q109+Q_Financials!BA77-Q_Financials!BA49-Q_Financials!BA48)</f>
        <v>0.15445684032919418</v>
      </c>
      <c r="S136" s="2402">
        <f>S68*(1-S77)/AVERAGE(S109+Q_Financials!BI77-Q_Financials!BI49-Q_Financials!BI48,R109+Q_Financials!BE77-Q_Financials!BE49-Q_Financials!BE48)</f>
        <v>0.17380193897252513</v>
      </c>
      <c r="T136" s="2402">
        <f>T68*(1-T77)/AVERAGE(T109+Q_Financials!BM77-Q_Financials!BM49-Q_Financials!BM48,S109+Q_Financials!BI77-Q_Financials!BI49-Q_Financials!BI48)</f>
        <v>0.17835526611301511</v>
      </c>
      <c r="U136" s="2402">
        <f>U68*(1-U77)/AVERAGE(U109+Q_Financials!BQ77-Q_Financials!BQ49-Q_Financials!BQ48,T109+Q_Financials!BM77-Q_Financials!BM49-Q_Financials!BM48)</f>
        <v>0.1470218926985884</v>
      </c>
      <c r="V136" s="2402">
        <f>V68*(1-V77)/AVERAGE(V109+Q_Financials!BU77-Q_Financials!BU49-Q_Financials!BU48,U109+Q_Financials!BQ77-Q_Financials!BQ49-Q_Financials!BQ48)</f>
        <v>0.1245326159663671</v>
      </c>
      <c r="W136" s="2402">
        <f>W68*(1-W77)/AVERAGE(W109+Q_Financials!BY77-Q_Financials!BY49-Q_Financials!BY48,V109+Q_Financials!BU77-Q_Financials!BU49-Q_Financials!BU48)</f>
        <v>0.14980990880372824</v>
      </c>
      <c r="X136" s="731"/>
      <c r="Y136" s="731"/>
      <c r="Z136" s="731"/>
      <c r="AA136" s="731"/>
      <c r="AB136" s="731"/>
      <c r="AC136" s="1181"/>
      <c r="AD136" s="1181"/>
      <c r="AE136" s="1181"/>
      <c r="AF136" s="1181"/>
    </row>
    <row r="137" spans="1:32">
      <c r="A137" s="731"/>
      <c r="B137" s="731"/>
      <c r="C137" s="731"/>
      <c r="D137" s="1116"/>
      <c r="E137" s="1116"/>
      <c r="F137" s="1116"/>
      <c r="G137" s="1116"/>
      <c r="H137" s="1116"/>
      <c r="I137" s="1116"/>
      <c r="J137" s="1116"/>
      <c r="K137" s="1116"/>
      <c r="L137" s="1116"/>
      <c r="M137" s="1116"/>
      <c r="N137" s="1116"/>
      <c r="O137" s="1116"/>
      <c r="P137" s="731"/>
      <c r="Q137" s="731"/>
      <c r="R137" s="731"/>
      <c r="S137" s="731"/>
      <c r="T137" s="731"/>
      <c r="U137" s="731"/>
      <c r="V137" s="731"/>
      <c r="W137" s="731"/>
      <c r="X137" s="731"/>
      <c r="Y137" s="731"/>
      <c r="Z137" s="731"/>
      <c r="AA137" s="731"/>
      <c r="AB137" s="731"/>
      <c r="AC137" s="1181"/>
      <c r="AD137" s="1181"/>
      <c r="AE137" s="1181"/>
      <c r="AF137" s="1181"/>
    </row>
    <row r="138" spans="1:32">
      <c r="A138" s="1342" t="s">
        <v>567</v>
      </c>
      <c r="B138" s="1343">
        <f t="shared" ref="B138:W138" si="115">B$4</f>
        <v>2004</v>
      </c>
      <c r="C138" s="1343">
        <f t="shared" si="115"/>
        <v>2005</v>
      </c>
      <c r="D138" s="1343">
        <f t="shared" si="115"/>
        <v>2006</v>
      </c>
      <c r="E138" s="1343">
        <f t="shared" si="115"/>
        <v>2007</v>
      </c>
      <c r="F138" s="1343">
        <f t="shared" si="115"/>
        <v>2008</v>
      </c>
      <c r="G138" s="1343">
        <f t="shared" si="115"/>
        <v>2009</v>
      </c>
      <c r="H138" s="1343">
        <f t="shared" si="115"/>
        <v>2010</v>
      </c>
      <c r="I138" s="1343">
        <f t="shared" si="115"/>
        <v>2011</v>
      </c>
      <c r="J138" s="1343">
        <f t="shared" si="115"/>
        <v>2012</v>
      </c>
      <c r="K138" s="1343">
        <f t="shared" si="115"/>
        <v>2013</v>
      </c>
      <c r="L138" s="1343">
        <f t="shared" si="115"/>
        <v>2014</v>
      </c>
      <c r="M138" s="1343">
        <f t="shared" si="115"/>
        <v>2015</v>
      </c>
      <c r="N138" s="1343">
        <f t="shared" si="115"/>
        <v>2016</v>
      </c>
      <c r="O138" s="1343">
        <f t="shared" si="115"/>
        <v>2017</v>
      </c>
      <c r="P138" s="1344">
        <f t="shared" si="115"/>
        <v>2018</v>
      </c>
      <c r="Q138" s="1344">
        <f t="shared" si="115"/>
        <v>2019</v>
      </c>
      <c r="R138" s="1344">
        <f t="shared" si="115"/>
        <v>2020</v>
      </c>
      <c r="S138" s="1344">
        <f t="shared" si="115"/>
        <v>2021</v>
      </c>
      <c r="T138" s="1344">
        <f t="shared" si="115"/>
        <v>2022</v>
      </c>
      <c r="U138" s="1344">
        <f t="shared" si="115"/>
        <v>2023</v>
      </c>
      <c r="V138" s="1344">
        <f t="shared" si="115"/>
        <v>2024</v>
      </c>
      <c r="W138" s="1344">
        <f t="shared" si="115"/>
        <v>2025</v>
      </c>
      <c r="X138" s="731"/>
      <c r="Y138" s="731"/>
      <c r="Z138" s="731"/>
      <c r="AA138" s="731"/>
      <c r="AB138" s="731"/>
      <c r="AC138" s="1181"/>
      <c r="AD138" s="1181"/>
      <c r="AE138" s="1181"/>
      <c r="AF138" s="1181"/>
    </row>
    <row r="139" spans="1:32">
      <c r="A139" s="1240" t="s">
        <v>568</v>
      </c>
      <c r="B139" s="1241"/>
      <c r="C139" s="1241"/>
      <c r="D139" s="1241"/>
      <c r="E139" s="1710">
        <v>26.31</v>
      </c>
      <c r="F139" s="1710">
        <v>23.77</v>
      </c>
      <c r="G139" s="1710">
        <v>3.47</v>
      </c>
      <c r="H139" s="1710">
        <v>4.96</v>
      </c>
      <c r="I139" s="1710">
        <v>7.92</v>
      </c>
      <c r="J139" s="1710">
        <v>7.33</v>
      </c>
      <c r="K139" s="1710">
        <v>8.9</v>
      </c>
      <c r="L139" s="1710">
        <v>9.8000000000000007</v>
      </c>
      <c r="M139" s="1710">
        <v>12.35</v>
      </c>
      <c r="N139" s="1710">
        <v>15.69</v>
      </c>
      <c r="O139" s="1710">
        <v>17.010000000000002</v>
      </c>
      <c r="P139" s="1242">
        <f>Index!$I$41</f>
        <v>18.399994</v>
      </c>
      <c r="Q139" s="1242">
        <f>Index!$I$41</f>
        <v>18.399994</v>
      </c>
      <c r="R139" s="1242">
        <f>Index!$I$41</f>
        <v>18.399994</v>
      </c>
      <c r="S139" s="1242">
        <f>Index!$I$41</f>
        <v>18.399994</v>
      </c>
      <c r="T139" s="1242">
        <f>Index!$I$41</f>
        <v>18.399994</v>
      </c>
      <c r="U139" s="1242">
        <f>Index!$I$41</f>
        <v>18.399994</v>
      </c>
      <c r="V139" s="1242">
        <f>Index!$I$41</f>
        <v>18.399994</v>
      </c>
      <c r="W139" s="1242">
        <f>Index!$I$41</f>
        <v>18.399994</v>
      </c>
      <c r="X139" s="731"/>
      <c r="Y139" s="731"/>
      <c r="Z139" s="731"/>
      <c r="AA139" s="731"/>
      <c r="AB139" s="731"/>
      <c r="AC139" s="1181"/>
      <c r="AD139" s="1181"/>
      <c r="AE139" s="1181"/>
      <c r="AF139" s="1181"/>
    </row>
    <row r="140" spans="1:32">
      <c r="A140" s="1243" t="s">
        <v>279</v>
      </c>
      <c r="B140" s="1116"/>
      <c r="C140" s="1116"/>
      <c r="D140" s="1116"/>
      <c r="E140" s="1116">
        <f t="shared" ref="E140:W140" si="116">E139*E85</f>
        <v>8919.09</v>
      </c>
      <c r="F140" s="1116">
        <f t="shared" si="116"/>
        <v>8058.03</v>
      </c>
      <c r="G140" s="1116">
        <f t="shared" si="116"/>
        <v>1174.8830100000002</v>
      </c>
      <c r="H140" s="1116">
        <f t="shared" si="116"/>
        <v>1679.3716800000002</v>
      </c>
      <c r="I140" s="1116">
        <f t="shared" si="116"/>
        <v>2681.5773600000002</v>
      </c>
      <c r="J140" s="1116">
        <f t="shared" si="116"/>
        <v>2478.73479</v>
      </c>
      <c r="K140" s="1116">
        <f>K139*K85</f>
        <v>3000.1989000000003</v>
      </c>
      <c r="L140" s="1116">
        <f t="shared" si="116"/>
        <v>3307.0590000000002</v>
      </c>
      <c r="M140" s="1116">
        <f t="shared" si="116"/>
        <v>4181.4629999999997</v>
      </c>
      <c r="N140" s="1116">
        <f t="shared" si="116"/>
        <v>5328.4181399999998</v>
      </c>
      <c r="O140" s="1116">
        <f t="shared" si="116"/>
        <v>5750.3835900000013</v>
      </c>
      <c r="P140" s="1238">
        <f>P139*P85</f>
        <v>6494.8484099939578</v>
      </c>
      <c r="Q140" s="1238">
        <f t="shared" si="116"/>
        <v>6687.8067615127356</v>
      </c>
      <c r="R140" s="1238">
        <f t="shared" si="116"/>
        <v>6687.8067615127356</v>
      </c>
      <c r="S140" s="1238">
        <f t="shared" si="116"/>
        <v>6687.8067615127356</v>
      </c>
      <c r="T140" s="1238">
        <f t="shared" si="116"/>
        <v>6687.8067615127356</v>
      </c>
      <c r="U140" s="1238">
        <f t="shared" si="116"/>
        <v>6687.8067615127356</v>
      </c>
      <c r="V140" s="1238">
        <f t="shared" si="116"/>
        <v>6687.8067615127356</v>
      </c>
      <c r="W140" s="1238">
        <f t="shared" si="116"/>
        <v>6687.8067615127356</v>
      </c>
      <c r="X140" s="731"/>
      <c r="Y140" s="731"/>
      <c r="Z140" s="731"/>
      <c r="AA140" s="731"/>
      <c r="AB140" s="731"/>
      <c r="AC140" s="1181"/>
      <c r="AD140" s="1181"/>
      <c r="AE140" s="1181"/>
      <c r="AF140" s="1181"/>
    </row>
    <row r="141" spans="1:32">
      <c r="A141" s="1243" t="s">
        <v>569</v>
      </c>
      <c r="B141" s="1244"/>
      <c r="C141" s="1244"/>
      <c r="D141" s="1244"/>
      <c r="E141" s="1244">
        <f t="shared" ref="E141:W141" si="117">E140+E126+E110</f>
        <v>8882.5400000000009</v>
      </c>
      <c r="F141" s="1244">
        <f t="shared" si="117"/>
        <v>8584.4510000000009</v>
      </c>
      <c r="G141" s="1244">
        <f t="shared" si="117"/>
        <v>2134.8230100000001</v>
      </c>
      <c r="H141" s="1244">
        <f t="shared" si="117"/>
        <v>2445.4726800000003</v>
      </c>
      <c r="I141" s="1244">
        <f t="shared" si="117"/>
        <v>3196.9593600000003</v>
      </c>
      <c r="J141" s="1244">
        <f t="shared" si="117"/>
        <v>3314.8057899999999</v>
      </c>
      <c r="K141" s="1244">
        <f t="shared" si="117"/>
        <v>4347.8348999999998</v>
      </c>
      <c r="L141" s="1244">
        <f t="shared" si="117"/>
        <v>4845.5400000000009</v>
      </c>
      <c r="M141" s="1244">
        <f t="shared" si="117"/>
        <v>6668.5469999999996</v>
      </c>
      <c r="N141" s="1244">
        <f t="shared" si="117"/>
        <v>8047.4561400000002</v>
      </c>
      <c r="O141" s="1244">
        <f t="shared" si="117"/>
        <v>8297.5115900000019</v>
      </c>
      <c r="P141" s="1245">
        <f t="shared" si="117"/>
        <v>8745.4159668664397</v>
      </c>
      <c r="Q141" s="1245">
        <f t="shared" si="117"/>
        <v>8681.0397417958739</v>
      </c>
      <c r="R141" s="1245">
        <f t="shared" si="117"/>
        <v>8614.3041523880929</v>
      </c>
      <c r="S141" s="1245">
        <f t="shared" si="117"/>
        <v>8474.0501935776429</v>
      </c>
      <c r="T141" s="1245">
        <f t="shared" si="117"/>
        <v>8280.6014255822447</v>
      </c>
      <c r="U141" s="1245">
        <f t="shared" si="117"/>
        <v>8344.3443337043136</v>
      </c>
      <c r="V141" s="1245">
        <f t="shared" si="117"/>
        <v>8599.0384957709794</v>
      </c>
      <c r="W141" s="1245">
        <f t="shared" si="117"/>
        <v>8874.7591871445784</v>
      </c>
      <c r="X141" s="731"/>
      <c r="Y141" s="731"/>
      <c r="Z141" s="731"/>
      <c r="AA141" s="731"/>
      <c r="AB141" s="731"/>
      <c r="AC141" s="1181"/>
      <c r="AD141" s="1181"/>
      <c r="AE141" s="1181"/>
      <c r="AF141" s="1181"/>
    </row>
    <row r="142" spans="1:32">
      <c r="A142" s="1243" t="s">
        <v>265</v>
      </c>
      <c r="B142" s="1236"/>
      <c r="C142" s="1246"/>
      <c r="D142" s="1246"/>
      <c r="E142" s="1246">
        <f t="shared" ref="E142" si="118">IF(E$55&lt;0,"NM",E141/E$55)</f>
        <v>22.747921132358638</v>
      </c>
      <c r="F142" s="1246">
        <f>IF(F$55&lt;0,"NM",F141/F$55)</f>
        <v>64.736032034507986</v>
      </c>
      <c r="G142" s="1246">
        <f t="shared" ref="G142:S142" si="119">IF(G$55&lt;0,"NM",G141/G$55)</f>
        <v>11.248224424633284</v>
      </c>
      <c r="H142" s="1246">
        <f t="shared" si="119"/>
        <v>5.4058767433069619</v>
      </c>
      <c r="I142" s="1246">
        <f t="shared" si="119"/>
        <v>5.2188268019628401</v>
      </c>
      <c r="J142" s="1246">
        <f t="shared" si="119"/>
        <v>6.2189261358413113</v>
      </c>
      <c r="K142" s="1246">
        <f t="shared" si="119"/>
        <v>6.6702896960975488</v>
      </c>
      <c r="L142" s="1246">
        <f t="shared" si="119"/>
        <v>6.3237888912090225</v>
      </c>
      <c r="M142" s="1246">
        <f>IF(M$55&lt;0,"NM",M141/M$55)</f>
        <v>6.109385492773872</v>
      </c>
      <c r="N142" s="1246">
        <f t="shared" si="119"/>
        <v>6.1798309032393313</v>
      </c>
      <c r="O142" s="1246">
        <f t="shared" si="119"/>
        <v>5.7418728755619046</v>
      </c>
      <c r="P142" s="1247">
        <f t="shared" si="119"/>
        <v>4.9717489061199229</v>
      </c>
      <c r="Q142" s="1247">
        <f>IF(Q$55&lt;0,"NM",Q141/Q$55)</f>
        <v>4.8765752028052507</v>
      </c>
      <c r="R142" s="1247">
        <f t="shared" si="119"/>
        <v>4.4108266327978232</v>
      </c>
      <c r="S142" s="1247">
        <f t="shared" si="119"/>
        <v>3.6865667529331527</v>
      </c>
      <c r="T142" s="1247">
        <f t="shared" ref="T142:W142" si="120">IF(T$55&lt;0,"NM",T141/T$55)</f>
        <v>3.3688268226830922</v>
      </c>
      <c r="U142" s="1247">
        <f t="shared" si="120"/>
        <v>3.7473796442979896</v>
      </c>
      <c r="V142" s="1247">
        <f t="shared" si="120"/>
        <v>4.114150663109946</v>
      </c>
      <c r="W142" s="1247">
        <f t="shared" si="120"/>
        <v>3.3444250606486672</v>
      </c>
      <c r="X142" s="731"/>
      <c r="Y142" s="731"/>
      <c r="Z142" s="731"/>
      <c r="AA142" s="731"/>
      <c r="AB142" s="731"/>
      <c r="AC142" s="1181"/>
      <c r="AD142" s="1181"/>
      <c r="AE142" s="1181"/>
      <c r="AF142" s="1181"/>
    </row>
    <row r="143" spans="1:32">
      <c r="A143" s="1243" t="s">
        <v>570</v>
      </c>
      <c r="B143" s="1248"/>
      <c r="C143" s="1246"/>
      <c r="D143" s="1246"/>
      <c r="E143" s="1246">
        <f t="shared" ref="E143:O143" si="121">IF(E$80&lt;1,"NM",E140/E$80)</f>
        <v>44.872312166064653</v>
      </c>
      <c r="F143" s="1246" t="str">
        <f t="shared" si="121"/>
        <v>NM</v>
      </c>
      <c r="G143" s="1246" t="str">
        <f t="shared" si="121"/>
        <v>NM</v>
      </c>
      <c r="H143" s="1246">
        <f t="shared" si="121"/>
        <v>17.123864915572263</v>
      </c>
      <c r="I143" s="1246">
        <f t="shared" si="121"/>
        <v>18.845727136642534</v>
      </c>
      <c r="J143" s="1246">
        <f t="shared" si="121"/>
        <v>19.577562692025154</v>
      </c>
      <c r="K143" s="1246">
        <f t="shared" si="121"/>
        <v>41.126784098697854</v>
      </c>
      <c r="L143" s="1246">
        <f t="shared" si="121"/>
        <v>24.496370424141858</v>
      </c>
      <c r="M143" s="1246">
        <f t="shared" si="121"/>
        <v>13.180838991545793</v>
      </c>
      <c r="N143" s="1246">
        <f t="shared" si="121"/>
        <v>26.717701796082917</v>
      </c>
      <c r="O143" s="1246">
        <f t="shared" si="121"/>
        <v>20.255817752071238</v>
      </c>
      <c r="P143" s="1221">
        <f>IF(P$80&lt;1,"NM",P140/P$80)</f>
        <v>12.423154116782873</v>
      </c>
      <c r="Q143" s="1247">
        <f t="shared" ref="Q143:W143" si="122">IF(Q$80&lt;1,"NM",Q140/Q$80)</f>
        <v>11.671776941400704</v>
      </c>
      <c r="R143" s="1247">
        <f t="shared" si="122"/>
        <v>9.8680134901445289</v>
      </c>
      <c r="S143" s="1247">
        <f t="shared" si="122"/>
        <v>8.2560194786110195</v>
      </c>
      <c r="T143" s="1247">
        <f t="shared" si="122"/>
        <v>7.7801797355858158</v>
      </c>
      <c r="U143" s="1247">
        <f t="shared" si="122"/>
        <v>9.4093551028702507</v>
      </c>
      <c r="V143" s="1247">
        <f t="shared" si="122"/>
        <v>11.204628049910815</v>
      </c>
      <c r="W143" s="1247">
        <f t="shared" si="122"/>
        <v>8.5725153081642596</v>
      </c>
      <c r="X143" s="731"/>
      <c r="Y143" s="731"/>
      <c r="Z143" s="731"/>
      <c r="AA143" s="731"/>
      <c r="AB143" s="731"/>
      <c r="AC143" s="1181"/>
      <c r="AD143" s="1181"/>
      <c r="AE143" s="1181"/>
      <c r="AF143" s="1181"/>
    </row>
    <row r="144" spans="1:32">
      <c r="A144" s="1243" t="s">
        <v>267</v>
      </c>
      <c r="B144" s="1236"/>
      <c r="C144" s="1246"/>
      <c r="D144" s="1246"/>
      <c r="E144" s="1246">
        <f>E140/(Financials!E109-E110)</f>
        <v>5.3360435063536515</v>
      </c>
      <c r="F144" s="1246">
        <f>F140/(Financials!F109-F110)</f>
        <v>4.9600666264101321</v>
      </c>
      <c r="G144" s="1246">
        <f>G140/(Financials!G109-G110)</f>
        <v>0.74586228043278302</v>
      </c>
      <c r="H144" s="1246">
        <f>H140/(Financials!H109-H110)</f>
        <v>0.87953262584771807</v>
      </c>
      <c r="I144" s="1246">
        <f>I140/(Financials!I109-I110)</f>
        <v>1.3727560501396008</v>
      </c>
      <c r="J144" s="1246">
        <f>J140/(Financials!J109-J110)</f>
        <v>1.2241971439916555</v>
      </c>
      <c r="K144" s="1246">
        <f>K140/(Financials!K109-K110)</f>
        <v>1.4282465104300308</v>
      </c>
      <c r="L144" s="1246">
        <f>L140/(Financials!L109-L110)</f>
        <v>1.5930324978612223</v>
      </c>
      <c r="M144" s="1246">
        <f>M140/(Financials!M109-M110)</f>
        <v>1.5983666432856729</v>
      </c>
      <c r="N144" s="1246">
        <f>N140/(Financials!N109-N110)</f>
        <v>2.0133092193484692</v>
      </c>
      <c r="O144" s="1246">
        <f>O140/(Financials!O109-O110)</f>
        <v>1.6896394079898456</v>
      </c>
      <c r="P144" s="2301">
        <f>P140/(Financials!P109-P110)</f>
        <v>1.9038558625009177</v>
      </c>
      <c r="Q144" s="2301">
        <f>Q140/(Financials!Q109-Q110)</f>
        <v>1.8085354868006116</v>
      </c>
      <c r="R144" s="2301">
        <f>R140/(Financials!R109-R110)</f>
        <v>1.7142813016548972</v>
      </c>
      <c r="S144" s="2301">
        <f>S140/(Financials!S109-S110)</f>
        <v>1.6137570635533502</v>
      </c>
      <c r="T144" s="2301">
        <f>T140/(Financials!T109-T110)</f>
        <v>1.5192223891044287</v>
      </c>
      <c r="U144" s="2301">
        <f>U140/(Financials!U109-U110)</f>
        <v>1.5192223891044287</v>
      </c>
      <c r="V144" s="2301">
        <f>V140/(Financials!V109-V110)</f>
        <v>1.519222389104429</v>
      </c>
      <c r="W144" s="2301">
        <f>W140/(Financials!W109-W110)</f>
        <v>1.519222389104429</v>
      </c>
      <c r="X144" s="731"/>
      <c r="Y144" s="731"/>
      <c r="Z144" s="731"/>
      <c r="AA144" s="731"/>
      <c r="AB144" s="731"/>
      <c r="AC144" s="1181"/>
      <c r="AD144" s="1181"/>
      <c r="AE144" s="1181"/>
      <c r="AF144" s="1181"/>
    </row>
    <row r="145" spans="1:32">
      <c r="A145" s="731" t="s">
        <v>660</v>
      </c>
      <c r="B145" s="1249"/>
      <c r="C145" s="1117"/>
      <c r="D145" s="1117"/>
      <c r="E145" s="1117">
        <f>+(E141*(SOP!$H$9+SOP!$H$10)/E$6)*1000</f>
        <v>716.37029077037425</v>
      </c>
      <c r="F145" s="1117">
        <f>+(F141*(SOP!$H$9+SOP!$H$10)/F$6)*1000</f>
        <v>628.50358939163448</v>
      </c>
      <c r="G145" s="1117">
        <f>+(G141*(SOP!$H$9+SOP!$H$10)/G$6)*1000</f>
        <v>133.07778816993252</v>
      </c>
      <c r="H145" s="1117">
        <f>+(H141*(SOP!$H$9+SOP!$H$10)/H$6)*1000</f>
        <v>141.56653608728857</v>
      </c>
      <c r="I145" s="1117">
        <f>+(I141*(SOP!$H$9+SOP!$H$10)/I$6)*1000</f>
        <v>183.03003343064401</v>
      </c>
      <c r="J145" s="1117">
        <f>+(J141*(SOP!$H$9+SOP!$H$10)/J$6)*1000</f>
        <v>234.16569041859208</v>
      </c>
      <c r="K145" s="1117">
        <f>+(K141*(SOP!$H$9+SOP!$H$10)/K$6)*1000</f>
        <v>252.43510842841943</v>
      </c>
      <c r="L145" s="1117">
        <f>+(L141*(SOP!$H$9+SOP!$H$10)/L$6)*1000</f>
        <v>232.47359880392881</v>
      </c>
      <c r="M145" s="1117">
        <f>+(M141*(SOP!$H$9+SOP!$H$10)/M$6)*1000</f>
        <v>266.52190458495249</v>
      </c>
      <c r="N145" s="1117">
        <f>+(N141*(SOP!$H$9+SOP!$H$10)/N$6)*1000</f>
        <v>300.6553362336</v>
      </c>
      <c r="O145" s="1117">
        <f>+(O141*(SOP!$H$9+SOP!$H$10)/O$6)*1000</f>
        <v>321.94334175212663</v>
      </c>
      <c r="P145" s="1224">
        <f>+(P141*(SOP!$H$9+SOP!$H$10)/P$6)*1000</f>
        <v>293.38421428004693</v>
      </c>
      <c r="Q145" s="1224">
        <f>+(Q141*(SOP!$H$9+SOP!$H$10)/Q$6)*1000</f>
        <v>277.35673544152144</v>
      </c>
      <c r="R145" s="1224">
        <f>+(R141*(SOP!$H$9+SOP!$H$10)/R$6)*1000</f>
        <v>269.82799260597517</v>
      </c>
      <c r="S145" s="1224">
        <f>+(S141*(SOP!$H$9+SOP!$H$10)/S$6)*1000</f>
        <v>257.70367276934741</v>
      </c>
      <c r="T145" s="1224">
        <f>+(T141*(SOP!$H$9+SOP!$H$10)/T$6)*1000</f>
        <v>247.36809187387254</v>
      </c>
      <c r="U145" s="1224">
        <f>+(U141*(SOP!$H$9+SOP!$H$10)/U$6)*1000</f>
        <v>244.86473157450789</v>
      </c>
      <c r="V145" s="1224">
        <f>+(V141*(SOP!$H$9+SOP!$H$10)/V$6)*1000</f>
        <v>247.87694513334853</v>
      </c>
      <c r="W145" s="1224">
        <f>+(W141*(SOP!$H$9+SOP!$H$10)/W$6)*1000</f>
        <v>251.30147722739827</v>
      </c>
      <c r="X145" s="731"/>
      <c r="Y145" s="731"/>
      <c r="Z145" s="731"/>
      <c r="AA145" s="731"/>
      <c r="AB145" s="731"/>
      <c r="AC145" s="1181"/>
      <c r="AD145" s="1181"/>
      <c r="AE145" s="1181"/>
      <c r="AF145" s="1181"/>
    </row>
    <row r="146" spans="1:32">
      <c r="A146" s="731" t="s">
        <v>661</v>
      </c>
      <c r="B146" s="460"/>
      <c r="C146" s="1118"/>
      <c r="D146" s="1118"/>
      <c r="E146" s="1118">
        <f>E145/Inputs!E$154</f>
        <v>350.13210692589155</v>
      </c>
      <c r="F146" s="1118">
        <f>F145/Inputs!F$154</f>
        <v>358.75540235837349</v>
      </c>
      <c r="G146" s="1118">
        <f>G145/Inputs!G$154</f>
        <v>57.291970109321731</v>
      </c>
      <c r="H146" s="1118">
        <f>H145/Inputs!H$154</f>
        <v>79.504962421256081</v>
      </c>
      <c r="I146" s="1118">
        <f>I145/Inputs!I$154</f>
        <v>112.40559689900142</v>
      </c>
      <c r="J146" s="1118">
        <f>J145/Inputs!J$154</f>
        <v>128.53534439487981</v>
      </c>
      <c r="K146" s="1118">
        <f>K145/Inputs!K$154</f>
        <v>125.37129795302681</v>
      </c>
      <c r="L146" s="1118">
        <f>L145/Inputs!L$154</f>
        <v>102.7416797648512</v>
      </c>
      <c r="M146" s="1117">
        <f>SOP!C35</f>
        <v>72.769571628548334</v>
      </c>
      <c r="N146" s="1117">
        <f>SOP!D35</f>
        <v>84.866521864566366</v>
      </c>
      <c r="O146" s="1117">
        <f>SOP!E35</f>
        <v>77.174309905121248</v>
      </c>
      <c r="P146" s="1224">
        <f>SOP!F35</f>
        <v>90.663011628015198</v>
      </c>
      <c r="Q146" s="1224">
        <f>SOP!G35</f>
        <v>84.355452525931383</v>
      </c>
      <c r="R146" s="1224">
        <f>SOP!H35</f>
        <v>81.808487948620709</v>
      </c>
      <c r="S146" s="1224">
        <f>SOP!I35</f>
        <v>78.472270204067087</v>
      </c>
      <c r="T146" s="1224">
        <f>SOP!J35</f>
        <v>74.634741816282073</v>
      </c>
      <c r="U146" s="1224">
        <f>SOP!K35</f>
        <v>73.942382656902168</v>
      </c>
      <c r="V146" s="1224">
        <f>SOP!L35</f>
        <v>75.459698044927066</v>
      </c>
      <c r="W146" s="1224">
        <f>SOP!M35</f>
        <v>77.156804549971611</v>
      </c>
      <c r="X146" s="731"/>
      <c r="Y146" s="731"/>
      <c r="Z146" s="731"/>
      <c r="AA146" s="731"/>
      <c r="AB146" s="731"/>
      <c r="AC146" s="1181"/>
      <c r="AD146" s="1181"/>
      <c r="AE146" s="1181"/>
      <c r="AF146" s="1181"/>
    </row>
    <row r="147" spans="1:32">
      <c r="A147" s="1243" t="s">
        <v>571</v>
      </c>
      <c r="B147" s="1250"/>
      <c r="C147" s="1250"/>
      <c r="D147" s="1250"/>
      <c r="E147" s="1250">
        <f t="shared" ref="E147:S147" si="123">E132/E140</f>
        <v>-4.9370059053109719E-2</v>
      </c>
      <c r="F147" s="1250">
        <f t="shared" si="123"/>
        <v>-5.0124410060523476E-2</v>
      </c>
      <c r="G147" s="1250">
        <f t="shared" si="123"/>
        <v>-0.3513558341438609</v>
      </c>
      <c r="H147" s="1250">
        <f t="shared" si="123"/>
        <v>0.11052347863815346</v>
      </c>
      <c r="I147" s="1250">
        <f t="shared" si="123"/>
        <v>-5.848953319027117E-2</v>
      </c>
      <c r="J147" s="1250">
        <f t="shared" si="123"/>
        <v>-7.6565741831541384E-2</v>
      </c>
      <c r="K147" s="1250">
        <f t="shared" si="123"/>
        <v>-0.10377552768251461</v>
      </c>
      <c r="L147" s="1250">
        <f t="shared" si="123"/>
        <v>-2.9081970415405452E-2</v>
      </c>
      <c r="M147" s="1250">
        <f t="shared" si="123"/>
        <v>-3.5030146147412948E-2</v>
      </c>
      <c r="N147" s="1250">
        <f t="shared" si="123"/>
        <v>5.4159347937359957E-2</v>
      </c>
      <c r="O147" s="1250">
        <f t="shared" si="123"/>
        <v>-5.3719894536635518E-3</v>
      </c>
      <c r="P147" s="1251">
        <f t="shared" si="123"/>
        <v>7.0970739989132892E-2</v>
      </c>
      <c r="Q147" s="1251">
        <f t="shared" si="123"/>
        <v>8.1316550297160506E-2</v>
      </c>
      <c r="R147" s="1251">
        <f t="shared" si="123"/>
        <v>8.0914958801996742E-2</v>
      </c>
      <c r="S147" s="1251">
        <f t="shared" si="123"/>
        <v>0.10575821426904766</v>
      </c>
      <c r="T147" s="1251">
        <f>T132/T140</f>
        <v>0.11889780623399103</v>
      </c>
      <c r="U147" s="1251">
        <f t="shared" ref="U147:W147" si="124">U132/U140</f>
        <v>9.6745996517560356E-2</v>
      </c>
      <c r="V147" s="1251">
        <f t="shared" si="124"/>
        <v>5.1165473565290116E-2</v>
      </c>
      <c r="W147" s="1251">
        <f t="shared" si="124"/>
        <v>7.5424505721687782E-2</v>
      </c>
      <c r="X147" s="731"/>
      <c r="Y147" s="731"/>
      <c r="Z147" s="731"/>
      <c r="AA147" s="731"/>
      <c r="AB147" s="731"/>
      <c r="AC147" s="1181"/>
      <c r="AD147" s="1181"/>
      <c r="AE147" s="1181"/>
      <c r="AF147" s="1181"/>
    </row>
    <row r="148" spans="1:32">
      <c r="A148" s="1243" t="s">
        <v>288</v>
      </c>
      <c r="B148" s="1163"/>
      <c r="C148" s="1163"/>
      <c r="D148" s="1163"/>
      <c r="E148" s="1163">
        <f>Financials!E89/E139</f>
        <v>6.7270999619916385E-3</v>
      </c>
      <c r="F148" s="1163">
        <f>Financials!F89/F139</f>
        <v>0</v>
      </c>
      <c r="G148" s="1163">
        <f>Financials!G89/G139</f>
        <v>0</v>
      </c>
      <c r="H148" s="1163">
        <f>Financials!H89/H139</f>
        <v>5.5262096774193553E-2</v>
      </c>
      <c r="I148" s="1163">
        <f>Financials!I89/I139</f>
        <v>3.3825757575757572E-2</v>
      </c>
      <c r="J148" s="1163">
        <f>Financials!J89/J139</f>
        <v>4.3839427012278304E-2</v>
      </c>
      <c r="K148" s="1163">
        <f>Financials!K89/K139</f>
        <v>3.003393258426966E-2</v>
      </c>
      <c r="L148" s="1163">
        <f>Financials!L89/L139</f>
        <v>3.6683673469387751E-2</v>
      </c>
      <c r="M148" s="1163">
        <f>IF(ISERROR(Financials!M89/M139),"NM",Financials!M89/M139)</f>
        <v>1.6289519419735474E-2</v>
      </c>
      <c r="N148" s="1163">
        <f>IF(ISERROR(Financials!N89/N139),"NM",Financials!N89/N139)</f>
        <v>9.9974043305346618E-3</v>
      </c>
      <c r="O148" s="1163">
        <f>Financials!O89/O139</f>
        <v>1.2169312169312168E-2</v>
      </c>
      <c r="P148" s="1164">
        <f>Financials!P89/P139</f>
        <v>3.2337650679813618E-2</v>
      </c>
      <c r="Q148" s="1164">
        <f>Financials!Q89/Q139</f>
        <v>4.2838378638513981E-2</v>
      </c>
      <c r="R148" s="1164">
        <f>Financials!R89/R139</f>
        <v>7.0936262977255776E-2</v>
      </c>
      <c r="S148" s="1164">
        <f>Financials!S89/S139</f>
        <v>8.4786621665985565E-2</v>
      </c>
      <c r="T148" s="1164">
        <f>Financials!T89/T139</f>
        <v>8.9972214497598985E-2</v>
      </c>
      <c r="U148" s="1164">
        <f>Financials!U89/U139</f>
        <v>0.10627720912509271</v>
      </c>
      <c r="V148" s="1164">
        <f>Financials!V89/V139</f>
        <v>8.9248834994389625E-2</v>
      </c>
      <c r="W148" s="1164">
        <f>Financials!W89/W139</f>
        <v>0.11665187684735001</v>
      </c>
      <c r="X148" s="731"/>
      <c r="Y148" s="731"/>
      <c r="Z148" s="731"/>
      <c r="AA148" s="731"/>
      <c r="AB148" s="731"/>
      <c r="AC148" s="1181"/>
      <c r="AD148" s="1181"/>
      <c r="AE148" s="1181"/>
      <c r="AF148" s="1181"/>
    </row>
    <row r="149" spans="1:32">
      <c r="A149" s="1342" t="s">
        <v>1139</v>
      </c>
      <c r="B149" s="1343"/>
      <c r="C149" s="1343"/>
      <c r="D149" s="1343"/>
      <c r="E149" s="1343"/>
      <c r="F149" s="1343"/>
      <c r="G149" s="1343"/>
      <c r="H149" s="1343"/>
      <c r="I149" s="1343"/>
      <c r="J149" s="1343"/>
      <c r="K149" s="2308"/>
      <c r="L149" s="1343"/>
      <c r="M149" s="1343"/>
      <c r="N149" s="1343"/>
      <c r="O149" s="1343"/>
      <c r="P149" s="1344"/>
      <c r="Q149" s="1344"/>
      <c r="R149" s="1344"/>
      <c r="S149" s="1344"/>
      <c r="T149" s="1344"/>
      <c r="U149" s="1344"/>
      <c r="V149" s="1344"/>
      <c r="W149" s="1344"/>
      <c r="X149" s="731"/>
      <c r="Y149" s="731"/>
      <c r="Z149" s="731"/>
      <c r="AA149" s="731"/>
      <c r="AB149" s="731"/>
      <c r="AC149" s="1181"/>
      <c r="AD149" s="1181"/>
      <c r="AE149" s="1181"/>
      <c r="AF149" s="1181"/>
    </row>
    <row r="150" spans="1:32">
      <c r="A150" s="1240" t="s">
        <v>572</v>
      </c>
      <c r="B150" s="1561"/>
      <c r="C150" s="1561"/>
      <c r="D150" s="1561"/>
      <c r="E150" s="228">
        <f t="shared" ref="E150" si="125">E139</f>
        <v>26.31</v>
      </c>
      <c r="F150" s="228">
        <f t="shared" ref="F150:K150" si="126">F139</f>
        <v>23.77</v>
      </c>
      <c r="G150" s="228">
        <f t="shared" si="126"/>
        <v>3.47</v>
      </c>
      <c r="H150" s="228">
        <f t="shared" si="126"/>
        <v>4.96</v>
      </c>
      <c r="I150" s="228">
        <f t="shared" si="126"/>
        <v>7.92</v>
      </c>
      <c r="J150" s="228">
        <f t="shared" si="126"/>
        <v>7.33</v>
      </c>
      <c r="K150" s="228">
        <f t="shared" si="126"/>
        <v>8.9</v>
      </c>
      <c r="L150" s="228">
        <f>L139</f>
        <v>9.8000000000000007</v>
      </c>
      <c r="M150" s="228">
        <f>M139</f>
        <v>12.35</v>
      </c>
      <c r="N150" s="228">
        <f>N139</f>
        <v>15.69</v>
      </c>
      <c r="O150" s="228">
        <f>O139</f>
        <v>17.010000000000002</v>
      </c>
      <c r="P150" s="1568">
        <f>+SOP!$F$18</f>
        <v>16.399999999999999</v>
      </c>
      <c r="Q150" s="1568">
        <f>+SOP!$F$18</f>
        <v>16.399999999999999</v>
      </c>
      <c r="R150" s="1568">
        <f>+SOP!$F$18</f>
        <v>16.399999999999999</v>
      </c>
      <c r="S150" s="1568">
        <f>+SOP!$F$18</f>
        <v>16.399999999999999</v>
      </c>
      <c r="T150" s="1568">
        <f>+SOP!$F$18</f>
        <v>16.399999999999999</v>
      </c>
      <c r="U150" s="1568">
        <f>+SOP!$F$18</f>
        <v>16.399999999999999</v>
      </c>
      <c r="V150" s="1568">
        <f>+SOP!$F$18</f>
        <v>16.399999999999999</v>
      </c>
      <c r="W150" s="1568">
        <f>+SOP!$F$18</f>
        <v>16.399999999999999</v>
      </c>
      <c r="X150" s="731"/>
      <c r="Y150" s="731"/>
      <c r="Z150" s="731"/>
      <c r="AA150" s="731"/>
      <c r="AB150" s="731"/>
      <c r="AC150" s="1181"/>
      <c r="AD150" s="1181"/>
      <c r="AE150" s="1181"/>
      <c r="AF150" s="1181"/>
    </row>
    <row r="151" spans="1:32">
      <c r="A151" s="1243" t="s">
        <v>279</v>
      </c>
      <c r="B151" s="1562"/>
      <c r="C151" s="1562"/>
      <c r="D151" s="1562"/>
      <c r="E151" s="229">
        <f t="shared" ref="E151" si="127">E140</f>
        <v>8919.09</v>
      </c>
      <c r="F151" s="229">
        <f t="shared" ref="F151:L152" si="128">F140</f>
        <v>8058.03</v>
      </c>
      <c r="G151" s="229">
        <f t="shared" si="128"/>
        <v>1174.8830100000002</v>
      </c>
      <c r="H151" s="229">
        <f t="shared" si="128"/>
        <v>1679.3716800000002</v>
      </c>
      <c r="I151" s="229">
        <f t="shared" si="128"/>
        <v>2681.5773600000002</v>
      </c>
      <c r="J151" s="229">
        <f t="shared" si="128"/>
        <v>2478.73479</v>
      </c>
      <c r="K151" s="229">
        <f t="shared" si="128"/>
        <v>3000.1989000000003</v>
      </c>
      <c r="L151" s="229">
        <f t="shared" si="128"/>
        <v>3307.0590000000002</v>
      </c>
      <c r="M151" s="229">
        <f t="shared" ref="M151:W151" si="129">M85*M150</f>
        <v>4181.4629999999997</v>
      </c>
      <c r="N151" s="229">
        <f t="shared" si="129"/>
        <v>5328.4181399999998</v>
      </c>
      <c r="O151" s="229">
        <f t="shared" si="129"/>
        <v>5750.3835900000013</v>
      </c>
      <c r="P151" s="1569">
        <f t="shared" si="129"/>
        <v>5788.8885139799995</v>
      </c>
      <c r="Q151" s="1569">
        <f t="shared" si="129"/>
        <v>5960.8731877199998</v>
      </c>
      <c r="R151" s="1569">
        <f t="shared" si="129"/>
        <v>5960.8731877199998</v>
      </c>
      <c r="S151" s="1569">
        <f t="shared" si="129"/>
        <v>5960.8731877199998</v>
      </c>
      <c r="T151" s="1569">
        <f t="shared" si="129"/>
        <v>5960.8731877199998</v>
      </c>
      <c r="U151" s="1569">
        <f t="shared" si="129"/>
        <v>5960.8731877199998</v>
      </c>
      <c r="V151" s="1569">
        <f t="shared" si="129"/>
        <v>5960.8731877199998</v>
      </c>
      <c r="W151" s="1569">
        <f t="shared" si="129"/>
        <v>5960.8731877199998</v>
      </c>
      <c r="X151" s="731"/>
      <c r="Y151" s="731"/>
      <c r="Z151" s="731"/>
      <c r="AA151" s="731"/>
      <c r="AB151" s="731"/>
      <c r="AC151" s="1181"/>
      <c r="AD151" s="1181"/>
      <c r="AE151" s="1181"/>
      <c r="AF151" s="1181"/>
    </row>
    <row r="152" spans="1:32">
      <c r="A152" s="1243" t="s">
        <v>569</v>
      </c>
      <c r="B152" s="1562"/>
      <c r="C152" s="1562"/>
      <c r="D152" s="1562"/>
      <c r="E152" s="229">
        <f t="shared" ref="E152" si="130">E141</f>
        <v>8882.5400000000009</v>
      </c>
      <c r="F152" s="229">
        <f t="shared" si="128"/>
        <v>8584.4510000000009</v>
      </c>
      <c r="G152" s="229">
        <f t="shared" si="128"/>
        <v>2134.8230100000001</v>
      </c>
      <c r="H152" s="229">
        <f t="shared" si="128"/>
        <v>2445.4726800000003</v>
      </c>
      <c r="I152" s="229">
        <f t="shared" si="128"/>
        <v>3196.9593600000003</v>
      </c>
      <c r="J152" s="229">
        <f t="shared" si="128"/>
        <v>3314.8057899999999</v>
      </c>
      <c r="K152" s="229">
        <f t="shared" si="128"/>
        <v>4347.8348999999998</v>
      </c>
      <c r="L152" s="229">
        <f t="shared" si="128"/>
        <v>4845.5400000000009</v>
      </c>
      <c r="M152" s="229">
        <f t="shared" ref="M152:W152" si="131">M151+M126+M110</f>
        <v>6668.5469999999996</v>
      </c>
      <c r="N152" s="229">
        <f t="shared" si="131"/>
        <v>8047.4561400000002</v>
      </c>
      <c r="O152" s="229">
        <f t="shared" si="131"/>
        <v>8297.5115900000019</v>
      </c>
      <c r="P152" s="1569">
        <f t="shared" si="131"/>
        <v>8039.4560708524823</v>
      </c>
      <c r="Q152" s="1569">
        <f t="shared" si="131"/>
        <v>7954.106168003138</v>
      </c>
      <c r="R152" s="1569">
        <f t="shared" si="131"/>
        <v>7887.3705785953571</v>
      </c>
      <c r="S152" s="1569">
        <f t="shared" si="131"/>
        <v>7747.116619784907</v>
      </c>
      <c r="T152" s="1569">
        <f t="shared" si="131"/>
        <v>7553.6678517895079</v>
      </c>
      <c r="U152" s="1569">
        <f t="shared" si="131"/>
        <v>7617.4107599115778</v>
      </c>
      <c r="V152" s="1569">
        <f t="shared" si="131"/>
        <v>7872.1049219782435</v>
      </c>
      <c r="W152" s="1569">
        <f t="shared" si="131"/>
        <v>8147.8256133518425</v>
      </c>
      <c r="X152" s="731"/>
      <c r="Y152" s="731"/>
      <c r="Z152" s="731"/>
      <c r="AA152" s="731"/>
      <c r="AB152" s="731"/>
      <c r="AC152" s="1181"/>
      <c r="AD152" s="1181"/>
      <c r="AE152" s="1181"/>
      <c r="AF152" s="1181"/>
    </row>
    <row r="153" spans="1:32">
      <c r="A153" s="1243" t="s">
        <v>265</v>
      </c>
      <c r="B153" s="1246"/>
      <c r="C153" s="1246"/>
      <c r="D153" s="1246"/>
      <c r="E153" s="230">
        <f>IF(E$55&lt;0,"NM",E152/E$55)</f>
        <v>22.747921132358638</v>
      </c>
      <c r="F153" s="230">
        <f t="shared" ref="F153:S153" si="132">IF(F$55&lt;0,"NM",F152/F$55)</f>
        <v>64.736032034507986</v>
      </c>
      <c r="G153" s="230">
        <f t="shared" si="132"/>
        <v>11.248224424633284</v>
      </c>
      <c r="H153" s="230">
        <f t="shared" si="132"/>
        <v>5.4058767433069619</v>
      </c>
      <c r="I153" s="230">
        <f t="shared" si="132"/>
        <v>5.2188268019628401</v>
      </c>
      <c r="J153" s="230">
        <f t="shared" si="132"/>
        <v>6.2189261358413113</v>
      </c>
      <c r="K153" s="230">
        <f t="shared" si="132"/>
        <v>6.6702896960975488</v>
      </c>
      <c r="L153" s="230">
        <f t="shared" si="132"/>
        <v>6.3237888912090225</v>
      </c>
      <c r="M153" s="230">
        <f t="shared" si="132"/>
        <v>6.109385492773872</v>
      </c>
      <c r="N153" s="230">
        <f t="shared" si="132"/>
        <v>6.1798309032393313</v>
      </c>
      <c r="O153" s="230">
        <f t="shared" si="132"/>
        <v>5.7418728755619046</v>
      </c>
      <c r="P153" s="1247">
        <f t="shared" si="132"/>
        <v>4.570412325439297</v>
      </c>
      <c r="Q153" s="1247">
        <f t="shared" si="132"/>
        <v>4.468220173283072</v>
      </c>
      <c r="R153" s="1247">
        <f t="shared" si="132"/>
        <v>4.0386110816820651</v>
      </c>
      <c r="S153" s="1247">
        <f t="shared" si="132"/>
        <v>3.370320202167354</v>
      </c>
      <c r="T153" s="1247">
        <f t="shared" ref="T153:W153" si="133">IF(T$55&lt;0,"NM",T152/T$55)</f>
        <v>3.0730858256419675</v>
      </c>
      <c r="U153" s="1247">
        <f t="shared" si="133"/>
        <v>3.4209194734030071</v>
      </c>
      <c r="V153" s="1247">
        <f t="shared" si="133"/>
        <v>3.7663543081887414</v>
      </c>
      <c r="W153" s="1247">
        <f t="shared" si="133"/>
        <v>3.0704824318570068</v>
      </c>
      <c r="X153" s="731"/>
      <c r="Y153" s="731"/>
      <c r="Z153" s="731"/>
      <c r="AA153" s="731"/>
      <c r="AB153" s="731"/>
      <c r="AC153" s="1181"/>
      <c r="AD153" s="1181"/>
      <c r="AE153" s="1181"/>
      <c r="AF153" s="1181"/>
    </row>
    <row r="154" spans="1:32">
      <c r="A154" s="1243" t="s">
        <v>570</v>
      </c>
      <c r="B154" s="1246"/>
      <c r="C154" s="1246"/>
      <c r="D154" s="1246"/>
      <c r="E154" s="230">
        <f t="shared" ref="E154:O154" si="134">IF(E$80&lt;1,"NM",E151/E$80)</f>
        <v>44.872312166064653</v>
      </c>
      <c r="F154" s="230" t="str">
        <f t="shared" si="134"/>
        <v>NM</v>
      </c>
      <c r="G154" s="230" t="str">
        <f t="shared" si="134"/>
        <v>NM</v>
      </c>
      <c r="H154" s="230">
        <f t="shared" si="134"/>
        <v>17.123864915572263</v>
      </c>
      <c r="I154" s="230">
        <f t="shared" si="134"/>
        <v>18.845727136642534</v>
      </c>
      <c r="J154" s="230">
        <f t="shared" si="134"/>
        <v>19.577562692025154</v>
      </c>
      <c r="K154" s="230">
        <f t="shared" si="134"/>
        <v>41.126784098697854</v>
      </c>
      <c r="L154" s="230">
        <f t="shared" si="134"/>
        <v>24.496370424141858</v>
      </c>
      <c r="M154" s="230">
        <f t="shared" si="134"/>
        <v>13.180838991545793</v>
      </c>
      <c r="N154" s="230">
        <f t="shared" si="134"/>
        <v>26.717701796082917</v>
      </c>
      <c r="O154" s="230">
        <f t="shared" si="134"/>
        <v>20.255817752071238</v>
      </c>
      <c r="P154" s="1939">
        <f>IF(P$80&lt;1,"NM",P151/P$80)</f>
        <v>11.072814888702633</v>
      </c>
      <c r="Q154" s="1939">
        <f t="shared" ref="Q154:W154" si="135">IF(Q$80&lt;1,"NM",Q151/Q$80)</f>
        <v>10.403108927044844</v>
      </c>
      <c r="R154" s="1247">
        <f t="shared" si="135"/>
        <v>8.7954061962395365</v>
      </c>
      <c r="S154" s="1247">
        <f t="shared" si="135"/>
        <v>7.3586284565756239</v>
      </c>
      <c r="T154" s="1247">
        <f t="shared" si="135"/>
        <v>6.9345102864494077</v>
      </c>
      <c r="U154" s="1247">
        <f t="shared" si="135"/>
        <v>8.3866018481893043</v>
      </c>
      <c r="V154" s="1247">
        <f t="shared" si="135"/>
        <v>9.9867369532042982</v>
      </c>
      <c r="W154" s="1247">
        <f t="shared" si="135"/>
        <v>7.64072265751249</v>
      </c>
      <c r="X154" s="731"/>
      <c r="Y154" s="731"/>
      <c r="Z154" s="731"/>
      <c r="AA154" s="731"/>
      <c r="AB154" s="731"/>
      <c r="AC154" s="1181"/>
      <c r="AD154" s="1181"/>
      <c r="AE154" s="1181"/>
      <c r="AF154" s="1181"/>
    </row>
    <row r="155" spans="1:32">
      <c r="A155" s="1243" t="s">
        <v>267</v>
      </c>
      <c r="B155" s="1246"/>
      <c r="C155" s="1246"/>
      <c r="D155" s="1246"/>
      <c r="E155" s="230">
        <f>E151/(Financials!E109-E110)</f>
        <v>5.3360435063536515</v>
      </c>
      <c r="F155" s="230">
        <f>F151/(Financials!F109-F110)</f>
        <v>4.9600666264101321</v>
      </c>
      <c r="G155" s="230">
        <f>G151/(Financials!G109-G110)</f>
        <v>0.74586228043278302</v>
      </c>
      <c r="H155" s="230">
        <f>H151/(Financials!H109-H110)</f>
        <v>0.87953262584771807</v>
      </c>
      <c r="I155" s="230">
        <f>I151/(Financials!I109-I110)</f>
        <v>1.3727560501396008</v>
      </c>
      <c r="J155" s="230">
        <f>J151/(Financials!J109-J110)</f>
        <v>1.2241971439916555</v>
      </c>
      <c r="K155" s="230">
        <f>K151/(Financials!K109-K110)</f>
        <v>1.4282465104300308</v>
      </c>
      <c r="L155" s="230">
        <f>L151/(Financials!L109-L110)</f>
        <v>1.5930324978612223</v>
      </c>
      <c r="M155" s="230">
        <f>M151/(Financials!M109-M110)</f>
        <v>1.5983666432856729</v>
      </c>
      <c r="N155" s="230">
        <f>N151/(Financials!N109-N110)</f>
        <v>2.0133092193484692</v>
      </c>
      <c r="O155" s="230">
        <f>O151/(Financials!O109-O110)</f>
        <v>1.6896394079898456</v>
      </c>
      <c r="P155" s="1247">
        <f>P151/(Financials!P109-P110)</f>
        <v>1.6969155612232836</v>
      </c>
      <c r="Q155" s="1247">
        <f>Q151/(Financials!Q109-Q110)</f>
        <v>1.6119560682210023</v>
      </c>
      <c r="R155" s="1247">
        <f>R151/(Financials!R109-R110)</f>
        <v>1.5279468758055201</v>
      </c>
      <c r="S155" s="1247">
        <f>S151/(Financials!S109-S110)</f>
        <v>1.4383491561070587</v>
      </c>
      <c r="T155" s="1247">
        <f>T151/(Financials!T109-T110)</f>
        <v>1.3540899622745872</v>
      </c>
      <c r="U155" s="1247">
        <f>U151/(Financials!U109-U110)</f>
        <v>1.3540899622745872</v>
      </c>
      <c r="V155" s="1247">
        <f>V151/(Financials!V109-V110)</f>
        <v>1.3540899622745877</v>
      </c>
      <c r="W155" s="1247">
        <f>W151/(Financials!W109-W110)</f>
        <v>1.3540899622745877</v>
      </c>
      <c r="X155" s="731"/>
      <c r="Y155" s="731"/>
      <c r="Z155" s="731"/>
      <c r="AA155" s="731"/>
      <c r="AB155" s="731"/>
      <c r="AC155" s="1181"/>
      <c r="AD155" s="1181"/>
      <c r="AE155" s="1181"/>
      <c r="AF155" s="1181"/>
    </row>
    <row r="156" spans="1:32">
      <c r="A156" s="731" t="str">
        <f>A145</f>
        <v>EV/Ton of cane - capacity (R$/ton)</v>
      </c>
      <c r="B156" s="1562"/>
      <c r="C156" s="1562"/>
      <c r="D156" s="1562"/>
      <c r="E156" s="229">
        <f>+E145</f>
        <v>716.37029077037425</v>
      </c>
      <c r="F156" s="229">
        <f t="shared" ref="F156:O156" si="136">+F145</f>
        <v>628.50358939163448</v>
      </c>
      <c r="G156" s="229">
        <f t="shared" si="136"/>
        <v>133.07778816993252</v>
      </c>
      <c r="H156" s="229">
        <f t="shared" si="136"/>
        <v>141.56653608728857</v>
      </c>
      <c r="I156" s="229">
        <f t="shared" si="136"/>
        <v>183.03003343064401</v>
      </c>
      <c r="J156" s="229">
        <f t="shared" si="136"/>
        <v>234.16569041859208</v>
      </c>
      <c r="K156" s="229">
        <f t="shared" si="136"/>
        <v>252.43510842841943</v>
      </c>
      <c r="L156" s="229">
        <f t="shared" si="136"/>
        <v>232.47359880392881</v>
      </c>
      <c r="M156" s="229">
        <f t="shared" si="136"/>
        <v>266.52190458495249</v>
      </c>
      <c r="N156" s="229">
        <f t="shared" si="136"/>
        <v>300.6553362336</v>
      </c>
      <c r="O156" s="229">
        <f t="shared" si="136"/>
        <v>321.94334175212663</v>
      </c>
      <c r="P156" s="1238">
        <f>+P157*SOP!F24</f>
        <v>251.64034037959891</v>
      </c>
      <c r="Q156" s="1238">
        <f>+Q157*SOP!G24</f>
        <v>248.08409442754288</v>
      </c>
      <c r="R156" s="1238">
        <f>+R157*SOP!H24</f>
        <v>240.29725211645913</v>
      </c>
      <c r="S156" s="1238">
        <f>+S157*SOP!I24</f>
        <v>229.88114872171198</v>
      </c>
      <c r="T156" s="1238">
        <f>+T157*SOP!J24</f>
        <v>217.78744902146664</v>
      </c>
      <c r="U156" s="1238">
        <f>+U157*SOP!K24</f>
        <v>216.05087916036422</v>
      </c>
      <c r="V156" s="1238">
        <f>+V157*SOP!L24</f>
        <v>221.58554793343905</v>
      </c>
      <c r="W156" s="1238">
        <f>+W157*SOP!M24</f>
        <v>227.69398931887903</v>
      </c>
      <c r="X156" s="731"/>
      <c r="Y156" s="731"/>
      <c r="Z156" s="731"/>
      <c r="AA156" s="731"/>
      <c r="AB156" s="731"/>
      <c r="AC156" s="1181"/>
      <c r="AD156" s="1181"/>
      <c r="AE156" s="1181"/>
      <c r="AF156" s="1181"/>
    </row>
    <row r="157" spans="1:32">
      <c r="A157" s="731" t="str">
        <f>A146</f>
        <v>EV/Ton of cane - capacity (US$/ton)</v>
      </c>
      <c r="B157" s="1562"/>
      <c r="C157" s="1562"/>
      <c r="D157" s="1562"/>
      <c r="E157" s="229">
        <f t="shared" ref="E157:O157" si="137">E146</f>
        <v>350.13210692589155</v>
      </c>
      <c r="F157" s="229">
        <f t="shared" si="137"/>
        <v>358.75540235837349</v>
      </c>
      <c r="G157" s="229">
        <f t="shared" si="137"/>
        <v>57.291970109321731</v>
      </c>
      <c r="H157" s="229">
        <f t="shared" si="137"/>
        <v>79.504962421256081</v>
      </c>
      <c r="I157" s="229">
        <f t="shared" si="137"/>
        <v>112.40559689900142</v>
      </c>
      <c r="J157" s="229">
        <f t="shared" si="137"/>
        <v>128.53534439487981</v>
      </c>
      <c r="K157" s="229">
        <f t="shared" si="137"/>
        <v>125.37129795302681</v>
      </c>
      <c r="L157" s="229">
        <f t="shared" si="137"/>
        <v>102.7416797648512</v>
      </c>
      <c r="M157" s="229">
        <f t="shared" si="137"/>
        <v>72.769571628548334</v>
      </c>
      <c r="N157" s="229">
        <f t="shared" si="137"/>
        <v>84.866521864566366</v>
      </c>
      <c r="O157" s="229">
        <f t="shared" si="137"/>
        <v>77.174309905121248</v>
      </c>
      <c r="P157" s="1245">
        <f>SOP!F46</f>
        <v>81.174303348257709</v>
      </c>
      <c r="Q157" s="1245">
        <f>SOP!G46</f>
        <v>75.176998311376636</v>
      </c>
      <c r="R157" s="1245">
        <f>SOP!H46</f>
        <v>72.817349126199744</v>
      </c>
      <c r="S157" s="1245">
        <f>SOP!I46</f>
        <v>69.66095415809454</v>
      </c>
      <c r="T157" s="1245">
        <f>SOP!J46</f>
        <v>65.99619667317171</v>
      </c>
      <c r="U157" s="1245">
        <f>SOP!K46</f>
        <v>65.469963381928551</v>
      </c>
      <c r="V157" s="1245">
        <f>SOP!L46</f>
        <v>67.147135737405776</v>
      </c>
      <c r="W157" s="1245">
        <f>SOP!M46</f>
        <v>68.998178581478498</v>
      </c>
      <c r="X157" s="731"/>
      <c r="Y157" s="731"/>
      <c r="Z157" s="731"/>
      <c r="AA157" s="731"/>
      <c r="AB157" s="731"/>
      <c r="AC157" s="1181"/>
      <c r="AD157" s="1181"/>
      <c r="AE157" s="1181"/>
      <c r="AF157" s="1181"/>
    </row>
    <row r="158" spans="1:32">
      <c r="A158" s="1243" t="s">
        <v>571</v>
      </c>
      <c r="B158" s="1250"/>
      <c r="C158" s="1250"/>
      <c r="D158" s="1250"/>
      <c r="E158" s="653">
        <f t="shared" ref="E158:S158" si="138">E132/E151</f>
        <v>-4.9370059053109719E-2</v>
      </c>
      <c r="F158" s="653">
        <f t="shared" si="138"/>
        <v>-5.0124410060523476E-2</v>
      </c>
      <c r="G158" s="653">
        <f t="shared" si="138"/>
        <v>-0.3513558341438609</v>
      </c>
      <c r="H158" s="653">
        <f t="shared" si="138"/>
        <v>0.11052347863815346</v>
      </c>
      <c r="I158" s="653">
        <f t="shared" si="138"/>
        <v>-5.848953319027117E-2</v>
      </c>
      <c r="J158" s="653">
        <f t="shared" si="138"/>
        <v>-7.6565741831541384E-2</v>
      </c>
      <c r="K158" s="653">
        <f t="shared" si="138"/>
        <v>-0.10377552768251461</v>
      </c>
      <c r="L158" s="653">
        <f t="shared" si="138"/>
        <v>-2.9081970415405452E-2</v>
      </c>
      <c r="M158" s="653">
        <f t="shared" si="138"/>
        <v>-3.5030146147412948E-2</v>
      </c>
      <c r="N158" s="653">
        <f t="shared" si="138"/>
        <v>5.4159347937359957E-2</v>
      </c>
      <c r="O158" s="653">
        <f t="shared" si="138"/>
        <v>-5.3719894536635518E-3</v>
      </c>
      <c r="P158" s="1251">
        <f t="shared" si="138"/>
        <v>7.9625682315585686E-2</v>
      </c>
      <c r="Q158" s="1251">
        <f t="shared" si="138"/>
        <v>9.1233173022466557E-2</v>
      </c>
      <c r="R158" s="1251">
        <f t="shared" si="138"/>
        <v>9.0782607101645554E-2</v>
      </c>
      <c r="S158" s="1251">
        <f t="shared" si="138"/>
        <v>0.11865551878056044</v>
      </c>
      <c r="T158" s="1251">
        <f t="shared" ref="T158:W158" si="139">T132/T151</f>
        <v>0.1333974952023535</v>
      </c>
      <c r="U158" s="1251">
        <f t="shared" si="139"/>
        <v>0.10854425338092265</v>
      </c>
      <c r="V158" s="1251">
        <f t="shared" si="139"/>
        <v>5.7405146744420529E-2</v>
      </c>
      <c r="W158" s="1251">
        <f t="shared" si="139"/>
        <v>8.4622588581220778E-2</v>
      </c>
      <c r="X158" s="731"/>
      <c r="Y158" s="731"/>
      <c r="Z158" s="731"/>
      <c r="AA158" s="731"/>
      <c r="AB158" s="731"/>
      <c r="AC158" s="1181"/>
      <c r="AD158" s="1181"/>
      <c r="AE158" s="1181"/>
      <c r="AF158" s="1181"/>
    </row>
    <row r="159" spans="1:32">
      <c r="A159" s="990" t="s">
        <v>288</v>
      </c>
      <c r="B159" s="990"/>
      <c r="C159" s="990"/>
      <c r="D159" s="990"/>
      <c r="E159" s="1166">
        <f>Financials!E89/E150</f>
        <v>6.7270999619916385E-3</v>
      </c>
      <c r="F159" s="1166">
        <f>Financials!F89/F150</f>
        <v>0</v>
      </c>
      <c r="G159" s="1166">
        <f>Financials!G89/G150</f>
        <v>0</v>
      </c>
      <c r="H159" s="1166">
        <f>Financials!H89/H150</f>
        <v>5.5262096774193553E-2</v>
      </c>
      <c r="I159" s="1166">
        <f>Financials!I89/I150</f>
        <v>3.3825757575757572E-2</v>
      </c>
      <c r="J159" s="1166">
        <f>Financials!J89/J150</f>
        <v>4.3839427012278304E-2</v>
      </c>
      <c r="K159" s="1166">
        <f>Financials!K89/K150</f>
        <v>3.003393258426966E-2</v>
      </c>
      <c r="L159" s="1166">
        <f>Financials!L89/L150</f>
        <v>3.6683673469387751E-2</v>
      </c>
      <c r="M159" s="1166">
        <f>IF(ISERROR(Financials!M89/M150),"NM",Financials!M89/M150)</f>
        <v>1.6289519419735474E-2</v>
      </c>
      <c r="N159" s="1166">
        <f>Financials!N89/N150</f>
        <v>9.9974043305346618E-3</v>
      </c>
      <c r="O159" s="1166">
        <f>Financials!O89/O150</f>
        <v>1.2169312169312168E-2</v>
      </c>
      <c r="P159" s="1167">
        <f>Financials!P89/P150</f>
        <v>3.6281254785528454E-2</v>
      </c>
      <c r="Q159" s="1167">
        <f>Financials!Q89/Q150</f>
        <v>4.8062555482828381E-2</v>
      </c>
      <c r="R159" s="1167">
        <f>Financials!R89/R150</f>
        <v>7.9587000802678567E-2</v>
      </c>
      <c r="S159" s="1167">
        <f>Financials!S89/S150</f>
        <v>9.5126422556975884E-2</v>
      </c>
      <c r="T159" s="1167">
        <f>Financials!T89/T150</f>
        <v>0.10094440286113014</v>
      </c>
      <c r="U159" s="1167">
        <f>Financials!U89/U150</f>
        <v>0.1192378055023446</v>
      </c>
      <c r="V159" s="1167">
        <f>Financials!V89/V150</f>
        <v>0.10013280660998532</v>
      </c>
      <c r="W159" s="1167">
        <f>Financials!W89/W150</f>
        <v>0.13087767280975485</v>
      </c>
      <c r="X159" s="731"/>
      <c r="Y159" s="731"/>
      <c r="Z159" s="731"/>
      <c r="AA159" s="731"/>
      <c r="AB159" s="731"/>
      <c r="AC159" s="1181"/>
      <c r="AD159" s="1181"/>
      <c r="AE159" s="1181"/>
      <c r="AF159" s="1181"/>
    </row>
    <row r="160" spans="1:32">
      <c r="A160" s="1553" t="s">
        <v>201</v>
      </c>
      <c r="B160" s="1553"/>
      <c r="C160" s="1553"/>
      <c r="D160" s="1553"/>
      <c r="E160" s="1553"/>
      <c r="F160" s="1571"/>
      <c r="G160" s="1571"/>
      <c r="H160" s="1571"/>
      <c r="I160" s="1571"/>
      <c r="J160" s="1571"/>
      <c r="K160" s="1571"/>
      <c r="L160" s="1571"/>
      <c r="M160" s="1571"/>
      <c r="N160" s="1571"/>
      <c r="O160" s="1571"/>
      <c r="P160" s="1172"/>
      <c r="Q160" s="1172"/>
      <c r="R160" s="1172"/>
      <c r="S160" s="1172"/>
      <c r="T160" s="1172"/>
      <c r="U160" s="1172"/>
      <c r="V160" s="1553"/>
      <c r="W160" s="2391" t="s">
        <v>200</v>
      </c>
      <c r="X160" s="731"/>
      <c r="Y160" s="731"/>
      <c r="Z160" s="731"/>
      <c r="AA160" s="731"/>
      <c r="AB160" s="731"/>
      <c r="AC160" s="1181"/>
      <c r="AD160" s="1181"/>
      <c r="AE160" s="1181"/>
      <c r="AF160" s="1181"/>
    </row>
    <row r="161" spans="1:32">
      <c r="A161" s="1554"/>
      <c r="B161" s="1554"/>
      <c r="C161" s="1554"/>
      <c r="D161" s="1554"/>
      <c r="E161" s="1181"/>
      <c r="F161" s="1181"/>
      <c r="G161" s="1181"/>
      <c r="H161" s="1181"/>
      <c r="I161" s="1181"/>
      <c r="J161" s="1181"/>
      <c r="K161" s="1181"/>
      <c r="L161" s="1181"/>
      <c r="M161" s="1181"/>
      <c r="N161" s="1181"/>
      <c r="O161" s="1181"/>
      <c r="P161" s="1181"/>
      <c r="Q161" s="1181"/>
      <c r="R161" s="1181"/>
      <c r="S161" s="1181"/>
      <c r="T161" s="1181"/>
      <c r="U161" s="1181"/>
      <c r="V161" s="1181"/>
      <c r="W161" s="1181"/>
      <c r="X161" s="731"/>
      <c r="Y161" s="731"/>
      <c r="Z161" s="731"/>
      <c r="AA161" s="731"/>
      <c r="AB161" s="731"/>
      <c r="AC161" s="1181"/>
      <c r="AD161" s="1181"/>
      <c r="AE161" s="1181"/>
      <c r="AF161" s="1181"/>
    </row>
    <row r="162" spans="1:32">
      <c r="A162" s="1555" t="s">
        <v>558</v>
      </c>
      <c r="B162" s="1563"/>
      <c r="C162" s="1563"/>
      <c r="D162" s="1563"/>
      <c r="E162" s="1563"/>
      <c r="F162" s="1563"/>
      <c r="G162" s="1563"/>
      <c r="H162" s="1563"/>
      <c r="I162" s="1563"/>
      <c r="J162" s="1563"/>
      <c r="K162" s="1563"/>
      <c r="L162" s="1563"/>
      <c r="M162" s="1563"/>
      <c r="N162" s="1563"/>
      <c r="O162" s="1563"/>
      <c r="P162" s="1570"/>
      <c r="Q162" s="1570"/>
      <c r="R162" s="1570"/>
      <c r="S162" s="1570"/>
      <c r="T162" s="1570"/>
      <c r="U162" s="1570"/>
      <c r="V162" s="1570"/>
      <c r="W162" s="1570"/>
      <c r="X162" s="731"/>
      <c r="Y162" s="731"/>
      <c r="Z162" s="731"/>
      <c r="AA162" s="731"/>
      <c r="AB162" s="731"/>
      <c r="AC162" s="1181"/>
      <c r="AD162" s="1181"/>
      <c r="AE162" s="1181"/>
      <c r="AF162" s="1181"/>
    </row>
    <row r="163" spans="1:32" ht="12.75" hidden="1" customHeight="1" outlineLevel="1">
      <c r="A163" s="1556" t="s">
        <v>559</v>
      </c>
      <c r="B163" s="1564">
        <f t="shared" ref="B163:W163" si="140">B103-B111</f>
        <v>0</v>
      </c>
      <c r="C163" s="1564">
        <f t="shared" si="140"/>
        <v>0</v>
      </c>
      <c r="D163" s="1564">
        <f t="shared" si="140"/>
        <v>0</v>
      </c>
      <c r="E163" s="1564">
        <f t="shared" si="140"/>
        <v>0</v>
      </c>
      <c r="F163" s="1564">
        <f t="shared" si="140"/>
        <v>-1.0000000000009095</v>
      </c>
      <c r="G163" s="1564">
        <f t="shared" si="140"/>
        <v>0</v>
      </c>
      <c r="H163" s="1564">
        <f t="shared" si="140"/>
        <v>0</v>
      </c>
      <c r="I163" s="1564">
        <f t="shared" si="140"/>
        <v>6.1999999998988642E-2</v>
      </c>
      <c r="J163" s="1564">
        <f t="shared" si="140"/>
        <v>-0.10599999999885767</v>
      </c>
      <c r="K163" s="1564">
        <f t="shared" si="140"/>
        <v>-9.0000000009240466E-3</v>
      </c>
      <c r="L163" s="1564">
        <f t="shared" si="140"/>
        <v>0</v>
      </c>
      <c r="M163" s="1564">
        <f t="shared" si="140"/>
        <v>0</v>
      </c>
      <c r="N163" s="1564">
        <f t="shared" si="140"/>
        <v>0</v>
      </c>
      <c r="O163" s="1564">
        <f t="shared" si="140"/>
        <v>0</v>
      </c>
      <c r="P163" s="1564">
        <f t="shared" si="140"/>
        <v>0</v>
      </c>
      <c r="Q163" s="1564">
        <f t="shared" si="140"/>
        <v>0</v>
      </c>
      <c r="R163" s="1564">
        <f t="shared" si="140"/>
        <v>0</v>
      </c>
      <c r="S163" s="1564">
        <f t="shared" si="140"/>
        <v>0</v>
      </c>
      <c r="T163" s="1564">
        <f t="shared" si="140"/>
        <v>0</v>
      </c>
      <c r="U163" s="1564">
        <f t="shared" si="140"/>
        <v>0</v>
      </c>
      <c r="V163" s="1564">
        <f t="shared" si="140"/>
        <v>0</v>
      </c>
      <c r="W163" s="1564">
        <f t="shared" si="140"/>
        <v>0</v>
      </c>
      <c r="X163" s="731"/>
      <c r="Y163" s="731"/>
      <c r="Z163" s="731"/>
      <c r="AA163" s="731"/>
      <c r="AB163" s="731"/>
      <c r="AC163" s="1181"/>
      <c r="AD163" s="1181"/>
      <c r="AE163" s="1181"/>
      <c r="AF163" s="1181"/>
    </row>
    <row r="164" spans="1:32" ht="12.75" hidden="1" customHeight="1" outlineLevel="1">
      <c r="A164" s="1557" t="s">
        <v>560</v>
      </c>
      <c r="B164" s="1565">
        <f t="shared" ref="B164:W164" si="141">B36+B42+B49+B67+B74+B71+B76+B79-B80</f>
        <v>0</v>
      </c>
      <c r="C164" s="1565">
        <f t="shared" si="141"/>
        <v>0</v>
      </c>
      <c r="D164" s="1565">
        <f t="shared" si="141"/>
        <v>0</v>
      </c>
      <c r="E164" s="1565">
        <f t="shared" si="141"/>
        <v>0</v>
      </c>
      <c r="F164" s="1565">
        <f t="shared" si="141"/>
        <v>0</v>
      </c>
      <c r="G164" s="1565">
        <f t="shared" si="141"/>
        <v>0</v>
      </c>
      <c r="H164" s="1565">
        <f t="shared" si="141"/>
        <v>0</v>
      </c>
      <c r="I164" s="1565">
        <f t="shared" si="141"/>
        <v>0</v>
      </c>
      <c r="J164" s="1565">
        <f t="shared" si="141"/>
        <v>0</v>
      </c>
      <c r="K164" s="1565">
        <f t="shared" si="141"/>
        <v>0</v>
      </c>
      <c r="L164" s="1565">
        <f t="shared" si="141"/>
        <v>0</v>
      </c>
      <c r="M164" s="1565">
        <f t="shared" si="141"/>
        <v>0</v>
      </c>
      <c r="N164" s="1565">
        <f t="shared" si="141"/>
        <v>0</v>
      </c>
      <c r="O164" s="1565">
        <f t="shared" si="141"/>
        <v>0</v>
      </c>
      <c r="P164" s="1565">
        <f t="shared" si="141"/>
        <v>0</v>
      </c>
      <c r="Q164" s="1565">
        <f t="shared" si="141"/>
        <v>0</v>
      </c>
      <c r="R164" s="1565">
        <f t="shared" si="141"/>
        <v>0</v>
      </c>
      <c r="S164" s="1565">
        <f t="shared" si="141"/>
        <v>0</v>
      </c>
      <c r="T164" s="1565">
        <f t="shared" si="141"/>
        <v>0</v>
      </c>
      <c r="U164" s="1565">
        <f t="shared" si="141"/>
        <v>0</v>
      </c>
      <c r="V164" s="1565">
        <f t="shared" si="141"/>
        <v>0</v>
      </c>
      <c r="W164" s="1565">
        <f t="shared" si="141"/>
        <v>0</v>
      </c>
      <c r="X164" s="731"/>
      <c r="Y164" s="731"/>
      <c r="Z164" s="731"/>
      <c r="AA164" s="731"/>
      <c r="AB164" s="731"/>
      <c r="AC164" s="1181"/>
      <c r="AD164" s="1181"/>
      <c r="AE164" s="1181"/>
      <c r="AF164" s="1181"/>
    </row>
    <row r="165" spans="1:32" ht="12.75" hidden="1" customHeight="1" outlineLevel="1">
      <c r="A165" s="1557" t="s">
        <v>561</v>
      </c>
      <c r="B165" s="1565">
        <f t="shared" ref="B165:W165" si="142">+B114+B115+B116+B118+B119+B120+B121+B122-B123</f>
        <v>0</v>
      </c>
      <c r="C165" s="1565">
        <f t="shared" si="142"/>
        <v>0</v>
      </c>
      <c r="D165" s="1565">
        <f t="shared" si="142"/>
        <v>0</v>
      </c>
      <c r="E165" s="1565">
        <f t="shared" si="142"/>
        <v>0</v>
      </c>
      <c r="F165" s="1565">
        <f t="shared" si="142"/>
        <v>0</v>
      </c>
      <c r="G165" s="1565">
        <f t="shared" si="142"/>
        <v>0</v>
      </c>
      <c r="H165" s="1565">
        <f t="shared" si="142"/>
        <v>0</v>
      </c>
      <c r="I165" s="1565">
        <f t="shared" si="142"/>
        <v>0</v>
      </c>
      <c r="J165" s="1565">
        <f t="shared" si="142"/>
        <v>0</v>
      </c>
      <c r="K165" s="1565">
        <f t="shared" si="142"/>
        <v>0</v>
      </c>
      <c r="L165" s="1565">
        <f t="shared" si="142"/>
        <v>0</v>
      </c>
      <c r="M165" s="1565">
        <f t="shared" si="142"/>
        <v>0</v>
      </c>
      <c r="N165" s="1565">
        <f t="shared" si="142"/>
        <v>0</v>
      </c>
      <c r="O165" s="1565">
        <f t="shared" si="142"/>
        <v>0</v>
      </c>
      <c r="P165" s="1565">
        <f t="shared" si="142"/>
        <v>0</v>
      </c>
      <c r="Q165" s="1565">
        <f t="shared" si="142"/>
        <v>0</v>
      </c>
      <c r="R165" s="1565">
        <f t="shared" si="142"/>
        <v>0</v>
      </c>
      <c r="S165" s="1565">
        <f t="shared" si="142"/>
        <v>0</v>
      </c>
      <c r="T165" s="1565">
        <f t="shared" si="142"/>
        <v>0</v>
      </c>
      <c r="U165" s="1565">
        <f t="shared" si="142"/>
        <v>0</v>
      </c>
      <c r="V165" s="1565">
        <f t="shared" si="142"/>
        <v>0</v>
      </c>
      <c r="W165" s="1565">
        <f t="shared" si="142"/>
        <v>0</v>
      </c>
      <c r="X165" s="731"/>
      <c r="Y165" s="731"/>
      <c r="Z165" s="731"/>
      <c r="AA165" s="731"/>
      <c r="AB165" s="731"/>
      <c r="AC165" s="1181"/>
      <c r="AD165" s="1181"/>
      <c r="AE165" s="1181"/>
      <c r="AF165" s="1181"/>
    </row>
    <row r="166" spans="1:32" ht="12.75" hidden="1" customHeight="1" outlineLevel="1">
      <c r="A166" s="1557" t="s">
        <v>562</v>
      </c>
      <c r="B166" s="1565"/>
      <c r="C166" s="1565">
        <f t="shared" ref="C166:S166" si="143">-(C126-B126)-C123</f>
        <v>14.06100000000017</v>
      </c>
      <c r="D166" s="1565">
        <f t="shared" si="143"/>
        <v>14.279999999999824</v>
      </c>
      <c r="E166" s="1565">
        <f t="shared" si="143"/>
        <v>77.907000000000323</v>
      </c>
      <c r="F166" s="1932">
        <f t="shared" si="143"/>
        <v>0</v>
      </c>
      <c r="G166" s="1565">
        <f>-(G126-F126)-G123</f>
        <v>5.1159076974727213E-13</v>
      </c>
      <c r="H166" s="1565">
        <f t="shared" si="143"/>
        <v>0</v>
      </c>
      <c r="I166" s="1565">
        <f t="shared" si="143"/>
        <v>6.199999999995498E-2</v>
      </c>
      <c r="J166" s="1565">
        <f t="shared" si="143"/>
        <v>-0.16800000000000637</v>
      </c>
      <c r="K166" s="1565">
        <f t="shared" si="143"/>
        <v>9.7000000000775799E-2</v>
      </c>
      <c r="L166" s="1565">
        <f t="shared" si="143"/>
        <v>8.9999999998724434E-3</v>
      </c>
      <c r="M166" s="1565">
        <f>-(M126-L126)-M123</f>
        <v>-31.179999999999609</v>
      </c>
      <c r="N166" s="1565">
        <f>-(N126-M126)-N123</f>
        <v>3.899999999970305E-2</v>
      </c>
      <c r="O166" s="1565">
        <f>-(O126-N126)-O123</f>
        <v>-9.9999999957844921E-4</v>
      </c>
      <c r="P166" s="1565">
        <f>-(P126-O126)-P123</f>
        <v>-6.8212102632969618E-13</v>
      </c>
      <c r="Q166" s="1565">
        <f t="shared" si="143"/>
        <v>1.3642420526593924E-12</v>
      </c>
      <c r="R166" s="1565">
        <f t="shared" si="143"/>
        <v>0</v>
      </c>
      <c r="S166" s="1565">
        <f t="shared" si="143"/>
        <v>3.4106051316484809E-13</v>
      </c>
      <c r="T166" s="1565">
        <f t="shared" ref="T166" si="144">-(T126-S126)-T123</f>
        <v>0</v>
      </c>
      <c r="U166" s="1565">
        <f t="shared" ref="U166" si="145">-(U126-T126)-U123</f>
        <v>1.4779288903810084E-12</v>
      </c>
      <c r="V166" s="1565">
        <f t="shared" ref="V166" si="146">-(V126-U126)-V123</f>
        <v>0</v>
      </c>
      <c r="W166" s="1565">
        <f t="shared" ref="W166" si="147">-(W126-V126)-W123</f>
        <v>0</v>
      </c>
      <c r="X166" s="731"/>
      <c r="Y166" s="731"/>
      <c r="Z166" s="731"/>
      <c r="AA166" s="731"/>
      <c r="AB166" s="731"/>
      <c r="AC166" s="1181"/>
      <c r="AD166" s="1181"/>
      <c r="AE166" s="1181"/>
      <c r="AF166" s="1181"/>
    </row>
    <row r="167" spans="1:32" ht="12.75" hidden="1" customHeight="1" outlineLevel="1">
      <c r="A167" s="1557" t="s">
        <v>1575</v>
      </c>
      <c r="B167" s="1565"/>
      <c r="C167" s="1565"/>
      <c r="D167" s="1565"/>
      <c r="E167" s="1565"/>
      <c r="F167" s="1932"/>
      <c r="G167" s="1565"/>
      <c r="H167" s="1565"/>
      <c r="I167" s="1565"/>
      <c r="J167" s="1565"/>
      <c r="K167" s="1565">
        <f>K36-1635.955</f>
        <v>0</v>
      </c>
      <c r="L167" s="1565">
        <f>L36-1971.177</f>
        <v>0.51300000000014734</v>
      </c>
      <c r="M167" s="1565">
        <f>M36-2293.984</f>
        <v>31.177999999999884</v>
      </c>
      <c r="N167" s="1565">
        <f>N36-2727.418</f>
        <v>-3.9000000000214641E-2</v>
      </c>
      <c r="O167" s="1565">
        <f>O36-3002.881</f>
        <v>1.0000000002037268E-3</v>
      </c>
      <c r="P167" s="225"/>
      <c r="Q167" s="225"/>
      <c r="R167" s="225"/>
      <c r="S167" s="225"/>
      <c r="T167" s="225"/>
      <c r="U167" s="225"/>
      <c r="V167" s="225"/>
      <c r="W167" s="225"/>
      <c r="X167" s="731"/>
      <c r="Y167" s="731"/>
      <c r="Z167" s="731"/>
      <c r="AA167" s="731"/>
      <c r="AB167" s="731"/>
      <c r="AC167" s="1181"/>
      <c r="AD167" s="1181"/>
      <c r="AE167" s="1181"/>
      <c r="AF167" s="1181"/>
    </row>
    <row r="168" spans="1:32" ht="12.75" hidden="1" customHeight="1" outlineLevel="1">
      <c r="A168" s="1557" t="s">
        <v>682</v>
      </c>
      <c r="B168" s="1565"/>
      <c r="C168" s="1565"/>
      <c r="D168" s="1565"/>
      <c r="E168" s="1565"/>
      <c r="F168" s="1565">
        <f>F55-132.793</f>
        <v>-0.18600000000000705</v>
      </c>
      <c r="G168" s="1565">
        <f>G55-189.792</f>
        <v>0</v>
      </c>
      <c r="H168" s="1565">
        <f>H55-452.373</f>
        <v>0</v>
      </c>
      <c r="I168" s="1565">
        <f>I55-612.585</f>
        <v>-3.0000000000427463E-3</v>
      </c>
      <c r="J168" s="1565">
        <f>J55-537.114</f>
        <v>-4.0950000000000273</v>
      </c>
      <c r="K168" s="1565">
        <f>K55-650.102</f>
        <v>1.7189999999999372</v>
      </c>
      <c r="L168" s="1565">
        <f>L55-766.601</f>
        <v>-0.36100000000010368</v>
      </c>
      <c r="M168" s="1565">
        <f>M55-1091.592</f>
        <v>-6.700000000023465E-2</v>
      </c>
      <c r="N168" s="1565">
        <f>N55-1301.24</f>
        <v>0.97300000000018372</v>
      </c>
      <c r="O168" s="1565">
        <f>O55-1445.083</f>
        <v>4.9999999998817657E-3</v>
      </c>
      <c r="P168" s="225"/>
      <c r="Q168" s="225"/>
      <c r="R168" s="225"/>
      <c r="S168" s="225"/>
      <c r="T168" s="225"/>
      <c r="U168" s="225"/>
      <c r="V168" s="225"/>
      <c r="W168" s="225"/>
      <c r="X168" s="731"/>
      <c r="Y168" s="731"/>
      <c r="Z168" s="731"/>
      <c r="AA168" s="731"/>
      <c r="AB168" s="731"/>
      <c r="AC168" s="1181"/>
      <c r="AD168" s="1181"/>
      <c r="AE168" s="1181"/>
      <c r="AF168" s="1181"/>
    </row>
    <row r="169" spans="1:32" ht="12.75" hidden="1" customHeight="1" outlineLevel="1">
      <c r="A169" s="1557" t="s">
        <v>563</v>
      </c>
      <c r="B169" s="1565"/>
      <c r="C169" s="1565"/>
      <c r="D169" s="1565">
        <f>D61-240.613</f>
        <v>81.577999999999975</v>
      </c>
      <c r="E169" s="1565">
        <f>E61-256.236</f>
        <v>134.24099999999987</v>
      </c>
      <c r="F169" s="1565">
        <f>F61-128.892</f>
        <v>-0.51899999999989177</v>
      </c>
      <c r="G169" s="1565">
        <f>G61-243.179</f>
        <v>0</v>
      </c>
      <c r="H169" s="1565">
        <f>H61-463.056</f>
        <v>-61.734000000000208</v>
      </c>
      <c r="I169" s="1565">
        <f>I61-566.125</f>
        <v>-1.0000000002037268E-3</v>
      </c>
      <c r="J169" s="1565">
        <f>J61-588.182</f>
        <v>-5.5469999999999118</v>
      </c>
      <c r="K169" s="1565">
        <f>K61-651.76</f>
        <v>0</v>
      </c>
      <c r="L169" s="1565">
        <f>L61-750.69</f>
        <v>0.51299999999991996</v>
      </c>
      <c r="M169" s="1565">
        <f>M61-1100.535</f>
        <v>31.179999999999609</v>
      </c>
      <c r="N169" s="1565">
        <f>N61-1242.906</f>
        <v>-7.0920000000000982</v>
      </c>
      <c r="O169" s="1565">
        <f>O61-1444.377</f>
        <v>2.1000000000185537E-2</v>
      </c>
      <c r="P169" s="225"/>
      <c r="Q169" s="225"/>
      <c r="R169" s="225"/>
      <c r="S169" s="225"/>
      <c r="T169" s="225"/>
      <c r="U169" s="225"/>
      <c r="V169" s="225"/>
      <c r="W169" s="225"/>
      <c r="X169" s="731"/>
      <c r="Y169" s="731"/>
      <c r="Z169" s="731"/>
      <c r="AA169" s="731"/>
      <c r="AB169" s="731"/>
      <c r="AC169" s="1181"/>
      <c r="AD169" s="1181"/>
      <c r="AE169" s="1181"/>
      <c r="AF169" s="1181"/>
    </row>
    <row r="170" spans="1:32" ht="12.75" hidden="1" customHeight="1" outlineLevel="1">
      <c r="A170" s="1557" t="s">
        <v>564</v>
      </c>
      <c r="B170" s="1565"/>
      <c r="C170" s="1565"/>
      <c r="D170" s="1565">
        <f>D80-85.768</f>
        <v>86.73399999999998</v>
      </c>
      <c r="E170" s="1565">
        <f>E80-(64.525)</f>
        <v>134.24099999999984</v>
      </c>
      <c r="F170" s="1565">
        <f>F80-(-48.794)</f>
        <v>7.1054273576010019E-14</v>
      </c>
      <c r="G170" s="1565">
        <f>G80-(-71.865)</f>
        <v>0</v>
      </c>
      <c r="H170" s="1565">
        <f>H80-103.679</f>
        <v>-5.6070000000001698</v>
      </c>
      <c r="I170" s="1565">
        <f>I80-142.288</f>
        <v>2.9999999998437943E-3</v>
      </c>
      <c r="J170" s="1565">
        <f>J80-126.611</f>
        <v>1.5631940186722204E-13</v>
      </c>
      <c r="K170" s="1565">
        <f>K80-72.95</f>
        <v>-1.9895196601282805E-13</v>
      </c>
      <c r="L170" s="1565">
        <f>L80-135.001</f>
        <v>1.0000000000331966E-3</v>
      </c>
      <c r="M170" s="1565">
        <f>M80-286.058</f>
        <v>31.179999999999666</v>
      </c>
      <c r="N170" s="1565">
        <f>N80-194.331</f>
        <v>5.1029999999999802</v>
      </c>
      <c r="O170" s="1565">
        <f>O80-283.867</f>
        <v>2.100000000007185E-2</v>
      </c>
      <c r="P170" s="225"/>
      <c r="Q170" s="225"/>
      <c r="R170" s="225"/>
      <c r="S170" s="225"/>
      <c r="T170" s="225"/>
      <c r="U170" s="225"/>
      <c r="V170" s="225"/>
      <c r="W170" s="225"/>
      <c r="X170" s="731"/>
      <c r="Y170" s="731"/>
      <c r="Z170" s="731"/>
      <c r="AA170" s="731"/>
      <c r="AB170" s="731"/>
      <c r="AC170" s="1181"/>
      <c r="AD170" s="1181"/>
      <c r="AE170" s="1181"/>
      <c r="AF170" s="1181"/>
    </row>
    <row r="171" spans="1:32" ht="12.75" hidden="1" customHeight="1" outlineLevel="1">
      <c r="A171" s="1557" t="s">
        <v>565</v>
      </c>
      <c r="B171" s="1565"/>
      <c r="C171" s="1565"/>
      <c r="D171" s="1565">
        <f>D103-1646.056</f>
        <v>0</v>
      </c>
      <c r="E171" s="1565">
        <f>E103-2642.926</f>
        <v>0</v>
      </c>
      <c r="F171" s="1565">
        <f>F103-2916.623</f>
        <v>0</v>
      </c>
      <c r="G171" s="1565">
        <f>G103-3394.692</f>
        <v>0</v>
      </c>
      <c r="H171" s="1565">
        <f>H103-4187.443</f>
        <v>0</v>
      </c>
      <c r="I171" s="1565">
        <f>I103-3941.658</f>
        <v>0</v>
      </c>
      <c r="J171" s="1565">
        <f>J103-4787.167</f>
        <v>0</v>
      </c>
      <c r="K171" s="1565">
        <f>K103-5633.11</f>
        <v>-9.0000000000145519E-3</v>
      </c>
      <c r="L171" s="1565">
        <f>L103-5825.951</f>
        <v>0</v>
      </c>
      <c r="M171" s="1565">
        <f>M103-7619.032</f>
        <v>0</v>
      </c>
      <c r="N171" s="1565">
        <f>N103-7758.269</f>
        <v>-2.6790000000000873</v>
      </c>
      <c r="O171" s="1565">
        <f>O103-8691.525</f>
        <v>0</v>
      </c>
      <c r="P171" s="226"/>
      <c r="Q171" s="226"/>
      <c r="R171" s="226"/>
      <c r="S171" s="226"/>
      <c r="T171" s="226"/>
      <c r="U171" s="226"/>
      <c r="V171" s="226"/>
      <c r="W171" s="226"/>
      <c r="X171" s="731"/>
      <c r="Y171" s="731"/>
      <c r="Z171" s="731"/>
      <c r="AA171" s="731"/>
      <c r="AB171" s="731"/>
      <c r="AC171" s="1181"/>
      <c r="AD171" s="1181"/>
      <c r="AE171" s="1181"/>
      <c r="AF171" s="1181"/>
    </row>
    <row r="172" spans="1:32" ht="12.75" hidden="1" customHeight="1" outlineLevel="1">
      <c r="A172" s="1557" t="s">
        <v>566</v>
      </c>
      <c r="B172" s="1565"/>
      <c r="C172" s="1565"/>
      <c r="D172" s="1565"/>
      <c r="E172" s="1565">
        <f>E89-0</f>
        <v>0.17699000000000001</v>
      </c>
      <c r="F172" s="1565">
        <f>F89-0</f>
        <v>0</v>
      </c>
      <c r="G172" s="1565">
        <f>G89-0</f>
        <v>0</v>
      </c>
      <c r="H172" s="1565">
        <f>H89-0</f>
        <v>0.27410000000000001</v>
      </c>
      <c r="I172" s="1565">
        <f>I89-0.2741</f>
        <v>-6.2000000000000388E-3</v>
      </c>
      <c r="J172" s="1565">
        <f>J89-0.321343</f>
        <v>0</v>
      </c>
      <c r="K172" s="1565">
        <f>K89-0.267302</f>
        <v>0</v>
      </c>
      <c r="L172" s="1565">
        <f>L89-(0.2854+0.0741)</f>
        <v>0</v>
      </c>
      <c r="M172" s="1565">
        <f>M89-(0.67939)</f>
        <v>-0.47821443516626694</v>
      </c>
      <c r="N172" s="1565">
        <f>N89-(0.46154+0.0701)</f>
        <v>-0.37478072605391116</v>
      </c>
      <c r="O172" s="1565">
        <f>O89-0.207</f>
        <v>0</v>
      </c>
      <c r="P172" s="226"/>
      <c r="Q172" s="226"/>
      <c r="R172" s="226"/>
      <c r="S172" s="226"/>
      <c r="T172" s="226"/>
      <c r="U172" s="226"/>
      <c r="V172" s="226"/>
      <c r="W172" s="226"/>
      <c r="X172" s="731"/>
      <c r="Y172" s="731"/>
      <c r="Z172" s="731"/>
      <c r="AA172" s="731"/>
      <c r="AB172" s="731"/>
      <c r="AC172" s="1181"/>
      <c r="AD172" s="1181"/>
      <c r="AE172" s="1181"/>
      <c r="AF172" s="1181"/>
    </row>
    <row r="173" spans="1:32" ht="12.75" hidden="1" customHeight="1" outlineLevel="1">
      <c r="A173" s="1558" t="s">
        <v>1149</v>
      </c>
      <c r="B173" s="1566"/>
      <c r="C173" s="1566"/>
      <c r="D173" s="1566"/>
      <c r="E173" s="1566"/>
      <c r="F173" s="1566"/>
      <c r="G173" s="1566">
        <f>G84-112.861*3</f>
        <v>0</v>
      </c>
      <c r="H173" s="1566">
        <f>H84-112.861*3</f>
        <v>0</v>
      </c>
      <c r="I173" s="1566">
        <f>I84-112.861*3</f>
        <v>0</v>
      </c>
      <c r="J173" s="1566">
        <f>J84-112.721*3</f>
        <v>0</v>
      </c>
      <c r="K173" s="1566">
        <f>K84-112.217*3</f>
        <v>0</v>
      </c>
      <c r="L173" s="1566">
        <f>L84-112.243*3</f>
        <v>0</v>
      </c>
      <c r="M173" s="1566">
        <f>M84-112.57*3</f>
        <v>0</v>
      </c>
      <c r="N173" s="1566">
        <f>N84-338.928</f>
        <v>0</v>
      </c>
      <c r="O173" s="1566">
        <f>O84-337.32</f>
        <v>2.6676209999999969</v>
      </c>
      <c r="P173" s="227"/>
      <c r="Q173" s="227"/>
      <c r="R173" s="227"/>
      <c r="S173" s="227"/>
      <c r="T173" s="227"/>
      <c r="U173" s="227"/>
      <c r="V173" s="227"/>
      <c r="W173" s="227"/>
      <c r="X173" s="731"/>
      <c r="Y173" s="731"/>
      <c r="Z173" s="731"/>
      <c r="AA173" s="731"/>
      <c r="AB173" s="731"/>
      <c r="AC173" s="1181"/>
      <c r="AD173" s="1181"/>
      <c r="AE173" s="1181"/>
      <c r="AF173" s="1181"/>
    </row>
    <row r="174" spans="1:32" ht="12.75" hidden="1" customHeight="1" outlineLevel="1">
      <c r="A174" s="1558" t="s">
        <v>394</v>
      </c>
      <c r="B174" s="1858">
        <f>+B36-'Annual historicals'!E48</f>
        <v>0</v>
      </c>
      <c r="C174" s="1414">
        <f>+C36-'Annual historicals'!F48</f>
        <v>0</v>
      </c>
      <c r="D174" s="1414">
        <f>+D36-'Annual historicals'!G48</f>
        <v>0</v>
      </c>
      <c r="E174" s="1414">
        <f>+E36-'Annual historicals'!H48</f>
        <v>9.9999999997635314E-4</v>
      </c>
      <c r="F174" s="1414">
        <f>+F36-'Annual historicals'!I48</f>
        <v>1.00000000009004E-3</v>
      </c>
      <c r="G174" s="1414">
        <f>+G36-'Annual historicals'!J48</f>
        <v>0</v>
      </c>
      <c r="H174" s="1414">
        <f>+H36-'Annual historicals'!K48</f>
        <v>-9.9999999997635314E-4</v>
      </c>
      <c r="I174" s="1414">
        <f>+I36-'Annual historicals'!L48</f>
        <v>-1.7000000000052751E-2</v>
      </c>
      <c r="J174" s="1414">
        <f>+J36-'Annual historicals'!M48</f>
        <v>0</v>
      </c>
      <c r="K174" s="1414">
        <f>+K36-'Annual historicals'!N48</f>
        <v>9.9999999997635314E-4</v>
      </c>
      <c r="L174" s="1414">
        <f>+L36-'Annual historicals'!O48</f>
        <v>0.5180000000000291</v>
      </c>
      <c r="M174" s="1414">
        <f>+M36-'Annual historicals'!P48</f>
        <v>31.17699999999968</v>
      </c>
      <c r="N174" s="1414">
        <f>+N36-'Annual historicals'!Q48</f>
        <v>0</v>
      </c>
      <c r="O174" s="1414">
        <f>+O36-'Annual historicals'!R48</f>
        <v>0</v>
      </c>
      <c r="P174" s="227"/>
      <c r="Q174" s="227"/>
      <c r="R174" s="227"/>
      <c r="S174" s="227"/>
      <c r="T174" s="227"/>
      <c r="U174" s="227"/>
      <c r="V174" s="227"/>
      <c r="W174" s="227"/>
      <c r="X174" s="1181"/>
      <c r="Y174" s="1181"/>
      <c r="Z174" s="1181"/>
      <c r="AA174" s="1181"/>
      <c r="AB174" s="1181"/>
      <c r="AC174" s="1181"/>
      <c r="AD174" s="1181"/>
      <c r="AE174" s="1181"/>
      <c r="AF174" s="1181"/>
    </row>
    <row r="175" spans="1:32" ht="12.75" hidden="1" customHeight="1" outlineLevel="1">
      <c r="A175" s="1558" t="s">
        <v>766</v>
      </c>
      <c r="B175" s="1181"/>
      <c r="C175" s="1181"/>
      <c r="D175" s="1181"/>
      <c r="E175" s="1572">
        <f>E80-SUM(Q_Financials!B37:E37)</f>
        <v>134.23999999999987</v>
      </c>
      <c r="F175" s="1572">
        <f>F80-SUM(Q_Financials!F37:I37)</f>
        <v>0</v>
      </c>
      <c r="G175" s="1572">
        <f>G80-SUM(Q_Financials!J37:M37)</f>
        <v>0</v>
      </c>
      <c r="H175" s="1572">
        <f>H80-SUM(Q_Financials!N37:Q37)</f>
        <v>-1.4210854715202004E-13</v>
      </c>
      <c r="I175" s="1572">
        <f>I80-SUM(Q_Financials!R37:U37)</f>
        <v>0</v>
      </c>
      <c r="J175" s="1572">
        <f>J80-SUM(Q_Financials!V37:Y37)</f>
        <v>1.5631940186722204E-13</v>
      </c>
      <c r="K175" s="1572">
        <f>K80-SUM(Q_Financials!Z37:AC37)</f>
        <v>-1.8474111129762605E-13</v>
      </c>
      <c r="L175" s="1572">
        <f>L80-SUM(Q_Financials!AD37:AG37)</f>
        <v>0</v>
      </c>
      <c r="M175" s="1572">
        <f>M80-SUM(Q_Financials!AH37:AK37)</f>
        <v>31.179999999999552</v>
      </c>
      <c r="N175" s="1572">
        <f>N80-SUM(Q_Financials!AL37:AO37)</f>
        <v>-3.8999999999902002E-2</v>
      </c>
      <c r="O175" s="1572">
        <f>O80-SUM(Q_Financials!AP37:AS37)</f>
        <v>1.00000000009004E-3</v>
      </c>
      <c r="P175" s="2395">
        <f>P80-SUM(Q_Financials!AT37:AW37)</f>
        <v>0</v>
      </c>
      <c r="Q175" s="1414">
        <f>Q80-SUM(Q_Financials!AX37:BA37)</f>
        <v>-1.0231815394945443E-12</v>
      </c>
      <c r="R175" s="1414">
        <f>R80-SUM(Q_Financials!BB37:BE37)</f>
        <v>0</v>
      </c>
      <c r="S175" s="1414">
        <f>S80-SUM(Q_Financials!BF37:BI37)</f>
        <v>0</v>
      </c>
      <c r="T175" s="1414">
        <f>T80-SUM(Q_Financials!BJ37:BM37)</f>
        <v>0</v>
      </c>
      <c r="U175" s="1414">
        <f>U80-SUM(Q_Financials!BN37:BQ37)</f>
        <v>-9.0949470177292824E-13</v>
      </c>
      <c r="V175" s="1414">
        <f>V80-SUM(Q_Financials!BR37:BU37)</f>
        <v>0</v>
      </c>
      <c r="W175" s="1414">
        <f>W80-SUM(Q_Financials!BV37:BY37)</f>
        <v>0</v>
      </c>
      <c r="X175" s="731"/>
      <c r="Y175" s="731"/>
      <c r="Z175" s="731"/>
      <c r="AA175" s="731"/>
      <c r="AB175" s="731"/>
      <c r="AC175" s="1181"/>
      <c r="AD175" s="1181"/>
      <c r="AE175" s="1181"/>
      <c r="AF175" s="1181"/>
    </row>
    <row r="176" spans="1:32" ht="12.75" hidden="1" customHeight="1" outlineLevel="1">
      <c r="A176" s="1558" t="s">
        <v>295</v>
      </c>
      <c r="B176" s="1181"/>
      <c r="C176" s="1181"/>
      <c r="D176" s="1414">
        <f t="shared" ref="D176:W176" si="148">SUM(D37:D40)-D36</f>
        <v>0</v>
      </c>
      <c r="E176" s="1414">
        <f t="shared" si="148"/>
        <v>-9.9999999997635314E-4</v>
      </c>
      <c r="F176" s="1414">
        <f t="shared" si="148"/>
        <v>-1.00000000009004E-3</v>
      </c>
      <c r="G176" s="1414">
        <f t="shared" si="148"/>
        <v>0</v>
      </c>
      <c r="H176" s="1414">
        <f t="shared" si="148"/>
        <v>9.9999999997635314E-4</v>
      </c>
      <c r="I176" s="1414">
        <f t="shared" si="148"/>
        <v>1.7000000000052751E-2</v>
      </c>
      <c r="J176" s="1414">
        <f t="shared" si="148"/>
        <v>0</v>
      </c>
      <c r="K176" s="1414">
        <f t="shared" si="148"/>
        <v>-9.9999999997635314E-4</v>
      </c>
      <c r="L176" s="1414">
        <f t="shared" si="148"/>
        <v>-0.5180000000000291</v>
      </c>
      <c r="M176" s="1414">
        <f t="shared" si="148"/>
        <v>0</v>
      </c>
      <c r="N176" s="1414">
        <f t="shared" si="148"/>
        <v>0</v>
      </c>
      <c r="O176" s="1414">
        <f t="shared" si="148"/>
        <v>0</v>
      </c>
      <c r="P176" s="1414">
        <f t="shared" si="148"/>
        <v>0</v>
      </c>
      <c r="Q176" s="1414">
        <f t="shared" si="148"/>
        <v>0</v>
      </c>
      <c r="R176" s="1414">
        <f t="shared" si="148"/>
        <v>0</v>
      </c>
      <c r="S176" s="1414">
        <f t="shared" si="148"/>
        <v>0</v>
      </c>
      <c r="T176" s="1414">
        <f t="shared" si="148"/>
        <v>0</v>
      </c>
      <c r="U176" s="1414">
        <f t="shared" si="148"/>
        <v>0</v>
      </c>
      <c r="V176" s="1414">
        <f t="shared" si="148"/>
        <v>0</v>
      </c>
      <c r="W176" s="1414">
        <f t="shared" si="148"/>
        <v>0</v>
      </c>
      <c r="X176" s="1181"/>
      <c r="Y176" s="1181"/>
      <c r="Z176" s="1181"/>
      <c r="AA176" s="1181"/>
      <c r="AB176" s="1181"/>
      <c r="AC176" s="1181"/>
      <c r="AD176" s="1181"/>
      <c r="AE176" s="1181"/>
      <c r="AF176" s="1181"/>
    </row>
    <row r="177" spans="1:32" s="994" customFormat="1" ht="12.75" hidden="1" customHeight="1" outlineLevel="1">
      <c r="A177" s="1558" t="s">
        <v>680</v>
      </c>
      <c r="B177" s="1414"/>
      <c r="C177" s="1414"/>
      <c r="D177" s="1414">
        <f>Q_IS!B177-D55</f>
        <v>0</v>
      </c>
      <c r="E177" s="1414">
        <f>Q_IS!C177-E55</f>
        <v>0</v>
      </c>
      <c r="F177" s="1414">
        <f>Q_IS!D177-F55</f>
        <v>0</v>
      </c>
      <c r="G177" s="1414">
        <f>Q_IS!E177-G55</f>
        <v>0</v>
      </c>
      <c r="H177" s="1414">
        <f>Q_IS!F177-H55</f>
        <v>0</v>
      </c>
      <c r="I177" s="1414">
        <f>Q_IS!G177-I55</f>
        <v>2.9999999999290594E-3</v>
      </c>
      <c r="J177" s="1414">
        <f>Q_IS!H177-J55</f>
        <v>4.0960000000000036</v>
      </c>
      <c r="K177" s="1414">
        <f>Q_IS!I177-K55</f>
        <v>-1.7189999999998236</v>
      </c>
      <c r="L177" s="1414">
        <f>Q_IS!J177-L55</f>
        <v>0.36100000000021737</v>
      </c>
      <c r="M177" s="1414">
        <f>Q_IS!K177-M55</f>
        <v>6.7000000000007276E-2</v>
      </c>
      <c r="N177" s="1414">
        <f>Q_IS!L177-N55</f>
        <v>-0.97299999999995634</v>
      </c>
      <c r="O177" s="1414">
        <f>Q_IS!M177-O55</f>
        <v>-3.9999999999054126E-3</v>
      </c>
      <c r="P177" s="1414">
        <f>Q_IS!N177-P55</f>
        <v>0.69000000000005457</v>
      </c>
      <c r="Q177" s="1414">
        <f>Q_IS!O177-Q55</f>
        <v>0.69000000000028194</v>
      </c>
      <c r="R177" s="1414">
        <f>Q_IS!P177-R55</f>
        <v>0.6899999999998272</v>
      </c>
      <c r="S177" s="1414">
        <f>Q_IS!Q177-S55</f>
        <v>0.69000000000050932</v>
      </c>
      <c r="T177" s="1414">
        <f>Q_IS!R177-T55</f>
        <v>0.68999999999869033</v>
      </c>
      <c r="U177" s="1414">
        <f>Q_IS!S177-U55</f>
        <v>0.69000000000050932</v>
      </c>
      <c r="V177" s="1414">
        <f>Q_IS!T177-V55</f>
        <v>0.68999999999914507</v>
      </c>
      <c r="W177" s="1414">
        <f>Q_IS!U177-W55</f>
        <v>0.68999999999959982</v>
      </c>
      <c r="X177" s="1541"/>
      <c r="Y177" s="1541"/>
      <c r="Z177" s="1541"/>
      <c r="AA177" s="1541"/>
      <c r="AB177" s="1541"/>
      <c r="AC177" s="1541"/>
      <c r="AD177" s="1541"/>
      <c r="AE177" s="1541"/>
      <c r="AF177" s="1541"/>
    </row>
    <row r="178" spans="1:32" s="994" customFormat="1" ht="12.75" hidden="1" customHeight="1" outlineLevel="1">
      <c r="A178" s="1558" t="s">
        <v>80</v>
      </c>
      <c r="B178" s="1414"/>
      <c r="C178" s="1414"/>
      <c r="D178" s="1414"/>
      <c r="E178" s="1414"/>
      <c r="F178" s="1414"/>
      <c r="G178" s="1414"/>
      <c r="H178" s="1414"/>
      <c r="I178" s="1414"/>
      <c r="J178" s="1414"/>
      <c r="K178" s="1414">
        <f>K132-DCF!C23-K71</f>
        <v>25.909990505201009</v>
      </c>
      <c r="L178" s="1414">
        <f>L132-DCF!D23-L71</f>
        <v>48.292985014382523</v>
      </c>
      <c r="M178" s="1414">
        <f>M132-DCF!E23-M71</f>
        <v>-23.66904874489768</v>
      </c>
      <c r="N178" s="1414">
        <f>N132-DCF!F23-N71</f>
        <v>120.71891224666868</v>
      </c>
      <c r="O178" s="1414">
        <f>O132-DCF!G23-O71</f>
        <v>95.367819549209798</v>
      </c>
      <c r="P178" s="1414">
        <f>P132-DCF!H23-P71</f>
        <v>12.591784026316333</v>
      </c>
      <c r="Q178" s="1414">
        <f>Q132-DCF!I23-Q71</f>
        <v>19.812382893369886</v>
      </c>
      <c r="R178" s="1414">
        <f>R132-DCF!J23-R71</f>
        <v>16.548256991666861</v>
      </c>
      <c r="S178" s="1414">
        <f>S132-DCF!K23-S71</f>
        <v>20.066492603263981</v>
      </c>
      <c r="T178" s="1414">
        <f>T132-DCF!L23-T71</f>
        <v>20.437194396201221</v>
      </c>
      <c r="U178" s="1414">
        <f>U132-DCF!M23-U71</f>
        <v>21.016823793470422</v>
      </c>
      <c r="V178" s="1414">
        <f>V132-DCF!N23-V71</f>
        <v>27.467894786302963</v>
      </c>
      <c r="W178" s="1414">
        <f>W132-DCF!O23-W71</f>
        <v>45.457171710027751</v>
      </c>
      <c r="X178" s="1541"/>
      <c r="Y178" s="1541"/>
      <c r="Z178" s="1541"/>
      <c r="AA178" s="1541"/>
      <c r="AB178" s="1541"/>
      <c r="AC178" s="1541"/>
      <c r="AD178" s="1541"/>
      <c r="AE178" s="1541"/>
      <c r="AF178" s="1541"/>
    </row>
    <row r="179" spans="1:32" collapsed="1">
      <c r="A179" s="1120"/>
      <c r="B179" s="1181"/>
      <c r="C179" s="1181"/>
      <c r="D179" s="1181"/>
      <c r="E179" s="1181"/>
      <c r="F179" s="1181"/>
      <c r="G179" s="1181"/>
      <c r="H179" s="1181"/>
      <c r="I179" s="1181"/>
      <c r="J179" s="1181"/>
      <c r="K179" s="1181"/>
      <c r="L179" s="1181"/>
      <c r="M179" s="1181"/>
      <c r="N179" s="1181"/>
      <c r="O179" s="1181"/>
      <c r="P179" s="1181"/>
      <c r="Q179" s="1181"/>
      <c r="R179" s="1181"/>
      <c r="S179" s="1181"/>
      <c r="T179" s="1181"/>
      <c r="U179" s="1181"/>
      <c r="V179" s="1181"/>
      <c r="W179" s="1181"/>
      <c r="X179" s="1181"/>
      <c r="Y179" s="1181"/>
      <c r="Z179" s="1181"/>
      <c r="AA179" s="1181"/>
      <c r="AB179" s="1181"/>
      <c r="AC179" s="1181"/>
      <c r="AD179" s="1181"/>
      <c r="AE179" s="1181"/>
      <c r="AF179" s="1181"/>
    </row>
    <row r="180" spans="1:32">
      <c r="A180" s="1553" t="s">
        <v>556</v>
      </c>
      <c r="B180" s="1567"/>
      <c r="C180" s="1567"/>
      <c r="D180" s="1567"/>
      <c r="E180" s="1567"/>
      <c r="F180" s="1567"/>
      <c r="G180" s="1567"/>
      <c r="H180" s="1567"/>
      <c r="I180" s="1567"/>
      <c r="J180" s="1567"/>
      <c r="K180" s="1567"/>
      <c r="L180" s="1567"/>
      <c r="M180" s="1567"/>
      <c r="N180" s="1567"/>
      <c r="O180" s="1567"/>
      <c r="P180" s="1567"/>
      <c r="Q180" s="1573"/>
      <c r="R180" s="1567"/>
      <c r="S180" s="1567"/>
      <c r="T180" s="1567"/>
      <c r="U180" s="1567"/>
      <c r="V180" s="1567"/>
      <c r="W180" s="1574" t="s">
        <v>557</v>
      </c>
      <c r="X180" s="731"/>
      <c r="Y180" s="731"/>
      <c r="Z180" s="731"/>
      <c r="AA180" s="731"/>
      <c r="AB180" s="731"/>
      <c r="AC180" s="1181"/>
      <c r="AD180" s="1181"/>
      <c r="AE180" s="1181"/>
      <c r="AF180" s="1181"/>
    </row>
    <row r="181" spans="1:32">
      <c r="A181" s="1181"/>
      <c r="B181" s="1181"/>
      <c r="C181" s="1181"/>
      <c r="D181" s="1181"/>
      <c r="E181" s="1181"/>
      <c r="F181" s="1181"/>
      <c r="G181" s="1181"/>
      <c r="H181" s="1181"/>
      <c r="I181" s="1181"/>
      <c r="J181" s="1181"/>
      <c r="K181" s="1181"/>
      <c r="L181" s="1181"/>
      <c r="M181" s="1181"/>
      <c r="N181" s="1181"/>
      <c r="O181" s="1181"/>
      <c r="P181" s="1181"/>
      <c r="Q181" s="1181"/>
      <c r="R181" s="1181"/>
      <c r="S181" s="1181"/>
      <c r="T181" s="1181"/>
      <c r="U181" s="1181"/>
      <c r="V181" s="1181"/>
      <c r="W181" s="1181"/>
      <c r="X181" s="1181"/>
      <c r="Y181" s="1181"/>
      <c r="Z181" s="1181"/>
      <c r="AA181" s="1181"/>
      <c r="AB181" s="1181"/>
      <c r="AC181" s="1181"/>
      <c r="AD181" s="1181"/>
      <c r="AE181" s="1181"/>
      <c r="AF181" s="1181"/>
    </row>
    <row r="182" spans="1:32">
      <c r="A182" s="1181"/>
      <c r="B182" s="1181"/>
      <c r="C182" s="1181"/>
      <c r="D182" s="1181"/>
      <c r="E182" s="1181"/>
      <c r="F182" s="1181"/>
      <c r="G182" s="1181"/>
      <c r="H182" s="1181"/>
      <c r="I182" s="1181"/>
      <c r="J182" s="1181"/>
      <c r="K182" s="1181"/>
      <c r="L182" s="1181"/>
      <c r="M182" s="1181"/>
      <c r="N182" s="1181"/>
      <c r="O182" s="1181"/>
      <c r="P182" s="1181"/>
      <c r="Q182" s="1181"/>
      <c r="R182" s="1181"/>
      <c r="S182" s="1181"/>
      <c r="T182" s="1181"/>
      <c r="U182" s="1181"/>
      <c r="V182" s="1181"/>
      <c r="W182" s="1181"/>
      <c r="X182" s="1181"/>
      <c r="Y182" s="1181"/>
      <c r="Z182" s="1181"/>
      <c r="AA182" s="1181"/>
      <c r="AB182" s="1181"/>
      <c r="AC182" s="1181"/>
      <c r="AD182" s="1181"/>
      <c r="AE182" s="1181"/>
      <c r="AF182" s="1181"/>
    </row>
    <row r="183" spans="1:32">
      <c r="A183" s="1181"/>
      <c r="B183" s="1181"/>
      <c r="C183" s="1181"/>
      <c r="D183" s="1181"/>
      <c r="E183" s="1181"/>
      <c r="F183" s="1181"/>
      <c r="G183" s="1181"/>
      <c r="H183" s="1181"/>
      <c r="I183" s="1181"/>
      <c r="J183" s="1181"/>
      <c r="K183" s="1181"/>
      <c r="L183" s="1181"/>
      <c r="M183" s="1181"/>
      <c r="N183" s="1181"/>
      <c r="O183" s="1181"/>
      <c r="P183" s="1181"/>
      <c r="Q183" s="1181"/>
      <c r="R183" s="1181"/>
      <c r="S183" s="1181"/>
      <c r="T183" s="1181"/>
      <c r="U183" s="1181"/>
      <c r="V183" s="1181"/>
      <c r="W183" s="1181"/>
      <c r="X183" s="1181"/>
      <c r="Y183" s="1181"/>
      <c r="Z183" s="1181"/>
      <c r="AA183" s="1181"/>
      <c r="AB183" s="1181"/>
      <c r="AC183" s="1181"/>
      <c r="AD183" s="1181"/>
      <c r="AE183" s="1181"/>
      <c r="AF183" s="1181"/>
    </row>
    <row r="184" spans="1:32">
      <c r="A184" s="1181"/>
      <c r="B184" s="1181"/>
      <c r="C184" s="1181"/>
      <c r="D184" s="1181"/>
      <c r="E184" s="1181"/>
      <c r="F184" s="1181"/>
      <c r="G184" s="1181"/>
      <c r="H184" s="1181"/>
      <c r="I184" s="1181"/>
      <c r="J184" s="1181"/>
      <c r="K184" s="1181"/>
      <c r="L184" s="1181"/>
      <c r="M184" s="1181"/>
      <c r="N184" s="1181"/>
      <c r="O184" s="1181"/>
      <c r="P184" s="1181"/>
      <c r="Q184" s="1181"/>
      <c r="R184" s="1181"/>
      <c r="S184" s="1181"/>
      <c r="T184" s="1181"/>
      <c r="U184" s="1181"/>
      <c r="V184" s="1181"/>
      <c r="W184" s="1181"/>
      <c r="X184" s="1181"/>
      <c r="Y184" s="1181"/>
      <c r="Z184" s="1181"/>
      <c r="AA184" s="1181"/>
      <c r="AB184" s="1181"/>
      <c r="AC184" s="1181"/>
      <c r="AD184" s="1181"/>
      <c r="AE184" s="1181"/>
      <c r="AF184" s="1181"/>
    </row>
    <row r="185" spans="1:32">
      <c r="A185" s="1181"/>
      <c r="B185" s="1181"/>
      <c r="C185" s="1181"/>
      <c r="D185" s="1181"/>
      <c r="E185" s="1181"/>
      <c r="F185" s="1181"/>
      <c r="G185" s="1181"/>
      <c r="H185" s="1181"/>
      <c r="I185" s="1181"/>
      <c r="J185" s="1181"/>
      <c r="K185" s="1181"/>
      <c r="L185" s="1181"/>
      <c r="M185" s="1181"/>
      <c r="N185" s="1181"/>
      <c r="O185" s="1181"/>
      <c r="P185" s="1181"/>
      <c r="Q185" s="1181"/>
      <c r="R185" s="1181"/>
      <c r="S185" s="1181"/>
      <c r="T185" s="1181"/>
      <c r="U185" s="1181"/>
      <c r="V185" s="1181"/>
      <c r="W185" s="1181"/>
      <c r="X185" s="1181"/>
      <c r="Y185" s="1181"/>
      <c r="Z185" s="1181"/>
      <c r="AA185" s="1181"/>
      <c r="AB185" s="1181"/>
      <c r="AC185" s="1181"/>
      <c r="AD185" s="1181"/>
      <c r="AE185" s="1181"/>
      <c r="AF185" s="1181"/>
    </row>
    <row r="186" spans="1:32">
      <c r="A186" s="1181"/>
      <c r="B186" s="1181"/>
      <c r="C186" s="1181"/>
      <c r="D186" s="1181"/>
      <c r="E186" s="1181"/>
      <c r="F186" s="1181"/>
      <c r="G186" s="1181"/>
      <c r="H186" s="1181"/>
      <c r="I186" s="1181"/>
      <c r="J186" s="1181"/>
      <c r="K186" s="1181"/>
      <c r="L186" s="1181"/>
      <c r="M186" s="1181"/>
      <c r="N186" s="1181"/>
      <c r="O186" s="1181"/>
      <c r="P186" s="1181"/>
      <c r="Q186" s="1181"/>
      <c r="R186" s="1181"/>
      <c r="S186" s="1181"/>
      <c r="T186" s="1181"/>
      <c r="U186" s="1181"/>
      <c r="V186" s="1181"/>
      <c r="W186" s="1181"/>
      <c r="X186" s="1181"/>
      <c r="Y186" s="1181"/>
      <c r="Z186" s="1181"/>
      <c r="AA186" s="1181"/>
      <c r="AB186" s="1181"/>
      <c r="AC186" s="1181"/>
      <c r="AD186" s="1181"/>
      <c r="AE186" s="1181"/>
      <c r="AF186" s="1181"/>
    </row>
    <row r="187" spans="1:32">
      <c r="A187" s="1181"/>
      <c r="B187" s="1181"/>
      <c r="C187" s="1181"/>
      <c r="D187" s="1181"/>
      <c r="E187" s="1181"/>
      <c r="F187" s="1181"/>
      <c r="G187" s="1181"/>
      <c r="H187" s="1181"/>
      <c r="I187" s="1181"/>
      <c r="J187" s="1181"/>
      <c r="K187" s="1181"/>
      <c r="L187" s="1181"/>
      <c r="M187" s="1181"/>
      <c r="N187" s="1181"/>
      <c r="O187" s="1181"/>
      <c r="P187" s="1181"/>
      <c r="Q187" s="1181"/>
      <c r="R187" s="1181"/>
      <c r="S187" s="1181"/>
      <c r="T187" s="1181"/>
      <c r="U187" s="1181"/>
      <c r="V187" s="1181"/>
      <c r="W187" s="1181"/>
      <c r="X187" s="1181"/>
      <c r="Y187" s="1181"/>
      <c r="Z187" s="1181"/>
      <c r="AA187" s="1181"/>
      <c r="AB187" s="1181"/>
      <c r="AC187" s="1181"/>
      <c r="AD187" s="1181"/>
      <c r="AE187" s="1181"/>
      <c r="AF187" s="1181"/>
    </row>
    <row r="188" spans="1:32">
      <c r="A188" s="1181"/>
      <c r="B188" s="1181"/>
      <c r="C188" s="1181"/>
      <c r="D188" s="1181"/>
      <c r="E188" s="1181"/>
      <c r="F188" s="1181"/>
      <c r="G188" s="1181"/>
      <c r="H188" s="1181"/>
      <c r="I188" s="1181"/>
      <c r="J188" s="1181"/>
      <c r="K188" s="1181"/>
      <c r="L188" s="1181"/>
      <c r="M188" s="1181"/>
      <c r="N188" s="1181"/>
      <c r="O188" s="1181"/>
      <c r="P188" s="1181"/>
      <c r="Q188" s="1181"/>
      <c r="R188" s="1181"/>
      <c r="S188" s="1181"/>
      <c r="T188" s="1181"/>
      <c r="U188" s="1181"/>
      <c r="V188" s="1181"/>
      <c r="W188" s="1181"/>
      <c r="X188" s="1181"/>
      <c r="Y188" s="1181"/>
      <c r="Z188" s="1181"/>
      <c r="AA188" s="1181"/>
      <c r="AB188" s="1181"/>
      <c r="AC188" s="1181"/>
      <c r="AD188" s="1181"/>
      <c r="AE188" s="1181"/>
      <c r="AF188" s="1181"/>
    </row>
    <row r="189" spans="1:32">
      <c r="A189" s="1181"/>
      <c r="B189" s="1181"/>
      <c r="C189" s="1181"/>
      <c r="D189" s="1181"/>
      <c r="E189" s="1181"/>
      <c r="F189" s="1181"/>
      <c r="G189" s="1181"/>
      <c r="H189" s="1181"/>
      <c r="I189" s="1181"/>
      <c r="J189" s="1181"/>
      <c r="K189" s="1181"/>
      <c r="L189" s="1181"/>
      <c r="M189" s="1181"/>
      <c r="N189" s="1181"/>
      <c r="O189" s="1181"/>
      <c r="P189" s="1181"/>
      <c r="Q189" s="1181"/>
      <c r="R189" s="1181"/>
      <c r="S189" s="1181"/>
      <c r="T189" s="1181"/>
      <c r="U189" s="1181"/>
      <c r="V189" s="1181"/>
      <c r="W189" s="1181"/>
      <c r="X189" s="1181"/>
      <c r="Y189" s="1181"/>
      <c r="Z189" s="1181"/>
      <c r="AA189" s="1181"/>
      <c r="AB189" s="1181"/>
      <c r="AC189" s="1181"/>
      <c r="AD189" s="1181"/>
      <c r="AE189" s="1181"/>
      <c r="AF189" s="1181"/>
    </row>
    <row r="190" spans="1:32">
      <c r="A190" s="1181"/>
      <c r="B190" s="1181"/>
      <c r="C190" s="1181"/>
      <c r="D190" s="1181"/>
      <c r="E190" s="1181"/>
      <c r="F190" s="1181"/>
      <c r="G190" s="1181"/>
      <c r="H190" s="1181"/>
      <c r="I190" s="1181"/>
      <c r="J190" s="1181"/>
      <c r="K190" s="1181"/>
      <c r="L190" s="1181"/>
      <c r="M190" s="1181"/>
      <c r="N190" s="1181"/>
      <c r="O190" s="1181"/>
      <c r="P190" s="1181"/>
      <c r="Q190" s="1181"/>
      <c r="R190" s="1181"/>
      <c r="S190" s="1181"/>
      <c r="T190" s="1181"/>
      <c r="U190" s="1181"/>
      <c r="V190" s="1181"/>
      <c r="W190" s="1181"/>
      <c r="X190" s="1181"/>
      <c r="Y190" s="1181"/>
      <c r="Z190" s="1181"/>
      <c r="AA190" s="1181"/>
      <c r="AB190" s="1181"/>
      <c r="AC190" s="1181"/>
      <c r="AD190" s="1181"/>
      <c r="AE190" s="1181"/>
      <c r="AF190" s="1181"/>
    </row>
    <row r="191" spans="1:32">
      <c r="A191" s="1181"/>
      <c r="B191" s="1181"/>
      <c r="C191" s="1181"/>
      <c r="D191" s="1181"/>
      <c r="E191" s="1181"/>
      <c r="F191" s="1181"/>
      <c r="G191" s="1181"/>
      <c r="H191" s="1181"/>
      <c r="I191" s="1181"/>
      <c r="J191" s="1181"/>
      <c r="K191" s="1181"/>
      <c r="L191" s="1181"/>
      <c r="M191" s="1181"/>
      <c r="N191" s="1181"/>
      <c r="O191" s="1181"/>
      <c r="P191" s="1181"/>
      <c r="Q191" s="1181"/>
      <c r="R191" s="1181"/>
      <c r="S191" s="1181"/>
      <c r="T191" s="1181"/>
      <c r="U191" s="1181"/>
      <c r="V191" s="1181"/>
      <c r="W191" s="1181"/>
      <c r="X191" s="1181"/>
      <c r="Y191" s="1181"/>
      <c r="Z191" s="1181"/>
      <c r="AA191" s="1181"/>
      <c r="AB191" s="1181"/>
      <c r="AC191" s="1181"/>
      <c r="AD191" s="1181"/>
      <c r="AE191" s="1181"/>
      <c r="AF191" s="1181"/>
    </row>
    <row r="192" spans="1:32">
      <c r="A192" s="1181"/>
      <c r="B192" s="1181"/>
      <c r="C192" s="1181"/>
      <c r="D192" s="1181"/>
      <c r="E192" s="1181"/>
      <c r="F192" s="1181"/>
      <c r="G192" s="1181"/>
      <c r="H192" s="1181"/>
      <c r="I192" s="1181"/>
      <c r="J192" s="1181"/>
      <c r="K192" s="1181"/>
      <c r="L192" s="1181"/>
      <c r="M192" s="1181"/>
      <c r="N192" s="1181"/>
      <c r="O192" s="1181"/>
      <c r="P192" s="1181"/>
      <c r="Q192" s="1181"/>
      <c r="R192" s="1181"/>
      <c r="S192" s="1181"/>
      <c r="T192" s="1181"/>
      <c r="U192" s="1181"/>
      <c r="V192" s="1181"/>
      <c r="W192" s="1181"/>
      <c r="X192" s="1181"/>
      <c r="Y192" s="1181"/>
      <c r="Z192" s="1181"/>
      <c r="AA192" s="1181"/>
      <c r="AB192" s="1181"/>
      <c r="AC192" s="1181"/>
      <c r="AD192" s="1181"/>
      <c r="AE192" s="1181"/>
      <c r="AF192" s="1181"/>
    </row>
    <row r="193" spans="1:32">
      <c r="A193" s="1181"/>
      <c r="B193" s="1181"/>
      <c r="C193" s="1181"/>
      <c r="D193" s="1181"/>
      <c r="E193" s="1181"/>
      <c r="F193" s="1181"/>
      <c r="G193" s="1181"/>
      <c r="H193" s="1181"/>
      <c r="I193" s="1181"/>
      <c r="J193" s="1181"/>
      <c r="K193" s="1181"/>
      <c r="L193" s="1181"/>
      <c r="M193" s="1181"/>
      <c r="N193" s="1181"/>
      <c r="O193" s="1181"/>
      <c r="P193" s="1181"/>
      <c r="Q193" s="1181"/>
      <c r="R193" s="1181"/>
      <c r="S193" s="1181"/>
      <c r="T193" s="1181"/>
      <c r="U193" s="1181"/>
      <c r="V193" s="1181"/>
      <c r="W193" s="1181"/>
      <c r="X193" s="1181"/>
      <c r="Y193" s="1181"/>
      <c r="Z193" s="1181"/>
      <c r="AA193" s="1181"/>
      <c r="AB193" s="1181"/>
      <c r="AC193" s="1181"/>
      <c r="AD193" s="1181"/>
      <c r="AE193" s="1181"/>
      <c r="AF193" s="1181"/>
    </row>
    <row r="194" spans="1:32">
      <c r="A194" s="1181"/>
      <c r="B194" s="1181"/>
      <c r="C194" s="1181"/>
      <c r="D194" s="1181"/>
      <c r="E194" s="1181"/>
      <c r="F194" s="1181"/>
      <c r="G194" s="1181"/>
      <c r="H194" s="1181"/>
      <c r="I194" s="1181"/>
      <c r="J194" s="1181"/>
      <c r="K194" s="1181"/>
      <c r="L194" s="1181"/>
      <c r="M194" s="1181"/>
      <c r="N194" s="1181"/>
      <c r="O194" s="1181"/>
      <c r="P194" s="1181"/>
      <c r="Q194" s="1181"/>
      <c r="R194" s="1181"/>
      <c r="S194" s="1181"/>
      <c r="T194" s="1181"/>
      <c r="U194" s="1181"/>
      <c r="V194" s="1181"/>
      <c r="W194" s="1181"/>
      <c r="X194" s="1181"/>
      <c r="Y194" s="1181"/>
      <c r="Z194" s="1181"/>
      <c r="AA194" s="1181"/>
      <c r="AB194" s="1181"/>
      <c r="AC194" s="1181"/>
      <c r="AD194" s="1181"/>
      <c r="AE194" s="1181"/>
      <c r="AF194" s="1181"/>
    </row>
    <row r="195" spans="1:32">
      <c r="A195" s="1181"/>
      <c r="B195" s="1181"/>
      <c r="C195" s="1181"/>
      <c r="D195" s="1181"/>
      <c r="E195" s="1181"/>
      <c r="F195" s="1181"/>
      <c r="G195" s="1181"/>
      <c r="H195" s="1181"/>
      <c r="I195" s="1181"/>
      <c r="J195" s="1181"/>
      <c r="K195" s="1181"/>
      <c r="L195" s="1181"/>
      <c r="M195" s="1181"/>
      <c r="N195" s="1181"/>
      <c r="O195" s="1181"/>
      <c r="P195" s="1181"/>
      <c r="Q195" s="1181"/>
      <c r="R195" s="1181"/>
      <c r="S195" s="1181"/>
      <c r="T195" s="1181"/>
      <c r="U195" s="1181"/>
      <c r="V195" s="1181"/>
      <c r="W195" s="1181"/>
      <c r="X195" s="1181"/>
      <c r="Y195" s="1181"/>
      <c r="Z195" s="1181"/>
      <c r="AA195" s="1181"/>
      <c r="AB195" s="1181"/>
      <c r="AC195" s="1181"/>
      <c r="AD195" s="1181"/>
      <c r="AE195" s="1181"/>
      <c r="AF195" s="1181"/>
    </row>
    <row r="196" spans="1:32">
      <c r="A196" s="1181"/>
      <c r="B196" s="1181"/>
      <c r="C196" s="1181"/>
      <c r="D196" s="1181"/>
      <c r="E196" s="1181"/>
      <c r="F196" s="1181"/>
      <c r="G196" s="1181"/>
      <c r="H196" s="1181"/>
      <c r="I196" s="1181"/>
      <c r="J196" s="1181"/>
      <c r="K196" s="1181"/>
      <c r="L196" s="1181"/>
      <c r="M196" s="1181"/>
      <c r="N196" s="1181"/>
      <c r="O196" s="1181"/>
      <c r="P196" s="1181"/>
      <c r="Q196" s="1181"/>
      <c r="R196" s="1181"/>
      <c r="S196" s="1181"/>
      <c r="T196" s="1181"/>
      <c r="U196" s="1181"/>
      <c r="V196" s="1181"/>
      <c r="W196" s="1181"/>
      <c r="X196" s="1181"/>
      <c r="Y196" s="1181"/>
      <c r="Z196" s="1181"/>
      <c r="AA196" s="1181"/>
      <c r="AB196" s="1181"/>
      <c r="AC196" s="1181"/>
      <c r="AD196" s="1181"/>
      <c r="AE196" s="1181"/>
      <c r="AF196" s="1181"/>
    </row>
    <row r="197" spans="1:32">
      <c r="A197" s="1181"/>
      <c r="B197" s="1181"/>
      <c r="C197" s="1181"/>
      <c r="D197" s="1181"/>
      <c r="E197" s="1181"/>
      <c r="F197" s="1181"/>
      <c r="G197" s="1181"/>
      <c r="H197" s="1181"/>
      <c r="I197" s="1181"/>
      <c r="J197" s="1181"/>
      <c r="K197" s="1181"/>
      <c r="L197" s="1181"/>
      <c r="M197" s="1181"/>
      <c r="N197" s="1181"/>
      <c r="O197" s="1181"/>
      <c r="P197" s="1181"/>
      <c r="Q197" s="1181"/>
      <c r="R197" s="1181"/>
      <c r="S197" s="1181"/>
      <c r="T197" s="1181"/>
      <c r="U197" s="1181"/>
      <c r="V197" s="1181"/>
      <c r="W197" s="1181"/>
      <c r="X197" s="1181"/>
      <c r="Y197" s="1181"/>
      <c r="Z197" s="1181"/>
      <c r="AA197" s="1181"/>
      <c r="AB197" s="1181"/>
      <c r="AC197" s="1181"/>
      <c r="AD197" s="1181"/>
      <c r="AE197" s="1181"/>
      <c r="AF197" s="1181"/>
    </row>
    <row r="198" spans="1:32">
      <c r="A198" s="1181"/>
      <c r="B198" s="1181"/>
      <c r="C198" s="1181"/>
      <c r="D198" s="1181"/>
      <c r="E198" s="1181"/>
      <c r="F198" s="1181"/>
      <c r="G198" s="1181"/>
      <c r="H198" s="1181"/>
      <c r="I198" s="1181"/>
      <c r="J198" s="1181"/>
      <c r="K198" s="1181"/>
      <c r="L198" s="1181"/>
      <c r="M198" s="1181"/>
      <c r="N198" s="1181"/>
      <c r="O198" s="1181"/>
      <c r="P198" s="1181"/>
      <c r="Q198" s="1181"/>
      <c r="R198" s="1181"/>
      <c r="S198" s="1181"/>
      <c r="T198" s="1181"/>
      <c r="U198" s="1181"/>
      <c r="V198" s="1181"/>
      <c r="W198" s="1181"/>
      <c r="X198" s="1181"/>
      <c r="Y198" s="1181"/>
      <c r="Z198" s="1181"/>
      <c r="AA198" s="1181"/>
      <c r="AB198" s="1181"/>
      <c r="AC198" s="1181"/>
      <c r="AD198" s="1181"/>
      <c r="AE198" s="1181"/>
      <c r="AF198" s="1181"/>
    </row>
    <row r="199" spans="1:32">
      <c r="A199" s="1181"/>
      <c r="B199" s="1181"/>
      <c r="C199" s="1181"/>
      <c r="D199" s="1181"/>
      <c r="E199" s="1181"/>
      <c r="F199" s="1181"/>
      <c r="G199" s="1181"/>
      <c r="H199" s="1181"/>
      <c r="I199" s="1181"/>
      <c r="J199" s="1181"/>
      <c r="K199" s="1181"/>
      <c r="L199" s="1181"/>
      <c r="M199" s="1181"/>
      <c r="N199" s="1181"/>
      <c r="O199" s="1181"/>
      <c r="P199" s="1181"/>
      <c r="Q199" s="1181"/>
      <c r="R199" s="1181"/>
      <c r="S199" s="1181"/>
      <c r="T199" s="1181"/>
      <c r="U199" s="1181"/>
      <c r="V199" s="1181"/>
      <c r="W199" s="1181"/>
      <c r="X199" s="1181"/>
      <c r="Y199" s="1181"/>
      <c r="Z199" s="1181"/>
      <c r="AA199" s="1181"/>
      <c r="AB199" s="1181"/>
      <c r="AC199" s="1181"/>
      <c r="AD199" s="1181"/>
      <c r="AE199" s="1181"/>
      <c r="AF199" s="1181"/>
    </row>
    <row r="200" spans="1:32">
      <c r="A200" s="1181"/>
      <c r="B200" s="1181"/>
      <c r="C200" s="1181"/>
      <c r="D200" s="1181"/>
      <c r="E200" s="1181"/>
      <c r="F200" s="1181"/>
      <c r="G200" s="1181"/>
      <c r="H200" s="1181"/>
      <c r="I200" s="1181"/>
      <c r="J200" s="1181"/>
      <c r="K200" s="1181"/>
      <c r="L200" s="1181"/>
      <c r="M200" s="1181"/>
      <c r="N200" s="1181"/>
      <c r="O200" s="1181"/>
      <c r="P200" s="1181"/>
      <c r="Q200" s="1181"/>
      <c r="R200" s="1181"/>
      <c r="S200" s="1181"/>
      <c r="T200" s="1181"/>
      <c r="U200" s="1181"/>
      <c r="V200" s="1181"/>
      <c r="W200" s="1181"/>
      <c r="X200" s="1181"/>
      <c r="Y200" s="1181"/>
      <c r="Z200" s="1181"/>
      <c r="AA200" s="1181"/>
      <c r="AB200" s="1181"/>
      <c r="AC200" s="1181"/>
      <c r="AD200" s="1181"/>
      <c r="AE200" s="1181"/>
      <c r="AF200" s="1181"/>
    </row>
    <row r="201" spans="1:32">
      <c r="A201" s="1181"/>
      <c r="B201" s="1181"/>
      <c r="C201" s="1181"/>
      <c r="D201" s="1181"/>
      <c r="E201" s="1181"/>
      <c r="F201" s="1181"/>
      <c r="G201" s="1181"/>
      <c r="H201" s="1181"/>
      <c r="I201" s="1181"/>
      <c r="J201" s="1181"/>
      <c r="K201" s="1181"/>
      <c r="L201" s="1181"/>
      <c r="M201" s="1181"/>
      <c r="N201" s="1181"/>
      <c r="O201" s="1181"/>
      <c r="P201" s="1181"/>
      <c r="Q201" s="1181"/>
      <c r="R201" s="1181"/>
      <c r="S201" s="1181"/>
      <c r="T201" s="1181"/>
      <c r="U201" s="1181"/>
      <c r="V201" s="1181"/>
      <c r="W201" s="1181"/>
      <c r="X201" s="1181"/>
      <c r="Y201" s="1181"/>
      <c r="Z201" s="1181"/>
      <c r="AA201" s="1181"/>
      <c r="AB201" s="1181"/>
      <c r="AC201" s="1181"/>
      <c r="AD201" s="1181"/>
      <c r="AE201" s="1181"/>
      <c r="AF201" s="1181"/>
    </row>
    <row r="202" spans="1:32">
      <c r="A202" s="1181"/>
      <c r="B202" s="1181"/>
      <c r="C202" s="1181"/>
      <c r="D202" s="1181"/>
      <c r="E202" s="1181"/>
      <c r="F202" s="1181"/>
      <c r="G202" s="1181"/>
      <c r="H202" s="1181"/>
      <c r="I202" s="1181"/>
      <c r="J202" s="1181"/>
      <c r="K202" s="1181"/>
      <c r="L202" s="1181"/>
      <c r="M202" s="1181"/>
      <c r="N202" s="1181"/>
      <c r="O202" s="1181"/>
      <c r="P202" s="1181"/>
      <c r="Q202" s="1181"/>
      <c r="R202" s="1181"/>
      <c r="S202" s="1181"/>
      <c r="T202" s="1181"/>
      <c r="U202" s="1181"/>
      <c r="V202" s="1181"/>
      <c r="W202" s="1181"/>
      <c r="X202" s="1181"/>
      <c r="Y202" s="1181"/>
      <c r="Z202" s="1181"/>
      <c r="AA202" s="1181"/>
      <c r="AB202" s="1181"/>
      <c r="AC202" s="1181"/>
      <c r="AD202" s="1181"/>
      <c r="AE202" s="1181"/>
      <c r="AF202" s="1181"/>
    </row>
    <row r="203" spans="1:32">
      <c r="A203" s="1181"/>
      <c r="B203" s="1181"/>
      <c r="C203" s="1181"/>
      <c r="D203" s="1181"/>
      <c r="E203" s="1181"/>
      <c r="F203" s="1181"/>
      <c r="G203" s="1181"/>
      <c r="H203" s="1181"/>
      <c r="I203" s="1181"/>
      <c r="J203" s="1181"/>
      <c r="K203" s="1181"/>
      <c r="L203" s="1181"/>
      <c r="M203" s="1181"/>
      <c r="N203" s="1181"/>
      <c r="O203" s="1181"/>
      <c r="P203" s="1181"/>
      <c r="Q203" s="1181"/>
      <c r="R203" s="1181"/>
      <c r="S203" s="1181"/>
      <c r="T203" s="1181"/>
      <c r="U203" s="1181"/>
      <c r="V203" s="1181"/>
      <c r="W203" s="1181"/>
      <c r="X203" s="1181"/>
      <c r="Y203" s="1181"/>
      <c r="Z203" s="1181"/>
      <c r="AA203" s="1181"/>
      <c r="AB203" s="1181"/>
      <c r="AC203" s="1181"/>
      <c r="AD203" s="1181"/>
      <c r="AE203" s="1181"/>
      <c r="AF203" s="1181"/>
    </row>
    <row r="204" spans="1:32">
      <c r="A204" s="1181"/>
      <c r="B204" s="1181"/>
      <c r="C204" s="1181"/>
      <c r="D204" s="1181"/>
      <c r="E204" s="1181"/>
      <c r="F204" s="1181"/>
      <c r="G204" s="1181"/>
      <c r="H204" s="1181"/>
      <c r="I204" s="1181"/>
      <c r="J204" s="1181"/>
      <c r="K204" s="1181"/>
      <c r="L204" s="1181"/>
      <c r="M204" s="1181"/>
      <c r="N204" s="1181"/>
      <c r="O204" s="1181"/>
      <c r="P204" s="1181"/>
      <c r="Q204" s="1181"/>
      <c r="R204" s="1181"/>
      <c r="S204" s="1181"/>
      <c r="T204" s="1181"/>
      <c r="U204" s="1181"/>
      <c r="V204" s="1181"/>
      <c r="W204" s="1181"/>
      <c r="X204" s="1181"/>
      <c r="Y204" s="1181"/>
      <c r="Z204" s="1181"/>
      <c r="AA204" s="1181"/>
      <c r="AB204" s="1181"/>
      <c r="AC204" s="1181"/>
      <c r="AD204" s="1181"/>
      <c r="AE204" s="1181"/>
      <c r="AF204" s="1181"/>
    </row>
    <row r="205" spans="1:32">
      <c r="A205" s="1181"/>
      <c r="B205" s="1181"/>
      <c r="C205" s="1181"/>
      <c r="D205" s="1181"/>
      <c r="E205" s="1181"/>
      <c r="F205" s="1181"/>
      <c r="G205" s="1181"/>
      <c r="H205" s="1181"/>
      <c r="I205" s="1181"/>
      <c r="J205" s="1181"/>
      <c r="K205" s="1181"/>
      <c r="L205" s="1181"/>
      <c r="M205" s="1181"/>
      <c r="N205" s="1181"/>
      <c r="O205" s="1181"/>
      <c r="P205" s="1181"/>
      <c r="Q205" s="1181"/>
      <c r="R205" s="1181"/>
      <c r="S205" s="1181"/>
      <c r="T205" s="1181"/>
      <c r="U205" s="1181"/>
      <c r="V205" s="1181"/>
      <c r="W205" s="1181"/>
      <c r="X205" s="1181"/>
      <c r="Y205" s="1181"/>
      <c r="Z205" s="1181"/>
      <c r="AA205" s="1181"/>
      <c r="AB205" s="1181"/>
      <c r="AC205" s="1181"/>
      <c r="AD205" s="1181"/>
      <c r="AE205" s="1181"/>
      <c r="AF205" s="1181"/>
    </row>
    <row r="206" spans="1:32">
      <c r="A206" s="1181"/>
      <c r="B206" s="1181"/>
      <c r="C206" s="1181"/>
      <c r="D206" s="1181"/>
      <c r="E206" s="1181"/>
      <c r="F206" s="1181"/>
      <c r="G206" s="1181"/>
      <c r="H206" s="1181"/>
      <c r="I206" s="1181"/>
      <c r="J206" s="1181"/>
      <c r="K206" s="1181"/>
      <c r="L206" s="1181"/>
      <c r="M206" s="1181"/>
      <c r="N206" s="1181"/>
      <c r="O206" s="1181"/>
      <c r="P206" s="1181"/>
      <c r="Q206" s="1181"/>
      <c r="R206" s="1181"/>
      <c r="S206" s="1181"/>
      <c r="T206" s="1181"/>
      <c r="U206" s="1181"/>
      <c r="V206" s="1181"/>
      <c r="W206" s="1181"/>
      <c r="X206" s="1181"/>
      <c r="Y206" s="1181"/>
      <c r="Z206" s="1181"/>
      <c r="AA206" s="1181"/>
      <c r="AB206" s="1181"/>
      <c r="AC206" s="1181"/>
      <c r="AD206" s="1181"/>
      <c r="AE206" s="1181"/>
      <c r="AF206" s="1181"/>
    </row>
    <row r="207" spans="1:32">
      <c r="A207" s="1181"/>
      <c r="B207" s="1181"/>
      <c r="C207" s="1181"/>
      <c r="D207" s="1181"/>
      <c r="E207" s="1181"/>
      <c r="F207" s="1181"/>
      <c r="G207" s="1181"/>
      <c r="H207" s="1181"/>
      <c r="I207" s="1181"/>
      <c r="J207" s="1181"/>
      <c r="K207" s="1181"/>
      <c r="L207" s="1181"/>
      <c r="M207" s="1181"/>
      <c r="N207" s="1181"/>
      <c r="O207" s="1181"/>
      <c r="P207" s="1181"/>
      <c r="Q207" s="1181"/>
      <c r="R207" s="1181"/>
      <c r="S207" s="1181"/>
      <c r="T207" s="1181"/>
      <c r="U207" s="1181"/>
      <c r="V207" s="1181"/>
      <c r="W207" s="1181"/>
      <c r="X207" s="1181"/>
      <c r="Y207" s="1181"/>
      <c r="Z207" s="1181"/>
      <c r="AA207" s="1181"/>
      <c r="AB207" s="1181"/>
      <c r="AC207" s="1181"/>
      <c r="AD207" s="1181"/>
      <c r="AE207" s="1181"/>
      <c r="AF207" s="1181"/>
    </row>
    <row r="208" spans="1:32">
      <c r="A208" s="1181"/>
      <c r="B208" s="1181"/>
      <c r="C208" s="1181"/>
      <c r="D208" s="1181"/>
      <c r="E208" s="1181"/>
      <c r="F208" s="1181"/>
      <c r="G208" s="1181"/>
      <c r="H208" s="1181"/>
      <c r="I208" s="1181"/>
      <c r="J208" s="1181"/>
      <c r="K208" s="1181"/>
      <c r="L208" s="1181"/>
      <c r="M208" s="1181"/>
      <c r="N208" s="1181"/>
      <c r="O208" s="1181"/>
      <c r="P208" s="1181"/>
      <c r="Q208" s="1181"/>
      <c r="R208" s="1181"/>
      <c r="S208" s="1181"/>
      <c r="T208" s="1181"/>
      <c r="U208" s="1181"/>
      <c r="V208" s="1181"/>
      <c r="W208" s="1181"/>
      <c r="X208" s="1181"/>
      <c r="Y208" s="1181"/>
      <c r="Z208" s="1181"/>
      <c r="AA208" s="1181"/>
      <c r="AB208" s="1181"/>
      <c r="AC208" s="1181"/>
      <c r="AD208" s="1181"/>
      <c r="AE208" s="1181"/>
      <c r="AF208" s="1181"/>
    </row>
    <row r="209" spans="1:32">
      <c r="A209" s="1181"/>
      <c r="B209" s="1181"/>
      <c r="C209" s="1181"/>
      <c r="D209" s="1181"/>
      <c r="E209" s="1181"/>
      <c r="F209" s="1181"/>
      <c r="G209" s="1181"/>
      <c r="H209" s="1181"/>
      <c r="I209" s="1181"/>
      <c r="J209" s="1181"/>
      <c r="K209" s="1181"/>
      <c r="L209" s="1181"/>
      <c r="M209" s="1181"/>
      <c r="N209" s="1181"/>
      <c r="O209" s="1181"/>
      <c r="P209" s="1181"/>
      <c r="Q209" s="1181"/>
      <c r="R209" s="1181"/>
      <c r="S209" s="1181"/>
      <c r="T209" s="1181"/>
      <c r="U209" s="1181"/>
      <c r="V209" s="1181"/>
      <c r="W209" s="1181"/>
      <c r="X209" s="1181"/>
      <c r="Y209" s="1181"/>
      <c r="Z209" s="1181"/>
      <c r="AA209" s="1181"/>
      <c r="AB209" s="1181"/>
      <c r="AC209" s="1181"/>
      <c r="AD209" s="1181"/>
      <c r="AE209" s="1181"/>
      <c r="AF209" s="1181"/>
    </row>
    <row r="210" spans="1:32">
      <c r="A210" s="1181"/>
      <c r="B210" s="1181"/>
      <c r="C210" s="1181"/>
      <c r="D210" s="1181"/>
      <c r="E210" s="1181"/>
      <c r="F210" s="1181"/>
      <c r="G210" s="1181"/>
      <c r="H210" s="1181"/>
      <c r="I210" s="1181"/>
      <c r="J210" s="1181"/>
      <c r="K210" s="1181"/>
      <c r="L210" s="1181"/>
      <c r="M210" s="1181"/>
      <c r="N210" s="1181"/>
      <c r="O210" s="1181"/>
      <c r="P210" s="1181"/>
      <c r="Q210" s="1181"/>
      <c r="R210" s="1181"/>
      <c r="S210" s="1181"/>
      <c r="T210" s="1181"/>
      <c r="U210" s="1181"/>
      <c r="V210" s="1181"/>
      <c r="W210" s="1181"/>
      <c r="X210" s="1181"/>
      <c r="Y210" s="1181"/>
      <c r="Z210" s="1181"/>
      <c r="AA210" s="1181"/>
      <c r="AB210" s="1181"/>
      <c r="AC210" s="1181"/>
      <c r="AD210" s="1181"/>
      <c r="AE210" s="1181"/>
      <c r="AF210" s="1181"/>
    </row>
    <row r="211" spans="1:32">
      <c r="A211" s="1181"/>
      <c r="B211" s="1181"/>
      <c r="C211" s="1181"/>
      <c r="D211" s="1181"/>
      <c r="E211" s="1181"/>
      <c r="F211" s="1181"/>
      <c r="G211" s="1181"/>
      <c r="H211" s="1181"/>
      <c r="I211" s="1181"/>
      <c r="J211" s="1181"/>
      <c r="K211" s="1181"/>
      <c r="L211" s="1181"/>
      <c r="M211" s="1181"/>
      <c r="N211" s="1181"/>
      <c r="O211" s="1181"/>
      <c r="P211" s="1181"/>
      <c r="Q211" s="1181"/>
      <c r="R211" s="1181"/>
      <c r="S211" s="1181"/>
      <c r="T211" s="1181"/>
      <c r="U211" s="1181"/>
      <c r="V211" s="1181"/>
      <c r="W211" s="1181"/>
      <c r="X211" s="1181"/>
      <c r="Y211" s="1181"/>
      <c r="Z211" s="1181"/>
      <c r="AA211" s="1181"/>
      <c r="AB211" s="1181"/>
      <c r="AC211" s="1181"/>
      <c r="AD211" s="1181"/>
      <c r="AE211" s="1181"/>
      <c r="AF211" s="1181"/>
    </row>
    <row r="212" spans="1:32">
      <c r="A212" s="1181"/>
      <c r="B212" s="1181"/>
      <c r="C212" s="1181"/>
      <c r="D212" s="1181"/>
      <c r="E212" s="1181"/>
      <c r="F212" s="1181"/>
      <c r="G212" s="1181"/>
      <c r="H212" s="1181"/>
      <c r="I212" s="1181"/>
      <c r="J212" s="1181"/>
      <c r="K212" s="1181"/>
      <c r="L212" s="1181"/>
      <c r="M212" s="1181"/>
      <c r="N212" s="1181"/>
      <c r="O212" s="1181"/>
      <c r="P212" s="1181"/>
      <c r="Q212" s="1181"/>
      <c r="R212" s="1181"/>
      <c r="S212" s="1181"/>
      <c r="T212" s="1181"/>
      <c r="U212" s="1181"/>
      <c r="V212" s="1181"/>
      <c r="W212" s="1181"/>
      <c r="X212" s="1181"/>
      <c r="Y212" s="1181"/>
      <c r="Z212" s="1181"/>
      <c r="AA212" s="1181"/>
      <c r="AB212" s="1181"/>
      <c r="AC212" s="1181"/>
      <c r="AD212" s="1181"/>
      <c r="AE212" s="1181"/>
      <c r="AF212" s="1181"/>
    </row>
    <row r="213" spans="1:32">
      <c r="A213" s="1181"/>
      <c r="B213" s="1181"/>
      <c r="C213" s="1181"/>
      <c r="D213" s="1181"/>
      <c r="E213" s="1181"/>
      <c r="F213" s="1181"/>
      <c r="G213" s="1181"/>
      <c r="H213" s="1181"/>
      <c r="I213" s="1181"/>
      <c r="J213" s="1181"/>
      <c r="K213" s="1181"/>
      <c r="L213" s="1181"/>
      <c r="M213" s="1181"/>
      <c r="N213" s="1181"/>
      <c r="O213" s="1181"/>
      <c r="P213" s="1181"/>
      <c r="Q213" s="1181"/>
      <c r="R213" s="1181"/>
      <c r="S213" s="1181"/>
      <c r="T213" s="1181"/>
      <c r="U213" s="1181"/>
      <c r="V213" s="1181"/>
      <c r="W213" s="1181"/>
      <c r="X213" s="1181"/>
      <c r="Y213" s="1181"/>
      <c r="Z213" s="1181"/>
      <c r="AA213" s="1181"/>
      <c r="AB213" s="1181"/>
      <c r="AC213" s="1181"/>
      <c r="AD213" s="1181"/>
      <c r="AE213" s="1181"/>
      <c r="AF213" s="1181"/>
    </row>
    <row r="214" spans="1:32">
      <c r="A214" s="1181"/>
      <c r="B214" s="1181"/>
      <c r="C214" s="1181"/>
      <c r="D214" s="1181"/>
      <c r="E214" s="1181"/>
      <c r="F214" s="1181"/>
      <c r="G214" s="1181"/>
      <c r="H214" s="1181"/>
      <c r="I214" s="1181"/>
      <c r="J214" s="1181"/>
      <c r="K214" s="1181"/>
      <c r="L214" s="1181"/>
      <c r="M214" s="1181"/>
      <c r="N214" s="1181"/>
      <c r="O214" s="1181"/>
      <c r="P214" s="1181"/>
      <c r="Q214" s="1181"/>
      <c r="R214" s="1181"/>
      <c r="S214" s="1181"/>
      <c r="T214" s="1181"/>
      <c r="U214" s="1181"/>
      <c r="V214" s="1181"/>
      <c r="W214" s="1181"/>
      <c r="X214" s="1181"/>
      <c r="Y214" s="1181"/>
      <c r="Z214" s="1181"/>
      <c r="AA214" s="1181"/>
      <c r="AB214" s="1181"/>
      <c r="AC214" s="1181"/>
      <c r="AD214" s="1181"/>
      <c r="AE214" s="1181"/>
      <c r="AF214" s="1181"/>
    </row>
    <row r="215" spans="1:32">
      <c r="A215" s="1181"/>
      <c r="B215" s="1181"/>
      <c r="C215" s="1181"/>
      <c r="D215" s="1181"/>
      <c r="E215" s="1181"/>
      <c r="F215" s="1181"/>
      <c r="G215" s="1181"/>
      <c r="H215" s="1181"/>
      <c r="I215" s="1181"/>
      <c r="J215" s="1181"/>
      <c r="K215" s="1181"/>
      <c r="L215" s="1181"/>
      <c r="M215" s="1181"/>
      <c r="N215" s="1181"/>
      <c r="O215" s="1181"/>
      <c r="P215" s="1181"/>
      <c r="Q215" s="1181"/>
      <c r="R215" s="1181"/>
      <c r="S215" s="1181"/>
      <c r="T215" s="1181"/>
      <c r="U215" s="1181"/>
      <c r="V215" s="1181"/>
      <c r="W215" s="1181"/>
      <c r="X215" s="1181"/>
      <c r="Y215" s="1181"/>
      <c r="Z215" s="1181"/>
      <c r="AA215" s="1181"/>
      <c r="AB215" s="1181"/>
      <c r="AC215" s="1181"/>
      <c r="AD215" s="1181"/>
      <c r="AE215" s="1181"/>
      <c r="AF215" s="1181"/>
    </row>
    <row r="216" spans="1:32">
      <c r="A216" s="1181"/>
      <c r="B216" s="1181"/>
      <c r="C216" s="1181"/>
      <c r="D216" s="1181"/>
      <c r="E216" s="1181"/>
      <c r="F216" s="1181"/>
      <c r="G216" s="1181"/>
      <c r="H216" s="1181"/>
      <c r="I216" s="1181"/>
      <c r="J216" s="1181"/>
      <c r="K216" s="1181"/>
      <c r="L216" s="1181"/>
      <c r="M216" s="1181"/>
      <c r="N216" s="1181"/>
      <c r="O216" s="1181"/>
      <c r="P216" s="1181"/>
      <c r="Q216" s="1181"/>
      <c r="R216" s="1181"/>
      <c r="S216" s="1181"/>
      <c r="T216" s="1181"/>
      <c r="U216" s="1181"/>
      <c r="V216" s="1181"/>
      <c r="W216" s="1181"/>
      <c r="X216" s="1181"/>
      <c r="Y216" s="1181"/>
      <c r="Z216" s="1181"/>
      <c r="AA216" s="1181"/>
      <c r="AB216" s="1181"/>
      <c r="AC216" s="1181"/>
      <c r="AD216" s="1181"/>
      <c r="AE216" s="1181"/>
      <c r="AF216" s="1181"/>
    </row>
    <row r="217" spans="1:32">
      <c r="N217" s="31"/>
    </row>
    <row r="218" spans="1:32">
      <c r="N218" s="31"/>
    </row>
    <row r="219" spans="1:32">
      <c r="N219" s="31"/>
    </row>
    <row r="220" spans="1:32">
      <c r="N220" s="31"/>
    </row>
    <row r="221" spans="1:32">
      <c r="N221" s="31"/>
    </row>
    <row r="222" spans="1:32">
      <c r="N222" s="31"/>
    </row>
    <row r="223" spans="1:32">
      <c r="N223" s="31"/>
    </row>
    <row r="224" spans="1:32">
      <c r="N224" s="31"/>
    </row>
    <row r="225" spans="14:14">
      <c r="N225" s="31"/>
    </row>
    <row r="226" spans="14:14">
      <c r="N226" s="31"/>
    </row>
    <row r="227" spans="14:14">
      <c r="N227" s="31"/>
    </row>
    <row r="228" spans="14:14">
      <c r="N228" s="31"/>
    </row>
    <row r="229" spans="14:14">
      <c r="N229" s="31"/>
    </row>
    <row r="230" spans="14:14">
      <c r="N230" s="31"/>
    </row>
    <row r="231" spans="14:14">
      <c r="N231" s="31"/>
    </row>
    <row r="232" spans="14:14">
      <c r="N232" s="31"/>
    </row>
    <row r="233" spans="14:14">
      <c r="N233" s="31"/>
    </row>
    <row r="234" spans="14:14">
      <c r="N234" s="31"/>
    </row>
    <row r="235" spans="14:14">
      <c r="N235" s="31"/>
    </row>
    <row r="236" spans="14:14">
      <c r="N236" s="31"/>
    </row>
    <row r="237" spans="14:14">
      <c r="N237" s="31"/>
    </row>
    <row r="238" spans="14:14">
      <c r="N238" s="31"/>
    </row>
    <row r="239" spans="14:14">
      <c r="N239" s="31"/>
    </row>
    <row r="240" spans="14:14">
      <c r="N240" s="31"/>
    </row>
    <row r="241" spans="14:14">
      <c r="N241" s="31"/>
    </row>
    <row r="242" spans="14:14">
      <c r="N242" s="31"/>
    </row>
    <row r="243" spans="14:14">
      <c r="N243" s="31"/>
    </row>
    <row r="244" spans="14:14">
      <c r="N244" s="31"/>
    </row>
    <row r="245" spans="14:14">
      <c r="N245" s="31"/>
    </row>
    <row r="246" spans="14:14">
      <c r="N246" s="31"/>
    </row>
    <row r="247" spans="14:14">
      <c r="N247" s="31"/>
    </row>
    <row r="248" spans="14:14">
      <c r="N248" s="31"/>
    </row>
    <row r="249" spans="14:14">
      <c r="N249" s="31"/>
    </row>
    <row r="250" spans="14:14">
      <c r="N250" s="31"/>
    </row>
    <row r="251" spans="14:14">
      <c r="N251" s="31"/>
    </row>
    <row r="252" spans="14:14">
      <c r="N252" s="31"/>
    </row>
    <row r="253" spans="14:14">
      <c r="N253" s="31"/>
    </row>
    <row r="254" spans="14:14">
      <c r="N254" s="31"/>
    </row>
    <row r="255" spans="14:14">
      <c r="N255" s="31"/>
    </row>
    <row r="256" spans="14:14">
      <c r="N256" s="31"/>
    </row>
    <row r="257" spans="14:14">
      <c r="N257" s="31"/>
    </row>
    <row r="258" spans="14:14">
      <c r="N258" s="31"/>
    </row>
    <row r="259" spans="14:14">
      <c r="N259" s="31"/>
    </row>
    <row r="260" spans="14:14">
      <c r="N260" s="31"/>
    </row>
    <row r="261" spans="14:14">
      <c r="N261" s="31"/>
    </row>
    <row r="262" spans="14:14">
      <c r="N262" s="31"/>
    </row>
    <row r="263" spans="14:14">
      <c r="N263" s="31"/>
    </row>
    <row r="264" spans="14:14">
      <c r="N264" s="31"/>
    </row>
    <row r="265" spans="14:14">
      <c r="N265" s="31"/>
    </row>
    <row r="266" spans="14:14">
      <c r="N266" s="31"/>
    </row>
    <row r="267" spans="14:14">
      <c r="N267" s="31"/>
    </row>
    <row r="268" spans="14:14">
      <c r="N268" s="31"/>
    </row>
    <row r="269" spans="14:14">
      <c r="N269" s="31"/>
    </row>
    <row r="270" spans="14:14">
      <c r="N270" s="31"/>
    </row>
    <row r="271" spans="14:14">
      <c r="N271" s="31"/>
    </row>
    <row r="272" spans="14:14">
      <c r="N272" s="31"/>
    </row>
    <row r="273" spans="14:14">
      <c r="N273" s="31"/>
    </row>
    <row r="274" spans="14:14">
      <c r="N274" s="31"/>
    </row>
    <row r="275" spans="14:14">
      <c r="N275" s="31"/>
    </row>
    <row r="276" spans="14:14">
      <c r="N276" s="31"/>
    </row>
    <row r="277" spans="14:14">
      <c r="N277" s="31"/>
    </row>
    <row r="278" spans="14:14">
      <c r="N278" s="31"/>
    </row>
    <row r="279" spans="14:14">
      <c r="N279" s="31"/>
    </row>
    <row r="280" spans="14:14">
      <c r="N280" s="31"/>
    </row>
    <row r="281" spans="14:14">
      <c r="N281" s="31"/>
    </row>
    <row r="282" spans="14:14">
      <c r="N282" s="31"/>
    </row>
    <row r="283" spans="14:14">
      <c r="N283" s="31"/>
    </row>
    <row r="284" spans="14:14">
      <c r="N284" s="31"/>
    </row>
    <row r="285" spans="14:14">
      <c r="N285" s="31"/>
    </row>
    <row r="286" spans="14:14">
      <c r="N286" s="31"/>
    </row>
    <row r="287" spans="14:14">
      <c r="N287" s="31"/>
    </row>
    <row r="288" spans="14:14">
      <c r="N288" s="31"/>
    </row>
    <row r="289" spans="14:14">
      <c r="N289" s="31"/>
    </row>
    <row r="290" spans="14:14">
      <c r="N290" s="31"/>
    </row>
    <row r="291" spans="14:14">
      <c r="N291" s="31"/>
    </row>
    <row r="292" spans="14:14">
      <c r="N292" s="31"/>
    </row>
    <row r="293" spans="14:14">
      <c r="N293" s="31"/>
    </row>
    <row r="294" spans="14:14">
      <c r="N294" s="31"/>
    </row>
    <row r="295" spans="14:14">
      <c r="N295" s="31"/>
    </row>
    <row r="296" spans="14:14">
      <c r="N296" s="31"/>
    </row>
    <row r="297" spans="14:14">
      <c r="N297" s="31"/>
    </row>
    <row r="298" spans="14:14">
      <c r="N298" s="31"/>
    </row>
    <row r="299" spans="14:14">
      <c r="N299" s="31"/>
    </row>
    <row r="300" spans="14:14">
      <c r="N300" s="31"/>
    </row>
    <row r="301" spans="14:14">
      <c r="N301" s="31"/>
    </row>
    <row r="302" spans="14:14">
      <c r="N302" s="31"/>
    </row>
    <row r="303" spans="14:14">
      <c r="N303" s="31"/>
    </row>
    <row r="304" spans="14:14">
      <c r="N304" s="31"/>
    </row>
    <row r="305" spans="14:14">
      <c r="N305" s="31"/>
    </row>
    <row r="306" spans="14:14">
      <c r="N306" s="31"/>
    </row>
    <row r="307" spans="14:14">
      <c r="N307" s="31"/>
    </row>
    <row r="308" spans="14:14">
      <c r="N308" s="31"/>
    </row>
    <row r="309" spans="14:14">
      <c r="N309" s="31"/>
    </row>
    <row r="310" spans="14:14">
      <c r="N310" s="31"/>
    </row>
    <row r="311" spans="14:14">
      <c r="N311" s="31"/>
    </row>
    <row r="312" spans="14:14">
      <c r="N312" s="31"/>
    </row>
    <row r="313" spans="14:14">
      <c r="N313" s="31"/>
    </row>
    <row r="314" spans="14:14">
      <c r="N314" s="31"/>
    </row>
    <row r="315" spans="14:14">
      <c r="N315" s="31"/>
    </row>
    <row r="316" spans="14:14">
      <c r="N316" s="31"/>
    </row>
    <row r="317" spans="14:14">
      <c r="N317" s="31"/>
    </row>
    <row r="318" spans="14:14">
      <c r="N318" s="31"/>
    </row>
    <row r="319" spans="14:14">
      <c r="N319" s="31"/>
    </row>
    <row r="320" spans="14:14">
      <c r="N320" s="31"/>
    </row>
    <row r="321" spans="14:14">
      <c r="N321" s="31"/>
    </row>
    <row r="322" spans="14:14">
      <c r="N322" s="31"/>
    </row>
    <row r="323" spans="14:14">
      <c r="N323" s="31"/>
    </row>
    <row r="324" spans="14:14">
      <c r="N324" s="31"/>
    </row>
    <row r="325" spans="14:14">
      <c r="N325" s="31"/>
    </row>
    <row r="326" spans="14:14">
      <c r="N326" s="31"/>
    </row>
    <row r="327" spans="14:14">
      <c r="N327" s="31"/>
    </row>
    <row r="328" spans="14:14">
      <c r="N328" s="31"/>
    </row>
    <row r="329" spans="14:14">
      <c r="N329" s="31"/>
    </row>
    <row r="330" spans="14:14">
      <c r="N330" s="31"/>
    </row>
    <row r="331" spans="14:14">
      <c r="N331" s="31"/>
    </row>
    <row r="332" spans="14:14">
      <c r="N332" s="31"/>
    </row>
    <row r="333" spans="14:14">
      <c r="N333" s="31"/>
    </row>
    <row r="334" spans="14:14">
      <c r="N334" s="31"/>
    </row>
    <row r="335" spans="14:14">
      <c r="N335" s="31"/>
    </row>
    <row r="336" spans="14:14">
      <c r="N336" s="31"/>
    </row>
    <row r="337" spans="14:14">
      <c r="N337" s="31"/>
    </row>
    <row r="338" spans="14:14">
      <c r="N338" s="31"/>
    </row>
    <row r="339" spans="14:14">
      <c r="N339" s="31"/>
    </row>
    <row r="340" spans="14:14">
      <c r="N340" s="31"/>
    </row>
    <row r="341" spans="14:14">
      <c r="N341" s="31"/>
    </row>
    <row r="342" spans="14:14">
      <c r="N342" s="31"/>
    </row>
    <row r="343" spans="14:14">
      <c r="N343" s="31"/>
    </row>
    <row r="344" spans="14:14">
      <c r="N344" s="31"/>
    </row>
    <row r="345" spans="14:14">
      <c r="N345" s="31"/>
    </row>
    <row r="346" spans="14:14">
      <c r="N346" s="31"/>
    </row>
    <row r="347" spans="14:14">
      <c r="N347" s="31"/>
    </row>
    <row r="348" spans="14:14">
      <c r="N348" s="31"/>
    </row>
    <row r="349" spans="14:14">
      <c r="N349" s="31"/>
    </row>
    <row r="350" spans="14:14">
      <c r="N350" s="31"/>
    </row>
    <row r="351" spans="14:14">
      <c r="N351" s="31"/>
    </row>
    <row r="352" spans="14:14">
      <c r="N352" s="31"/>
    </row>
    <row r="353" spans="14:14">
      <c r="N353" s="31"/>
    </row>
    <row r="354" spans="14:14">
      <c r="N354" s="31"/>
    </row>
    <row r="355" spans="14:14">
      <c r="N355" s="31"/>
    </row>
    <row r="356" spans="14:14">
      <c r="N356" s="31"/>
    </row>
    <row r="357" spans="14:14">
      <c r="N357" s="31"/>
    </row>
    <row r="358" spans="14:14">
      <c r="N358" s="31"/>
    </row>
    <row r="359" spans="14:14">
      <c r="N359" s="31"/>
    </row>
    <row r="360" spans="14:14">
      <c r="N360" s="31"/>
    </row>
    <row r="361" spans="14:14">
      <c r="N361" s="31"/>
    </row>
    <row r="362" spans="14:14">
      <c r="N362" s="31"/>
    </row>
    <row r="363" spans="14:14">
      <c r="N363" s="31"/>
    </row>
    <row r="364" spans="14:14">
      <c r="N364" s="31"/>
    </row>
    <row r="365" spans="14:14">
      <c r="N365" s="31"/>
    </row>
    <row r="366" spans="14:14">
      <c r="N366" s="31"/>
    </row>
    <row r="367" spans="14:14">
      <c r="N367" s="31"/>
    </row>
    <row r="368" spans="14:14">
      <c r="N368" s="31"/>
    </row>
    <row r="369" spans="14:14">
      <c r="N369" s="31"/>
    </row>
    <row r="370" spans="14:14">
      <c r="N370" s="31"/>
    </row>
    <row r="371" spans="14:14">
      <c r="N371" s="31"/>
    </row>
    <row r="372" spans="14:14">
      <c r="N372" s="31"/>
    </row>
    <row r="373" spans="14:14">
      <c r="N373" s="31"/>
    </row>
    <row r="374" spans="14:14">
      <c r="N374" s="31"/>
    </row>
    <row r="375" spans="14:14">
      <c r="N375" s="31"/>
    </row>
    <row r="376" spans="14:14">
      <c r="N376" s="31"/>
    </row>
    <row r="377" spans="14:14">
      <c r="N377" s="31"/>
    </row>
    <row r="378" spans="14:14">
      <c r="N378" s="31"/>
    </row>
    <row r="379" spans="14:14">
      <c r="N379" s="31"/>
    </row>
    <row r="380" spans="14:14">
      <c r="N380" s="31"/>
    </row>
    <row r="381" spans="14:14">
      <c r="N381" s="31"/>
    </row>
    <row r="382" spans="14:14">
      <c r="N382" s="31"/>
    </row>
    <row r="383" spans="14:14">
      <c r="N383" s="31"/>
    </row>
    <row r="384" spans="14:14">
      <c r="N384" s="31"/>
    </row>
    <row r="385" spans="14:14">
      <c r="N385" s="31"/>
    </row>
    <row r="386" spans="14:14">
      <c r="N386" s="31"/>
    </row>
    <row r="387" spans="14:14">
      <c r="N387" s="31"/>
    </row>
    <row r="388" spans="14:14">
      <c r="N388" s="31"/>
    </row>
    <row r="389" spans="14:14">
      <c r="N389" s="31"/>
    </row>
    <row r="390" spans="14:14">
      <c r="N390" s="31"/>
    </row>
    <row r="391" spans="14:14">
      <c r="N391" s="31"/>
    </row>
    <row r="392" spans="14:14">
      <c r="N392" s="31"/>
    </row>
    <row r="393" spans="14:14">
      <c r="N393" s="31"/>
    </row>
    <row r="394" spans="14:14">
      <c r="N394" s="31"/>
    </row>
    <row r="395" spans="14:14">
      <c r="N395" s="31"/>
    </row>
    <row r="396" spans="14:14">
      <c r="N396" s="31"/>
    </row>
    <row r="397" spans="14:14">
      <c r="N397" s="31"/>
    </row>
    <row r="398" spans="14:14">
      <c r="N398" s="31"/>
    </row>
    <row r="399" spans="14:14">
      <c r="N399" s="31"/>
    </row>
    <row r="400" spans="14:14">
      <c r="N400" s="31"/>
    </row>
    <row r="401" spans="14:14">
      <c r="N401" s="31"/>
    </row>
    <row r="402" spans="14:14">
      <c r="N402" s="31"/>
    </row>
    <row r="403" spans="14:14">
      <c r="N403" s="31"/>
    </row>
    <row r="404" spans="14:14">
      <c r="N404" s="31"/>
    </row>
    <row r="405" spans="14:14">
      <c r="N405" s="31"/>
    </row>
    <row r="406" spans="14:14">
      <c r="N406" s="31"/>
    </row>
    <row r="407" spans="14:14">
      <c r="N407" s="31"/>
    </row>
    <row r="408" spans="14:14">
      <c r="N408" s="31"/>
    </row>
    <row r="409" spans="14:14">
      <c r="N409" s="31"/>
    </row>
    <row r="410" spans="14:14">
      <c r="N410" s="31"/>
    </row>
    <row r="411" spans="14:14">
      <c r="N411" s="31"/>
    </row>
    <row r="412" spans="14:14">
      <c r="N412" s="31"/>
    </row>
    <row r="413" spans="14:14">
      <c r="N413" s="31"/>
    </row>
    <row r="414" spans="14:14">
      <c r="N414" s="31"/>
    </row>
    <row r="415" spans="14:14">
      <c r="N415" s="31"/>
    </row>
    <row r="416" spans="14:14">
      <c r="N416" s="31"/>
    </row>
    <row r="417" spans="14:14">
      <c r="N417" s="31"/>
    </row>
    <row r="418" spans="14:14">
      <c r="N418" s="31"/>
    </row>
    <row r="419" spans="14:14">
      <c r="N419" s="31"/>
    </row>
    <row r="420" spans="14:14">
      <c r="N420" s="31"/>
    </row>
    <row r="421" spans="14:14">
      <c r="N421" s="31"/>
    </row>
    <row r="422" spans="14:14">
      <c r="N422" s="31"/>
    </row>
    <row r="423" spans="14:14">
      <c r="N423" s="31"/>
    </row>
    <row r="424" spans="14:14">
      <c r="N424" s="31"/>
    </row>
    <row r="425" spans="14:14">
      <c r="N425" s="31"/>
    </row>
    <row r="426" spans="14:14">
      <c r="N426" s="31"/>
    </row>
    <row r="427" spans="14:14">
      <c r="N427" s="31"/>
    </row>
    <row r="428" spans="14:14">
      <c r="N428" s="31"/>
    </row>
    <row r="429" spans="14:14">
      <c r="N429" s="31"/>
    </row>
    <row r="430" spans="14:14">
      <c r="N430" s="31"/>
    </row>
    <row r="431" spans="14:14">
      <c r="N431" s="31"/>
    </row>
    <row r="432" spans="14:14">
      <c r="N432" s="31"/>
    </row>
    <row r="433" spans="14:14">
      <c r="N433" s="31"/>
    </row>
    <row r="434" spans="14:14">
      <c r="N434" s="31"/>
    </row>
    <row r="435" spans="14:14">
      <c r="N435" s="31"/>
    </row>
    <row r="436" spans="14:14">
      <c r="N436" s="31"/>
    </row>
    <row r="437" spans="14:14">
      <c r="N437" s="31"/>
    </row>
    <row r="438" spans="14:14">
      <c r="N438" s="31"/>
    </row>
    <row r="439" spans="14:14">
      <c r="N439" s="31"/>
    </row>
    <row r="440" spans="14:14">
      <c r="N440" s="31"/>
    </row>
    <row r="441" spans="14:14">
      <c r="N441" s="31"/>
    </row>
    <row r="442" spans="14:14">
      <c r="N442" s="31"/>
    </row>
    <row r="443" spans="14:14">
      <c r="N443" s="31"/>
    </row>
    <row r="444" spans="14:14">
      <c r="N444" s="31"/>
    </row>
    <row r="445" spans="14:14">
      <c r="N445" s="31"/>
    </row>
    <row r="446" spans="14:14">
      <c r="N446" s="31"/>
    </row>
    <row r="447" spans="14:14">
      <c r="N447" s="31"/>
    </row>
    <row r="448" spans="14:14">
      <c r="N448" s="31"/>
    </row>
    <row r="449" spans="14:14">
      <c r="N449" s="31"/>
    </row>
    <row r="450" spans="14:14">
      <c r="N450" s="31"/>
    </row>
    <row r="451" spans="14:14">
      <c r="N451" s="31"/>
    </row>
    <row r="452" spans="14:14">
      <c r="N452" s="31"/>
    </row>
    <row r="453" spans="14:14">
      <c r="N453" s="31"/>
    </row>
    <row r="454" spans="14:14">
      <c r="N454" s="31"/>
    </row>
    <row r="455" spans="14:14">
      <c r="N455" s="31"/>
    </row>
    <row r="456" spans="14:14">
      <c r="N456" s="31"/>
    </row>
    <row r="457" spans="14:14">
      <c r="N457" s="31"/>
    </row>
    <row r="458" spans="14:14">
      <c r="N458" s="31"/>
    </row>
    <row r="459" spans="14:14">
      <c r="N459" s="31"/>
    </row>
    <row r="460" spans="14:14">
      <c r="N460" s="31"/>
    </row>
    <row r="461" spans="14:14">
      <c r="N461" s="31"/>
    </row>
    <row r="462" spans="14:14">
      <c r="N462" s="31"/>
    </row>
    <row r="463" spans="14:14">
      <c r="N463" s="31"/>
    </row>
    <row r="464" spans="14:14">
      <c r="N464" s="31"/>
    </row>
    <row r="465" spans="14:14">
      <c r="N465" s="31"/>
    </row>
    <row r="466" spans="14:14">
      <c r="N466" s="31"/>
    </row>
    <row r="467" spans="14:14">
      <c r="N467" s="31"/>
    </row>
    <row r="468" spans="14:14">
      <c r="N468" s="31"/>
    </row>
    <row r="469" spans="14:14">
      <c r="N469" s="31"/>
    </row>
    <row r="470" spans="14:14">
      <c r="N470" s="31"/>
    </row>
    <row r="471" spans="14:14">
      <c r="N471" s="31"/>
    </row>
    <row r="472" spans="14:14">
      <c r="N472" s="31"/>
    </row>
    <row r="473" spans="14:14">
      <c r="N473" s="31"/>
    </row>
    <row r="474" spans="14:14">
      <c r="N474" s="31"/>
    </row>
    <row r="475" spans="14:14">
      <c r="N475" s="31"/>
    </row>
    <row r="476" spans="14:14">
      <c r="N476" s="31"/>
    </row>
    <row r="477" spans="14:14">
      <c r="N477" s="31"/>
    </row>
    <row r="478" spans="14:14">
      <c r="N478" s="31"/>
    </row>
    <row r="479" spans="14:14">
      <c r="N479" s="31"/>
    </row>
    <row r="480" spans="14:14">
      <c r="N480" s="31"/>
    </row>
    <row r="481" spans="14:14">
      <c r="N481" s="31"/>
    </row>
    <row r="482" spans="14:14">
      <c r="N482" s="31"/>
    </row>
    <row r="483" spans="14:14">
      <c r="N483" s="31"/>
    </row>
    <row r="484" spans="14:14">
      <c r="N484" s="31"/>
    </row>
    <row r="485" spans="14:14">
      <c r="N485" s="31"/>
    </row>
    <row r="486" spans="14:14">
      <c r="N486" s="31"/>
    </row>
    <row r="487" spans="14:14">
      <c r="N487" s="31"/>
    </row>
    <row r="488" spans="14:14">
      <c r="N488" s="31"/>
    </row>
    <row r="489" spans="14:14">
      <c r="N489" s="31"/>
    </row>
    <row r="490" spans="14:14">
      <c r="N490" s="31"/>
    </row>
    <row r="491" spans="14:14">
      <c r="N491" s="31"/>
    </row>
    <row r="492" spans="14:14">
      <c r="N492" s="31"/>
    </row>
    <row r="493" spans="14:14">
      <c r="N493" s="31"/>
    </row>
    <row r="494" spans="14:14">
      <c r="N494" s="31"/>
    </row>
    <row r="495" spans="14:14">
      <c r="N495" s="31"/>
    </row>
    <row r="496" spans="14:14">
      <c r="N496" s="31"/>
    </row>
    <row r="497" spans="14:14">
      <c r="N497" s="31"/>
    </row>
    <row r="498" spans="14:14">
      <c r="N498" s="31"/>
    </row>
    <row r="499" spans="14:14">
      <c r="N499" s="31"/>
    </row>
    <row r="500" spans="14:14">
      <c r="N500" s="31"/>
    </row>
    <row r="501" spans="14:14">
      <c r="N501" s="31"/>
    </row>
    <row r="502" spans="14:14">
      <c r="N502" s="31"/>
    </row>
    <row r="503" spans="14:14">
      <c r="N503" s="31"/>
    </row>
    <row r="504" spans="14:14">
      <c r="N504" s="31"/>
    </row>
    <row r="505" spans="14:14">
      <c r="N505" s="31"/>
    </row>
    <row r="506" spans="14:14">
      <c r="N506" s="31"/>
    </row>
    <row r="507" spans="14:14">
      <c r="N507" s="31"/>
    </row>
    <row r="508" spans="14:14">
      <c r="N508" s="31"/>
    </row>
    <row r="509" spans="14:14">
      <c r="N509" s="31"/>
    </row>
    <row r="510" spans="14:14">
      <c r="N510" s="31"/>
    </row>
    <row r="511" spans="14:14">
      <c r="N511" s="31"/>
    </row>
    <row r="512" spans="14:14">
      <c r="N512" s="31"/>
    </row>
    <row r="513" spans="14:14">
      <c r="N513" s="31"/>
    </row>
    <row r="514" spans="14:14">
      <c r="N514" s="31"/>
    </row>
    <row r="515" spans="14:14">
      <c r="N515" s="31"/>
    </row>
    <row r="516" spans="14:14">
      <c r="N516" s="31"/>
    </row>
    <row r="517" spans="14:14">
      <c r="N517" s="31"/>
    </row>
    <row r="518" spans="14:14">
      <c r="N518" s="31"/>
    </row>
    <row r="519" spans="14:14">
      <c r="N519" s="31"/>
    </row>
    <row r="520" spans="14:14">
      <c r="N520" s="31"/>
    </row>
    <row r="521" spans="14:14">
      <c r="N521" s="31"/>
    </row>
    <row r="522" spans="14:14">
      <c r="N522" s="31"/>
    </row>
    <row r="523" spans="14:14">
      <c r="N523" s="31"/>
    </row>
    <row r="524" spans="14:14">
      <c r="N524" s="31"/>
    </row>
    <row r="525" spans="14:14">
      <c r="N525" s="31"/>
    </row>
    <row r="526" spans="14:14">
      <c r="N526" s="31"/>
    </row>
    <row r="527" spans="14:14">
      <c r="N527" s="31"/>
    </row>
    <row r="528" spans="14:14">
      <c r="N528" s="31"/>
    </row>
    <row r="529" spans="14:14">
      <c r="N529" s="31"/>
    </row>
    <row r="530" spans="14:14">
      <c r="N530" s="31"/>
    </row>
    <row r="531" spans="14:14">
      <c r="N531" s="31"/>
    </row>
    <row r="532" spans="14:14">
      <c r="N532" s="31"/>
    </row>
    <row r="533" spans="14:14">
      <c r="N533" s="31"/>
    </row>
    <row r="534" spans="14:14">
      <c r="N534" s="31"/>
    </row>
    <row r="535" spans="14:14">
      <c r="N535" s="31"/>
    </row>
    <row r="536" spans="14:14">
      <c r="N536" s="31"/>
    </row>
    <row r="537" spans="14:14">
      <c r="N537" s="31"/>
    </row>
    <row r="538" spans="14:14">
      <c r="N538" s="31"/>
    </row>
    <row r="539" spans="14:14">
      <c r="N539" s="31"/>
    </row>
    <row r="540" spans="14:14">
      <c r="N540" s="31"/>
    </row>
    <row r="541" spans="14:14">
      <c r="N541" s="31"/>
    </row>
    <row r="542" spans="14:14">
      <c r="N542" s="31"/>
    </row>
    <row r="543" spans="14:14">
      <c r="N543" s="31"/>
    </row>
    <row r="544" spans="14:14">
      <c r="N544" s="31"/>
    </row>
    <row r="545" spans="14:14">
      <c r="N545" s="31"/>
    </row>
    <row r="546" spans="14:14">
      <c r="N546" s="31"/>
    </row>
    <row r="547" spans="14:14">
      <c r="N547" s="31"/>
    </row>
    <row r="548" spans="14:14">
      <c r="N548" s="31"/>
    </row>
    <row r="549" spans="14:14">
      <c r="N549" s="31"/>
    </row>
    <row r="550" spans="14:14">
      <c r="N550" s="31"/>
    </row>
    <row r="551" spans="14:14">
      <c r="N551" s="31"/>
    </row>
    <row r="552" spans="14:14">
      <c r="N552" s="31"/>
    </row>
    <row r="553" spans="14:14">
      <c r="N553" s="31"/>
    </row>
    <row r="554" spans="14:14">
      <c r="N554" s="31"/>
    </row>
    <row r="555" spans="14:14">
      <c r="N555" s="31"/>
    </row>
    <row r="556" spans="14:14">
      <c r="N556" s="31"/>
    </row>
    <row r="557" spans="14:14">
      <c r="N557" s="31"/>
    </row>
    <row r="558" spans="14:14">
      <c r="N558" s="31"/>
    </row>
    <row r="559" spans="14:14">
      <c r="N559" s="31"/>
    </row>
    <row r="560" spans="14:14">
      <c r="N560" s="31"/>
    </row>
    <row r="561" spans="14:14">
      <c r="N561" s="31"/>
    </row>
    <row r="562" spans="14:14">
      <c r="N562" s="31"/>
    </row>
    <row r="563" spans="14:14">
      <c r="N563" s="31"/>
    </row>
    <row r="564" spans="14:14">
      <c r="N564" s="31"/>
    </row>
    <row r="565" spans="14:14">
      <c r="N565" s="31"/>
    </row>
    <row r="566" spans="14:14">
      <c r="N566" s="31"/>
    </row>
    <row r="567" spans="14:14">
      <c r="N567" s="31"/>
    </row>
    <row r="568" spans="14:14">
      <c r="N568" s="31"/>
    </row>
    <row r="569" spans="14:14">
      <c r="N569" s="31"/>
    </row>
    <row r="570" spans="14:14">
      <c r="N570" s="31"/>
    </row>
    <row r="571" spans="14:14">
      <c r="N571" s="31"/>
    </row>
    <row r="572" spans="14:14">
      <c r="N572" s="31"/>
    </row>
    <row r="573" spans="14:14">
      <c r="N573" s="31"/>
    </row>
    <row r="574" spans="14:14">
      <c r="N574" s="31"/>
    </row>
    <row r="575" spans="14:14">
      <c r="N575" s="31"/>
    </row>
    <row r="576" spans="14:14">
      <c r="N576" s="31"/>
    </row>
    <row r="577" spans="14:14">
      <c r="N577" s="31"/>
    </row>
    <row r="578" spans="14:14">
      <c r="N578" s="31"/>
    </row>
    <row r="579" spans="14:14">
      <c r="N579" s="31"/>
    </row>
    <row r="580" spans="14:14">
      <c r="N580" s="31"/>
    </row>
    <row r="581" spans="14:14">
      <c r="N581" s="31"/>
    </row>
    <row r="582" spans="14:14">
      <c r="N582" s="31"/>
    </row>
    <row r="583" spans="14:14">
      <c r="N583" s="31"/>
    </row>
    <row r="584" spans="14:14">
      <c r="N584" s="31"/>
    </row>
    <row r="585" spans="14:14">
      <c r="N585" s="31"/>
    </row>
    <row r="586" spans="14:14">
      <c r="N586" s="31"/>
    </row>
    <row r="587" spans="14:14">
      <c r="N587" s="31"/>
    </row>
    <row r="588" spans="14:14">
      <c r="N588" s="31"/>
    </row>
    <row r="589" spans="14:14">
      <c r="N589" s="31"/>
    </row>
    <row r="590" spans="14:14">
      <c r="N590" s="31"/>
    </row>
    <row r="591" spans="14:14">
      <c r="N591" s="31"/>
    </row>
    <row r="592" spans="14:14">
      <c r="N592" s="31"/>
    </row>
    <row r="593" spans="14:14">
      <c r="N593" s="31"/>
    </row>
    <row r="594" spans="14:14">
      <c r="N594" s="31"/>
    </row>
    <row r="595" spans="14:14">
      <c r="N595" s="31"/>
    </row>
    <row r="596" spans="14:14">
      <c r="N596" s="31"/>
    </row>
    <row r="597" spans="14:14">
      <c r="N597" s="31"/>
    </row>
    <row r="598" spans="14:14">
      <c r="N598" s="31"/>
    </row>
    <row r="599" spans="14:14">
      <c r="N599" s="31"/>
    </row>
    <row r="600" spans="14:14">
      <c r="N600" s="31"/>
    </row>
    <row r="601" spans="14:14">
      <c r="N601" s="31"/>
    </row>
    <row r="602" spans="14:14">
      <c r="N602" s="31"/>
    </row>
    <row r="603" spans="14:14">
      <c r="N603" s="31"/>
    </row>
    <row r="604" spans="14:14">
      <c r="N604" s="31"/>
    </row>
    <row r="605" spans="14:14">
      <c r="N605" s="31"/>
    </row>
    <row r="606" spans="14:14">
      <c r="N606" s="31"/>
    </row>
    <row r="607" spans="14:14">
      <c r="N607" s="31"/>
    </row>
    <row r="608" spans="14:14">
      <c r="N608" s="31"/>
    </row>
    <row r="609" spans="14:14">
      <c r="N609" s="31"/>
    </row>
    <row r="610" spans="14:14">
      <c r="N610" s="31"/>
    </row>
    <row r="611" spans="14:14">
      <c r="N611" s="31"/>
    </row>
    <row r="612" spans="14:14">
      <c r="N612" s="31"/>
    </row>
    <row r="613" spans="14:14">
      <c r="N613" s="31"/>
    </row>
    <row r="614" spans="14:14">
      <c r="N614" s="31"/>
    </row>
    <row r="615" spans="14:14">
      <c r="N615" s="31"/>
    </row>
    <row r="616" spans="14:14">
      <c r="N616" s="31"/>
    </row>
    <row r="617" spans="14:14">
      <c r="N617" s="31"/>
    </row>
    <row r="618" spans="14:14">
      <c r="N618" s="31"/>
    </row>
    <row r="619" spans="14:14">
      <c r="N619" s="31"/>
    </row>
    <row r="620" spans="14:14">
      <c r="N620" s="31"/>
    </row>
    <row r="621" spans="14:14">
      <c r="N621" s="31"/>
    </row>
    <row r="622" spans="14:14">
      <c r="N622" s="31"/>
    </row>
    <row r="623" spans="14:14">
      <c r="N623" s="31"/>
    </row>
    <row r="624" spans="14:14">
      <c r="N624" s="31"/>
    </row>
    <row r="625" spans="14:14">
      <c r="N625" s="31"/>
    </row>
    <row r="626" spans="14:14">
      <c r="N626" s="31"/>
    </row>
    <row r="627" spans="14:14">
      <c r="N627" s="31"/>
    </row>
    <row r="628" spans="14:14">
      <c r="N628" s="31"/>
    </row>
    <row r="629" spans="14:14">
      <c r="N629" s="31"/>
    </row>
    <row r="630" spans="14:14">
      <c r="N630" s="31"/>
    </row>
    <row r="631" spans="14:14">
      <c r="N631" s="31"/>
    </row>
    <row r="632" spans="14:14">
      <c r="N632" s="31"/>
    </row>
    <row r="633" spans="14:14">
      <c r="N633" s="31"/>
    </row>
    <row r="634" spans="14:14">
      <c r="N634" s="31"/>
    </row>
    <row r="635" spans="14:14">
      <c r="N635" s="31"/>
    </row>
    <row r="636" spans="14:14">
      <c r="N636" s="31"/>
    </row>
    <row r="637" spans="14:14">
      <c r="N637" s="31"/>
    </row>
    <row r="638" spans="14:14">
      <c r="N638" s="31"/>
    </row>
    <row r="639" spans="14:14">
      <c r="N639" s="31"/>
    </row>
    <row r="640" spans="14:14">
      <c r="N640" s="31"/>
    </row>
    <row r="641" spans="14:14">
      <c r="N641" s="31"/>
    </row>
    <row r="642" spans="14:14">
      <c r="N642" s="31"/>
    </row>
    <row r="643" spans="14:14">
      <c r="N643" s="31"/>
    </row>
    <row r="644" spans="14:14">
      <c r="N644" s="31"/>
    </row>
    <row r="645" spans="14:14">
      <c r="N645" s="31"/>
    </row>
    <row r="646" spans="14:14">
      <c r="N646" s="31"/>
    </row>
    <row r="647" spans="14:14">
      <c r="N647" s="31"/>
    </row>
    <row r="648" spans="14:14">
      <c r="N648" s="31"/>
    </row>
    <row r="649" spans="14:14">
      <c r="N649" s="31"/>
    </row>
    <row r="650" spans="14:14">
      <c r="N650" s="31"/>
    </row>
    <row r="651" spans="14:14">
      <c r="N651" s="31"/>
    </row>
    <row r="652" spans="14:14">
      <c r="N652" s="31"/>
    </row>
    <row r="653" spans="14:14">
      <c r="N653" s="31"/>
    </row>
    <row r="654" spans="14:14">
      <c r="N654" s="31"/>
    </row>
    <row r="655" spans="14:14">
      <c r="N655" s="31"/>
    </row>
    <row r="656" spans="14:14">
      <c r="N656" s="31"/>
    </row>
    <row r="657" spans="14:14">
      <c r="N657" s="31"/>
    </row>
    <row r="658" spans="14:14">
      <c r="N658" s="31"/>
    </row>
    <row r="659" spans="14:14">
      <c r="N659" s="31"/>
    </row>
    <row r="660" spans="14:14">
      <c r="N660" s="31"/>
    </row>
    <row r="661" spans="14:14">
      <c r="N661" s="31"/>
    </row>
    <row r="662" spans="14:14">
      <c r="N662" s="31"/>
    </row>
    <row r="663" spans="14:14">
      <c r="N663" s="31"/>
    </row>
    <row r="664" spans="14:14">
      <c r="N664" s="31"/>
    </row>
    <row r="665" spans="14:14">
      <c r="N665" s="31"/>
    </row>
    <row r="666" spans="14:14">
      <c r="N666" s="31"/>
    </row>
    <row r="667" spans="14:14">
      <c r="N667" s="31"/>
    </row>
    <row r="668" spans="14:14">
      <c r="N668" s="31"/>
    </row>
    <row r="669" spans="14:14">
      <c r="N669" s="31"/>
    </row>
    <row r="670" spans="14:14">
      <c r="N670" s="31"/>
    </row>
    <row r="671" spans="14:14">
      <c r="N671" s="31"/>
    </row>
    <row r="672" spans="14:14">
      <c r="N672" s="31"/>
    </row>
    <row r="673" spans="14:14">
      <c r="N673" s="31"/>
    </row>
    <row r="674" spans="14:14">
      <c r="N674" s="31"/>
    </row>
    <row r="675" spans="14:14">
      <c r="N675" s="31"/>
    </row>
    <row r="676" spans="14:14">
      <c r="N676" s="31"/>
    </row>
    <row r="677" spans="14:14">
      <c r="N677" s="31"/>
    </row>
    <row r="678" spans="14:14">
      <c r="N678" s="31"/>
    </row>
    <row r="679" spans="14:14">
      <c r="N679" s="31"/>
    </row>
    <row r="680" spans="14:14">
      <c r="N680" s="31"/>
    </row>
    <row r="681" spans="14:14">
      <c r="N681" s="31"/>
    </row>
    <row r="682" spans="14:14">
      <c r="N682" s="31"/>
    </row>
    <row r="683" spans="14:14">
      <c r="N683" s="31"/>
    </row>
  </sheetData>
  <mergeCells count="1">
    <mergeCell ref="Y2:AA2"/>
  </mergeCells>
  <phoneticPr fontId="11" type="noConversion"/>
  <pageMargins left="0" right="0" top="0" bottom="0" header="0" footer="0"/>
  <pageSetup paperSize="5" scale="37" orientation="landscape" r:id="rId1"/>
  <headerFooter alignWithMargins="0"/>
  <rowBreaks count="1" manualBreakCount="1">
    <brk id="91" max="22" man="1"/>
  </row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00B050"/>
    <pageSetUpPr fitToPage="1"/>
  </sheetPr>
  <dimension ref="A1:AX74"/>
  <sheetViews>
    <sheetView showGridLines="0" workbookViewId="0">
      <pane xSplit="1" ySplit="5" topLeftCell="B24" activePane="bottomRight" state="frozen"/>
      <selection activeCell="B141" activeCellId="1" sqref="A1 B141"/>
      <selection pane="topRight" activeCell="B141" activeCellId="1" sqref="A1 B141"/>
      <selection pane="bottomLeft" activeCell="B141" activeCellId="1" sqref="A1 B141"/>
      <selection pane="bottomRight"/>
    </sheetView>
  </sheetViews>
  <sheetFormatPr defaultRowHeight="12.75" outlineLevelRow="1" outlineLevelCol="1"/>
  <cols>
    <col min="1" max="1" width="26.7109375" bestFit="1" customWidth="1"/>
    <col min="2" max="3" width="9.28515625" hidden="1" customWidth="1" outlineLevel="1"/>
    <col min="4" max="4" width="9.28515625" bestFit="1" customWidth="1" collapsed="1"/>
    <col min="5" max="9" width="9.28515625" customWidth="1"/>
    <col min="10" max="13" width="9.28515625" hidden="1" customWidth="1" outlineLevel="1"/>
    <col min="14" max="14" width="6.28515625" customWidth="1" collapsed="1"/>
    <col min="15" max="15" width="26.5703125" bestFit="1" customWidth="1"/>
    <col min="16" max="17" width="9.140625" hidden="1" customWidth="1" outlineLevel="1"/>
    <col min="18" max="18" width="9.140625" customWidth="1" collapsed="1"/>
    <col min="19" max="20" width="9.140625" customWidth="1"/>
    <col min="21" max="27" width="9.140625" hidden="1" customWidth="1" outlineLevel="1"/>
    <col min="28" max="28" width="9.140625" customWidth="1" collapsed="1"/>
    <col min="29" max="29" width="6" customWidth="1"/>
    <col min="30" max="30" width="22.85546875" bestFit="1" customWidth="1"/>
    <col min="31" max="32" width="8" hidden="1" customWidth="1" outlineLevel="1"/>
    <col min="33" max="33" width="8" customWidth="1" collapsed="1"/>
    <col min="34" max="35" width="8" customWidth="1"/>
    <col min="36" max="36" width="8" style="52" customWidth="1"/>
    <col min="37" max="37" width="8" customWidth="1"/>
    <col min="38" max="40" width="10.28515625" hidden="1" customWidth="1" outlineLevel="1"/>
    <col min="41" max="41" width="10.28515625" customWidth="1" collapsed="1"/>
    <col min="42" max="43" width="10.28515625" customWidth="1"/>
    <col min="44" max="44" width="10.28515625" hidden="1" customWidth="1" outlineLevel="1"/>
    <col min="45" max="45" width="10.28515625" customWidth="1" collapsed="1"/>
    <col min="49" max="49" width="9.140625" hidden="1" customWidth="1" outlineLevel="1"/>
    <col min="50" max="50" width="9.140625" collapsed="1"/>
  </cols>
  <sheetData>
    <row r="1" spans="1:49" s="18" customFormat="1" ht="18">
      <c r="A1" s="648" t="str">
        <f>Index!$F$12</f>
        <v>São Martinho</v>
      </c>
      <c r="B1" s="649"/>
      <c r="C1" s="649"/>
      <c r="D1" s="649"/>
      <c r="E1" s="649"/>
      <c r="F1" s="649"/>
      <c r="G1" s="649"/>
      <c r="H1" s="649"/>
      <c r="I1" s="649"/>
      <c r="J1" s="649"/>
      <c r="K1" s="649"/>
      <c r="L1" s="649"/>
      <c r="M1" s="649"/>
      <c r="N1" s="649"/>
      <c r="O1" s="649"/>
      <c r="P1" s="649"/>
      <c r="Q1" s="649"/>
      <c r="R1" s="649"/>
      <c r="S1" s="649"/>
      <c r="T1" s="649"/>
      <c r="U1" s="649"/>
      <c r="V1" s="649"/>
      <c r="W1" s="649"/>
      <c r="X1" s="649"/>
      <c r="Y1" s="649"/>
      <c r="Z1" s="649"/>
      <c r="AA1" s="649"/>
      <c r="AB1" s="649"/>
      <c r="AC1" s="649"/>
      <c r="AD1" s="649"/>
      <c r="AE1" s="649"/>
      <c r="AF1" s="169"/>
      <c r="AG1" s="169"/>
      <c r="AH1" s="169"/>
      <c r="AI1" s="169"/>
      <c r="AJ1" s="169"/>
      <c r="AK1" s="169"/>
      <c r="AL1" s="169"/>
      <c r="AM1" s="169"/>
      <c r="AN1" s="169"/>
      <c r="AO1" s="169"/>
      <c r="AP1" s="169"/>
      <c r="AQ1" s="169"/>
      <c r="AR1" s="169"/>
      <c r="AS1" s="169"/>
      <c r="AT1" s="169"/>
      <c r="AU1" s="169"/>
      <c r="AV1" s="169"/>
      <c r="AW1" s="169"/>
    </row>
    <row r="2" spans="1:49">
      <c r="A2" s="156" t="s">
        <v>543</v>
      </c>
      <c r="B2" s="234"/>
      <c r="C2" s="234"/>
      <c r="D2" s="234"/>
      <c r="E2" s="234"/>
      <c r="F2" s="234"/>
      <c r="G2" s="234"/>
      <c r="H2" s="234"/>
      <c r="I2" s="234"/>
      <c r="J2" s="234"/>
      <c r="K2" s="234"/>
      <c r="L2" s="234"/>
      <c r="M2" s="234"/>
      <c r="N2" s="234"/>
      <c r="O2" s="234"/>
      <c r="P2" s="234"/>
      <c r="Q2" s="234"/>
      <c r="R2" s="234"/>
      <c r="S2" s="234"/>
      <c r="T2" s="234"/>
      <c r="U2" s="234"/>
      <c r="V2" s="234"/>
      <c r="W2" s="234"/>
      <c r="X2" s="234"/>
      <c r="Y2" s="234"/>
      <c r="Z2" s="234"/>
      <c r="AA2" s="234"/>
      <c r="AB2" s="234"/>
      <c r="AC2" s="234"/>
      <c r="AD2" s="234"/>
      <c r="AE2" s="234"/>
      <c r="AF2" s="126"/>
      <c r="AG2" s="126"/>
      <c r="AH2" s="126"/>
      <c r="AI2" s="126"/>
      <c r="AJ2" s="126"/>
      <c r="AK2" s="100" t="s">
        <v>27</v>
      </c>
      <c r="AL2" s="100"/>
      <c r="AM2" s="100"/>
      <c r="AN2" s="100"/>
      <c r="AO2" s="100"/>
      <c r="AP2" s="100"/>
      <c r="AQ2" s="100"/>
      <c r="AR2" s="100"/>
      <c r="AS2" s="100"/>
      <c r="AT2" s="100"/>
      <c r="AU2" s="100"/>
      <c r="AV2" s="100"/>
      <c r="AW2" s="100"/>
    </row>
    <row r="3" spans="1:49">
      <c r="A3" s="52"/>
      <c r="B3" s="52"/>
      <c r="C3" s="52"/>
      <c r="D3" s="52"/>
      <c r="E3" s="52"/>
      <c r="F3" s="52"/>
      <c r="G3" s="1401"/>
      <c r="H3" s="1401"/>
      <c r="I3" s="1401"/>
      <c r="J3" s="1401"/>
      <c r="K3" s="1401"/>
      <c r="L3" s="1401"/>
      <c r="M3" s="1401"/>
      <c r="N3" s="52"/>
      <c r="O3" s="52"/>
      <c r="P3" s="52"/>
      <c r="Q3" s="52"/>
      <c r="R3" s="52"/>
      <c r="S3" s="52"/>
      <c r="T3" s="52"/>
      <c r="U3" s="1401"/>
      <c r="V3" s="1401"/>
      <c r="W3" s="1401"/>
      <c r="X3" s="1401"/>
      <c r="Y3" s="1401"/>
      <c r="Z3" s="1401"/>
      <c r="AA3" s="1401"/>
      <c r="AB3" s="1401"/>
      <c r="AC3" s="52"/>
      <c r="AD3" s="52"/>
      <c r="AE3" s="52"/>
      <c r="AF3" s="52"/>
      <c r="AG3" s="52"/>
      <c r="AH3" s="52"/>
    </row>
    <row r="4" spans="1:49">
      <c r="A4" s="78" t="s">
        <v>544</v>
      </c>
      <c r="B4" s="1315">
        <f>Summary!G6</f>
        <v>2014</v>
      </c>
      <c r="C4" s="1315">
        <f>Summary!H6</f>
        <v>2015</v>
      </c>
      <c r="D4" s="1585">
        <f>Summary!I6</f>
        <v>2016</v>
      </c>
      <c r="E4" s="1585">
        <f>Summary!J6</f>
        <v>2017</v>
      </c>
      <c r="F4" s="1650">
        <f>Summary!K6</f>
        <v>2018</v>
      </c>
      <c r="G4" s="1650">
        <f>Summary!L6</f>
        <v>2019</v>
      </c>
      <c r="H4" s="1650">
        <f>Summary!M6</f>
        <v>2020</v>
      </c>
      <c r="I4" s="1650">
        <f>Summary!N6</f>
        <v>2021</v>
      </c>
      <c r="J4" s="1650">
        <f>Summary!O6</f>
        <v>2022</v>
      </c>
      <c r="K4" s="1650">
        <f>Summary!P6</f>
        <v>2023</v>
      </c>
      <c r="L4" s="1650">
        <f>Summary!Q6</f>
        <v>2024</v>
      </c>
      <c r="M4" s="1650">
        <f>Summary!R6</f>
        <v>2025</v>
      </c>
      <c r="N4" s="52"/>
      <c r="O4" s="78" t="s">
        <v>545</v>
      </c>
      <c r="P4" s="77">
        <f>B4</f>
        <v>2014</v>
      </c>
      <c r="Q4" s="77">
        <f>C4</f>
        <v>2015</v>
      </c>
      <c r="R4" s="1585">
        <f>D4</f>
        <v>2016</v>
      </c>
      <c r="S4" s="1585">
        <f t="shared" ref="S4:AA4" si="0">E4</f>
        <v>2017</v>
      </c>
      <c r="T4" s="1650">
        <f t="shared" si="0"/>
        <v>2018</v>
      </c>
      <c r="U4" s="1650">
        <f t="shared" si="0"/>
        <v>2019</v>
      </c>
      <c r="V4" s="1650">
        <f t="shared" si="0"/>
        <v>2020</v>
      </c>
      <c r="W4" s="1650">
        <f t="shared" si="0"/>
        <v>2021</v>
      </c>
      <c r="X4" s="1650">
        <f t="shared" si="0"/>
        <v>2022</v>
      </c>
      <c r="Y4" s="1650">
        <f t="shared" si="0"/>
        <v>2023</v>
      </c>
      <c r="Z4" s="1650">
        <f t="shared" si="0"/>
        <v>2024</v>
      </c>
      <c r="AA4" s="1650">
        <f t="shared" si="0"/>
        <v>2025</v>
      </c>
      <c r="AB4" s="1650"/>
      <c r="AC4" s="52"/>
      <c r="AD4" s="78" t="s">
        <v>546</v>
      </c>
      <c r="AE4" s="77">
        <f>Financials!L35</f>
        <v>2014</v>
      </c>
      <c r="AF4" s="77">
        <f>Financials!M35</f>
        <v>2015</v>
      </c>
      <c r="AG4" s="77">
        <f>Financials!N35</f>
        <v>2016</v>
      </c>
      <c r="AH4" s="77">
        <f>Financials!O35</f>
        <v>2017</v>
      </c>
      <c r="AI4" s="1650">
        <f>Financials!P35</f>
        <v>2018</v>
      </c>
      <c r="AJ4" s="1650">
        <f>Financials!Q35</f>
        <v>2019</v>
      </c>
      <c r="AK4" s="1650">
        <f>Financials!R35</f>
        <v>2020</v>
      </c>
    </row>
    <row r="5" spans="1:49" hidden="1" outlineLevel="1">
      <c r="A5" s="55" t="s">
        <v>449</v>
      </c>
      <c r="B5" s="56" t="str">
        <f t="shared" ref="B5:G5" si="1">"FY"&amp;B4</f>
        <v>FY2014</v>
      </c>
      <c r="C5" s="56" t="str">
        <f t="shared" si="1"/>
        <v>FY2015</v>
      </c>
      <c r="D5" s="56" t="str">
        <f t="shared" si="1"/>
        <v>FY2016</v>
      </c>
      <c r="E5" s="56" t="str">
        <f t="shared" si="1"/>
        <v>FY2017</v>
      </c>
      <c r="F5" s="56" t="str">
        <f t="shared" si="1"/>
        <v>FY2018</v>
      </c>
      <c r="G5" s="56" t="str">
        <f t="shared" si="1"/>
        <v>FY2019</v>
      </c>
      <c r="H5" s="56" t="str">
        <f t="shared" ref="H5:M5" si="2">"FY"&amp;H4</f>
        <v>FY2020</v>
      </c>
      <c r="I5" s="56" t="str">
        <f t="shared" si="2"/>
        <v>FY2021</v>
      </c>
      <c r="J5" s="56" t="str">
        <f t="shared" si="2"/>
        <v>FY2022</v>
      </c>
      <c r="K5" s="56" t="str">
        <f t="shared" si="2"/>
        <v>FY2023</v>
      </c>
      <c r="L5" s="56" t="str">
        <f t="shared" si="2"/>
        <v>FY2024</v>
      </c>
      <c r="M5" s="56" t="str">
        <f t="shared" si="2"/>
        <v>FY2025</v>
      </c>
      <c r="N5" s="54"/>
      <c r="O5" s="54"/>
      <c r="P5" s="54"/>
      <c r="Q5" s="54"/>
      <c r="R5" s="54"/>
      <c r="S5" s="54"/>
      <c r="T5" s="1650"/>
      <c r="U5" s="54"/>
      <c r="V5" s="54"/>
      <c r="W5" s="54"/>
      <c r="X5" s="54"/>
      <c r="Y5" s="54"/>
      <c r="Z5" s="54"/>
      <c r="AA5" s="54"/>
      <c r="AB5" s="54"/>
      <c r="AC5" s="54"/>
      <c r="AD5" s="55" t="s">
        <v>21</v>
      </c>
      <c r="AE5" s="56" t="s">
        <v>547</v>
      </c>
      <c r="AF5" s="56" t="s">
        <v>548</v>
      </c>
      <c r="AG5" s="56" t="s">
        <v>549</v>
      </c>
      <c r="AH5" s="56" t="s">
        <v>550</v>
      </c>
      <c r="AI5" s="56" t="s">
        <v>1172</v>
      </c>
      <c r="AJ5" s="56" t="s">
        <v>1173</v>
      </c>
      <c r="AK5" s="56" t="s">
        <v>1174</v>
      </c>
      <c r="AL5" s="56" t="s">
        <v>1648</v>
      </c>
      <c r="AM5" s="56" t="s">
        <v>1650</v>
      </c>
      <c r="AN5" s="56" t="s">
        <v>1649</v>
      </c>
      <c r="AO5" s="56"/>
    </row>
    <row r="6" spans="1:49" collapsed="1">
      <c r="A6" s="52"/>
      <c r="B6" s="52"/>
      <c r="C6" s="52"/>
      <c r="D6" s="52"/>
      <c r="E6" s="1401"/>
      <c r="F6" s="52"/>
      <c r="G6" s="60"/>
      <c r="H6" s="60"/>
      <c r="I6" s="60"/>
      <c r="J6" s="1401"/>
      <c r="K6" s="1401"/>
      <c r="L6" s="1401"/>
      <c r="M6" s="1401"/>
      <c r="N6" s="52"/>
      <c r="O6" s="52"/>
      <c r="P6" s="52"/>
      <c r="Q6" s="52"/>
      <c r="R6" s="52"/>
      <c r="S6" s="1401"/>
      <c r="T6" s="52"/>
      <c r="U6" s="1401"/>
      <c r="V6" s="1401"/>
      <c r="W6" s="1401"/>
      <c r="X6" s="1401"/>
      <c r="Y6" s="1401"/>
      <c r="Z6" s="1401"/>
      <c r="AA6" s="1401"/>
      <c r="AB6" s="1401"/>
      <c r="AC6" s="52"/>
      <c r="AD6" s="52"/>
      <c r="AE6" s="52"/>
      <c r="AF6" s="52"/>
      <c r="AG6" s="52"/>
      <c r="AH6" s="1401"/>
      <c r="AI6" s="52"/>
      <c r="AK6" s="52"/>
    </row>
    <row r="7" spans="1:49">
      <c r="A7" s="57" t="s">
        <v>450</v>
      </c>
      <c r="B7" s="58"/>
      <c r="C7" s="58"/>
      <c r="D7" s="58"/>
      <c r="E7" s="58"/>
      <c r="F7" s="2370">
        <f>+F8/Index!I41-1</f>
        <v>-0.10869536153109616</v>
      </c>
      <c r="G7" s="58"/>
      <c r="H7" s="58"/>
      <c r="I7" s="58"/>
      <c r="J7" s="58"/>
      <c r="K7" s="58"/>
      <c r="L7" s="58"/>
      <c r="M7" s="58"/>
      <c r="N7" s="52"/>
      <c r="O7" s="57" t="s">
        <v>450</v>
      </c>
      <c r="P7" s="58"/>
      <c r="Q7" s="58"/>
      <c r="R7" s="58"/>
      <c r="S7" s="58"/>
      <c r="T7" s="58"/>
      <c r="U7" s="58"/>
      <c r="V7" s="58"/>
      <c r="W7" s="58"/>
      <c r="X7" s="58"/>
      <c r="Y7" s="58"/>
      <c r="Z7" s="58"/>
      <c r="AA7" s="58"/>
      <c r="AB7" s="1782"/>
      <c r="AC7" s="52"/>
      <c r="AD7" s="57" t="s">
        <v>551</v>
      </c>
      <c r="AE7" s="58"/>
      <c r="AF7" s="58"/>
      <c r="AG7" s="58"/>
      <c r="AH7" s="58"/>
      <c r="AI7" s="58"/>
      <c r="AJ7" s="58"/>
      <c r="AK7" s="58"/>
      <c r="AL7" s="58"/>
      <c r="AM7" s="58"/>
      <c r="AN7" s="58"/>
      <c r="AO7" s="1782"/>
      <c r="AP7" s="57" t="s">
        <v>1693</v>
      </c>
      <c r="AQ7" s="58"/>
      <c r="AR7" s="58"/>
      <c r="AS7" s="58"/>
      <c r="AT7" s="58"/>
      <c r="AU7" s="58"/>
      <c r="AV7" s="58"/>
      <c r="AW7" s="58"/>
    </row>
    <row r="8" spans="1:49">
      <c r="A8" s="14" t="s">
        <v>286</v>
      </c>
      <c r="B8" s="52"/>
      <c r="C8" s="52"/>
      <c r="F8" s="83">
        <f>+Financials!W150</f>
        <v>16.399999999999999</v>
      </c>
      <c r="G8" s="83"/>
      <c r="H8" s="83"/>
      <c r="I8" s="83"/>
      <c r="J8" s="83"/>
      <c r="K8" s="83"/>
      <c r="L8" s="83"/>
      <c r="M8" s="83"/>
      <c r="N8" s="52"/>
      <c r="O8" s="52" t="s">
        <v>639</v>
      </c>
      <c r="P8" s="79">
        <f>Financials!L6</f>
        <v>15593</v>
      </c>
      <c r="Q8" s="79">
        <f>Financials!M6</f>
        <v>18718</v>
      </c>
      <c r="R8" s="79">
        <f>Financials!N6</f>
        <v>20024</v>
      </c>
      <c r="S8" s="79">
        <f>Financials!O6</f>
        <v>19281</v>
      </c>
      <c r="T8" s="1616">
        <f>Financials!P6</f>
        <v>22299.999999999996</v>
      </c>
      <c r="U8" s="1616">
        <f>Financials!Q6</f>
        <v>23414.999999999996</v>
      </c>
      <c r="V8" s="1616">
        <f>Financials!R6</f>
        <v>23883.3</v>
      </c>
      <c r="W8" s="1616">
        <f>Financials!S6</f>
        <v>24599.798999999995</v>
      </c>
      <c r="X8" s="1616">
        <f>Financials!T6</f>
        <v>25042.595381999992</v>
      </c>
      <c r="Y8" s="1616">
        <f>Financials!U6</f>
        <v>25493.362098875994</v>
      </c>
      <c r="Z8" s="1616">
        <f>Financials!V6</f>
        <v>25952.242616655767</v>
      </c>
      <c r="AA8" s="1616">
        <f>Financials!W6</f>
        <v>26419.382983755571</v>
      </c>
      <c r="AB8" s="1616"/>
      <c r="AC8" s="52"/>
      <c r="AD8" s="1469" t="s">
        <v>1215</v>
      </c>
      <c r="AE8" s="52"/>
      <c r="AF8" s="52"/>
      <c r="AG8" s="52"/>
      <c r="AH8" s="1401"/>
      <c r="AI8" s="83"/>
      <c r="AJ8" s="83"/>
      <c r="AK8" s="83">
        <f>Summary!W58</f>
        <v>16.399999999999999</v>
      </c>
      <c r="AL8" s="83"/>
      <c r="AM8" s="83"/>
      <c r="AN8" s="83"/>
      <c r="AO8" s="83"/>
      <c r="AP8" s="2538" t="s">
        <v>1692</v>
      </c>
      <c r="AQ8" s="2538"/>
      <c r="AR8" s="2538"/>
      <c r="AS8" s="2538"/>
      <c r="AT8" s="2538"/>
      <c r="AU8" s="2538"/>
      <c r="AV8" s="2538"/>
      <c r="AW8" s="83">
        <f>Summary!AI51</f>
        <v>0</v>
      </c>
    </row>
    <row r="9" spans="1:49">
      <c r="A9" s="52" t="s">
        <v>167</v>
      </c>
      <c r="B9" s="195">
        <f t="shared" ref="B9:M9" si="3">P15</f>
        <v>1971.69</v>
      </c>
      <c r="C9" s="195">
        <f t="shared" si="3"/>
        <v>2325.1619999999998</v>
      </c>
      <c r="D9" s="195">
        <f t="shared" si="3"/>
        <v>2727.3789999999999</v>
      </c>
      <c r="E9" s="195">
        <f t="shared" si="3"/>
        <v>3002.8820000000001</v>
      </c>
      <c r="F9" s="361">
        <f t="shared" si="3"/>
        <v>3656.7611338954334</v>
      </c>
      <c r="G9" s="361">
        <f t="shared" si="3"/>
        <v>3782.0958344005958</v>
      </c>
      <c r="H9" s="361">
        <f t="shared" si="3"/>
        <v>4084.7849487160179</v>
      </c>
      <c r="I9" s="361">
        <f t="shared" si="3"/>
        <v>4701.0846333566287</v>
      </c>
      <c r="J9" s="361">
        <f t="shared" si="3"/>
        <v>5031.1990094477269</v>
      </c>
      <c r="K9" s="361">
        <f t="shared" si="3"/>
        <v>4788.1568893299891</v>
      </c>
      <c r="L9" s="361">
        <f t="shared" si="3"/>
        <v>4665.5521600540633</v>
      </c>
      <c r="M9" s="361">
        <f t="shared" si="3"/>
        <v>5221.0482727477665</v>
      </c>
      <c r="N9" s="52"/>
      <c r="O9" s="52" t="s">
        <v>640</v>
      </c>
      <c r="P9" s="79">
        <f>Financials!L19</f>
        <v>991.2</v>
      </c>
      <c r="Q9" s="79">
        <f>Financials!M19</f>
        <v>1177.0999999999999</v>
      </c>
      <c r="R9" s="79">
        <f>Financials!N19</f>
        <v>1201</v>
      </c>
      <c r="S9" s="79">
        <f>Financials!O19</f>
        <v>1313.7</v>
      </c>
      <c r="T9" s="1616">
        <f>Financials!P19</f>
        <v>1395.035815774088</v>
      </c>
      <c r="U9" s="1616">
        <f>Financials!Q19</f>
        <v>1477.5586582487051</v>
      </c>
      <c r="V9" s="1616">
        <f>Financials!R19</f>
        <v>1514.9914199906761</v>
      </c>
      <c r="W9" s="1616">
        <f>Financials!S19</f>
        <v>1568.2177770680119</v>
      </c>
      <c r="X9" s="1616">
        <f>Financials!T19</f>
        <v>1604.4296709965454</v>
      </c>
      <c r="Y9" s="1616">
        <f>Financials!U19</f>
        <v>1641.4758404898287</v>
      </c>
      <c r="Z9" s="1616">
        <f>Financials!V19</f>
        <v>1679.3775243636262</v>
      </c>
      <c r="AA9" s="1616">
        <f>Financials!W19</f>
        <v>1718.1543510194051</v>
      </c>
      <c r="AB9" s="1616"/>
      <c r="AC9" s="52"/>
      <c r="AD9" s="14" t="s">
        <v>1216</v>
      </c>
      <c r="AK9" s="63">
        <f>Summary!V58</f>
        <v>27</v>
      </c>
      <c r="AP9" s="2539"/>
      <c r="AQ9" s="2539"/>
      <c r="AR9" s="2539"/>
      <c r="AS9" s="2539"/>
      <c r="AT9" s="2539"/>
      <c r="AU9" s="2539"/>
      <c r="AV9" s="2539"/>
    </row>
    <row r="10" spans="1:49">
      <c r="A10" s="52" t="s">
        <v>219</v>
      </c>
      <c r="B10" s="195">
        <f t="shared" ref="B10:E11" si="4">P17</f>
        <v>766.2399999999999</v>
      </c>
      <c r="C10" s="195">
        <f t="shared" si="4"/>
        <v>1091.5249999999999</v>
      </c>
      <c r="D10" s="195">
        <f t="shared" si="4"/>
        <v>1302.2130000000002</v>
      </c>
      <c r="E10" s="195">
        <f t="shared" si="4"/>
        <v>1445.088</v>
      </c>
      <c r="F10" s="361">
        <f t="shared" ref="F10:F11" si="5">T17</f>
        <v>1759.0220528034631</v>
      </c>
      <c r="G10" s="361">
        <f>U17</f>
        <v>1780.1509011492542</v>
      </c>
      <c r="H10" s="361">
        <f t="shared" ref="H10:H11" si="6">V17</f>
        <v>1952.9908721268353</v>
      </c>
      <c r="I10" s="361">
        <f t="shared" ref="I10:I11" si="7">W17</f>
        <v>2298.6292562952813</v>
      </c>
      <c r="J10" s="361">
        <f t="shared" ref="J10:J11" si="8">X17</f>
        <v>2458.0074493075854</v>
      </c>
      <c r="K10" s="361">
        <f t="shared" ref="K10:K11" si="9">Y17</f>
        <v>2226.7144313496665</v>
      </c>
      <c r="L10" s="361">
        <f t="shared" ref="L10:L11" si="10">Z17</f>
        <v>2090.1126866537361</v>
      </c>
      <c r="M10" s="361">
        <f t="shared" ref="M10:M11" si="11">AA17</f>
        <v>2653.5978609798112</v>
      </c>
      <c r="N10" s="52"/>
      <c r="O10" s="52" t="s">
        <v>641</v>
      </c>
      <c r="P10" s="79">
        <f>Financials!L24</f>
        <v>638.6</v>
      </c>
      <c r="Q10" s="79">
        <f>Financials!M24</f>
        <v>713.39999999999986</v>
      </c>
      <c r="R10" s="79">
        <f>Financials!N24</f>
        <v>795.00000000000011</v>
      </c>
      <c r="S10" s="79">
        <f>Financials!O24</f>
        <v>698.4</v>
      </c>
      <c r="T10" s="1616">
        <f>Financials!P24</f>
        <v>879.55627833581912</v>
      </c>
      <c r="U10" s="1616">
        <f>Financials!Q24</f>
        <v>937.54041027191488</v>
      </c>
      <c r="V10" s="1616">
        <f>Financials!R24</f>
        <v>960.82114211459702</v>
      </c>
      <c r="W10" s="1616">
        <f>Financials!S24</f>
        <v>994.61259887007463</v>
      </c>
      <c r="X10" s="1616">
        <f>Financials!T24</f>
        <v>1017.5769355600827</v>
      </c>
      <c r="Y10" s="1616">
        <f>Financials!U24</f>
        <v>1041.0728680958862</v>
      </c>
      <c r="Z10" s="1616">
        <f>Financials!V24</f>
        <v>1065.1112357398565</v>
      </c>
      <c r="AA10" s="1616">
        <f>Financials!W24</f>
        <v>1089.7046544504815</v>
      </c>
      <c r="AB10" s="1616"/>
      <c r="AC10" s="52"/>
      <c r="AD10" s="14" t="s">
        <v>1217</v>
      </c>
      <c r="AK10" s="63">
        <f>Summary!X58</f>
        <v>13.1</v>
      </c>
      <c r="AP10" s="2539"/>
      <c r="AQ10" s="2539"/>
      <c r="AR10" s="2539"/>
      <c r="AS10" s="2539"/>
      <c r="AT10" s="2539"/>
      <c r="AU10" s="2539"/>
      <c r="AV10" s="2539"/>
    </row>
    <row r="11" spans="1:49">
      <c r="A11" s="61" t="s">
        <v>399</v>
      </c>
      <c r="B11" s="80">
        <f t="shared" si="4"/>
        <v>0.38862092925358444</v>
      </c>
      <c r="C11" s="80">
        <f t="shared" si="4"/>
        <v>0.46944040888333799</v>
      </c>
      <c r="D11" s="80">
        <f t="shared" si="4"/>
        <v>0.47745949499501178</v>
      </c>
      <c r="E11" s="80">
        <f t="shared" si="4"/>
        <v>0.48123369483049949</v>
      </c>
      <c r="F11" s="1613">
        <f t="shared" si="5"/>
        <v>0.48103280154086298</v>
      </c>
      <c r="G11" s="1613">
        <f>U18</f>
        <v>0.47067842251844494</v>
      </c>
      <c r="H11" s="1613">
        <f t="shared" si="6"/>
        <v>0.47811351066124658</v>
      </c>
      <c r="I11" s="1613">
        <f t="shared" si="7"/>
        <v>0.48895721638051715</v>
      </c>
      <c r="J11" s="1613">
        <f t="shared" si="8"/>
        <v>0.48855301583019672</v>
      </c>
      <c r="K11" s="1613">
        <f t="shared" si="9"/>
        <v>0.4650462553371455</v>
      </c>
      <c r="L11" s="1613">
        <f t="shared" si="10"/>
        <v>0.44798827983299544</v>
      </c>
      <c r="M11" s="1613">
        <f t="shared" si="11"/>
        <v>0.50825001462460317</v>
      </c>
      <c r="N11" s="52"/>
      <c r="O11" s="52" t="s">
        <v>642</v>
      </c>
      <c r="P11" s="79">
        <f>Financials!L30</f>
        <v>445.5</v>
      </c>
      <c r="Q11" s="79">
        <f>Financials!M30</f>
        <v>639</v>
      </c>
      <c r="R11" s="79">
        <f>Financials!N30</f>
        <v>831.2</v>
      </c>
      <c r="S11" s="79">
        <f>Financials!O30</f>
        <v>914.5</v>
      </c>
      <c r="T11" s="1616">
        <f>Financials!P30</f>
        <v>900.00000000000011</v>
      </c>
      <c r="U11" s="1616">
        <f>Financials!Q30</f>
        <v>900.00000000000011</v>
      </c>
      <c r="V11" s="1616">
        <f>Financials!R30</f>
        <v>918.75</v>
      </c>
      <c r="W11" s="1616">
        <f>Financials!S30</f>
        <v>937.5</v>
      </c>
      <c r="X11" s="1616">
        <f>Financials!T30</f>
        <v>956.25</v>
      </c>
      <c r="Y11" s="1616">
        <f>Financials!U30</f>
        <v>974.99999999999989</v>
      </c>
      <c r="Z11" s="1616">
        <f>Financials!V30</f>
        <v>993.74999999999977</v>
      </c>
      <c r="AA11" s="1616">
        <f>Financials!W30</f>
        <v>1012.4999999999998</v>
      </c>
      <c r="AB11" s="1616"/>
      <c r="AC11" s="52"/>
      <c r="AD11" s="1401" t="s">
        <v>295</v>
      </c>
      <c r="AE11" s="1478">
        <f>Financials!L36</f>
        <v>1971.69</v>
      </c>
      <c r="AF11" s="1478">
        <f>Financials!M36</f>
        <v>2325.1619999999998</v>
      </c>
      <c r="AG11" s="1478">
        <f>Financials!N36</f>
        <v>2727.3789999999999</v>
      </c>
      <c r="AH11" s="1478">
        <f>Financials!O36</f>
        <v>3002.8820000000001</v>
      </c>
      <c r="AI11" s="1629">
        <f>Financials!P36</f>
        <v>3656.7611338954334</v>
      </c>
      <c r="AJ11" s="1629">
        <f>Financials!Q36</f>
        <v>3782.0958344005958</v>
      </c>
      <c r="AK11" s="1629">
        <f>Financials!R36</f>
        <v>4084.7849487160179</v>
      </c>
      <c r="AL11" s="1629">
        <f>Financials!S36</f>
        <v>4701.0846333566287</v>
      </c>
      <c r="AM11" s="1629">
        <f>Financials!T36</f>
        <v>5031.1990094477269</v>
      </c>
      <c r="AN11" s="1629">
        <f>Financials!U36</f>
        <v>4788.1568893299891</v>
      </c>
      <c r="AO11" s="1629"/>
      <c r="AP11" s="2539"/>
      <c r="AQ11" s="2539"/>
      <c r="AR11" s="2539"/>
      <c r="AS11" s="2539"/>
      <c r="AT11" s="2539"/>
      <c r="AU11" s="2539"/>
      <c r="AV11" s="2539"/>
    </row>
    <row r="12" spans="1:49">
      <c r="A12" s="52" t="s">
        <v>220</v>
      </c>
      <c r="B12" s="195">
        <f>AN14</f>
        <v>999.77813581046735</v>
      </c>
      <c r="C12" s="195">
        <f>AP14</f>
        <v>0</v>
      </c>
      <c r="D12" s="195">
        <f>AQ14</f>
        <v>0</v>
      </c>
      <c r="E12" s="195">
        <f>AR14</f>
        <v>0</v>
      </c>
      <c r="F12" s="361">
        <f t="shared" ref="F12:J12" si="12">AS14</f>
        <v>0</v>
      </c>
      <c r="G12" s="361">
        <f t="shared" si="12"/>
        <v>0</v>
      </c>
      <c r="H12" s="361">
        <f t="shared" si="12"/>
        <v>0</v>
      </c>
      <c r="I12" s="361">
        <f t="shared" si="12"/>
        <v>0</v>
      </c>
      <c r="J12" s="361">
        <f t="shared" si="12"/>
        <v>0</v>
      </c>
      <c r="K12" s="361">
        <f t="shared" ref="K12" si="13">AX14</f>
        <v>0</v>
      </c>
      <c r="L12" s="361">
        <f t="shared" ref="L12" si="14">AY14</f>
        <v>0</v>
      </c>
      <c r="M12" s="361">
        <f>AX14</f>
        <v>0</v>
      </c>
      <c r="N12" s="52"/>
      <c r="O12" s="52" t="s">
        <v>643</v>
      </c>
      <c r="P12" s="164">
        <f>Financials!L12</f>
        <v>0.48</v>
      </c>
      <c r="Q12" s="164">
        <f>Financials!M12</f>
        <v>0.49</v>
      </c>
      <c r="R12" s="164">
        <f>Financials!N12</f>
        <v>0.5</v>
      </c>
      <c r="S12" s="164">
        <f>Financials!O12</f>
        <v>0.63</v>
      </c>
      <c r="T12" s="1617">
        <f>Financials!P12</f>
        <v>0.49</v>
      </c>
      <c r="U12" s="1617">
        <f>Financials!Q12</f>
        <v>0.49</v>
      </c>
      <c r="V12" s="1617">
        <f>Financials!R12</f>
        <v>0.49</v>
      </c>
      <c r="W12" s="1617">
        <f>Financials!S12</f>
        <v>0.49</v>
      </c>
      <c r="X12" s="1617">
        <f>Financials!T12</f>
        <v>0.49</v>
      </c>
      <c r="Y12" s="1617">
        <f>Financials!U12</f>
        <v>0.49</v>
      </c>
      <c r="Z12" s="1617">
        <f>Financials!V12</f>
        <v>0.49</v>
      </c>
      <c r="AA12" s="1617">
        <f>Financials!W12</f>
        <v>0.49</v>
      </c>
      <c r="AB12" s="1617"/>
      <c r="AC12" s="52"/>
      <c r="AD12" s="1401" t="s">
        <v>681</v>
      </c>
      <c r="AE12" s="1478">
        <f>Financials!L55</f>
        <v>766.2399999999999</v>
      </c>
      <c r="AF12" s="1478">
        <f>Financials!M55</f>
        <v>1091.5249999999999</v>
      </c>
      <c r="AG12" s="1478">
        <f>Financials!N55</f>
        <v>1302.2130000000002</v>
      </c>
      <c r="AH12" s="1478">
        <f>Financials!O55</f>
        <v>1445.088</v>
      </c>
      <c r="AI12" s="1629">
        <f>Financials!P55</f>
        <v>1759.0220528034631</v>
      </c>
      <c r="AJ12" s="1629">
        <f>Financials!Q55</f>
        <v>1780.1509011492542</v>
      </c>
      <c r="AK12" s="1629">
        <f>Financials!R55</f>
        <v>1952.9908721268353</v>
      </c>
      <c r="AL12" s="1629">
        <f>Financials!S55</f>
        <v>2298.6292562952813</v>
      </c>
      <c r="AM12" s="1629">
        <f>Financials!T55</f>
        <v>2458.0074493075854</v>
      </c>
      <c r="AN12" s="1629">
        <f>Financials!U55</f>
        <v>2226.7144313496665</v>
      </c>
      <c r="AO12" s="1629"/>
      <c r="AP12" s="2539"/>
      <c r="AQ12" s="2539"/>
      <c r="AR12" s="2539"/>
      <c r="AS12" s="2539"/>
      <c r="AT12" s="2539"/>
      <c r="AU12" s="2539"/>
      <c r="AV12" s="2539"/>
    </row>
    <row r="13" spans="1:49">
      <c r="A13" s="52" t="s">
        <v>402</v>
      </c>
      <c r="B13" s="195">
        <f>P20</f>
        <v>135.00200000000004</v>
      </c>
      <c r="C13" s="195">
        <f>Q20</f>
        <v>317.23799999999966</v>
      </c>
      <c r="D13" s="195">
        <f>R20</f>
        <v>199.43399999999997</v>
      </c>
      <c r="E13" s="195">
        <f>S20</f>
        <v>283.88800000000009</v>
      </c>
      <c r="F13" s="361">
        <f t="shared" ref="F13:M13" si="15">T20</f>
        <v>522.80188661749276</v>
      </c>
      <c r="G13" s="361">
        <f t="shared" si="15"/>
        <v>572.98959662179311</v>
      </c>
      <c r="H13" s="361">
        <f t="shared" si="15"/>
        <v>677.72574167962398</v>
      </c>
      <c r="I13" s="361">
        <f t="shared" si="15"/>
        <v>810.05220237657215</v>
      </c>
      <c r="J13" s="361">
        <f t="shared" si="15"/>
        <v>859.59540637902387</v>
      </c>
      <c r="K13" s="361">
        <f t="shared" si="15"/>
        <v>710.7614377814981</v>
      </c>
      <c r="L13" s="361">
        <f t="shared" si="15"/>
        <v>596.87896213261342</v>
      </c>
      <c r="M13" s="361">
        <f t="shared" si="15"/>
        <v>780.14521072285834</v>
      </c>
      <c r="N13" s="52"/>
      <c r="O13" s="52" t="s">
        <v>644</v>
      </c>
      <c r="P13" s="164">
        <f>Financials!L26</f>
        <v>0.62</v>
      </c>
      <c r="Q13" s="164">
        <f>Financials!M26</f>
        <v>0.56000000000000005</v>
      </c>
      <c r="R13" s="164">
        <f>Financials!N26</f>
        <v>0.6</v>
      </c>
      <c r="S13" s="164">
        <f>Financials!O26</f>
        <v>0.54</v>
      </c>
      <c r="T13" s="1617">
        <f>Financials!P26</f>
        <v>0.5876873570332416</v>
      </c>
      <c r="U13" s="1617">
        <f>Financials!Q26</f>
        <v>0.5876873570332416</v>
      </c>
      <c r="V13" s="1617">
        <f>Financials!R26</f>
        <v>0.5876873570332416</v>
      </c>
      <c r="W13" s="1617">
        <f>Financials!S26</f>
        <v>0.5876873570332416</v>
      </c>
      <c r="X13" s="1617">
        <f>Financials!T26</f>
        <v>0.5876873570332416</v>
      </c>
      <c r="Y13" s="1617">
        <f>Financials!U26</f>
        <v>0.5876873570332416</v>
      </c>
      <c r="Z13" s="1617">
        <f>Financials!V26</f>
        <v>0.5876873570332416</v>
      </c>
      <c r="AA13" s="1617">
        <f>Financials!W26</f>
        <v>0.5876873570332416</v>
      </c>
      <c r="AB13" s="1617"/>
      <c r="AC13" s="52"/>
      <c r="AD13" s="1401" t="s">
        <v>1205</v>
      </c>
      <c r="AE13" s="468">
        <f>Financials!L60</f>
        <v>0.38862092925358444</v>
      </c>
      <c r="AF13" s="468">
        <f>Financials!M60</f>
        <v>0.46944040888333799</v>
      </c>
      <c r="AG13" s="468">
        <f>Financials!N60</f>
        <v>0.47745949499501178</v>
      </c>
      <c r="AH13" s="468">
        <f>Financials!O60</f>
        <v>0.48123369483049949</v>
      </c>
      <c r="AI13" s="1622">
        <f>Financials!P60</f>
        <v>0.48103280154086298</v>
      </c>
      <c r="AJ13" s="1622">
        <f>Financials!Q60</f>
        <v>0.47067842251844494</v>
      </c>
      <c r="AK13" s="1622">
        <f>Financials!R60</f>
        <v>0.47811351066124658</v>
      </c>
      <c r="AL13" s="1622">
        <f>Financials!S60</f>
        <v>0.48895721638051715</v>
      </c>
      <c r="AM13" s="1622">
        <f>Financials!T60</f>
        <v>0.48855301583019672</v>
      </c>
      <c r="AN13" s="1622">
        <f>Financials!U60</f>
        <v>0.4650462553371455</v>
      </c>
      <c r="AO13" s="1622"/>
      <c r="AP13" s="2539"/>
      <c r="AQ13" s="2539"/>
      <c r="AR13" s="2539"/>
      <c r="AS13" s="2539"/>
      <c r="AT13" s="2539"/>
      <c r="AU13" s="2539"/>
      <c r="AV13" s="2539"/>
    </row>
    <row r="14" spans="1:49">
      <c r="A14" s="52" t="s">
        <v>304</v>
      </c>
      <c r="B14" s="81">
        <f>AN16</f>
        <v>1.9555000102384512</v>
      </c>
      <c r="C14" s="81">
        <f>AP16</f>
        <v>0</v>
      </c>
      <c r="D14" s="81">
        <f>AQ16</f>
        <v>0</v>
      </c>
      <c r="E14" s="81">
        <f>AR16</f>
        <v>0</v>
      </c>
      <c r="F14" s="1614">
        <f t="shared" ref="F14:J14" si="16">AS16</f>
        <v>0</v>
      </c>
      <c r="G14" s="1614">
        <f t="shared" si="16"/>
        <v>0</v>
      </c>
      <c r="H14" s="1614">
        <f t="shared" si="16"/>
        <v>0</v>
      </c>
      <c r="I14" s="1614">
        <f t="shared" si="16"/>
        <v>0</v>
      </c>
      <c r="J14" s="1614">
        <f t="shared" si="16"/>
        <v>0</v>
      </c>
      <c r="K14" s="1614">
        <f t="shared" ref="K14" si="17">AX16</f>
        <v>0</v>
      </c>
      <c r="L14" s="1614">
        <f t="shared" ref="L14" si="18">AY16</f>
        <v>0</v>
      </c>
      <c r="M14" s="1614">
        <f>AX16</f>
        <v>0</v>
      </c>
      <c r="N14" s="52"/>
      <c r="O14" s="1401" t="s">
        <v>1561</v>
      </c>
      <c r="R14" s="79">
        <f>Q_IS!L15</f>
        <v>2581</v>
      </c>
      <c r="S14" s="79">
        <f>Q_IS!M15</f>
        <v>2512</v>
      </c>
      <c r="T14" s="1616">
        <f>Q_IS!N15</f>
        <v>2977.0499999999997</v>
      </c>
      <c r="U14" s="1616">
        <f>Q_IS!O15</f>
        <v>3162.5469749999988</v>
      </c>
      <c r="V14" s="1616">
        <f>Q_IS!P15</f>
        <v>3241.9269040724985</v>
      </c>
      <c r="W14" s="1616">
        <f>Q_IS!Q15</f>
        <v>3355.8806347506461</v>
      </c>
      <c r="X14" s="1616">
        <f>Q_IS!R15</f>
        <v>3433.3679186070385</v>
      </c>
      <c r="Y14" s="1616">
        <f>Q_IS!S15</f>
        <v>3512.6443838476744</v>
      </c>
      <c r="Z14" s="1616">
        <f>Q_IS!T15</f>
        <v>3593.7513426707169</v>
      </c>
      <c r="AA14" s="1616">
        <f>Q_IS!U15</f>
        <v>3676.7310611729831</v>
      </c>
      <c r="AB14" s="1616"/>
      <c r="AC14" s="52"/>
      <c r="AD14" s="1401" t="s">
        <v>220</v>
      </c>
      <c r="AE14" s="1478">
        <f>Financials!L68</f>
        <v>302.91800000000001</v>
      </c>
      <c r="AF14" s="1478">
        <f>Financials!M68</f>
        <v>532.68599999999969</v>
      </c>
      <c r="AG14" s="1478">
        <f>Financials!N68</f>
        <v>512.05299999999988</v>
      </c>
      <c r="AH14" s="1478">
        <f>Financials!O68</f>
        <v>706.48700000000008</v>
      </c>
      <c r="AI14" s="1629">
        <f>Financials!P68</f>
        <v>821.99908906319183</v>
      </c>
      <c r="AJ14" s="1629">
        <f>Financials!Q68</f>
        <v>811.01167708280195</v>
      </c>
      <c r="AK14" s="1629">
        <f>Financials!R68</f>
        <v>906.28938993016277</v>
      </c>
      <c r="AL14" s="1629">
        <f>Financials!S68</f>
        <v>1094.004700671343</v>
      </c>
      <c r="AM14" s="1629">
        <f>Financials!T68</f>
        <v>1168.7930777968661</v>
      </c>
      <c r="AN14" s="1629">
        <f>Financials!U68</f>
        <v>999.77813581046735</v>
      </c>
      <c r="AO14" s="1629"/>
      <c r="AP14" s="2539"/>
      <c r="AQ14" s="2539"/>
      <c r="AR14" s="2539"/>
      <c r="AS14" s="2539"/>
      <c r="AT14" s="2539"/>
      <c r="AU14" s="2539"/>
      <c r="AV14" s="2539"/>
    </row>
    <row r="15" spans="1:49">
      <c r="A15" s="52" t="s">
        <v>80</v>
      </c>
      <c r="B15" s="195">
        <f>Financials!L117+B16</f>
        <v>-103.72379200000012</v>
      </c>
      <c r="C15" s="195">
        <f>Financials!M117+C16</f>
        <v>-121.10826000000009</v>
      </c>
      <c r="D15" s="195">
        <f>Financials!N117+D16</f>
        <v>92.999652000000083</v>
      </c>
      <c r="E15" s="195">
        <f>Financials!O117+E16</f>
        <v>-81.478999999999928</v>
      </c>
      <c r="F15" s="361">
        <f>Financials!P117+F16</f>
        <v>471.8031977745145</v>
      </c>
      <c r="G15" s="361">
        <f>Financials!Q117+G16</f>
        <v>543.82937490024051</v>
      </c>
      <c r="H15" s="361">
        <f>Financials!R117+H16</f>
        <v>541.14360858351824</v>
      </c>
      <c r="I15" s="361">
        <f>Financials!S117+I16</f>
        <v>707.29050047404962</v>
      </c>
      <c r="J15" s="361">
        <f>Financials!T117+J16</f>
        <v>795.16555246071607</v>
      </c>
      <c r="K15" s="361">
        <f>Financials!U117+K16</f>
        <v>647.01852965942794</v>
      </c>
      <c r="L15" s="361">
        <f>Financials!V117+L16</f>
        <v>342.18480006594859</v>
      </c>
      <c r="M15" s="361">
        <f>Financials!W117+M16</f>
        <v>504.42451934925953</v>
      </c>
      <c r="N15" s="52"/>
      <c r="O15" s="52" t="s">
        <v>167</v>
      </c>
      <c r="P15" s="79">
        <f>Financials!L36</f>
        <v>1971.69</v>
      </c>
      <c r="Q15" s="79">
        <f>Financials!M36</f>
        <v>2325.1619999999998</v>
      </c>
      <c r="R15" s="79">
        <f>Financials!N36</f>
        <v>2727.3789999999999</v>
      </c>
      <c r="S15" s="79">
        <f>Financials!O36</f>
        <v>3002.8820000000001</v>
      </c>
      <c r="T15" s="1616">
        <f>Financials!P36</f>
        <v>3656.7611338954334</v>
      </c>
      <c r="U15" s="1616">
        <f>Financials!Q36</f>
        <v>3782.0958344005958</v>
      </c>
      <c r="V15" s="1616">
        <f>Financials!R36</f>
        <v>4084.7849487160179</v>
      </c>
      <c r="W15" s="1616">
        <f>Financials!S36</f>
        <v>4701.0846333566287</v>
      </c>
      <c r="X15" s="1616">
        <f>Financials!T36</f>
        <v>5031.1990094477269</v>
      </c>
      <c r="Y15" s="1616">
        <f>Financials!U36</f>
        <v>4788.1568893299891</v>
      </c>
      <c r="Z15" s="1616">
        <f>Financials!V36</f>
        <v>4665.5521600540633</v>
      </c>
      <c r="AA15" s="1616">
        <f>Financials!W36</f>
        <v>5221.0482727477665</v>
      </c>
      <c r="AB15" s="1613"/>
      <c r="AC15" s="52"/>
      <c r="AD15" s="1401" t="s">
        <v>402</v>
      </c>
      <c r="AE15" s="1478">
        <f>Financials!L80</f>
        <v>135.00200000000004</v>
      </c>
      <c r="AF15" s="1478">
        <f>Financials!M80</f>
        <v>317.23799999999966</v>
      </c>
      <c r="AG15" s="1478">
        <f>Financials!N80</f>
        <v>199.43399999999997</v>
      </c>
      <c r="AH15" s="1478">
        <f>Financials!O80</f>
        <v>283.88800000000009</v>
      </c>
      <c r="AI15" s="1629">
        <f>Financials!P80</f>
        <v>522.80188661749276</v>
      </c>
      <c r="AJ15" s="1629">
        <f>Financials!Q80</f>
        <v>572.98959662179311</v>
      </c>
      <c r="AK15" s="1629">
        <f>Financials!R80</f>
        <v>677.72574167962398</v>
      </c>
      <c r="AL15" s="1629">
        <f>Financials!S80</f>
        <v>810.05220237657215</v>
      </c>
      <c r="AM15" s="1629">
        <f>Financials!T80</f>
        <v>859.59540637902387</v>
      </c>
      <c r="AN15" s="1629">
        <f>Financials!U80</f>
        <v>710.7614377814981</v>
      </c>
      <c r="AO15" s="1629"/>
      <c r="AP15" s="2539"/>
      <c r="AQ15" s="2539"/>
      <c r="AR15" s="2539"/>
      <c r="AS15" s="2539"/>
      <c r="AT15" s="2539"/>
      <c r="AU15" s="2539"/>
      <c r="AV15" s="2539"/>
    </row>
    <row r="16" spans="1:49">
      <c r="A16" s="52" t="s">
        <v>313</v>
      </c>
      <c r="B16" s="195">
        <f>Financials!L118</f>
        <v>-658.44399999999996</v>
      </c>
      <c r="C16" s="195">
        <f>Financials!M118</f>
        <v>-812.029</v>
      </c>
      <c r="D16" s="195">
        <f>Financials!N118</f>
        <v>-840.81400000000008</v>
      </c>
      <c r="E16" s="195">
        <f>Financials!O118</f>
        <v>-976.98</v>
      </c>
      <c r="F16" s="361">
        <f>Financials!P118</f>
        <v>-990.91228347385686</v>
      </c>
      <c r="G16" s="361">
        <f>Financials!Q118</f>
        <v>-1022.2459586001482</v>
      </c>
      <c r="H16" s="361">
        <f>Financials!R118</f>
        <v>-1223.805845179005</v>
      </c>
      <c r="I16" s="361">
        <f>Financials!S118</f>
        <v>-1383.4198210911582</v>
      </c>
      <c r="J16" s="361">
        <f>Financials!T118</f>
        <v>-1471.7311882750189</v>
      </c>
      <c r="K16" s="361">
        <f>Financials!U118</f>
        <v>-1417.0078734257606</v>
      </c>
      <c r="L16" s="361">
        <f>Financials!V118</f>
        <v>-1392.6595437548831</v>
      </c>
      <c r="M16" s="361">
        <f>Financials!W118</f>
        <v>-1538.1137500929303</v>
      </c>
      <c r="N16" s="52"/>
      <c r="O16" s="61" t="s">
        <v>396</v>
      </c>
      <c r="P16" s="80">
        <f>Financials!L44</f>
        <v>0.49640511439425056</v>
      </c>
      <c r="Q16" s="80">
        <f>Financials!M44</f>
        <v>0.55098741507043369</v>
      </c>
      <c r="R16" s="80">
        <f>Financials!N44</f>
        <v>0.54622368215051886</v>
      </c>
      <c r="S16" s="80">
        <f>Financials!O44</f>
        <v>0.5217521034792576</v>
      </c>
      <c r="T16" s="1613">
        <f>Financials!P44</f>
        <v>0.56041021645547784</v>
      </c>
      <c r="U16" s="1613">
        <f>Financials!Q44</f>
        <v>0.55246694900654114</v>
      </c>
      <c r="V16" s="1613">
        <f>Financials!R44</f>
        <v>0.55795395334408959</v>
      </c>
      <c r="W16" s="1613">
        <f>Financials!S44</f>
        <v>0.56238646826180971</v>
      </c>
      <c r="X16" s="1613">
        <f>Financials!T44</f>
        <v>0.56083064606104605</v>
      </c>
      <c r="Y16" s="1613">
        <f>Financials!U44</f>
        <v>0.54505166187927745</v>
      </c>
      <c r="Z16" s="1613">
        <f>Financials!V44</f>
        <v>0.5344833642692528</v>
      </c>
      <c r="AA16" s="1613">
        <f>Financials!W44</f>
        <v>0.58967040581556651</v>
      </c>
      <c r="AB16" s="109"/>
      <c r="AC16" s="52"/>
      <c r="AD16" s="1401" t="s">
        <v>304</v>
      </c>
      <c r="AE16" s="401">
        <f>Financials!L87</f>
        <v>0.4000592671615476</v>
      </c>
      <c r="AF16" s="401">
        <f>Financials!M87</f>
        <v>0.93696615275562545</v>
      </c>
      <c r="AG16" s="401">
        <f>Financials!N87</f>
        <v>0.5872511086376565</v>
      </c>
      <c r="AH16" s="401">
        <f>Financials!O87</f>
        <v>0.83975874033822517</v>
      </c>
      <c r="AI16" s="1001">
        <f>Financials!P87</f>
        <v>1.4811048649185479</v>
      </c>
      <c r="AJ16" s="1001">
        <f>Financials!Q87</f>
        <v>1.5764518198367707</v>
      </c>
      <c r="AK16" s="1001">
        <f>Financials!R87</f>
        <v>1.8646097330913265</v>
      </c>
      <c r="AL16" s="1001">
        <f>Financials!S87</f>
        <v>2.2286761856205777</v>
      </c>
      <c r="AM16" s="1001">
        <f>Financials!T87</f>
        <v>2.3649831527464777</v>
      </c>
      <c r="AN16" s="1001">
        <f>Financials!U87</f>
        <v>1.9555000102384512</v>
      </c>
      <c r="AO16" s="1001"/>
      <c r="AP16" s="2539"/>
      <c r="AQ16" s="2539"/>
      <c r="AR16" s="2539"/>
      <c r="AS16" s="2539"/>
      <c r="AT16" s="2539"/>
      <c r="AU16" s="2539"/>
      <c r="AV16" s="2539"/>
    </row>
    <row r="17" spans="1:49">
      <c r="A17" s="52" t="s">
        <v>387</v>
      </c>
      <c r="B17" s="195">
        <f t="shared" ref="B17:E18" si="19">P22</f>
        <v>1538.4810000000002</v>
      </c>
      <c r="C17" s="195">
        <f t="shared" si="19"/>
        <v>2487.0839999999998</v>
      </c>
      <c r="D17" s="195">
        <f t="shared" si="19"/>
        <v>2719.038</v>
      </c>
      <c r="E17" s="195">
        <f t="shared" si="19"/>
        <v>2547.1279999999997</v>
      </c>
      <c r="F17" s="361">
        <f t="shared" ref="F17:F18" si="20">T22</f>
        <v>2250.5675568724828</v>
      </c>
      <c r="G17" s="361">
        <f t="shared" ref="G17:G18" si="21">U22</f>
        <v>1993.232980283138</v>
      </c>
      <c r="H17" s="361">
        <f t="shared" ref="H17:H18" si="22">V22</f>
        <v>1926.4973908753568</v>
      </c>
      <c r="I17" s="361">
        <f t="shared" ref="I17:I18" si="23">W22</f>
        <v>1786.2434320649077</v>
      </c>
      <c r="J17" s="361">
        <f t="shared" ref="J17:J18" si="24">X22</f>
        <v>1592.7946640695084</v>
      </c>
      <c r="K17" s="361">
        <f t="shared" ref="K17:K18" si="25">Y22</f>
        <v>1656.537572191578</v>
      </c>
      <c r="L17" s="361">
        <f t="shared" ref="L17:L18" si="26">Z22</f>
        <v>1911.2317342582433</v>
      </c>
      <c r="M17" s="361">
        <f t="shared" ref="M17:M18" si="27">AA22</f>
        <v>2186.9524256318423</v>
      </c>
      <c r="N17" s="52"/>
      <c r="O17" s="52" t="s">
        <v>681</v>
      </c>
      <c r="P17" s="79">
        <f>Financials!L55</f>
        <v>766.2399999999999</v>
      </c>
      <c r="Q17" s="79">
        <f>Financials!M55</f>
        <v>1091.5249999999999</v>
      </c>
      <c r="R17" s="79">
        <f>Financials!N55</f>
        <v>1302.2130000000002</v>
      </c>
      <c r="S17" s="79">
        <f>Financials!O55</f>
        <v>1445.088</v>
      </c>
      <c r="T17" s="1616">
        <f>Financials!P55</f>
        <v>1759.0220528034631</v>
      </c>
      <c r="U17" s="1616">
        <f>Financials!Q55</f>
        <v>1780.1509011492542</v>
      </c>
      <c r="V17" s="1616">
        <f>Financials!R55</f>
        <v>1952.9908721268353</v>
      </c>
      <c r="W17" s="1616">
        <f>Financials!S55</f>
        <v>2298.6292562952813</v>
      </c>
      <c r="X17" s="1616">
        <f>Financials!T55</f>
        <v>2458.0074493075854</v>
      </c>
      <c r="Y17" s="1616">
        <f>Financials!U55</f>
        <v>2226.7144313496665</v>
      </c>
      <c r="Z17" s="1616">
        <f>Financials!V55</f>
        <v>2090.1126866537361</v>
      </c>
      <c r="AA17" s="1616">
        <f>Financials!W55</f>
        <v>2653.5978609798112</v>
      </c>
      <c r="AB17" s="1616"/>
      <c r="AC17" s="52"/>
      <c r="AD17" s="1401" t="s">
        <v>80</v>
      </c>
      <c r="AE17" s="253">
        <f>Financials!M132</f>
        <v>-146.47725999999977</v>
      </c>
      <c r="AF17" s="253">
        <f>Financials!N132</f>
        <v>288.58365200000037</v>
      </c>
      <c r="AG17" s="253">
        <f>Financials!O132</f>
        <v>-30.890999999999963</v>
      </c>
      <c r="AH17" s="253">
        <f>Financials!P132</f>
        <v>460.94419777451435</v>
      </c>
      <c r="AI17" s="699">
        <f>Financials!Q132</f>
        <v>543.82937490024051</v>
      </c>
      <c r="AJ17" s="699">
        <f>Financials!R132</f>
        <v>541.14360858351824</v>
      </c>
      <c r="AK17" s="699">
        <f>Financials!S132</f>
        <v>707.29050047404962</v>
      </c>
      <c r="AL17" s="699">
        <f>Financials!T132</f>
        <v>795.1655524607163</v>
      </c>
      <c r="AM17" s="699">
        <f>Financials!U132</f>
        <v>647.01852965942771</v>
      </c>
      <c r="AN17" s="699">
        <f>Financials!V132</f>
        <v>342.18480006594837</v>
      </c>
      <c r="AO17" s="699"/>
      <c r="AP17" s="2539"/>
      <c r="AQ17" s="2539"/>
      <c r="AR17" s="2539"/>
      <c r="AS17" s="2539"/>
      <c r="AT17" s="2539"/>
      <c r="AU17" s="2539"/>
      <c r="AV17" s="2539"/>
    </row>
    <row r="18" spans="1:49">
      <c r="A18" s="52" t="s">
        <v>553</v>
      </c>
      <c r="B18" s="82">
        <f t="shared" si="19"/>
        <v>2.0078317498433917</v>
      </c>
      <c r="C18" s="82">
        <f t="shared" si="19"/>
        <v>2.2785405739676143</v>
      </c>
      <c r="D18" s="82">
        <f t="shared" si="19"/>
        <v>2.0880132512883836</v>
      </c>
      <c r="E18" s="82">
        <f t="shared" si="19"/>
        <v>1.7626109967005468</v>
      </c>
      <c r="F18" s="1615">
        <f t="shared" si="20"/>
        <v>1.279442490948657</v>
      </c>
      <c r="G18" s="1615">
        <f t="shared" si="21"/>
        <v>1.1196988856373464</v>
      </c>
      <c r="H18" s="1615">
        <f t="shared" si="22"/>
        <v>0.98643440600281629</v>
      </c>
      <c r="I18" s="1615">
        <f t="shared" si="23"/>
        <v>0.77709070619931553</v>
      </c>
      <c r="J18" s="1615">
        <f t="shared" si="24"/>
        <v>0.64800237465439525</v>
      </c>
      <c r="K18" s="1615">
        <f t="shared" si="25"/>
        <v>0.74393804111985284</v>
      </c>
      <c r="L18" s="1615">
        <f t="shared" si="26"/>
        <v>0.91441564201886139</v>
      </c>
      <c r="M18" s="1615">
        <f t="shared" si="27"/>
        <v>0.82414613675650716</v>
      </c>
      <c r="N18" s="52"/>
      <c r="O18" s="61" t="s">
        <v>683</v>
      </c>
      <c r="P18" s="80">
        <f>Financials!L60</f>
        <v>0.38862092925358444</v>
      </c>
      <c r="Q18" s="80">
        <f>Financials!M60</f>
        <v>0.46944040888333799</v>
      </c>
      <c r="R18" s="80">
        <f>Financials!N60</f>
        <v>0.47745949499501178</v>
      </c>
      <c r="S18" s="80">
        <f>Financials!O60</f>
        <v>0.48123369483049949</v>
      </c>
      <c r="T18" s="1613">
        <f>Financials!P60</f>
        <v>0.48103280154086298</v>
      </c>
      <c r="U18" s="1613">
        <f>Financials!Q60</f>
        <v>0.47067842251844494</v>
      </c>
      <c r="V18" s="1613">
        <f>Financials!R60</f>
        <v>0.47811351066124658</v>
      </c>
      <c r="W18" s="1613">
        <f>Financials!S60</f>
        <v>0.48895721638051715</v>
      </c>
      <c r="X18" s="1613">
        <f>Financials!T60</f>
        <v>0.48855301583019672</v>
      </c>
      <c r="Y18" s="1613">
        <f>Financials!U60</f>
        <v>0.4650462553371455</v>
      </c>
      <c r="Z18" s="1613">
        <f>Financials!V60</f>
        <v>0.44798827983299544</v>
      </c>
      <c r="AA18" s="1613">
        <f>Financials!W60</f>
        <v>0.50825001462460317</v>
      </c>
      <c r="AB18" s="1613"/>
      <c r="AC18" s="52"/>
      <c r="AD18" s="1401" t="s">
        <v>264</v>
      </c>
      <c r="AE18" s="59">
        <f>Financials!M126</f>
        <v>2487.0839999999998</v>
      </c>
      <c r="AF18" s="59">
        <f>Financials!N126</f>
        <v>2719.038</v>
      </c>
      <c r="AG18" s="59">
        <f>Financials!O126</f>
        <v>2547.1279999999997</v>
      </c>
      <c r="AH18" s="59">
        <f>Financials!P126</f>
        <v>2250.5675568724828</v>
      </c>
      <c r="AI18" s="1618">
        <f>Financials!Q126</f>
        <v>1993.232980283138</v>
      </c>
      <c r="AJ18" s="1618">
        <f>Financials!R126</f>
        <v>1926.4973908753568</v>
      </c>
      <c r="AK18" s="1618">
        <f>Financials!S126</f>
        <v>1786.2434320649077</v>
      </c>
      <c r="AL18" s="1618">
        <f>Financials!T126</f>
        <v>1592.7946640695084</v>
      </c>
      <c r="AM18" s="1618">
        <f>Financials!U126</f>
        <v>1656.537572191578</v>
      </c>
      <c r="AN18" s="1618">
        <f>Financials!V126</f>
        <v>1911.2317342582433</v>
      </c>
      <c r="AO18" s="1618"/>
      <c r="AP18" s="2539"/>
      <c r="AQ18" s="2539"/>
      <c r="AR18" s="2539"/>
      <c r="AS18" s="2539"/>
      <c r="AT18" s="2539"/>
      <c r="AU18" s="2539"/>
      <c r="AV18" s="2539"/>
    </row>
    <row r="19" spans="1:49">
      <c r="A19" s="52"/>
      <c r="B19" s="52"/>
      <c r="C19" s="52"/>
      <c r="D19" s="52"/>
      <c r="E19" s="1401"/>
      <c r="F19" s="382"/>
      <c r="G19" s="382"/>
      <c r="H19" s="382"/>
      <c r="I19" s="382"/>
      <c r="J19" s="382"/>
      <c r="K19" s="382"/>
      <c r="L19" s="382"/>
      <c r="M19" s="382"/>
      <c r="N19" s="52"/>
      <c r="O19" s="61" t="s">
        <v>484</v>
      </c>
      <c r="P19" s="80">
        <f>Financials!L77</f>
        <v>0.31023242268330936</v>
      </c>
      <c r="Q19" s="80">
        <f>Financials!M77</f>
        <v>9.1214995804474369E-2</v>
      </c>
      <c r="R19" s="1640" t="str">
        <f>Financials!N77</f>
        <v>NM</v>
      </c>
      <c r="S19" s="1640">
        <f>Financials!O77</f>
        <v>0.36286983277712065</v>
      </c>
      <c r="T19" s="1613">
        <f>Financials!P77</f>
        <v>0.17</v>
      </c>
      <c r="U19" s="1613">
        <f>Financials!Q77</f>
        <v>0.13</v>
      </c>
      <c r="V19" s="1613">
        <f>Financials!R77</f>
        <v>0.13</v>
      </c>
      <c r="W19" s="1613">
        <f>Financials!S77</f>
        <v>0.17</v>
      </c>
      <c r="X19" s="1613">
        <f>Financials!T77</f>
        <v>0.19</v>
      </c>
      <c r="Y19" s="1613">
        <f>Financials!U77</f>
        <v>0.21</v>
      </c>
      <c r="Z19" s="1613">
        <f>Financials!V77</f>
        <v>0.22999999999999998</v>
      </c>
      <c r="AA19" s="1613">
        <f>Financials!W77</f>
        <v>0.34</v>
      </c>
      <c r="AB19" s="1613"/>
      <c r="AC19" s="52"/>
      <c r="AD19" s="106" t="s">
        <v>1148</v>
      </c>
      <c r="AE19" s="188">
        <f>Financials!M128</f>
        <v>2.2785405739676143</v>
      </c>
      <c r="AF19" s="188">
        <f>Financials!N128</f>
        <v>2.0880132512883836</v>
      </c>
      <c r="AG19" s="188">
        <f>Financials!O128</f>
        <v>1.7626109967005468</v>
      </c>
      <c r="AH19" s="188">
        <f>Financials!P128</f>
        <v>1.279442490948657</v>
      </c>
      <c r="AI19" s="1630">
        <f>Financials!Q128</f>
        <v>1.1196988856373464</v>
      </c>
      <c r="AJ19" s="1630">
        <f>Financials!R128</f>
        <v>0.98643440600281629</v>
      </c>
      <c r="AK19" s="1630">
        <f>Financials!S128</f>
        <v>0.77709070619931553</v>
      </c>
      <c r="AL19" s="1630">
        <f>Financials!T128</f>
        <v>0.64800237465439525</v>
      </c>
      <c r="AM19" s="1630">
        <f>Financials!U128</f>
        <v>0.74393804111985284</v>
      </c>
      <c r="AN19" s="1630">
        <f>Financials!V128</f>
        <v>0.91441564201886139</v>
      </c>
      <c r="AO19" s="1630"/>
      <c r="AP19" s="2539"/>
      <c r="AQ19" s="2539"/>
      <c r="AR19" s="2539"/>
      <c r="AS19" s="2539"/>
      <c r="AT19" s="2539"/>
      <c r="AU19" s="2539"/>
      <c r="AV19" s="2539"/>
    </row>
    <row r="20" spans="1:49">
      <c r="A20" s="52"/>
      <c r="B20" s="52"/>
      <c r="C20" s="52"/>
      <c r="D20" s="52"/>
      <c r="E20" s="1401"/>
      <c r="F20" s="52"/>
      <c r="G20" s="1401"/>
      <c r="H20" s="1401"/>
      <c r="I20" s="1401"/>
      <c r="J20" s="1401"/>
      <c r="K20" s="1401"/>
      <c r="L20" s="1401"/>
      <c r="M20" s="1401"/>
      <c r="N20" s="52"/>
      <c r="O20" s="52" t="s">
        <v>402</v>
      </c>
      <c r="P20" s="79">
        <f>Financials!L80</f>
        <v>135.00200000000004</v>
      </c>
      <c r="Q20" s="79">
        <f>Financials!M80</f>
        <v>317.23799999999966</v>
      </c>
      <c r="R20" s="79">
        <f>Financials!N80</f>
        <v>199.43399999999997</v>
      </c>
      <c r="S20" s="79">
        <f>Financials!O80</f>
        <v>283.88800000000009</v>
      </c>
      <c r="T20" s="1616">
        <f>Financials!P80</f>
        <v>522.80188661749276</v>
      </c>
      <c r="U20" s="1616">
        <f>Financials!Q80</f>
        <v>572.98959662179311</v>
      </c>
      <c r="V20" s="1616">
        <f>Financials!R80</f>
        <v>677.72574167962398</v>
      </c>
      <c r="W20" s="1616">
        <f>Financials!S80</f>
        <v>810.05220237657215</v>
      </c>
      <c r="X20" s="1616">
        <f>Financials!T80</f>
        <v>859.59540637902387</v>
      </c>
      <c r="Y20" s="1616">
        <f>Financials!U80</f>
        <v>710.7614377814981</v>
      </c>
      <c r="Z20" s="1616">
        <f>Financials!V80</f>
        <v>596.87896213261342</v>
      </c>
      <c r="AA20" s="1616">
        <f>Financials!W80</f>
        <v>780.14521072285834</v>
      </c>
      <c r="AB20" s="1616"/>
      <c r="AC20" s="52"/>
      <c r="AD20" s="52"/>
      <c r="AE20" s="52"/>
      <c r="AF20" s="52"/>
      <c r="AG20" s="52"/>
      <c r="AH20" s="1401"/>
      <c r="AI20" s="382"/>
      <c r="AJ20" s="382"/>
      <c r="AK20" s="382"/>
      <c r="AM20" s="61"/>
      <c r="AN20" s="62"/>
      <c r="AO20" s="62"/>
      <c r="AP20" s="62"/>
      <c r="AQ20" s="62"/>
      <c r="AR20" s="62"/>
      <c r="AS20" s="62"/>
      <c r="AT20" s="62"/>
      <c r="AU20" s="62"/>
    </row>
    <row r="21" spans="1:49">
      <c r="A21" s="52"/>
      <c r="B21" s="52"/>
      <c r="C21" s="52"/>
      <c r="D21" s="52"/>
      <c r="E21" s="1401"/>
      <c r="F21" s="52"/>
      <c r="G21" s="1401"/>
      <c r="H21" s="1401"/>
      <c r="I21" s="1401"/>
      <c r="J21" s="1401"/>
      <c r="K21" s="1401"/>
      <c r="L21" s="1401"/>
      <c r="M21" s="1401"/>
      <c r="N21" s="52"/>
      <c r="O21" s="52" t="s">
        <v>552</v>
      </c>
      <c r="P21" s="84">
        <f>Financials!L133</f>
        <v>0.33394904878555959</v>
      </c>
      <c r="Q21" s="84">
        <f>Financials!M133</f>
        <v>0.34923545112125526</v>
      </c>
      <c r="R21" s="84">
        <f>Financials!N133</f>
        <v>0.30828645377118474</v>
      </c>
      <c r="S21" s="84">
        <f>Financials!O133</f>
        <v>0.32534744955013217</v>
      </c>
      <c r="T21" s="109">
        <f>Financials!P133</f>
        <v>0.27098086180386327</v>
      </c>
      <c r="U21" s="109">
        <f>Financials!Q133</f>
        <v>0.27028557798619574</v>
      </c>
      <c r="V21" s="109">
        <f>Financials!R133</f>
        <v>0.29960104645501284</v>
      </c>
      <c r="W21" s="109">
        <f>Financials!S133</f>
        <v>0.29427673164509283</v>
      </c>
      <c r="X21" s="109">
        <f>Financials!T133</f>
        <v>0.29252096478619921</v>
      </c>
      <c r="Y21" s="109">
        <f>Financials!U133</f>
        <v>0.29594015112233379</v>
      </c>
      <c r="Z21" s="109">
        <f>Financials!V133</f>
        <v>0.29849833331168785</v>
      </c>
      <c r="AA21" s="109">
        <f>Financials!W133</f>
        <v>0.2945986456630561</v>
      </c>
      <c r="AB21" s="109"/>
      <c r="AC21" s="52"/>
      <c r="AD21" s="52"/>
      <c r="AE21" s="52"/>
      <c r="AF21" s="52"/>
      <c r="AG21" s="52"/>
      <c r="AH21" s="1401"/>
      <c r="AI21" s="382"/>
      <c r="AJ21" s="382"/>
      <c r="AK21" s="382"/>
      <c r="AM21" s="52"/>
      <c r="AN21" s="1350"/>
      <c r="AO21" s="1350"/>
      <c r="AP21" s="1350"/>
      <c r="AQ21" s="65"/>
      <c r="AR21" s="65"/>
      <c r="AS21" s="65"/>
      <c r="AT21" s="65"/>
      <c r="AU21" s="65"/>
    </row>
    <row r="22" spans="1:49">
      <c r="A22" s="52"/>
      <c r="B22" s="52"/>
      <c r="C22" s="52"/>
      <c r="D22" s="52"/>
      <c r="E22" s="1401"/>
      <c r="F22" s="52"/>
      <c r="G22" s="1401"/>
      <c r="H22" s="1401"/>
      <c r="I22" s="1401"/>
      <c r="J22" s="1401"/>
      <c r="K22" s="1401"/>
      <c r="L22" s="1401"/>
      <c r="M22" s="1401"/>
      <c r="N22" s="52"/>
      <c r="O22" s="52" t="s">
        <v>264</v>
      </c>
      <c r="P22" s="79">
        <f>Financials!L126</f>
        <v>1538.4810000000002</v>
      </c>
      <c r="Q22" s="79">
        <f>Financials!M126</f>
        <v>2487.0839999999998</v>
      </c>
      <c r="R22" s="79">
        <f>Financials!N126</f>
        <v>2719.038</v>
      </c>
      <c r="S22" s="79">
        <f>Financials!O126</f>
        <v>2547.1279999999997</v>
      </c>
      <c r="T22" s="1616">
        <f>Financials!P126</f>
        <v>2250.5675568724828</v>
      </c>
      <c r="U22" s="1616">
        <f>Financials!Q126</f>
        <v>1993.232980283138</v>
      </c>
      <c r="V22" s="1616">
        <f>Financials!R126</f>
        <v>1926.4973908753568</v>
      </c>
      <c r="W22" s="1616">
        <f>Financials!S126</f>
        <v>1786.2434320649077</v>
      </c>
      <c r="X22" s="1616">
        <f>Financials!T126</f>
        <v>1592.7946640695084</v>
      </c>
      <c r="Y22" s="1616">
        <f>Financials!U126</f>
        <v>1656.537572191578</v>
      </c>
      <c r="Z22" s="1616">
        <f>Financials!V126</f>
        <v>1911.2317342582433</v>
      </c>
      <c r="AA22" s="1616">
        <f>Financials!W126</f>
        <v>2186.9524256318423</v>
      </c>
      <c r="AB22" s="1616"/>
      <c r="AC22" s="52"/>
      <c r="AD22" s="52"/>
      <c r="AE22" s="52"/>
      <c r="AF22" s="52"/>
      <c r="AG22" s="52"/>
      <c r="AH22" s="1401"/>
      <c r="AI22" s="52"/>
      <c r="AK22" s="52"/>
      <c r="AM22" s="52"/>
      <c r="AN22" s="1350"/>
      <c r="AO22" s="1350"/>
      <c r="AP22" s="1350"/>
      <c r="AQ22" s="65"/>
      <c r="AR22" s="65"/>
      <c r="AS22" s="65"/>
      <c r="AT22" s="65"/>
      <c r="AU22" s="65"/>
    </row>
    <row r="23" spans="1:49">
      <c r="A23" s="52"/>
      <c r="B23" s="52"/>
      <c r="C23" s="52"/>
      <c r="D23" s="52"/>
      <c r="E23" s="1401"/>
      <c r="F23" s="52"/>
      <c r="G23" s="1401"/>
      <c r="H23" s="1401"/>
      <c r="I23" s="1401"/>
      <c r="J23" s="1401"/>
      <c r="K23" s="1401"/>
      <c r="L23" s="1401"/>
      <c r="M23" s="1401"/>
      <c r="N23" s="52"/>
      <c r="O23" s="52" t="s">
        <v>553</v>
      </c>
      <c r="P23" s="82">
        <f>Financials!L128</f>
        <v>2.0078317498433917</v>
      </c>
      <c r="Q23" s="82">
        <f>Financials!M128</f>
        <v>2.2785405739676143</v>
      </c>
      <c r="R23" s="82">
        <f>Financials!N128</f>
        <v>2.0880132512883836</v>
      </c>
      <c r="S23" s="82">
        <f>Financials!O128</f>
        <v>1.7626109967005468</v>
      </c>
      <c r="T23" s="1615">
        <f>Financials!P128</f>
        <v>1.279442490948657</v>
      </c>
      <c r="U23" s="1615">
        <f>Financials!Q128</f>
        <v>1.1196988856373464</v>
      </c>
      <c r="V23" s="1615">
        <f>Financials!R128</f>
        <v>0.98643440600281629</v>
      </c>
      <c r="W23" s="1615">
        <f>Financials!S128</f>
        <v>0.77709070619931553</v>
      </c>
      <c r="X23" s="1615">
        <f>Financials!T128</f>
        <v>0.64800237465439525</v>
      </c>
      <c r="Y23" s="1615">
        <f>Financials!U128</f>
        <v>0.74393804111985284</v>
      </c>
      <c r="Z23" s="1615">
        <f>Financials!V128</f>
        <v>0.91441564201886139</v>
      </c>
      <c r="AA23" s="1615">
        <f>Financials!W128</f>
        <v>0.82414613675650716</v>
      </c>
      <c r="AB23" s="1615"/>
      <c r="AC23" s="52"/>
      <c r="AD23" s="52"/>
      <c r="AE23" s="52"/>
      <c r="AF23" s="52"/>
      <c r="AG23" s="52"/>
      <c r="AH23" s="1401"/>
      <c r="AI23" s="52"/>
      <c r="AK23" s="52"/>
      <c r="AM23" s="52"/>
      <c r="AN23" s="320"/>
      <c r="AO23" s="320"/>
      <c r="AP23" s="320"/>
      <c r="AQ23" s="68"/>
      <c r="AR23" s="68"/>
      <c r="AS23" s="68"/>
      <c r="AT23" s="68"/>
      <c r="AU23" s="68"/>
    </row>
    <row r="24" spans="1:49">
      <c r="A24" s="1401"/>
      <c r="B24" s="1401"/>
      <c r="C24" s="1401"/>
      <c r="D24" s="1401"/>
      <c r="E24" s="1401"/>
      <c r="F24" s="1401"/>
      <c r="G24" s="1401"/>
      <c r="H24" s="1401"/>
      <c r="I24" s="1401"/>
      <c r="J24" s="1401"/>
      <c r="K24" s="1401"/>
      <c r="L24" s="1401"/>
      <c r="M24" s="1401"/>
      <c r="N24" s="1401"/>
      <c r="O24" s="1401" t="s">
        <v>1775</v>
      </c>
      <c r="P24" s="82"/>
      <c r="Q24" s="82"/>
      <c r="R24" s="82"/>
      <c r="S24" s="82"/>
      <c r="T24" s="1615">
        <f>Structure!AY10</f>
        <v>12.168185243148283</v>
      </c>
      <c r="U24" s="1615"/>
      <c r="V24" s="1615"/>
      <c r="W24" s="1615"/>
      <c r="X24" s="1615"/>
      <c r="Y24" s="1615"/>
      <c r="Z24" s="1615"/>
      <c r="AA24" s="1615"/>
      <c r="AB24" s="1615"/>
      <c r="AC24" s="1401"/>
      <c r="AD24" s="1401"/>
      <c r="AE24" s="1401"/>
      <c r="AF24" s="1401"/>
      <c r="AG24" s="1401"/>
      <c r="AH24" s="1401"/>
      <c r="AI24" s="1401"/>
      <c r="AJ24" s="1401"/>
      <c r="AK24" s="1401"/>
      <c r="AM24" s="1401"/>
      <c r="AN24" s="320"/>
      <c r="AO24" s="320"/>
      <c r="AP24" s="320"/>
      <c r="AQ24" s="68"/>
      <c r="AR24" s="68"/>
      <c r="AS24" s="68"/>
      <c r="AT24" s="68"/>
      <c r="AU24" s="68"/>
    </row>
    <row r="25" spans="1:49">
      <c r="A25" s="52"/>
      <c r="B25" s="52"/>
      <c r="C25" s="52"/>
      <c r="D25" s="52"/>
      <c r="E25" s="1401"/>
      <c r="F25" s="52"/>
      <c r="G25" s="1401"/>
      <c r="H25" s="1401"/>
      <c r="I25" s="1401"/>
      <c r="J25" s="1401"/>
      <c r="K25" s="1401"/>
      <c r="L25" s="1401"/>
      <c r="M25" s="1401"/>
      <c r="N25" s="52"/>
      <c r="O25" s="52"/>
      <c r="P25" s="52"/>
      <c r="Q25" s="52"/>
      <c r="R25" s="52"/>
      <c r="S25" s="1401"/>
      <c r="T25" s="52"/>
      <c r="U25" s="1401"/>
      <c r="V25" s="1401"/>
      <c r="W25" s="1401"/>
      <c r="X25" s="1401"/>
      <c r="Y25" s="1401"/>
      <c r="Z25" s="1401"/>
      <c r="AA25" s="1401"/>
      <c r="AB25" s="1401"/>
      <c r="AC25" s="52"/>
      <c r="AD25" s="52"/>
      <c r="AE25" s="52"/>
      <c r="AF25" s="52"/>
      <c r="AG25" s="52"/>
      <c r="AH25" s="1401"/>
      <c r="AI25" s="52"/>
      <c r="AK25" s="52"/>
    </row>
    <row r="26" spans="1:49">
      <c r="A26" s="57" t="s">
        <v>451</v>
      </c>
      <c r="B26" s="58"/>
      <c r="C26" s="58"/>
      <c r="D26" s="58"/>
      <c r="E26" s="58"/>
      <c r="F26" s="58"/>
      <c r="G26" s="58"/>
      <c r="H26" s="58"/>
      <c r="I26" s="58"/>
      <c r="J26" s="58"/>
      <c r="K26" s="58"/>
      <c r="L26" s="58"/>
      <c r="M26" s="58"/>
      <c r="N26" s="52"/>
      <c r="O26" s="57" t="s">
        <v>554</v>
      </c>
      <c r="P26" s="58"/>
      <c r="Q26" s="58"/>
      <c r="R26" s="58"/>
      <c r="S26" s="58"/>
      <c r="T26" s="1776">
        <v>42964</v>
      </c>
      <c r="U26" s="1776"/>
      <c r="V26" s="2274">
        <v>42808</v>
      </c>
      <c r="W26" s="1776"/>
      <c r="X26" s="1776"/>
      <c r="Y26" s="1776"/>
      <c r="Z26" s="1776"/>
      <c r="AA26" s="1776"/>
      <c r="AB26" s="2192"/>
      <c r="AC26" s="2192"/>
      <c r="AD26" s="57" t="s">
        <v>453</v>
      </c>
      <c r="AE26" s="58"/>
      <c r="AF26" s="58"/>
      <c r="AG26" s="58"/>
      <c r="AH26" s="58"/>
      <c r="AI26" s="1252" t="s">
        <v>1099</v>
      </c>
      <c r="AJ26" s="2536">
        <v>42424.397083333337</v>
      </c>
      <c r="AK26" s="2537"/>
    </row>
    <row r="27" spans="1:49">
      <c r="A27" s="14" t="s">
        <v>286</v>
      </c>
      <c r="B27" s="52"/>
      <c r="C27" s="52"/>
      <c r="F27" s="63">
        <v>21.64</v>
      </c>
      <c r="G27" s="63"/>
      <c r="H27" s="63"/>
      <c r="I27" s="63"/>
      <c r="J27" s="63"/>
      <c r="K27" s="63"/>
      <c r="L27" s="63"/>
      <c r="M27" s="63"/>
      <c r="N27" s="52"/>
      <c r="O27" s="54" t="str">
        <f t="shared" ref="O27:O33" si="28">O8</f>
        <v>Crushing ('000 tons)</v>
      </c>
      <c r="P27" s="161"/>
      <c r="Q27" s="161"/>
      <c r="R27" s="161"/>
      <c r="S27" s="161"/>
      <c r="T27" s="161">
        <v>22300</v>
      </c>
      <c r="U27" s="2208">
        <f>24000*98%</f>
        <v>23520</v>
      </c>
      <c r="V27" s="2208">
        <f t="shared" ref="V27:AA27" si="29">24000*98%</f>
        <v>23520</v>
      </c>
      <c r="W27" s="2208">
        <f t="shared" si="29"/>
        <v>23520</v>
      </c>
      <c r="X27" s="2208">
        <f t="shared" si="29"/>
        <v>23520</v>
      </c>
      <c r="Y27" s="2208">
        <f t="shared" si="29"/>
        <v>23520</v>
      </c>
      <c r="Z27" s="2208">
        <f t="shared" si="29"/>
        <v>23520</v>
      </c>
      <c r="AA27" s="2208">
        <f t="shared" si="29"/>
        <v>23520</v>
      </c>
      <c r="AB27" s="159"/>
      <c r="AC27" s="52"/>
      <c r="AD27" s="1469" t="s">
        <v>1215</v>
      </c>
      <c r="AE27" s="52"/>
      <c r="AF27" s="52"/>
      <c r="AG27" s="52"/>
      <c r="AH27" s="1401"/>
      <c r="AI27" s="52"/>
      <c r="AK27" s="2271">
        <f>MSvsConsensus!W8/3</f>
        <v>8199.9329999999991</v>
      </c>
      <c r="AL27">
        <v>15.97</v>
      </c>
      <c r="AP27" s="78" t="s">
        <v>1714</v>
      </c>
      <c r="AQ27" s="77"/>
      <c r="AR27" s="77"/>
      <c r="AS27" s="77"/>
      <c r="AT27" s="77"/>
      <c r="AU27" s="77"/>
      <c r="AV27" s="77"/>
      <c r="AW27" s="77"/>
    </row>
    <row r="28" spans="1:49">
      <c r="A28" s="52" t="s">
        <v>167</v>
      </c>
      <c r="B28" s="1791">
        <v>1955.63</v>
      </c>
      <c r="C28" s="1791">
        <v>2414.19</v>
      </c>
      <c r="D28" s="1791">
        <v>2766</v>
      </c>
      <c r="E28" s="1791">
        <v>3177</v>
      </c>
      <c r="F28" s="1783">
        <v>3766</v>
      </c>
      <c r="G28" s="1783">
        <v>3757</v>
      </c>
      <c r="H28" s="1783">
        <v>3964</v>
      </c>
      <c r="I28" s="1783">
        <v>4145</v>
      </c>
      <c r="J28" s="1783">
        <v>4290</v>
      </c>
      <c r="K28" s="1783" t="s">
        <v>452</v>
      </c>
      <c r="L28" s="1783" t="s">
        <v>452</v>
      </c>
      <c r="M28" s="1783" t="s">
        <v>452</v>
      </c>
      <c r="N28" s="260"/>
      <c r="O28" s="157" t="str">
        <f t="shared" si="28"/>
        <v>Sugar ('000 tons)</v>
      </c>
      <c r="P28" s="161"/>
      <c r="Q28" s="161"/>
      <c r="R28" s="161"/>
      <c r="S28" s="161"/>
      <c r="T28" s="161">
        <v>1400</v>
      </c>
      <c r="U28" s="159"/>
      <c r="V28" s="159"/>
      <c r="W28" s="159"/>
      <c r="X28" s="159"/>
      <c r="Y28" s="159"/>
      <c r="Z28" s="159"/>
      <c r="AA28" s="159"/>
      <c r="AB28" s="159"/>
      <c r="AC28" s="52"/>
      <c r="AD28" s="14" t="s">
        <v>1216</v>
      </c>
      <c r="AK28" s="2271">
        <f>MSvsConsensus!W9/3</f>
        <v>522.73925902267058</v>
      </c>
      <c r="AP28" s="317" t="s">
        <v>25</v>
      </c>
      <c r="AQ28" s="318"/>
      <c r="AR28" s="1139">
        <f>AF4</f>
        <v>2015</v>
      </c>
      <c r="AS28" s="2418">
        <f>AH4</f>
        <v>2017</v>
      </c>
      <c r="AT28" s="1078">
        <f>AI4</f>
        <v>2018</v>
      </c>
      <c r="AU28" s="1078">
        <v>2019</v>
      </c>
      <c r="AV28" s="1078">
        <v>2020</v>
      </c>
      <c r="AW28" s="1078">
        <v>2021</v>
      </c>
    </row>
    <row r="29" spans="1:49">
      <c r="A29" s="52" t="s">
        <v>219</v>
      </c>
      <c r="B29" s="1791">
        <v>795.71500000000003</v>
      </c>
      <c r="C29" s="1791">
        <v>1065.32</v>
      </c>
      <c r="D29" s="1791">
        <v>1327</v>
      </c>
      <c r="E29" s="1791">
        <v>1557</v>
      </c>
      <c r="F29" s="1783">
        <v>1808</v>
      </c>
      <c r="G29" s="1783">
        <v>1841</v>
      </c>
      <c r="H29" s="1783">
        <v>1896</v>
      </c>
      <c r="I29" s="1783">
        <v>1947</v>
      </c>
      <c r="J29" s="1783">
        <v>1984</v>
      </c>
      <c r="K29" s="1783" t="s">
        <v>452</v>
      </c>
      <c r="L29" s="1783" t="s">
        <v>452</v>
      </c>
      <c r="M29" s="1783" t="s">
        <v>452</v>
      </c>
      <c r="N29" s="260"/>
      <c r="O29" s="157" t="str">
        <f t="shared" si="28"/>
        <v>Ethanol ('000 m³)</v>
      </c>
      <c r="P29" s="161"/>
      <c r="Q29" s="161"/>
      <c r="R29" s="161"/>
      <c r="S29" s="161"/>
      <c r="T29" s="161">
        <f>450+430</f>
        <v>880</v>
      </c>
      <c r="U29" s="54"/>
      <c r="V29" s="54"/>
      <c r="W29" s="54"/>
      <c r="X29" s="54"/>
      <c r="Y29" s="54"/>
      <c r="Z29" s="54"/>
      <c r="AA29" s="54"/>
      <c r="AB29" s="54"/>
      <c r="AC29" s="52"/>
      <c r="AD29" s="14" t="s">
        <v>1217</v>
      </c>
      <c r="AK29" s="2271">
        <f>MSvsConsensus!W10/3</f>
        <v>331.53753295669156</v>
      </c>
      <c r="AP29" s="123" t="s">
        <v>286</v>
      </c>
      <c r="AQ29" s="319" t="s">
        <v>763</v>
      </c>
      <c r="AR29" s="320"/>
      <c r="AS29" s="320"/>
      <c r="AT29" s="320">
        <f>SOP!F18</f>
        <v>16.399999999999999</v>
      </c>
      <c r="AU29" s="320"/>
      <c r="AV29" s="320"/>
      <c r="AW29" s="320"/>
    </row>
    <row r="30" spans="1:49">
      <c r="A30" s="61" t="s">
        <v>399</v>
      </c>
      <c r="B30" s="1792">
        <f t="shared" ref="B30:M30" si="30">IFERROR(B29/B28,"N/A")</f>
        <v>0.40688422656637502</v>
      </c>
      <c r="C30" s="1792">
        <f t="shared" si="30"/>
        <v>0.44127429904025778</v>
      </c>
      <c r="D30" s="1792">
        <f t="shared" si="30"/>
        <v>0.47975415762834417</v>
      </c>
      <c r="E30" s="1792">
        <f t="shared" si="30"/>
        <v>0.49008498583569404</v>
      </c>
      <c r="F30" s="1784">
        <f t="shared" si="30"/>
        <v>0.48008497079129048</v>
      </c>
      <c r="G30" s="1784">
        <f t="shared" si="30"/>
        <v>0.49001863188714401</v>
      </c>
      <c r="H30" s="1784">
        <f t="shared" si="30"/>
        <v>0.4783047426841574</v>
      </c>
      <c r="I30" s="1784">
        <f t="shared" si="30"/>
        <v>0.46972255729794932</v>
      </c>
      <c r="J30" s="1784">
        <f t="shared" si="30"/>
        <v>0.4624708624708625</v>
      </c>
      <c r="K30" s="1784" t="str">
        <f t="shared" si="30"/>
        <v>N/A</v>
      </c>
      <c r="L30" s="1784" t="str">
        <f t="shared" si="30"/>
        <v>N/A</v>
      </c>
      <c r="M30" s="1784" t="str">
        <f t="shared" si="30"/>
        <v>N/A</v>
      </c>
      <c r="N30" s="260"/>
      <c r="O30" s="54" t="str">
        <f t="shared" si="28"/>
        <v>Cogeneration ('000 MWh)</v>
      </c>
      <c r="P30" s="159"/>
      <c r="Q30" s="161"/>
      <c r="R30" s="161"/>
      <c r="S30" s="161"/>
      <c r="T30" s="161">
        <v>900</v>
      </c>
      <c r="U30" s="159"/>
      <c r="V30" s="159"/>
      <c r="W30" s="159"/>
      <c r="X30" s="159"/>
      <c r="Y30" s="159"/>
      <c r="Z30" s="159"/>
      <c r="AA30" s="159"/>
      <c r="AB30" s="159"/>
      <c r="AC30" s="52"/>
      <c r="AD30" s="1401" t="s">
        <v>295</v>
      </c>
      <c r="AE30" s="1470">
        <v>1971.69</v>
      </c>
      <c r="AF30" s="1470">
        <v>2293.9850000000001</v>
      </c>
      <c r="AG30" s="1471">
        <v>2659.1341151696402</v>
      </c>
      <c r="AH30" s="1471">
        <v>3464.80611781881</v>
      </c>
      <c r="AI30" s="1625">
        <v>4006.4171048448202</v>
      </c>
      <c r="AJ30" s="1625">
        <v>4359.2896479027304</v>
      </c>
      <c r="AK30" s="1625">
        <v>4498.3631426954598</v>
      </c>
      <c r="AL30" s="1625">
        <v>4744.0178787323002</v>
      </c>
      <c r="AM30" s="1625" t="s">
        <v>972</v>
      </c>
      <c r="AN30" s="1625" t="s">
        <v>972</v>
      </c>
      <c r="AO30" s="1625"/>
      <c r="AP30" s="52"/>
      <c r="AQ30" s="52" t="s">
        <v>513</v>
      </c>
      <c r="AR30" s="320"/>
      <c r="AS30" s="320"/>
      <c r="AT30" s="1474">
        <f>AK27</f>
        <v>8199.9329999999991</v>
      </c>
      <c r="AU30" s="320"/>
      <c r="AV30" s="320"/>
      <c r="AW30" s="320"/>
    </row>
    <row r="31" spans="1:49">
      <c r="A31" s="52" t="s">
        <v>220</v>
      </c>
      <c r="B31" s="1791">
        <v>333.56200000000001</v>
      </c>
      <c r="C31" s="1791">
        <v>578.18100000000004</v>
      </c>
      <c r="D31" s="1791">
        <v>655</v>
      </c>
      <c r="E31" s="1791">
        <v>788</v>
      </c>
      <c r="F31" s="1783">
        <v>944</v>
      </c>
      <c r="G31" s="1783">
        <v>970</v>
      </c>
      <c r="H31" s="1783">
        <v>855</v>
      </c>
      <c r="I31" s="1783">
        <v>1060</v>
      </c>
      <c r="J31" s="1783">
        <v>1107</v>
      </c>
      <c r="K31" s="1783" t="s">
        <v>452</v>
      </c>
      <c r="L31" s="1783" t="s">
        <v>452</v>
      </c>
      <c r="M31" s="1783" t="s">
        <v>452</v>
      </c>
      <c r="N31" s="260"/>
      <c r="O31" s="157" t="str">
        <f t="shared" si="28"/>
        <v>Mix Sugar/Ethanol</v>
      </c>
      <c r="P31" s="160"/>
      <c r="Q31" s="942"/>
      <c r="R31" s="942"/>
      <c r="S31" s="942"/>
      <c r="T31" s="2307">
        <v>0.49</v>
      </c>
      <c r="U31" s="159"/>
      <c r="V31" s="159"/>
      <c r="W31" s="159"/>
      <c r="X31" s="159"/>
      <c r="Y31" s="159"/>
      <c r="Z31" s="159"/>
      <c r="AA31" s="159"/>
      <c r="AB31" s="159"/>
      <c r="AC31" s="52"/>
      <c r="AD31" s="1401" t="s">
        <v>681</v>
      </c>
      <c r="AE31" s="1470">
        <v>751.20299999999997</v>
      </c>
      <c r="AF31" s="1470">
        <v>1100.538</v>
      </c>
      <c r="AG31" s="1471">
        <v>1220.75685857024</v>
      </c>
      <c r="AH31" s="1471">
        <v>1560.9514928142501</v>
      </c>
      <c r="AI31" s="1625">
        <v>1621.75207525619</v>
      </c>
      <c r="AJ31" s="1625">
        <v>1691.46253539955</v>
      </c>
      <c r="AK31" s="1625">
        <v>1645.08876305179</v>
      </c>
      <c r="AL31" s="1625">
        <v>1826.45712137278</v>
      </c>
      <c r="AM31" s="1625" t="s">
        <v>972</v>
      </c>
      <c r="AN31" s="1625" t="s">
        <v>972</v>
      </c>
      <c r="AO31" s="1625"/>
      <c r="AP31" s="52"/>
      <c r="AQ31" s="321" t="s">
        <v>764</v>
      </c>
      <c r="AR31" s="322"/>
      <c r="AS31" s="1465"/>
      <c r="AT31" s="1465">
        <f t="shared" ref="AT31" si="31">AT29/AT30-1</f>
        <v>-0.99799998365840303</v>
      </c>
      <c r="AU31" s="322"/>
      <c r="AV31" s="322"/>
      <c r="AW31" s="322"/>
    </row>
    <row r="32" spans="1:49">
      <c r="A32" s="52" t="s">
        <v>402</v>
      </c>
      <c r="B32" s="1791">
        <v>158.46100000000001</v>
      </c>
      <c r="C32" s="1791">
        <v>308.67099999999999</v>
      </c>
      <c r="D32" s="1791">
        <v>349</v>
      </c>
      <c r="E32" s="1791">
        <v>498</v>
      </c>
      <c r="F32" s="1783">
        <v>598</v>
      </c>
      <c r="G32" s="1783">
        <v>607</v>
      </c>
      <c r="H32" s="1783">
        <v>568</v>
      </c>
      <c r="I32" s="1783">
        <v>638</v>
      </c>
      <c r="J32" s="1783">
        <v>671</v>
      </c>
      <c r="K32" s="1783" t="s">
        <v>452</v>
      </c>
      <c r="L32" s="1783" t="s">
        <v>452</v>
      </c>
      <c r="M32" s="1783" t="s">
        <v>452</v>
      </c>
      <c r="N32" s="260"/>
      <c r="O32" s="157" t="str">
        <f t="shared" si="28"/>
        <v>Mix Anhydrous/Hydrous</v>
      </c>
      <c r="P32" s="159"/>
      <c r="Q32" s="160"/>
      <c r="R32" s="159"/>
      <c r="S32" s="159"/>
      <c r="T32" s="161"/>
      <c r="U32" s="159"/>
      <c r="V32" s="159"/>
      <c r="W32" s="159"/>
      <c r="X32" s="159"/>
      <c r="Y32" s="159"/>
      <c r="Z32" s="159"/>
      <c r="AA32" s="159"/>
      <c r="AB32" s="159"/>
      <c r="AC32" s="52"/>
      <c r="AD32" s="1401" t="s">
        <v>1205</v>
      </c>
      <c r="AE32" s="1472">
        <v>0.38099447681937798</v>
      </c>
      <c r="AF32" s="1472">
        <v>0.47974943166585698</v>
      </c>
      <c r="AG32" s="1473">
        <v>0.459080590033483</v>
      </c>
      <c r="AH32" s="1473">
        <v>0.45051625970832399</v>
      </c>
      <c r="AI32" s="1626">
        <v>0.40478862605070798</v>
      </c>
      <c r="AJ32" s="1626">
        <v>0.38801333979111002</v>
      </c>
      <c r="AK32" s="1626">
        <v>0.36570830563626699</v>
      </c>
      <c r="AL32" s="1626">
        <v>0.38500215809912802</v>
      </c>
      <c r="AM32" s="1626" t="s">
        <v>972</v>
      </c>
      <c r="AN32" s="1626" t="s">
        <v>972</v>
      </c>
      <c r="AO32" s="1626"/>
      <c r="AP32" s="14" t="s">
        <v>295</v>
      </c>
      <c r="AQ32" s="323" t="str">
        <f>AQ29</f>
        <v>Current</v>
      </c>
      <c r="AR32" s="983">
        <f>AF11</f>
        <v>2325.1619999999998</v>
      </c>
      <c r="AS32" s="1471">
        <f>AH11</f>
        <v>3002.8820000000001</v>
      </c>
      <c r="AT32" s="1471">
        <f>AI11</f>
        <v>3656.7611338954334</v>
      </c>
      <c r="AU32" s="1471">
        <f>AJ11</f>
        <v>3782.0958344005958</v>
      </c>
      <c r="AV32" s="1471">
        <f>AK11</f>
        <v>4084.7849487160179</v>
      </c>
      <c r="AW32" s="1471">
        <f>AL11</f>
        <v>4701.0846333566287</v>
      </c>
    </row>
    <row r="33" spans="1:49">
      <c r="A33" s="52" t="s">
        <v>304</v>
      </c>
      <c r="B33" s="1793">
        <v>0.49391600000000002</v>
      </c>
      <c r="C33" s="1793">
        <v>0.95811000000000002</v>
      </c>
      <c r="D33" s="1793">
        <v>0.98</v>
      </c>
      <c r="E33" s="1793">
        <v>1.4</v>
      </c>
      <c r="F33" s="1785">
        <v>1.79</v>
      </c>
      <c r="G33" s="1785">
        <v>2.4500000000000002</v>
      </c>
      <c r="H33" s="1785">
        <v>3.51</v>
      </c>
      <c r="I33" s="1785" t="s">
        <v>452</v>
      </c>
      <c r="J33" s="1785" t="s">
        <v>452</v>
      </c>
      <c r="K33" s="1785" t="s">
        <v>452</v>
      </c>
      <c r="L33" s="1785" t="s">
        <v>452</v>
      </c>
      <c r="M33" s="1785" t="s">
        <v>452</v>
      </c>
      <c r="N33" s="260"/>
      <c r="O33" s="1401" t="str">
        <f t="shared" si="28"/>
        <v>Total ATR</v>
      </c>
      <c r="P33" s="64"/>
      <c r="Q33" s="64"/>
      <c r="R33" s="64"/>
      <c r="S33" s="64"/>
      <c r="T33" s="161">
        <v>2977</v>
      </c>
      <c r="U33" s="159"/>
      <c r="V33" s="159"/>
      <c r="W33" s="159"/>
      <c r="X33" s="159"/>
      <c r="Y33" s="159"/>
      <c r="Z33" s="159"/>
      <c r="AA33" s="159"/>
      <c r="AB33" s="159"/>
      <c r="AC33" s="52"/>
      <c r="AD33" s="1401" t="s">
        <v>220</v>
      </c>
      <c r="AE33" s="1470">
        <v>302.91800000000001</v>
      </c>
      <c r="AF33" s="1470">
        <v>501.50900000000001</v>
      </c>
      <c r="AG33" s="1471">
        <v>558.08778617738596</v>
      </c>
      <c r="AH33" s="1471">
        <v>824.39665196908095</v>
      </c>
      <c r="AI33" s="1625">
        <v>875.83931653621903</v>
      </c>
      <c r="AJ33" s="1625">
        <v>930.72034761173995</v>
      </c>
      <c r="AK33" s="1625">
        <v>865.37814537277904</v>
      </c>
      <c r="AL33" s="1625">
        <v>1024.0251097850401</v>
      </c>
      <c r="AM33" s="1625" t="s">
        <v>972</v>
      </c>
      <c r="AN33" s="1625" t="s">
        <v>972</v>
      </c>
      <c r="AO33" s="1625"/>
      <c r="AP33" s="14"/>
      <c r="AQ33" s="323" t="str">
        <f t="shared" ref="AQ33:AQ37" si="32">AQ30</f>
        <v>Previous</v>
      </c>
      <c r="AR33" s="983">
        <f>AF30</f>
        <v>2293.9850000000001</v>
      </c>
      <c r="AS33" s="1471">
        <f>AH30</f>
        <v>3464.80611781881</v>
      </c>
      <c r="AT33" s="1471">
        <f>AI30</f>
        <v>4006.4171048448202</v>
      </c>
      <c r="AU33" s="1471">
        <f>AJ30</f>
        <v>4359.2896479027304</v>
      </c>
      <c r="AV33" s="1471">
        <f>AK30</f>
        <v>4498.3631426954598</v>
      </c>
      <c r="AW33" s="1471">
        <f>AL30</f>
        <v>4744.0178787323002</v>
      </c>
    </row>
    <row r="34" spans="1:49">
      <c r="A34" s="52" t="s">
        <v>80</v>
      </c>
      <c r="B34" s="260" t="s">
        <v>452</v>
      </c>
      <c r="C34" s="260" t="s">
        <v>452</v>
      </c>
      <c r="D34" s="260" t="s">
        <v>452</v>
      </c>
      <c r="E34" s="260" t="s">
        <v>452</v>
      </c>
      <c r="F34" s="1619" t="s">
        <v>452</v>
      </c>
      <c r="G34" s="1619" t="s">
        <v>452</v>
      </c>
      <c r="H34" s="1619" t="s">
        <v>452</v>
      </c>
      <c r="I34" s="1619" t="s">
        <v>452</v>
      </c>
      <c r="J34" s="1619" t="s">
        <v>452</v>
      </c>
      <c r="K34" s="1619" t="s">
        <v>452</v>
      </c>
      <c r="L34" s="1619" t="s">
        <v>452</v>
      </c>
      <c r="M34" s="1619" t="s">
        <v>452</v>
      </c>
      <c r="N34" s="260"/>
      <c r="O34" s="52" t="s">
        <v>167</v>
      </c>
      <c r="P34" s="66"/>
      <c r="Q34" s="66"/>
      <c r="R34" s="66"/>
      <c r="S34" s="2371"/>
      <c r="T34" s="161">
        <v>3800</v>
      </c>
      <c r="U34" s="159"/>
      <c r="V34" s="159"/>
      <c r="W34" s="159"/>
      <c r="X34" s="159"/>
      <c r="Y34" s="159"/>
      <c r="Z34" s="159"/>
      <c r="AA34" s="159"/>
      <c r="AB34" s="159"/>
      <c r="AC34" s="52"/>
      <c r="AD34" s="1401" t="s">
        <v>402</v>
      </c>
      <c r="AE34" s="1470">
        <v>135.00200000000001</v>
      </c>
      <c r="AF34" s="1470">
        <v>286.06099999999998</v>
      </c>
      <c r="AG34" s="1471">
        <v>217.905277648344</v>
      </c>
      <c r="AH34" s="1471">
        <v>519.54210147291201</v>
      </c>
      <c r="AI34" s="1625">
        <v>425.28038154106298</v>
      </c>
      <c r="AJ34" s="1625">
        <v>468.25679245501902</v>
      </c>
      <c r="AK34" s="1625">
        <v>435.386197862953</v>
      </c>
      <c r="AL34" s="1625">
        <v>545.91466731272806</v>
      </c>
      <c r="AM34" s="1625" t="s">
        <v>972</v>
      </c>
      <c r="AN34" s="1625" t="s">
        <v>972</v>
      </c>
      <c r="AO34" s="1625"/>
      <c r="AP34" s="14"/>
      <c r="AQ34" s="321" t="str">
        <f t="shared" si="32"/>
        <v>Dif %</v>
      </c>
      <c r="AR34" s="322">
        <f t="shared" ref="AR34" si="33">AR32/AR33-1</f>
        <v>1.3590760183697759E-2</v>
      </c>
      <c r="AS34" s="1079">
        <f>IF(ISERROR(AS32/AS33-1),"NM",AS32/AS33-1)</f>
        <v>-0.133318893499762</v>
      </c>
      <c r="AT34" s="1079">
        <f>IF(ISERROR(AT32/AT33-1),"NM",AT32/AT33-1)</f>
        <v>-8.7273981165505665E-2</v>
      </c>
      <c r="AU34" s="1079">
        <f t="shared" ref="AU34:AV34" si="34">IF(ISERROR(AU32/AU33-1),"NM",AU32/AU33-1)</f>
        <v>-0.13240547431387695</v>
      </c>
      <c r="AV34" s="1079">
        <f t="shared" si="34"/>
        <v>-9.1939708036026246E-2</v>
      </c>
      <c r="AW34" s="1079">
        <f t="shared" ref="AW34" si="35">IF(ISERROR(AW32/AW33-1),"NM",AW32/AW33-1)</f>
        <v>-9.0499754581752079E-3</v>
      </c>
    </row>
    <row r="35" spans="1:49">
      <c r="A35" s="52" t="s">
        <v>313</v>
      </c>
      <c r="B35" s="983" t="s">
        <v>452</v>
      </c>
      <c r="C35" s="983" t="s">
        <v>452</v>
      </c>
      <c r="D35" s="983" t="s">
        <v>452</v>
      </c>
      <c r="E35" s="983" t="s">
        <v>452</v>
      </c>
      <c r="F35" s="1598" t="s">
        <v>972</v>
      </c>
      <c r="G35" s="1598" t="s">
        <v>972</v>
      </c>
      <c r="H35" s="1598" t="s">
        <v>972</v>
      </c>
      <c r="I35" s="1598" t="s">
        <v>972</v>
      </c>
      <c r="J35" s="1598" t="s">
        <v>972</v>
      </c>
      <c r="K35" s="1598" t="s">
        <v>972</v>
      </c>
      <c r="L35" s="1598" t="s">
        <v>972</v>
      </c>
      <c r="M35" s="1598" t="s">
        <v>972</v>
      </c>
      <c r="N35" s="260"/>
      <c r="O35" s="61" t="s">
        <v>396</v>
      </c>
      <c r="P35" s="67"/>
      <c r="Q35" s="67"/>
      <c r="R35" s="67"/>
      <c r="S35" s="67"/>
      <c r="T35" s="161">
        <v>1900</v>
      </c>
      <c r="U35" s="159"/>
      <c r="V35" s="159"/>
      <c r="W35" s="159"/>
      <c r="X35" s="159"/>
      <c r="Y35" s="159"/>
      <c r="Z35" s="159"/>
      <c r="AA35" s="159"/>
      <c r="AB35" s="159"/>
      <c r="AC35" s="52"/>
      <c r="AD35" s="1401" t="s">
        <v>304</v>
      </c>
      <c r="AE35" s="1474" t="s">
        <v>972</v>
      </c>
      <c r="AF35" s="1474" t="s">
        <v>972</v>
      </c>
      <c r="AG35" s="1475">
        <f>MSvsConsensus!S16/3</f>
        <v>0.1739173678264192</v>
      </c>
      <c r="AH35" s="1475">
        <f>MSvsConsensus!T16/3</f>
        <v>0.18680340548515928</v>
      </c>
      <c r="AI35" s="1627">
        <f>MSvsConsensus!U16/3</f>
        <v>0.18415564966884704</v>
      </c>
      <c r="AJ35" s="1627">
        <f>MSvsConsensus!V16/3</f>
        <v>0.18598465111469653</v>
      </c>
      <c r="AK35" s="1627">
        <f>MSvsConsensus!W16/3</f>
        <v>0.1874621560872699</v>
      </c>
      <c r="AL35" s="1627">
        <v>0</v>
      </c>
      <c r="AM35" s="1627" t="s">
        <v>972</v>
      </c>
      <c r="AN35" s="1627" t="s">
        <v>972</v>
      </c>
      <c r="AO35" s="1627"/>
      <c r="AP35" s="14" t="s">
        <v>219</v>
      </c>
      <c r="AQ35" s="323" t="str">
        <f t="shared" si="32"/>
        <v>Current</v>
      </c>
      <c r="AR35" s="983">
        <f>AF12</f>
        <v>1091.5249999999999</v>
      </c>
      <c r="AS35" s="1471">
        <f>AH12</f>
        <v>1445.088</v>
      </c>
      <c r="AT35" s="1471">
        <f>AI12</f>
        <v>1759.0220528034631</v>
      </c>
      <c r="AU35" s="1471">
        <f>AJ12</f>
        <v>1780.1509011492542</v>
      </c>
      <c r="AV35" s="1471">
        <f>AK12</f>
        <v>1952.9908721268353</v>
      </c>
      <c r="AW35" s="1471">
        <f>AL12</f>
        <v>2298.6292562952813</v>
      </c>
    </row>
    <row r="36" spans="1:49">
      <c r="A36" s="52" t="s">
        <v>264</v>
      </c>
      <c r="B36" s="1791">
        <v>1251.03</v>
      </c>
      <c r="C36" s="1791">
        <v>1608.27</v>
      </c>
      <c r="D36" s="1791">
        <v>2663.58</v>
      </c>
      <c r="E36" s="1791">
        <v>1828.96</v>
      </c>
      <c r="F36" s="1783">
        <v>1997.021</v>
      </c>
      <c r="G36" s="1783">
        <v>1485.239</v>
      </c>
      <c r="H36" s="1783">
        <v>1271</v>
      </c>
      <c r="I36" s="1783">
        <v>1349</v>
      </c>
      <c r="J36" s="1783">
        <v>1345</v>
      </c>
      <c r="K36" s="1783" t="s">
        <v>452</v>
      </c>
      <c r="L36" s="1783" t="s">
        <v>452</v>
      </c>
      <c r="M36" s="1783" t="s">
        <v>452</v>
      </c>
      <c r="N36" s="260"/>
      <c r="O36" s="52" t="s">
        <v>219</v>
      </c>
      <c r="P36" s="64"/>
      <c r="Q36" s="64"/>
      <c r="R36" s="64"/>
      <c r="S36" s="64"/>
      <c r="T36" s="2275"/>
      <c r="U36" s="159"/>
      <c r="V36" s="159"/>
      <c r="W36" s="159"/>
      <c r="X36" s="159"/>
      <c r="Y36" s="159"/>
      <c r="Z36" s="159"/>
      <c r="AA36" s="159"/>
      <c r="AB36" s="159"/>
      <c r="AC36" s="52"/>
      <c r="AD36" s="1401" t="s">
        <v>80</v>
      </c>
      <c r="AE36" s="1470">
        <v>-360.428</v>
      </c>
      <c r="AF36" s="1470">
        <v>-312.899</v>
      </c>
      <c r="AG36" s="1471">
        <v>-685.58050692902395</v>
      </c>
      <c r="AH36" s="1471">
        <v>536.52189634100898</v>
      </c>
      <c r="AI36" s="1625">
        <v>282.773051227412</v>
      </c>
      <c r="AJ36" s="1625">
        <v>362.857369294362</v>
      </c>
      <c r="AK36" s="1625">
        <v>284.56834320498501</v>
      </c>
      <c r="AL36" s="1625">
        <v>443.83279308610003</v>
      </c>
      <c r="AM36" s="1625" t="s">
        <v>972</v>
      </c>
      <c r="AN36" s="1625" t="s">
        <v>972</v>
      </c>
      <c r="AO36" s="1625"/>
      <c r="AP36" s="14"/>
      <c r="AQ36" s="323" t="str">
        <f t="shared" si="32"/>
        <v>Previous</v>
      </c>
      <c r="AR36" s="983">
        <f>AF31</f>
        <v>1100.538</v>
      </c>
      <c r="AS36" s="1471">
        <f>AH31</f>
        <v>1560.9514928142501</v>
      </c>
      <c r="AT36" s="1471">
        <f>AI31</f>
        <v>1621.75207525619</v>
      </c>
      <c r="AU36" s="1471">
        <f>AJ31</f>
        <v>1691.46253539955</v>
      </c>
      <c r="AV36" s="1471">
        <f>AK31</f>
        <v>1645.08876305179</v>
      </c>
      <c r="AW36" s="1471">
        <f>AL31</f>
        <v>1826.45712137278</v>
      </c>
    </row>
    <row r="37" spans="1:49">
      <c r="A37" s="52" t="s">
        <v>553</v>
      </c>
      <c r="B37" s="1794">
        <v>1.5722086425416135</v>
      </c>
      <c r="C37" s="1794">
        <v>1.5096590695753389</v>
      </c>
      <c r="D37" s="1794">
        <f t="shared" ref="D37:M37" si="36">IFERROR(D36/D29,"N/A")</f>
        <v>2.0072192916352676</v>
      </c>
      <c r="E37" s="1794">
        <f t="shared" si="36"/>
        <v>1.1746692357096982</v>
      </c>
      <c r="F37" s="1786">
        <f t="shared" si="36"/>
        <v>1.1045470132743362</v>
      </c>
      <c r="G37" s="1786">
        <f t="shared" si="36"/>
        <v>0.80675665399239549</v>
      </c>
      <c r="H37" s="1786">
        <f t="shared" si="36"/>
        <v>0.67035864978902948</v>
      </c>
      <c r="I37" s="1786">
        <f t="shared" si="36"/>
        <v>0.69286081150487933</v>
      </c>
      <c r="J37" s="1786">
        <f t="shared" si="36"/>
        <v>0.67792338709677424</v>
      </c>
      <c r="K37" s="1786" t="str">
        <f t="shared" si="36"/>
        <v>N/A</v>
      </c>
      <c r="L37" s="1786" t="str">
        <f t="shared" si="36"/>
        <v>N/A</v>
      </c>
      <c r="M37" s="1786" t="str">
        <f t="shared" si="36"/>
        <v>N/A</v>
      </c>
      <c r="N37" s="260"/>
      <c r="O37" s="61" t="s">
        <v>399</v>
      </c>
      <c r="P37" s="66"/>
      <c r="Q37" s="66"/>
      <c r="R37" s="66"/>
      <c r="S37" s="66"/>
      <c r="T37" s="159"/>
      <c r="U37" s="159"/>
      <c r="V37" s="159"/>
      <c r="W37" s="159"/>
      <c r="X37" s="159"/>
      <c r="Y37" s="159"/>
      <c r="Z37" s="159"/>
      <c r="AA37" s="159"/>
      <c r="AB37" s="159"/>
      <c r="AC37" s="52"/>
      <c r="AD37" s="1401" t="s">
        <v>264</v>
      </c>
      <c r="AE37" s="1470">
        <v>1538.481</v>
      </c>
      <c r="AF37" s="1470">
        <v>2487.0839999999998</v>
      </c>
      <c r="AG37" s="1471">
        <v>3419.6523407186301</v>
      </c>
      <c r="AH37" s="1471">
        <v>3035.1141260394802</v>
      </c>
      <c r="AI37" s="1625">
        <v>2879.3249871143898</v>
      </c>
      <c r="AJ37" s="1625">
        <v>2659.8225363298602</v>
      </c>
      <c r="AK37" s="1625">
        <v>2512.8173858171299</v>
      </c>
      <c r="AL37" s="1625">
        <v>2239.70632572864</v>
      </c>
      <c r="AM37" s="1625" t="s">
        <v>972</v>
      </c>
      <c r="AN37" s="1625" t="s">
        <v>972</v>
      </c>
      <c r="AO37" s="1625"/>
      <c r="AP37" s="14"/>
      <c r="AQ37" s="321" t="str">
        <f t="shared" si="32"/>
        <v>Dif %</v>
      </c>
      <c r="AR37" s="322">
        <f t="shared" ref="AR37" si="37">AR35/AR36-1</f>
        <v>-8.189630889619548E-3</v>
      </c>
      <c r="AS37" s="1079">
        <f>IF(ISERROR(AS35/AS36-1),"NM",AS35/AS36-1)</f>
        <v>-7.4226196872626105E-2</v>
      </c>
      <c r="AT37" s="1079">
        <f>IF(ISERROR(AT35/AT36-1),"NM",AT35/AT36-1)</f>
        <v>8.4643010261348683E-2</v>
      </c>
      <c r="AU37" s="1079">
        <f t="shared" ref="AU37:AV37" si="38">IF(ISERROR(AU35/AU36-1),"NM",AU35/AU36-1)</f>
        <v>5.2432947164717802E-2</v>
      </c>
      <c r="AV37" s="1079">
        <f t="shared" si="38"/>
        <v>0.18716443512984604</v>
      </c>
      <c r="AW37" s="1079">
        <f t="shared" ref="AW37" si="39">IF(ISERROR(AW35/AW36-1),"NM",AW35/AW36-1)</f>
        <v>0.25851805081939894</v>
      </c>
    </row>
    <row r="38" spans="1:49">
      <c r="A38" s="52"/>
      <c r="B38" s="52"/>
      <c r="C38" s="52"/>
      <c r="D38" s="52"/>
      <c r="E38" s="1401"/>
      <c r="F38" s="382"/>
      <c r="G38" s="382"/>
      <c r="H38" s="382"/>
      <c r="I38" s="382"/>
      <c r="J38" s="382"/>
      <c r="K38" s="382"/>
      <c r="L38" s="382"/>
      <c r="M38" s="382"/>
      <c r="N38" s="52"/>
      <c r="O38" s="61" t="s">
        <v>484</v>
      </c>
      <c r="P38" s="66"/>
      <c r="Q38" s="66"/>
      <c r="R38" s="66"/>
      <c r="S38" s="66"/>
      <c r="T38" s="159"/>
      <c r="U38" s="159"/>
      <c r="V38" s="159"/>
      <c r="W38" s="159"/>
      <c r="X38" s="159"/>
      <c r="Y38" s="159"/>
      <c r="Z38" s="159"/>
      <c r="AA38" s="159"/>
      <c r="AB38" s="159"/>
      <c r="AC38" s="52"/>
      <c r="AD38" s="106" t="s">
        <v>1148</v>
      </c>
      <c r="AE38" s="1476">
        <v>2.0480229711542699</v>
      </c>
      <c r="AF38" s="1476">
        <v>2.2598801676998002</v>
      </c>
      <c r="AG38" s="1477">
        <v>2.8012558903201601</v>
      </c>
      <c r="AH38" s="1477">
        <v>1.9444000278108999</v>
      </c>
      <c r="AI38" s="1628">
        <v>1.77544091420974</v>
      </c>
      <c r="AJ38" s="1628">
        <v>1.5724986398836001</v>
      </c>
      <c r="AK38" s="1628">
        <v>1.52746614179993</v>
      </c>
      <c r="AL38" s="1628">
        <v>1.2262572712603601</v>
      </c>
      <c r="AM38" s="1628" t="s">
        <v>972</v>
      </c>
      <c r="AN38" s="1628" t="s">
        <v>972</v>
      </c>
      <c r="AO38" s="1628"/>
      <c r="AP38" s="14" t="s">
        <v>304</v>
      </c>
      <c r="AQ38" s="323" t="str">
        <f>AQ29</f>
        <v>Current</v>
      </c>
      <c r="AR38" s="1455">
        <f>AF16</f>
        <v>0.93696615275562545</v>
      </c>
      <c r="AS38" s="1477">
        <f>AH16</f>
        <v>0.83975874033822517</v>
      </c>
      <c r="AT38" s="1477">
        <f>AI16</f>
        <v>1.4811048649185479</v>
      </c>
      <c r="AU38" s="1477">
        <f>AJ16</f>
        <v>1.5764518198367707</v>
      </c>
      <c r="AV38" s="1477">
        <f>AK16</f>
        <v>1.8646097330913265</v>
      </c>
      <c r="AW38" s="1477">
        <f>AL16</f>
        <v>2.2286761856205777</v>
      </c>
    </row>
    <row r="39" spans="1:49">
      <c r="A39" s="52"/>
      <c r="B39" s="52"/>
      <c r="C39" s="52"/>
      <c r="D39" s="52"/>
      <c r="E39" s="1401"/>
      <c r="F39" s="382"/>
      <c r="G39" s="382"/>
      <c r="H39" s="382"/>
      <c r="I39" s="382"/>
      <c r="J39" s="382"/>
      <c r="K39" s="382"/>
      <c r="L39" s="382"/>
      <c r="M39" s="382"/>
      <c r="N39" s="52"/>
      <c r="O39" s="52" t="s">
        <v>402</v>
      </c>
      <c r="P39" s="64"/>
      <c r="Q39" s="64"/>
      <c r="R39" s="64"/>
      <c r="S39" s="64"/>
      <c r="T39" s="2276"/>
      <c r="U39" s="64"/>
      <c r="V39" s="64"/>
      <c r="W39" s="64"/>
      <c r="X39" s="64"/>
      <c r="Y39" s="64"/>
      <c r="Z39" s="64"/>
      <c r="AA39" s="64"/>
      <c r="AB39" s="64"/>
      <c r="AC39" s="52"/>
      <c r="AD39" s="52"/>
      <c r="AE39" s="52"/>
      <c r="AF39" s="52"/>
      <c r="AG39" s="52"/>
      <c r="AH39" s="1401"/>
      <c r="AI39" s="382"/>
      <c r="AJ39" s="382"/>
      <c r="AK39" s="1623"/>
      <c r="AP39" s="31"/>
      <c r="AQ39" s="323" t="str">
        <f>AQ30</f>
        <v>Previous</v>
      </c>
      <c r="AR39" s="1455" t="str">
        <f>AF35</f>
        <v>NA</v>
      </c>
      <c r="AS39" s="1477">
        <f>AH35</f>
        <v>0.18680340548515928</v>
      </c>
      <c r="AT39" s="1477">
        <f>AI35</f>
        <v>0.18415564966884704</v>
      </c>
      <c r="AU39" s="1477">
        <f>AJ35</f>
        <v>0.18598465111469653</v>
      </c>
      <c r="AV39" s="1477">
        <f>AK35</f>
        <v>0.1874621560872699</v>
      </c>
      <c r="AW39" s="1477">
        <f>AL35</f>
        <v>0</v>
      </c>
    </row>
    <row r="40" spans="1:49">
      <c r="A40" s="52"/>
      <c r="B40" s="52"/>
      <c r="C40" s="52"/>
      <c r="D40" s="52"/>
      <c r="E40" s="1401"/>
      <c r="F40" s="52"/>
      <c r="G40" s="1401"/>
      <c r="H40" s="1401"/>
      <c r="I40" s="1401"/>
      <c r="J40" s="1401"/>
      <c r="K40" s="1401"/>
      <c r="L40" s="1401"/>
      <c r="M40" s="1401"/>
      <c r="N40" s="52"/>
      <c r="O40" s="52" t="s">
        <v>552</v>
      </c>
      <c r="P40" s="67"/>
      <c r="Q40" s="67"/>
      <c r="R40" s="67"/>
      <c r="S40" s="67"/>
      <c r="T40" s="67"/>
      <c r="U40" s="67"/>
      <c r="V40" s="67"/>
      <c r="W40" s="67"/>
      <c r="X40" s="67"/>
      <c r="Y40" s="67"/>
      <c r="Z40" s="67"/>
      <c r="AA40" s="67"/>
      <c r="AB40" s="67"/>
      <c r="AC40" s="52"/>
      <c r="AD40" s="52"/>
      <c r="AE40" s="52"/>
      <c r="AF40" s="52"/>
      <c r="AG40" s="52"/>
      <c r="AH40" s="1401"/>
      <c r="AI40" s="52"/>
      <c r="AP40" s="321"/>
      <c r="AQ40" s="324" t="str">
        <f>AQ31</f>
        <v>Dif %</v>
      </c>
      <c r="AR40" s="322" t="e">
        <f>AR38/AR39-1</f>
        <v>#VALUE!</v>
      </c>
      <c r="AS40" s="1079">
        <f>IF(ISERROR(AS38/AS39-1),"NM",AS38/AS39-1)</f>
        <v>3.4954145142977087</v>
      </c>
      <c r="AT40" s="1079">
        <f>IF(ISERROR(AT38/AT39-1),"NM",AT38/AT39-1)</f>
        <v>7.0426794810906159</v>
      </c>
      <c r="AU40" s="1079">
        <f t="shared" ref="AU40:AV40" si="40">IF(ISERROR(AU38/AU39-1),"NM",AU38/AU39-1)</f>
        <v>7.4762468859033682</v>
      </c>
      <c r="AV40" s="1079">
        <f t="shared" si="40"/>
        <v>8.9465928057676258</v>
      </c>
      <c r="AW40" s="1079" t="str">
        <f t="shared" ref="AW40" si="41">IF(ISERROR(AW38/AW39-1),"NM",AW38/AW39-1)</f>
        <v>NM</v>
      </c>
    </row>
    <row r="41" spans="1:49">
      <c r="A41" s="52"/>
      <c r="B41" s="52"/>
      <c r="C41" s="52"/>
      <c r="D41" s="52"/>
      <c r="E41" s="1401"/>
      <c r="F41" s="52"/>
      <c r="G41" s="1401"/>
      <c r="H41" s="1401"/>
      <c r="I41" s="1401"/>
      <c r="J41" s="1401"/>
      <c r="K41" s="1401"/>
      <c r="L41" s="1401"/>
      <c r="M41" s="1401"/>
      <c r="N41" s="52"/>
      <c r="O41" s="52" t="s">
        <v>264</v>
      </c>
      <c r="P41" s="64"/>
      <c r="Q41" s="64"/>
      <c r="R41" s="64"/>
      <c r="S41" s="64"/>
      <c r="T41" s="2275"/>
      <c r="U41" s="64"/>
      <c r="V41" s="64"/>
      <c r="W41" s="64"/>
      <c r="X41" s="64"/>
      <c r="Y41" s="64"/>
      <c r="Z41" s="64"/>
      <c r="AA41" s="64"/>
      <c r="AB41" s="64"/>
      <c r="AC41" s="52"/>
      <c r="AD41" s="52"/>
      <c r="AE41" s="52"/>
      <c r="AF41" s="52"/>
      <c r="AG41" s="52"/>
      <c r="AH41" s="1401"/>
      <c r="AI41" s="52"/>
    </row>
    <row r="42" spans="1:49">
      <c r="A42" s="52"/>
      <c r="B42" s="52"/>
      <c r="C42" s="52"/>
      <c r="D42" s="52"/>
      <c r="E42" s="1401"/>
      <c r="F42" s="52"/>
      <c r="G42" s="1401"/>
      <c r="H42" s="1401"/>
      <c r="I42" s="1401"/>
      <c r="J42" s="1401"/>
      <c r="K42" s="1401"/>
      <c r="L42" s="1401"/>
      <c r="M42" s="1401"/>
      <c r="N42" s="52"/>
      <c r="O42" s="52" t="s">
        <v>553</v>
      </c>
      <c r="P42" s="69"/>
      <c r="Q42" s="69"/>
      <c r="R42" s="69"/>
      <c r="S42" s="69"/>
      <c r="T42" s="69"/>
      <c r="U42" s="69"/>
      <c r="V42" s="69"/>
      <c r="W42" s="69"/>
      <c r="X42" s="69"/>
      <c r="Y42" s="69"/>
      <c r="Z42" s="69"/>
      <c r="AA42" s="69"/>
      <c r="AB42" s="69"/>
      <c r="AC42" s="52"/>
      <c r="AD42" s="52"/>
      <c r="AE42" s="52"/>
      <c r="AF42" s="52"/>
      <c r="AG42" s="52"/>
      <c r="AH42" s="1401"/>
      <c r="AI42" s="52"/>
    </row>
    <row r="43" spans="1:49">
      <c r="A43" s="1401"/>
      <c r="B43" s="1401"/>
      <c r="C43" s="1401"/>
      <c r="D43" s="1401"/>
      <c r="E43" s="1401"/>
      <c r="F43" s="1401"/>
      <c r="G43" s="1401"/>
      <c r="H43" s="1401"/>
      <c r="I43" s="1401"/>
      <c r="J43" s="1401"/>
      <c r="K43" s="1401"/>
      <c r="L43" s="1401"/>
      <c r="M43" s="1401"/>
      <c r="N43" s="1401"/>
      <c r="O43" s="1401" t="s">
        <v>1775</v>
      </c>
      <c r="P43" s="69"/>
      <c r="Q43" s="69"/>
      <c r="R43" s="69"/>
      <c r="S43" s="69"/>
      <c r="T43" s="161">
        <v>13</v>
      </c>
      <c r="U43" s="69"/>
      <c r="V43" s="69"/>
      <c r="W43" s="69"/>
      <c r="X43" s="69"/>
      <c r="Y43" s="69"/>
      <c r="Z43" s="69"/>
      <c r="AA43" s="69"/>
      <c r="AB43" s="69"/>
      <c r="AC43" s="1401"/>
      <c r="AD43" s="1401"/>
      <c r="AE43" s="1401"/>
      <c r="AF43" s="1401"/>
      <c r="AG43" s="1401"/>
      <c r="AH43" s="1401"/>
      <c r="AI43" s="1401"/>
      <c r="AJ43" s="1401"/>
    </row>
    <row r="44" spans="1:49">
      <c r="A44" s="52"/>
      <c r="B44" s="52"/>
      <c r="C44" s="52"/>
      <c r="D44" s="52"/>
      <c r="E44" s="1401"/>
      <c r="F44" s="52"/>
      <c r="G44" s="1401"/>
      <c r="H44" s="1401"/>
      <c r="I44" s="1401"/>
      <c r="J44" s="1401"/>
      <c r="K44" s="1401"/>
      <c r="L44" s="1401"/>
      <c r="M44" s="1401"/>
      <c r="N44" s="52"/>
      <c r="O44" s="52"/>
      <c r="P44" s="52"/>
      <c r="Q44" s="52"/>
      <c r="R44" s="52"/>
      <c r="S44" s="1401"/>
      <c r="T44" s="52"/>
      <c r="U44" s="1401"/>
      <c r="V44" s="1401"/>
      <c r="W44" s="1401"/>
      <c r="X44" s="1401"/>
      <c r="Y44" s="1401"/>
      <c r="Z44" s="1401"/>
      <c r="AA44" s="1401"/>
      <c r="AB44" s="1401"/>
      <c r="AC44" s="52"/>
      <c r="AD44" s="52"/>
      <c r="AE44" s="52"/>
      <c r="AF44" s="52"/>
      <c r="AG44" s="52"/>
      <c r="AH44" s="1401"/>
      <c r="AI44" s="52"/>
    </row>
    <row r="45" spans="1:49">
      <c r="A45" s="57" t="s">
        <v>544</v>
      </c>
      <c r="B45" s="58"/>
      <c r="C45" s="58"/>
      <c r="D45" s="58"/>
      <c r="E45" s="58"/>
      <c r="F45" s="58"/>
      <c r="G45" s="58"/>
      <c r="H45" s="58"/>
      <c r="I45" s="58"/>
      <c r="J45" s="58"/>
      <c r="K45" s="58"/>
      <c r="L45" s="58"/>
      <c r="M45" s="58"/>
      <c r="N45" s="52"/>
      <c r="O45" s="57" t="s">
        <v>545</v>
      </c>
      <c r="P45" s="58"/>
      <c r="Q45" s="58"/>
      <c r="R45" s="58"/>
      <c r="S45" s="58"/>
      <c r="T45" s="58"/>
      <c r="U45" s="58"/>
      <c r="V45" s="58"/>
      <c r="W45" s="58"/>
      <c r="X45" s="58"/>
      <c r="Y45" s="58"/>
      <c r="Z45" s="58"/>
      <c r="AA45" s="58"/>
      <c r="AB45" s="1782"/>
      <c r="AC45" s="1782"/>
      <c r="AD45" s="57" t="s">
        <v>555</v>
      </c>
      <c r="AE45" s="58"/>
      <c r="AF45" s="58"/>
      <c r="AG45" s="58"/>
      <c r="AH45" s="58"/>
      <c r="AI45" s="58"/>
      <c r="AJ45" s="58"/>
      <c r="AK45" s="58"/>
    </row>
    <row r="46" spans="1:49">
      <c r="A46" s="14" t="s">
        <v>286</v>
      </c>
      <c r="B46" s="52"/>
      <c r="C46" s="52"/>
      <c r="F46" s="70">
        <f>F8/F27-1</f>
        <v>-0.24214417744916827</v>
      </c>
      <c r="G46" s="70"/>
      <c r="H46" s="70"/>
      <c r="I46" s="70"/>
      <c r="J46" s="70"/>
      <c r="K46" s="70"/>
      <c r="L46" s="70"/>
      <c r="M46" s="70"/>
      <c r="N46" s="52"/>
      <c r="O46" s="54" t="str">
        <f t="shared" ref="O46:O51" si="42">O27</f>
        <v>Crushing ('000 tons)</v>
      </c>
      <c r="P46" s="158"/>
      <c r="Q46" s="158"/>
      <c r="R46" s="158"/>
      <c r="S46" s="158"/>
      <c r="T46" s="2306">
        <f>T8/T27-1</f>
        <v>0</v>
      </c>
      <c r="U46" s="158">
        <f>U8/U27-1</f>
        <v>-4.4642857142859205E-3</v>
      </c>
      <c r="V46" s="158">
        <f t="shared" ref="V46:AA46" si="43">V8/V27-1</f>
        <v>1.5446428571428639E-2</v>
      </c>
      <c r="W46" s="158">
        <f t="shared" si="43"/>
        <v>4.590982142857114E-2</v>
      </c>
      <c r="X46" s="158">
        <f t="shared" si="43"/>
        <v>6.4736198214285334E-2</v>
      </c>
      <c r="Y46" s="158">
        <f t="shared" si="43"/>
        <v>8.3901449782142645E-2</v>
      </c>
      <c r="Z46" s="158">
        <f t="shared" si="43"/>
        <v>0.10341167587822131</v>
      </c>
      <c r="AA46" s="158">
        <f t="shared" si="43"/>
        <v>0.12327308604402942</v>
      </c>
      <c r="AB46" s="158"/>
      <c r="AC46" s="52"/>
      <c r="AD46" s="1469" t="s">
        <v>1215</v>
      </c>
      <c r="AE46" s="71"/>
      <c r="AF46" s="71"/>
      <c r="AG46" s="107"/>
      <c r="AH46" s="107"/>
      <c r="AI46" s="1622"/>
      <c r="AJ46" s="1622"/>
      <c r="AK46" s="507">
        <f t="shared" ref="AK46:AK57" si="44">AK8/AK27-1</f>
        <v>-0.99799998365840303</v>
      </c>
      <c r="AL46" s="507">
        <f>AK8/AL27-1</f>
        <v>2.6925485284909012E-2</v>
      </c>
    </row>
    <row r="47" spans="1:49">
      <c r="A47" s="52" t="s">
        <v>167</v>
      </c>
      <c r="B47" s="1787">
        <f t="shared" ref="B47:M47" si="45">IFERROR(B9/B28-1,"N/A")</f>
        <v>8.2121873769578357E-3</v>
      </c>
      <c r="C47" s="1787">
        <f t="shared" si="45"/>
        <v>-3.6876964944764223E-2</v>
      </c>
      <c r="D47" s="1787">
        <f t="shared" si="45"/>
        <v>-1.3962762111352167E-2</v>
      </c>
      <c r="E47" s="1787">
        <f t="shared" si="45"/>
        <v>-5.4805791627321354E-2</v>
      </c>
      <c r="F47" s="1621">
        <f>IFERROR(F9/F28-1,"N/A")</f>
        <v>-2.900660278931666E-2</v>
      </c>
      <c r="G47" s="1621">
        <f t="shared" si="45"/>
        <v>6.6797536333764729E-3</v>
      </c>
      <c r="H47" s="1621">
        <f>IFERROR(H9/H28-1,"N/A")</f>
        <v>3.0470471421800704E-2</v>
      </c>
      <c r="I47" s="1621">
        <f t="shared" si="45"/>
        <v>0.1341579332585352</v>
      </c>
      <c r="J47" s="1621">
        <f t="shared" si="45"/>
        <v>0.17277366187592702</v>
      </c>
      <c r="K47" s="1621" t="str">
        <f t="shared" si="45"/>
        <v>N/A</v>
      </c>
      <c r="L47" s="1621" t="str">
        <f t="shared" si="45"/>
        <v>N/A</v>
      </c>
      <c r="M47" s="1621" t="str">
        <f t="shared" si="45"/>
        <v>N/A</v>
      </c>
      <c r="N47" s="52"/>
      <c r="O47" s="157" t="str">
        <f t="shared" si="42"/>
        <v>Sugar ('000 tons)</v>
      </c>
      <c r="P47" s="158"/>
      <c r="Q47" s="158"/>
      <c r="R47" s="158"/>
      <c r="S47" s="158"/>
      <c r="T47" s="2306">
        <f>T9/T28-1</f>
        <v>-3.5458458756514322E-3</v>
      </c>
      <c r="U47" s="158"/>
      <c r="V47" s="158"/>
      <c r="W47" s="158"/>
      <c r="X47" s="158"/>
      <c r="Y47" s="158"/>
      <c r="Z47" s="158"/>
      <c r="AA47" s="158"/>
      <c r="AB47" s="158"/>
      <c r="AC47" s="52"/>
      <c r="AD47" s="14" t="s">
        <v>1216</v>
      </c>
      <c r="AI47" s="1623"/>
      <c r="AJ47" s="382"/>
      <c r="AK47" s="507">
        <f t="shared" si="44"/>
        <v>-0.94834901045986097</v>
      </c>
      <c r="AL47" s="507"/>
    </row>
    <row r="48" spans="1:49">
      <c r="A48" s="52" t="s">
        <v>219</v>
      </c>
      <c r="B48" s="1787">
        <f t="shared" ref="B48:M48" si="46">IFERROR(B10/B29-1,"N/A")</f>
        <v>-3.704215705371916E-2</v>
      </c>
      <c r="C48" s="1787">
        <f t="shared" si="46"/>
        <v>2.4598242781511681E-2</v>
      </c>
      <c r="D48" s="1787">
        <f t="shared" si="46"/>
        <v>-1.8678975131876219E-2</v>
      </c>
      <c r="E48" s="1787">
        <f t="shared" si="46"/>
        <v>-7.187668593448937E-2</v>
      </c>
      <c r="F48" s="1621">
        <f t="shared" si="46"/>
        <v>-2.708957256445621E-2</v>
      </c>
      <c r="G48" s="1621">
        <f t="shared" si="46"/>
        <v>-3.3052199267108007E-2</v>
      </c>
      <c r="H48" s="1621">
        <f t="shared" si="46"/>
        <v>3.0058476860145067E-2</v>
      </c>
      <c r="I48" s="1621">
        <f t="shared" si="46"/>
        <v>0.18060054252454094</v>
      </c>
      <c r="J48" s="1621">
        <f t="shared" si="46"/>
        <v>0.23891504501390393</v>
      </c>
      <c r="K48" s="1621" t="str">
        <f t="shared" si="46"/>
        <v>N/A</v>
      </c>
      <c r="L48" s="1621" t="str">
        <f t="shared" si="46"/>
        <v>N/A</v>
      </c>
      <c r="M48" s="1621" t="str">
        <f t="shared" si="46"/>
        <v>N/A</v>
      </c>
      <c r="N48" s="52"/>
      <c r="O48" s="157" t="str">
        <f t="shared" si="42"/>
        <v>Ethanol ('000 m³)</v>
      </c>
      <c r="P48" s="158"/>
      <c r="Q48" s="158"/>
      <c r="R48" s="158"/>
      <c r="S48" s="158"/>
      <c r="T48" s="2306">
        <f>T10/T29-1</f>
        <v>-5.042291638419627E-4</v>
      </c>
      <c r="U48" s="158"/>
      <c r="V48" s="158"/>
      <c r="W48" s="158"/>
      <c r="X48" s="158"/>
      <c r="Y48" s="158"/>
      <c r="Z48" s="158"/>
      <c r="AA48" s="158"/>
      <c r="AB48" s="158"/>
      <c r="AC48" s="52"/>
      <c r="AD48" s="14" t="s">
        <v>1217</v>
      </c>
      <c r="AI48" s="1623"/>
      <c r="AJ48" s="382"/>
      <c r="AK48" s="507">
        <f t="shared" si="44"/>
        <v>-0.96048712831041294</v>
      </c>
    </row>
    <row r="49" spans="1:37">
      <c r="A49" s="61" t="s">
        <v>399</v>
      </c>
      <c r="B49" s="1788">
        <f t="shared" ref="B49:M49" si="47">IFERROR((B11-B30)*10000,"N/A")</f>
        <v>-182.63297312790584</v>
      </c>
      <c r="C49" s="1788">
        <f t="shared" si="47"/>
        <v>281.6610984308021</v>
      </c>
      <c r="D49" s="1788">
        <f t="shared" si="47"/>
        <v>-22.946626333323895</v>
      </c>
      <c r="E49" s="1788">
        <f t="shared" si="47"/>
        <v>-88.512910051945511</v>
      </c>
      <c r="F49" s="1789">
        <f t="shared" si="47"/>
        <v>9.4783074957249802</v>
      </c>
      <c r="G49" s="1789">
        <f t="shared" si="47"/>
        <v>-193.4020936869907</v>
      </c>
      <c r="H49" s="1789">
        <f t="shared" si="47"/>
        <v>-1.9123202291082553</v>
      </c>
      <c r="I49" s="1789">
        <f t="shared" si="47"/>
        <v>192.34659082567828</v>
      </c>
      <c r="J49" s="1789">
        <f t="shared" si="47"/>
        <v>260.82153359334228</v>
      </c>
      <c r="K49" s="1789" t="str">
        <f t="shared" si="47"/>
        <v>N/A</v>
      </c>
      <c r="L49" s="1789" t="str">
        <f t="shared" si="47"/>
        <v>N/A</v>
      </c>
      <c r="M49" s="1789" t="str">
        <f t="shared" si="47"/>
        <v>N/A</v>
      </c>
      <c r="N49" s="52"/>
      <c r="O49" s="54" t="str">
        <f t="shared" si="42"/>
        <v>Cogeneration ('000 MWh)</v>
      </c>
      <c r="P49" s="158"/>
      <c r="Q49" s="158"/>
      <c r="R49" s="158"/>
      <c r="S49" s="158"/>
      <c r="T49" s="2306">
        <f t="shared" ref="T49" si="48">T11/T30-1</f>
        <v>0</v>
      </c>
      <c r="U49" s="158"/>
      <c r="V49" s="158"/>
      <c r="W49" s="158"/>
      <c r="X49" s="158"/>
      <c r="Y49" s="158"/>
      <c r="Z49" s="158"/>
      <c r="AA49" s="158"/>
      <c r="AB49" s="158"/>
      <c r="AC49" s="52"/>
      <c r="AD49" s="1401" t="s">
        <v>295</v>
      </c>
      <c r="AE49" s="71"/>
      <c r="AF49" s="71"/>
      <c r="AG49" s="107">
        <f>AG11/AG30-1</f>
        <v>2.5664326007868832E-2</v>
      </c>
      <c r="AH49" s="107">
        <f t="shared" ref="AH49:AJ49" si="49">AH11/AH30-1</f>
        <v>-0.133318893499762</v>
      </c>
      <c r="AI49" s="407">
        <f t="shared" si="49"/>
        <v>-8.7273981165505665E-2</v>
      </c>
      <c r="AJ49" s="407">
        <f t="shared" si="49"/>
        <v>-0.13240547431387695</v>
      </c>
      <c r="AK49" s="407">
        <f t="shared" si="44"/>
        <v>-9.1939708036026246E-2</v>
      </c>
    </row>
    <row r="50" spans="1:37">
      <c r="A50" s="52" t="s">
        <v>220</v>
      </c>
      <c r="B50" s="1787">
        <f t="shared" ref="B50:M50" si="50">IFERROR(B12/B31-1,"N/A")</f>
        <v>1.9972782745350708</v>
      </c>
      <c r="C50" s="1787">
        <f t="shared" si="50"/>
        <v>-1</v>
      </c>
      <c r="D50" s="1787">
        <f t="shared" si="50"/>
        <v>-1</v>
      </c>
      <c r="E50" s="1787">
        <f t="shared" si="50"/>
        <v>-1</v>
      </c>
      <c r="F50" s="1621">
        <f t="shared" si="50"/>
        <v>-1</v>
      </c>
      <c r="G50" s="1621">
        <f t="shared" si="50"/>
        <v>-1</v>
      </c>
      <c r="H50" s="1621">
        <f t="shared" si="50"/>
        <v>-1</v>
      </c>
      <c r="I50" s="1621">
        <f t="shared" si="50"/>
        <v>-1</v>
      </c>
      <c r="J50" s="1621">
        <f t="shared" si="50"/>
        <v>-1</v>
      </c>
      <c r="K50" s="1621" t="str">
        <f t="shared" si="50"/>
        <v>N/A</v>
      </c>
      <c r="L50" s="1621" t="str">
        <f t="shared" si="50"/>
        <v>N/A</v>
      </c>
      <c r="M50" s="1621" t="str">
        <f t="shared" si="50"/>
        <v>N/A</v>
      </c>
      <c r="N50" s="52"/>
      <c r="O50" s="157" t="str">
        <f t="shared" si="42"/>
        <v>Mix Sugar/Ethanol</v>
      </c>
      <c r="P50" s="163"/>
      <c r="Q50" s="73"/>
      <c r="R50" s="73"/>
      <c r="S50" s="73"/>
      <c r="T50" s="73">
        <f>(T12-T31)*10000</f>
        <v>0</v>
      </c>
      <c r="U50" s="158"/>
      <c r="V50" s="158"/>
      <c r="W50" s="158"/>
      <c r="X50" s="158"/>
      <c r="Y50" s="158"/>
      <c r="Z50" s="158"/>
      <c r="AA50" s="158"/>
      <c r="AB50" s="158"/>
      <c r="AC50" s="52"/>
      <c r="AD50" s="1401" t="s">
        <v>681</v>
      </c>
      <c r="AE50" s="71"/>
      <c r="AF50" s="71"/>
      <c r="AG50" s="107">
        <f>AG12/AG31-1</f>
        <v>6.672593388102066E-2</v>
      </c>
      <c r="AH50" s="107">
        <f t="shared" ref="AH50:AJ50" si="51">AH12/AH31-1</f>
        <v>-7.4226196872626105E-2</v>
      </c>
      <c r="AI50" s="407">
        <f t="shared" si="51"/>
        <v>8.4643010261348683E-2</v>
      </c>
      <c r="AJ50" s="407">
        <f t="shared" si="51"/>
        <v>5.2432947164717802E-2</v>
      </c>
      <c r="AK50" s="407">
        <f t="shared" si="44"/>
        <v>0.18716443512984604</v>
      </c>
    </row>
    <row r="51" spans="1:37">
      <c r="A51" s="226" t="s">
        <v>402</v>
      </c>
      <c r="B51" s="121">
        <f t="shared" ref="B51:M51" si="52">IFERROR(B13/B32-1,"N/A")</f>
        <v>-0.14804273606754959</v>
      </c>
      <c r="C51" s="121">
        <f t="shared" si="52"/>
        <v>2.7754469969643036E-2</v>
      </c>
      <c r="D51" s="121">
        <f t="shared" si="52"/>
        <v>-0.42855587392550154</v>
      </c>
      <c r="E51" s="121">
        <f t="shared" si="52"/>
        <v>-0.42994377510040138</v>
      </c>
      <c r="F51" s="1790">
        <f t="shared" si="52"/>
        <v>-0.12574935348245364</v>
      </c>
      <c r="G51" s="1790">
        <f t="shared" si="52"/>
        <v>-5.6030318580241989E-2</v>
      </c>
      <c r="H51" s="1790">
        <f t="shared" si="52"/>
        <v>0.19317912267539428</v>
      </c>
      <c r="I51" s="1790">
        <f t="shared" si="52"/>
        <v>0.26967429839588108</v>
      </c>
      <c r="J51" s="1790">
        <f t="shared" si="52"/>
        <v>0.28106617940242007</v>
      </c>
      <c r="K51" s="1790" t="str">
        <f t="shared" si="52"/>
        <v>N/A</v>
      </c>
      <c r="L51" s="1790" t="str">
        <f t="shared" si="52"/>
        <v>N/A</v>
      </c>
      <c r="M51" s="1790" t="str">
        <f t="shared" si="52"/>
        <v>N/A</v>
      </c>
      <c r="N51" s="52"/>
      <c r="O51" s="157" t="str">
        <f t="shared" si="42"/>
        <v>Mix Anhydrous/Hydrous</v>
      </c>
      <c r="P51" s="158"/>
      <c r="Q51" s="73"/>
      <c r="R51" s="158"/>
      <c r="S51" s="158"/>
      <c r="T51" s="158"/>
      <c r="U51" s="158"/>
      <c r="V51" s="158"/>
      <c r="W51" s="158"/>
      <c r="X51" s="158"/>
      <c r="Y51" s="158"/>
      <c r="Z51" s="158"/>
      <c r="AA51" s="158"/>
      <c r="AB51" s="158"/>
      <c r="AC51" s="52"/>
      <c r="AD51" s="1401" t="s">
        <v>1205</v>
      </c>
      <c r="AE51" s="72"/>
      <c r="AF51" s="71"/>
      <c r="AG51" s="107">
        <f t="shared" ref="AG51:AJ51" si="53">AG13/AG32-1</f>
        <v>4.0034158186013302E-2</v>
      </c>
      <c r="AH51" s="107">
        <f t="shared" si="53"/>
        <v>6.8182744707289356E-2</v>
      </c>
      <c r="AI51" s="407">
        <f t="shared" si="53"/>
        <v>0.18835552825193225</v>
      </c>
      <c r="AJ51" s="407">
        <f t="shared" si="53"/>
        <v>0.21304701217705113</v>
      </c>
      <c r="AK51" s="407">
        <f t="shared" si="44"/>
        <v>0.30736300842119135</v>
      </c>
    </row>
    <row r="52" spans="1:37">
      <c r="A52" s="52" t="s">
        <v>304</v>
      </c>
      <c r="B52" s="1787">
        <f t="shared" ref="B52:M52" si="54">IFERROR(B14/B33-1,"N/A")</f>
        <v>2.9591752651026715</v>
      </c>
      <c r="C52" s="1787">
        <f t="shared" si="54"/>
        <v>-1</v>
      </c>
      <c r="D52" s="1787">
        <f t="shared" si="54"/>
        <v>-1</v>
      </c>
      <c r="E52" s="1787">
        <f t="shared" si="54"/>
        <v>-1</v>
      </c>
      <c r="F52" s="1621">
        <f t="shared" si="54"/>
        <v>-1</v>
      </c>
      <c r="G52" s="1621">
        <f t="shared" si="54"/>
        <v>-1</v>
      </c>
      <c r="H52" s="1621">
        <f t="shared" si="54"/>
        <v>-1</v>
      </c>
      <c r="I52" s="1621" t="str">
        <f t="shared" si="54"/>
        <v>N/A</v>
      </c>
      <c r="J52" s="1621" t="str">
        <f t="shared" si="54"/>
        <v>N/A</v>
      </c>
      <c r="K52" s="1621" t="str">
        <f t="shared" si="54"/>
        <v>N/A</v>
      </c>
      <c r="L52" s="1621" t="str">
        <f t="shared" si="54"/>
        <v>N/A</v>
      </c>
      <c r="M52" s="1621" t="str">
        <f t="shared" si="54"/>
        <v>N/A</v>
      </c>
      <c r="N52" s="52"/>
      <c r="O52" s="1401" t="str">
        <f>O33</f>
        <v>Total ATR</v>
      </c>
      <c r="P52" s="60"/>
      <c r="Q52" s="60"/>
      <c r="R52" s="60"/>
      <c r="S52" s="60"/>
      <c r="T52" s="192">
        <f>T14/T33-1</f>
        <v>1.6795431642568914E-5</v>
      </c>
      <c r="U52" s="158"/>
      <c r="V52" s="158"/>
      <c r="W52" s="158"/>
      <c r="X52" s="158"/>
      <c r="Y52" s="158"/>
      <c r="Z52" s="158"/>
      <c r="AA52" s="158"/>
      <c r="AB52" s="158"/>
      <c r="AC52" s="52"/>
      <c r="AD52" s="1401" t="s">
        <v>220</v>
      </c>
      <c r="AE52" s="71"/>
      <c r="AF52" s="71"/>
      <c r="AG52" s="107">
        <f t="shared" ref="AG52:AJ52" si="55">AG14/AG33-1</f>
        <v>-8.2486639768092118E-2</v>
      </c>
      <c r="AH52" s="107">
        <f t="shared" si="55"/>
        <v>-0.14302538915878937</v>
      </c>
      <c r="AI52" s="407">
        <f t="shared" si="55"/>
        <v>-6.1472722743202812E-2</v>
      </c>
      <c r="AJ52" s="407">
        <f t="shared" si="55"/>
        <v>-0.12861937620265262</v>
      </c>
      <c r="AK52" s="407">
        <f t="shared" si="44"/>
        <v>4.7275569386791449E-2</v>
      </c>
    </row>
    <row r="53" spans="1:37">
      <c r="A53" s="52" t="s">
        <v>80</v>
      </c>
      <c r="B53" s="162" t="s">
        <v>452</v>
      </c>
      <c r="C53" s="162" t="s">
        <v>452</v>
      </c>
      <c r="D53" s="162" t="s">
        <v>452</v>
      </c>
      <c r="E53" s="162" t="s">
        <v>452</v>
      </c>
      <c r="F53" s="1620" t="s">
        <v>452</v>
      </c>
      <c r="G53" s="1620" t="s">
        <v>452</v>
      </c>
      <c r="H53" s="1620" t="s">
        <v>452</v>
      </c>
      <c r="I53" s="1620" t="s">
        <v>452</v>
      </c>
      <c r="J53" s="1620" t="s">
        <v>452</v>
      </c>
      <c r="K53" s="1620" t="s">
        <v>452</v>
      </c>
      <c r="L53" s="1620" t="s">
        <v>452</v>
      </c>
      <c r="M53" s="1620" t="s">
        <v>452</v>
      </c>
      <c r="N53" s="52"/>
      <c r="O53" s="52" t="s">
        <v>167</v>
      </c>
      <c r="P53" s="73"/>
      <c r="Q53" s="73"/>
      <c r="R53" s="73"/>
      <c r="S53" s="73"/>
      <c r="T53" s="158"/>
      <c r="U53" s="158"/>
      <c r="V53" s="158"/>
      <c r="W53" s="158"/>
      <c r="X53" s="158"/>
      <c r="Y53" s="158"/>
      <c r="Z53" s="158"/>
      <c r="AA53" s="158"/>
      <c r="AB53" s="158"/>
      <c r="AC53" s="52"/>
      <c r="AD53" s="226" t="s">
        <v>402</v>
      </c>
      <c r="AE53" s="235"/>
      <c r="AF53" s="235"/>
      <c r="AG53" s="115">
        <f t="shared" ref="AG53:AJ53" si="56">AG15/AG34-1</f>
        <v>-8.4767463402850685E-2</v>
      </c>
      <c r="AH53" s="115">
        <f t="shared" si="56"/>
        <v>-0.45358037549763131</v>
      </c>
      <c r="AI53" s="1624">
        <f t="shared" si="56"/>
        <v>0.22931108348578633</v>
      </c>
      <c r="AJ53" s="1624">
        <f t="shared" si="56"/>
        <v>0.2236653175230443</v>
      </c>
      <c r="AK53" s="1624">
        <f t="shared" si="44"/>
        <v>0.55660823656369662</v>
      </c>
    </row>
    <row r="54" spans="1:37">
      <c r="A54" s="52" t="s">
        <v>313</v>
      </c>
      <c r="B54" s="1787" t="str">
        <f t="shared" ref="B54:D56" si="57">IFERROR(B16/B35-1,"N/A")</f>
        <v>N/A</v>
      </c>
      <c r="C54" s="1787" t="str">
        <f t="shared" si="57"/>
        <v>N/A</v>
      </c>
      <c r="D54" s="1787" t="str">
        <f t="shared" si="57"/>
        <v>N/A</v>
      </c>
      <c r="E54" s="1787"/>
      <c r="F54" s="1621" t="str">
        <f>IF(ISERROR(F16/F35-1),"NM",F16/F35-1)</f>
        <v>NM</v>
      </c>
      <c r="G54" s="1621" t="str">
        <f t="shared" ref="G54:M54" si="58">IF(ISERROR(G16/G35-1),"NM",G16/G35-1)</f>
        <v>NM</v>
      </c>
      <c r="H54" s="1621" t="str">
        <f t="shared" si="58"/>
        <v>NM</v>
      </c>
      <c r="I54" s="1621" t="str">
        <f t="shared" si="58"/>
        <v>NM</v>
      </c>
      <c r="J54" s="1621" t="str">
        <f t="shared" si="58"/>
        <v>NM</v>
      </c>
      <c r="K54" s="1621" t="str">
        <f t="shared" si="58"/>
        <v>NM</v>
      </c>
      <c r="L54" s="1621" t="str">
        <f t="shared" si="58"/>
        <v>NM</v>
      </c>
      <c r="M54" s="1621" t="str">
        <f t="shared" si="58"/>
        <v>NM</v>
      </c>
      <c r="N54" s="52"/>
      <c r="O54" s="61" t="s">
        <v>396</v>
      </c>
      <c r="P54" s="60"/>
      <c r="Q54" s="60"/>
      <c r="R54" s="60"/>
      <c r="S54" s="60"/>
      <c r="T54" s="158"/>
      <c r="U54" s="158"/>
      <c r="V54" s="158"/>
      <c r="W54" s="158"/>
      <c r="X54" s="158"/>
      <c r="Y54" s="158"/>
      <c r="Z54" s="158"/>
      <c r="AA54" s="158"/>
      <c r="AB54" s="158"/>
      <c r="AC54" s="52"/>
      <c r="AD54" s="1401" t="s">
        <v>304</v>
      </c>
      <c r="AE54" s="71"/>
      <c r="AF54" s="71"/>
      <c r="AG54" s="107">
        <f t="shared" ref="AG54:AJ54" si="59">AG16/AG35-1</f>
        <v>2.3766099152545315</v>
      </c>
      <c r="AH54" s="107">
        <f t="shared" si="59"/>
        <v>3.4954145142977087</v>
      </c>
      <c r="AI54" s="407">
        <f t="shared" si="59"/>
        <v>7.0426794810906159</v>
      </c>
      <c r="AJ54" s="407">
        <f t="shared" si="59"/>
        <v>7.4762468859033682</v>
      </c>
      <c r="AK54" s="407">
        <f t="shared" si="44"/>
        <v>8.9465928057676258</v>
      </c>
    </row>
    <row r="55" spans="1:37">
      <c r="A55" s="52" t="s">
        <v>264</v>
      </c>
      <c r="B55" s="1787">
        <f t="shared" si="57"/>
        <v>0.22977146831011264</v>
      </c>
      <c r="C55" s="1787">
        <f t="shared" si="57"/>
        <v>0.54643436736368889</v>
      </c>
      <c r="D55" s="1787">
        <f t="shared" si="57"/>
        <v>2.0820850134030122E-2</v>
      </c>
      <c r="E55" s="1787">
        <f t="shared" ref="E55:M55" si="60">IFERROR(E17/E36-1,"N/A")</f>
        <v>0.39266468375470187</v>
      </c>
      <c r="F55" s="1621">
        <f t="shared" si="60"/>
        <v>0.12696238891452971</v>
      </c>
      <c r="G55" s="1621">
        <f t="shared" si="60"/>
        <v>0.34202844140447297</v>
      </c>
      <c r="H55" s="1621">
        <f t="shared" si="60"/>
        <v>0.51573358841491479</v>
      </c>
      <c r="I55" s="1621">
        <f t="shared" si="60"/>
        <v>0.32412411568933108</v>
      </c>
      <c r="J55" s="1621">
        <f t="shared" si="60"/>
        <v>0.18423395098104711</v>
      </c>
      <c r="K55" s="1621" t="str">
        <f t="shared" si="60"/>
        <v>N/A</v>
      </c>
      <c r="L55" s="1621" t="str">
        <f t="shared" si="60"/>
        <v>N/A</v>
      </c>
      <c r="M55" s="1621" t="str">
        <f t="shared" si="60"/>
        <v>N/A</v>
      </c>
      <c r="N55" s="52"/>
      <c r="O55" s="52" t="s">
        <v>219</v>
      </c>
      <c r="P55" s="60"/>
      <c r="Q55" s="60"/>
      <c r="R55" s="60"/>
      <c r="S55" s="60"/>
      <c r="T55" s="158"/>
      <c r="U55" s="158"/>
      <c r="V55" s="158"/>
      <c r="W55" s="158"/>
      <c r="X55" s="158"/>
      <c r="Y55" s="158"/>
      <c r="Z55" s="158"/>
      <c r="AA55" s="158"/>
      <c r="AB55" s="158"/>
      <c r="AC55" s="52"/>
      <c r="AD55" s="1401" t="s">
        <v>80</v>
      </c>
      <c r="AE55" s="52"/>
      <c r="AF55" s="52"/>
      <c r="AG55" s="107">
        <f t="shared" ref="AG55:AJ55" si="61">AG17/AG36-1</f>
        <v>-0.9549418344194579</v>
      </c>
      <c r="AH55" s="107">
        <f t="shared" si="61"/>
        <v>-0.14086600953646455</v>
      </c>
      <c r="AI55" s="407">
        <f t="shared" si="61"/>
        <v>0.92320085856725287</v>
      </c>
      <c r="AJ55" s="407">
        <f t="shared" si="61"/>
        <v>0.49133972292161032</v>
      </c>
      <c r="AK55" s="407">
        <f t="shared" si="44"/>
        <v>1.4854855340130451</v>
      </c>
    </row>
    <row r="56" spans="1:37">
      <c r="A56" s="52" t="s">
        <v>553</v>
      </c>
      <c r="B56" s="1787">
        <f t="shared" si="57"/>
        <v>0.27707716108057712</v>
      </c>
      <c r="C56" s="1787">
        <f t="shared" si="57"/>
        <v>0.50930804172133959</v>
      </c>
      <c r="D56" s="1787">
        <f t="shared" si="57"/>
        <v>4.0251685498346124E-2</v>
      </c>
      <c r="E56" s="1787">
        <f t="shared" ref="E56:M56" si="62">IFERROR(E18/E37-1,"N/A")</f>
        <v>0.50051686306029186</v>
      </c>
      <c r="F56" s="1621">
        <f t="shared" si="62"/>
        <v>0.15834136127520537</v>
      </c>
      <c r="G56" s="1621">
        <f t="shared" si="62"/>
        <v>0.38790164307451835</v>
      </c>
      <c r="H56" s="1621">
        <f t="shared" si="62"/>
        <v>0.47150246560294251</v>
      </c>
      <c r="I56" s="1621">
        <f t="shared" si="62"/>
        <v>0.12156827647892321</v>
      </c>
      <c r="J56" s="1621">
        <f t="shared" si="62"/>
        <v>-4.4136274115747165E-2</v>
      </c>
      <c r="K56" s="1621" t="str">
        <f t="shared" si="62"/>
        <v>N/A</v>
      </c>
      <c r="L56" s="1621" t="str">
        <f t="shared" si="62"/>
        <v>N/A</v>
      </c>
      <c r="M56" s="1621" t="str">
        <f t="shared" si="62"/>
        <v>N/A</v>
      </c>
      <c r="N56" s="52"/>
      <c r="O56" s="61" t="s">
        <v>399</v>
      </c>
      <c r="P56" s="73"/>
      <c r="Q56" s="73"/>
      <c r="R56" s="73"/>
      <c r="S56" s="73"/>
      <c r="T56" s="158"/>
      <c r="U56" s="158"/>
      <c r="V56" s="158"/>
      <c r="W56" s="158"/>
      <c r="X56" s="158"/>
      <c r="Y56" s="158"/>
      <c r="Z56" s="158"/>
      <c r="AA56" s="158"/>
      <c r="AB56" s="158"/>
      <c r="AC56" s="52"/>
      <c r="AD56" s="1401" t="s">
        <v>264</v>
      </c>
      <c r="AE56" s="52"/>
      <c r="AF56" s="52"/>
      <c r="AG56" s="107">
        <f t="shared" ref="AG56:AJ56" si="63">AG18/AG37-1</f>
        <v>-0.25515001344706045</v>
      </c>
      <c r="AH56" s="107">
        <f t="shared" si="63"/>
        <v>-0.25848997322244094</v>
      </c>
      <c r="AI56" s="407">
        <f t="shared" si="63"/>
        <v>-0.30774296433945725</v>
      </c>
      <c r="AJ56" s="407">
        <f t="shared" si="63"/>
        <v>-0.27570453871948075</v>
      </c>
      <c r="AK56" s="407">
        <f t="shared" si="44"/>
        <v>-0.2891471373340373</v>
      </c>
    </row>
    <row r="57" spans="1:37">
      <c r="A57" s="52"/>
      <c r="B57" s="52"/>
      <c r="C57" s="52"/>
      <c r="D57" s="52"/>
      <c r="E57" s="382"/>
      <c r="F57" s="382"/>
      <c r="G57" s="382"/>
      <c r="H57" s="382"/>
      <c r="I57" s="382"/>
      <c r="J57" s="382"/>
      <c r="K57" s="382"/>
      <c r="L57" s="382"/>
      <c r="M57" s="382"/>
      <c r="N57" s="52"/>
      <c r="O57" s="61" t="s">
        <v>484</v>
      </c>
      <c r="P57" s="74"/>
      <c r="Q57" s="74"/>
      <c r="R57" s="74"/>
      <c r="S57" s="74"/>
      <c r="T57" s="74"/>
      <c r="U57" s="74"/>
      <c r="V57" s="74"/>
      <c r="W57" s="74"/>
      <c r="X57" s="74"/>
      <c r="Y57" s="74"/>
      <c r="Z57" s="74"/>
      <c r="AA57" s="74"/>
      <c r="AB57" s="74"/>
      <c r="AC57" s="52"/>
      <c r="AD57" s="106" t="s">
        <v>1148</v>
      </c>
      <c r="AE57" s="52"/>
      <c r="AF57" s="52"/>
      <c r="AG57" s="107">
        <f t="shared" ref="AG57:AJ57" si="64">AG19/AG38-1</f>
        <v>-0.37077829883684954</v>
      </c>
      <c r="AH57" s="107">
        <f t="shared" si="64"/>
        <v>-0.34198597374578543</v>
      </c>
      <c r="AI57" s="407">
        <f t="shared" si="64"/>
        <v>-0.36934038374589817</v>
      </c>
      <c r="AJ57" s="407">
        <f t="shared" si="64"/>
        <v>-0.37269617856341397</v>
      </c>
      <c r="AK57" s="407">
        <f t="shared" si="44"/>
        <v>-0.49125503673449011</v>
      </c>
    </row>
    <row r="58" spans="1:37">
      <c r="A58" s="52"/>
      <c r="B58" s="52"/>
      <c r="C58" s="52"/>
      <c r="D58" s="52"/>
      <c r="E58" s="52"/>
      <c r="F58" s="52"/>
      <c r="G58" s="1401"/>
      <c r="H58" s="1401"/>
      <c r="I58" s="1401"/>
      <c r="J58" s="1401"/>
      <c r="K58" s="1401"/>
      <c r="L58" s="1401"/>
      <c r="M58" s="1401"/>
      <c r="N58" s="52"/>
      <c r="O58" s="1401" t="s">
        <v>402</v>
      </c>
      <c r="P58" s="60"/>
      <c r="Q58" s="60"/>
      <c r="R58" s="60"/>
      <c r="S58" s="60"/>
      <c r="T58" s="158"/>
      <c r="U58" s="158"/>
      <c r="V58" s="158"/>
      <c r="W58" s="158"/>
      <c r="X58" s="158"/>
      <c r="Y58" s="158"/>
      <c r="Z58" s="158"/>
      <c r="AA58" s="158"/>
      <c r="AB58" s="158"/>
      <c r="AC58" s="52"/>
      <c r="AD58" s="52"/>
      <c r="AE58" s="52"/>
      <c r="AF58" s="52"/>
      <c r="AG58" s="52"/>
      <c r="AH58" s="382"/>
      <c r="AI58" s="382"/>
      <c r="AJ58" s="382"/>
      <c r="AK58" s="52"/>
    </row>
    <row r="59" spans="1:37">
      <c r="A59" s="52"/>
      <c r="B59" s="52"/>
      <c r="C59" s="52"/>
      <c r="D59" s="52"/>
      <c r="E59" s="52"/>
      <c r="F59" s="52"/>
      <c r="G59" s="1401"/>
      <c r="H59" s="1401"/>
      <c r="I59" s="1401"/>
      <c r="J59" s="1401"/>
      <c r="K59" s="1401"/>
      <c r="L59" s="1401"/>
      <c r="M59" s="1401"/>
      <c r="N59" s="52"/>
      <c r="O59" s="52" t="s">
        <v>552</v>
      </c>
      <c r="P59" s="60"/>
      <c r="Q59" s="60"/>
      <c r="R59" s="60"/>
      <c r="S59" s="60"/>
      <c r="T59" s="60"/>
      <c r="U59" s="60"/>
      <c r="V59" s="60"/>
      <c r="W59" s="60"/>
      <c r="X59" s="60"/>
      <c r="Y59" s="60"/>
      <c r="Z59" s="60"/>
      <c r="AA59" s="60"/>
      <c r="AB59" s="60"/>
      <c r="AC59" s="52"/>
      <c r="AD59" s="52"/>
      <c r="AE59" s="52"/>
      <c r="AF59" s="52"/>
      <c r="AG59" s="52"/>
      <c r="AH59" s="52"/>
      <c r="AI59" s="52"/>
      <c r="AK59" s="52"/>
    </row>
    <row r="60" spans="1:37">
      <c r="A60" s="52"/>
      <c r="B60" s="52"/>
      <c r="C60" s="52"/>
      <c r="D60" s="52"/>
      <c r="E60" s="52"/>
      <c r="F60" s="52"/>
      <c r="G60" s="1401"/>
      <c r="H60" s="1401"/>
      <c r="I60" s="1401"/>
      <c r="J60" s="1401"/>
      <c r="K60" s="1401"/>
      <c r="L60" s="1401"/>
      <c r="M60" s="1401"/>
      <c r="N60" s="52"/>
      <c r="O60" s="52" t="s">
        <v>264</v>
      </c>
      <c r="P60" s="60"/>
      <c r="Q60" s="60"/>
      <c r="R60" s="60"/>
      <c r="S60" s="60"/>
      <c r="T60" s="158"/>
      <c r="U60" s="60"/>
      <c r="V60" s="60"/>
      <c r="W60" s="60"/>
      <c r="X60" s="60"/>
      <c r="Y60" s="60"/>
      <c r="Z60" s="60"/>
      <c r="AA60" s="60"/>
      <c r="AB60" s="60"/>
      <c r="AC60" s="52"/>
      <c r="AD60" s="52"/>
      <c r="AE60" s="52"/>
      <c r="AF60" s="52"/>
      <c r="AG60" s="52"/>
      <c r="AH60" s="52"/>
      <c r="AI60" s="52"/>
      <c r="AK60" s="52"/>
    </row>
    <row r="61" spans="1:37">
      <c r="A61" s="52"/>
      <c r="B61" s="52"/>
      <c r="C61" s="52"/>
      <c r="D61" s="52"/>
      <c r="E61" s="52"/>
      <c r="F61" s="52"/>
      <c r="G61" s="1401"/>
      <c r="H61" s="1401"/>
      <c r="I61" s="1401"/>
      <c r="J61" s="1401"/>
      <c r="K61" s="1401"/>
      <c r="L61" s="1401"/>
      <c r="M61" s="1401"/>
      <c r="N61" s="52"/>
      <c r="O61" s="52" t="s">
        <v>553</v>
      </c>
      <c r="P61" s="60"/>
      <c r="Q61" s="60"/>
      <c r="R61" s="60"/>
      <c r="S61" s="60"/>
      <c r="T61" s="60"/>
      <c r="U61" s="60"/>
      <c r="V61" s="60"/>
      <c r="W61" s="60"/>
      <c r="X61" s="60"/>
      <c r="Y61" s="60"/>
      <c r="Z61" s="60"/>
      <c r="AA61" s="60"/>
      <c r="AB61" s="60"/>
      <c r="AC61" s="52"/>
      <c r="AD61" s="52"/>
      <c r="AE61" s="52"/>
      <c r="AF61" s="52"/>
      <c r="AG61" s="52"/>
      <c r="AH61" s="52"/>
      <c r="AI61" s="52"/>
      <c r="AK61" s="52"/>
    </row>
    <row r="62" spans="1:37">
      <c r="A62" s="1401"/>
      <c r="B62" s="1401"/>
      <c r="C62" s="1401"/>
      <c r="D62" s="1401"/>
      <c r="E62" s="1401"/>
      <c r="F62" s="1401"/>
      <c r="G62" s="1401"/>
      <c r="H62" s="1401"/>
      <c r="I62" s="1401"/>
      <c r="J62" s="1401"/>
      <c r="K62" s="1401"/>
      <c r="L62" s="1401"/>
      <c r="M62" s="1401"/>
      <c r="N62" s="1401"/>
      <c r="O62" s="1401" t="str">
        <f>O43</f>
        <v>Cost of production</v>
      </c>
      <c r="P62" s="60"/>
      <c r="Q62" s="60"/>
      <c r="R62" s="60"/>
      <c r="S62" s="60"/>
      <c r="T62" s="192">
        <f>T24/T43-1</f>
        <v>-6.398575052705513E-2</v>
      </c>
      <c r="U62" s="60"/>
      <c r="V62" s="60"/>
      <c r="W62" s="60"/>
      <c r="X62" s="60"/>
      <c r="Y62" s="60"/>
      <c r="Z62" s="60"/>
      <c r="AA62" s="60"/>
      <c r="AB62" s="60"/>
      <c r="AC62" s="1401"/>
      <c r="AD62" s="1401"/>
      <c r="AE62" s="1401"/>
      <c r="AF62" s="1401"/>
      <c r="AG62" s="1401"/>
      <c r="AH62" s="1401"/>
      <c r="AI62" s="1401"/>
      <c r="AJ62" s="1401"/>
      <c r="AK62" s="1401"/>
    </row>
    <row r="63" spans="1:37" hidden="1" outlineLevel="1">
      <c r="A63" s="78" t="s">
        <v>1399</v>
      </c>
      <c r="D63" s="433" t="str">
        <f>LEFT(Summary!U6,1)&amp;"FQ"&amp;20&amp;MID(Summary!U6,3,2)</f>
        <v>2FQ2018</v>
      </c>
      <c r="E63" s="433"/>
      <c r="F63" s="1401"/>
      <c r="G63" s="1401"/>
      <c r="H63" s="1401"/>
      <c r="I63" s="1401"/>
      <c r="J63" s="1401"/>
      <c r="K63" s="1401"/>
      <c r="L63" s="1401"/>
      <c r="M63" s="1401"/>
      <c r="N63" s="1401"/>
      <c r="O63" s="1401"/>
      <c r="P63" s="60"/>
      <c r="Q63" s="60"/>
      <c r="R63" s="60"/>
      <c r="S63" s="60"/>
      <c r="T63" s="60"/>
      <c r="U63" s="60"/>
      <c r="V63" s="60"/>
      <c r="W63" s="60"/>
      <c r="X63" s="60"/>
      <c r="Y63" s="60"/>
      <c r="Z63" s="60"/>
      <c r="AA63" s="60"/>
      <c r="AB63" s="60"/>
      <c r="AC63" s="1401"/>
      <c r="AD63" s="1401"/>
      <c r="AE63" s="1401"/>
      <c r="AF63" s="1401"/>
      <c r="AG63" s="1401"/>
      <c r="AH63" s="1401"/>
      <c r="AI63" s="1401"/>
      <c r="AJ63" s="1401"/>
      <c r="AK63" s="1401"/>
    </row>
    <row r="64" spans="1:37" hidden="1" outlineLevel="1">
      <c r="A64" s="436"/>
      <c r="D64" s="436" t="s">
        <v>456</v>
      </c>
      <c r="E64" s="436" t="s">
        <v>457</v>
      </c>
      <c r="F64" s="1401"/>
      <c r="G64" s="1401"/>
      <c r="H64" s="1401"/>
      <c r="I64" s="1401"/>
      <c r="J64" s="1401"/>
      <c r="K64" s="1401"/>
      <c r="L64" s="1401"/>
      <c r="M64" s="1401"/>
      <c r="N64" s="1401"/>
      <c r="O64" s="1401"/>
      <c r="P64" s="60"/>
      <c r="Q64" s="60"/>
      <c r="R64" s="60"/>
      <c r="S64" s="60"/>
      <c r="T64" s="60"/>
      <c r="U64" s="60"/>
      <c r="V64" s="60"/>
      <c r="W64" s="60"/>
      <c r="X64" s="60"/>
      <c r="Y64" s="60"/>
      <c r="Z64" s="60"/>
      <c r="AA64" s="60"/>
      <c r="AB64" s="60"/>
      <c r="AC64" s="1401"/>
      <c r="AD64" s="1401"/>
      <c r="AE64" s="1401"/>
      <c r="AF64" s="1401"/>
      <c r="AG64" s="1401"/>
      <c r="AH64" s="1401"/>
      <c r="AI64" s="1401"/>
      <c r="AJ64" s="1401"/>
      <c r="AK64" s="1401"/>
    </row>
    <row r="65" spans="1:37" hidden="1" outlineLevel="1">
      <c r="A65" s="1347" t="s">
        <v>295</v>
      </c>
      <c r="D65" s="2097" t="str">
        <f>IFERROR(_xll.ThomsonONEAddinShim.SpreadsheetFormulas.TF(Index!I4,"TF.RF.Revenue(period=#1)","",$D$63),"N/A")</f>
        <v xml:space="preserve">                                                               N/A                                                               </v>
      </c>
      <c r="E65" s="1649" t="str">
        <f>+IFERROR(Summary!U19/D65-1,"N/A")</f>
        <v>N/A</v>
      </c>
      <c r="F65" s="1401"/>
      <c r="G65" s="1401"/>
      <c r="H65" s="1401"/>
      <c r="I65" s="1401"/>
      <c r="J65" s="1401"/>
      <c r="K65" s="1401"/>
      <c r="L65" s="1401"/>
      <c r="M65" s="1401"/>
      <c r="N65" s="1401"/>
      <c r="O65" s="1401"/>
      <c r="P65" s="60"/>
      <c r="Q65" s="60"/>
      <c r="R65" s="60"/>
      <c r="S65" s="60"/>
      <c r="T65" s="60"/>
      <c r="U65" s="60"/>
      <c r="V65" s="60"/>
      <c r="W65" s="60"/>
      <c r="X65" s="60"/>
      <c r="Y65" s="60"/>
      <c r="Z65" s="60"/>
      <c r="AA65" s="60"/>
      <c r="AB65" s="60"/>
      <c r="AC65" s="1401"/>
      <c r="AD65" s="1401"/>
      <c r="AE65" s="1401"/>
      <c r="AF65" s="1401"/>
      <c r="AG65" s="1401"/>
      <c r="AH65" s="1401"/>
      <c r="AI65" s="1401"/>
      <c r="AJ65" s="1401"/>
      <c r="AK65" s="1401"/>
    </row>
    <row r="66" spans="1:37" hidden="1" outlineLevel="1">
      <c r="A66" s="2289" t="s">
        <v>1165</v>
      </c>
      <c r="D66" s="2291">
        <f>IFERROR(_xll.ThomsonONEAddinShim.SpreadsheetFormulas.TF(Index!I4,"TF.ES.EBITDA.Mean(period=#1,scale=6)",,$D$63),"N/A")</f>
        <v>551</v>
      </c>
      <c r="E66" s="1649">
        <f>+IFERROR(Summary!U20/D66-1,"N/A")</f>
        <v>-0.22571994644596471</v>
      </c>
      <c r="F66" s="1401"/>
      <c r="G66" s="1401"/>
      <c r="H66" s="1401"/>
      <c r="I66" s="1401"/>
      <c r="J66" s="1401"/>
      <c r="K66" s="1401"/>
      <c r="L66" s="1401"/>
      <c r="M66" s="1401"/>
      <c r="N66" s="1401"/>
      <c r="O66" s="1401"/>
      <c r="P66" s="60"/>
      <c r="Q66" s="60"/>
      <c r="R66" s="60"/>
      <c r="S66" s="60"/>
      <c r="T66" s="60"/>
      <c r="U66" s="60"/>
      <c r="V66" s="60"/>
      <c r="W66" s="60"/>
      <c r="X66" s="60"/>
      <c r="Y66" s="60"/>
      <c r="Z66" s="60"/>
      <c r="AA66" s="60"/>
      <c r="AB66" s="60"/>
      <c r="AC66" s="1401"/>
      <c r="AD66" s="1401"/>
      <c r="AE66" s="1401"/>
      <c r="AF66" s="1401"/>
      <c r="AG66" s="1401"/>
      <c r="AH66" s="1401"/>
      <c r="AI66" s="1401"/>
      <c r="AJ66" s="1401"/>
      <c r="AK66" s="1401"/>
    </row>
    <row r="67" spans="1:37" hidden="1" outlineLevel="1">
      <c r="A67" s="2290" t="s">
        <v>399</v>
      </c>
      <c r="D67" s="2291" t="str">
        <f>IF(ISERROR(D66/D65),"N/A",D66/D65)</f>
        <v>N/A</v>
      </c>
      <c r="E67" s="1649" t="str">
        <f>+IFERROR(Summary!U21/D67-1,"N/A")</f>
        <v>N/A</v>
      </c>
      <c r="F67" s="1401"/>
      <c r="G67" s="1401"/>
      <c r="H67" s="1401"/>
      <c r="I67" s="1401"/>
      <c r="J67" s="1401"/>
      <c r="K67" s="1401"/>
      <c r="L67" s="1401"/>
      <c r="M67" s="1401"/>
      <c r="N67" s="1401"/>
      <c r="O67" s="1401"/>
      <c r="P67" s="60"/>
      <c r="Q67" s="60"/>
      <c r="R67" s="60"/>
      <c r="S67" s="60"/>
      <c r="T67" s="60"/>
      <c r="U67" s="60"/>
      <c r="V67" s="60"/>
      <c r="W67" s="60"/>
      <c r="X67" s="60"/>
      <c r="Y67" s="60"/>
      <c r="Z67" s="60"/>
      <c r="AA67" s="60"/>
      <c r="AB67" s="60"/>
      <c r="AC67" s="1401"/>
      <c r="AD67" s="1401"/>
      <c r="AE67" s="1401"/>
      <c r="AF67" s="1401"/>
      <c r="AG67" s="1401"/>
      <c r="AH67" s="1401"/>
      <c r="AI67" s="1401"/>
      <c r="AJ67" s="1401"/>
      <c r="AK67" s="1401"/>
    </row>
    <row r="68" spans="1:37" hidden="1" outlineLevel="1">
      <c r="A68" s="2289" t="s">
        <v>1400</v>
      </c>
      <c r="D68" s="2291">
        <f>IFERROR(_xll.ThomsonONEAddinShim.SpreadsheetFormulas.TF(Index!I4,"TF.ES.NETINC.Mean(period=#1,scale=6)",,D63),"N/A")</f>
        <v>69</v>
      </c>
      <c r="E68" s="1649">
        <f>+IFERROR(Summary!U22/D68-1,"N/A")</f>
        <v>1.4344479291980279</v>
      </c>
      <c r="F68" s="1401"/>
      <c r="G68" s="1401"/>
      <c r="H68" s="1401"/>
      <c r="I68" s="1401"/>
      <c r="J68" s="1401"/>
      <c r="K68" s="1401"/>
      <c r="L68" s="1401"/>
      <c r="M68" s="1401"/>
      <c r="N68" s="1401"/>
      <c r="O68" s="1401"/>
      <c r="P68" s="60"/>
      <c r="Q68" s="60"/>
      <c r="R68" s="60"/>
      <c r="S68" s="60"/>
      <c r="T68" s="60"/>
      <c r="U68" s="60"/>
      <c r="V68" s="60"/>
      <c r="W68" s="60"/>
      <c r="X68" s="60"/>
      <c r="Y68" s="60"/>
      <c r="Z68" s="60"/>
      <c r="AA68" s="60"/>
      <c r="AB68" s="60"/>
      <c r="AC68" s="1401"/>
      <c r="AD68" s="1401"/>
      <c r="AE68" s="1401"/>
      <c r="AF68" s="1401"/>
      <c r="AG68" s="1401"/>
      <c r="AH68" s="1401"/>
      <c r="AI68" s="1401"/>
      <c r="AJ68" s="1401"/>
      <c r="AK68" s="1401"/>
    </row>
    <row r="69" spans="1:37" hidden="1" outlineLevel="1">
      <c r="A69" s="286"/>
      <c r="B69" s="2292"/>
      <c r="C69" s="1401"/>
      <c r="D69" s="1401"/>
      <c r="E69" s="1401"/>
      <c r="F69" s="1401"/>
      <c r="G69" s="1401"/>
      <c r="H69" s="1401"/>
      <c r="I69" s="1401"/>
      <c r="J69" s="1401"/>
      <c r="K69" s="1401"/>
      <c r="L69" s="1401"/>
      <c r="M69" s="1401"/>
      <c r="N69" s="1401"/>
      <c r="O69" s="1401"/>
      <c r="P69" s="60"/>
      <c r="Q69" s="60"/>
      <c r="R69" s="60"/>
      <c r="S69" s="60"/>
      <c r="T69" s="60"/>
      <c r="U69" s="60"/>
      <c r="V69" s="60"/>
      <c r="W69" s="60"/>
      <c r="X69" s="60"/>
      <c r="Y69" s="60"/>
      <c r="Z69" s="60"/>
      <c r="AA69" s="60"/>
      <c r="AB69" s="60"/>
      <c r="AC69" s="1401"/>
      <c r="AD69" s="1401"/>
      <c r="AE69" s="1401"/>
      <c r="AF69" s="1401"/>
      <c r="AG69" s="1401"/>
      <c r="AH69" s="1401"/>
      <c r="AI69" s="1401"/>
      <c r="AJ69" s="1401"/>
      <c r="AK69" s="1401"/>
    </row>
    <row r="70" spans="1:37" hidden="1" outlineLevel="1">
      <c r="A70" s="286"/>
      <c r="B70" s="2292"/>
      <c r="C70" s="1401"/>
      <c r="D70" s="1401"/>
      <c r="E70" s="1401"/>
      <c r="F70" s="1401"/>
      <c r="G70" s="1401"/>
      <c r="H70" s="1401"/>
      <c r="I70" s="1401"/>
      <c r="J70" s="1401"/>
      <c r="K70" s="1401"/>
      <c r="L70" s="1401"/>
      <c r="M70" s="1401"/>
      <c r="N70" s="1401"/>
      <c r="O70" s="1401"/>
      <c r="P70" s="60"/>
      <c r="Q70" s="60"/>
      <c r="R70" s="60"/>
      <c r="S70" s="60"/>
      <c r="T70" s="60"/>
      <c r="U70" s="60"/>
      <c r="V70" s="60"/>
      <c r="W70" s="60"/>
      <c r="X70" s="60"/>
      <c r="Y70" s="60"/>
      <c r="Z70" s="60"/>
      <c r="AA70" s="60"/>
      <c r="AB70" s="60"/>
      <c r="AC70" s="1401"/>
      <c r="AD70" s="1401"/>
      <c r="AE70" s="1401"/>
      <c r="AF70" s="1401"/>
      <c r="AG70" s="1401"/>
      <c r="AH70" s="1401"/>
      <c r="AI70" s="1401"/>
      <c r="AJ70" s="1401"/>
      <c r="AK70" s="1401"/>
    </row>
    <row r="71" spans="1:37" ht="13.5" customHeight="1" collapsed="1">
      <c r="A71" s="75"/>
      <c r="B71" s="75"/>
      <c r="C71" s="75"/>
      <c r="D71" s="75"/>
      <c r="E71" s="75"/>
      <c r="F71" s="75"/>
      <c r="G71" s="75"/>
      <c r="H71" s="75"/>
      <c r="I71" s="75"/>
      <c r="J71" s="75"/>
      <c r="K71" s="75"/>
      <c r="L71" s="75"/>
      <c r="M71" s="75"/>
      <c r="N71" s="75"/>
      <c r="O71" s="75"/>
      <c r="P71" s="75"/>
      <c r="Q71" s="75"/>
      <c r="R71" s="75"/>
      <c r="S71" s="75"/>
      <c r="T71" s="75"/>
      <c r="U71" s="75"/>
      <c r="V71" s="75"/>
      <c r="W71" s="75"/>
      <c r="X71" s="75"/>
      <c r="Y71" s="75"/>
      <c r="Z71" s="75"/>
      <c r="AA71" s="75"/>
      <c r="AB71" s="75"/>
      <c r="AC71" s="75"/>
      <c r="AD71" s="75"/>
      <c r="AE71" s="75"/>
      <c r="AF71" s="75"/>
      <c r="AG71" s="75"/>
      <c r="AH71" s="75"/>
      <c r="AI71" s="75"/>
      <c r="AJ71" s="75"/>
      <c r="AK71" s="75"/>
    </row>
    <row r="72" spans="1:37">
      <c r="A72" s="61" t="s">
        <v>556</v>
      </c>
      <c r="B72" s="52"/>
      <c r="C72" s="52"/>
      <c r="D72" s="52"/>
      <c r="E72" s="52"/>
      <c r="F72" s="52"/>
      <c r="G72" s="1401"/>
      <c r="H72" s="1401"/>
      <c r="I72" s="1401"/>
      <c r="J72" s="1401"/>
      <c r="K72" s="1401"/>
      <c r="L72" s="1401"/>
      <c r="M72" s="1401"/>
      <c r="N72" s="52"/>
      <c r="O72" s="52"/>
      <c r="P72" s="52"/>
      <c r="Q72" s="52"/>
      <c r="R72" s="52"/>
      <c r="S72" s="52"/>
      <c r="T72" s="52"/>
      <c r="U72" s="1401"/>
      <c r="V72" s="1401"/>
      <c r="W72" s="1401"/>
      <c r="X72" s="1401"/>
      <c r="Y72" s="1401"/>
      <c r="Z72" s="1401"/>
      <c r="AA72" s="1401"/>
      <c r="AB72" s="1401"/>
      <c r="AC72" s="52"/>
      <c r="AD72" s="52"/>
      <c r="AE72" s="52"/>
      <c r="AF72" s="52"/>
      <c r="AG72" s="52"/>
      <c r="AH72" s="52"/>
      <c r="AI72" s="52"/>
      <c r="AK72" s="76" t="s">
        <v>557</v>
      </c>
    </row>
    <row r="73" spans="1:37">
      <c r="A73" s="52"/>
      <c r="B73" s="52"/>
      <c r="C73" s="52"/>
      <c r="D73" s="52"/>
      <c r="E73" s="52"/>
      <c r="F73" s="52"/>
      <c r="G73" s="1401"/>
      <c r="H73" s="1401"/>
      <c r="I73" s="1401"/>
      <c r="J73" s="1401"/>
      <c r="K73" s="1401"/>
      <c r="L73" s="1401"/>
      <c r="M73" s="1401"/>
      <c r="N73" s="52"/>
      <c r="O73" s="52"/>
      <c r="P73" s="52"/>
      <c r="Q73" s="52"/>
      <c r="R73" s="52"/>
      <c r="S73" s="52"/>
      <c r="T73" s="52"/>
      <c r="U73" s="1401"/>
      <c r="V73" s="1401"/>
      <c r="W73" s="1401"/>
      <c r="X73" s="1401"/>
      <c r="Y73" s="1401"/>
      <c r="Z73" s="1401"/>
      <c r="AA73" s="1401"/>
      <c r="AB73" s="1401"/>
      <c r="AC73" s="52"/>
      <c r="AD73" s="52"/>
      <c r="AE73" s="52"/>
      <c r="AF73" s="52"/>
      <c r="AG73" s="52"/>
      <c r="AH73" s="52"/>
      <c r="AI73" s="52"/>
      <c r="AK73" s="52"/>
    </row>
    <row r="74" spans="1:37">
      <c r="A74" s="52"/>
      <c r="B74" s="52"/>
      <c r="C74" s="52"/>
      <c r="D74" s="52"/>
      <c r="E74" s="52"/>
      <c r="F74" s="52"/>
      <c r="G74" s="1401"/>
      <c r="H74" s="1401"/>
      <c r="I74" s="1401"/>
      <c r="J74" s="1401"/>
      <c r="K74" s="1401"/>
      <c r="L74" s="1401"/>
      <c r="M74" s="1401"/>
      <c r="N74" s="52"/>
      <c r="O74" s="52"/>
      <c r="P74" s="52"/>
      <c r="Q74" s="52"/>
      <c r="R74" s="52"/>
      <c r="S74" s="52"/>
      <c r="T74" s="52"/>
      <c r="U74" s="1401"/>
      <c r="V74" s="1401"/>
      <c r="W74" s="1401"/>
      <c r="X74" s="1401"/>
      <c r="Y74" s="1401"/>
      <c r="Z74" s="1401"/>
      <c r="AA74" s="1401"/>
      <c r="AB74" s="1401"/>
      <c r="AC74" s="52"/>
      <c r="AD74" s="52"/>
      <c r="AE74" s="52"/>
      <c r="AF74" s="52"/>
      <c r="AG74" s="52"/>
      <c r="AH74" s="52"/>
      <c r="AI74" s="52"/>
      <c r="AK74" s="52"/>
    </row>
  </sheetData>
  <mergeCells count="2">
    <mergeCell ref="AJ26:AK26"/>
    <mergeCell ref="AP8:AV19"/>
  </mergeCells>
  <pageMargins left="0.7" right="0.7" top="0.75" bottom="0.75" header="0.3" footer="0.3"/>
  <pageSetup scale="55" orientation="landscape"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8"/>
    <pageSetUpPr fitToPage="1"/>
  </sheetPr>
  <dimension ref="A1"/>
  <sheetViews>
    <sheetView workbookViewId="0"/>
  </sheetViews>
  <sheetFormatPr defaultColWidth="9.140625" defaultRowHeight="12.75"/>
  <sheetData/>
  <phoneticPr fontId="11" type="noConversion"/>
  <pageMargins left="0.25" right="0.25" top="0.5" bottom="0.5" header="0.5" footer="0.5"/>
  <pageSetup orientation="landscape" r:id="rId1"/>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tabColor rgb="FFFF0000"/>
    <pageSetUpPr fitToPage="1"/>
  </sheetPr>
  <dimension ref="A1:AL164"/>
  <sheetViews>
    <sheetView showGridLines="0" zoomScaleNormal="100" workbookViewId="0">
      <pane xSplit="2" ySplit="4" topLeftCell="C5" activePane="bottomRight" state="frozen"/>
      <selection activeCell="AP23" sqref="AP23"/>
      <selection pane="topRight" activeCell="AP23" sqref="AP23"/>
      <selection pane="bottomLeft" activeCell="AP23" sqref="AP23"/>
      <selection pane="bottomRight"/>
    </sheetView>
  </sheetViews>
  <sheetFormatPr defaultRowHeight="11.25" outlineLevelRow="1"/>
  <cols>
    <col min="1" max="1" width="22" style="52" customWidth="1"/>
    <col min="2" max="2" width="14" style="52" customWidth="1"/>
    <col min="3" max="3" width="10.85546875" style="52" customWidth="1"/>
    <col min="4" max="4" width="11.140625" style="52" customWidth="1"/>
    <col min="5" max="5" width="11.42578125" style="52" customWidth="1"/>
    <col min="6" max="6" width="8.85546875" style="52" customWidth="1"/>
    <col min="7" max="7" width="11.28515625" style="52" customWidth="1"/>
    <col min="8" max="8" width="11" style="52" customWidth="1"/>
    <col min="9" max="9" width="9.42578125" style="52" customWidth="1"/>
    <col min="10" max="10" width="12.7109375" style="52" customWidth="1"/>
    <col min="11" max="18" width="10.42578125" style="52" customWidth="1"/>
    <col min="19" max="21" width="9.140625" style="52"/>
    <col min="22" max="22" width="13.85546875" style="52" customWidth="1"/>
    <col min="23" max="23" width="9.85546875" style="52" customWidth="1"/>
    <col min="24" max="24" width="12.7109375" style="52" bestFit="1" customWidth="1"/>
    <col min="25" max="37" width="9.140625" style="52"/>
    <col min="38" max="38" width="8.28515625" style="52" customWidth="1"/>
    <col min="39" max="16384" width="9.140625" style="52"/>
  </cols>
  <sheetData>
    <row r="1" spans="1:38" s="106" customFormat="1" ht="18">
      <c r="A1" s="112" t="str">
        <f>Index!B1</f>
        <v>São Martinho</v>
      </c>
      <c r="B1" s="127"/>
      <c r="C1" s="666"/>
      <c r="D1" s="666"/>
      <c r="E1" s="666"/>
      <c r="F1" s="666"/>
      <c r="G1" s="666"/>
      <c r="H1" s="666"/>
      <c r="I1" s="666"/>
      <c r="J1" s="666"/>
      <c r="K1" s="666"/>
      <c r="L1" s="666"/>
      <c r="M1" s="666"/>
      <c r="N1" s="666"/>
      <c r="O1" s="666"/>
      <c r="P1" s="666"/>
      <c r="Q1" s="431"/>
      <c r="R1" s="431"/>
    </row>
    <row r="2" spans="1:38" ht="12.75">
      <c r="A2" s="170" t="s">
        <v>114</v>
      </c>
      <c r="B2" s="666"/>
      <c r="C2" s="666"/>
      <c r="D2" s="666"/>
      <c r="E2" s="666"/>
      <c r="F2" s="666"/>
      <c r="G2" s="666"/>
      <c r="H2" s="666"/>
      <c r="I2" s="666"/>
      <c r="J2" s="666"/>
      <c r="K2" s="666"/>
      <c r="L2" s="666"/>
      <c r="M2" s="666"/>
      <c r="N2" s="666"/>
      <c r="O2" s="666"/>
      <c r="P2" s="666"/>
      <c r="Q2" s="432"/>
      <c r="R2" s="432" t="s">
        <v>27</v>
      </c>
      <c r="S2" s="175"/>
      <c r="T2" s="175"/>
      <c r="U2" s="175"/>
      <c r="V2" s="175"/>
      <c r="W2" s="175"/>
      <c r="X2" s="175"/>
      <c r="Y2" s="175"/>
      <c r="Z2" s="175"/>
      <c r="AA2" s="175"/>
      <c r="AB2" s="175"/>
      <c r="AC2" s="175"/>
      <c r="AD2" s="175"/>
      <c r="AE2" s="175"/>
      <c r="AF2" s="175"/>
      <c r="AG2" s="175"/>
      <c r="AH2" s="175"/>
      <c r="AI2" s="175"/>
      <c r="AJ2" s="175"/>
      <c r="AK2" s="175"/>
      <c r="AL2" s="175"/>
    </row>
    <row r="3" spans="1:38" ht="12.75" customHeight="1">
      <c r="C3" s="238"/>
      <c r="D3" s="239" t="s">
        <v>265</v>
      </c>
      <c r="E3" s="240"/>
      <c r="G3" s="240"/>
      <c r="H3" s="239" t="s">
        <v>266</v>
      </c>
      <c r="I3" s="240"/>
      <c r="K3" s="2267"/>
      <c r="L3" s="2267" t="s">
        <v>775</v>
      </c>
      <c r="M3" s="106"/>
      <c r="O3" s="2267"/>
      <c r="P3" s="2267" t="s">
        <v>1126</v>
      </c>
      <c r="Q3" s="106"/>
    </row>
    <row r="4" spans="1:38">
      <c r="B4" s="1091" t="s">
        <v>757</v>
      </c>
      <c r="C4" s="2409">
        <f>Financials!O4</f>
        <v>2017</v>
      </c>
      <c r="D4" s="241">
        <f>Financials!P4</f>
        <v>2018</v>
      </c>
      <c r="E4" s="241">
        <f>Financials!Q4</f>
        <v>2019</v>
      </c>
      <c r="G4" s="2409">
        <f>C4</f>
        <v>2017</v>
      </c>
      <c r="H4" s="242">
        <f>D4</f>
        <v>2018</v>
      </c>
      <c r="I4" s="242">
        <f>E4</f>
        <v>2019</v>
      </c>
      <c r="K4" s="2410">
        <f>C4</f>
        <v>2017</v>
      </c>
      <c r="L4" s="2411">
        <f>D4</f>
        <v>2018</v>
      </c>
      <c r="M4" s="2411">
        <f>E4</f>
        <v>2019</v>
      </c>
      <c r="O4" s="2410">
        <f>C4</f>
        <v>2017</v>
      </c>
      <c r="P4" s="2411">
        <f>D4</f>
        <v>2018</v>
      </c>
      <c r="Q4" s="2411">
        <f>E4</f>
        <v>2019</v>
      </c>
    </row>
    <row r="5" spans="1:38">
      <c r="A5" s="238" t="s">
        <v>144</v>
      </c>
      <c r="B5" s="243">
        <f>Index!I41</f>
        <v>18.399994</v>
      </c>
      <c r="C5" s="244">
        <f>Financials!O142</f>
        <v>5.7418728755619046</v>
      </c>
      <c r="D5" s="244">
        <f>Financials!P142</f>
        <v>4.9717489061199229</v>
      </c>
      <c r="E5" s="244">
        <f>Financials!Q142</f>
        <v>4.8765752028052507</v>
      </c>
      <c r="G5" s="246">
        <f>Financials!O143</f>
        <v>20.255817752071238</v>
      </c>
      <c r="H5" s="246">
        <f>Financials!P143</f>
        <v>12.423154116782873</v>
      </c>
      <c r="I5" s="246">
        <f>Financials!Q143</f>
        <v>11.671776941400704</v>
      </c>
      <c r="K5" s="2412">
        <f>+E35</f>
        <v>77.174309905121248</v>
      </c>
      <c r="L5" s="2412">
        <f t="shared" ref="L5" si="0">+F35</f>
        <v>90.663011628015198</v>
      </c>
      <c r="M5" s="2412">
        <f>+G35</f>
        <v>84.355452525931383</v>
      </c>
      <c r="N5" s="245"/>
      <c r="O5" s="2412">
        <f>Financials!O145</f>
        <v>321.94334175212663</v>
      </c>
      <c r="P5" s="2412">
        <f>Financials!P145</f>
        <v>293.38421428004693</v>
      </c>
      <c r="Q5" s="2412">
        <f>Financials!Q145</f>
        <v>277.35673544152144</v>
      </c>
    </row>
    <row r="6" spans="1:38">
      <c r="A6" s="249" t="s">
        <v>75</v>
      </c>
      <c r="B6" s="250">
        <f>F18</f>
        <v>16.399999999999999</v>
      </c>
      <c r="C6" s="248">
        <f>Financials!O153</f>
        <v>5.7418728755619046</v>
      </c>
      <c r="D6" s="248">
        <f>Financials!P153</f>
        <v>4.570412325439297</v>
      </c>
      <c r="E6" s="248">
        <f>Financials!Q153</f>
        <v>4.468220173283072</v>
      </c>
      <c r="G6" s="247">
        <f>Financials!O154</f>
        <v>20.255817752071238</v>
      </c>
      <c r="H6" s="247">
        <f>Financials!P154</f>
        <v>11.072814888702633</v>
      </c>
      <c r="I6" s="247">
        <f>Financials!Q154</f>
        <v>10.403108927044844</v>
      </c>
      <c r="K6" s="2413">
        <f>+E46</f>
        <v>74.647153164925129</v>
      </c>
      <c r="L6" s="2413">
        <f t="shared" ref="L6:M6" si="1">+F46</f>
        <v>81.174303348257709</v>
      </c>
      <c r="M6" s="2413">
        <f t="shared" si="1"/>
        <v>75.176998311376636</v>
      </c>
      <c r="N6" s="252"/>
      <c r="O6" s="2413">
        <f>Financials!O156</f>
        <v>321.94334175212663</v>
      </c>
      <c r="P6" s="2413">
        <f>Financials!P156</f>
        <v>251.64034037959891</v>
      </c>
      <c r="Q6" s="2413">
        <f>Financials!Q156</f>
        <v>248.08409442754288</v>
      </c>
    </row>
    <row r="7" spans="1:38">
      <c r="A7" s="209"/>
      <c r="B7" s="16"/>
      <c r="C7" s="16"/>
      <c r="D7" s="16"/>
      <c r="E7" s="16"/>
      <c r="F7" s="16"/>
      <c r="G7" s="54"/>
      <c r="H7" s="85"/>
      <c r="I7" s="175"/>
      <c r="J7" s="175"/>
      <c r="K7" s="175"/>
      <c r="L7" s="175"/>
      <c r="M7" s="175"/>
      <c r="P7" s="175"/>
      <c r="Q7" s="175"/>
      <c r="R7" s="175"/>
      <c r="U7" s="175"/>
    </row>
    <row r="8" spans="1:38">
      <c r="A8" s="1334" t="s">
        <v>140</v>
      </c>
      <c r="B8" s="1335" t="s">
        <v>116</v>
      </c>
      <c r="C8" s="1336" t="s">
        <v>117</v>
      </c>
      <c r="D8" s="1336" t="s">
        <v>118</v>
      </c>
      <c r="E8" s="1336" t="s">
        <v>1723</v>
      </c>
      <c r="F8" s="1337" t="s">
        <v>44</v>
      </c>
      <c r="G8" s="1337" t="s">
        <v>119</v>
      </c>
      <c r="H8" s="1336" t="s">
        <v>120</v>
      </c>
      <c r="I8" s="175"/>
      <c r="J8" s="445"/>
      <c r="K8" s="445"/>
      <c r="L8" s="445"/>
      <c r="M8" s="445"/>
      <c r="O8" s="445"/>
      <c r="P8" s="445"/>
      <c r="Q8" s="445"/>
      <c r="R8" s="445"/>
      <c r="U8" s="175"/>
    </row>
    <row r="9" spans="1:38">
      <c r="A9" s="990" t="s">
        <v>1613</v>
      </c>
      <c r="B9" s="1088" t="s">
        <v>1037</v>
      </c>
      <c r="C9" s="1278">
        <v>1</v>
      </c>
      <c r="D9" s="2300">
        <v>70</v>
      </c>
      <c r="E9" s="2432">
        <f>Financials!Q5/1000</f>
        <v>24</v>
      </c>
      <c r="F9" s="1279">
        <f>+D9*E9*$G$24*C9</f>
        <v>5544</v>
      </c>
      <c r="G9" s="1175">
        <f>+F9/$F$17</f>
        <v>15.253067316933979</v>
      </c>
      <c r="H9" s="1278">
        <f>+G9/$G$14</f>
        <v>0.69822904590056356</v>
      </c>
      <c r="I9" s="984"/>
      <c r="J9" s="445"/>
      <c r="K9" s="445"/>
      <c r="L9" s="445"/>
      <c r="M9" s="445"/>
      <c r="O9" s="445"/>
      <c r="P9" s="445"/>
      <c r="Q9" s="445"/>
      <c r="R9" s="445"/>
      <c r="U9" s="175"/>
    </row>
    <row r="10" spans="1:38">
      <c r="A10" s="990" t="s">
        <v>1036</v>
      </c>
      <c r="B10" s="1088" t="str">
        <f>+B9</f>
        <v>EV/tn (USD)</v>
      </c>
      <c r="C10" s="1278">
        <f>+C9</f>
        <v>1</v>
      </c>
      <c r="D10" s="2300">
        <f>Inputs!O164-D9</f>
        <v>5</v>
      </c>
      <c r="E10" s="2432">
        <f>+E9</f>
        <v>24</v>
      </c>
      <c r="F10" s="1279">
        <f>+D10*E10*$G$24*C10</f>
        <v>396</v>
      </c>
      <c r="G10" s="1175">
        <f>+F10/$F$17</f>
        <v>1.0895048083524272</v>
      </c>
      <c r="H10" s="1278">
        <f>+G10/$G$14</f>
        <v>4.9873503278611689E-2</v>
      </c>
      <c r="I10" s="984"/>
      <c r="U10" s="175"/>
    </row>
    <row r="11" spans="1:38">
      <c r="A11" s="990" t="s">
        <v>124</v>
      </c>
      <c r="B11" s="1088" t="s">
        <v>113</v>
      </c>
      <c r="C11" s="1278">
        <f>+C10</f>
        <v>1</v>
      </c>
      <c r="D11" s="2277"/>
      <c r="E11" s="1280">
        <f>E72</f>
        <v>1325.0879017421089</v>
      </c>
      <c r="F11" s="1279">
        <f>+E11*C11</f>
        <v>1325.0879017421089</v>
      </c>
      <c r="G11" s="1175">
        <f>+F11/$F$17</f>
        <v>3.6456809101961012</v>
      </c>
      <c r="H11" s="1278">
        <f>+G11/$G$14</f>
        <v>0.16688579750500945</v>
      </c>
      <c r="I11" s="731"/>
      <c r="J11" s="445"/>
      <c r="K11" s="445"/>
      <c r="L11" s="445"/>
      <c r="M11" s="445"/>
      <c r="O11" s="445"/>
      <c r="P11" s="445"/>
      <c r="Q11" s="445"/>
      <c r="R11" s="445"/>
      <c r="U11" s="175"/>
    </row>
    <row r="12" spans="1:38">
      <c r="A12" s="1168" t="s">
        <v>1125</v>
      </c>
      <c r="B12" s="985" t="s">
        <v>155</v>
      </c>
      <c r="C12" s="986">
        <v>1</v>
      </c>
      <c r="D12" s="2298">
        <f>1-Inputs!O169</f>
        <v>1</v>
      </c>
      <c r="E12" s="2278">
        <f>+I94*D12</f>
        <v>675</v>
      </c>
      <c r="F12" s="987">
        <f>+E12</f>
        <v>675</v>
      </c>
      <c r="G12" s="988">
        <f>+F12/$F$17</f>
        <v>1.8571104687825462</v>
      </c>
      <c r="H12" s="986">
        <f>+G12/$G$14</f>
        <v>8.5011653315815366E-2</v>
      </c>
      <c r="I12" s="989"/>
      <c r="J12" s="445"/>
      <c r="K12" s="445"/>
      <c r="L12" s="445"/>
      <c r="M12" s="445"/>
      <c r="O12" s="445"/>
      <c r="P12" s="445"/>
      <c r="Q12" s="445"/>
      <c r="R12" s="445"/>
      <c r="U12" s="175"/>
    </row>
    <row r="13" spans="1:38">
      <c r="A13" s="990"/>
      <c r="B13" s="990"/>
      <c r="C13" s="990"/>
      <c r="D13" s="990"/>
      <c r="E13" s="990"/>
      <c r="F13" s="1281"/>
      <c r="G13" s="1281"/>
      <c r="H13" s="1338">
        <f>SUM(H9:H12)</f>
        <v>1</v>
      </c>
      <c r="I13" s="446"/>
      <c r="J13" s="445"/>
      <c r="K13" s="445"/>
      <c r="L13" s="445"/>
      <c r="M13" s="445"/>
      <c r="O13" s="445"/>
      <c r="P13" s="445"/>
      <c r="Q13" s="445"/>
      <c r="R13" s="445"/>
      <c r="U13" s="175"/>
    </row>
    <row r="14" spans="1:38">
      <c r="A14" s="990"/>
      <c r="B14" s="1089"/>
      <c r="C14" s="990"/>
      <c r="D14" s="1171" t="s">
        <v>127</v>
      </c>
      <c r="E14" s="1171"/>
      <c r="F14" s="1282">
        <f>+SUM(F9:F12)</f>
        <v>7940.0879017421084</v>
      </c>
      <c r="G14" s="1283">
        <f>+F14/$F$17</f>
        <v>21.845363504265052</v>
      </c>
      <c r="H14" s="990"/>
      <c r="I14" s="444"/>
      <c r="J14" s="447"/>
      <c r="K14" s="447"/>
      <c r="L14" s="447"/>
      <c r="M14" s="447"/>
      <c r="O14" s="447"/>
      <c r="P14" s="447"/>
      <c r="Q14" s="447"/>
      <c r="R14" s="447"/>
      <c r="U14" s="175"/>
    </row>
    <row r="15" spans="1:38">
      <c r="A15" s="990"/>
      <c r="B15" s="1284"/>
      <c r="C15" s="990"/>
      <c r="D15" s="990" t="s">
        <v>1003</v>
      </c>
      <c r="E15" s="990"/>
      <c r="F15" s="1285">
        <f>Financials!Q126</f>
        <v>1993.232980283138</v>
      </c>
      <c r="G15" s="1283">
        <f>-F15/$F$17</f>
        <v>-5.4839316065280741</v>
      </c>
      <c r="H15" s="990"/>
      <c r="I15" s="446"/>
      <c r="L15" s="445"/>
      <c r="M15" s="445"/>
      <c r="O15" s="445"/>
      <c r="P15" s="445"/>
      <c r="Q15" s="445"/>
      <c r="R15" s="445"/>
      <c r="U15" s="175"/>
    </row>
    <row r="16" spans="1:38">
      <c r="A16" s="990"/>
      <c r="B16" s="1089"/>
      <c r="C16" s="990"/>
      <c r="D16" s="1171" t="s">
        <v>81</v>
      </c>
      <c r="E16" s="1171"/>
      <c r="F16" s="1282">
        <f>+F14-F15</f>
        <v>5946.8549214589702</v>
      </c>
      <c r="G16" s="1283">
        <f>+F16/$F$17</f>
        <v>16.361431897736978</v>
      </c>
      <c r="H16" s="990"/>
      <c r="I16" s="444"/>
      <c r="L16" s="190"/>
      <c r="M16" s="190"/>
      <c r="O16" s="190"/>
      <c r="P16" s="190"/>
      <c r="Q16" s="190"/>
      <c r="R16" s="190"/>
      <c r="U16" s="175"/>
    </row>
    <row r="17" spans="1:21">
      <c r="A17" s="1339"/>
      <c r="B17" s="1286"/>
      <c r="C17" s="990"/>
      <c r="D17" s="238" t="s">
        <v>1164</v>
      </c>
      <c r="E17" s="1168"/>
      <c r="F17" s="1170">
        <f>DCF!I33</f>
        <v>363.4678773</v>
      </c>
      <c r="G17" s="1287"/>
      <c r="H17" s="990"/>
      <c r="I17" s="446"/>
      <c r="J17" s="451" t="s">
        <v>139</v>
      </c>
      <c r="K17" s="1092" t="s">
        <v>119</v>
      </c>
      <c r="L17" s="175"/>
      <c r="M17" s="175"/>
      <c r="O17" s="175"/>
      <c r="P17" s="175"/>
      <c r="Q17" s="175"/>
      <c r="R17" s="175"/>
      <c r="U17" s="175"/>
    </row>
    <row r="18" spans="1:21">
      <c r="A18" s="990"/>
      <c r="B18" s="990"/>
      <c r="C18" s="990"/>
      <c r="D18" s="1288" t="s">
        <v>296</v>
      </c>
      <c r="E18" s="1288"/>
      <c r="F18" s="1410">
        <f>ROUND(F16/F17,1)</f>
        <v>16.399999999999999</v>
      </c>
      <c r="G18" s="1289"/>
      <c r="H18" s="214"/>
      <c r="I18" s="448"/>
      <c r="J18" s="175" t="s">
        <v>393</v>
      </c>
      <c r="K18" s="460">
        <f>DCF!I34</f>
        <v>16.5</v>
      </c>
      <c r="L18" s="175"/>
      <c r="M18" s="175"/>
      <c r="O18" s="175"/>
      <c r="P18" s="179"/>
      <c r="Q18" s="175"/>
      <c r="R18" s="175"/>
      <c r="U18" s="175"/>
    </row>
    <row r="19" spans="1:21">
      <c r="A19" s="990"/>
      <c r="B19" s="990"/>
      <c r="C19" s="990"/>
      <c r="D19" s="990" t="s">
        <v>133</v>
      </c>
      <c r="E19" s="990"/>
      <c r="F19" s="1290">
        <f>Index!I41</f>
        <v>18.399994</v>
      </c>
      <c r="G19" s="1287"/>
      <c r="H19" s="990"/>
      <c r="I19" s="449"/>
      <c r="J19" s="175" t="s">
        <v>140</v>
      </c>
      <c r="K19" s="461">
        <f>+F18</f>
        <v>16.399999999999999</v>
      </c>
      <c r="L19" s="175"/>
      <c r="M19" s="175"/>
      <c r="O19" s="175"/>
      <c r="P19" s="175"/>
      <c r="Q19" s="175"/>
      <c r="R19" s="175"/>
      <c r="S19" s="175"/>
      <c r="T19" s="175"/>
      <c r="U19" s="175"/>
    </row>
    <row r="20" spans="1:21">
      <c r="A20" s="990"/>
      <c r="B20" s="990"/>
      <c r="C20" s="990"/>
      <c r="D20" s="990" t="s">
        <v>135</v>
      </c>
      <c r="E20" s="990"/>
      <c r="F20" s="1291">
        <f>F18/F19-1</f>
        <v>-0.10869536153109616</v>
      </c>
      <c r="G20" s="1287"/>
      <c r="H20" s="990"/>
      <c r="I20" s="452"/>
      <c r="J20" s="175" t="s">
        <v>141</v>
      </c>
      <c r="K20" s="452">
        <f>K18-K19</f>
        <v>0.10000000000000142</v>
      </c>
      <c r="L20" s="175"/>
      <c r="M20" s="175"/>
      <c r="O20" s="175"/>
      <c r="P20" s="175"/>
      <c r="Q20" s="175"/>
      <c r="R20" s="175"/>
      <c r="S20" s="175"/>
      <c r="T20" s="175"/>
      <c r="U20" s="175"/>
    </row>
    <row r="21" spans="1:21">
      <c r="A21" s="990"/>
      <c r="B21" s="990"/>
      <c r="C21" s="990"/>
      <c r="D21" s="249" t="s">
        <v>784</v>
      </c>
      <c r="E21" s="2429"/>
      <c r="F21" s="991" t="str">
        <f>DCF!O34</f>
        <v>EW</v>
      </c>
      <c r="G21" s="1287"/>
      <c r="H21" s="990"/>
      <c r="I21" s="175"/>
      <c r="J21" s="180" t="s">
        <v>142</v>
      </c>
      <c r="K21" s="850">
        <f>K20/K18</f>
        <v>6.0606060606061465E-3</v>
      </c>
      <c r="L21" s="175"/>
      <c r="M21" s="175"/>
      <c r="O21" s="175"/>
      <c r="P21" s="175"/>
      <c r="Q21" s="175"/>
      <c r="R21" s="175"/>
      <c r="S21" s="175"/>
      <c r="T21" s="175"/>
      <c r="U21" s="175"/>
    </row>
    <row r="22" spans="1:21">
      <c r="A22" s="731"/>
      <c r="B22" s="731"/>
      <c r="C22" s="731"/>
      <c r="D22" s="731"/>
      <c r="E22" s="731"/>
      <c r="F22" s="731"/>
      <c r="G22" s="731"/>
      <c r="H22" s="731"/>
      <c r="I22" s="175"/>
      <c r="J22" s="175"/>
      <c r="K22" s="175"/>
      <c r="L22" s="175"/>
      <c r="M22" s="175"/>
    </row>
    <row r="23" spans="1:21">
      <c r="A23" s="127" t="s">
        <v>1127</v>
      </c>
      <c r="B23" s="127"/>
      <c r="C23" s="127"/>
      <c r="D23" s="127"/>
      <c r="E23" s="127"/>
      <c r="F23" s="127"/>
      <c r="G23" s="127"/>
      <c r="H23" s="127"/>
      <c r="I23" s="127"/>
      <c r="J23" s="127"/>
      <c r="K23" s="127"/>
      <c r="L23" s="127"/>
      <c r="M23" s="127"/>
      <c r="N23" s="127"/>
      <c r="O23" s="127"/>
      <c r="P23" s="127"/>
      <c r="Q23" s="127"/>
      <c r="R23" s="127"/>
      <c r="S23" s="1401"/>
      <c r="T23" s="175"/>
      <c r="U23" s="175"/>
    </row>
    <row r="24" spans="1:21">
      <c r="B24" s="2153" t="s">
        <v>115</v>
      </c>
      <c r="C24" s="1083">
        <f>+Inputs!M154</f>
        <v>3.2077</v>
      </c>
      <c r="D24" s="1083">
        <f>+Inputs!N154</f>
        <v>3.5586000000000002</v>
      </c>
      <c r="E24" s="1083">
        <f>+Inputs!O154</f>
        <v>3.4</v>
      </c>
      <c r="F24" s="1083">
        <f>+Inputs!P154</f>
        <v>3.1</v>
      </c>
      <c r="G24" s="1083">
        <f>+Inputs!Q154</f>
        <v>3.3</v>
      </c>
      <c r="H24" s="1083">
        <f>+Inputs!R154</f>
        <v>3.3</v>
      </c>
      <c r="I24" s="1083">
        <f>+Inputs!S154</f>
        <v>3.3</v>
      </c>
      <c r="J24" s="1083">
        <f>+Inputs!T154</f>
        <v>3.3</v>
      </c>
      <c r="K24" s="1083">
        <f>+Inputs!U154</f>
        <v>3.3</v>
      </c>
      <c r="L24" s="1083">
        <f>+Inputs!V154</f>
        <v>3.3</v>
      </c>
      <c r="M24" s="1083">
        <f>+Inputs!W154</f>
        <v>3.3</v>
      </c>
      <c r="S24" s="175"/>
    </row>
    <row r="25" spans="1:21" s="54" customFormat="1">
      <c r="B25" s="1083"/>
    </row>
    <row r="26" spans="1:21">
      <c r="A26" s="175"/>
      <c r="B26" s="1272" t="s">
        <v>133</v>
      </c>
      <c r="C26" s="1102">
        <v>2015</v>
      </c>
      <c r="D26" s="1102">
        <v>2016</v>
      </c>
      <c r="E26" s="1102">
        <v>2017</v>
      </c>
      <c r="F26" s="2405">
        <v>2018</v>
      </c>
      <c r="G26" s="2405">
        <v>2019</v>
      </c>
      <c r="H26" s="2405">
        <v>2020</v>
      </c>
      <c r="I26" s="2405">
        <v>2021</v>
      </c>
      <c r="J26" s="2405">
        <v>2022</v>
      </c>
      <c r="K26" s="2405">
        <v>2023</v>
      </c>
      <c r="L26" s="2405">
        <v>2024</v>
      </c>
      <c r="M26" s="2405">
        <v>2025</v>
      </c>
    </row>
    <row r="27" spans="1:21">
      <c r="B27" s="1273" t="s">
        <v>121</v>
      </c>
      <c r="C27" s="1103">
        <f>Financials!M85</f>
        <v>338.58</v>
      </c>
      <c r="D27" s="1103">
        <f>Financials!N85</f>
        <v>339.60599999999999</v>
      </c>
      <c r="E27" s="1103">
        <f>Financials!O85</f>
        <v>338.05900000000003</v>
      </c>
      <c r="F27" s="1103">
        <f>Financials!P85</f>
        <v>352.98100694999999</v>
      </c>
      <c r="G27" s="1103">
        <f>Financials!Q85</f>
        <v>363.4678773</v>
      </c>
      <c r="H27" s="1103">
        <f>Financials!R85</f>
        <v>363.4678773</v>
      </c>
      <c r="I27" s="1103">
        <f>Financials!S85</f>
        <v>363.4678773</v>
      </c>
      <c r="J27" s="1103">
        <f>Financials!T85</f>
        <v>363.4678773</v>
      </c>
      <c r="K27" s="1103">
        <f>Financials!U85</f>
        <v>363.4678773</v>
      </c>
      <c r="L27" s="1103">
        <f>Financials!V85</f>
        <v>363.4678773</v>
      </c>
      <c r="M27" s="1103">
        <f>Financials!W85</f>
        <v>363.4678773</v>
      </c>
    </row>
    <row r="28" spans="1:21">
      <c r="B28" s="260" t="s">
        <v>968</v>
      </c>
      <c r="C28" s="1104">
        <f>Financials!M139</f>
        <v>12.35</v>
      </c>
      <c r="D28" s="1104">
        <f>Financials!N139</f>
        <v>15.69</v>
      </c>
      <c r="E28" s="1104">
        <f>Financials!O139</f>
        <v>17.010000000000002</v>
      </c>
      <c r="F28" s="1104">
        <f>Financials!P139</f>
        <v>18.399994</v>
      </c>
      <c r="G28" s="1104">
        <f>Financials!Q139</f>
        <v>18.399994</v>
      </c>
      <c r="H28" s="1104">
        <f>Financials!R139</f>
        <v>18.399994</v>
      </c>
      <c r="I28" s="1104">
        <f>Financials!S139</f>
        <v>18.399994</v>
      </c>
      <c r="J28" s="1104">
        <f>Financials!T139</f>
        <v>18.399994</v>
      </c>
      <c r="K28" s="1104">
        <f>Financials!U139</f>
        <v>18.399994</v>
      </c>
      <c r="L28" s="1104">
        <f>Financials!V139</f>
        <v>18.399994</v>
      </c>
      <c r="M28" s="1104">
        <f>Financials!W139</f>
        <v>18.399994</v>
      </c>
    </row>
    <row r="29" spans="1:21">
      <c r="B29" s="1273" t="s">
        <v>264</v>
      </c>
      <c r="C29" s="1105">
        <f>-Financials!M126</f>
        <v>-2487.0839999999998</v>
      </c>
      <c r="D29" s="1105">
        <f>-Financials!N126</f>
        <v>-2719.038</v>
      </c>
      <c r="E29" s="1105">
        <f>-Financials!O126</f>
        <v>-2547.1279999999997</v>
      </c>
      <c r="F29" s="1105">
        <f>-Financials!P126</f>
        <v>-2250.5675568724828</v>
      </c>
      <c r="G29" s="1105">
        <f>-Financials!Q126</f>
        <v>-1993.232980283138</v>
      </c>
      <c r="H29" s="1105">
        <f>-Financials!R126</f>
        <v>-1926.4973908753568</v>
      </c>
      <c r="I29" s="1105">
        <f>-Financials!S126</f>
        <v>-1786.2434320649077</v>
      </c>
      <c r="J29" s="1105">
        <f>-Financials!T126</f>
        <v>-1592.7946640695084</v>
      </c>
      <c r="K29" s="1105">
        <f>-Financials!U126</f>
        <v>-1656.537572191578</v>
      </c>
      <c r="L29" s="1105">
        <f>-Financials!V126</f>
        <v>-1911.2317342582433</v>
      </c>
      <c r="M29" s="1105">
        <f>-Financials!W126</f>
        <v>-2186.9524256318423</v>
      </c>
      <c r="U29" s="175"/>
    </row>
    <row r="30" spans="1:21">
      <c r="B30" s="1273" t="s">
        <v>126</v>
      </c>
      <c r="C30" s="1106">
        <f>Financials!M5/1000</f>
        <v>20</v>
      </c>
      <c r="D30" s="1106">
        <f>Financials!N5/1000</f>
        <v>20.024000000000001</v>
      </c>
      <c r="E30" s="1106">
        <f>Financials!O5/1000</f>
        <v>24</v>
      </c>
      <c r="F30" s="1106">
        <f>Financials!P5/1000</f>
        <v>24</v>
      </c>
      <c r="G30" s="1106">
        <f>Financials!Q5/1000</f>
        <v>24</v>
      </c>
      <c r="H30" s="1106">
        <f>Financials!R5/1000</f>
        <v>24.5</v>
      </c>
      <c r="I30" s="1106">
        <f>Financials!S5/1000</f>
        <v>25</v>
      </c>
      <c r="J30" s="1106">
        <f>Financials!T5/1000</f>
        <v>25.5</v>
      </c>
      <c r="K30" s="1106">
        <f>Financials!U5/1000</f>
        <v>26</v>
      </c>
      <c r="L30" s="1106">
        <f>Financials!V5/1000</f>
        <v>26.5</v>
      </c>
      <c r="M30" s="1106">
        <f>Financials!W5/1000</f>
        <v>27</v>
      </c>
      <c r="U30" s="175"/>
    </row>
    <row r="31" spans="1:21">
      <c r="B31" s="1273" t="s">
        <v>117</v>
      </c>
      <c r="C31" s="1107">
        <f>D54</f>
        <v>1</v>
      </c>
      <c r="D31" s="1107">
        <f t="shared" ref="D31:G31" si="2">+C31</f>
        <v>1</v>
      </c>
      <c r="E31" s="1107">
        <v>1</v>
      </c>
      <c r="F31" s="1107">
        <f t="shared" si="2"/>
        <v>1</v>
      </c>
      <c r="G31" s="1107">
        <f t="shared" si="2"/>
        <v>1</v>
      </c>
      <c r="H31" s="1107">
        <f t="shared" ref="H31" si="3">+G31</f>
        <v>1</v>
      </c>
      <c r="I31" s="1107">
        <f t="shared" ref="I31" si="4">+H31</f>
        <v>1</v>
      </c>
      <c r="J31" s="1107">
        <f t="shared" ref="J31" si="5">+I31</f>
        <v>1</v>
      </c>
      <c r="K31" s="1107">
        <f t="shared" ref="K31" si="6">+J31</f>
        <v>1</v>
      </c>
      <c r="L31" s="1107">
        <f t="shared" ref="L31" si="7">+K31</f>
        <v>1</v>
      </c>
      <c r="M31" s="1107">
        <f t="shared" ref="M31" si="8">+L31</f>
        <v>1</v>
      </c>
      <c r="N31" s="1401"/>
      <c r="U31" s="175"/>
    </row>
    <row r="32" spans="1:21">
      <c r="B32" s="176" t="s">
        <v>128</v>
      </c>
      <c r="C32" s="1108">
        <f>+C28*C27</f>
        <v>4181.4629999999997</v>
      </c>
      <c r="D32" s="1108">
        <f>+D28*D27</f>
        <v>5328.4181399999998</v>
      </c>
      <c r="E32" s="1108">
        <f>+E28*E27</f>
        <v>5750.3835900000013</v>
      </c>
      <c r="F32" s="1108">
        <f>+F28*F27</f>
        <v>6494.8484099939578</v>
      </c>
      <c r="G32" s="1108">
        <f>+G28*G27</f>
        <v>6687.8067615127356</v>
      </c>
      <c r="H32" s="1108">
        <f t="shared" ref="H32:K32" si="9">+H28*H27</f>
        <v>6687.8067615127356</v>
      </c>
      <c r="I32" s="1108">
        <f t="shared" si="9"/>
        <v>6687.8067615127356</v>
      </c>
      <c r="J32" s="1108">
        <f t="shared" si="9"/>
        <v>6687.8067615127356</v>
      </c>
      <c r="K32" s="1108">
        <f t="shared" si="9"/>
        <v>6687.8067615127356</v>
      </c>
      <c r="L32" s="1108">
        <f>+L28*L27</f>
        <v>6687.8067615127356</v>
      </c>
      <c r="M32" s="1108">
        <f t="shared" ref="M32" si="10">+M28*M27</f>
        <v>6687.8067615127356</v>
      </c>
      <c r="N32" s="1401"/>
      <c r="U32" s="175"/>
    </row>
    <row r="33" spans="1:21">
      <c r="B33" s="176" t="s">
        <v>127</v>
      </c>
      <c r="C33" s="1108">
        <f>+C32-C29</f>
        <v>6668.5469999999996</v>
      </c>
      <c r="D33" s="1108">
        <f>+D32-D29</f>
        <v>8047.4561400000002</v>
      </c>
      <c r="E33" s="1108">
        <f>+E32-E29</f>
        <v>8297.5115900000019</v>
      </c>
      <c r="F33" s="1108">
        <f>+F32-F29</f>
        <v>8745.4159668664397</v>
      </c>
      <c r="G33" s="1108">
        <f>+G32-G29</f>
        <v>8681.0397417958739</v>
      </c>
      <c r="H33" s="1108">
        <f t="shared" ref="H33:K33" si="11">+H32-H29</f>
        <v>8614.3041523880929</v>
      </c>
      <c r="I33" s="1108">
        <f t="shared" si="11"/>
        <v>8474.0501935776429</v>
      </c>
      <c r="J33" s="1108">
        <f t="shared" si="11"/>
        <v>8280.6014255822447</v>
      </c>
      <c r="K33" s="1108">
        <f t="shared" si="11"/>
        <v>8344.3443337043136</v>
      </c>
      <c r="L33" s="1108">
        <f>+L32-L29</f>
        <v>8599.0384957709794</v>
      </c>
      <c r="M33" s="1108">
        <f t="shared" ref="M33" si="12">+M32-M29</f>
        <v>8874.7591871445784</v>
      </c>
      <c r="N33" s="1401"/>
      <c r="U33" s="175"/>
    </row>
    <row r="34" spans="1:21">
      <c r="B34" s="1274" t="s">
        <v>129</v>
      </c>
      <c r="C34" s="1109">
        <f t="shared" ref="C34:M34" si="13">+$F$11+$F$12</f>
        <v>2000.0879017421089</v>
      </c>
      <c r="D34" s="1109">
        <f t="shared" si="13"/>
        <v>2000.0879017421089</v>
      </c>
      <c r="E34" s="1109">
        <f t="shared" si="13"/>
        <v>2000.0879017421089</v>
      </c>
      <c r="F34" s="1109">
        <f t="shared" si="13"/>
        <v>2000.0879017421089</v>
      </c>
      <c r="G34" s="1109">
        <f t="shared" si="13"/>
        <v>2000.0879017421089</v>
      </c>
      <c r="H34" s="1109">
        <f t="shared" si="13"/>
        <v>2000.0879017421089</v>
      </c>
      <c r="I34" s="1109">
        <f t="shared" si="13"/>
        <v>2000.0879017421089</v>
      </c>
      <c r="J34" s="1109">
        <f t="shared" si="13"/>
        <v>2000.0879017421089</v>
      </c>
      <c r="K34" s="1109">
        <f t="shared" si="13"/>
        <v>2000.0879017421089</v>
      </c>
      <c r="L34" s="1109">
        <f t="shared" si="13"/>
        <v>2000.0879017421089</v>
      </c>
      <c r="M34" s="1109">
        <f t="shared" si="13"/>
        <v>2000.0879017421089</v>
      </c>
      <c r="N34" s="1401"/>
      <c r="U34" s="175"/>
    </row>
    <row r="35" spans="1:21" s="14" customFormat="1">
      <c r="B35" s="1275" t="s">
        <v>653</v>
      </c>
      <c r="C35" s="1110">
        <f>+((C33-C34)/(C30*C31))/C24</f>
        <v>72.769571628548334</v>
      </c>
      <c r="D35" s="1110">
        <f t="shared" ref="D35:F35" si="14">+((D33-D34)/(D30*D31))/D24</f>
        <v>84.866521864566366</v>
      </c>
      <c r="E35" s="1110">
        <f>+((E33-E34)/(E30*E31))/E24</f>
        <v>77.174309905121248</v>
      </c>
      <c r="F35" s="1110">
        <f t="shared" si="14"/>
        <v>90.663011628015198</v>
      </c>
      <c r="G35" s="1110">
        <f t="shared" ref="G35:K35" si="15">+((G33-G34)/(G30*G31))/G24</f>
        <v>84.355452525931383</v>
      </c>
      <c r="H35" s="1110">
        <f>+((H33-H34)/(H30*H31))/H24</f>
        <v>81.808487948620709</v>
      </c>
      <c r="I35" s="1110">
        <f t="shared" si="15"/>
        <v>78.472270204067087</v>
      </c>
      <c r="J35" s="1110">
        <f t="shared" si="15"/>
        <v>74.634741816282073</v>
      </c>
      <c r="K35" s="1110">
        <f t="shared" si="15"/>
        <v>73.942382656902168</v>
      </c>
      <c r="L35" s="1110">
        <f t="shared" ref="L35:M35" si="16">+((L33-L34)/(L30*L31))/L24</f>
        <v>75.459698044927066</v>
      </c>
      <c r="M35" s="1110">
        <f t="shared" si="16"/>
        <v>77.156804549971611</v>
      </c>
      <c r="N35" s="1401"/>
      <c r="O35" s="52"/>
      <c r="P35" s="52"/>
      <c r="Q35" s="52"/>
      <c r="R35" s="52"/>
      <c r="S35" s="52"/>
      <c r="U35" s="183"/>
    </row>
    <row r="36" spans="1:21">
      <c r="B36" s="1276"/>
      <c r="C36" s="1111"/>
      <c r="D36" s="1111"/>
      <c r="E36" s="1111"/>
      <c r="F36" s="1111"/>
      <c r="G36" s="1111"/>
      <c r="H36" s="1111"/>
      <c r="I36" s="1111"/>
      <c r="J36" s="1111"/>
      <c r="K36" s="1111"/>
      <c r="L36" s="1111"/>
      <c r="M36" s="1111"/>
      <c r="U36" s="175"/>
    </row>
    <row r="37" spans="1:21">
      <c r="B37" s="1272" t="s">
        <v>969</v>
      </c>
      <c r="C37" s="1102">
        <f t="shared" ref="C37:E38" si="17">C26</f>
        <v>2015</v>
      </c>
      <c r="D37" s="1102">
        <f t="shared" si="17"/>
        <v>2016</v>
      </c>
      <c r="E37" s="1102">
        <f t="shared" si="17"/>
        <v>2017</v>
      </c>
      <c r="F37" s="2405">
        <v>2018</v>
      </c>
      <c r="G37" s="2405">
        <v>2019</v>
      </c>
      <c r="H37" s="2405">
        <v>2020</v>
      </c>
      <c r="I37" s="2405">
        <v>2021</v>
      </c>
      <c r="J37" s="2405">
        <v>2022</v>
      </c>
      <c r="K37" s="2405">
        <v>2023</v>
      </c>
      <c r="L37" s="2405">
        <v>2024</v>
      </c>
      <c r="M37" s="2405">
        <v>2025</v>
      </c>
      <c r="U37" s="175"/>
    </row>
    <row r="38" spans="1:21">
      <c r="B38" s="1273" t="s">
        <v>121</v>
      </c>
      <c r="C38" s="1103">
        <f t="shared" si="17"/>
        <v>338.58</v>
      </c>
      <c r="D38" s="1103">
        <f t="shared" si="17"/>
        <v>339.60599999999999</v>
      </c>
      <c r="E38" s="1103">
        <f t="shared" si="17"/>
        <v>338.05900000000003</v>
      </c>
      <c r="F38" s="1103">
        <f t="shared" ref="F38:G38" si="18">F27</f>
        <v>352.98100694999999</v>
      </c>
      <c r="G38" s="1103">
        <f t="shared" si="18"/>
        <v>363.4678773</v>
      </c>
      <c r="H38" s="1103">
        <f t="shared" ref="H38:L38" si="19">H27</f>
        <v>363.4678773</v>
      </c>
      <c r="I38" s="1103">
        <f t="shared" si="19"/>
        <v>363.4678773</v>
      </c>
      <c r="J38" s="1103">
        <f t="shared" si="19"/>
        <v>363.4678773</v>
      </c>
      <c r="K38" s="1103">
        <f t="shared" si="19"/>
        <v>363.4678773</v>
      </c>
      <c r="L38" s="1103">
        <f t="shared" si="19"/>
        <v>363.4678773</v>
      </c>
      <c r="M38" s="1103">
        <f t="shared" ref="M38" si="20">M27</f>
        <v>363.4678773</v>
      </c>
      <c r="U38" s="175"/>
    </row>
    <row r="39" spans="1:21">
      <c r="B39" s="260" t="s">
        <v>969</v>
      </c>
      <c r="C39" s="1104">
        <f>+SOP!$F$18</f>
        <v>16.399999999999999</v>
      </c>
      <c r="D39" s="1104">
        <f>+SOP!$F$18</f>
        <v>16.399999999999999</v>
      </c>
      <c r="E39" s="1104">
        <f>+SOP!$F$18</f>
        <v>16.399999999999999</v>
      </c>
      <c r="F39" s="1104">
        <f>+SOP!$F$18</f>
        <v>16.399999999999999</v>
      </c>
      <c r="G39" s="1104">
        <f>+SOP!$F$18</f>
        <v>16.399999999999999</v>
      </c>
      <c r="H39" s="1104">
        <f>+SOP!$F$18</f>
        <v>16.399999999999999</v>
      </c>
      <c r="I39" s="1104">
        <f>+SOP!$F$18</f>
        <v>16.399999999999999</v>
      </c>
      <c r="J39" s="1104">
        <f>+SOP!$F$18</f>
        <v>16.399999999999999</v>
      </c>
      <c r="K39" s="1104">
        <f>+SOP!$F$18</f>
        <v>16.399999999999999</v>
      </c>
      <c r="L39" s="1104">
        <f>+SOP!$F$18</f>
        <v>16.399999999999999</v>
      </c>
      <c r="M39" s="1104">
        <f>+SOP!$F$18</f>
        <v>16.399999999999999</v>
      </c>
      <c r="U39" s="175"/>
    </row>
    <row r="40" spans="1:21">
      <c r="B40" s="1273" t="s">
        <v>264</v>
      </c>
      <c r="C40" s="1105">
        <f t="shared" ref="C40:D42" si="21">C29</f>
        <v>-2487.0839999999998</v>
      </c>
      <c r="D40" s="1105">
        <f t="shared" si="21"/>
        <v>-2719.038</v>
      </c>
      <c r="E40" s="1105">
        <f t="shared" ref="E40:F40" si="22">E29</f>
        <v>-2547.1279999999997</v>
      </c>
      <c r="F40" s="1105">
        <f t="shared" si="22"/>
        <v>-2250.5675568724828</v>
      </c>
      <c r="G40" s="1105">
        <f t="shared" ref="G40:K40" si="23">G29</f>
        <v>-1993.232980283138</v>
      </c>
      <c r="H40" s="1105">
        <f t="shared" si="23"/>
        <v>-1926.4973908753568</v>
      </c>
      <c r="I40" s="1105">
        <f t="shared" si="23"/>
        <v>-1786.2434320649077</v>
      </c>
      <c r="J40" s="1105">
        <f t="shared" si="23"/>
        <v>-1592.7946640695084</v>
      </c>
      <c r="K40" s="1105">
        <f t="shared" si="23"/>
        <v>-1656.537572191578</v>
      </c>
      <c r="L40" s="1105">
        <f t="shared" ref="L40:M40" si="24">L29</f>
        <v>-1911.2317342582433</v>
      </c>
      <c r="M40" s="1105">
        <f t="shared" si="24"/>
        <v>-2186.9524256318423</v>
      </c>
      <c r="U40" s="175"/>
    </row>
    <row r="41" spans="1:21">
      <c r="B41" s="1273" t="s">
        <v>126</v>
      </c>
      <c r="C41" s="1106">
        <f t="shared" si="21"/>
        <v>20</v>
      </c>
      <c r="D41" s="1106">
        <f t="shared" si="21"/>
        <v>20.024000000000001</v>
      </c>
      <c r="E41" s="1106">
        <f t="shared" ref="E41:F41" si="25">E30</f>
        <v>24</v>
      </c>
      <c r="F41" s="1106">
        <f t="shared" si="25"/>
        <v>24</v>
      </c>
      <c r="G41" s="1106">
        <f t="shared" ref="G41:K41" si="26">G30</f>
        <v>24</v>
      </c>
      <c r="H41" s="1106">
        <f t="shared" si="26"/>
        <v>24.5</v>
      </c>
      <c r="I41" s="1106">
        <f t="shared" si="26"/>
        <v>25</v>
      </c>
      <c r="J41" s="1106">
        <f t="shared" si="26"/>
        <v>25.5</v>
      </c>
      <c r="K41" s="1106">
        <f t="shared" si="26"/>
        <v>26</v>
      </c>
      <c r="L41" s="1106">
        <f t="shared" ref="L41:M41" si="27">L30</f>
        <v>26.5</v>
      </c>
      <c r="M41" s="1106">
        <f t="shared" si="27"/>
        <v>27</v>
      </c>
      <c r="U41" s="175"/>
    </row>
    <row r="42" spans="1:21">
      <c r="B42" s="1273" t="s">
        <v>117</v>
      </c>
      <c r="C42" s="1107">
        <f t="shared" si="21"/>
        <v>1</v>
      </c>
      <c r="D42" s="1107">
        <f t="shared" si="21"/>
        <v>1</v>
      </c>
      <c r="E42" s="1107">
        <f t="shared" ref="E42:F42" si="28">E31</f>
        <v>1</v>
      </c>
      <c r="F42" s="1107">
        <f t="shared" si="28"/>
        <v>1</v>
      </c>
      <c r="G42" s="1107">
        <f t="shared" ref="G42:K42" si="29">G31</f>
        <v>1</v>
      </c>
      <c r="H42" s="1107">
        <f t="shared" si="29"/>
        <v>1</v>
      </c>
      <c r="I42" s="1107">
        <f t="shared" si="29"/>
        <v>1</v>
      </c>
      <c r="J42" s="1107">
        <f t="shared" si="29"/>
        <v>1</v>
      </c>
      <c r="K42" s="1107">
        <f t="shared" si="29"/>
        <v>1</v>
      </c>
      <c r="L42" s="1107">
        <f t="shared" ref="L42:M42" si="30">L31</f>
        <v>1</v>
      </c>
      <c r="M42" s="1107">
        <f t="shared" si="30"/>
        <v>1</v>
      </c>
      <c r="U42" s="175"/>
    </row>
    <row r="43" spans="1:21">
      <c r="B43" s="176" t="s">
        <v>128</v>
      </c>
      <c r="C43" s="1108">
        <f>+C39*C38</f>
        <v>5552.7119999999995</v>
      </c>
      <c r="D43" s="1108">
        <f>+D39*D38</f>
        <v>5569.5383999999995</v>
      </c>
      <c r="E43" s="1108">
        <f>+E39*E38</f>
        <v>5544.1675999999998</v>
      </c>
      <c r="F43" s="1108">
        <f>+F39*F38</f>
        <v>5788.8885139799995</v>
      </c>
      <c r="G43" s="1108">
        <f>+G39*G38</f>
        <v>5960.8731877199998</v>
      </c>
      <c r="H43" s="1108">
        <f t="shared" ref="H43:K43" si="31">+H39*H38</f>
        <v>5960.8731877199998</v>
      </c>
      <c r="I43" s="1108">
        <f t="shared" si="31"/>
        <v>5960.8731877199998</v>
      </c>
      <c r="J43" s="1108">
        <f t="shared" si="31"/>
        <v>5960.8731877199998</v>
      </c>
      <c r="K43" s="1108">
        <f t="shared" si="31"/>
        <v>5960.8731877199998</v>
      </c>
      <c r="L43" s="1108">
        <f>+L39*L38</f>
        <v>5960.8731877199998</v>
      </c>
      <c r="M43" s="1108">
        <f t="shared" ref="M43" si="32">+M39*M38</f>
        <v>5960.8731877199998</v>
      </c>
      <c r="U43" s="175"/>
    </row>
    <row r="44" spans="1:21">
      <c r="B44" s="176" t="s">
        <v>127</v>
      </c>
      <c r="C44" s="1108">
        <f>+C43-C40</f>
        <v>8039.7959999999994</v>
      </c>
      <c r="D44" s="1108">
        <f>+D43-D40</f>
        <v>8288.5763999999999</v>
      </c>
      <c r="E44" s="1108">
        <f>+E43-E40</f>
        <v>8091.2955999999995</v>
      </c>
      <c r="F44" s="1108">
        <f>+F43-F40</f>
        <v>8039.4560708524823</v>
      </c>
      <c r="G44" s="1108">
        <f>+G43-G40</f>
        <v>7954.106168003138</v>
      </c>
      <c r="H44" s="1108">
        <f t="shared" ref="H44:K44" si="33">+H43-H40</f>
        <v>7887.3705785953571</v>
      </c>
      <c r="I44" s="1108">
        <f t="shared" si="33"/>
        <v>7747.116619784907</v>
      </c>
      <c r="J44" s="1108">
        <f t="shared" si="33"/>
        <v>7553.6678517895079</v>
      </c>
      <c r="K44" s="1108">
        <f t="shared" si="33"/>
        <v>7617.4107599115778</v>
      </c>
      <c r="L44" s="1108">
        <f>+L43-L40</f>
        <v>7872.1049219782435</v>
      </c>
      <c r="M44" s="1108">
        <f t="shared" ref="M44" si="34">+M43-M40</f>
        <v>8147.8256133518425</v>
      </c>
      <c r="U44" s="175"/>
    </row>
    <row r="45" spans="1:21">
      <c r="B45" s="1274" t="s">
        <v>129</v>
      </c>
      <c r="C45" s="1109">
        <f t="shared" ref="C45:M45" si="35">+$F$11+$F$12</f>
        <v>2000.0879017421089</v>
      </c>
      <c r="D45" s="1109">
        <f t="shared" si="35"/>
        <v>2000.0879017421089</v>
      </c>
      <c r="E45" s="1109">
        <f t="shared" si="35"/>
        <v>2000.0879017421089</v>
      </c>
      <c r="F45" s="1109">
        <f t="shared" si="35"/>
        <v>2000.0879017421089</v>
      </c>
      <c r="G45" s="1109">
        <f t="shared" si="35"/>
        <v>2000.0879017421089</v>
      </c>
      <c r="H45" s="1109">
        <f t="shared" si="35"/>
        <v>2000.0879017421089</v>
      </c>
      <c r="I45" s="1109">
        <f t="shared" si="35"/>
        <v>2000.0879017421089</v>
      </c>
      <c r="J45" s="1109">
        <f t="shared" si="35"/>
        <v>2000.0879017421089</v>
      </c>
      <c r="K45" s="1109">
        <f t="shared" si="35"/>
        <v>2000.0879017421089</v>
      </c>
      <c r="L45" s="1109">
        <f t="shared" si="35"/>
        <v>2000.0879017421089</v>
      </c>
      <c r="M45" s="1109">
        <f t="shared" si="35"/>
        <v>2000.0879017421089</v>
      </c>
      <c r="U45" s="175"/>
    </row>
    <row r="46" spans="1:21">
      <c r="B46" s="1275" t="s">
        <v>970</v>
      </c>
      <c r="C46" s="1112">
        <f>+((C44-C45)/(C41*C42))/C24</f>
        <v>94.143905263239873</v>
      </c>
      <c r="D46" s="1112">
        <f t="shared" ref="D46:F46" si="36">+((D44-D45)/(D41*D42))/D24</f>
        <v>88.250314121142225</v>
      </c>
      <c r="E46" s="1112">
        <f t="shared" si="36"/>
        <v>74.647153164925129</v>
      </c>
      <c r="F46" s="1112">
        <f t="shared" si="36"/>
        <v>81.174303348257709</v>
      </c>
      <c r="G46" s="1112">
        <f t="shared" ref="G46:K46" si="37">+((G44-G45)/(G41*G42))/G24</f>
        <v>75.176998311376636</v>
      </c>
      <c r="H46" s="1112">
        <f t="shared" si="37"/>
        <v>72.817349126199744</v>
      </c>
      <c r="I46" s="1112">
        <f t="shared" si="37"/>
        <v>69.66095415809454</v>
      </c>
      <c r="J46" s="1112">
        <f t="shared" si="37"/>
        <v>65.99619667317171</v>
      </c>
      <c r="K46" s="1112">
        <f t="shared" si="37"/>
        <v>65.469963381928551</v>
      </c>
      <c r="L46" s="1112">
        <f t="shared" ref="L46:M46" si="38">+((L44-L45)/(L41*L42))/L24</f>
        <v>67.147135737405776</v>
      </c>
      <c r="M46" s="1112">
        <f t="shared" si="38"/>
        <v>68.998178581478498</v>
      </c>
      <c r="U46" s="175"/>
    </row>
    <row r="47" spans="1:21">
      <c r="A47" s="275"/>
      <c r="B47" s="1277"/>
      <c r="C47" s="275"/>
      <c r="D47" s="275"/>
      <c r="E47" s="275"/>
      <c r="F47" s="275"/>
      <c r="G47" s="275"/>
      <c r="H47" s="275"/>
      <c r="I47" s="275"/>
      <c r="J47" s="275"/>
      <c r="K47" s="275"/>
      <c r="L47" s="275"/>
      <c r="M47" s="275"/>
      <c r="N47" s="275"/>
      <c r="O47" s="275"/>
      <c r="P47" s="275"/>
      <c r="Q47" s="275"/>
      <c r="R47" s="275"/>
      <c r="S47" s="175"/>
      <c r="T47" s="175"/>
      <c r="U47" s="175"/>
    </row>
    <row r="48" spans="1:21">
      <c r="A48" s="455"/>
      <c r="B48" s="455"/>
      <c r="C48" s="455"/>
      <c r="D48" s="455"/>
      <c r="E48" s="455"/>
      <c r="F48" s="180"/>
      <c r="G48" s="180"/>
      <c r="H48" s="180"/>
      <c r="J48" s="456"/>
      <c r="K48" s="456"/>
      <c r="L48" s="456"/>
      <c r="M48" s="456"/>
      <c r="N48" s="456"/>
      <c r="O48" s="456"/>
      <c r="P48" s="456"/>
      <c r="Q48" s="456"/>
      <c r="R48" s="456"/>
      <c r="S48" s="175"/>
      <c r="T48" s="175"/>
      <c r="U48" s="175"/>
    </row>
    <row r="49" spans="1:21">
      <c r="A49" s="127" t="s">
        <v>122</v>
      </c>
      <c r="B49" s="127"/>
      <c r="C49" s="127"/>
      <c r="D49" s="127"/>
      <c r="E49" s="127"/>
      <c r="F49" s="127"/>
      <c r="G49" s="127"/>
      <c r="H49" s="127"/>
      <c r="I49" s="127"/>
      <c r="J49" s="127"/>
      <c r="K49" s="127"/>
      <c r="L49" s="127"/>
      <c r="M49" s="127"/>
      <c r="N49" s="127"/>
      <c r="O49" s="127"/>
      <c r="P49" s="127"/>
      <c r="Q49" s="127"/>
      <c r="R49" s="127"/>
      <c r="S49" s="175"/>
      <c r="T49" s="175"/>
      <c r="U49" s="175"/>
    </row>
    <row r="50" spans="1:21">
      <c r="S50" s="175"/>
      <c r="T50" s="175"/>
      <c r="U50" s="175"/>
    </row>
    <row r="51" spans="1:21">
      <c r="B51" s="2430"/>
      <c r="C51" s="457" t="s">
        <v>126</v>
      </c>
      <c r="D51" s="457" t="s">
        <v>137</v>
      </c>
      <c r="E51" s="457" t="s">
        <v>136</v>
      </c>
      <c r="G51" s="457" t="s">
        <v>651</v>
      </c>
      <c r="J51" s="595" t="s">
        <v>823</v>
      </c>
      <c r="S51" s="175"/>
      <c r="T51" s="175"/>
      <c r="U51" s="175"/>
    </row>
    <row r="52" spans="1:21">
      <c r="B52" s="175" t="s">
        <v>1043</v>
      </c>
      <c r="C52" s="443">
        <v>19.5</v>
      </c>
      <c r="D52" s="458">
        <v>1</v>
      </c>
      <c r="E52" s="2504">
        <v>19.5</v>
      </c>
      <c r="G52" s="458">
        <f>E52/$E$54</f>
        <v>0.8125</v>
      </c>
      <c r="S52" s="175"/>
      <c r="T52" s="175"/>
      <c r="U52" s="175"/>
    </row>
    <row r="53" spans="1:21">
      <c r="B53" s="1004" t="s">
        <v>1724</v>
      </c>
      <c r="C53" s="441">
        <v>4.5</v>
      </c>
      <c r="D53" s="2431">
        <v>1</v>
      </c>
      <c r="E53" s="1006">
        <v>4.5</v>
      </c>
      <c r="F53" s="275"/>
      <c r="G53" s="1005">
        <f>E53/$E$54</f>
        <v>0.1875</v>
      </c>
      <c r="J53" s="52" t="s">
        <v>822</v>
      </c>
      <c r="S53" s="175"/>
      <c r="T53" s="175"/>
      <c r="U53" s="175"/>
    </row>
    <row r="54" spans="1:21">
      <c r="B54" s="175" t="s">
        <v>138</v>
      </c>
      <c r="C54" s="443"/>
      <c r="D54" s="442">
        <f>SUMPRODUCT(D52:D53,E52:E53)/E54</f>
        <v>1</v>
      </c>
      <c r="E54" s="854">
        <f>E52+E53</f>
        <v>24</v>
      </c>
      <c r="G54" s="442">
        <f>G52+G53</f>
        <v>1</v>
      </c>
      <c r="S54" s="175"/>
      <c r="T54" s="175"/>
      <c r="U54" s="175"/>
    </row>
    <row r="55" spans="1:21">
      <c r="B55" s="494" t="s">
        <v>53</v>
      </c>
      <c r="C55" s="494"/>
      <c r="D55" s="494"/>
      <c r="E55" s="683">
        <f>E54-Financials!Q5/1000</f>
        <v>0</v>
      </c>
      <c r="S55" s="175"/>
      <c r="T55" s="175"/>
      <c r="U55" s="175"/>
    </row>
    <row r="56" spans="1:21">
      <c r="B56" s="175"/>
      <c r="C56" s="175"/>
      <c r="D56" s="175"/>
      <c r="E56" s="175"/>
      <c r="F56" s="175"/>
      <c r="S56" s="175"/>
      <c r="T56" s="175"/>
      <c r="U56" s="175"/>
    </row>
    <row r="57" spans="1:21">
      <c r="K57" s="175"/>
      <c r="L57" s="175"/>
      <c r="M57" s="175"/>
    </row>
    <row r="58" spans="1:21">
      <c r="A58" s="127" t="s">
        <v>1779</v>
      </c>
      <c r="B58" s="127"/>
      <c r="C58" s="127"/>
      <c r="D58" s="127"/>
      <c r="E58" s="127"/>
      <c r="F58" s="127"/>
      <c r="G58" s="127"/>
      <c r="H58" s="127"/>
      <c r="I58" s="127"/>
      <c r="J58" s="127"/>
      <c r="K58" s="127"/>
      <c r="L58" s="127"/>
      <c r="M58" s="127"/>
      <c r="N58" s="127"/>
      <c r="O58" s="127"/>
      <c r="P58" s="127"/>
      <c r="Q58" s="127"/>
      <c r="R58" s="127"/>
    </row>
    <row r="59" spans="1:21">
      <c r="A59" s="175"/>
      <c r="B59" s="175"/>
      <c r="C59" s="175"/>
      <c r="D59" s="175"/>
      <c r="E59" s="175"/>
      <c r="F59" s="175"/>
      <c r="G59" s="175"/>
      <c r="H59" s="175"/>
      <c r="I59" s="175"/>
      <c r="J59" s="175"/>
      <c r="K59" s="175"/>
      <c r="L59" s="175"/>
      <c r="M59" s="175"/>
      <c r="N59" s="175"/>
      <c r="O59" s="175"/>
      <c r="P59" s="175"/>
      <c r="Q59" s="175"/>
    </row>
    <row r="60" spans="1:21">
      <c r="A60" s="175" t="s">
        <v>1711</v>
      </c>
      <c r="B60" s="175"/>
      <c r="C60" s="175"/>
      <c r="D60" s="175"/>
      <c r="E60" s="175">
        <v>0</v>
      </c>
      <c r="F60" s="175">
        <v>0.5</v>
      </c>
      <c r="G60" s="175">
        <f t="shared" ref="G60:L60" si="39">+F60+1</f>
        <v>1.5</v>
      </c>
      <c r="H60" s="175">
        <f t="shared" si="39"/>
        <v>2.5</v>
      </c>
      <c r="I60" s="175">
        <f t="shared" si="39"/>
        <v>3.5</v>
      </c>
      <c r="J60" s="175">
        <f t="shared" si="39"/>
        <v>4.5</v>
      </c>
      <c r="K60" s="175">
        <f t="shared" si="39"/>
        <v>5.5</v>
      </c>
      <c r="L60" s="175">
        <f t="shared" si="39"/>
        <v>6.5</v>
      </c>
      <c r="M60" s="175"/>
      <c r="N60" s="175"/>
      <c r="O60" s="175"/>
    </row>
    <row r="61" spans="1:21">
      <c r="A61" s="175"/>
      <c r="B61" s="787"/>
      <c r="C61" s="1093"/>
      <c r="D61" s="1090"/>
      <c r="E61" s="1090">
        <v>2018</v>
      </c>
      <c r="F61" s="1090">
        <f t="shared" ref="F61:L61" si="40">+E61+1</f>
        <v>2019</v>
      </c>
      <c r="G61" s="1090">
        <f t="shared" si="40"/>
        <v>2020</v>
      </c>
      <c r="H61" s="1090">
        <f t="shared" si="40"/>
        <v>2021</v>
      </c>
      <c r="I61" s="1090">
        <f t="shared" si="40"/>
        <v>2022</v>
      </c>
      <c r="J61" s="1090">
        <f t="shared" si="40"/>
        <v>2023</v>
      </c>
      <c r="K61" s="1090">
        <f t="shared" si="40"/>
        <v>2024</v>
      </c>
      <c r="L61" s="1090">
        <f t="shared" si="40"/>
        <v>2025</v>
      </c>
      <c r="M61" s="1090"/>
      <c r="N61" s="175"/>
      <c r="O61" s="175"/>
    </row>
    <row r="62" spans="1:21">
      <c r="A62" s="175" t="s">
        <v>123</v>
      </c>
      <c r="B62" s="187"/>
      <c r="C62" s="459"/>
      <c r="D62" s="459"/>
      <c r="E62" s="459">
        <f>Financials!P30</f>
        <v>900.00000000000011</v>
      </c>
      <c r="F62" s="459">
        <f>Financials!Q30</f>
        <v>900.00000000000011</v>
      </c>
      <c r="G62" s="459">
        <f>Financials!R30</f>
        <v>918.75</v>
      </c>
      <c r="H62" s="459">
        <f>Financials!S30</f>
        <v>937.5</v>
      </c>
      <c r="I62" s="459">
        <f>Financials!T30</f>
        <v>956.25</v>
      </c>
      <c r="J62" s="459">
        <f>Financials!U30</f>
        <v>974.99999999999989</v>
      </c>
      <c r="K62" s="459">
        <f>Financials!V30</f>
        <v>993.74999999999977</v>
      </c>
      <c r="L62" s="459">
        <f>Financials!W30</f>
        <v>1012.4999999999998</v>
      </c>
      <c r="M62" s="1402"/>
      <c r="N62" s="175"/>
      <c r="O62" s="175"/>
    </row>
    <row r="63" spans="1:21">
      <c r="A63" s="175" t="s">
        <v>125</v>
      </c>
      <c r="B63" s="175"/>
      <c r="C63" s="1402"/>
      <c r="D63" s="187"/>
      <c r="E63" s="187">
        <f>+Q_IS!N98</f>
        <v>183.49999999999997</v>
      </c>
      <c r="F63" s="187">
        <f>+Q_IS!O98</f>
        <v>181.66666666666666</v>
      </c>
      <c r="G63" s="187">
        <f>+Q_IS!P98</f>
        <v>187.24</v>
      </c>
      <c r="H63" s="187">
        <f>+Q_IS!Q98</f>
        <v>193.05856</v>
      </c>
      <c r="I63" s="1402">
        <f>+Q_IS!R98</f>
        <v>199.13313664</v>
      </c>
      <c r="J63" s="1402">
        <f>+Q_IS!S98</f>
        <v>205.47499465216001</v>
      </c>
      <c r="K63" s="1402">
        <f>+Q_IS!T98</f>
        <v>212.09589441685506</v>
      </c>
      <c r="L63" s="1402">
        <f>+Q_IS!U98</f>
        <v>219.00811377119669</v>
      </c>
      <c r="M63" s="175"/>
      <c r="N63" s="175"/>
      <c r="O63" s="175"/>
    </row>
    <row r="64" spans="1:21">
      <c r="A64" s="175" t="s">
        <v>1604</v>
      </c>
      <c r="B64" s="445"/>
      <c r="C64" s="445"/>
      <c r="D64" s="445"/>
      <c r="E64" s="445">
        <f>+(E62*E63)/1000</f>
        <v>165.15</v>
      </c>
      <c r="F64" s="445">
        <f t="shared" ref="F64:L64" si="41">+(F62*F63)/1000</f>
        <v>163.5</v>
      </c>
      <c r="G64" s="445">
        <f t="shared" si="41"/>
        <v>172.02674999999999</v>
      </c>
      <c r="H64" s="445">
        <f t="shared" si="41"/>
        <v>180.9924</v>
      </c>
      <c r="I64" s="445">
        <f t="shared" si="41"/>
        <v>190.421061912</v>
      </c>
      <c r="J64" s="445">
        <f t="shared" si="41"/>
        <v>200.33811978585598</v>
      </c>
      <c r="K64" s="445">
        <f t="shared" si="41"/>
        <v>210.77029507674968</v>
      </c>
      <c r="L64" s="445">
        <f t="shared" si="41"/>
        <v>221.74571519333659</v>
      </c>
      <c r="M64" s="175"/>
      <c r="N64" s="175"/>
      <c r="O64" s="175"/>
    </row>
    <row r="65" spans="1:22">
      <c r="A65" s="1004" t="s">
        <v>47</v>
      </c>
      <c r="B65" s="2403">
        <v>0.5</v>
      </c>
      <c r="C65" s="2404"/>
      <c r="D65" s="2404"/>
      <c r="E65" s="2404">
        <f t="shared" ref="E65:L65" si="42">+(E64*$B$65)</f>
        <v>82.575000000000003</v>
      </c>
      <c r="F65" s="2404">
        <f t="shared" si="42"/>
        <v>81.75</v>
      </c>
      <c r="G65" s="2404">
        <f t="shared" si="42"/>
        <v>86.013374999999996</v>
      </c>
      <c r="H65" s="2404">
        <f t="shared" si="42"/>
        <v>90.496200000000002</v>
      </c>
      <c r="I65" s="2404">
        <f t="shared" si="42"/>
        <v>95.210530955999999</v>
      </c>
      <c r="J65" s="2404">
        <f t="shared" si="42"/>
        <v>100.16905989292799</v>
      </c>
      <c r="K65" s="2404">
        <f t="shared" si="42"/>
        <v>105.38514753837484</v>
      </c>
      <c r="L65" s="2404">
        <f t="shared" si="42"/>
        <v>110.8728575966683</v>
      </c>
      <c r="M65" s="175"/>
      <c r="N65" s="175"/>
      <c r="O65" s="175"/>
    </row>
    <row r="66" spans="1:22">
      <c r="A66" s="183" t="s">
        <v>80</v>
      </c>
      <c r="B66" s="1114"/>
      <c r="C66" s="1114"/>
      <c r="D66" s="1114"/>
      <c r="E66" s="1114">
        <f t="shared" ref="E66:L66" si="43">+E64-E65</f>
        <v>82.575000000000003</v>
      </c>
      <c r="F66" s="1114">
        <f t="shared" si="43"/>
        <v>81.75</v>
      </c>
      <c r="G66" s="1114">
        <f t="shared" si="43"/>
        <v>86.013374999999996</v>
      </c>
      <c r="H66" s="1114">
        <f t="shared" si="43"/>
        <v>90.496200000000002</v>
      </c>
      <c r="I66" s="1114">
        <f t="shared" si="43"/>
        <v>95.210530955999999</v>
      </c>
      <c r="J66" s="1114">
        <f t="shared" si="43"/>
        <v>100.16905989292799</v>
      </c>
      <c r="K66" s="1114">
        <f t="shared" si="43"/>
        <v>105.38514753837484</v>
      </c>
      <c r="L66" s="1114">
        <f t="shared" si="43"/>
        <v>110.8728575966683</v>
      </c>
      <c r="M66" s="175"/>
      <c r="N66" s="175"/>
      <c r="O66" s="175"/>
    </row>
    <row r="67" spans="1:22">
      <c r="A67" s="175" t="s">
        <v>393</v>
      </c>
      <c r="B67" s="445"/>
      <c r="C67" s="445"/>
      <c r="D67" s="445"/>
      <c r="E67" s="445">
        <f t="shared" ref="E67:L67" si="44">+E66/(1+$L$71)^E60</f>
        <v>82.575000000000003</v>
      </c>
      <c r="F67" s="445">
        <f t="shared" si="44"/>
        <v>77.388342125251199</v>
      </c>
      <c r="G67" s="445">
        <f t="shared" si="44"/>
        <v>72.967477649582634</v>
      </c>
      <c r="H67" s="445">
        <f t="shared" si="44"/>
        <v>68.796960525918138</v>
      </c>
      <c r="I67" s="445">
        <f t="shared" si="44"/>
        <v>64.863362471572572</v>
      </c>
      <c r="J67" s="445">
        <f t="shared" si="44"/>
        <v>61.153825894034505</v>
      </c>
      <c r="K67" s="445">
        <f t="shared" si="44"/>
        <v>57.656065939554473</v>
      </c>
      <c r="L67" s="445">
        <f t="shared" si="44"/>
        <v>54.358367085766062</v>
      </c>
      <c r="M67" s="175"/>
      <c r="N67" s="175"/>
      <c r="O67" s="175"/>
    </row>
    <row r="68" spans="1:22">
      <c r="A68" s="175"/>
      <c r="B68" s="175"/>
      <c r="C68" s="175"/>
      <c r="D68" s="175"/>
      <c r="E68" s="175"/>
      <c r="F68" s="175"/>
      <c r="G68" s="175"/>
      <c r="H68" s="445"/>
      <c r="I68" s="445"/>
      <c r="J68" s="445"/>
      <c r="K68" s="445"/>
      <c r="L68" s="445">
        <f>+L66*(1+$L$70)/($L$71-$L$70)</f>
        <v>1609.9407728338163</v>
      </c>
      <c r="M68" s="175"/>
      <c r="N68" s="175"/>
      <c r="O68" s="175"/>
    </row>
    <row r="69" spans="1:22">
      <c r="A69" s="175"/>
      <c r="B69" s="175"/>
      <c r="C69" s="175"/>
      <c r="D69" s="175"/>
      <c r="G69" s="175"/>
      <c r="H69" s="175"/>
      <c r="I69" s="175"/>
      <c r="J69" s="175"/>
      <c r="K69" s="175"/>
      <c r="L69" s="175"/>
      <c r="M69" s="175"/>
      <c r="N69" s="175"/>
      <c r="O69" s="175"/>
      <c r="P69" s="175"/>
      <c r="Q69" s="175"/>
    </row>
    <row r="70" spans="1:22">
      <c r="A70" s="175" t="s">
        <v>131</v>
      </c>
      <c r="C70" s="175"/>
      <c r="D70" s="175"/>
      <c r="E70" s="445">
        <f>SUM(E67:L67)</f>
        <v>539.75940169167961</v>
      </c>
      <c r="I70" s="175"/>
      <c r="J70" s="175"/>
      <c r="K70" s="175" t="s">
        <v>132</v>
      </c>
      <c r="L70" s="1145">
        <f>+Inputs!W144</f>
        <v>4.3999999999999997E-2</v>
      </c>
      <c r="M70" s="175"/>
      <c r="N70" s="175"/>
      <c r="O70" s="175"/>
      <c r="P70" s="175"/>
      <c r="Q70" s="175"/>
    </row>
    <row r="71" spans="1:22">
      <c r="A71" s="463" t="s">
        <v>134</v>
      </c>
      <c r="C71" s="179"/>
      <c r="D71" s="175"/>
      <c r="E71" s="445">
        <f>+L68/(1+L72)^L$60</f>
        <v>785.32850005042928</v>
      </c>
      <c r="I71" s="175"/>
      <c r="J71" s="175"/>
      <c r="K71" s="175" t="s">
        <v>130</v>
      </c>
      <c r="L71" s="849">
        <f>+DCF!P32-0.5%</f>
        <v>0.11589783952559722</v>
      </c>
      <c r="M71" s="175"/>
      <c r="N71" s="175"/>
      <c r="O71" s="175"/>
      <c r="P71" s="175"/>
      <c r="Q71" s="175"/>
    </row>
    <row r="72" spans="1:22">
      <c r="A72" s="175" t="s">
        <v>1710</v>
      </c>
      <c r="C72" s="179"/>
      <c r="D72" s="175"/>
      <c r="E72" s="464">
        <f>SUM(E70:E71)</f>
        <v>1325.0879017421089</v>
      </c>
      <c r="G72" s="1140" t="s">
        <v>1138</v>
      </c>
      <c r="H72" s="1147"/>
      <c r="I72" s="175"/>
      <c r="J72" s="175"/>
      <c r="K72" s="175" t="s">
        <v>1128</v>
      </c>
      <c r="L72" s="849">
        <f>DCF!$P$39</f>
        <v>0.11676772046621463</v>
      </c>
      <c r="M72" s="175"/>
      <c r="N72" s="175"/>
      <c r="O72" s="175"/>
      <c r="P72" s="175"/>
      <c r="Q72" s="175"/>
    </row>
    <row r="73" spans="1:22">
      <c r="A73" s="1144" t="s">
        <v>1137</v>
      </c>
      <c r="C73" s="175"/>
      <c r="D73" s="175"/>
      <c r="E73" s="445">
        <f>E62</f>
        <v>900.00000000000011</v>
      </c>
      <c r="F73" s="175"/>
      <c r="G73" s="260" t="s">
        <v>1135</v>
      </c>
      <c r="H73" s="1125" t="s">
        <v>1136</v>
      </c>
      <c r="J73" s="175"/>
      <c r="K73" s="175"/>
      <c r="L73" s="175"/>
      <c r="M73" s="175"/>
      <c r="N73" s="175"/>
      <c r="O73" s="175"/>
      <c r="P73" s="175"/>
      <c r="Q73" s="175"/>
    </row>
    <row r="74" spans="1:22">
      <c r="A74" s="175" t="s">
        <v>1129</v>
      </c>
      <c r="C74" s="175"/>
      <c r="D74" s="175"/>
      <c r="E74" s="445">
        <f>+E72/E73*1000</f>
        <v>1472.3198908245652</v>
      </c>
      <c r="F74" s="175"/>
      <c r="G74" s="983">
        <v>1418.690129843453</v>
      </c>
      <c r="H74" s="1127">
        <v>1307.0700418666167</v>
      </c>
      <c r="J74" s="175"/>
      <c r="K74" s="175"/>
      <c r="L74" s="175"/>
      <c r="M74" s="175"/>
      <c r="N74" s="175"/>
      <c r="O74" s="175"/>
      <c r="P74" s="175"/>
      <c r="Q74" s="175"/>
    </row>
    <row r="75" spans="1:22" s="787" customFormat="1"/>
    <row r="77" spans="1:22" hidden="1" outlineLevel="1">
      <c r="F77" s="1126"/>
      <c r="I77" s="731"/>
      <c r="J77" s="731"/>
      <c r="L77" s="1127"/>
      <c r="M77" s="1116"/>
      <c r="N77" s="1124"/>
      <c r="O77" s="1124"/>
      <c r="P77" s="1124"/>
      <c r="Q77" s="1124"/>
      <c r="R77" s="731"/>
      <c r="S77" s="731"/>
    </row>
    <row r="78" spans="1:22" hidden="1" outlineLevel="1">
      <c r="A78" s="494" t="s">
        <v>408</v>
      </c>
      <c r="B78" s="1146">
        <f>E73-Financials!P30</f>
        <v>0</v>
      </c>
      <c r="C78" s="731"/>
      <c r="D78" s="1120"/>
      <c r="E78" s="1121"/>
      <c r="F78" s="1122"/>
      <c r="G78" s="1122"/>
      <c r="H78" s="1122"/>
      <c r="I78" s="1122"/>
      <c r="J78" s="1122"/>
      <c r="K78" s="1122"/>
      <c r="L78" s="1122"/>
      <c r="M78" s="1123"/>
      <c r="N78" s="1123"/>
      <c r="O78" s="1123"/>
      <c r="P78" s="1123"/>
      <c r="Q78" s="1123"/>
      <c r="R78" s="1123"/>
      <c r="S78" s="1123"/>
      <c r="T78" s="1093"/>
      <c r="U78" s="1093"/>
      <c r="V78" s="1093"/>
    </row>
    <row r="79" spans="1:22" hidden="1" outlineLevel="1">
      <c r="A79" s="731"/>
      <c r="B79" s="1119"/>
      <c r="C79" s="731"/>
      <c r="D79" s="731"/>
      <c r="E79" s="1125"/>
      <c r="F79" s="1127"/>
      <c r="G79" s="1127"/>
      <c r="H79" s="1127"/>
      <c r="I79" s="1127"/>
      <c r="J79" s="1127"/>
      <c r="K79" s="1127"/>
      <c r="L79" s="1127"/>
      <c r="M79" s="1127"/>
      <c r="N79" s="1124"/>
      <c r="O79" s="1124"/>
      <c r="P79" s="1124"/>
      <c r="Q79" s="1124"/>
      <c r="R79" s="731"/>
      <c r="S79" s="731"/>
    </row>
    <row r="80" spans="1:22" hidden="1" outlineLevel="1">
      <c r="A80" s="127" t="s">
        <v>652</v>
      </c>
      <c r="B80" s="127"/>
      <c r="C80" s="127"/>
      <c r="D80" s="127"/>
      <c r="E80" s="127"/>
      <c r="F80" s="127"/>
      <c r="G80" s="127"/>
      <c r="H80" s="127"/>
      <c r="I80" s="127"/>
      <c r="J80" s="127"/>
      <c r="K80" s="127"/>
      <c r="L80" s="127"/>
      <c r="M80" s="127"/>
      <c r="N80" s="127"/>
      <c r="O80" s="127"/>
      <c r="P80" s="127"/>
      <c r="Q80" s="127"/>
      <c r="R80" s="127"/>
      <c r="S80" s="175"/>
    </row>
    <row r="81" spans="1:38" hidden="1" outlineLevel="1">
      <c r="A81" s="807"/>
      <c r="B81" s="807"/>
      <c r="C81" s="843"/>
      <c r="D81" s="843"/>
      <c r="E81" s="843"/>
      <c r="F81" s="843"/>
      <c r="G81" s="843"/>
      <c r="H81" s="843"/>
      <c r="I81" s="843"/>
      <c r="J81" s="843"/>
      <c r="K81" s="843"/>
      <c r="L81" s="843"/>
      <c r="M81" s="843"/>
      <c r="N81" s="843"/>
      <c r="O81" s="843"/>
      <c r="P81" s="843"/>
      <c r="Q81" s="843"/>
      <c r="R81" s="843"/>
      <c r="S81" s="175"/>
    </row>
    <row r="82" spans="1:38" ht="33.75" hidden="1" outlineLevel="1">
      <c r="A82" s="175"/>
      <c r="B82" s="1328" t="s">
        <v>1150</v>
      </c>
      <c r="C82" s="1317"/>
      <c r="D82" s="1317"/>
      <c r="E82" s="1329" t="s">
        <v>65</v>
      </c>
      <c r="F82" s="1330" t="s">
        <v>66</v>
      </c>
      <c r="G82" s="1330" t="s">
        <v>60</v>
      </c>
      <c r="H82" s="1331" t="s">
        <v>1151</v>
      </c>
      <c r="J82" s="175"/>
      <c r="K82" s="175"/>
      <c r="M82" s="175"/>
      <c r="N82" s="175"/>
      <c r="O82" s="175"/>
      <c r="P82" s="175"/>
      <c r="Q82" s="175"/>
      <c r="R82" s="175"/>
      <c r="S82" s="175"/>
      <c r="T82" s="175"/>
      <c r="U82" s="175"/>
    </row>
    <row r="83" spans="1:38" hidden="1" outlineLevel="1">
      <c r="A83" s="175"/>
      <c r="B83" s="1318"/>
      <c r="C83" s="106"/>
      <c r="D83" s="106"/>
      <c r="E83" s="1113"/>
      <c r="F83" s="216"/>
      <c r="G83" s="216"/>
      <c r="H83" s="1319"/>
      <c r="J83" s="175"/>
      <c r="K83" s="175"/>
      <c r="N83" s="175"/>
      <c r="O83" s="175"/>
      <c r="P83" s="175"/>
      <c r="Q83" s="175"/>
      <c r="R83" s="175"/>
      <c r="S83" s="175"/>
      <c r="T83" s="175"/>
      <c r="U83" s="175"/>
    </row>
    <row r="84" spans="1:38" hidden="1" outlineLevel="1">
      <c r="A84" s="175"/>
      <c r="B84" s="1320" t="s">
        <v>61</v>
      </c>
      <c r="C84" s="106"/>
      <c r="D84" s="106"/>
      <c r="E84" s="844">
        <v>32477</v>
      </c>
      <c r="F84" s="844">
        <v>1559902</v>
      </c>
      <c r="G84" s="844">
        <f>F84*1000/E84</f>
        <v>48030.975767466203</v>
      </c>
      <c r="H84" s="1321">
        <v>1</v>
      </c>
      <c r="J84" s="175"/>
      <c r="K84" s="175"/>
      <c r="M84" s="459"/>
      <c r="T84" s="175"/>
      <c r="U84" s="175"/>
    </row>
    <row r="85" spans="1:38" ht="12.75" hidden="1" outlineLevel="1">
      <c r="A85" s="175"/>
      <c r="B85" s="1320" t="s">
        <v>62</v>
      </c>
      <c r="C85" s="106"/>
      <c r="D85" s="106"/>
      <c r="E85" s="844">
        <v>1526</v>
      </c>
      <c r="F85" s="844">
        <v>531450</v>
      </c>
      <c r="G85" s="844">
        <f>F85*1000/E85</f>
        <v>348263.43381389254</v>
      </c>
      <c r="H85" s="1321">
        <v>1</v>
      </c>
      <c r="J85" s="175"/>
      <c r="K85" s="175"/>
      <c r="M85" s="459"/>
      <c r="T85" s="175"/>
      <c r="U85"/>
    </row>
    <row r="86" spans="1:38" s="787" customFormat="1" hidden="1" outlineLevel="1">
      <c r="A86" s="175"/>
      <c r="B86" s="1320" t="s">
        <v>63</v>
      </c>
      <c r="C86" s="807"/>
      <c r="D86" s="807"/>
      <c r="E86" s="844">
        <v>16632</v>
      </c>
      <c r="F86" s="844">
        <v>760762</v>
      </c>
      <c r="G86" s="844">
        <f t="shared" ref="G86" si="45">F86*1000/E86</f>
        <v>45740.860990860994</v>
      </c>
      <c r="H86" s="1321">
        <v>1</v>
      </c>
      <c r="J86" s="175"/>
      <c r="K86" s="175"/>
      <c r="L86" s="52"/>
      <c r="M86" s="459"/>
      <c r="N86" s="52"/>
      <c r="O86" s="52"/>
      <c r="P86" s="52"/>
      <c r="Q86" s="52"/>
      <c r="R86" s="52"/>
      <c r="S86" s="52"/>
      <c r="T86" s="1093"/>
      <c r="U86" s="1093"/>
      <c r="V86" s="1093"/>
    </row>
    <row r="87" spans="1:38" hidden="1" outlineLevel="1">
      <c r="A87" s="175"/>
      <c r="B87" s="1320" t="s">
        <v>64</v>
      </c>
      <c r="C87" s="106"/>
      <c r="D87" s="106"/>
      <c r="E87" s="1327">
        <v>2000</v>
      </c>
      <c r="F87" s="1327">
        <f>+(G87*E87)/1000</f>
        <v>68165.975103734439</v>
      </c>
      <c r="G87" s="1327">
        <v>34082.98755186722</v>
      </c>
      <c r="H87" s="1321">
        <v>1</v>
      </c>
      <c r="J87" s="175"/>
      <c r="K87" s="175"/>
      <c r="M87" s="459"/>
      <c r="T87" s="175"/>
      <c r="U87" s="175"/>
    </row>
    <row r="88" spans="1:38" hidden="1" outlineLevel="1">
      <c r="A88" s="175"/>
      <c r="B88" s="1322"/>
      <c r="C88" s="1323"/>
      <c r="D88" s="1323"/>
      <c r="E88" s="1324">
        <f>SUM(E84:E87)</f>
        <v>52635</v>
      </c>
      <c r="F88" s="1325">
        <f>SUM(F84:F87)</f>
        <v>2920279.9751037345</v>
      </c>
      <c r="G88" s="1324">
        <f>F88*10^3/E88</f>
        <v>55481.713215611941</v>
      </c>
      <c r="H88" s="1326"/>
      <c r="J88" s="175"/>
      <c r="K88" s="175"/>
      <c r="M88" s="175"/>
      <c r="T88" s="175"/>
      <c r="U88" s="175"/>
    </row>
    <row r="89" spans="1:38" collapsed="1">
      <c r="A89" s="175"/>
      <c r="B89" s="260"/>
      <c r="F89" s="175"/>
      <c r="G89" s="845"/>
      <c r="H89" s="175"/>
      <c r="I89" s="175"/>
      <c r="J89" s="175"/>
      <c r="K89" s="175"/>
      <c r="L89" s="175"/>
      <c r="M89" s="175"/>
    </row>
    <row r="90" spans="1:38">
      <c r="A90" s="175"/>
      <c r="F90" s="175"/>
      <c r="G90" s="459"/>
      <c r="H90" s="175"/>
      <c r="I90" s="175"/>
      <c r="J90" s="175"/>
      <c r="K90" s="175"/>
      <c r="L90" s="175"/>
      <c r="M90" s="175"/>
      <c r="T90" s="175"/>
      <c r="U90" s="175"/>
      <c r="V90" s="175"/>
      <c r="W90" s="445"/>
      <c r="X90" s="445"/>
      <c r="Y90" s="445"/>
      <c r="Z90" s="445"/>
      <c r="AA90" s="445"/>
      <c r="AB90" s="445"/>
      <c r="AC90" s="445"/>
      <c r="AD90" s="445"/>
      <c r="AE90" s="445"/>
      <c r="AF90" s="445"/>
      <c r="AG90" s="445"/>
      <c r="AH90" s="445"/>
      <c r="AI90" s="445"/>
      <c r="AJ90" s="445"/>
      <c r="AK90" s="445"/>
      <c r="AL90" s="445"/>
    </row>
    <row r="91" spans="1:38">
      <c r="A91" s="175"/>
      <c r="B91" s="847" t="s">
        <v>44</v>
      </c>
      <c r="C91" s="848" t="s">
        <v>658</v>
      </c>
      <c r="D91" s="847">
        <v>2009</v>
      </c>
      <c r="E91" s="847">
        <v>2011</v>
      </c>
      <c r="F91" s="847">
        <v>2014</v>
      </c>
      <c r="G91" s="847">
        <v>2015</v>
      </c>
      <c r="H91" s="847">
        <v>2016</v>
      </c>
      <c r="I91" s="847">
        <v>2017</v>
      </c>
      <c r="J91" s="847">
        <v>2018</v>
      </c>
      <c r="K91" s="175"/>
      <c r="L91" s="175"/>
      <c r="M91" s="175"/>
      <c r="T91" s="175"/>
      <c r="U91" s="175"/>
      <c r="V91" s="175"/>
      <c r="W91" s="445"/>
      <c r="X91" s="445"/>
      <c r="Y91" s="445"/>
      <c r="Z91" s="445"/>
      <c r="AA91" s="445"/>
      <c r="AB91" s="445"/>
      <c r="AC91" s="445"/>
      <c r="AD91" s="445"/>
      <c r="AE91" s="445"/>
      <c r="AF91" s="445"/>
      <c r="AG91" s="445"/>
      <c r="AH91" s="445"/>
      <c r="AI91" s="445"/>
      <c r="AJ91" s="445"/>
      <c r="AK91" s="445"/>
      <c r="AL91" s="445"/>
    </row>
    <row r="92" spans="1:38">
      <c r="A92" s="175"/>
      <c r="B92" s="52" t="s">
        <v>659</v>
      </c>
      <c r="C92" s="846">
        <v>900</v>
      </c>
      <c r="D92" s="846">
        <v>1743</v>
      </c>
      <c r="E92" s="846">
        <v>1864</v>
      </c>
      <c r="F92" s="846">
        <v>3083</v>
      </c>
      <c r="G92" s="1143">
        <f>G93+G94</f>
        <v>2937</v>
      </c>
      <c r="H92" s="1142"/>
      <c r="I92" s="175"/>
      <c r="J92" s="175"/>
      <c r="K92" s="175"/>
      <c r="L92" s="175"/>
      <c r="M92" s="175"/>
      <c r="T92" s="175"/>
      <c r="U92" s="175"/>
      <c r="V92" s="175"/>
      <c r="W92" s="445"/>
      <c r="X92" s="445"/>
      <c r="Y92" s="445"/>
      <c r="Z92" s="445"/>
      <c r="AA92" s="445"/>
      <c r="AB92" s="445"/>
      <c r="AC92" s="445"/>
      <c r="AD92" s="445"/>
      <c r="AE92" s="445"/>
      <c r="AF92" s="445"/>
      <c r="AG92" s="445"/>
      <c r="AH92" s="445"/>
      <c r="AI92" s="445"/>
      <c r="AJ92" s="445"/>
      <c r="AK92" s="445"/>
      <c r="AL92" s="445"/>
    </row>
    <row r="93" spans="1:38">
      <c r="A93" s="175"/>
      <c r="B93" s="52" t="s">
        <v>1093</v>
      </c>
      <c r="C93" s="846"/>
      <c r="D93" s="846"/>
      <c r="E93" s="846"/>
      <c r="F93" s="846"/>
      <c r="G93" s="846">
        <v>2262</v>
      </c>
      <c r="H93" s="175"/>
      <c r="I93" s="175"/>
      <c r="J93" s="175"/>
      <c r="T93" s="175"/>
      <c r="U93" s="175"/>
      <c r="V93" s="175"/>
      <c r="W93" s="445"/>
      <c r="X93" s="445"/>
      <c r="Y93" s="445"/>
      <c r="Z93" s="445"/>
      <c r="AA93" s="445"/>
      <c r="AB93" s="445"/>
      <c r="AC93" s="445"/>
      <c r="AD93" s="445"/>
      <c r="AE93" s="445"/>
      <c r="AF93" s="445"/>
      <c r="AG93" s="445"/>
      <c r="AH93" s="445"/>
      <c r="AI93" s="445"/>
      <c r="AJ93" s="445"/>
      <c r="AK93" s="445"/>
      <c r="AL93" s="445"/>
    </row>
    <row r="94" spans="1:38">
      <c r="A94" s="183"/>
      <c r="B94" s="52" t="s">
        <v>1094</v>
      </c>
      <c r="C94" s="846"/>
      <c r="D94" s="846"/>
      <c r="E94" s="846"/>
      <c r="F94" s="846"/>
      <c r="G94" s="846">
        <f>675</f>
        <v>675</v>
      </c>
      <c r="H94" s="175"/>
      <c r="I94" s="1142">
        <f>G94</f>
        <v>675</v>
      </c>
      <c r="J94" s="175"/>
      <c r="T94" s="175"/>
      <c r="U94" s="175"/>
    </row>
    <row r="95" spans="1:38" ht="12.75" customHeight="1">
      <c r="A95" s="183"/>
      <c r="B95" s="494" t="s">
        <v>765</v>
      </c>
      <c r="C95" s="1312"/>
      <c r="D95" s="1312"/>
      <c r="E95" s="1312"/>
      <c r="F95" s="1312"/>
      <c r="G95" s="1312">
        <f>G92-G93-G94</f>
        <v>0</v>
      </c>
      <c r="H95" s="175"/>
      <c r="I95" s="175"/>
      <c r="J95" s="175"/>
      <c r="T95" s="175"/>
      <c r="U95" s="175"/>
    </row>
    <row r="96" spans="1:38" hidden="1" outlineLevel="1">
      <c r="A96" s="139"/>
      <c r="B96" s="139"/>
      <c r="C96" s="139"/>
      <c r="D96" s="139"/>
      <c r="E96" s="139"/>
      <c r="F96" s="139"/>
      <c r="G96" s="139"/>
      <c r="H96" s="139"/>
      <c r="I96" s="139"/>
      <c r="J96" s="139"/>
      <c r="K96" s="139"/>
      <c r="L96" s="139"/>
      <c r="M96" s="139"/>
      <c r="N96" s="139"/>
      <c r="O96" s="139"/>
      <c r="P96" s="139"/>
      <c r="Q96" s="139"/>
      <c r="T96" s="175"/>
      <c r="U96" s="175"/>
    </row>
    <row r="97" spans="1:21" hidden="1" outlineLevel="1">
      <c r="T97" s="175"/>
      <c r="U97" s="175"/>
    </row>
    <row r="98" spans="1:21" hidden="1" outlineLevel="1"/>
    <row r="99" spans="1:21" hidden="1" outlineLevel="1"/>
    <row r="100" spans="1:21" hidden="1" outlineLevel="1"/>
    <row r="101" spans="1:21" hidden="1" outlineLevel="1"/>
    <row r="102" spans="1:21" hidden="1" outlineLevel="1"/>
    <row r="103" spans="1:21" hidden="1" outlineLevel="1"/>
    <row r="104" spans="1:21" hidden="1" outlineLevel="1"/>
    <row r="105" spans="1:21" hidden="1" outlineLevel="1"/>
    <row r="106" spans="1:21" hidden="1" outlineLevel="1"/>
    <row r="107" spans="1:21" hidden="1" outlineLevel="1"/>
    <row r="108" spans="1:21" hidden="1" outlineLevel="1"/>
    <row r="109" spans="1:21" collapsed="1"/>
    <row r="110" spans="1:21">
      <c r="A110" s="127" t="s">
        <v>1199</v>
      </c>
      <c r="B110" s="127"/>
      <c r="C110" s="127"/>
      <c r="D110" s="127"/>
      <c r="E110" s="127"/>
      <c r="F110" s="127"/>
      <c r="G110" s="127"/>
      <c r="H110" s="127"/>
      <c r="I110" s="127"/>
      <c r="J110" s="127"/>
      <c r="K110" s="127"/>
      <c r="L110" s="127"/>
      <c r="M110" s="127"/>
      <c r="N110" s="127"/>
      <c r="O110" s="127"/>
      <c r="P110" s="127"/>
      <c r="Q110" s="127"/>
      <c r="R110" s="127"/>
    </row>
    <row r="111" spans="1:21">
      <c r="A111" s="175"/>
      <c r="B111" s="175"/>
      <c r="C111" s="175"/>
      <c r="D111" s="175"/>
    </row>
    <row r="112" spans="1:21">
      <c r="A112" s="175"/>
      <c r="B112" s="453"/>
      <c r="C112" s="453"/>
      <c r="D112" s="453"/>
      <c r="E112" s="175">
        <v>0</v>
      </c>
      <c r="F112" s="175">
        <v>0.5</v>
      </c>
      <c r="G112" s="175">
        <f t="shared" ref="G112" si="46">+F112+1</f>
        <v>1.5</v>
      </c>
      <c r="H112" s="175">
        <f t="shared" ref="H112" si="47">+G112+1</f>
        <v>2.5</v>
      </c>
    </row>
    <row r="113" spans="1:17">
      <c r="A113" s="175"/>
      <c r="B113" s="787"/>
      <c r="C113" s="1093">
        <v>2016</v>
      </c>
      <c r="D113" s="1090">
        <f t="shared" ref="D113" si="48">+C113+1</f>
        <v>2017</v>
      </c>
      <c r="E113" s="1090">
        <f t="shared" ref="E113" si="49">+D113+1</f>
        <v>2018</v>
      </c>
      <c r="F113" s="1090">
        <f t="shared" ref="F113" si="50">+E113+1</f>
        <v>2019</v>
      </c>
      <c r="G113" s="1090">
        <f t="shared" ref="G113" si="51">+F113+1</f>
        <v>2020</v>
      </c>
      <c r="H113" s="1090">
        <f t="shared" ref="H113" si="52">+G113+1</f>
        <v>2021</v>
      </c>
    </row>
    <row r="114" spans="1:17">
      <c r="A114" s="175" t="s">
        <v>123</v>
      </c>
      <c r="B114" s="1402"/>
      <c r="C114" s="1409">
        <v>300</v>
      </c>
      <c r="D114" s="1402">
        <f>+C114</f>
        <v>300</v>
      </c>
      <c r="E114" s="1402">
        <f t="shared" ref="E114:H114" si="53">+D114</f>
        <v>300</v>
      </c>
      <c r="F114" s="1402">
        <f t="shared" si="53"/>
        <v>300</v>
      </c>
      <c r="G114" s="1402">
        <f t="shared" si="53"/>
        <v>300</v>
      </c>
      <c r="H114" s="1402">
        <f t="shared" si="53"/>
        <v>300</v>
      </c>
    </row>
    <row r="115" spans="1:17">
      <c r="A115" s="175" t="s">
        <v>125</v>
      </c>
      <c r="B115" s="175"/>
      <c r="C115" s="1402">
        <f t="shared" ref="C115:H115" si="54">+C63</f>
        <v>0</v>
      </c>
      <c r="D115" s="1402">
        <f t="shared" si="54"/>
        <v>0</v>
      </c>
      <c r="E115" s="1402">
        <f t="shared" si="54"/>
        <v>183.49999999999997</v>
      </c>
      <c r="F115" s="1402">
        <f t="shared" si="54"/>
        <v>181.66666666666666</v>
      </c>
      <c r="G115" s="1402">
        <f t="shared" si="54"/>
        <v>187.24</v>
      </c>
      <c r="H115" s="1402">
        <f t="shared" si="54"/>
        <v>193.05856</v>
      </c>
    </row>
    <row r="116" spans="1:17">
      <c r="A116" s="175" t="s">
        <v>49</v>
      </c>
      <c r="B116" s="445"/>
      <c r="C116" s="445">
        <f t="shared" ref="C116:H116" si="55">+(C114*C115)</f>
        <v>0</v>
      </c>
      <c r="D116" s="445">
        <f t="shared" si="55"/>
        <v>0</v>
      </c>
      <c r="E116" s="445">
        <f t="shared" si="55"/>
        <v>55049.999999999993</v>
      </c>
      <c r="F116" s="445">
        <f t="shared" si="55"/>
        <v>54500</v>
      </c>
      <c r="G116" s="445">
        <f t="shared" si="55"/>
        <v>56172</v>
      </c>
      <c r="H116" s="445">
        <f t="shared" si="55"/>
        <v>57917.567999999999</v>
      </c>
    </row>
    <row r="117" spans="1:17">
      <c r="A117" s="175" t="s">
        <v>47</v>
      </c>
      <c r="B117" s="691">
        <v>0.15</v>
      </c>
      <c r="C117" s="445">
        <f>+(C116*$B$65)</f>
        <v>0</v>
      </c>
      <c r="D117" s="445">
        <f t="shared" ref="D117:H117" si="56">+(D116*$B$65)</f>
        <v>0</v>
      </c>
      <c r="E117" s="445">
        <f t="shared" si="56"/>
        <v>27524.999999999996</v>
      </c>
      <c r="F117" s="445">
        <f t="shared" si="56"/>
        <v>27250</v>
      </c>
      <c r="G117" s="445">
        <f t="shared" si="56"/>
        <v>28086</v>
      </c>
      <c r="H117" s="445">
        <f t="shared" si="56"/>
        <v>28958.784</v>
      </c>
    </row>
    <row r="118" spans="1:17">
      <c r="A118" s="183" t="s">
        <v>80</v>
      </c>
      <c r="B118" s="1114"/>
      <c r="C118" s="1114">
        <f t="shared" ref="C118:H118" si="57">+C116-C117</f>
        <v>0</v>
      </c>
      <c r="D118" s="1114">
        <f t="shared" si="57"/>
        <v>0</v>
      </c>
      <c r="E118" s="1114">
        <f t="shared" si="57"/>
        <v>27524.999999999996</v>
      </c>
      <c r="F118" s="1114">
        <f t="shared" si="57"/>
        <v>27250</v>
      </c>
      <c r="G118" s="1114">
        <f t="shared" si="57"/>
        <v>28086</v>
      </c>
      <c r="H118" s="1114">
        <f t="shared" si="57"/>
        <v>28958.784</v>
      </c>
    </row>
    <row r="119" spans="1:17">
      <c r="A119" s="175" t="s">
        <v>393</v>
      </c>
      <c r="B119" s="445"/>
      <c r="C119" s="445">
        <f>+C118/(1+$F$123)^C111</f>
        <v>0</v>
      </c>
      <c r="D119" s="445">
        <f t="shared" ref="D119" si="58">+D118/(1+$F$123)^D111</f>
        <v>0</v>
      </c>
      <c r="E119" s="445">
        <f>+E118/(1+$F$123)^E112</f>
        <v>27524.999999999996</v>
      </c>
      <c r="F119" s="445">
        <f>+F118/(1+$F$123)^F112</f>
        <v>25796.114041750399</v>
      </c>
      <c r="G119" s="445">
        <f>+G118/(1+$F$123)^G112</f>
        <v>23826.115150884125</v>
      </c>
      <c r="H119" s="445">
        <f>+H118/(1+$F$123)^H112</f>
        <v>22015.027368293802</v>
      </c>
    </row>
    <row r="120" spans="1:17">
      <c r="A120" s="175"/>
      <c r="B120" s="175"/>
      <c r="C120" s="175"/>
      <c r="D120" s="175"/>
      <c r="E120" s="175"/>
      <c r="F120" s="175"/>
      <c r="G120" s="175"/>
      <c r="H120" s="445">
        <f>+H118*(1+$F$122)/($F$123-$F$122)</f>
        <v>420499.01214676129</v>
      </c>
    </row>
    <row r="121" spans="1:17">
      <c r="A121" s="175"/>
      <c r="B121" s="175"/>
      <c r="C121" s="175"/>
      <c r="D121" s="175"/>
      <c r="E121" s="1401"/>
      <c r="F121" s="1401"/>
      <c r="G121" s="175"/>
      <c r="H121" s="175"/>
    </row>
    <row r="122" spans="1:17">
      <c r="A122" s="175" t="s">
        <v>131</v>
      </c>
      <c r="B122" s="445">
        <f>SUM(C119:H119)</f>
        <v>99162.256560928319</v>
      </c>
      <c r="C122" s="175"/>
      <c r="D122" s="175"/>
      <c r="E122" s="175" t="s">
        <v>132</v>
      </c>
      <c r="F122" s="1145">
        <f>L70</f>
        <v>4.3999999999999997E-2</v>
      </c>
      <c r="G122" s="175"/>
      <c r="H122" s="175"/>
    </row>
    <row r="123" spans="1:17">
      <c r="A123" s="463" t="s">
        <v>134</v>
      </c>
      <c r="B123" s="445">
        <f>+H120/(1+F124)^H$60</f>
        <v>319049.33871387132</v>
      </c>
      <c r="C123" s="179"/>
      <c r="D123" s="175"/>
      <c r="E123" s="175" t="s">
        <v>130</v>
      </c>
      <c r="F123" s="849">
        <f>+L71</f>
        <v>0.11589783952559722</v>
      </c>
      <c r="G123" s="175"/>
      <c r="H123" s="175"/>
    </row>
    <row r="124" spans="1:17">
      <c r="A124" s="175" t="s">
        <v>1200</v>
      </c>
      <c r="B124" s="464">
        <f>SUM(B122:B123)</f>
        <v>418211.59527479962</v>
      </c>
      <c r="C124" s="179"/>
      <c r="D124" s="175"/>
      <c r="E124" s="175" t="s">
        <v>1128</v>
      </c>
      <c r="F124" s="849">
        <f>DCF!$P$39</f>
        <v>0.11676772046621463</v>
      </c>
      <c r="G124" s="175"/>
      <c r="H124" s="175"/>
    </row>
    <row r="125" spans="1:17">
      <c r="A125" s="1144" t="s">
        <v>1137</v>
      </c>
      <c r="B125" s="395">
        <f>F114</f>
        <v>300</v>
      </c>
    </row>
    <row r="126" spans="1:17" s="1401" customFormat="1">
      <c r="A126" s="175" t="s">
        <v>1129</v>
      </c>
      <c r="B126" s="445">
        <f>B124/B125</f>
        <v>1394.0386509159987</v>
      </c>
    </row>
    <row r="128" spans="1:17">
      <c r="A128" s="660" t="s">
        <v>201</v>
      </c>
      <c r="B128" s="660"/>
      <c r="C128" s="660"/>
      <c r="D128" s="660"/>
      <c r="E128" s="660"/>
      <c r="F128" s="661"/>
      <c r="G128" s="661"/>
      <c r="H128" s="661"/>
      <c r="I128" s="658"/>
      <c r="J128" s="658"/>
      <c r="K128" s="658"/>
      <c r="L128" s="658"/>
      <c r="M128" s="658"/>
      <c r="N128" s="658"/>
      <c r="O128" s="658"/>
      <c r="P128" s="658"/>
      <c r="Q128" s="662" t="s">
        <v>362</v>
      </c>
    </row>
    <row r="164" spans="1:1">
      <c r="A164" s="14"/>
    </row>
  </sheetData>
  <phoneticPr fontId="11" type="noConversion"/>
  <pageMargins left="0.7" right="0.7" top="0.75" bottom="0.75" header="0.3" footer="0.3"/>
  <pageSetup paperSize="9" scale="61" orientation="portrait" r:id="rId1"/>
  <headerFooter alignWithMargins="0"/>
  <colBreaks count="1" manualBreakCount="1">
    <brk id="9" max="1048575" man="1"/>
  </col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0000"/>
    <pageSetUpPr fitToPage="1"/>
  </sheetPr>
  <dimension ref="A1:S99"/>
  <sheetViews>
    <sheetView showGridLines="0" zoomScaleNormal="100" workbookViewId="0">
      <pane xSplit="2" ySplit="11" topLeftCell="C12" activePane="bottomRight" state="frozen"/>
      <selection activeCell="AP23" sqref="AP23"/>
      <selection pane="topRight" activeCell="AP23" sqref="AP23"/>
      <selection pane="bottomLeft" activeCell="AP23" sqref="AP23"/>
      <selection pane="bottomRight"/>
    </sheetView>
  </sheetViews>
  <sheetFormatPr defaultRowHeight="12.75" outlineLevelRow="1" outlineLevelCol="1"/>
  <cols>
    <col min="1" max="1" width="14.5703125" customWidth="1"/>
    <col min="3" max="3" width="10.28515625" hidden="1" customWidth="1" outlineLevel="1"/>
    <col min="4" max="4" width="10.85546875" hidden="1" customWidth="1" outlineLevel="1"/>
    <col min="5" max="5" width="10.140625" hidden="1" customWidth="1" outlineLevel="1" collapsed="1"/>
    <col min="6" max="6" width="9.140625" collapsed="1"/>
    <col min="23" max="23" width="10.140625" bestFit="1" customWidth="1"/>
  </cols>
  <sheetData>
    <row r="1" spans="1:18" s="18" customFormat="1" ht="18">
      <c r="A1" s="112" t="str">
        <f>Index!F12</f>
        <v>São Martinho</v>
      </c>
      <c r="B1" s="650"/>
      <c r="C1" s="651"/>
      <c r="D1" s="651"/>
      <c r="E1" s="651"/>
      <c r="F1" s="651"/>
      <c r="G1" s="651"/>
      <c r="H1" s="651"/>
      <c r="I1" s="651"/>
      <c r="J1" s="651"/>
      <c r="K1" s="651"/>
      <c r="L1" s="651"/>
      <c r="M1" s="651"/>
      <c r="N1" s="651"/>
      <c r="O1" s="651"/>
      <c r="P1" s="651"/>
    </row>
    <row r="2" spans="1:18">
      <c r="A2" s="156" t="s">
        <v>477</v>
      </c>
      <c r="B2" s="237"/>
      <c r="C2" s="237"/>
      <c r="D2" s="237"/>
      <c r="E2" s="237"/>
      <c r="F2" s="237"/>
      <c r="G2" s="237"/>
      <c r="H2" s="237"/>
      <c r="I2" s="237"/>
      <c r="J2" s="237"/>
      <c r="K2" s="237"/>
      <c r="L2" s="237"/>
      <c r="M2" s="237"/>
      <c r="N2" s="237"/>
      <c r="O2" s="237"/>
      <c r="P2" s="155" t="s">
        <v>27</v>
      </c>
    </row>
    <row r="3" spans="1:18" s="981" customFormat="1"/>
    <row r="4" spans="1:18">
      <c r="A4" s="981"/>
      <c r="B4" s="981"/>
      <c r="G4" s="238"/>
      <c r="H4" s="2266" t="s">
        <v>265</v>
      </c>
      <c r="I4" s="1253"/>
      <c r="J4" s="238"/>
      <c r="K4" s="2266" t="s">
        <v>266</v>
      </c>
      <c r="L4" s="1253"/>
      <c r="M4" s="238"/>
      <c r="N4" s="2266" t="s">
        <v>775</v>
      </c>
      <c r="O4" s="1253"/>
      <c r="P4" s="981"/>
    </row>
    <row r="5" spans="1:18">
      <c r="G5" s="2409">
        <f>SOP!C4</f>
        <v>2017</v>
      </c>
      <c r="H5" s="241">
        <f>SOP!D4</f>
        <v>2018</v>
      </c>
      <c r="I5" s="1254">
        <f>SOP!E4</f>
        <v>2019</v>
      </c>
      <c r="J5" s="2409">
        <f>SOP!G4</f>
        <v>2017</v>
      </c>
      <c r="K5" s="241">
        <f>SOP!H4</f>
        <v>2018</v>
      </c>
      <c r="L5" s="1254">
        <f>SOP!I4</f>
        <v>2019</v>
      </c>
      <c r="M5" s="2409">
        <f>SOP!K4</f>
        <v>2017</v>
      </c>
      <c r="N5" s="241">
        <f>SOP!L4</f>
        <v>2018</v>
      </c>
      <c r="O5" s="1254">
        <f>SOP!M4</f>
        <v>2019</v>
      </c>
      <c r="P5" s="981"/>
    </row>
    <row r="6" spans="1:18">
      <c r="A6" s="238" t="s">
        <v>144</v>
      </c>
      <c r="B6" s="243">
        <f>Index!K51</f>
        <v>18.399999999999999</v>
      </c>
      <c r="G6" s="244">
        <f>SOP!C5</f>
        <v>5.7418728755619046</v>
      </c>
      <c r="H6" s="1255">
        <f>SOP!D5</f>
        <v>4.9717489061199229</v>
      </c>
      <c r="I6" s="1255">
        <f>SOP!E5</f>
        <v>4.8765752028052507</v>
      </c>
      <c r="J6" s="246">
        <f>SOP!G5</f>
        <v>20.255817752071238</v>
      </c>
      <c r="K6" s="1255">
        <f>SOP!H5</f>
        <v>12.423154116782873</v>
      </c>
      <c r="L6" s="1255">
        <f>SOP!I5</f>
        <v>11.671776941400704</v>
      </c>
      <c r="M6" s="1332">
        <f>SOP!K5</f>
        <v>77.174309905121248</v>
      </c>
      <c r="N6" s="1332">
        <f>SOP!L5</f>
        <v>90.663011628015198</v>
      </c>
      <c r="O6" s="1332">
        <f>SOP!M5</f>
        <v>84.355452525931383</v>
      </c>
    </row>
    <row r="7" spans="1:18">
      <c r="A7" s="249" t="s">
        <v>75</v>
      </c>
      <c r="B7" s="250">
        <f>I34</f>
        <v>16.5</v>
      </c>
      <c r="G7" s="1149">
        <f>SOP!C6</f>
        <v>5.7418728755619046</v>
      </c>
      <c r="H7" s="1256">
        <f>SOP!D6</f>
        <v>4.570412325439297</v>
      </c>
      <c r="I7" s="1256">
        <f>SOP!E6</f>
        <v>4.468220173283072</v>
      </c>
      <c r="J7" s="1148">
        <f>SOP!G6</f>
        <v>20.255817752071238</v>
      </c>
      <c r="K7" s="1256">
        <f>SOP!H6</f>
        <v>11.072814888702633</v>
      </c>
      <c r="L7" s="1256">
        <f>SOP!I6</f>
        <v>10.403108927044844</v>
      </c>
      <c r="M7" s="1333">
        <f>SOP!K6</f>
        <v>74.647153164925129</v>
      </c>
      <c r="N7" s="1333">
        <f>SOP!L6</f>
        <v>81.174303348257709</v>
      </c>
      <c r="O7" s="1333">
        <f>SOP!M6</f>
        <v>75.176998311376636</v>
      </c>
    </row>
    <row r="8" spans="1:18">
      <c r="A8" s="1258"/>
      <c r="B8" s="1258"/>
      <c r="C8" s="1258"/>
      <c r="D8" s="1258"/>
      <c r="E8" s="1258"/>
      <c r="F8" s="1258"/>
      <c r="G8" s="1258"/>
      <c r="H8" s="1258"/>
      <c r="I8" s="1258"/>
      <c r="J8" s="1258"/>
      <c r="K8" s="1258"/>
      <c r="L8" s="1258"/>
      <c r="M8" s="1258"/>
      <c r="N8" s="1258"/>
      <c r="O8" s="1258"/>
      <c r="P8" s="1258"/>
      <c r="Q8" s="1258"/>
    </row>
    <row r="9" spans="1:18">
      <c r="A9" s="731"/>
      <c r="B9" s="1293"/>
      <c r="C9" s="1398"/>
      <c r="D9" s="731"/>
      <c r="E9" s="1258"/>
      <c r="F9" s="1258"/>
      <c r="G9" s="1258"/>
      <c r="H9" s="1258"/>
      <c r="I9" s="1258"/>
      <c r="J9" s="1258"/>
      <c r="K9" s="1258"/>
      <c r="L9" s="1258"/>
      <c r="M9" s="1258"/>
      <c r="N9" s="1258"/>
      <c r="O9" s="1258"/>
      <c r="P9" s="1258"/>
      <c r="Q9" s="1258"/>
    </row>
    <row r="10" spans="1:18">
      <c r="A10" s="1181"/>
      <c r="B10" s="1181"/>
      <c r="C10" s="1181"/>
      <c r="D10" s="1181"/>
      <c r="E10" s="1181"/>
      <c r="F10" s="1181"/>
      <c r="G10" s="1181"/>
      <c r="H10" s="1181"/>
      <c r="I10" s="1181"/>
      <c r="J10" s="1181"/>
      <c r="K10" s="1181"/>
      <c r="L10" s="1181"/>
      <c r="M10" s="1181"/>
      <c r="N10" s="1181"/>
      <c r="O10" s="1181"/>
      <c r="P10" s="1258"/>
      <c r="Q10" s="1258"/>
    </row>
    <row r="11" spans="1:18">
      <c r="A11" s="2193" t="str">
        <f>CONCATENATE(Inputs!A7," Case DCF Valuation")</f>
        <v>Base Case DCF Valuation</v>
      </c>
      <c r="B11" s="847"/>
      <c r="C11" s="2194">
        <v>2013</v>
      </c>
      <c r="D11" s="2194">
        <v>2014</v>
      </c>
      <c r="E11" s="2194">
        <v>2015</v>
      </c>
      <c r="F11" s="2194">
        <v>2016</v>
      </c>
      <c r="G11" s="2194">
        <v>2017</v>
      </c>
      <c r="H11" s="2195">
        <v>2018</v>
      </c>
      <c r="I11" s="2195">
        <v>2019</v>
      </c>
      <c r="J11" s="2195">
        <v>2020</v>
      </c>
      <c r="K11" s="2195">
        <v>2021</v>
      </c>
      <c r="L11" s="2195">
        <v>2022</v>
      </c>
      <c r="M11" s="2195">
        <v>2023</v>
      </c>
      <c r="N11" s="2195">
        <v>2024</v>
      </c>
      <c r="O11" s="2195">
        <v>2025</v>
      </c>
      <c r="P11" s="2196" t="s">
        <v>134</v>
      </c>
      <c r="Q11" s="1258"/>
    </row>
    <row r="12" spans="1:18" hidden="1" outlineLevel="1">
      <c r="A12" s="52" t="s">
        <v>31</v>
      </c>
      <c r="B12" s="59"/>
      <c r="C12" s="253"/>
      <c r="D12" s="253"/>
      <c r="E12" s="253"/>
      <c r="F12" s="253"/>
      <c r="G12" s="253"/>
      <c r="H12" s="253"/>
      <c r="I12" s="253"/>
      <c r="J12" s="253"/>
      <c r="K12" s="253"/>
      <c r="L12" s="253"/>
      <c r="M12" s="253"/>
      <c r="N12" s="253"/>
      <c r="O12" s="253">
        <f>Financials!W36</f>
        <v>5221.0482727477665</v>
      </c>
      <c r="P12" s="253"/>
      <c r="Q12" s="1258"/>
    </row>
    <row r="13" spans="1:18" hidden="1" outlineLevel="1">
      <c r="A13" s="52" t="s">
        <v>32</v>
      </c>
      <c r="B13" s="52"/>
      <c r="C13" s="253"/>
      <c r="D13" s="253"/>
      <c r="E13" s="253"/>
      <c r="F13" s="253"/>
      <c r="G13" s="253"/>
      <c r="H13" s="253"/>
      <c r="I13" s="253"/>
      <c r="J13" s="253"/>
      <c r="K13" s="253"/>
      <c r="L13" s="253"/>
      <c r="M13" s="253"/>
      <c r="N13" s="253"/>
      <c r="O13" s="254">
        <f>Financials!W60</f>
        <v>0.50825001462460317</v>
      </c>
      <c r="P13" s="253"/>
      <c r="Q13" s="1258"/>
    </row>
    <row r="14" spans="1:18" hidden="1" outlineLevel="1">
      <c r="A14" s="52" t="s">
        <v>219</v>
      </c>
      <c r="B14" s="59"/>
      <c r="C14" s="253"/>
      <c r="D14" s="253"/>
      <c r="E14" s="253"/>
      <c r="F14" s="253"/>
      <c r="G14" s="253"/>
      <c r="H14" s="253"/>
      <c r="I14" s="253"/>
      <c r="J14" s="253"/>
      <c r="K14" s="253"/>
      <c r="L14" s="253"/>
      <c r="M14" s="253"/>
      <c r="N14" s="253"/>
      <c r="O14" s="253">
        <f t="shared" ref="O14" si="0">O12*O13</f>
        <v>2653.5978609798117</v>
      </c>
      <c r="P14" s="253"/>
      <c r="Q14" s="1258"/>
    </row>
    <row r="15" spans="1:18" hidden="1" outlineLevel="1">
      <c r="A15" s="52" t="s">
        <v>398</v>
      </c>
      <c r="B15" s="59"/>
      <c r="C15" s="253"/>
      <c r="D15" s="253"/>
      <c r="E15" s="253"/>
      <c r="F15" s="253"/>
      <c r="G15" s="253"/>
      <c r="H15" s="253"/>
      <c r="I15" s="253"/>
      <c r="J15" s="253"/>
      <c r="K15" s="253"/>
      <c r="L15" s="253"/>
      <c r="M15" s="253"/>
      <c r="N15" s="253"/>
      <c r="O15" s="253">
        <f t="shared" ref="O15" si="1">-O19</f>
        <v>-1337.8620990618506</v>
      </c>
      <c r="P15" s="52"/>
      <c r="Q15" s="1258"/>
      <c r="R15" s="325" t="s">
        <v>765</v>
      </c>
    </row>
    <row r="16" spans="1:18" collapsed="1">
      <c r="A16" s="731" t="s">
        <v>220</v>
      </c>
      <c r="B16" s="1169"/>
      <c r="C16" s="1257">
        <f>Financials!K68</f>
        <v>198.80999999999977</v>
      </c>
      <c r="D16" s="1257">
        <f>Financials!L68</f>
        <v>302.91800000000001</v>
      </c>
      <c r="E16" s="1257">
        <f>Financials!M68</f>
        <v>532.68599999999969</v>
      </c>
      <c r="F16" s="1257">
        <f>Financials!N68</f>
        <v>512.05299999999988</v>
      </c>
      <c r="G16" s="1257">
        <f>Financials!O68</f>
        <v>706.48700000000008</v>
      </c>
      <c r="H16" s="1257">
        <f>Financials!P68</f>
        <v>821.99908906319183</v>
      </c>
      <c r="I16" s="1257">
        <f>Financials!Q68</f>
        <v>811.01167708280195</v>
      </c>
      <c r="J16" s="1257">
        <f>Financials!R68</f>
        <v>906.28938993016277</v>
      </c>
      <c r="K16" s="1257">
        <f>Financials!S68</f>
        <v>1094.004700671343</v>
      </c>
      <c r="L16" s="1257">
        <f>Financials!T68</f>
        <v>1168.7930777968661</v>
      </c>
      <c r="M16" s="1257">
        <f>Financials!U68</f>
        <v>999.77813581046735</v>
      </c>
      <c r="N16" s="1257">
        <f>Financials!V68</f>
        <v>894.59311279477424</v>
      </c>
      <c r="O16" s="1257">
        <f t="shared" ref="O16" si="2">O14+O15</f>
        <v>1315.7357619179611</v>
      </c>
      <c r="P16" s="731"/>
      <c r="Q16" s="1258"/>
      <c r="R16" s="326">
        <f>O16-Financials!W68</f>
        <v>0</v>
      </c>
    </row>
    <row r="17" spans="1:19">
      <c r="A17" s="731" t="s">
        <v>226</v>
      </c>
      <c r="B17" s="1169"/>
      <c r="C17" s="1938">
        <f>IFERROR(VALUE(Financials!K77),B17)</f>
        <v>0.25681801974347795</v>
      </c>
      <c r="D17" s="1641">
        <f>IFERROR(VALUE(Financials!L77),C17)</f>
        <v>0.31023242268330936</v>
      </c>
      <c r="E17" s="1641">
        <f>IFERROR(VALUE(Financials!M77),D17)</f>
        <v>9.1214995804474369E-2</v>
      </c>
      <c r="F17" s="1641">
        <f>IFERROR(VALUE(Financials!N77),E17)</f>
        <v>9.1214995804474369E-2</v>
      </c>
      <c r="G17" s="1641">
        <f>IFERROR(VALUE(Financials!O77),F17)</f>
        <v>0.36286983277712065</v>
      </c>
      <c r="H17" s="1641">
        <f>IFERROR(VALUE(Financials!P77),G17)</f>
        <v>0.17</v>
      </c>
      <c r="I17" s="1641">
        <f>IFERROR(VALUE(Financials!Q77),H17)</f>
        <v>0.13</v>
      </c>
      <c r="J17" s="1641">
        <f>IFERROR(VALUE(Financials!R77),I17)</f>
        <v>0.13</v>
      </c>
      <c r="K17" s="1641">
        <f>IFERROR(VALUE(Financials!S77),J17)</f>
        <v>0.17</v>
      </c>
      <c r="L17" s="1641">
        <f>IFERROR(VALUE(Financials!T77),K17)</f>
        <v>0.19</v>
      </c>
      <c r="M17" s="1641">
        <f>IFERROR(VALUE(Financials!U77),L17)</f>
        <v>0.21</v>
      </c>
      <c r="N17" s="1641">
        <f>IFERROR(VALUE(Financials!V77),M17)</f>
        <v>0.22999999999999998</v>
      </c>
      <c r="O17" s="1641">
        <f>IFERROR(VALUE(Financials!W77),N17)</f>
        <v>0.34</v>
      </c>
      <c r="P17" s="1257"/>
      <c r="Q17" s="1258"/>
    </row>
    <row r="18" spans="1:19">
      <c r="A18" s="1259" t="s">
        <v>260</v>
      </c>
      <c r="B18" s="1260"/>
      <c r="C18" s="1261">
        <f t="shared" ref="C18:K18" si="3">+C16*(1-C17)</f>
        <v>147.75200949479898</v>
      </c>
      <c r="D18" s="1261">
        <f t="shared" si="3"/>
        <v>208.94301498561731</v>
      </c>
      <c r="E18" s="1261">
        <f t="shared" si="3"/>
        <v>484.09704874489751</v>
      </c>
      <c r="F18" s="1261">
        <f t="shared" si="3"/>
        <v>465.3460877533314</v>
      </c>
      <c r="G18" s="1261">
        <f t="shared" si="3"/>
        <v>450.12418045079039</v>
      </c>
      <c r="H18" s="1261">
        <f t="shared" si="3"/>
        <v>682.25924392244917</v>
      </c>
      <c r="I18" s="1261">
        <f t="shared" si="3"/>
        <v>705.58015906203775</v>
      </c>
      <c r="J18" s="1261">
        <f t="shared" si="3"/>
        <v>788.47176923924155</v>
      </c>
      <c r="K18" s="1261">
        <f t="shared" si="3"/>
        <v>908.02390155721469</v>
      </c>
      <c r="L18" s="1261">
        <f t="shared" ref="L18:O18" si="4">+L16*(1-L17)</f>
        <v>946.72239301546165</v>
      </c>
      <c r="M18" s="1261">
        <f t="shared" si="4"/>
        <v>789.82472729026927</v>
      </c>
      <c r="N18" s="1261">
        <f t="shared" si="4"/>
        <v>688.83669685197617</v>
      </c>
      <c r="O18" s="1261">
        <f t="shared" si="4"/>
        <v>868.38560286585425</v>
      </c>
      <c r="P18" s="1261"/>
      <c r="Q18" s="1258"/>
    </row>
    <row r="19" spans="1:19">
      <c r="A19" s="1262" t="s">
        <v>478</v>
      </c>
      <c r="B19" s="1169"/>
      <c r="C19" s="1257">
        <f>Financials!K115</f>
        <v>452.95</v>
      </c>
      <c r="D19" s="1257">
        <f>Financials!L115</f>
        <v>448.28499999999997</v>
      </c>
      <c r="E19" s="1257">
        <f>Financials!M115</f>
        <v>599.029</v>
      </c>
      <c r="F19" s="1257">
        <f>Financials!N115</f>
        <v>723.76099999999997</v>
      </c>
      <c r="G19" s="1257">
        <f>Financials!O115</f>
        <v>737.91100000000006</v>
      </c>
      <c r="H19" s="1257">
        <f>Financials!P115</f>
        <v>937.02296374027128</v>
      </c>
      <c r="I19" s="1257">
        <f>Financials!Q115</f>
        <v>969.13922406645224</v>
      </c>
      <c r="J19" s="1257">
        <f>Financials!R115</f>
        <v>1046.7014821966725</v>
      </c>
      <c r="K19" s="1257">
        <f>Financials!S115</f>
        <v>1204.6245556239382</v>
      </c>
      <c r="L19" s="1257">
        <f>Financials!T115</f>
        <v>1289.2143715107193</v>
      </c>
      <c r="M19" s="1257">
        <f>Financials!U115</f>
        <v>1226.9362955391991</v>
      </c>
      <c r="N19" s="1257">
        <f>Financials!V115</f>
        <v>1195.5195738589618</v>
      </c>
      <c r="O19" s="1257">
        <f>Financials!W115</f>
        <v>1337.8620990618506</v>
      </c>
      <c r="P19" s="1257"/>
      <c r="Q19" s="1258"/>
    </row>
    <row r="20" spans="1:19">
      <c r="A20" s="1262" t="s">
        <v>758</v>
      </c>
      <c r="B20" s="1263"/>
      <c r="C20" s="1257">
        <f>Financials!K116</f>
        <v>-173.23622400000005</v>
      </c>
      <c r="D20" s="1257">
        <f>Financials!L116</f>
        <v>-28.566792000000191</v>
      </c>
      <c r="E20" s="1257">
        <f>Financials!M116</f>
        <v>-225.34625999999969</v>
      </c>
      <c r="F20" s="1257">
        <f>Financials!N116</f>
        <v>10.618652000000225</v>
      </c>
      <c r="G20" s="1257">
        <f>Financials!O116</f>
        <v>-126.29800000000012</v>
      </c>
      <c r="H20" s="1257">
        <f>Financials!P116</f>
        <v>2.8906308906073264</v>
      </c>
      <c r="I20" s="1257">
        <f>Financials!Q116</f>
        <v>23.946512812143283</v>
      </c>
      <c r="J20" s="1257">
        <f>Financials!R116</f>
        <v>40.522229886226796</v>
      </c>
      <c r="K20" s="1257">
        <f>Financials!S116</f>
        <v>76.033563564697488</v>
      </c>
      <c r="L20" s="1257">
        <f>Financials!T116</f>
        <v>118.08696284599205</v>
      </c>
      <c r="M20" s="1257">
        <f>Financials!U116</f>
        <v>126.32866976449145</v>
      </c>
      <c r="N20" s="1257">
        <f>Financials!V116</f>
        <v>-57.55419217074359</v>
      </c>
      <c r="O20" s="1257">
        <f>Financials!W116</f>
        <v>-75.469040342519065</v>
      </c>
      <c r="P20" s="1257"/>
      <c r="Q20" s="1258"/>
    </row>
    <row r="21" spans="1:19">
      <c r="A21" s="1262" t="s">
        <v>479</v>
      </c>
      <c r="B21" s="1263"/>
      <c r="C21" s="1257">
        <f>Financials!K118</f>
        <v>-679.84099999999989</v>
      </c>
      <c r="D21" s="1257">
        <f>Financials!L118</f>
        <v>-658.44399999999996</v>
      </c>
      <c r="E21" s="1257">
        <f>Financials!M118</f>
        <v>-812.029</v>
      </c>
      <c r="F21" s="1257">
        <f>Financials!N118</f>
        <v>-840.81400000000008</v>
      </c>
      <c r="G21" s="1257">
        <f>Financials!O118</f>
        <v>-976.98</v>
      </c>
      <c r="H21" s="1257">
        <f>Financials!P118</f>
        <v>-990.91228347385686</v>
      </c>
      <c r="I21" s="1257">
        <f>Financials!Q118</f>
        <v>-1022.2459586001482</v>
      </c>
      <c r="J21" s="1257">
        <f>Financials!R118</f>
        <v>-1223.805845179005</v>
      </c>
      <c r="K21" s="1257">
        <f>Financials!S118</f>
        <v>-1383.4198210911582</v>
      </c>
      <c r="L21" s="1257">
        <f>Financials!T118</f>
        <v>-1471.7311882750189</v>
      </c>
      <c r="M21" s="1257">
        <f>Financials!U118</f>
        <v>-1417.0078734257606</v>
      </c>
      <c r="N21" s="1257">
        <f>Financials!V118</f>
        <v>-1392.6595437548831</v>
      </c>
      <c r="O21" s="1257">
        <f>Financials!W118</f>
        <v>-1538.1137500929303</v>
      </c>
      <c r="P21" s="1257"/>
      <c r="Q21" s="1258"/>
    </row>
    <row r="22" spans="1:19">
      <c r="A22" s="1262" t="s">
        <v>759</v>
      </c>
      <c r="B22" s="1263"/>
      <c r="C22" s="1264">
        <v>0</v>
      </c>
      <c r="D22" s="1264">
        <v>0</v>
      </c>
      <c r="E22" s="1264">
        <v>0</v>
      </c>
      <c r="F22" s="1264">
        <v>0</v>
      </c>
      <c r="G22" s="1264">
        <v>0</v>
      </c>
      <c r="H22" s="1264">
        <v>0</v>
      </c>
      <c r="I22" s="1264">
        <v>0</v>
      </c>
      <c r="J22" s="1264">
        <v>0</v>
      </c>
      <c r="K22" s="1264">
        <v>0</v>
      </c>
      <c r="L22" s="1264">
        <v>0</v>
      </c>
      <c r="M22" s="1264">
        <v>0</v>
      </c>
      <c r="N22" s="1264">
        <v>0</v>
      </c>
      <c r="O22" s="1264">
        <v>0</v>
      </c>
      <c r="P22" s="1257"/>
      <c r="Q22" s="1258"/>
    </row>
    <row r="23" spans="1:19">
      <c r="A23" s="1120" t="s">
        <v>80</v>
      </c>
      <c r="B23" s="1120"/>
      <c r="C23" s="1261">
        <f t="shared" ref="C23:J23" si="5">SUM(C18:C22)</f>
        <v>-252.37521450520097</v>
      </c>
      <c r="D23" s="1261">
        <f t="shared" si="5"/>
        <v>-29.782777014382873</v>
      </c>
      <c r="E23" s="1261">
        <f t="shared" si="5"/>
        <v>45.750788744897932</v>
      </c>
      <c r="F23" s="1261">
        <f t="shared" si="5"/>
        <v>358.91173975333163</v>
      </c>
      <c r="G23" s="1261">
        <f t="shared" si="5"/>
        <v>84.757180450790202</v>
      </c>
      <c r="H23" s="1261">
        <f t="shared" si="5"/>
        <v>631.26055507947081</v>
      </c>
      <c r="I23" s="1261">
        <f t="shared" si="5"/>
        <v>676.41993734048492</v>
      </c>
      <c r="J23" s="1261">
        <f t="shared" si="5"/>
        <v>651.88963614313593</v>
      </c>
      <c r="K23" s="1261">
        <f>SUM(K18:K22)</f>
        <v>805.26219965469227</v>
      </c>
      <c r="L23" s="1261">
        <f t="shared" ref="L23:O23" si="6">SUM(L18:L22)</f>
        <v>882.2925390971543</v>
      </c>
      <c r="M23" s="1261">
        <f t="shared" si="6"/>
        <v>726.08181916819899</v>
      </c>
      <c r="N23" s="1261">
        <f t="shared" si="6"/>
        <v>434.14253478531145</v>
      </c>
      <c r="O23" s="1261">
        <f t="shared" si="6"/>
        <v>592.66491149225521</v>
      </c>
      <c r="P23" s="1261">
        <f>O23*(1+P31)/(P39-P31)</f>
        <v>8029.0453358349969</v>
      </c>
      <c r="Q23" s="1258"/>
    </row>
    <row r="24" spans="1:19">
      <c r="A24" s="1196" t="s">
        <v>480</v>
      </c>
      <c r="B24" s="1196"/>
      <c r="C24" s="1265"/>
      <c r="D24" s="1265"/>
      <c r="E24" s="1266">
        <f t="shared" ref="E24:K24" si="7">E23/D23-1</f>
        <v>-2.536149188599965</v>
      </c>
      <c r="F24" s="1266">
        <f t="shared" si="7"/>
        <v>6.8449301006500569</v>
      </c>
      <c r="G24" s="1266">
        <f t="shared" si="7"/>
        <v>-0.76384951768632292</v>
      </c>
      <c r="H24" s="1266">
        <f t="shared" si="7"/>
        <v>6.447871103333588</v>
      </c>
      <c r="I24" s="1266">
        <f t="shared" si="7"/>
        <v>7.153841927495197E-2</v>
      </c>
      <c r="J24" s="1266">
        <f t="shared" si="7"/>
        <v>-3.6264899721607957E-2</v>
      </c>
      <c r="K24" s="1266">
        <f t="shared" si="7"/>
        <v>0.23527381784894685</v>
      </c>
      <c r="L24" s="1266">
        <f t="shared" ref="L24" si="8">L23/K23-1</f>
        <v>9.5658705295609048E-2</v>
      </c>
      <c r="M24" s="1266">
        <f t="shared" ref="M24" si="9">M23/L23-1</f>
        <v>-0.1770509360634569</v>
      </c>
      <c r="N24" s="1266">
        <f t="shared" ref="N24" si="10">N23/M23-1</f>
        <v>-0.40207491315143229</v>
      </c>
      <c r="O24" s="1266">
        <f t="shared" ref="O24" si="11">O23/N23-1</f>
        <v>0.36513901312465258</v>
      </c>
      <c r="P24" s="1267"/>
      <c r="Q24" s="1258"/>
    </row>
    <row r="25" spans="1:19">
      <c r="A25" s="731"/>
      <c r="B25" s="731"/>
      <c r="C25" s="731"/>
      <c r="D25" s="731"/>
      <c r="E25" s="731"/>
      <c r="F25" s="731"/>
      <c r="G25" s="731"/>
      <c r="H25" s="731"/>
      <c r="I25" s="731"/>
      <c r="J25" s="731"/>
      <c r="K25" s="731"/>
      <c r="L25" s="731"/>
      <c r="M25" s="731"/>
      <c r="N25" s="731"/>
      <c r="O25" s="731"/>
      <c r="P25" s="731"/>
      <c r="Q25" s="1258"/>
    </row>
    <row r="26" spans="1:19">
      <c r="A26" s="731" t="s">
        <v>481</v>
      </c>
      <c r="B26" s="731"/>
      <c r="C26" s="1257"/>
      <c r="D26" s="1257"/>
      <c r="E26" s="1257"/>
      <c r="F26" s="1257"/>
      <c r="G26" s="1257"/>
      <c r="H26" s="1257">
        <f t="shared" ref="H26:O26" si="12">H23/(1+H39)^H27</f>
        <v>631.26055507947081</v>
      </c>
      <c r="I26" s="1257">
        <f t="shared" si="12"/>
        <v>636.72863504256884</v>
      </c>
      <c r="J26" s="1257">
        <f t="shared" si="12"/>
        <v>547.311101145414</v>
      </c>
      <c r="K26" s="1257">
        <f t="shared" si="12"/>
        <v>603.44296398689266</v>
      </c>
      <c r="L26" s="1257">
        <f t="shared" si="12"/>
        <v>590.30649094258808</v>
      </c>
      <c r="M26" s="1257">
        <f t="shared" si="12"/>
        <v>434.23394633249876</v>
      </c>
      <c r="N26" s="1257">
        <f t="shared" si="12"/>
        <v>232.35470361118092</v>
      </c>
      <c r="O26" s="1257">
        <f t="shared" si="12"/>
        <v>289.10171965858848</v>
      </c>
      <c r="P26" s="1257">
        <f>(P23)/(1+P39)^P27</f>
        <v>3916.5652779445841</v>
      </c>
      <c r="Q26" s="1258"/>
    </row>
    <row r="27" spans="1:19">
      <c r="A27" s="1268" t="s">
        <v>482</v>
      </c>
      <c r="B27" s="1268"/>
      <c r="C27" s="1269"/>
      <c r="D27" s="1269"/>
      <c r="E27" s="1269"/>
      <c r="F27" s="1269"/>
      <c r="G27" s="1269"/>
      <c r="H27" s="1855">
        <v>0</v>
      </c>
      <c r="I27" s="1855">
        <v>0.5</v>
      </c>
      <c r="J27" s="1855">
        <f t="shared" ref="J27:K27" si="13">+I27+1</f>
        <v>1.5</v>
      </c>
      <c r="K27" s="1855">
        <f t="shared" si="13"/>
        <v>2.5</v>
      </c>
      <c r="L27" s="1855">
        <f t="shared" ref="L27" si="14">+K27+1</f>
        <v>3.5</v>
      </c>
      <c r="M27" s="1855">
        <f t="shared" ref="M27" si="15">+L27+1</f>
        <v>4.5</v>
      </c>
      <c r="N27" s="1855">
        <f t="shared" ref="N27" si="16">+M27+1</f>
        <v>5.5</v>
      </c>
      <c r="O27" s="1855">
        <f t="shared" ref="O27" si="17">+N27+1</f>
        <v>6.5</v>
      </c>
      <c r="P27" s="1855">
        <f>+O27</f>
        <v>6.5</v>
      </c>
      <c r="Q27" s="1258"/>
    </row>
    <row r="28" spans="1:19">
      <c r="A28" s="1270"/>
      <c r="B28" s="1270"/>
      <c r="C28" s="1271"/>
      <c r="D28" s="1271"/>
      <c r="E28" s="1271"/>
      <c r="F28" s="1271"/>
      <c r="G28" s="1271"/>
      <c r="H28" s="1271"/>
      <c r="I28" s="1271"/>
      <c r="J28" s="1271"/>
      <c r="K28" s="1271"/>
      <c r="L28" s="1271"/>
      <c r="M28" s="1271"/>
      <c r="N28" s="1271"/>
      <c r="O28" s="1271"/>
      <c r="P28" s="1271"/>
      <c r="Q28" s="1258"/>
    </row>
    <row r="29" spans="1:19">
      <c r="A29" s="251" t="s">
        <v>569</v>
      </c>
      <c r="B29" s="251"/>
      <c r="C29" s="259"/>
      <c r="G29" s="52"/>
      <c r="I29" s="259">
        <f>SUM(H26:$P$26)</f>
        <v>7881.3053937437871</v>
      </c>
      <c r="J29" s="52"/>
      <c r="K29" s="52"/>
      <c r="L29" s="1401"/>
      <c r="M29" s="1401"/>
      <c r="N29" s="1401"/>
      <c r="O29" s="1401"/>
      <c r="P29" s="52"/>
      <c r="Q29" s="1258"/>
    </row>
    <row r="30" spans="1:19">
      <c r="A30" s="52" t="s">
        <v>387</v>
      </c>
      <c r="B30" s="52"/>
      <c r="C30" s="253"/>
      <c r="G30" s="52"/>
      <c r="I30" s="427">
        <f>Financials!O126</f>
        <v>2547.1279999999997</v>
      </c>
      <c r="L30" s="260"/>
      <c r="M30" s="260"/>
      <c r="N30" s="52"/>
      <c r="O30" s="260" t="s">
        <v>760</v>
      </c>
      <c r="P30" s="261">
        <f>+P26/I29</f>
        <v>0.49694372724771835</v>
      </c>
      <c r="Q30" s="1258"/>
    </row>
    <row r="31" spans="1:19">
      <c r="A31" s="257" t="s">
        <v>1614</v>
      </c>
      <c r="B31" s="52"/>
      <c r="C31" s="253"/>
      <c r="G31" s="52"/>
      <c r="I31" s="253">
        <f>SOP!F12</f>
        <v>675</v>
      </c>
      <c r="L31" s="260"/>
      <c r="M31" s="260"/>
      <c r="N31" s="52"/>
      <c r="O31" s="260" t="s">
        <v>483</v>
      </c>
      <c r="P31" s="1856">
        <f>+Inputs!S158</f>
        <v>0.04</v>
      </c>
      <c r="Q31" s="1258"/>
    </row>
    <row r="32" spans="1:19">
      <c r="A32" s="14" t="s">
        <v>81</v>
      </c>
      <c r="B32" s="14"/>
      <c r="C32" s="256"/>
      <c r="D32" s="763"/>
      <c r="G32" s="262"/>
      <c r="I32" s="256">
        <f>I29-I30+I31</f>
        <v>6009.1773937437874</v>
      </c>
      <c r="L32" s="194"/>
      <c r="M32" s="194"/>
      <c r="N32" s="194"/>
      <c r="O32" s="194" t="s">
        <v>761</v>
      </c>
      <c r="P32" s="263">
        <f>AVERAGE(H39:P39)</f>
        <v>0.12089783952559723</v>
      </c>
      <c r="Q32" s="1258"/>
      <c r="R32" s="2540" t="s">
        <v>1608</v>
      </c>
      <c r="S32" s="2540"/>
    </row>
    <row r="33" spans="1:19">
      <c r="A33" s="238" t="s">
        <v>1164</v>
      </c>
      <c r="B33" s="238"/>
      <c r="C33" s="264"/>
      <c r="G33" s="52"/>
      <c r="I33" s="265">
        <f>Financials!S85</f>
        <v>363.4678773</v>
      </c>
      <c r="L33" s="106"/>
      <c r="M33" s="106"/>
      <c r="N33" s="106"/>
      <c r="O33" s="106"/>
      <c r="P33" s="52"/>
      <c r="Q33" s="1258"/>
      <c r="R33" s="2268" t="s">
        <v>1609</v>
      </c>
      <c r="S33" s="2268" t="s">
        <v>1610</v>
      </c>
    </row>
    <row r="34" spans="1:19">
      <c r="A34" s="266" t="s">
        <v>145</v>
      </c>
      <c r="B34" s="266"/>
      <c r="C34" s="267"/>
      <c r="D34" s="267"/>
      <c r="E34" s="267"/>
      <c r="F34" s="267"/>
      <c r="G34" s="267"/>
      <c r="H34" s="267"/>
      <c r="I34" s="250">
        <f>ROUND((I32/I33),1)</f>
        <v>16.5</v>
      </c>
      <c r="N34" s="249" t="s">
        <v>67</v>
      </c>
      <c r="O34" s="991" t="s">
        <v>287</v>
      </c>
      <c r="P34" s="52"/>
      <c r="Q34" s="1258"/>
      <c r="R34" s="2270">
        <f>SOP!F18</f>
        <v>16.399999999999999</v>
      </c>
      <c r="S34" s="2269">
        <f>R34/I34-1</f>
        <v>-6.0606060606060996E-3</v>
      </c>
    </row>
    <row r="35" spans="1:19">
      <c r="A35" s="268" t="s">
        <v>135</v>
      </c>
      <c r="B35" s="268"/>
      <c r="C35" s="269"/>
      <c r="G35" s="52"/>
      <c r="I35" s="316">
        <f>I34/SOP!B5-1</f>
        <v>-0.10326057715018822</v>
      </c>
      <c r="J35" s="52"/>
      <c r="K35" s="52"/>
      <c r="L35" s="1401"/>
      <c r="M35" s="1401"/>
      <c r="N35" s="1401"/>
      <c r="O35" s="1401"/>
      <c r="P35" s="52"/>
      <c r="Q35" s="1258"/>
    </row>
    <row r="36" spans="1:19">
      <c r="A36" s="52"/>
      <c r="B36" s="52"/>
      <c r="C36" s="52"/>
      <c r="D36" s="52"/>
      <c r="E36" s="52"/>
      <c r="F36" s="52"/>
      <c r="G36" s="52"/>
      <c r="H36" s="52"/>
      <c r="I36" s="52"/>
      <c r="J36" s="52"/>
      <c r="K36" s="52"/>
      <c r="L36" s="1401"/>
      <c r="M36" s="1401"/>
      <c r="N36" s="1401"/>
      <c r="O36" s="1401"/>
      <c r="P36" s="52"/>
      <c r="Q36" s="1258"/>
    </row>
    <row r="37" spans="1:19">
      <c r="A37" s="52"/>
      <c r="B37" s="52"/>
      <c r="Q37" s="1258"/>
    </row>
    <row r="38" spans="1:19">
      <c r="A38" s="2193" t="s">
        <v>762</v>
      </c>
      <c r="B38" s="847"/>
      <c r="C38" s="2194"/>
      <c r="D38" s="2194"/>
      <c r="E38" s="2194"/>
      <c r="F38" s="2194"/>
      <c r="G38" s="2194"/>
      <c r="H38" s="2195">
        <f t="shared" ref="H38:P38" si="18">H11</f>
        <v>2018</v>
      </c>
      <c r="I38" s="2195">
        <f t="shared" si="18"/>
        <v>2019</v>
      </c>
      <c r="J38" s="2195">
        <f t="shared" si="18"/>
        <v>2020</v>
      </c>
      <c r="K38" s="2195">
        <f t="shared" si="18"/>
        <v>2021</v>
      </c>
      <c r="L38" s="2195">
        <f t="shared" si="18"/>
        <v>2022</v>
      </c>
      <c r="M38" s="2195">
        <f t="shared" si="18"/>
        <v>2023</v>
      </c>
      <c r="N38" s="2195">
        <f t="shared" si="18"/>
        <v>2024</v>
      </c>
      <c r="O38" s="2195">
        <f t="shared" si="18"/>
        <v>2025</v>
      </c>
      <c r="P38" s="2196" t="str">
        <f t="shared" si="18"/>
        <v>TV</v>
      </c>
    </row>
    <row r="39" spans="1:19">
      <c r="A39" s="106" t="s">
        <v>261</v>
      </c>
      <c r="B39" s="106"/>
      <c r="C39" s="270"/>
      <c r="D39" s="270"/>
      <c r="E39" s="270"/>
      <c r="F39" s="270"/>
      <c r="G39" s="270"/>
      <c r="H39" s="1848">
        <f>+H44*(H48/(H47+H48))+H46*(H47/(H47+H48))</f>
        <v>0.11695587242354502</v>
      </c>
      <c r="I39" s="1848">
        <f>+I44*(I48/(I47+I48))+I46*(I47/(I47+I48))</f>
        <v>0.1285583978980771</v>
      </c>
      <c r="J39" s="1848">
        <f t="shared" ref="J39:P39" si="19">+J44*(J48/(J47+J48))+J46*(J47/(J47+J48))</f>
        <v>0.12363833196037384</v>
      </c>
      <c r="K39" s="1848">
        <f t="shared" si="19"/>
        <v>0.12232964405672447</v>
      </c>
      <c r="L39" s="1848">
        <f t="shared" ref="L39:O39" si="20">+L44*(L48/(L47+L48))+L46*(L47/(L47+L48))</f>
        <v>0.12167530010489978</v>
      </c>
      <c r="M39" s="1848">
        <f t="shared" si="20"/>
        <v>0.12102095615307509</v>
      </c>
      <c r="N39" s="1848">
        <f t="shared" si="20"/>
        <v>0.12036661220125042</v>
      </c>
      <c r="O39" s="1848">
        <f t="shared" si="20"/>
        <v>0.11676772046621463</v>
      </c>
      <c r="P39" s="1848">
        <f t="shared" si="19"/>
        <v>0.11676772046621463</v>
      </c>
      <c r="Q39" s="52"/>
    </row>
    <row r="40" spans="1:19">
      <c r="A40" s="106" t="s">
        <v>484</v>
      </c>
      <c r="B40" s="106"/>
      <c r="C40" s="1851"/>
      <c r="D40" s="271"/>
      <c r="E40" s="271"/>
      <c r="F40" s="271"/>
      <c r="G40" s="271"/>
      <c r="H40" s="1848">
        <f>Financials!P77</f>
        <v>0.17</v>
      </c>
      <c r="I40" s="1848">
        <f>Financials!Q77</f>
        <v>0.13</v>
      </c>
      <c r="J40" s="1848">
        <f>Financials!R77</f>
        <v>0.13</v>
      </c>
      <c r="K40" s="1848">
        <f>Financials!S77</f>
        <v>0.17</v>
      </c>
      <c r="L40" s="1848">
        <f>Financials!T77</f>
        <v>0.19</v>
      </c>
      <c r="M40" s="1848">
        <f>Financials!U77</f>
        <v>0.21</v>
      </c>
      <c r="N40" s="1848">
        <f>Financials!V77</f>
        <v>0.22999999999999998</v>
      </c>
      <c r="O40" s="1848">
        <f>Financials!W77</f>
        <v>0.34</v>
      </c>
      <c r="P40" s="1848">
        <f>+O40</f>
        <v>0.34</v>
      </c>
      <c r="Q40" s="52"/>
    </row>
    <row r="41" spans="1:19">
      <c r="A41" s="106" t="s">
        <v>485</v>
      </c>
      <c r="B41" s="106"/>
      <c r="C41" s="1852">
        <v>1.1000000000000001</v>
      </c>
      <c r="D41" s="271"/>
      <c r="E41" s="271"/>
      <c r="F41" s="1849"/>
      <c r="G41" s="1849"/>
      <c r="H41" s="416">
        <f t="shared" ref="H41:P43" si="21">+$C41</f>
        <v>1.1000000000000001</v>
      </c>
      <c r="I41" s="416">
        <f t="shared" si="21"/>
        <v>1.1000000000000001</v>
      </c>
      <c r="J41" s="416">
        <f t="shared" si="21"/>
        <v>1.1000000000000001</v>
      </c>
      <c r="K41" s="416">
        <f t="shared" si="21"/>
        <v>1.1000000000000001</v>
      </c>
      <c r="L41" s="416">
        <f t="shared" si="21"/>
        <v>1.1000000000000001</v>
      </c>
      <c r="M41" s="416">
        <f t="shared" si="21"/>
        <v>1.1000000000000001</v>
      </c>
      <c r="N41" s="416">
        <f t="shared" si="21"/>
        <v>1.1000000000000001</v>
      </c>
      <c r="O41" s="416">
        <f t="shared" si="21"/>
        <v>1.1000000000000001</v>
      </c>
      <c r="P41" s="416">
        <f t="shared" si="21"/>
        <v>1.1000000000000001</v>
      </c>
      <c r="Q41" s="52"/>
      <c r="R41" s="1101"/>
    </row>
    <row r="42" spans="1:19">
      <c r="A42" s="106" t="s">
        <v>486</v>
      </c>
      <c r="B42" s="106"/>
      <c r="C42" s="1002">
        <v>2.5999999999999999E-2</v>
      </c>
      <c r="D42" s="315"/>
      <c r="E42" s="315"/>
      <c r="F42" s="1853"/>
      <c r="G42" s="1853"/>
      <c r="H42" s="1847">
        <v>7.4999999999999997E-2</v>
      </c>
      <c r="I42" s="1847">
        <v>8.5000000000000006E-2</v>
      </c>
      <c r="J42" s="1847">
        <v>0.08</v>
      </c>
      <c r="K42" s="1847">
        <v>0.08</v>
      </c>
      <c r="L42" s="1847">
        <v>0.08</v>
      </c>
      <c r="M42" s="1847">
        <v>0.08</v>
      </c>
      <c r="N42" s="1847">
        <v>0.08</v>
      </c>
      <c r="O42" s="1847">
        <v>0.08</v>
      </c>
      <c r="P42" s="1847">
        <v>0.08</v>
      </c>
      <c r="Q42" s="52"/>
    </row>
    <row r="43" spans="1:19">
      <c r="A43" s="272" t="s">
        <v>487</v>
      </c>
      <c r="B43" s="106"/>
      <c r="C43" s="1002">
        <v>6.5000000000000002E-2</v>
      </c>
      <c r="D43" s="315"/>
      <c r="E43" s="315"/>
      <c r="F43" s="1853"/>
      <c r="G43" s="1853"/>
      <c r="H43" s="1847">
        <f t="shared" si="21"/>
        <v>6.5000000000000002E-2</v>
      </c>
      <c r="I43" s="1847">
        <f t="shared" si="21"/>
        <v>6.5000000000000002E-2</v>
      </c>
      <c r="J43" s="1847">
        <f t="shared" si="21"/>
        <v>6.5000000000000002E-2</v>
      </c>
      <c r="K43" s="1847">
        <f t="shared" si="21"/>
        <v>6.5000000000000002E-2</v>
      </c>
      <c r="L43" s="1847">
        <f t="shared" si="21"/>
        <v>6.5000000000000002E-2</v>
      </c>
      <c r="M43" s="1847">
        <f t="shared" si="21"/>
        <v>6.5000000000000002E-2</v>
      </c>
      <c r="N43" s="1847">
        <f t="shared" si="21"/>
        <v>6.5000000000000002E-2</v>
      </c>
      <c r="O43" s="1847">
        <f t="shared" si="21"/>
        <v>6.5000000000000002E-2</v>
      </c>
      <c r="P43" s="1847">
        <f t="shared" si="21"/>
        <v>6.5000000000000002E-2</v>
      </c>
      <c r="Q43" s="52"/>
    </row>
    <row r="44" spans="1:19">
      <c r="A44" s="106" t="s">
        <v>283</v>
      </c>
      <c r="B44" s="106"/>
      <c r="C44" s="1854"/>
      <c r="D44" s="273"/>
      <c r="E44" s="273"/>
      <c r="F44" s="273"/>
      <c r="G44" s="273"/>
      <c r="H44" s="1850">
        <f t="shared" ref="H44:P44" si="22">H42+H41*H43</f>
        <v>0.14650000000000002</v>
      </c>
      <c r="I44" s="1850">
        <f t="shared" si="22"/>
        <v>0.15650000000000003</v>
      </c>
      <c r="J44" s="1850">
        <f t="shared" si="22"/>
        <v>0.15150000000000002</v>
      </c>
      <c r="K44" s="1850">
        <f t="shared" si="22"/>
        <v>0.15150000000000002</v>
      </c>
      <c r="L44" s="1850">
        <f t="shared" si="22"/>
        <v>0.15150000000000002</v>
      </c>
      <c r="M44" s="1850">
        <f t="shared" si="22"/>
        <v>0.15150000000000002</v>
      </c>
      <c r="N44" s="1850">
        <f t="shared" si="22"/>
        <v>0.15150000000000002</v>
      </c>
      <c r="O44" s="1850">
        <f t="shared" si="22"/>
        <v>0.15150000000000002</v>
      </c>
      <c r="P44" s="1850">
        <f t="shared" si="22"/>
        <v>0.15150000000000002</v>
      </c>
      <c r="Q44" s="52"/>
    </row>
    <row r="45" spans="1:19">
      <c r="A45" s="106" t="s">
        <v>284</v>
      </c>
      <c r="B45" s="106"/>
      <c r="C45" s="1853"/>
      <c r="D45" s="315"/>
      <c r="E45" s="270"/>
      <c r="F45" s="270"/>
      <c r="G45" s="270"/>
      <c r="H45" s="1848">
        <f t="shared" ref="H45:P45" si="23">+H42*110%</f>
        <v>8.2500000000000004E-2</v>
      </c>
      <c r="I45" s="1848">
        <f t="shared" si="23"/>
        <v>9.3500000000000014E-2</v>
      </c>
      <c r="J45" s="1848">
        <f t="shared" si="23"/>
        <v>8.8000000000000009E-2</v>
      </c>
      <c r="K45" s="1848">
        <f t="shared" si="23"/>
        <v>8.8000000000000009E-2</v>
      </c>
      <c r="L45" s="1848">
        <f t="shared" si="23"/>
        <v>8.8000000000000009E-2</v>
      </c>
      <c r="M45" s="1848">
        <f t="shared" si="23"/>
        <v>8.8000000000000009E-2</v>
      </c>
      <c r="N45" s="1848">
        <f t="shared" si="23"/>
        <v>8.8000000000000009E-2</v>
      </c>
      <c r="O45" s="1848">
        <f t="shared" si="23"/>
        <v>8.8000000000000009E-2</v>
      </c>
      <c r="P45" s="1848">
        <f t="shared" si="23"/>
        <v>8.8000000000000009E-2</v>
      </c>
      <c r="Q45" s="52"/>
    </row>
    <row r="46" spans="1:19">
      <c r="A46" s="106" t="s">
        <v>488</v>
      </c>
      <c r="B46" s="106"/>
      <c r="C46" s="270"/>
      <c r="D46" s="270"/>
      <c r="E46" s="270"/>
      <c r="F46" s="270"/>
      <c r="G46" s="270"/>
      <c r="H46" s="1848">
        <f t="shared" ref="H46:P46" si="24">H45*(1-H40)</f>
        <v>6.8474999999999994E-2</v>
      </c>
      <c r="I46" s="1848">
        <f t="shared" si="24"/>
        <v>8.1345000000000015E-2</v>
      </c>
      <c r="J46" s="1848">
        <f t="shared" si="24"/>
        <v>7.6560000000000003E-2</v>
      </c>
      <c r="K46" s="1848">
        <f t="shared" si="24"/>
        <v>7.3040000000000008E-2</v>
      </c>
      <c r="L46" s="1848">
        <f t="shared" si="24"/>
        <v>7.128000000000001E-2</v>
      </c>
      <c r="M46" s="1848">
        <f t="shared" si="24"/>
        <v>6.9520000000000012E-2</v>
      </c>
      <c r="N46" s="1848">
        <f t="shared" si="24"/>
        <v>6.7760000000000015E-2</v>
      </c>
      <c r="O46" s="1848">
        <f t="shared" si="24"/>
        <v>5.808E-2</v>
      </c>
      <c r="P46" s="1848">
        <f t="shared" si="24"/>
        <v>5.808E-2</v>
      </c>
      <c r="Q46" s="52"/>
    </row>
    <row r="47" spans="1:19">
      <c r="A47" s="106" t="s">
        <v>151</v>
      </c>
      <c r="B47" s="106"/>
      <c r="C47" s="274"/>
      <c r="D47" s="274"/>
      <c r="E47" s="274"/>
      <c r="F47" s="274"/>
      <c r="G47" s="274"/>
      <c r="H47" s="1826">
        <f>Financials!P105</f>
        <v>3527.7348000000002</v>
      </c>
      <c r="I47" s="1826">
        <f>Financials!Q105</f>
        <v>3527.7348000000002</v>
      </c>
      <c r="J47" s="1826">
        <f>Financials!R105</f>
        <v>3527.7348000000002</v>
      </c>
      <c r="K47" s="1826">
        <f>Financials!S105</f>
        <v>3527.7348000000002</v>
      </c>
      <c r="L47" s="1826">
        <f>Financials!T105</f>
        <v>3527.7348000000002</v>
      </c>
      <c r="M47" s="1826">
        <f>Financials!U105</f>
        <v>3527.7348000000002</v>
      </c>
      <c r="N47" s="1826">
        <f>Financials!V105</f>
        <v>3527.7348000000002</v>
      </c>
      <c r="O47" s="1826">
        <f>Financials!W105</f>
        <v>3527.7348000000002</v>
      </c>
      <c r="P47" s="1824">
        <f t="shared" ref="P47" si="25">K47</f>
        <v>3527.7348000000002</v>
      </c>
      <c r="Q47" s="52"/>
    </row>
    <row r="48" spans="1:19">
      <c r="A48" s="106" t="s">
        <v>1418</v>
      </c>
      <c r="B48" s="106"/>
      <c r="C48" s="274"/>
      <c r="D48" s="274"/>
      <c r="E48" s="274"/>
      <c r="F48" s="274"/>
      <c r="G48" s="274"/>
      <c r="H48" s="1826">
        <f>+Base!P151</f>
        <v>5788.8885139799995</v>
      </c>
      <c r="I48" s="1826">
        <f>+Base!Q151</f>
        <v>5960.8731877199998</v>
      </c>
      <c r="J48" s="1826">
        <f>+Base!R151</f>
        <v>5960.8731877199998</v>
      </c>
      <c r="K48" s="1826">
        <f>+Base!S151</f>
        <v>5960.8731877199998</v>
      </c>
      <c r="L48" s="1826">
        <f>+Base!T151</f>
        <v>5960.8731877199998</v>
      </c>
      <c r="M48" s="1826">
        <f>+Base!U151</f>
        <v>5960.8731877199998</v>
      </c>
      <c r="N48" s="1826">
        <f>+Base!V151</f>
        <v>5960.8731877199998</v>
      </c>
      <c r="O48" s="1826">
        <f>+Base!W151</f>
        <v>5960.8731877199998</v>
      </c>
      <c r="P48" s="1826">
        <f>+O48</f>
        <v>5960.8731877199998</v>
      </c>
      <c r="Q48" s="52"/>
    </row>
    <row r="49" spans="1:18">
      <c r="A49" s="52" t="s">
        <v>1131</v>
      </c>
      <c r="B49" s="52"/>
      <c r="C49" s="60"/>
      <c r="D49" s="60"/>
      <c r="E49" s="60"/>
      <c r="F49" s="60"/>
      <c r="G49" s="60"/>
      <c r="H49" s="404">
        <f>Financials!P105/(Financials!P105+$I$32)</f>
        <v>0.36990324838202798</v>
      </c>
      <c r="I49" s="404">
        <f>Financials!Q105/(Financials!Q105+$I$32)</f>
        <v>0.36990324838202798</v>
      </c>
      <c r="J49" s="404">
        <f>Financials!R105/(Financials!R105+$I$32)</f>
        <v>0.36990324838202798</v>
      </c>
      <c r="K49" s="404">
        <f>Financials!S105/(Financials!S105+$I$32)</f>
        <v>0.36990324838202798</v>
      </c>
      <c r="L49" s="404">
        <f>Financials!T105/(Financials!T105+$I$32)</f>
        <v>0.36990324838202798</v>
      </c>
      <c r="M49" s="404">
        <f>Financials!U105/(Financials!U105+$I$32)</f>
        <v>0.36990324838202798</v>
      </c>
      <c r="N49" s="404">
        <f>Financials!V105/(Financials!V105+$I$32)</f>
        <v>0.36990324838202798</v>
      </c>
      <c r="O49" s="404">
        <f>Financials!W105/(Financials!W105+$I$32)</f>
        <v>0.36990324838202798</v>
      </c>
      <c r="P49" s="404">
        <f>K49</f>
        <v>0.36990324838202798</v>
      </c>
    </row>
    <row r="50" spans="1:18">
      <c r="A50" s="52" t="s">
        <v>259</v>
      </c>
      <c r="B50" s="52"/>
      <c r="C50" s="344"/>
      <c r="D50" s="344"/>
      <c r="E50" s="344"/>
      <c r="F50" s="344"/>
      <c r="G50" s="344"/>
      <c r="H50" s="368">
        <f>Financials!P128</f>
        <v>1.279442490948657</v>
      </c>
      <c r="I50" s="368">
        <f>Financials!Q128</f>
        <v>1.1196988856373464</v>
      </c>
      <c r="J50" s="368">
        <f>Financials!R128</f>
        <v>0.98643440600281629</v>
      </c>
      <c r="K50" s="368">
        <f>Financials!S128</f>
        <v>0.77709070619931553</v>
      </c>
      <c r="L50" s="368">
        <f>Financials!T128</f>
        <v>0.64800237465439525</v>
      </c>
      <c r="M50" s="368">
        <f>Financials!U128</f>
        <v>0.74393804111985284</v>
      </c>
      <c r="N50" s="368">
        <f>Financials!V128</f>
        <v>0.91441564201886139</v>
      </c>
      <c r="O50" s="368">
        <f>Financials!W128</f>
        <v>0.82414613675650716</v>
      </c>
      <c r="P50" s="368">
        <f>K50</f>
        <v>0.77709070619931553</v>
      </c>
    </row>
    <row r="51" spans="1:18">
      <c r="A51" s="1401"/>
      <c r="B51" s="1401"/>
      <c r="C51" s="344"/>
      <c r="D51" s="344"/>
      <c r="E51" s="344"/>
      <c r="F51" s="344"/>
      <c r="G51" s="368"/>
      <c r="H51" s="368"/>
      <c r="I51" s="368"/>
      <c r="J51" s="368"/>
      <c r="K51" s="368"/>
      <c r="L51" s="368"/>
      <c r="M51" s="368"/>
      <c r="N51" s="368"/>
      <c r="O51" s="368"/>
      <c r="P51" s="368"/>
    </row>
    <row r="52" spans="1:18">
      <c r="A52" s="78" t="s">
        <v>489</v>
      </c>
      <c r="B52" s="78"/>
      <c r="C52" s="234"/>
      <c r="D52" s="234"/>
      <c r="E52" s="234"/>
      <c r="F52" s="234"/>
      <c r="G52" s="234"/>
      <c r="H52" s="234"/>
      <c r="I52" s="234"/>
      <c r="J52" s="234"/>
      <c r="K52" s="234"/>
      <c r="L52" s="234"/>
      <c r="M52" s="234"/>
      <c r="N52" s="234"/>
      <c r="O52" s="234"/>
      <c r="P52" s="234"/>
    </row>
    <row r="53" spans="1:18">
      <c r="A53" s="52"/>
      <c r="B53" s="52"/>
      <c r="C53" s="106"/>
      <c r="D53" s="52"/>
      <c r="E53" s="52"/>
      <c r="F53" s="52"/>
      <c r="G53" s="52"/>
      <c r="H53" s="52"/>
      <c r="I53" s="52"/>
      <c r="J53" s="52"/>
      <c r="K53" s="52"/>
      <c r="L53" s="1401"/>
      <c r="M53" s="1401"/>
      <c r="N53" s="1401"/>
      <c r="O53" s="1401"/>
      <c r="P53" s="52"/>
    </row>
    <row r="54" spans="1:18">
      <c r="A54" s="52"/>
      <c r="B54" s="52"/>
      <c r="J54" s="276"/>
      <c r="K54" s="277" t="s">
        <v>18</v>
      </c>
      <c r="L54" s="278"/>
      <c r="M54" s="279"/>
      <c r="N54" s="280" t="s">
        <v>32</v>
      </c>
      <c r="O54" s="279"/>
      <c r="P54" s="279"/>
    </row>
    <row r="55" spans="1:18">
      <c r="A55" s="52"/>
      <c r="B55" s="52"/>
      <c r="J55" s="276"/>
      <c r="K55" s="281">
        <f>I34</f>
        <v>16.5</v>
      </c>
      <c r="L55" s="282">
        <f>M55-1%</f>
        <v>0.46845547502007118</v>
      </c>
      <c r="M55" s="283">
        <f>N55-1%</f>
        <v>0.47845547502007119</v>
      </c>
      <c r="N55" s="284">
        <v>0.48845547502007119</v>
      </c>
      <c r="O55" s="283">
        <f>N55+1%</f>
        <v>0.4984554750200712</v>
      </c>
      <c r="P55" s="285">
        <f>O55+1%</f>
        <v>0.50845547502007116</v>
      </c>
    </row>
    <row r="56" spans="1:18">
      <c r="A56" s="52"/>
      <c r="B56" s="52"/>
      <c r="J56" s="286"/>
      <c r="K56" s="287">
        <f>K57+0.5%</f>
        <v>4.9999999999999996E-2</v>
      </c>
      <c r="L56" s="288">
        <f t="dataTable" ref="L56:P60" dt2D="1" dtr="1" r1="K13" r2="P31"/>
        <v>18.3</v>
      </c>
      <c r="M56" s="289">
        <v>18.3</v>
      </c>
      <c r="N56" s="290">
        <v>18.3</v>
      </c>
      <c r="O56" s="289">
        <v>18.3</v>
      </c>
      <c r="P56" s="289">
        <v>18.3</v>
      </c>
    </row>
    <row r="57" spans="1:18">
      <c r="A57" s="52"/>
      <c r="B57" s="52"/>
      <c r="J57" s="286"/>
      <c r="K57" s="291">
        <f>K58+0.5%</f>
        <v>4.4999999999999998E-2</v>
      </c>
      <c r="L57" s="292">
        <v>17.3</v>
      </c>
      <c r="M57" s="293">
        <v>17.3</v>
      </c>
      <c r="N57" s="294">
        <v>17.3</v>
      </c>
      <c r="O57" s="293">
        <v>17.3</v>
      </c>
      <c r="P57" s="293">
        <v>17.3</v>
      </c>
    </row>
    <row r="58" spans="1:18">
      <c r="A58" s="52"/>
      <c r="B58" s="52"/>
      <c r="J58" s="295" t="s">
        <v>282</v>
      </c>
      <c r="K58" s="296">
        <v>0.04</v>
      </c>
      <c r="L58" s="297">
        <v>16.5</v>
      </c>
      <c r="M58" s="294">
        <v>16.5</v>
      </c>
      <c r="N58" s="294">
        <v>16.5</v>
      </c>
      <c r="O58" s="294">
        <v>16.5</v>
      </c>
      <c r="P58" s="294">
        <v>16.5</v>
      </c>
      <c r="R58" s="2423">
        <f>N58-I34</f>
        <v>0</v>
      </c>
    </row>
    <row r="59" spans="1:18">
      <c r="A59" s="52"/>
      <c r="B59" s="52"/>
      <c r="J59" s="298"/>
      <c r="K59" s="291">
        <f>K58-0.5%</f>
        <v>3.5000000000000003E-2</v>
      </c>
      <c r="L59" s="292">
        <v>15.8</v>
      </c>
      <c r="M59" s="293">
        <v>15.8</v>
      </c>
      <c r="N59" s="294">
        <v>15.8</v>
      </c>
      <c r="O59" s="293">
        <v>15.8</v>
      </c>
      <c r="P59" s="293">
        <v>15.8</v>
      </c>
    </row>
    <row r="60" spans="1:18">
      <c r="A60" s="52"/>
      <c r="B60" s="52"/>
      <c r="J60" s="298"/>
      <c r="K60" s="299">
        <f>K59-0.5%</f>
        <v>3.0000000000000002E-2</v>
      </c>
      <c r="L60" s="300">
        <v>15.2</v>
      </c>
      <c r="M60" s="293">
        <v>15.2</v>
      </c>
      <c r="N60" s="294">
        <v>15.2</v>
      </c>
      <c r="O60" s="293">
        <v>15.2</v>
      </c>
      <c r="P60" s="293">
        <v>15.2</v>
      </c>
    </row>
    <row r="61" spans="1:18">
      <c r="A61" s="301"/>
      <c r="B61" s="52"/>
      <c r="J61" s="123"/>
      <c r="K61" s="302"/>
      <c r="L61" s="302"/>
      <c r="M61" s="302"/>
      <c r="N61" s="302"/>
      <c r="O61" s="302"/>
      <c r="P61" s="302"/>
    </row>
    <row r="62" spans="1:18">
      <c r="A62" s="301"/>
      <c r="B62" s="52"/>
      <c r="J62" s="276"/>
      <c r="K62" s="277" t="s">
        <v>135</v>
      </c>
      <c r="L62" s="278"/>
      <c r="M62" s="279"/>
      <c r="N62" s="280" t="str">
        <f>N54</f>
        <v>EBITDA margin</v>
      </c>
      <c r="O62" s="279"/>
      <c r="P62" s="279"/>
    </row>
    <row r="63" spans="1:18">
      <c r="A63" s="301"/>
      <c r="B63" s="52"/>
      <c r="J63" s="276"/>
      <c r="K63" s="303">
        <f>I35</f>
        <v>-0.10326057715018822</v>
      </c>
      <c r="L63" s="282">
        <f>L55</f>
        <v>0.46845547502007118</v>
      </c>
      <c r="M63" s="283">
        <f>M55</f>
        <v>0.47845547502007119</v>
      </c>
      <c r="N63" s="284">
        <f>N55</f>
        <v>0.48845547502007119</v>
      </c>
      <c r="O63" s="283">
        <f>O55</f>
        <v>0.4984554750200712</v>
      </c>
      <c r="P63" s="285">
        <f>P55</f>
        <v>0.50845547502007116</v>
      </c>
    </row>
    <row r="64" spans="1:18">
      <c r="A64" s="301"/>
      <c r="B64" s="52"/>
      <c r="J64" s="286"/>
      <c r="K64" s="287">
        <f>K56</f>
        <v>4.9999999999999996E-2</v>
      </c>
      <c r="L64" s="304">
        <f>L56/SOP!$B$5-1</f>
        <v>-5.4344582938450348E-3</v>
      </c>
      <c r="M64" s="305">
        <f>M56/SOP!$B$5-1</f>
        <v>-5.4344582938450348E-3</v>
      </c>
      <c r="N64" s="306">
        <f>N56/SOP!$B$5-1</f>
        <v>-5.4344582938450348E-3</v>
      </c>
      <c r="O64" s="305">
        <f>O56/SOP!$B$5-1</f>
        <v>-5.4344582938450348E-3</v>
      </c>
      <c r="P64" s="305">
        <f>P56/SOP!$B$5-1</f>
        <v>-5.4344582938450348E-3</v>
      </c>
    </row>
    <row r="65" spans="1:16">
      <c r="A65" s="301"/>
      <c r="B65" s="52"/>
      <c r="J65" s="286"/>
      <c r="K65" s="291">
        <f>K57</f>
        <v>4.4999999999999998E-2</v>
      </c>
      <c r="L65" s="307">
        <f>L57/SOP!$B$5-1</f>
        <v>-5.9782302102924567E-2</v>
      </c>
      <c r="M65" s="308">
        <f>M57/SOP!$B$5-1</f>
        <v>-5.9782302102924567E-2</v>
      </c>
      <c r="N65" s="309">
        <f>N57/SOP!$B$5-1</f>
        <v>-5.9782302102924567E-2</v>
      </c>
      <c r="O65" s="308">
        <f>O57/SOP!$B$5-1</f>
        <v>-5.9782302102924567E-2</v>
      </c>
      <c r="P65" s="308">
        <f>P57/SOP!$B$5-1</f>
        <v>-5.9782302102924567E-2</v>
      </c>
    </row>
    <row r="66" spans="1:16">
      <c r="A66" s="301"/>
      <c r="B66" s="52"/>
      <c r="J66" s="295" t="s">
        <v>282</v>
      </c>
      <c r="K66" s="296">
        <f>K58</f>
        <v>0.04</v>
      </c>
      <c r="L66" s="310">
        <f>L58/SOP!$B$5-1</f>
        <v>-0.10326057715018822</v>
      </c>
      <c r="M66" s="309">
        <f>M58/SOP!$B$5-1</f>
        <v>-0.10326057715018822</v>
      </c>
      <c r="N66" s="309">
        <f>N58/SOP!$B$5-1</f>
        <v>-0.10326057715018822</v>
      </c>
      <c r="O66" s="309">
        <f>O58/SOP!$B$5-1</f>
        <v>-0.10326057715018822</v>
      </c>
      <c r="P66" s="309">
        <f>P58/SOP!$B$5-1</f>
        <v>-0.10326057715018822</v>
      </c>
    </row>
    <row r="67" spans="1:16">
      <c r="A67" s="301"/>
      <c r="B67" s="52"/>
      <c r="J67" s="298"/>
      <c r="K67" s="291">
        <f>K59</f>
        <v>3.5000000000000003E-2</v>
      </c>
      <c r="L67" s="307">
        <f>L59/SOP!$B$5-1</f>
        <v>-0.14130406781654381</v>
      </c>
      <c r="M67" s="308">
        <f>M59/SOP!$B$5-1</f>
        <v>-0.14130406781654381</v>
      </c>
      <c r="N67" s="309">
        <f>N59/SOP!$B$5-1</f>
        <v>-0.14130406781654381</v>
      </c>
      <c r="O67" s="308">
        <f>O59/SOP!$B$5-1</f>
        <v>-0.14130406781654381</v>
      </c>
      <c r="P67" s="308">
        <f>P59/SOP!$B$5-1</f>
        <v>-0.14130406781654381</v>
      </c>
    </row>
    <row r="68" spans="1:16">
      <c r="A68" s="301"/>
      <c r="B68" s="52"/>
      <c r="J68" s="298"/>
      <c r="K68" s="299">
        <f>K60</f>
        <v>3.0000000000000002E-2</v>
      </c>
      <c r="L68" s="311">
        <f>L60/SOP!$B$5-1</f>
        <v>-0.17391277410199157</v>
      </c>
      <c r="M68" s="308">
        <f>M60/SOP!$B$5-1</f>
        <v>-0.17391277410199157</v>
      </c>
      <c r="N68" s="309">
        <f>N60/SOP!$B$5-1</f>
        <v>-0.17391277410199157</v>
      </c>
      <c r="O68" s="308">
        <f>O60/SOP!$B$5-1</f>
        <v>-0.17391277410199157</v>
      </c>
      <c r="P68" s="308">
        <f>P60/SOP!$B$5-1</f>
        <v>-0.17391277410199157</v>
      </c>
    </row>
    <row r="69" spans="1:16">
      <c r="A69" s="52"/>
      <c r="B69" s="52"/>
      <c r="C69" s="52"/>
      <c r="D69" s="52"/>
      <c r="E69" s="52"/>
      <c r="F69" s="52"/>
      <c r="G69" s="52"/>
      <c r="H69" s="52"/>
      <c r="I69" s="52"/>
      <c r="J69" s="52"/>
      <c r="K69" s="52"/>
      <c r="L69" s="1401"/>
      <c r="M69" s="1401"/>
      <c r="N69" s="1401"/>
      <c r="O69" s="1401"/>
    </row>
    <row r="70" spans="1:16">
      <c r="A70" s="312" t="s">
        <v>201</v>
      </c>
      <c r="B70" s="313"/>
      <c r="C70" s="220"/>
      <c r="D70" s="220"/>
      <c r="E70" s="220"/>
      <c r="F70" s="220"/>
      <c r="G70" s="220"/>
      <c r="H70" s="220"/>
      <c r="I70" s="220"/>
      <c r="J70" s="220"/>
      <c r="K70" s="220"/>
      <c r="L70" s="220"/>
      <c r="M70" s="220"/>
      <c r="N70" s="220"/>
      <c r="O70" s="220"/>
      <c r="P70" s="314" t="s">
        <v>200</v>
      </c>
    </row>
    <row r="71" spans="1:16">
      <c r="A71" s="52"/>
      <c r="B71" s="52"/>
      <c r="C71" s="52"/>
      <c r="D71" s="52"/>
      <c r="E71" s="52"/>
      <c r="F71" s="52"/>
      <c r="G71" s="52"/>
      <c r="H71" s="52"/>
      <c r="I71" s="52"/>
      <c r="J71" s="52"/>
      <c r="K71" s="52"/>
      <c r="L71" s="1401"/>
      <c r="M71" s="1401"/>
      <c r="N71" s="1401"/>
      <c r="O71" s="1401"/>
      <c r="P71" s="52"/>
    </row>
    <row r="98" spans="1:5">
      <c r="A98" s="52"/>
      <c r="B98" s="52"/>
      <c r="C98" s="52"/>
      <c r="D98" s="192"/>
      <c r="E98" s="52"/>
    </row>
    <row r="99" spans="1:5">
      <c r="A99" s="52"/>
      <c r="B99" s="52"/>
      <c r="C99" s="52"/>
      <c r="D99" s="192"/>
      <c r="E99" s="52"/>
    </row>
  </sheetData>
  <mergeCells count="1">
    <mergeCell ref="R32:S32"/>
  </mergeCells>
  <pageMargins left="0.7" right="0.7" top="0.75" bottom="0.75" header="0.3" footer="0.3"/>
  <pageSetup scale="70"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enableFormatConditionsCalculation="0">
    <tabColor indexed="8"/>
    <pageSetUpPr fitToPage="1"/>
  </sheetPr>
  <dimension ref="A1"/>
  <sheetViews>
    <sheetView workbookViewId="0"/>
  </sheetViews>
  <sheetFormatPr defaultRowHeight="12.75"/>
  <cols>
    <col min="1" max="16384" width="9.140625" style="1864"/>
  </cols>
  <sheetData/>
  <phoneticPr fontId="11" type="noConversion"/>
  <pageMargins left="0.25" right="0.25" top="0.5" bottom="0.5" header="0.5" footer="0.5"/>
  <pageSetup orientation="landscape" r:id="rId1"/>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4" tint="0.59999389629810485"/>
    <pageSetUpPr fitToPage="1"/>
  </sheetPr>
  <dimension ref="A1:BG43"/>
  <sheetViews>
    <sheetView showGridLines="0" zoomScaleNormal="100" workbookViewId="0"/>
  </sheetViews>
  <sheetFormatPr defaultRowHeight="12.75" outlineLevelRow="1"/>
  <cols>
    <col min="1" max="1" width="2.28515625" customWidth="1"/>
    <col min="2" max="2" width="11.85546875" customWidth="1"/>
    <col min="3" max="4" width="2.28515625" customWidth="1"/>
    <col min="5" max="46" width="2.140625" customWidth="1"/>
    <col min="47" max="47" width="2.85546875" customWidth="1"/>
    <col min="48" max="48" width="9.140625" customWidth="1"/>
    <col min="49" max="49" width="8.42578125" customWidth="1"/>
    <col min="50" max="50" width="7.28515625" customWidth="1"/>
    <col min="51" max="51" width="16.42578125" customWidth="1"/>
  </cols>
  <sheetData>
    <row r="1" spans="2:52" ht="18">
      <c r="B1" s="112" t="str">
        <f>Index!$B$1</f>
        <v>São Martinho</v>
      </c>
      <c r="C1" s="1892"/>
      <c r="D1" s="1892"/>
      <c r="E1" s="1892"/>
      <c r="F1" s="1892"/>
      <c r="G1" s="1892"/>
      <c r="H1" s="1892"/>
      <c r="I1" s="1892"/>
      <c r="J1" s="1892"/>
      <c r="K1" s="1892"/>
      <c r="L1" s="1892"/>
      <c r="M1" s="1892"/>
      <c r="N1" s="1892"/>
      <c r="O1" s="1892"/>
      <c r="P1" s="1892"/>
      <c r="Q1" s="1892"/>
      <c r="R1" s="1892"/>
      <c r="S1" s="1892"/>
      <c r="T1" s="1892"/>
      <c r="U1" s="1892"/>
      <c r="V1" s="1892"/>
      <c r="W1" s="1892"/>
      <c r="X1" s="1892"/>
      <c r="Y1" s="1892"/>
      <c r="Z1" s="1892"/>
      <c r="AA1" s="1892"/>
      <c r="AB1" s="1892"/>
      <c r="AC1" s="1892"/>
      <c r="AD1" s="1892"/>
      <c r="AE1" s="1892"/>
      <c r="AF1" s="1892"/>
      <c r="AG1" s="1892"/>
      <c r="AH1" s="1892"/>
      <c r="AI1" s="1892"/>
      <c r="AJ1" s="1892"/>
      <c r="AK1" s="1892"/>
      <c r="AL1" s="1892"/>
      <c r="AM1" s="1892"/>
      <c r="AN1" s="1892"/>
      <c r="AO1" s="1892"/>
      <c r="AP1" s="1892"/>
      <c r="AQ1" s="1892"/>
      <c r="AR1" s="1892"/>
      <c r="AS1" s="1892"/>
      <c r="AT1" s="1892"/>
      <c r="AU1" s="1892"/>
      <c r="AV1" s="1892"/>
      <c r="AW1" s="1892"/>
      <c r="AX1" s="1892"/>
      <c r="AY1" s="1892"/>
    </row>
    <row r="2" spans="2:52" ht="15">
      <c r="B2" s="1893" t="s">
        <v>1432</v>
      </c>
      <c r="C2" s="1894"/>
      <c r="D2" s="1894"/>
      <c r="E2" s="1894"/>
      <c r="F2" s="1894"/>
      <c r="G2" s="1894"/>
      <c r="H2" s="1894"/>
      <c r="I2" s="1894"/>
      <c r="J2" s="1894"/>
      <c r="K2" s="1894"/>
      <c r="L2" s="1894"/>
      <c r="M2" s="1894"/>
      <c r="N2" s="1894"/>
      <c r="O2" s="1894"/>
      <c r="P2" s="1894"/>
      <c r="Q2" s="1894"/>
      <c r="R2" s="1894"/>
      <c r="S2" s="1894"/>
      <c r="T2" s="1894"/>
      <c r="U2" s="1894"/>
      <c r="V2" s="1894"/>
      <c r="W2" s="1894"/>
      <c r="X2" s="1894"/>
      <c r="Y2" s="1894"/>
      <c r="Z2" s="1894"/>
      <c r="AA2" s="1894"/>
      <c r="AB2" s="1894"/>
      <c r="AC2" s="1894"/>
      <c r="AD2" s="1894"/>
      <c r="AE2" s="1894"/>
      <c r="AF2" s="1894"/>
      <c r="AG2" s="1894"/>
      <c r="AH2" s="1894"/>
      <c r="AI2" s="1894"/>
      <c r="AJ2" s="1894"/>
      <c r="AK2" s="1894"/>
      <c r="AL2" s="1894"/>
      <c r="AM2" s="1894"/>
      <c r="AN2" s="1894"/>
      <c r="AO2" s="1894"/>
      <c r="AP2" s="1894"/>
      <c r="AQ2" s="1894"/>
      <c r="AR2" s="1894"/>
      <c r="AS2" s="1894"/>
      <c r="AT2" s="1894"/>
      <c r="AU2" s="1894"/>
      <c r="AV2" s="1894"/>
      <c r="AW2" s="1894"/>
      <c r="AX2" s="1894"/>
      <c r="AY2" s="432" t="s">
        <v>27</v>
      </c>
    </row>
    <row r="4" spans="2:52" ht="15">
      <c r="B4" s="1896" t="s">
        <v>1433</v>
      </c>
      <c r="C4" s="1894"/>
      <c r="D4" s="1894"/>
      <c r="E4" s="1894"/>
      <c r="F4" s="1894"/>
      <c r="G4" s="1894"/>
      <c r="H4" s="1894"/>
      <c r="I4" s="1894"/>
      <c r="J4" s="1894"/>
      <c r="K4" s="1894"/>
      <c r="L4" s="1894"/>
      <c r="M4" s="1894"/>
      <c r="N4" s="1894"/>
      <c r="O4" s="1894"/>
      <c r="P4" s="1894"/>
      <c r="Q4" s="1894"/>
      <c r="R4" s="1894"/>
      <c r="S4" s="1894"/>
      <c r="T4" s="1894"/>
      <c r="U4" s="1894"/>
      <c r="V4" s="1894"/>
      <c r="W4" s="1894"/>
      <c r="X4" s="1894"/>
      <c r="Y4" s="1894"/>
      <c r="Z4" s="1894"/>
      <c r="AA4" s="1894"/>
      <c r="AB4" s="1894"/>
      <c r="AC4" s="1894"/>
      <c r="AD4" s="1894"/>
      <c r="AE4" s="1894"/>
      <c r="AF4" s="1894"/>
      <c r="AG4" s="1894"/>
      <c r="AH4" s="1894"/>
      <c r="AI4" s="1894"/>
      <c r="AJ4" s="1894"/>
      <c r="AK4" s="1894"/>
      <c r="AL4" s="1894"/>
      <c r="AM4" s="1894"/>
      <c r="AN4" s="1894"/>
      <c r="AO4" s="1894"/>
      <c r="AP4" s="1894"/>
      <c r="AQ4" s="1894"/>
      <c r="AR4" s="1894"/>
      <c r="AS4" s="1894"/>
      <c r="AT4" s="1894"/>
      <c r="AU4" s="1895"/>
      <c r="AV4" s="1893" t="s">
        <v>1451</v>
      </c>
      <c r="AW4" s="1894"/>
      <c r="AX4" s="1894"/>
      <c r="AY4" s="1894"/>
    </row>
    <row r="5" spans="2:52" ht="13.5" thickBot="1"/>
    <row r="6" spans="2:52" ht="12.75" customHeight="1">
      <c r="B6" s="2154" t="s">
        <v>1524</v>
      </c>
      <c r="C6" s="2155"/>
      <c r="D6" s="2155"/>
      <c r="E6" s="2155"/>
      <c r="F6" s="2155"/>
      <c r="G6" s="2155"/>
      <c r="I6" s="1897"/>
      <c r="J6" s="1897"/>
      <c r="K6" s="1897"/>
      <c r="L6" s="2560">
        <v>2016</v>
      </c>
      <c r="M6" s="2560"/>
      <c r="N6" s="2560"/>
      <c r="O6" s="1897"/>
      <c r="P6" s="1897"/>
      <c r="Q6" s="1897"/>
      <c r="R6" s="2163"/>
      <c r="S6" s="2574" t="s">
        <v>1316</v>
      </c>
      <c r="T6" s="2575"/>
      <c r="U6" s="2575"/>
      <c r="V6" s="2575"/>
      <c r="W6" s="2575"/>
      <c r="X6" s="2575"/>
      <c r="Y6" s="2575"/>
      <c r="Z6" s="2575"/>
      <c r="AA6" s="2575"/>
      <c r="AB6" s="2575"/>
      <c r="AC6" s="2575"/>
      <c r="AD6" s="2576"/>
      <c r="AE6" s="2559" t="s">
        <v>1518</v>
      </c>
      <c r="AF6" s="2560"/>
      <c r="AG6" s="2560"/>
      <c r="AH6" s="2560"/>
      <c r="AI6" s="2560"/>
      <c r="AJ6" s="2560"/>
      <c r="AK6" s="2560"/>
      <c r="AL6" s="2560"/>
      <c r="AM6" s="2560"/>
      <c r="AN6" s="2560"/>
      <c r="AO6" s="2560"/>
      <c r="AP6" s="2561"/>
      <c r="AQ6" s="1898"/>
      <c r="AR6" s="1897"/>
      <c r="AS6" s="1897"/>
      <c r="AT6" s="2293" t="s">
        <v>1619</v>
      </c>
      <c r="AU6" s="1904"/>
      <c r="AV6" s="1904"/>
    </row>
    <row r="7" spans="2:52" ht="13.5" thickBot="1">
      <c r="B7" s="2155"/>
      <c r="C7" s="2155"/>
      <c r="D7" s="2155"/>
      <c r="E7" s="2155"/>
      <c r="F7" s="2155"/>
      <c r="G7" s="2155"/>
      <c r="I7" s="1899" t="s">
        <v>1440</v>
      </c>
      <c r="J7" s="1899" t="s">
        <v>150</v>
      </c>
      <c r="K7" s="1899" t="s">
        <v>1440</v>
      </c>
      <c r="L7" s="1899" t="s">
        <v>1438</v>
      </c>
      <c r="M7" s="1899" t="s">
        <v>1438</v>
      </c>
      <c r="N7" s="1899" t="s">
        <v>150</v>
      </c>
      <c r="O7" s="1899" t="s">
        <v>1434</v>
      </c>
      <c r="P7" s="1899" t="s">
        <v>1435</v>
      </c>
      <c r="Q7" s="1899" t="s">
        <v>1436</v>
      </c>
      <c r="R7" s="1900" t="s">
        <v>1437</v>
      </c>
      <c r="S7" s="1907" t="s">
        <v>1438</v>
      </c>
      <c r="T7" s="1902" t="s">
        <v>1439</v>
      </c>
      <c r="U7" s="1902" t="s">
        <v>1440</v>
      </c>
      <c r="V7" s="1902" t="s">
        <v>150</v>
      </c>
      <c r="W7" s="1902" t="s">
        <v>1440</v>
      </c>
      <c r="X7" s="1902" t="s">
        <v>1438</v>
      </c>
      <c r="Y7" s="1902" t="s">
        <v>1438</v>
      </c>
      <c r="Z7" s="1902" t="s">
        <v>150</v>
      </c>
      <c r="AA7" s="1902" t="s">
        <v>1434</v>
      </c>
      <c r="AB7" s="1902" t="s">
        <v>1435</v>
      </c>
      <c r="AC7" s="1902" t="s">
        <v>1436</v>
      </c>
      <c r="AD7" s="1903" t="s">
        <v>1437</v>
      </c>
      <c r="AE7" s="1901" t="s">
        <v>1438</v>
      </c>
      <c r="AF7" s="1899" t="s">
        <v>1439</v>
      </c>
      <c r="AG7" s="1899" t="s">
        <v>1440</v>
      </c>
      <c r="AH7" s="1899" t="s">
        <v>150</v>
      </c>
      <c r="AI7" s="1899" t="s">
        <v>1440</v>
      </c>
      <c r="AJ7" s="1899" t="s">
        <v>1438</v>
      </c>
      <c r="AK7" s="1899" t="s">
        <v>1438</v>
      </c>
      <c r="AL7" s="1899" t="s">
        <v>150</v>
      </c>
      <c r="AM7" s="1899" t="s">
        <v>1434</v>
      </c>
      <c r="AN7" s="1899" t="s">
        <v>1435</v>
      </c>
      <c r="AO7" s="1899" t="s">
        <v>1436</v>
      </c>
      <c r="AP7" s="1900" t="s">
        <v>1437</v>
      </c>
      <c r="AQ7" s="1901" t="s">
        <v>1438</v>
      </c>
      <c r="AR7" s="1899" t="s">
        <v>1439</v>
      </c>
      <c r="AS7" s="1899" t="s">
        <v>1440</v>
      </c>
      <c r="AT7" s="1906" t="s">
        <v>150</v>
      </c>
      <c r="AU7" s="1905"/>
      <c r="AV7" s="1905"/>
    </row>
    <row r="8" spans="2:52">
      <c r="J8" s="1910"/>
      <c r="K8" s="1911"/>
      <c r="L8" s="1911"/>
      <c r="M8" s="1911"/>
      <c r="N8" s="1911"/>
      <c r="O8" s="1911"/>
      <c r="P8" s="1911"/>
      <c r="Q8" s="1911"/>
      <c r="R8" s="1911"/>
      <c r="S8" s="1911"/>
      <c r="T8" s="1911"/>
      <c r="U8" s="1912"/>
      <c r="V8" s="1910"/>
      <c r="W8" s="1911"/>
      <c r="X8" s="1911"/>
      <c r="Y8" s="1911"/>
      <c r="Z8" s="1911"/>
      <c r="AA8" s="1911"/>
      <c r="AB8" s="1911"/>
      <c r="AC8" s="1911"/>
      <c r="AD8" s="1911"/>
      <c r="AE8" s="1911"/>
      <c r="AF8" s="1911"/>
      <c r="AG8" s="1912"/>
      <c r="AH8" s="1910"/>
      <c r="AI8" s="1911"/>
      <c r="AJ8" s="1911"/>
      <c r="AK8" s="1911"/>
      <c r="AL8" s="1911"/>
      <c r="AM8" s="1911"/>
      <c r="AN8" s="1911"/>
      <c r="AO8" s="1911"/>
      <c r="AP8" s="1911"/>
      <c r="AQ8" s="1911"/>
      <c r="AR8" s="1911"/>
      <c r="AS8" s="1912"/>
    </row>
    <row r="9" spans="2:52">
      <c r="J9" s="1908"/>
      <c r="K9" s="18"/>
      <c r="L9" s="18"/>
      <c r="M9" s="18"/>
      <c r="N9" s="18"/>
      <c r="O9" s="18"/>
      <c r="P9" s="18"/>
      <c r="Q9" s="18"/>
      <c r="R9" s="18"/>
      <c r="S9" s="18"/>
      <c r="T9" s="18"/>
      <c r="U9" s="1909"/>
      <c r="V9" s="1908"/>
      <c r="W9" s="18"/>
      <c r="X9" s="18"/>
      <c r="Y9" s="18"/>
      <c r="Z9" s="18"/>
      <c r="AA9" s="18"/>
      <c r="AB9" s="18"/>
      <c r="AC9" s="18"/>
      <c r="AD9" s="18"/>
      <c r="AE9" s="18"/>
      <c r="AF9" s="18"/>
      <c r="AG9" s="1909"/>
      <c r="AH9" s="1908"/>
      <c r="AI9" s="18"/>
      <c r="AJ9" s="18"/>
      <c r="AK9" s="18"/>
      <c r="AL9" s="18"/>
      <c r="AM9" s="18"/>
      <c r="AN9" s="18"/>
      <c r="AO9" s="18"/>
      <c r="AP9" s="18"/>
      <c r="AQ9" s="18"/>
      <c r="AR9" s="18"/>
      <c r="AS9" s="1909"/>
      <c r="AY9" s="2433" t="s">
        <v>1531</v>
      </c>
    </row>
    <row r="10" spans="2:52">
      <c r="B10" s="2156" t="s">
        <v>1525</v>
      </c>
      <c r="C10" s="2157"/>
      <c r="D10" s="2157"/>
      <c r="E10" s="2157"/>
      <c r="F10" s="2157"/>
      <c r="G10" s="2157"/>
      <c r="J10" s="2562" t="s">
        <v>1442</v>
      </c>
      <c r="K10" s="2563"/>
      <c r="L10" s="2563"/>
      <c r="M10" s="2563"/>
      <c r="N10" s="2563"/>
      <c r="O10" s="2563"/>
      <c r="P10" s="2563"/>
      <c r="Q10" s="2563"/>
      <c r="R10" s="2563"/>
      <c r="S10" s="2563"/>
      <c r="T10" s="2563"/>
      <c r="U10" s="2564"/>
      <c r="V10" s="2565" t="s">
        <v>1441</v>
      </c>
      <c r="W10" s="2566"/>
      <c r="X10" s="2566"/>
      <c r="Y10" s="2566"/>
      <c r="Z10" s="2566"/>
      <c r="AA10" s="2566"/>
      <c r="AB10" s="2566"/>
      <c r="AC10" s="2566"/>
      <c r="AD10" s="2566"/>
      <c r="AE10" s="2566"/>
      <c r="AF10" s="2566"/>
      <c r="AG10" s="2567"/>
      <c r="AH10" s="2562" t="s">
        <v>1443</v>
      </c>
      <c r="AI10" s="2563"/>
      <c r="AJ10" s="2563"/>
      <c r="AK10" s="2563"/>
      <c r="AL10" s="2563"/>
      <c r="AM10" s="2563"/>
      <c r="AN10" s="2563"/>
      <c r="AO10" s="2563"/>
      <c r="AP10" s="2563"/>
      <c r="AQ10" s="2563"/>
      <c r="AR10" s="2563"/>
      <c r="AS10" s="2564"/>
      <c r="AW10" s="2265"/>
      <c r="AX10" t="s">
        <v>54</v>
      </c>
      <c r="AY10" s="2502">
        <f>'Cost analysis'!$D$37</f>
        <v>12.168185243148283</v>
      </c>
      <c r="AZ10" s="2262" t="s">
        <v>1532</v>
      </c>
    </row>
    <row r="11" spans="2:52">
      <c r="B11" s="2156"/>
      <c r="C11" s="2157"/>
      <c r="D11" s="2157"/>
      <c r="E11" s="2157"/>
      <c r="F11" s="2157"/>
      <c r="G11" s="2157"/>
      <c r="J11" s="2568" t="s">
        <v>1307</v>
      </c>
      <c r="K11" s="2569"/>
      <c r="L11" s="2569"/>
      <c r="M11" s="2569"/>
      <c r="N11" s="2569"/>
      <c r="O11" s="2569"/>
      <c r="P11" s="2569"/>
      <c r="Q11" s="2569"/>
      <c r="R11" s="2569"/>
      <c r="S11" s="2569"/>
      <c r="T11" s="2569"/>
      <c r="U11" s="2570"/>
      <c r="V11" s="2571" t="s">
        <v>1363</v>
      </c>
      <c r="W11" s="2572"/>
      <c r="X11" s="2572"/>
      <c r="Y11" s="2572"/>
      <c r="Z11" s="2572"/>
      <c r="AA11" s="2572"/>
      <c r="AB11" s="2572"/>
      <c r="AC11" s="2572"/>
      <c r="AD11" s="2572"/>
      <c r="AE11" s="2572"/>
      <c r="AF11" s="2572"/>
      <c r="AG11" s="2573"/>
      <c r="AH11" s="2568" t="s">
        <v>1599</v>
      </c>
      <c r="AI11" s="2569"/>
      <c r="AJ11" s="2569"/>
      <c r="AK11" s="2569"/>
      <c r="AL11" s="2569"/>
      <c r="AM11" s="2569"/>
      <c r="AN11" s="2569"/>
      <c r="AO11" s="2569"/>
      <c r="AP11" s="2569"/>
      <c r="AQ11" s="2569"/>
      <c r="AR11" s="2569"/>
      <c r="AS11" s="2570"/>
      <c r="AW11" s="2265"/>
      <c r="AX11" t="s">
        <v>42</v>
      </c>
      <c r="AY11" s="2434">
        <f>AY10/0.0454/1.0453*1.7*'Cost analysis'!D49</f>
        <v>1441.6332966992211</v>
      </c>
      <c r="AZ11" s="2435" t="s">
        <v>1759</v>
      </c>
    </row>
    <row r="12" spans="2:52">
      <c r="J12" s="1908"/>
      <c r="K12" s="18"/>
      <c r="L12" s="18"/>
      <c r="M12" s="18"/>
      <c r="N12" s="18"/>
      <c r="O12" s="18"/>
      <c r="P12" s="18"/>
      <c r="Q12" s="18"/>
      <c r="R12" s="18"/>
      <c r="S12" s="18"/>
      <c r="T12" s="18"/>
      <c r="U12" s="1909"/>
      <c r="V12" s="1908"/>
      <c r="W12" s="18"/>
      <c r="X12" s="18"/>
      <c r="Y12" s="18"/>
      <c r="Z12" s="18"/>
      <c r="AA12" s="18"/>
      <c r="AB12" s="18"/>
      <c r="AC12" s="18"/>
      <c r="AD12" s="18"/>
      <c r="AE12" s="18"/>
      <c r="AF12" s="18"/>
      <c r="AG12" s="1909"/>
      <c r="AH12" s="1908"/>
      <c r="AI12" s="18"/>
      <c r="AJ12" s="18"/>
      <c r="AK12" s="18"/>
      <c r="AL12" s="18"/>
      <c r="AM12" s="18"/>
      <c r="AN12" s="18"/>
      <c r="AO12" s="18"/>
      <c r="AP12" s="18"/>
      <c r="AQ12" s="18"/>
      <c r="AR12" s="18"/>
      <c r="AS12" s="1909"/>
    </row>
    <row r="13" spans="2:52">
      <c r="J13" s="1908"/>
      <c r="K13" s="18"/>
      <c r="L13" s="18"/>
      <c r="M13" s="18"/>
      <c r="N13" s="18"/>
      <c r="O13" s="18"/>
      <c r="P13" s="18"/>
      <c r="Q13" s="18"/>
      <c r="R13" s="18"/>
      <c r="S13" s="18"/>
      <c r="T13" s="18"/>
      <c r="U13" s="1909"/>
      <c r="V13" s="1908"/>
      <c r="W13" s="18"/>
      <c r="X13" s="18"/>
      <c r="Y13" s="18"/>
      <c r="Z13" s="18"/>
      <c r="AA13" s="18"/>
      <c r="AB13" s="18"/>
      <c r="AC13" s="18"/>
      <c r="AD13" s="18"/>
      <c r="AE13" s="18"/>
      <c r="AF13" s="18"/>
      <c r="AG13" s="1909"/>
      <c r="AH13" s="1908"/>
      <c r="AI13" s="18"/>
      <c r="AJ13" s="18"/>
      <c r="AK13" s="18"/>
      <c r="AL13" s="18"/>
      <c r="AM13" s="18"/>
      <c r="AN13" s="18"/>
      <c r="AO13" s="18"/>
      <c r="AP13" s="18"/>
      <c r="AQ13" s="18"/>
      <c r="AR13" s="18"/>
      <c r="AS13" s="1909"/>
      <c r="AV13" t="s">
        <v>54</v>
      </c>
      <c r="AW13" s="2264" t="s">
        <v>1529</v>
      </c>
      <c r="AX13" s="2263">
        <f>Inputs!B193</f>
        <v>4.5400000000000003E-2</v>
      </c>
      <c r="AY13" t="s">
        <v>1530</v>
      </c>
    </row>
    <row r="14" spans="2:52" ht="13.5" thickBot="1">
      <c r="J14" s="1928"/>
      <c r="K14" s="1929"/>
      <c r="L14" s="1929"/>
      <c r="M14" s="1929"/>
      <c r="N14" s="1929"/>
      <c r="O14" s="1929"/>
      <c r="P14" s="1929"/>
      <c r="Q14" s="1929"/>
      <c r="R14" s="1929"/>
      <c r="S14" s="1929"/>
      <c r="T14" s="1929"/>
      <c r="U14" s="1930"/>
      <c r="V14" s="1928"/>
      <c r="W14" s="1929"/>
      <c r="X14" s="1929"/>
      <c r="Y14" s="1929"/>
      <c r="Z14" s="1929"/>
      <c r="AA14" s="1929"/>
      <c r="AB14" s="1929"/>
      <c r="AC14" s="1929"/>
      <c r="AD14" s="1929"/>
      <c r="AE14" s="1929"/>
      <c r="AF14" s="1929"/>
      <c r="AG14" s="1930"/>
      <c r="AH14" s="1928"/>
      <c r="AI14" s="1929"/>
      <c r="AJ14" s="1929"/>
      <c r="AK14" s="1929"/>
      <c r="AL14" s="1929"/>
      <c r="AM14" s="1929"/>
      <c r="AN14" s="1929"/>
      <c r="AO14" s="1929"/>
      <c r="AP14" s="1929"/>
      <c r="AQ14" s="1929"/>
      <c r="AR14" s="1929"/>
      <c r="AS14" s="1930"/>
      <c r="AV14" t="s">
        <v>1602</v>
      </c>
      <c r="AW14" s="2264" t="s">
        <v>1601</v>
      </c>
      <c r="AX14" s="2263">
        <f>((((((1*3.79)/(1000*Inputs!O155)/3.79)*1000)/1.7651)*1.0453)*0.0454)</f>
        <v>8.1292525254626335E-3</v>
      </c>
      <c r="AY14" t="s">
        <v>1530</v>
      </c>
    </row>
    <row r="15" spans="2:52">
      <c r="B15" s="2161" t="s">
        <v>1527</v>
      </c>
      <c r="C15" s="2161"/>
      <c r="D15" s="2161"/>
      <c r="E15" s="2161"/>
      <c r="F15" s="2161"/>
      <c r="G15" s="2161"/>
      <c r="J15" s="2547" t="s">
        <v>1448</v>
      </c>
      <c r="K15" s="2548"/>
      <c r="L15" s="2548"/>
      <c r="M15" s="2548"/>
      <c r="N15" s="2548"/>
      <c r="O15" s="2548"/>
      <c r="P15" s="2548"/>
      <c r="Q15" s="2548"/>
      <c r="R15" s="2548"/>
      <c r="S15" s="2548"/>
      <c r="T15" s="2548"/>
      <c r="U15" s="2549"/>
      <c r="V15" s="2553" t="s">
        <v>1449</v>
      </c>
      <c r="W15" s="2554"/>
      <c r="X15" s="2554"/>
      <c r="Y15" s="2554"/>
      <c r="Z15" s="2554"/>
      <c r="AA15" s="2554"/>
      <c r="AB15" s="2554"/>
      <c r="AC15" s="2554"/>
      <c r="AD15" s="2554"/>
      <c r="AE15" s="2554"/>
      <c r="AF15" s="2554"/>
      <c r="AG15" s="2555"/>
      <c r="AH15" s="2547" t="s">
        <v>1450</v>
      </c>
      <c r="AI15" s="2548"/>
      <c r="AJ15" s="2548"/>
      <c r="AK15" s="2548"/>
      <c r="AL15" s="2548"/>
      <c r="AM15" s="2548"/>
      <c r="AN15" s="2548"/>
      <c r="AO15" s="2548"/>
      <c r="AP15" s="2548"/>
      <c r="AQ15" s="2548"/>
      <c r="AR15" s="2548"/>
      <c r="AS15" s="2549"/>
      <c r="AV15" t="s">
        <v>1603</v>
      </c>
      <c r="AW15" s="2264" t="s">
        <v>1601</v>
      </c>
      <c r="AX15" s="2263">
        <f>((((((1*3.79)/(1000*Inputs!O155)/3.79)*1000)/1.6913)*1.0453)*0.0454)</f>
        <v>8.4839730578218486E-3</v>
      </c>
      <c r="AY15" t="s">
        <v>1530</v>
      </c>
    </row>
    <row r="16" spans="2:52">
      <c r="B16" s="2162"/>
      <c r="C16" s="2161"/>
      <c r="D16" s="2161"/>
      <c r="E16" s="2161"/>
      <c r="F16" s="2161"/>
      <c r="G16" s="2161"/>
      <c r="J16" s="2550">
        <v>2017</v>
      </c>
      <c r="K16" s="2551"/>
      <c r="L16" s="2551"/>
      <c r="M16" s="2551"/>
      <c r="N16" s="2551"/>
      <c r="O16" s="2551"/>
      <c r="P16" s="2551"/>
      <c r="Q16" s="2551"/>
      <c r="R16" s="2551"/>
      <c r="S16" s="2551"/>
      <c r="T16" s="2551"/>
      <c r="U16" s="2552"/>
      <c r="V16" s="2556" t="str">
        <f>AE6</f>
        <v>2018e</v>
      </c>
      <c r="W16" s="2557"/>
      <c r="X16" s="2557"/>
      <c r="Y16" s="2557"/>
      <c r="Z16" s="2557"/>
      <c r="AA16" s="2557"/>
      <c r="AB16" s="2557"/>
      <c r="AC16" s="2557"/>
      <c r="AD16" s="2557"/>
      <c r="AE16" s="2557"/>
      <c r="AF16" s="2557"/>
      <c r="AG16" s="2558"/>
      <c r="AH16" s="2550" t="str">
        <f>AT6</f>
        <v>2019e</v>
      </c>
      <c r="AI16" s="2551"/>
      <c r="AJ16" s="2551"/>
      <c r="AK16" s="2551"/>
      <c r="AL16" s="2551"/>
      <c r="AM16" s="2551"/>
      <c r="AN16" s="2551"/>
      <c r="AO16" s="2551"/>
      <c r="AP16" s="2551"/>
      <c r="AQ16" s="2551"/>
      <c r="AR16" s="2551"/>
      <c r="AS16" s="2552"/>
    </row>
    <row r="17" spans="1:49" ht="5.25" customHeight="1" thickBot="1">
      <c r="B17" s="2162"/>
      <c r="C17" s="2161"/>
      <c r="D17" s="2161"/>
      <c r="E17" s="2161"/>
      <c r="F17" s="2161"/>
      <c r="G17" s="2161"/>
      <c r="J17" s="1922"/>
      <c r="K17" s="1923"/>
      <c r="L17" s="1923"/>
      <c r="M17" s="1923"/>
      <c r="N17" s="1923"/>
      <c r="O17" s="1923"/>
      <c r="P17" s="1923"/>
      <c r="Q17" s="1923"/>
      <c r="R17" s="1923"/>
      <c r="S17" s="1923"/>
      <c r="T17" s="1923"/>
      <c r="U17" s="1923"/>
      <c r="V17" s="1922"/>
      <c r="W17" s="1923"/>
      <c r="X17" s="1923"/>
      <c r="Y17" s="1923"/>
      <c r="Z17" s="1923"/>
      <c r="AA17" s="1923"/>
      <c r="AB17" s="1923"/>
      <c r="AC17" s="1923"/>
      <c r="AD17" s="1923"/>
      <c r="AE17" s="1923"/>
      <c r="AF17" s="1923"/>
      <c r="AG17" s="1924"/>
      <c r="AH17" s="1923"/>
      <c r="AI17" s="1923"/>
      <c r="AJ17" s="1923"/>
      <c r="AK17" s="1923"/>
      <c r="AL17" s="1923"/>
      <c r="AM17" s="1923"/>
      <c r="AN17" s="1923"/>
      <c r="AO17" s="1923"/>
      <c r="AP17" s="1923"/>
      <c r="AQ17" s="1923"/>
      <c r="AR17" s="1923"/>
      <c r="AS17" s="1924"/>
    </row>
    <row r="18" spans="1:49" ht="13.5" thickBot="1">
      <c r="B18" s="2162"/>
      <c r="C18" s="2161"/>
      <c r="D18" s="2161"/>
      <c r="E18" s="2161"/>
      <c r="F18" s="2161"/>
      <c r="G18" s="2161"/>
      <c r="I18" s="1917"/>
      <c r="J18" s="1918"/>
      <c r="K18" s="1914" t="s">
        <v>1445</v>
      </c>
      <c r="L18" s="1915"/>
      <c r="M18" s="1916"/>
      <c r="N18" s="1914" t="s">
        <v>1446</v>
      </c>
      <c r="O18" s="1915"/>
      <c r="P18" s="1916"/>
      <c r="Q18" s="1914" t="s">
        <v>1447</v>
      </c>
      <c r="R18" s="1915"/>
      <c r="S18" s="1916"/>
      <c r="T18" s="1914" t="s">
        <v>1444</v>
      </c>
      <c r="U18" s="1917"/>
      <c r="V18" s="1916"/>
      <c r="W18" s="1914" t="s">
        <v>1445</v>
      </c>
      <c r="X18" s="1917"/>
      <c r="Y18" s="1919"/>
      <c r="Z18" s="1913" t="s">
        <v>1446</v>
      </c>
      <c r="AA18" s="1920"/>
      <c r="AB18" s="1918"/>
      <c r="AC18" s="1914" t="s">
        <v>1447</v>
      </c>
      <c r="AD18" s="1915"/>
      <c r="AE18" s="1916"/>
      <c r="AF18" s="1914" t="s">
        <v>1444</v>
      </c>
      <c r="AG18" s="1917"/>
      <c r="AH18" s="1918"/>
      <c r="AI18" s="1914" t="s">
        <v>1445</v>
      </c>
      <c r="AJ18" s="1915"/>
      <c r="AK18" s="1916"/>
      <c r="AL18" s="1914" t="s">
        <v>1446</v>
      </c>
      <c r="AM18" s="1915"/>
      <c r="AN18" s="1916"/>
      <c r="AO18" s="1914" t="s">
        <v>1447</v>
      </c>
      <c r="AP18" s="1915"/>
      <c r="AQ18" s="1916"/>
      <c r="AR18" s="1914" t="s">
        <v>1444</v>
      </c>
      <c r="AS18" s="1917"/>
      <c r="AT18" s="1916"/>
    </row>
    <row r="19" spans="1:49">
      <c r="E19" s="763"/>
      <c r="J19" s="1908"/>
      <c r="K19" s="18"/>
      <c r="L19" s="18"/>
      <c r="M19" s="18"/>
      <c r="N19" s="18"/>
      <c r="O19" s="18"/>
      <c r="P19" s="18"/>
      <c r="Q19" s="18"/>
      <c r="R19" s="18"/>
      <c r="S19" s="18"/>
      <c r="T19" s="18"/>
      <c r="U19" s="18"/>
      <c r="V19" s="1908"/>
      <c r="W19" s="18"/>
      <c r="X19" s="18"/>
      <c r="Y19" s="18"/>
      <c r="Z19" s="18"/>
      <c r="AA19" s="18"/>
      <c r="AB19" s="18"/>
      <c r="AC19" s="18"/>
      <c r="AD19" s="18"/>
      <c r="AE19" s="18"/>
      <c r="AF19" s="18"/>
      <c r="AG19" s="1909"/>
      <c r="AH19" s="18"/>
      <c r="AI19" s="18"/>
      <c r="AJ19" s="18"/>
      <c r="AK19" s="18"/>
      <c r="AL19" s="18"/>
      <c r="AM19" s="18"/>
      <c r="AN19" s="18"/>
      <c r="AO19" s="18"/>
      <c r="AP19" s="18"/>
      <c r="AQ19" s="18"/>
      <c r="AR19" s="18"/>
      <c r="AS19" s="1926"/>
    </row>
    <row r="20" spans="1:49">
      <c r="B20" s="2158" t="s">
        <v>1526</v>
      </c>
      <c r="C20" s="2159"/>
      <c r="D20" s="2158"/>
      <c r="E20" s="2158"/>
      <c r="F20" s="2158"/>
      <c r="G20" s="2158"/>
      <c r="J20" s="1908"/>
      <c r="K20" s="18"/>
      <c r="L20" s="18"/>
      <c r="M20" s="18"/>
      <c r="N20" s="18"/>
      <c r="O20" s="18"/>
      <c r="P20" s="18"/>
      <c r="Q20" s="18"/>
      <c r="R20" s="18"/>
      <c r="S20" s="18"/>
      <c r="T20" s="18"/>
      <c r="U20" s="18"/>
      <c r="V20" s="1908"/>
      <c r="W20" s="18"/>
      <c r="X20" s="18"/>
      <c r="Y20" s="18"/>
      <c r="Z20" s="18"/>
      <c r="AA20" s="18"/>
      <c r="AB20" s="18"/>
      <c r="AC20" s="18"/>
      <c r="AD20" s="18"/>
      <c r="AE20" s="18"/>
      <c r="AF20" s="18"/>
      <c r="AG20" s="1909"/>
      <c r="AH20" s="18"/>
      <c r="AI20" s="18"/>
      <c r="AJ20" s="18"/>
      <c r="AK20" s="18"/>
      <c r="AL20" s="18"/>
      <c r="AM20" s="18"/>
      <c r="AN20" s="18"/>
      <c r="AO20" s="18"/>
      <c r="AP20" s="18"/>
      <c r="AQ20" s="18"/>
      <c r="AR20" s="18"/>
      <c r="AS20" s="1926"/>
    </row>
    <row r="21" spans="1:49">
      <c r="B21" s="2160" t="s">
        <v>49</v>
      </c>
      <c r="C21" s="2160"/>
      <c r="D21" s="2158"/>
      <c r="E21" s="2158"/>
      <c r="F21" s="2158"/>
      <c r="G21" s="2158"/>
      <c r="J21" s="2543">
        <f>ChartSupport!AP439</f>
        <v>0.21360753223321202</v>
      </c>
      <c r="K21" s="2541"/>
      <c r="L21" s="2541"/>
      <c r="M21" s="2541">
        <f>ChartSupport!AQ439</f>
        <v>0.24125065229025058</v>
      </c>
      <c r="N21" s="2541"/>
      <c r="O21" s="2541"/>
      <c r="P21" s="2541">
        <f>ChartSupport!AR439</f>
        <v>0.24540566209583392</v>
      </c>
      <c r="Q21" s="2541"/>
      <c r="R21" s="2541"/>
      <c r="S21" s="2541">
        <f>ChartSupport!AS439</f>
        <v>0.29973615338070336</v>
      </c>
      <c r="T21" s="2541"/>
      <c r="U21" s="2542"/>
      <c r="V21" s="2544">
        <f>ChartSupport!AT439</f>
        <v>0.22214932019216468</v>
      </c>
      <c r="W21" s="2545"/>
      <c r="X21" s="2545"/>
      <c r="Y21" s="2545">
        <f>ChartSupport!AU439</f>
        <v>0.2506849856356374</v>
      </c>
      <c r="Z21" s="2545"/>
      <c r="AA21" s="2545"/>
      <c r="AB21" s="2545">
        <f>ChartSupport!AV439</f>
        <v>0.24273137229590014</v>
      </c>
      <c r="AC21" s="2545"/>
      <c r="AD21" s="2545"/>
      <c r="AE21" s="2545">
        <f>ChartSupport!AW439</f>
        <v>0.28443432187629769</v>
      </c>
      <c r="AF21" s="2545"/>
      <c r="AG21" s="2546"/>
      <c r="AH21" s="2543">
        <f>+ChartSupport!AX439</f>
        <v>0.31323881606562876</v>
      </c>
      <c r="AI21" s="2541"/>
      <c r="AJ21" s="2541"/>
      <c r="AK21" s="2541">
        <f>+ChartSupport!AY439</f>
        <v>0.25037720545526171</v>
      </c>
      <c r="AL21" s="2541"/>
      <c r="AM21" s="2541"/>
      <c r="AN21" s="2541">
        <f>+ChartSupport!AZ439</f>
        <v>0.24147488910516426</v>
      </c>
      <c r="AO21" s="2541"/>
      <c r="AP21" s="2541"/>
      <c r="AQ21" s="2541">
        <f>+ChartSupport!BA439</f>
        <v>0.19490908937394533</v>
      </c>
      <c r="AR21" s="2541"/>
      <c r="AS21" s="2542"/>
    </row>
    <row r="22" spans="1:49">
      <c r="B22" s="2160" t="s">
        <v>219</v>
      </c>
      <c r="C22" s="2160"/>
      <c r="D22" s="2158"/>
      <c r="E22" s="2158"/>
      <c r="F22" s="2158"/>
      <c r="G22" s="2158"/>
      <c r="J22" s="2543">
        <f>ChartSupport!AP440</f>
        <v>0.19231000895183253</v>
      </c>
      <c r="K22" s="2541"/>
      <c r="L22" s="2541"/>
      <c r="M22" s="2541">
        <f>ChartSupport!AQ440</f>
        <v>0.21965359939130308</v>
      </c>
      <c r="N22" s="2541"/>
      <c r="O22" s="2541"/>
      <c r="P22" s="2541">
        <f>ChartSupport!AR440</f>
        <v>0.22150835262050531</v>
      </c>
      <c r="Q22" s="2541"/>
      <c r="R22" s="2541"/>
      <c r="S22" s="2541">
        <f>ChartSupport!AS440</f>
        <v>0.36652803903635917</v>
      </c>
      <c r="T22" s="2541"/>
      <c r="U22" s="2542"/>
      <c r="V22" s="2544">
        <f>ChartSupport!AT440</f>
        <v>0.22890218991756303</v>
      </c>
      <c r="W22" s="2545"/>
      <c r="X22" s="2545"/>
      <c r="Y22" s="2545">
        <f>ChartSupport!AU440</f>
        <v>0.27016324666997271</v>
      </c>
      <c r="Z22" s="2545"/>
      <c r="AA22" s="2545"/>
      <c r="AB22" s="2545">
        <f>ChartSupport!AV440</f>
        <v>0.23823221094772237</v>
      </c>
      <c r="AC22" s="2545"/>
      <c r="AD22" s="2545"/>
      <c r="AE22" s="2545">
        <f>ChartSupport!AW440</f>
        <v>0.26270235246474188</v>
      </c>
      <c r="AF22" s="2545"/>
      <c r="AG22" s="2546"/>
      <c r="AH22" s="2543">
        <f>+ChartSupport!AX440</f>
        <v>0.36123553098249123</v>
      </c>
      <c r="AI22" s="2541"/>
      <c r="AJ22" s="2541"/>
      <c r="AK22" s="2541">
        <f>+ChartSupport!AY440</f>
        <v>0.27028551618509361</v>
      </c>
      <c r="AL22" s="2541"/>
      <c r="AM22" s="2541"/>
      <c r="AN22" s="2541">
        <f>+ChartSupport!AZ440</f>
        <v>0.23531944159223786</v>
      </c>
      <c r="AO22" s="2541"/>
      <c r="AP22" s="2541"/>
      <c r="AQ22" s="2541">
        <f>+ChartSupport!BA440</f>
        <v>0.13315951124017739</v>
      </c>
      <c r="AR22" s="2541"/>
      <c r="AS22" s="2542"/>
    </row>
    <row r="23" spans="1:49">
      <c r="B23" s="2160" t="s">
        <v>1528</v>
      </c>
      <c r="C23" s="2160"/>
      <c r="D23" s="2158"/>
      <c r="E23" s="2158"/>
      <c r="F23" s="2158"/>
      <c r="G23" s="2158"/>
      <c r="J23" s="2543">
        <f>ChartSupport!AP441</f>
        <v>-5.168732551647099E-2</v>
      </c>
      <c r="K23" s="2541"/>
      <c r="L23" s="2541"/>
      <c r="M23" s="2541">
        <f>ChartSupport!AQ441</f>
        <v>3.4022333891680544E-2</v>
      </c>
      <c r="N23" s="2541"/>
      <c r="O23" s="2541"/>
      <c r="P23" s="2541">
        <f>ChartSupport!AR441</f>
        <v>0.14390753768844239</v>
      </c>
      <c r="Q23" s="2541"/>
      <c r="R23" s="2541"/>
      <c r="S23" s="2541">
        <f>ChartSupport!AS441</f>
        <v>0.87375745393634796</v>
      </c>
      <c r="T23" s="2541"/>
      <c r="U23" s="2542"/>
      <c r="V23" s="2544">
        <f>ChartSupport!AT441</f>
        <v>-1.3752503653568875E-2</v>
      </c>
      <c r="W23" s="2545"/>
      <c r="X23" s="2545"/>
      <c r="Y23" s="2545">
        <f>ChartSupport!AU441</f>
        <v>-1.37851854910175E-3</v>
      </c>
      <c r="Z23" s="2545"/>
      <c r="AA23" s="2545"/>
      <c r="AB23" s="2545">
        <f>ChartSupport!AV441</f>
        <v>0.33480377102322745</v>
      </c>
      <c r="AC23" s="2545"/>
      <c r="AD23" s="2545"/>
      <c r="AE23" s="2545">
        <f>ChartSupport!AW441</f>
        <v>0.68032725117944326</v>
      </c>
      <c r="AF23" s="2545"/>
      <c r="AG23" s="2546"/>
      <c r="AH23" s="2543">
        <f>+ChartSupport!AX441</f>
        <v>3.7587265799451895E-2</v>
      </c>
      <c r="AI23" s="2541"/>
      <c r="AJ23" s="2541"/>
      <c r="AK23" s="2541">
        <f>+ChartSupport!AY441</f>
        <v>0.12592309786650432</v>
      </c>
      <c r="AL23" s="2541"/>
      <c r="AM23" s="2541"/>
      <c r="AN23" s="2541">
        <f>+ChartSupport!AZ441</f>
        <v>0.32197767154616386</v>
      </c>
      <c r="AO23" s="2541"/>
      <c r="AP23" s="2541"/>
      <c r="AQ23" s="2541">
        <f>+ChartSupport!BA441</f>
        <v>0.51451196478787986</v>
      </c>
      <c r="AR23" s="2541"/>
      <c r="AS23" s="2542"/>
    </row>
    <row r="24" spans="1:49">
      <c r="J24" s="1908"/>
      <c r="K24" s="18"/>
      <c r="L24" s="18"/>
      <c r="M24" s="18"/>
      <c r="N24" s="18"/>
      <c r="O24" s="18"/>
      <c r="P24" s="18"/>
      <c r="Q24" s="18"/>
      <c r="R24" s="18"/>
      <c r="S24" s="18"/>
      <c r="T24" s="18"/>
      <c r="U24" s="18"/>
      <c r="V24" s="1908"/>
      <c r="W24" s="18"/>
      <c r="X24" s="18"/>
      <c r="Y24" s="18"/>
      <c r="Z24" s="18"/>
      <c r="AA24" s="18"/>
      <c r="AB24" s="18"/>
      <c r="AC24" s="18"/>
      <c r="AD24" s="18"/>
      <c r="AE24" s="18"/>
      <c r="AF24" s="18"/>
      <c r="AG24" s="1909"/>
      <c r="AH24" s="18"/>
      <c r="AI24" s="18"/>
      <c r="AJ24" s="18"/>
      <c r="AK24" s="18"/>
      <c r="AL24" s="18"/>
      <c r="AM24" s="18"/>
      <c r="AN24" s="18"/>
      <c r="AO24" s="18"/>
      <c r="AP24" s="18"/>
      <c r="AQ24" s="18"/>
      <c r="AR24" s="18"/>
      <c r="AS24" s="1926"/>
    </row>
    <row r="25" spans="1:49" ht="15">
      <c r="B25" s="1893" t="s">
        <v>1519</v>
      </c>
      <c r="C25" s="1894"/>
      <c r="D25" s="1894"/>
      <c r="E25" s="1894"/>
      <c r="F25" s="1894"/>
      <c r="G25" s="1894"/>
      <c r="H25" s="1894"/>
      <c r="I25" s="1894"/>
      <c r="J25" s="1921"/>
      <c r="K25" s="1894"/>
      <c r="L25" s="1894"/>
      <c r="M25" s="1894"/>
      <c r="N25" s="1894"/>
      <c r="O25" s="1894"/>
      <c r="P25" s="1894"/>
      <c r="Q25" s="1894"/>
      <c r="R25" s="1894"/>
      <c r="S25" s="1894"/>
      <c r="T25" s="1894"/>
      <c r="U25" s="1894"/>
      <c r="V25" s="1927"/>
      <c r="W25" s="1894"/>
      <c r="X25" s="1894"/>
      <c r="Y25" s="1894"/>
      <c r="Z25" s="1894"/>
      <c r="AA25" s="1894"/>
      <c r="AB25" s="1894"/>
      <c r="AC25" s="1894"/>
      <c r="AD25" s="1894"/>
      <c r="AE25" s="1894"/>
      <c r="AF25" s="1894"/>
      <c r="AG25" s="1925"/>
      <c r="AH25" s="1894"/>
      <c r="AI25" s="1894"/>
      <c r="AJ25" s="1894"/>
      <c r="AK25" s="1894"/>
      <c r="AL25" s="1894"/>
      <c r="AM25" s="1894"/>
      <c r="AN25" s="1894"/>
      <c r="AO25" s="1894"/>
      <c r="AP25" s="1894"/>
      <c r="AQ25" s="1894"/>
      <c r="AR25" s="1894"/>
      <c r="AS25" s="1925"/>
      <c r="AT25" s="1894"/>
    </row>
    <row r="26" spans="1:49">
      <c r="V26" s="1908"/>
      <c r="W26" s="18"/>
      <c r="X26" s="18"/>
      <c r="Y26" s="18"/>
      <c r="Z26" s="18"/>
      <c r="AA26" s="18"/>
      <c r="AB26" s="18"/>
      <c r="AC26" s="18"/>
      <c r="AD26" s="18"/>
      <c r="AE26" s="18"/>
      <c r="AF26" s="18"/>
      <c r="AG26" s="1909"/>
      <c r="AH26" s="18"/>
      <c r="AI26" s="18"/>
      <c r="AJ26" s="18"/>
      <c r="AK26" s="18"/>
      <c r="AL26" s="18"/>
      <c r="AM26" s="18"/>
      <c r="AN26" s="18"/>
      <c r="AO26" s="18"/>
      <c r="AP26" s="18"/>
      <c r="AQ26" s="18"/>
      <c r="AR26" s="18"/>
      <c r="AS26" s="1926"/>
    </row>
    <row r="27" spans="1:49">
      <c r="A27" s="913"/>
      <c r="B27" s="913"/>
      <c r="C27" s="913"/>
      <c r="D27" s="913"/>
      <c r="K27" s="913"/>
      <c r="L27" s="913"/>
      <c r="M27" s="1955" t="s">
        <v>1458</v>
      </c>
      <c r="N27" s="1955"/>
      <c r="O27" s="1955"/>
      <c r="P27" s="1955"/>
      <c r="Q27" s="913"/>
      <c r="R27" s="1980"/>
      <c r="S27" s="1952"/>
      <c r="T27" s="1951"/>
      <c r="U27" s="1951"/>
      <c r="V27" s="1953"/>
      <c r="W27" s="1951"/>
      <c r="X27" s="1954"/>
      <c r="Y27" s="1953"/>
      <c r="Z27" s="1951"/>
      <c r="AA27" s="1954"/>
      <c r="AB27" s="1951"/>
      <c r="AC27" s="1951"/>
      <c r="AD27" s="1951"/>
      <c r="AE27" s="1952"/>
      <c r="AF27" s="1951"/>
      <c r="AG27" s="1951"/>
      <c r="AH27" s="1953"/>
      <c r="AI27" s="1951"/>
      <c r="AJ27" s="1954"/>
      <c r="AK27" s="1951"/>
      <c r="AL27" s="1951"/>
      <c r="AM27" s="1954"/>
      <c r="AN27" s="1951"/>
      <c r="AO27" s="1951"/>
      <c r="AP27" s="1979"/>
      <c r="AQ27" s="1952"/>
      <c r="AR27" s="1951"/>
      <c r="AS27" s="1951"/>
      <c r="AT27" s="1953"/>
      <c r="AV27" s="1981"/>
      <c r="AW27" s="913"/>
    </row>
    <row r="28" spans="1:49">
      <c r="A28" s="913"/>
      <c r="B28" s="913"/>
      <c r="C28" s="913"/>
      <c r="D28" s="913"/>
      <c r="F28" s="763" t="s">
        <v>54</v>
      </c>
      <c r="K28" s="1956"/>
      <c r="L28" s="1956"/>
      <c r="M28" s="1956"/>
      <c r="N28" s="1956"/>
      <c r="O28" s="1956"/>
      <c r="P28" s="1956"/>
      <c r="Q28" s="1956"/>
      <c r="R28" s="1956"/>
      <c r="S28" s="1957" t="s">
        <v>1438</v>
      </c>
      <c r="T28" s="1958" t="s">
        <v>1439</v>
      </c>
      <c r="U28" s="1958" t="s">
        <v>1440</v>
      </c>
      <c r="V28" s="1959" t="s">
        <v>150</v>
      </c>
      <c r="W28" s="1958" t="s">
        <v>1440</v>
      </c>
      <c r="X28" s="1960" t="s">
        <v>1438</v>
      </c>
      <c r="Y28" s="1959" t="s">
        <v>1438</v>
      </c>
      <c r="Z28" s="1958" t="s">
        <v>150</v>
      </c>
      <c r="AA28" s="1960" t="s">
        <v>1434</v>
      </c>
      <c r="AB28" s="1958" t="s">
        <v>1435</v>
      </c>
      <c r="AC28" s="1958" t="s">
        <v>1436</v>
      </c>
      <c r="AD28" s="1961" t="s">
        <v>1437</v>
      </c>
      <c r="AE28" s="1958" t="str">
        <f t="shared" ref="AE28:AP28" si="0">S28</f>
        <v>J</v>
      </c>
      <c r="AF28" s="1958" t="str">
        <f t="shared" si="0"/>
        <v>F</v>
      </c>
      <c r="AG28" s="1958" t="str">
        <f t="shared" si="0"/>
        <v>M</v>
      </c>
      <c r="AH28" s="1959" t="str">
        <f t="shared" si="0"/>
        <v>A</v>
      </c>
      <c r="AI28" s="1958" t="str">
        <f t="shared" si="0"/>
        <v>M</v>
      </c>
      <c r="AJ28" s="1960" t="str">
        <f t="shared" si="0"/>
        <v>J</v>
      </c>
      <c r="AK28" s="1958" t="str">
        <f t="shared" si="0"/>
        <v>J</v>
      </c>
      <c r="AL28" s="1958" t="str">
        <f t="shared" si="0"/>
        <v>A</v>
      </c>
      <c r="AM28" s="1960" t="str">
        <f t="shared" si="0"/>
        <v>S</v>
      </c>
      <c r="AN28" s="1958" t="str">
        <f t="shared" si="0"/>
        <v>O</v>
      </c>
      <c r="AO28" s="1958" t="str">
        <f t="shared" si="0"/>
        <v>N</v>
      </c>
      <c r="AP28" s="1961" t="str">
        <f t="shared" si="0"/>
        <v>D</v>
      </c>
      <c r="AQ28" s="1958" t="str">
        <f t="shared" ref="AQ28" si="1">AE28</f>
        <v>J</v>
      </c>
      <c r="AR28" s="1958" t="str">
        <f t="shared" ref="AR28" si="2">AF28</f>
        <v>F</v>
      </c>
      <c r="AS28" s="1958" t="str">
        <f t="shared" ref="AS28:AT28" si="3">AG28</f>
        <v>M</v>
      </c>
      <c r="AT28" s="1959" t="str">
        <f t="shared" si="3"/>
        <v>A</v>
      </c>
      <c r="AU28" s="1981"/>
      <c r="AV28" s="1981"/>
      <c r="AW28" s="913"/>
    </row>
    <row r="29" spans="1:49">
      <c r="A29" s="913"/>
      <c r="B29" s="913"/>
      <c r="C29" s="913"/>
      <c r="D29" s="913"/>
      <c r="F29" s="1962" t="s">
        <v>1521</v>
      </c>
      <c r="G29" s="1963"/>
      <c r="H29" s="1963"/>
      <c r="I29" s="1963"/>
      <c r="J29" s="1963"/>
      <c r="K29" s="1963"/>
      <c r="L29" s="1963"/>
      <c r="M29" s="1963"/>
      <c r="N29" s="1964" t="s">
        <v>1459</v>
      </c>
      <c r="O29" s="1963"/>
      <c r="P29" s="1963"/>
      <c r="Q29" s="1963"/>
      <c r="R29" s="1963"/>
      <c r="S29" s="430"/>
      <c r="T29" s="428"/>
      <c r="U29" s="428"/>
      <c r="V29" s="1965"/>
      <c r="W29" s="1966"/>
      <c r="X29" s="1967"/>
      <c r="Y29" s="1965"/>
      <c r="Z29" s="1966"/>
      <c r="AA29" s="1967"/>
      <c r="AB29" s="1966"/>
      <c r="AC29" s="1966"/>
      <c r="AD29" s="429"/>
      <c r="AE29" s="428"/>
      <c r="AF29" s="428"/>
      <c r="AG29" s="428"/>
      <c r="AH29" s="1965"/>
      <c r="AI29" s="1966"/>
      <c r="AJ29" s="1967"/>
      <c r="AK29" s="1966"/>
      <c r="AL29" s="1966"/>
      <c r="AM29" s="1967"/>
      <c r="AN29" s="1966"/>
      <c r="AO29" s="1966"/>
      <c r="AP29" s="429"/>
      <c r="AQ29" s="428"/>
      <c r="AR29" s="428"/>
      <c r="AS29" s="428"/>
      <c r="AT29" s="1965"/>
      <c r="AU29" s="913"/>
      <c r="AV29" s="913"/>
      <c r="AW29" s="913"/>
    </row>
    <row r="30" spans="1:49">
      <c r="F30" s="1968"/>
      <c r="G30" s="1968"/>
      <c r="H30" s="1968"/>
      <c r="I30" s="1968"/>
      <c r="J30" s="1968"/>
      <c r="K30" s="1968"/>
      <c r="L30" s="1968"/>
      <c r="M30" s="1968"/>
      <c r="N30" s="1969" t="s">
        <v>1460</v>
      </c>
      <c r="O30" s="1968"/>
      <c r="P30" s="1968"/>
      <c r="Q30" s="1968"/>
      <c r="R30" s="1968"/>
      <c r="S30" s="1970"/>
      <c r="T30" s="1956"/>
      <c r="U30" s="1956"/>
      <c r="V30" s="1971"/>
      <c r="W30" s="1972"/>
      <c r="X30" s="1973"/>
      <c r="Y30" s="1974"/>
      <c r="Z30" s="1975"/>
      <c r="AA30" s="1973"/>
      <c r="AB30" s="1975"/>
      <c r="AC30" s="1975"/>
      <c r="AD30" s="1976"/>
      <c r="AE30" s="1972"/>
      <c r="AF30" s="1972"/>
      <c r="AG30" s="1972"/>
      <c r="AH30" s="1971"/>
      <c r="AI30" s="1972"/>
      <c r="AJ30" s="1973"/>
      <c r="AK30" s="1975"/>
      <c r="AL30" s="1975"/>
      <c r="AM30" s="1973"/>
      <c r="AN30" s="1975"/>
      <c r="AO30" s="1975"/>
      <c r="AP30" s="1969"/>
      <c r="AQ30" s="1972"/>
      <c r="AR30" s="1972"/>
      <c r="AS30" s="1972"/>
      <c r="AT30" s="1971"/>
      <c r="AU30" s="913"/>
      <c r="AV30" s="913"/>
      <c r="AW30" s="913"/>
    </row>
    <row r="31" spans="1:49">
      <c r="F31" s="1962" t="s">
        <v>1522</v>
      </c>
      <c r="G31" s="1963"/>
      <c r="H31" s="1963"/>
      <c r="I31" s="1963"/>
      <c r="J31" s="1963"/>
      <c r="K31" s="1963"/>
      <c r="L31" s="1963"/>
      <c r="M31" s="1963"/>
      <c r="N31" s="1964" t="s">
        <v>1517</v>
      </c>
      <c r="O31" s="1963"/>
      <c r="P31" s="1963"/>
      <c r="Q31" s="1963"/>
      <c r="R31" s="1963"/>
      <c r="S31" s="2149"/>
      <c r="T31" s="1975"/>
      <c r="U31" s="1975"/>
      <c r="V31" s="1974"/>
      <c r="W31" s="1972"/>
      <c r="X31" s="1977"/>
      <c r="Y31" s="1971"/>
      <c r="Z31" s="1972"/>
      <c r="AA31" s="1977"/>
      <c r="AB31" s="1972"/>
      <c r="AC31" s="1975"/>
      <c r="AD31" s="1978"/>
      <c r="AE31" s="1975"/>
      <c r="AF31" s="1975"/>
      <c r="AG31" s="1975"/>
      <c r="AH31" s="1974"/>
      <c r="AI31" s="1972"/>
      <c r="AJ31" s="1977"/>
      <c r="AK31" s="1972"/>
      <c r="AL31" s="1972"/>
      <c r="AM31" s="1977"/>
      <c r="AN31" s="1972"/>
      <c r="AO31" s="1975"/>
      <c r="AP31" s="1978"/>
      <c r="AQ31" s="1975"/>
      <c r="AR31" s="1975"/>
      <c r="AS31" s="1975"/>
      <c r="AT31" s="1974"/>
      <c r="AU31" s="913"/>
      <c r="AV31" s="913"/>
      <c r="AW31" s="913"/>
    </row>
    <row r="32" spans="1:49">
      <c r="F32" s="1968"/>
      <c r="G32" s="1968"/>
      <c r="H32" s="1968"/>
      <c r="I32" s="1968"/>
      <c r="J32" s="1968"/>
      <c r="K32" s="1968"/>
      <c r="L32" s="1968"/>
      <c r="M32" s="1968"/>
      <c r="N32" s="1969" t="s">
        <v>1520</v>
      </c>
      <c r="O32" s="1968"/>
      <c r="P32" s="1968"/>
      <c r="Q32" s="1968"/>
      <c r="R32" s="1968"/>
      <c r="S32" s="2149"/>
      <c r="T32" s="2150"/>
      <c r="U32" s="2150"/>
      <c r="V32" s="2151"/>
      <c r="W32" s="2150"/>
      <c r="X32" s="2152"/>
      <c r="Y32" s="2151"/>
      <c r="Z32" s="2150"/>
      <c r="AA32" s="1973"/>
      <c r="AB32" s="1975"/>
      <c r="AC32" s="1975"/>
      <c r="AD32" s="1978"/>
      <c r="AE32" s="1975"/>
      <c r="AF32" s="2150"/>
      <c r="AG32" s="2150"/>
      <c r="AH32" s="2151"/>
      <c r="AI32" s="2150"/>
      <c r="AJ32" s="2152"/>
      <c r="AK32" s="2150"/>
      <c r="AL32" s="2150"/>
      <c r="AM32" s="1973"/>
      <c r="AN32" s="1975"/>
      <c r="AO32" s="1975"/>
      <c r="AP32" s="1978"/>
      <c r="AQ32" s="1975"/>
      <c r="AR32" s="2150"/>
      <c r="AS32" s="2150"/>
      <c r="AT32" s="2151"/>
      <c r="AU32" s="913"/>
      <c r="AV32" s="913"/>
      <c r="AW32" s="913"/>
    </row>
    <row r="33" spans="1:59">
      <c r="A33" s="1160"/>
      <c r="B33" s="1160"/>
      <c r="C33" s="1160"/>
      <c r="D33" s="1160"/>
      <c r="E33" s="1160"/>
      <c r="F33" s="1160"/>
      <c r="G33" s="1160"/>
      <c r="H33" s="1160"/>
      <c r="I33" s="1160"/>
      <c r="J33" s="1160"/>
      <c r="K33" s="1160"/>
      <c r="L33" s="1160"/>
      <c r="M33" s="1160"/>
      <c r="N33" s="1160"/>
      <c r="O33" s="1160"/>
      <c r="P33" s="1160"/>
      <c r="Q33" s="1160"/>
      <c r="R33" s="1160"/>
      <c r="S33" s="1160"/>
      <c r="T33" s="1160"/>
      <c r="U33" s="1160"/>
      <c r="V33" s="1160"/>
      <c r="W33" s="1160"/>
      <c r="X33" s="1160"/>
      <c r="Y33" s="1160"/>
      <c r="Z33" s="102"/>
      <c r="AA33" s="1160"/>
      <c r="AB33" s="1160"/>
      <c r="AC33" s="1160"/>
      <c r="AD33" s="1160"/>
      <c r="AE33" s="1160"/>
      <c r="AF33" s="1160"/>
      <c r="AG33" s="1160"/>
      <c r="AH33" s="1160"/>
      <c r="AI33" s="1160"/>
      <c r="AJ33" s="1160"/>
      <c r="AK33" s="1160"/>
      <c r="AL33" s="1160"/>
      <c r="AM33" s="1160"/>
      <c r="AN33" s="1160"/>
      <c r="AO33" s="1160"/>
      <c r="AP33" s="1160"/>
      <c r="AQ33" s="1160"/>
      <c r="AR33" s="1160"/>
      <c r="AS33" s="1160"/>
      <c r="AT33" s="1160"/>
      <c r="AU33" s="1160"/>
      <c r="AV33" s="1160"/>
      <c r="AW33" s="1160"/>
      <c r="AX33" s="1160"/>
      <c r="AY33" s="1160"/>
    </row>
    <row r="34" spans="1:59">
      <c r="B34" s="1493" t="s">
        <v>201</v>
      </c>
      <c r="C34" s="1494"/>
      <c r="D34" s="1494"/>
      <c r="E34" s="1494"/>
      <c r="F34" s="1494"/>
      <c r="G34" s="1494"/>
      <c r="H34" s="1494"/>
      <c r="I34" s="1494"/>
      <c r="J34" s="1494"/>
      <c r="K34" s="1494"/>
      <c r="L34" s="1494"/>
      <c r="M34" s="1494"/>
      <c r="N34" s="1494"/>
      <c r="O34" s="1494"/>
      <c r="P34" s="1494"/>
      <c r="Q34" s="1494"/>
      <c r="R34" s="1494"/>
      <c r="S34" s="1494"/>
      <c r="T34" s="1494"/>
      <c r="U34" s="1494"/>
      <c r="V34" s="1494"/>
      <c r="W34" s="1494"/>
      <c r="X34" s="1494"/>
      <c r="Y34" s="1494"/>
      <c r="Z34" s="654"/>
      <c r="AA34" s="654"/>
      <c r="AB34" s="654"/>
      <c r="AC34" s="654"/>
      <c r="AD34" s="654"/>
      <c r="AE34" s="654"/>
      <c r="AF34" s="654"/>
      <c r="AG34" s="654"/>
      <c r="AH34" s="654"/>
      <c r="AI34" s="654"/>
      <c r="AJ34" s="654"/>
      <c r="AK34" s="654"/>
      <c r="AL34" s="654"/>
      <c r="AM34" s="654"/>
      <c r="AN34" s="654"/>
      <c r="AO34" s="654"/>
      <c r="AP34" s="654"/>
      <c r="AQ34" s="654"/>
      <c r="AR34" s="654"/>
      <c r="AS34" s="654"/>
      <c r="AT34" s="654"/>
      <c r="AU34" s="654"/>
      <c r="AV34" s="654"/>
      <c r="AW34" s="654"/>
      <c r="AX34" s="654"/>
      <c r="AY34" s="1513" t="s">
        <v>362</v>
      </c>
    </row>
    <row r="35" spans="1:59">
      <c r="AQ35" s="913"/>
      <c r="AR35" s="913"/>
      <c r="AS35" s="913"/>
      <c r="AT35" s="913"/>
      <c r="AU35" s="913"/>
      <c r="AV35" s="913"/>
      <c r="AW35" s="913"/>
    </row>
    <row r="36" spans="1:59">
      <c r="AQ36" s="913"/>
      <c r="AR36" s="913"/>
      <c r="AS36" s="913"/>
      <c r="AT36" s="913"/>
      <c r="AU36" s="913"/>
      <c r="AV36" s="913"/>
      <c r="AW36" s="913"/>
    </row>
    <row r="37" spans="1:59">
      <c r="AQ37" s="913"/>
      <c r="AR37" s="913"/>
      <c r="AS37" s="913"/>
      <c r="AT37" s="913"/>
      <c r="AU37" s="913"/>
      <c r="AV37" s="913"/>
      <c r="AW37" s="913"/>
    </row>
    <row r="38" spans="1:59" hidden="1" outlineLevel="1">
      <c r="B38" s="2197" t="s">
        <v>765</v>
      </c>
      <c r="S38" s="2579">
        <f>3-SUM(J21:U23)</f>
        <v>0</v>
      </c>
      <c r="T38" s="2579"/>
      <c r="U38" s="2579"/>
      <c r="AE38" s="2579">
        <f>3-SUM(V21:AG23)</f>
        <v>0</v>
      </c>
      <c r="AF38" s="2579"/>
      <c r="AG38" s="2579"/>
      <c r="AQ38" s="2579">
        <f>3-SUM(AH21:AS23)</f>
        <v>0</v>
      </c>
      <c r="AR38" s="2579"/>
      <c r="AS38" s="2579"/>
      <c r="AT38" s="913"/>
      <c r="AU38" s="913"/>
      <c r="AV38" s="913"/>
      <c r="AW38" s="913"/>
      <c r="AX38" s="913"/>
      <c r="AY38" s="913"/>
      <c r="AZ38" s="913"/>
      <c r="BA38" s="913"/>
      <c r="BB38" s="913"/>
      <c r="BC38" s="913"/>
      <c r="BD38" s="913"/>
      <c r="BE38" s="913"/>
      <c r="BF38" s="913"/>
      <c r="BG38" s="913"/>
    </row>
    <row r="39" spans="1:59" hidden="1" outlineLevel="1">
      <c r="B39" s="2205" t="s">
        <v>1543</v>
      </c>
      <c r="S39" s="2198"/>
      <c r="T39" s="2198"/>
      <c r="U39" s="2198"/>
      <c r="AE39" s="2198"/>
      <c r="AF39" s="2198"/>
      <c r="AG39" s="2198"/>
      <c r="AQ39" s="2198"/>
      <c r="AR39" s="2198"/>
      <c r="AS39" s="2198"/>
      <c r="AT39" s="913"/>
      <c r="AU39" s="913"/>
      <c r="AV39" s="913"/>
      <c r="AW39" s="913"/>
      <c r="AX39" s="913"/>
      <c r="AY39" s="913"/>
      <c r="AZ39" s="913"/>
      <c r="BA39" s="913"/>
      <c r="BB39" s="913"/>
      <c r="BC39" s="913"/>
      <c r="BD39" s="913"/>
      <c r="BE39" s="913"/>
      <c r="BF39" s="913"/>
      <c r="BG39" s="913"/>
    </row>
    <row r="40" spans="1:59" hidden="1" outlineLevel="1">
      <c r="B40" s="2206" t="str">
        <f>B21</f>
        <v>Revenue</v>
      </c>
      <c r="C40" s="2203"/>
      <c r="D40" s="2203"/>
      <c r="E40" s="2203"/>
      <c r="F40" s="2203"/>
      <c r="G40" s="2203"/>
      <c r="H40" s="2203"/>
      <c r="I40" s="2203"/>
      <c r="J40" s="2203"/>
      <c r="K40" s="2203"/>
      <c r="L40" s="2203"/>
      <c r="M40" s="2203"/>
      <c r="N40" s="2203"/>
      <c r="O40" s="2203"/>
      <c r="P40" s="2203"/>
      <c r="Q40" s="2203"/>
      <c r="R40" s="2203"/>
      <c r="S40" s="2580"/>
      <c r="T40" s="2580"/>
      <c r="U40" s="2580"/>
      <c r="V40" s="2577">
        <f>V21-J21</f>
        <v>8.5417879589526624E-3</v>
      </c>
      <c r="W40" s="2578"/>
      <c r="X40" s="2578"/>
      <c r="Y40" s="2578">
        <f t="shared" ref="Y40" si="4">Y21-M21</f>
        <v>9.4343333453868194E-3</v>
      </c>
      <c r="Z40" s="2578"/>
      <c r="AA40" s="2578"/>
      <c r="AB40" s="2578">
        <f t="shared" ref="AB40" si="5">AB21-P21</f>
        <v>-2.6742897999337822E-3</v>
      </c>
      <c r="AC40" s="2578"/>
      <c r="AD40" s="2578"/>
      <c r="AE40" s="2578">
        <f t="shared" ref="AE40" si="6">AE21-S21</f>
        <v>-1.5301831504405672E-2</v>
      </c>
      <c r="AF40" s="2578"/>
      <c r="AG40" s="2581"/>
      <c r="AH40" s="2577">
        <f>AH21-V21</f>
        <v>9.1089495873464071E-2</v>
      </c>
      <c r="AI40" s="2578"/>
      <c r="AJ40" s="2578"/>
      <c r="AK40" s="2578">
        <f t="shared" ref="AK40:AK42" si="7">AK21-Y21</f>
        <v>-3.077801803756941E-4</v>
      </c>
      <c r="AL40" s="2578"/>
      <c r="AM40" s="2578"/>
      <c r="AN40" s="2578">
        <f t="shared" ref="AN40:AN42" si="8">AN21-AB21</f>
        <v>-1.2564831907358742E-3</v>
      </c>
      <c r="AO40" s="2578"/>
      <c r="AP40" s="2578"/>
      <c r="AQ40" s="2578">
        <f t="shared" ref="AQ40:AQ42" si="9">AQ21-AE21</f>
        <v>-8.9525232502352364E-2</v>
      </c>
      <c r="AR40" s="2578"/>
      <c r="AS40" s="2581"/>
      <c r="AT40" s="913"/>
      <c r="AU40" s="913"/>
      <c r="AV40" s="913"/>
      <c r="AW40" s="913"/>
      <c r="AX40" s="913"/>
      <c r="AY40" s="913"/>
      <c r="AZ40" s="913"/>
      <c r="BA40" s="913"/>
      <c r="BB40" s="913"/>
      <c r="BC40" s="913"/>
      <c r="BD40" s="913"/>
      <c r="BE40" s="913"/>
      <c r="BF40" s="913"/>
      <c r="BG40" s="913"/>
    </row>
    <row r="41" spans="1:59" hidden="1" outlineLevel="1">
      <c r="B41" s="2206" t="str">
        <f t="shared" ref="B41:B42" si="10">B22</f>
        <v>EBITDA</v>
      </c>
      <c r="C41" s="2203"/>
      <c r="D41" s="2203"/>
      <c r="E41" s="2203"/>
      <c r="F41" s="2203"/>
      <c r="G41" s="2203"/>
      <c r="H41" s="2203"/>
      <c r="I41" s="2203"/>
      <c r="J41" s="2203"/>
      <c r="K41" s="2203"/>
      <c r="L41" s="2203"/>
      <c r="M41" s="2203"/>
      <c r="N41" s="2203"/>
      <c r="O41" s="2203"/>
      <c r="P41" s="2203"/>
      <c r="Q41" s="2203"/>
      <c r="R41" s="2203"/>
      <c r="S41" s="2580"/>
      <c r="T41" s="2580"/>
      <c r="U41" s="2580"/>
      <c r="V41" s="2577">
        <f>V22-J22</f>
        <v>3.6592180965730497E-2</v>
      </c>
      <c r="W41" s="2578"/>
      <c r="X41" s="2578"/>
      <c r="Y41" s="2578">
        <f t="shared" ref="Y41:Y42" si="11">Y22-M22</f>
        <v>5.0509647278669634E-2</v>
      </c>
      <c r="Z41" s="2578"/>
      <c r="AA41" s="2578"/>
      <c r="AB41" s="2578">
        <f t="shared" ref="AB41:AB42" si="12">AB22-P22</f>
        <v>1.6723858327217067E-2</v>
      </c>
      <c r="AC41" s="2578"/>
      <c r="AD41" s="2578"/>
      <c r="AE41" s="2578">
        <f t="shared" ref="AE41:AE42" si="13">AE22-S22</f>
        <v>-0.10382568657161728</v>
      </c>
      <c r="AF41" s="2578"/>
      <c r="AG41" s="2581"/>
      <c r="AH41" s="2577">
        <f>AH22-V22</f>
        <v>0.13233334106492819</v>
      </c>
      <c r="AI41" s="2578"/>
      <c r="AJ41" s="2578"/>
      <c r="AK41" s="2578">
        <f t="shared" si="7"/>
        <v>1.2226951512089856E-4</v>
      </c>
      <c r="AL41" s="2578"/>
      <c r="AM41" s="2578"/>
      <c r="AN41" s="2578">
        <f t="shared" si="8"/>
        <v>-2.9127693554845124E-3</v>
      </c>
      <c r="AO41" s="2578"/>
      <c r="AP41" s="2578"/>
      <c r="AQ41" s="2578">
        <f t="shared" si="9"/>
        <v>-0.1295428412245645</v>
      </c>
      <c r="AR41" s="2578"/>
      <c r="AS41" s="2581"/>
      <c r="AU41" s="913"/>
      <c r="AV41" s="913"/>
      <c r="AW41" s="913"/>
      <c r="AX41" s="913"/>
      <c r="AY41" s="913"/>
      <c r="AZ41" s="913"/>
      <c r="BA41" s="913"/>
      <c r="BB41" s="913"/>
      <c r="BC41" s="913"/>
      <c r="BD41" s="913"/>
      <c r="BE41" s="913"/>
      <c r="BF41" s="913"/>
      <c r="BG41" s="913"/>
    </row>
    <row r="42" spans="1:59" hidden="1" outlineLevel="1">
      <c r="A42" s="913"/>
      <c r="B42" s="2206" t="str">
        <f t="shared" si="10"/>
        <v>Operating C-F</v>
      </c>
      <c r="C42" s="2204"/>
      <c r="D42" s="2204"/>
      <c r="E42" s="2203"/>
      <c r="F42" s="2203"/>
      <c r="G42" s="2203"/>
      <c r="H42" s="2203"/>
      <c r="I42" s="2203"/>
      <c r="J42" s="2203"/>
      <c r="K42" s="2204"/>
      <c r="L42" s="2204"/>
      <c r="M42" s="2204"/>
      <c r="N42" s="2204"/>
      <c r="O42" s="2204"/>
      <c r="P42" s="2204"/>
      <c r="Q42" s="2204"/>
      <c r="R42" s="2204"/>
      <c r="S42" s="2204"/>
      <c r="T42" s="2204"/>
      <c r="U42" s="2204"/>
      <c r="V42" s="2577">
        <f>V23-J23</f>
        <v>3.7934821862902118E-2</v>
      </c>
      <c r="W42" s="2578"/>
      <c r="X42" s="2578"/>
      <c r="Y42" s="2578">
        <f t="shared" si="11"/>
        <v>-3.5400852440782296E-2</v>
      </c>
      <c r="Z42" s="2578"/>
      <c r="AA42" s="2578"/>
      <c r="AB42" s="2578">
        <f t="shared" si="12"/>
        <v>0.19089623333478506</v>
      </c>
      <c r="AC42" s="2578"/>
      <c r="AD42" s="2578"/>
      <c r="AE42" s="2578">
        <f t="shared" si="13"/>
        <v>-0.1934302027569047</v>
      </c>
      <c r="AF42" s="2578"/>
      <c r="AG42" s="2581"/>
      <c r="AH42" s="2577">
        <f>AH23-V23</f>
        <v>5.1339769453020767E-2</v>
      </c>
      <c r="AI42" s="2578"/>
      <c r="AJ42" s="2578"/>
      <c r="AK42" s="2578">
        <f t="shared" si="7"/>
        <v>0.12730161641560608</v>
      </c>
      <c r="AL42" s="2578"/>
      <c r="AM42" s="2578"/>
      <c r="AN42" s="2578">
        <f t="shared" si="8"/>
        <v>-1.2826099477063591E-2</v>
      </c>
      <c r="AO42" s="2578"/>
      <c r="AP42" s="2578"/>
      <c r="AQ42" s="2578">
        <f t="shared" si="9"/>
        <v>-0.1658152863915634</v>
      </c>
      <c r="AR42" s="2578"/>
      <c r="AS42" s="2581"/>
      <c r="AT42" s="913"/>
      <c r="AU42" s="913"/>
      <c r="AV42" s="913"/>
      <c r="AW42" s="913"/>
      <c r="AX42" s="913"/>
      <c r="AY42" s="913"/>
      <c r="AZ42" s="913"/>
      <c r="BA42" s="913"/>
      <c r="BB42" s="913"/>
      <c r="BC42" s="913"/>
      <c r="BD42" s="913"/>
      <c r="BE42" s="913"/>
      <c r="BF42" s="913"/>
      <c r="BG42" s="913"/>
    </row>
    <row r="43" spans="1:59" collapsed="1"/>
  </sheetData>
  <mergeCells count="80">
    <mergeCell ref="V42:X42"/>
    <mergeCell ref="Y42:AA42"/>
    <mergeCell ref="AB42:AD42"/>
    <mergeCell ref="AE42:AG42"/>
    <mergeCell ref="AH42:AJ42"/>
    <mergeCell ref="AK42:AM42"/>
    <mergeCell ref="AN42:AP42"/>
    <mergeCell ref="AQ42:AS42"/>
    <mergeCell ref="AK41:AM41"/>
    <mergeCell ref="AN41:AP41"/>
    <mergeCell ref="AK40:AM40"/>
    <mergeCell ref="AQ38:AS38"/>
    <mergeCell ref="AQ40:AS40"/>
    <mergeCell ref="AQ41:AS41"/>
    <mergeCell ref="AN40:AP40"/>
    <mergeCell ref="AH41:AJ41"/>
    <mergeCell ref="S38:U38"/>
    <mergeCell ref="S40:U40"/>
    <mergeCell ref="S41:U41"/>
    <mergeCell ref="AE38:AG38"/>
    <mergeCell ref="AE40:AG40"/>
    <mergeCell ref="AE41:AG41"/>
    <mergeCell ref="V41:X41"/>
    <mergeCell ref="Y41:AA41"/>
    <mergeCell ref="AB41:AD41"/>
    <mergeCell ref="V40:X40"/>
    <mergeCell ref="Y40:AA40"/>
    <mergeCell ref="AB40:AD40"/>
    <mergeCell ref="AH40:AJ40"/>
    <mergeCell ref="AE6:AP6"/>
    <mergeCell ref="AH10:AS10"/>
    <mergeCell ref="V10:AG10"/>
    <mergeCell ref="J10:U10"/>
    <mergeCell ref="J11:U11"/>
    <mergeCell ref="V11:AG11"/>
    <mergeCell ref="AH11:AS11"/>
    <mergeCell ref="S6:AD6"/>
    <mergeCell ref="L6:N6"/>
    <mergeCell ref="J15:U15"/>
    <mergeCell ref="J16:U16"/>
    <mergeCell ref="AH15:AS15"/>
    <mergeCell ref="AH16:AS16"/>
    <mergeCell ref="V15:AG15"/>
    <mergeCell ref="V16:AG16"/>
    <mergeCell ref="AE21:AG21"/>
    <mergeCell ref="V22:X22"/>
    <mergeCell ref="Y22:AA22"/>
    <mergeCell ref="AB22:AD22"/>
    <mergeCell ref="AE22:AG22"/>
    <mergeCell ref="V21:X21"/>
    <mergeCell ref="Y21:AA21"/>
    <mergeCell ref="AB21:AD21"/>
    <mergeCell ref="V23:X23"/>
    <mergeCell ref="Y23:AA23"/>
    <mergeCell ref="AB23:AD23"/>
    <mergeCell ref="AE23:AG23"/>
    <mergeCell ref="AH23:AJ23"/>
    <mergeCell ref="J21:L21"/>
    <mergeCell ref="J22:L22"/>
    <mergeCell ref="J23:L23"/>
    <mergeCell ref="M21:O21"/>
    <mergeCell ref="M22:O22"/>
    <mergeCell ref="M23:O23"/>
    <mergeCell ref="P21:R21"/>
    <mergeCell ref="P22:R22"/>
    <mergeCell ref="P23:R23"/>
    <mergeCell ref="S21:U21"/>
    <mergeCell ref="S22:U22"/>
    <mergeCell ref="S23:U23"/>
    <mergeCell ref="AK23:AM23"/>
    <mergeCell ref="AN23:AP23"/>
    <mergeCell ref="AQ23:AS23"/>
    <mergeCell ref="AH21:AJ21"/>
    <mergeCell ref="AK21:AM21"/>
    <mergeCell ref="AN21:AP21"/>
    <mergeCell ref="AQ21:AS21"/>
    <mergeCell ref="AH22:AJ22"/>
    <mergeCell ref="AK22:AM22"/>
    <mergeCell ref="AN22:AP22"/>
    <mergeCell ref="AQ22:AS22"/>
  </mergeCells>
  <pageMargins left="0" right="0" top="0" bottom="0" header="0" footer="0"/>
  <pageSetup paperSize="5" orientation="landscape" r:id="rId1"/>
  <colBreaks count="1" manualBreakCount="1">
    <brk id="55" max="1048575" man="1"/>
  </colBreaks>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4" tint="0.59999389629810485"/>
    <pageSetUpPr fitToPage="1"/>
  </sheetPr>
  <dimension ref="A1:CZ242"/>
  <sheetViews>
    <sheetView showGridLines="0" zoomScaleNormal="100" workbookViewId="0">
      <pane xSplit="1" ySplit="13" topLeftCell="B14" activePane="bottomRight" state="frozen"/>
      <selection activeCell="AC362" sqref="AC362"/>
      <selection pane="topRight" activeCell="AC362" sqref="AC362"/>
      <selection pane="bottomLeft" activeCell="AC362" sqref="AC362"/>
      <selection pane="bottomRight"/>
    </sheetView>
  </sheetViews>
  <sheetFormatPr defaultRowHeight="11.25"/>
  <cols>
    <col min="1" max="1" width="34.140625" style="52" customWidth="1"/>
    <col min="2" max="19" width="7.28515625" style="52" customWidth="1"/>
    <col min="20" max="23" width="7.28515625" style="1401" customWidth="1"/>
    <col min="24" max="24" width="7.140625" style="52" customWidth="1"/>
    <col min="25" max="27" width="9.7109375" style="52" customWidth="1"/>
    <col min="28" max="33" width="10.7109375" style="52" customWidth="1"/>
    <col min="34" max="35" width="11.42578125" style="52" customWidth="1"/>
    <col min="36" max="61" width="9.140625" style="52"/>
    <col min="62" max="62" width="10.7109375" style="52" customWidth="1"/>
    <col min="63" max="75" width="9.140625" style="52"/>
    <col min="76" max="76" width="10.7109375" style="52" customWidth="1"/>
    <col min="77" max="77" width="12.85546875" style="52" customWidth="1"/>
    <col min="78" max="78" width="9.140625" style="52" customWidth="1"/>
    <col min="79" max="16384" width="9.140625" style="52"/>
  </cols>
  <sheetData>
    <row r="1" spans="1:35" s="106" customFormat="1" ht="18">
      <c r="A1" s="112" t="str">
        <f>Index!$B$1</f>
        <v>São Martinho</v>
      </c>
      <c r="B1" s="663"/>
      <c r="C1" s="663"/>
      <c r="D1" s="663"/>
      <c r="E1" s="663"/>
      <c r="F1" s="663"/>
      <c r="G1" s="663"/>
      <c r="H1" s="663"/>
      <c r="I1" s="663"/>
      <c r="J1" s="663"/>
      <c r="K1" s="663"/>
      <c r="L1" s="663"/>
      <c r="M1" s="663"/>
      <c r="N1" s="663"/>
      <c r="O1" s="663"/>
      <c r="P1" s="663"/>
      <c r="Q1" s="663"/>
      <c r="R1" s="663"/>
      <c r="S1" s="127"/>
      <c r="T1" s="127"/>
      <c r="U1" s="127"/>
      <c r="V1" s="127"/>
      <c r="W1" s="127"/>
      <c r="X1" s="127"/>
      <c r="Y1" s="127"/>
      <c r="Z1" s="127"/>
      <c r="AA1" s="127"/>
    </row>
    <row r="2" spans="1:35" ht="12.75">
      <c r="A2" s="170" t="s">
        <v>512</v>
      </c>
      <c r="B2" s="664"/>
      <c r="C2" s="664"/>
      <c r="D2" s="664"/>
      <c r="E2" s="664"/>
      <c r="F2" s="664"/>
      <c r="G2" s="664"/>
      <c r="H2" s="664"/>
      <c r="I2" s="664"/>
      <c r="J2" s="664"/>
      <c r="K2" s="664"/>
      <c r="L2" s="664"/>
      <c r="M2" s="664"/>
      <c r="N2" s="664"/>
      <c r="O2" s="664"/>
      <c r="P2" s="664"/>
      <c r="Q2" s="664"/>
      <c r="R2" s="664"/>
      <c r="S2" s="462"/>
      <c r="T2" s="462"/>
      <c r="U2" s="462"/>
      <c r="V2" s="462"/>
      <c r="W2" s="462"/>
      <c r="X2" s="462"/>
      <c r="Y2" s="462"/>
      <c r="Z2" s="462"/>
      <c r="AA2" s="432" t="s">
        <v>27</v>
      </c>
      <c r="AB2" s="1401"/>
    </row>
    <row r="3" spans="1:35">
      <c r="A3" s="329"/>
      <c r="B3" s="331"/>
      <c r="C3" s="329"/>
      <c r="D3" s="329"/>
      <c r="E3" s="329"/>
      <c r="F3" s="329"/>
      <c r="G3" s="329"/>
      <c r="H3" s="329"/>
      <c r="I3" s="329"/>
      <c r="J3" s="329"/>
      <c r="K3" s="329"/>
      <c r="L3" s="329"/>
      <c r="M3" s="329"/>
      <c r="N3" s="329"/>
      <c r="O3" s="329"/>
      <c r="P3" s="329"/>
      <c r="S3" s="329"/>
      <c r="T3" s="329"/>
      <c r="U3" s="329"/>
      <c r="V3" s="329"/>
      <c r="W3" s="329"/>
      <c r="X3" s="329"/>
      <c r="AH3" s="329"/>
      <c r="AI3" s="329"/>
    </row>
    <row r="4" spans="1:35" ht="12" thickBot="1">
      <c r="A4" s="329"/>
      <c r="G4" s="331"/>
      <c r="H4" s="329"/>
      <c r="I4" s="329"/>
      <c r="J4" s="329"/>
      <c r="K4" s="329"/>
      <c r="L4" s="329"/>
      <c r="M4" s="329"/>
      <c r="T4" s="52"/>
      <c r="U4" s="52"/>
      <c r="V4" s="52"/>
      <c r="X4" s="329"/>
      <c r="AH4" s="329"/>
      <c r="AI4" s="329"/>
    </row>
    <row r="5" spans="1:35" ht="12" thickBot="1">
      <c r="A5" s="334" t="s">
        <v>515</v>
      </c>
      <c r="P5" s="329"/>
      <c r="Q5" s="332" t="s">
        <v>286</v>
      </c>
      <c r="R5" s="332" t="s">
        <v>135</v>
      </c>
      <c r="S5" s="329"/>
      <c r="T5" s="333" t="s">
        <v>513</v>
      </c>
      <c r="U5" s="333" t="s">
        <v>514</v>
      </c>
      <c r="V5" s="52"/>
      <c r="X5" s="329"/>
      <c r="AH5" s="329"/>
      <c r="AI5" s="329"/>
    </row>
    <row r="6" spans="1:35" ht="12" thickBot="1">
      <c r="A6" s="338">
        <v>1</v>
      </c>
      <c r="P6" s="329" t="s">
        <v>77</v>
      </c>
      <c r="Q6" s="335">
        <f>+Base!W150</f>
        <v>16.399999999999999</v>
      </c>
      <c r="R6" s="336">
        <f>+Base!W150/Base!W139-1</f>
        <v>-0.10869536153109616</v>
      </c>
      <c r="S6" s="337"/>
      <c r="T6" s="2390">
        <f>MSvsConsensus!AK27</f>
        <v>8199.9329999999991</v>
      </c>
      <c r="U6" s="336">
        <f>Q6/T6-1</f>
        <v>-0.99799998365840303</v>
      </c>
      <c r="V6" s="52"/>
      <c r="X6" s="329"/>
      <c r="AH6" s="329"/>
      <c r="AI6" s="329"/>
    </row>
    <row r="7" spans="1:35">
      <c r="A7" s="339" t="str">
        <f>+IF(MASTERSWITCH=1,"Base",IF(MASTERSWITCH=2,"Bull",IF(MASTERSWITCH=3,"Bear","NA")))</f>
        <v>Base</v>
      </c>
      <c r="G7" s="331"/>
      <c r="H7" s="329"/>
      <c r="I7" s="329"/>
      <c r="J7" s="329"/>
      <c r="K7" s="329"/>
      <c r="L7" s="329"/>
      <c r="M7" s="329"/>
      <c r="P7" s="329" t="s">
        <v>78</v>
      </c>
      <c r="Q7" s="335">
        <f>+Bull!W150</f>
        <v>27</v>
      </c>
      <c r="R7" s="336">
        <f>+Bull!W150/Bull!W139-1</f>
        <v>0.4673917828451466</v>
      </c>
      <c r="S7" s="337"/>
      <c r="T7" s="2390">
        <f>MSvsConsensus!AK28</f>
        <v>522.73925902267058</v>
      </c>
      <c r="U7" s="336">
        <f>Q7/T7-1</f>
        <v>-0.94834901045986097</v>
      </c>
      <c r="V7" s="52"/>
      <c r="X7" s="329"/>
      <c r="AH7" s="329"/>
      <c r="AI7" s="329"/>
    </row>
    <row r="8" spans="1:35">
      <c r="A8" s="340"/>
      <c r="G8" s="331"/>
      <c r="H8" s="329"/>
      <c r="I8" s="329"/>
      <c r="J8" s="329"/>
      <c r="K8" s="329"/>
      <c r="L8" s="329"/>
      <c r="M8" s="329"/>
      <c r="P8" s="329" t="s">
        <v>79</v>
      </c>
      <c r="Q8" s="335">
        <f>+Bear!W150</f>
        <v>13.1</v>
      </c>
      <c r="R8" s="336">
        <f>+Bear!W150/Bear!W139-1</f>
        <v>-0.28804324610105847</v>
      </c>
      <c r="S8" s="329"/>
      <c r="T8" s="2390">
        <f>MSvsConsensus!AK29</f>
        <v>331.53753295669156</v>
      </c>
      <c r="U8" s="336">
        <f>Q8/T8-1</f>
        <v>-0.96048712831041294</v>
      </c>
      <c r="V8" s="52"/>
      <c r="W8" s="194"/>
      <c r="X8" s="329"/>
      <c r="AH8" s="329"/>
      <c r="AI8" s="329"/>
    </row>
    <row r="9" spans="1:35">
      <c r="A9" s="340"/>
      <c r="G9" s="330"/>
      <c r="H9" s="330"/>
      <c r="I9" s="330"/>
      <c r="J9" s="330"/>
      <c r="K9" s="330"/>
      <c r="L9" s="330"/>
      <c r="M9" s="330"/>
      <c r="P9" s="329"/>
      <c r="Q9" s="329"/>
      <c r="T9" s="329"/>
      <c r="U9" s="329"/>
      <c r="V9" s="52"/>
      <c r="X9" s="329"/>
      <c r="Y9" s="329"/>
      <c r="AH9" s="329"/>
      <c r="AI9" s="329"/>
    </row>
    <row r="10" spans="1:35">
      <c r="A10" s="340"/>
      <c r="B10" s="330"/>
      <c r="C10" s="330"/>
      <c r="D10" s="330"/>
      <c r="E10" s="330"/>
      <c r="F10" s="330"/>
      <c r="G10" s="330"/>
      <c r="H10" s="330"/>
      <c r="I10" s="330"/>
      <c r="J10" s="329"/>
      <c r="K10" s="329"/>
      <c r="L10" s="329"/>
      <c r="O10" s="330"/>
      <c r="P10" s="341" t="s">
        <v>516</v>
      </c>
      <c r="Q10" s="342">
        <f>SOP!F18</f>
        <v>16.399999999999999</v>
      </c>
      <c r="R10" s="330"/>
      <c r="S10" s="330"/>
      <c r="T10" s="331"/>
      <c r="U10" s="342"/>
      <c r="V10" s="342"/>
      <c r="W10" s="329"/>
      <c r="X10" s="329"/>
      <c r="Y10" s="329"/>
      <c r="AH10" s="329"/>
      <c r="AI10" s="329"/>
    </row>
    <row r="11" spans="1:35">
      <c r="A11" s="340"/>
      <c r="B11" s="330"/>
      <c r="C11" s="330"/>
      <c r="D11" s="330"/>
      <c r="E11" s="330"/>
      <c r="F11" s="330"/>
      <c r="G11" s="330"/>
      <c r="H11" s="330"/>
      <c r="I11" s="330"/>
      <c r="J11" s="330"/>
      <c r="K11" s="330"/>
      <c r="L11" s="330"/>
      <c r="M11" s="330"/>
      <c r="N11" s="1399"/>
      <c r="O11" s="329"/>
      <c r="P11" s="329"/>
      <c r="Q11" s="327">
        <f>MSvsConsensus!$G$10</f>
        <v>1780.1509011492542</v>
      </c>
      <c r="R11" s="329"/>
      <c r="S11" s="329"/>
      <c r="T11" s="329"/>
      <c r="U11" s="329"/>
      <c r="V11" s="329"/>
      <c r="W11" s="329"/>
      <c r="X11" s="329"/>
      <c r="Y11" s="329"/>
      <c r="Z11" s="329"/>
      <c r="AA11" s="329"/>
      <c r="AB11" s="329"/>
      <c r="AC11" s="329"/>
      <c r="AD11" s="329"/>
      <c r="AE11" s="329"/>
      <c r="AF11" s="329"/>
      <c r="AG11" s="329"/>
      <c r="AH11" s="329"/>
      <c r="AI11" s="329"/>
    </row>
    <row r="12" spans="1:35">
      <c r="A12" s="340"/>
      <c r="B12" s="330"/>
      <c r="C12" s="330"/>
      <c r="D12" s="330"/>
      <c r="E12" s="330"/>
      <c r="F12" s="330"/>
      <c r="G12" s="330"/>
      <c r="H12" s="330"/>
      <c r="I12" s="330"/>
      <c r="J12" s="330"/>
      <c r="K12" s="330"/>
      <c r="L12" s="330"/>
      <c r="M12" s="330"/>
      <c r="N12" s="330"/>
      <c r="O12" s="330"/>
      <c r="P12" s="1658"/>
      <c r="Q12" s="1658"/>
      <c r="R12" s="1658"/>
      <c r="S12" s="1658"/>
      <c r="T12" s="1658"/>
      <c r="U12" s="1658"/>
      <c r="V12" s="1658"/>
      <c r="W12" s="1658"/>
      <c r="X12" s="329"/>
      <c r="Y12" s="329"/>
      <c r="Z12" s="329"/>
      <c r="AA12" s="329"/>
      <c r="AB12" s="329"/>
      <c r="AC12" s="329"/>
      <c r="AD12" s="329"/>
      <c r="AE12" s="329"/>
      <c r="AF12" s="329"/>
      <c r="AG12" s="329"/>
      <c r="AH12" s="329"/>
      <c r="AI12" s="329"/>
    </row>
    <row r="13" spans="1:35" ht="12.75" customHeight="1">
      <c r="A13" s="704" t="s">
        <v>844</v>
      </c>
      <c r="B13" s="720">
        <f t="shared" ref="B13:Q13" si="0">C13-1</f>
        <v>2004</v>
      </c>
      <c r="C13" s="720">
        <f t="shared" si="0"/>
        <v>2005</v>
      </c>
      <c r="D13" s="720">
        <f t="shared" si="0"/>
        <v>2006</v>
      </c>
      <c r="E13" s="720">
        <f t="shared" si="0"/>
        <v>2007</v>
      </c>
      <c r="F13" s="720">
        <f t="shared" si="0"/>
        <v>2008</v>
      </c>
      <c r="G13" s="720">
        <f t="shared" si="0"/>
        <v>2009</v>
      </c>
      <c r="H13" s="720">
        <f t="shared" si="0"/>
        <v>2010</v>
      </c>
      <c r="I13" s="720">
        <f t="shared" si="0"/>
        <v>2011</v>
      </c>
      <c r="J13" s="720">
        <f t="shared" si="0"/>
        <v>2012</v>
      </c>
      <c r="K13" s="720">
        <f t="shared" si="0"/>
        <v>2013</v>
      </c>
      <c r="L13" s="720">
        <f t="shared" si="0"/>
        <v>2014</v>
      </c>
      <c r="M13" s="720">
        <f t="shared" si="0"/>
        <v>2015</v>
      </c>
      <c r="N13" s="720">
        <f t="shared" si="0"/>
        <v>2016</v>
      </c>
      <c r="O13" s="1681">
        <f t="shared" si="0"/>
        <v>2017</v>
      </c>
      <c r="P13" s="2214">
        <f t="shared" si="0"/>
        <v>2018</v>
      </c>
      <c r="Q13" s="2214">
        <f t="shared" si="0"/>
        <v>2019</v>
      </c>
      <c r="R13" s="2214">
        <f t="shared" ref="R13" si="1">S13-1</f>
        <v>2020</v>
      </c>
      <c r="S13" s="2214">
        <f t="shared" ref="S13" si="2">T13-1</f>
        <v>2021</v>
      </c>
      <c r="T13" s="2214">
        <f t="shared" ref="T13" si="3">U13-1</f>
        <v>2022</v>
      </c>
      <c r="U13" s="2214">
        <f t="shared" ref="U13" si="4">V13-1</f>
        <v>2023</v>
      </c>
      <c r="V13" s="2214">
        <f t="shared" ref="V13" si="5">W13-1</f>
        <v>2024</v>
      </c>
      <c r="W13" s="2214">
        <v>2025</v>
      </c>
      <c r="X13" s="706"/>
      <c r="Y13" s="1777" t="s">
        <v>1380</v>
      </c>
      <c r="Z13" s="1777" t="s">
        <v>1381</v>
      </c>
      <c r="AB13" s="481"/>
      <c r="AC13" s="481"/>
      <c r="AD13" s="481"/>
      <c r="AE13" s="481"/>
      <c r="AF13" s="481"/>
      <c r="AG13" s="481"/>
      <c r="AH13" s="481"/>
      <c r="AI13" s="481"/>
    </row>
    <row r="14" spans="1:35" s="54" customFormat="1" ht="12.75" customHeight="1">
      <c r="A14" s="251" t="s">
        <v>845</v>
      </c>
      <c r="B14" s="1677"/>
      <c r="C14" s="743">
        <f t="shared" ref="C14:W14" si="6">CHOOSE(Scenario_Input,C15,C16,C17)</f>
        <v>11.713333333333331</v>
      </c>
      <c r="D14" s="743">
        <f t="shared" si="6"/>
        <v>13.545</v>
      </c>
      <c r="E14" s="743">
        <f t="shared" si="6"/>
        <v>10.401666666666666</v>
      </c>
      <c r="F14" s="743">
        <f t="shared" si="6"/>
        <v>12.4</v>
      </c>
      <c r="G14" s="743">
        <f t="shared" si="6"/>
        <v>18.787500000000001</v>
      </c>
      <c r="H14" s="743">
        <f t="shared" si="6"/>
        <v>23.440833333333334</v>
      </c>
      <c r="I14" s="743">
        <f t="shared" si="6"/>
        <v>25.258333333333336</v>
      </c>
      <c r="J14" s="743">
        <f t="shared" si="6"/>
        <v>20.410833333333333</v>
      </c>
      <c r="K14" s="743">
        <f t="shared" si="6"/>
        <v>17.066666666666666</v>
      </c>
      <c r="L14" s="743">
        <f t="shared" si="6"/>
        <v>15.978333333333333</v>
      </c>
      <c r="M14" s="743">
        <f t="shared" si="6"/>
        <v>13.149166666666668</v>
      </c>
      <c r="N14" s="743">
        <f t="shared" si="6"/>
        <v>19.252499999999998</v>
      </c>
      <c r="O14" s="743">
        <f t="shared" ref="O14" si="7">CHOOSE(Scenario_Input,O15,O16,O17)</f>
        <v>17.805000000000003</v>
      </c>
      <c r="P14" s="2337">
        <f t="shared" si="6"/>
        <v>16.244658605325153</v>
      </c>
      <c r="Q14" s="2337">
        <f t="shared" si="6"/>
        <v>16.31531880717511</v>
      </c>
      <c r="R14" s="2337">
        <f t="shared" si="6"/>
        <v>16.498655235130911</v>
      </c>
      <c r="S14" s="2337">
        <f t="shared" si="6"/>
        <v>19.747444770453257</v>
      </c>
      <c r="T14" s="2337">
        <f t="shared" si="6"/>
        <v>20.93514679550681</v>
      </c>
      <c r="U14" s="2337">
        <f t="shared" si="6"/>
        <v>17.432162450241776</v>
      </c>
      <c r="V14" s="2337">
        <f t="shared" si="6"/>
        <v>15.017906650666538</v>
      </c>
      <c r="W14" s="2337">
        <f t="shared" si="6"/>
        <v>17.055276269110166</v>
      </c>
      <c r="X14" s="707"/>
      <c r="Y14" s="707"/>
      <c r="Z14" s="707"/>
    </row>
    <row r="15" spans="1:35" ht="12.75" customHeight="1">
      <c r="A15" s="236" t="s">
        <v>77</v>
      </c>
      <c r="B15" s="708"/>
      <c r="C15" s="2338">
        <v>11.713333333333331</v>
      </c>
      <c r="D15" s="2338">
        <v>13.545</v>
      </c>
      <c r="E15" s="2338">
        <v>10.401666666666666</v>
      </c>
      <c r="F15" s="2338">
        <v>12.4</v>
      </c>
      <c r="G15" s="2338">
        <v>18.787500000000001</v>
      </c>
      <c r="H15" s="709">
        <v>23.440833333333334</v>
      </c>
      <c r="I15" s="709">
        <v>25.258333333333336</v>
      </c>
      <c r="J15" s="709">
        <v>20.410833333333333</v>
      </c>
      <c r="K15" s="709">
        <v>17.066666666666666</v>
      </c>
      <c r="L15" s="709">
        <v>15.978333333333333</v>
      </c>
      <c r="M15" s="709">
        <v>13.149166666666668</v>
      </c>
      <c r="N15" s="709">
        <v>19.252499999999998</v>
      </c>
      <c r="O15" s="717">
        <v>17.805000000000003</v>
      </c>
      <c r="P15" s="2339">
        <v>16.244658605325153</v>
      </c>
      <c r="Q15" s="2339">
        <v>16.31531880717511</v>
      </c>
      <c r="R15" s="2339">
        <v>16.498655235130911</v>
      </c>
      <c r="S15" s="2339">
        <v>19.747444770453257</v>
      </c>
      <c r="T15" s="2339">
        <v>20.93514679550681</v>
      </c>
      <c r="U15" s="2339">
        <v>17.432162450241776</v>
      </c>
      <c r="V15" s="2339">
        <v>15.017906650666538</v>
      </c>
      <c r="W15" s="2305">
        <v>17.055276269110166</v>
      </c>
      <c r="X15" s="707"/>
      <c r="Y15" s="707"/>
      <c r="Z15" s="707"/>
      <c r="AB15" s="446"/>
      <c r="AC15" s="175"/>
      <c r="AD15" s="175"/>
      <c r="AE15" s="175"/>
      <c r="AF15" s="175"/>
      <c r="AG15" s="175"/>
    </row>
    <row r="16" spans="1:35" ht="12.75" customHeight="1">
      <c r="A16" s="236" t="s">
        <v>78</v>
      </c>
      <c r="B16" s="709"/>
      <c r="C16" s="2338">
        <f t="shared" ref="C16:G16" si="8">+C15</f>
        <v>11.713333333333331</v>
      </c>
      <c r="D16" s="2338">
        <f t="shared" si="8"/>
        <v>13.545</v>
      </c>
      <c r="E16" s="2338">
        <f t="shared" si="8"/>
        <v>10.401666666666666</v>
      </c>
      <c r="F16" s="2338">
        <f t="shared" si="8"/>
        <v>12.4</v>
      </c>
      <c r="G16" s="2338">
        <f t="shared" si="8"/>
        <v>18.787500000000001</v>
      </c>
      <c r="H16" s="709">
        <f>+H15</f>
        <v>23.440833333333334</v>
      </c>
      <c r="I16" s="709">
        <f t="shared" ref="I16:L16" si="9">+I15</f>
        <v>25.258333333333336</v>
      </c>
      <c r="J16" s="709">
        <f t="shared" si="9"/>
        <v>20.410833333333333</v>
      </c>
      <c r="K16" s="709">
        <f t="shared" si="9"/>
        <v>17.066666666666666</v>
      </c>
      <c r="L16" s="709">
        <f t="shared" si="9"/>
        <v>15.978333333333333</v>
      </c>
      <c r="M16" s="709">
        <f>+M15</f>
        <v>13.149166666666668</v>
      </c>
      <c r="N16" s="709">
        <f t="shared" ref="N16:O16" si="10">+N15</f>
        <v>19.252499999999998</v>
      </c>
      <c r="O16" s="709">
        <f t="shared" si="10"/>
        <v>17.805000000000003</v>
      </c>
      <c r="P16" s="2339">
        <v>18.794158956936627</v>
      </c>
      <c r="Q16" s="2339">
        <v>18.938866951247341</v>
      </c>
      <c r="R16" s="2339">
        <v>21.333382670600141</v>
      </c>
      <c r="S16" s="2339">
        <v>23.057455102611588</v>
      </c>
      <c r="T16" s="2339">
        <v>20.755780087152509</v>
      </c>
      <c r="U16" s="2339">
        <v>18.098667194074562</v>
      </c>
      <c r="V16" s="2339">
        <v>19.275172161593819</v>
      </c>
      <c r="W16" s="2305">
        <v>20.940757180119164</v>
      </c>
      <c r="X16" s="709"/>
      <c r="Y16" s="707"/>
      <c r="Z16" s="707"/>
      <c r="AB16" s="446"/>
      <c r="AC16" s="175"/>
      <c r="AD16" s="175"/>
      <c r="AE16" s="175"/>
      <c r="AF16" s="175"/>
      <c r="AG16" s="175"/>
    </row>
    <row r="17" spans="1:33" ht="12.75" customHeight="1">
      <c r="A17" s="236" t="s">
        <v>79</v>
      </c>
      <c r="B17" s="709"/>
      <c r="C17" s="2338">
        <f t="shared" ref="C17:G17" si="11">+C15</f>
        <v>11.713333333333331</v>
      </c>
      <c r="D17" s="2338">
        <f t="shared" si="11"/>
        <v>13.545</v>
      </c>
      <c r="E17" s="2338">
        <f t="shared" si="11"/>
        <v>10.401666666666666</v>
      </c>
      <c r="F17" s="2338">
        <f t="shared" si="11"/>
        <v>12.4</v>
      </c>
      <c r="G17" s="2338">
        <f t="shared" si="11"/>
        <v>18.787500000000001</v>
      </c>
      <c r="H17" s="709">
        <f>+H15</f>
        <v>23.440833333333334</v>
      </c>
      <c r="I17" s="709">
        <f t="shared" ref="I17:M17" si="12">+I15</f>
        <v>25.258333333333336</v>
      </c>
      <c r="J17" s="709">
        <f t="shared" si="12"/>
        <v>20.410833333333333</v>
      </c>
      <c r="K17" s="709">
        <f t="shared" si="12"/>
        <v>17.066666666666666</v>
      </c>
      <c r="L17" s="709">
        <f t="shared" si="12"/>
        <v>15.978333333333333</v>
      </c>
      <c r="M17" s="709">
        <f t="shared" si="12"/>
        <v>13.149166666666668</v>
      </c>
      <c r="N17" s="709">
        <f t="shared" ref="N17:O17" si="13">+N15</f>
        <v>19.252499999999998</v>
      </c>
      <c r="O17" s="709">
        <f t="shared" si="13"/>
        <v>17.805000000000003</v>
      </c>
      <c r="P17" s="2339">
        <v>13.497954874874125</v>
      </c>
      <c r="Q17" s="2339">
        <v>13.366639357923361</v>
      </c>
      <c r="R17" s="2339">
        <v>15.861959162142835</v>
      </c>
      <c r="S17" s="2339">
        <v>18.892211851030282</v>
      </c>
      <c r="T17" s="2339">
        <v>16.97027604733838</v>
      </c>
      <c r="U17" s="2339">
        <v>14.237621843699179</v>
      </c>
      <c r="V17" s="2339">
        <v>15.336772509203714</v>
      </c>
      <c r="W17" s="2305">
        <v>15.695358267740904</v>
      </c>
      <c r="X17" s="709"/>
      <c r="Y17" s="707"/>
      <c r="Z17" s="707"/>
      <c r="AB17" s="446"/>
      <c r="AC17" s="175"/>
      <c r="AD17" s="175"/>
      <c r="AE17" s="175"/>
      <c r="AF17" s="175"/>
      <c r="AG17" s="175"/>
    </row>
    <row r="18" spans="1:33" ht="12.75" customHeight="1">
      <c r="A18" s="236"/>
      <c r="B18" s="176"/>
      <c r="C18" s="1689"/>
      <c r="D18" s="1689"/>
      <c r="E18" s="1689"/>
      <c r="F18" s="1689"/>
      <c r="G18" s="1689"/>
      <c r="H18" s="715"/>
      <c r="I18" s="715"/>
      <c r="J18" s="715"/>
      <c r="K18" s="715"/>
      <c r="L18" s="715"/>
      <c r="M18" s="715"/>
      <c r="N18" s="715"/>
      <c r="O18" s="1680"/>
      <c r="P18" s="1658"/>
      <c r="Q18" s="1658"/>
      <c r="R18" s="1658"/>
      <c r="S18" s="1658"/>
      <c r="T18" s="1658"/>
      <c r="U18" s="1658"/>
      <c r="V18" s="1658"/>
      <c r="W18" s="1658"/>
      <c r="X18" s="712"/>
      <c r="Y18" s="707"/>
      <c r="Z18" s="707"/>
      <c r="AB18" s="175"/>
      <c r="AC18" s="175"/>
      <c r="AD18" s="175"/>
      <c r="AE18" s="175"/>
      <c r="AF18" s="175"/>
      <c r="AG18" s="175"/>
    </row>
    <row r="19" spans="1:33" s="54" customFormat="1" ht="12.75" customHeight="1">
      <c r="A19" s="251" t="s">
        <v>855</v>
      </c>
      <c r="B19" s="2215"/>
      <c r="C19" s="713">
        <f t="shared" ref="C19:W19" si="14">CHOOSE(Scenario_Input,C20,C21,C22)</f>
        <v>725.83333333333348</v>
      </c>
      <c r="D19" s="713">
        <f t="shared" si="14"/>
        <v>910.83333333333326</v>
      </c>
      <c r="E19" s="713">
        <f t="shared" si="14"/>
        <v>723.33333333333326</v>
      </c>
      <c r="F19" s="713">
        <f t="shared" si="14"/>
        <v>718.33333333333337</v>
      </c>
      <c r="G19" s="713">
        <f t="shared" si="14"/>
        <v>739.16666666666663</v>
      </c>
      <c r="H19" s="713">
        <f t="shared" si="14"/>
        <v>906.66666666666686</v>
      </c>
      <c r="I19" s="713">
        <f t="shared" si="14"/>
        <v>1216.6666666666667</v>
      </c>
      <c r="J19" s="713">
        <f t="shared" si="14"/>
        <v>1111.6666666666665</v>
      </c>
      <c r="K19" s="713">
        <f t="shared" si="14"/>
        <v>1162.4999999999998</v>
      </c>
      <c r="L19" s="713">
        <f t="shared" si="14"/>
        <v>1262.5000000000002</v>
      </c>
      <c r="M19" s="713">
        <f t="shared" si="14"/>
        <v>1326.6666666666667</v>
      </c>
      <c r="N19" s="713">
        <f t="shared" si="14"/>
        <v>1674.1666666666663</v>
      </c>
      <c r="O19" s="1679">
        <f t="shared" ref="O19" si="15">CHOOSE(Scenario_Input,O20,O21,O22)</f>
        <v>1523.4916666666666</v>
      </c>
      <c r="P19" s="714">
        <f t="shared" si="14"/>
        <v>1558.3423668032785</v>
      </c>
      <c r="Q19" s="714">
        <f>CHOOSE(Scenario_Input,Q20,Q21,Q22)</f>
        <v>1696.3434938524588</v>
      </c>
      <c r="R19" s="714">
        <f t="shared" si="14"/>
        <v>1815.8043032786882</v>
      </c>
      <c r="S19" s="714">
        <f t="shared" si="14"/>
        <v>1884.384364754098</v>
      </c>
      <c r="T19" s="714">
        <f t="shared" si="14"/>
        <v>1929.6095895081964</v>
      </c>
      <c r="U19" s="714">
        <f t="shared" si="14"/>
        <v>1975.9202196563931</v>
      </c>
      <c r="V19" s="714">
        <f t="shared" si="14"/>
        <v>2023.3423049281466</v>
      </c>
      <c r="W19" s="714">
        <f t="shared" si="14"/>
        <v>2159.5897187573682</v>
      </c>
      <c r="X19" s="707"/>
      <c r="Y19" s="707"/>
      <c r="Z19" s="707"/>
    </row>
    <row r="20" spans="1:33" ht="12.75" customHeight="1">
      <c r="A20" s="236" t="s">
        <v>77</v>
      </c>
      <c r="B20" s="176"/>
      <c r="C20" s="2127">
        <v>725.83333333333348</v>
      </c>
      <c r="D20" s="2127">
        <v>910.83333333333326</v>
      </c>
      <c r="E20" s="2127">
        <v>723.33333333333326</v>
      </c>
      <c r="F20" s="2127">
        <v>718.33333333333337</v>
      </c>
      <c r="G20" s="2127">
        <v>739.16666666666663</v>
      </c>
      <c r="H20" s="2127">
        <v>906.66666666666686</v>
      </c>
      <c r="I20" s="2127">
        <v>1216.6666666666667</v>
      </c>
      <c r="J20" s="2127">
        <v>1111.6666666666665</v>
      </c>
      <c r="K20" s="2127">
        <v>1162.4999999999998</v>
      </c>
      <c r="L20" s="2127">
        <v>1262.5000000000002</v>
      </c>
      <c r="M20" s="2127">
        <v>1326.6666666666667</v>
      </c>
      <c r="N20" s="2127">
        <v>1674.1666666666663</v>
      </c>
      <c r="O20" s="1680">
        <v>1523.4916666666666</v>
      </c>
      <c r="P20" s="1665">
        <v>1558.3423668032785</v>
      </c>
      <c r="Q20" s="1665">
        <v>1696.3434938524588</v>
      </c>
      <c r="R20" s="1665">
        <v>1815.8043032786882</v>
      </c>
      <c r="S20" s="1665">
        <v>1884.384364754098</v>
      </c>
      <c r="T20" s="1665">
        <v>1929.6095895081964</v>
      </c>
      <c r="U20" s="1665">
        <v>1975.9202196563931</v>
      </c>
      <c r="V20" s="1665">
        <v>2023.3423049281466</v>
      </c>
      <c r="W20" s="2357">
        <v>2159.5897187573682</v>
      </c>
      <c r="X20" s="715"/>
      <c r="Y20" s="707"/>
      <c r="Z20" s="707"/>
      <c r="AB20" s="446"/>
      <c r="AC20" s="175"/>
      <c r="AD20" s="175"/>
      <c r="AE20" s="175"/>
      <c r="AF20" s="175"/>
      <c r="AG20" s="175"/>
    </row>
    <row r="21" spans="1:33" ht="12.75" customHeight="1">
      <c r="A21" s="236" t="s">
        <v>78</v>
      </c>
      <c r="B21" s="176"/>
      <c r="C21" s="2127">
        <f t="shared" ref="C21:G21" si="16">+C20</f>
        <v>725.83333333333348</v>
      </c>
      <c r="D21" s="2127">
        <f t="shared" si="16"/>
        <v>910.83333333333326</v>
      </c>
      <c r="E21" s="2127">
        <f t="shared" si="16"/>
        <v>723.33333333333326</v>
      </c>
      <c r="F21" s="2127">
        <f t="shared" si="16"/>
        <v>718.33333333333337</v>
      </c>
      <c r="G21" s="2127">
        <f t="shared" si="16"/>
        <v>739.16666666666663</v>
      </c>
      <c r="H21" s="2127">
        <f>+H20</f>
        <v>906.66666666666686</v>
      </c>
      <c r="I21" s="2127">
        <f t="shared" ref="I21:M21" si="17">+I20</f>
        <v>1216.6666666666667</v>
      </c>
      <c r="J21" s="2127">
        <f t="shared" si="17"/>
        <v>1111.6666666666665</v>
      </c>
      <c r="K21" s="2127">
        <f t="shared" si="17"/>
        <v>1162.4999999999998</v>
      </c>
      <c r="L21" s="2127">
        <f t="shared" si="17"/>
        <v>1262.5000000000002</v>
      </c>
      <c r="M21" s="2127">
        <f t="shared" si="17"/>
        <v>1326.6666666666667</v>
      </c>
      <c r="N21" s="2127">
        <f t="shared" ref="N21:O21" si="18">+N20</f>
        <v>1674.1666666666663</v>
      </c>
      <c r="O21" s="2127">
        <f t="shared" si="18"/>
        <v>1523.4916666666666</v>
      </c>
      <c r="P21" s="1665">
        <v>1706.5842053734061</v>
      </c>
      <c r="Q21" s="1665">
        <v>1816.802464708561</v>
      </c>
      <c r="R21" s="1665">
        <v>1888.7550375683059</v>
      </c>
      <c r="S21" s="1665">
        <v>1954.3757840163935</v>
      </c>
      <c r="T21" s="1665">
        <v>2001.2808028327872</v>
      </c>
      <c r="U21" s="1665">
        <v>2049.3115421007737</v>
      </c>
      <c r="V21" s="1665">
        <v>2098.4950191111921</v>
      </c>
      <c r="W21" s="2357">
        <v>2239.8030511683555</v>
      </c>
      <c r="X21" s="715"/>
      <c r="Y21" s="707"/>
      <c r="Z21" s="707"/>
      <c r="AB21" s="446"/>
      <c r="AC21" s="175"/>
      <c r="AD21" s="175"/>
      <c r="AE21" s="175"/>
      <c r="AF21" s="175"/>
      <c r="AG21" s="175"/>
    </row>
    <row r="22" spans="1:33" ht="12.75" customHeight="1">
      <c r="A22" s="236" t="s">
        <v>79</v>
      </c>
      <c r="B22" s="176"/>
      <c r="C22" s="2127">
        <f t="shared" ref="C22:G22" si="19">+C20</f>
        <v>725.83333333333348</v>
      </c>
      <c r="D22" s="2127">
        <f t="shared" si="19"/>
        <v>910.83333333333326</v>
      </c>
      <c r="E22" s="2127">
        <f t="shared" si="19"/>
        <v>723.33333333333326</v>
      </c>
      <c r="F22" s="2127">
        <f t="shared" si="19"/>
        <v>718.33333333333337</v>
      </c>
      <c r="G22" s="2127">
        <f t="shared" si="19"/>
        <v>739.16666666666663</v>
      </c>
      <c r="H22" s="2127">
        <f>+H20</f>
        <v>906.66666666666686</v>
      </c>
      <c r="I22" s="2127">
        <f t="shared" ref="I22:M22" si="20">+I20</f>
        <v>1216.6666666666667</v>
      </c>
      <c r="J22" s="2127">
        <f t="shared" si="20"/>
        <v>1111.6666666666665</v>
      </c>
      <c r="K22" s="2127">
        <f t="shared" si="20"/>
        <v>1162.4999999999998</v>
      </c>
      <c r="L22" s="2127">
        <f t="shared" si="20"/>
        <v>1262.5000000000002</v>
      </c>
      <c r="M22" s="2127">
        <f t="shared" si="20"/>
        <v>1326.6666666666667</v>
      </c>
      <c r="N22" s="2127">
        <f t="shared" ref="N22:O22" si="21">+N20</f>
        <v>1674.1666666666663</v>
      </c>
      <c r="O22" s="2127">
        <f t="shared" si="21"/>
        <v>1523.4916666666666</v>
      </c>
      <c r="P22" s="1665">
        <v>1401.3469710553277</v>
      </c>
      <c r="Q22" s="1665">
        <v>1531.1559536372949</v>
      </c>
      <c r="R22" s="1665">
        <v>1669.815548668033</v>
      </c>
      <c r="S22" s="1665">
        <v>1743.4324142704918</v>
      </c>
      <c r="T22" s="1665">
        <v>1785.2747922129838</v>
      </c>
      <c r="U22" s="1665">
        <v>1828.1213872260955</v>
      </c>
      <c r="V22" s="1665">
        <v>1871.9963005195223</v>
      </c>
      <c r="W22" s="2357">
        <v>1998.0524077943178</v>
      </c>
      <c r="X22" s="715"/>
      <c r="Y22" s="707"/>
      <c r="Z22" s="707"/>
      <c r="AB22" s="446"/>
      <c r="AC22" s="175"/>
      <c r="AD22" s="175"/>
      <c r="AE22" s="175"/>
      <c r="AF22" s="175"/>
      <c r="AG22" s="175"/>
    </row>
    <row r="23" spans="1:33" ht="12.75" customHeight="1">
      <c r="A23" s="236"/>
      <c r="B23" s="176"/>
      <c r="C23" s="1689"/>
      <c r="D23" s="1689"/>
      <c r="E23" s="1689"/>
      <c r="F23" s="1689"/>
      <c r="G23" s="1689"/>
      <c r="H23" s="715"/>
      <c r="I23" s="715"/>
      <c r="J23" s="715"/>
      <c r="K23" s="715"/>
      <c r="L23" s="715"/>
      <c r="M23" s="715"/>
      <c r="N23" s="715"/>
      <c r="O23" s="1680"/>
      <c r="P23" s="1658"/>
      <c r="Q23" s="1658"/>
      <c r="R23" s="1658"/>
      <c r="S23" s="1658"/>
      <c r="T23" s="1658"/>
      <c r="U23" s="1658"/>
      <c r="V23" s="1658"/>
      <c r="W23" s="1658"/>
      <c r="X23" s="709"/>
      <c r="Y23" s="707"/>
      <c r="Z23" s="707"/>
      <c r="AB23" s="175"/>
      <c r="AC23" s="175"/>
      <c r="AD23" s="175"/>
      <c r="AE23" s="175"/>
      <c r="AF23" s="175"/>
      <c r="AG23" s="175"/>
    </row>
    <row r="24" spans="1:33" s="54" customFormat="1" ht="12.75" customHeight="1">
      <c r="A24" s="251" t="s">
        <v>846</v>
      </c>
      <c r="B24" s="2215"/>
      <c r="C24" s="713">
        <f t="shared" ref="C24:P24" si="22">CHOOSE(Scenario_Input,C25,C26,C27)</f>
        <v>830</v>
      </c>
      <c r="D24" s="713">
        <f t="shared" si="22"/>
        <v>1002.5</v>
      </c>
      <c r="E24" s="713">
        <f t="shared" si="22"/>
        <v>802.50000000000011</v>
      </c>
      <c r="F24" s="713">
        <f t="shared" si="22"/>
        <v>842.50000000000011</v>
      </c>
      <c r="G24" s="713">
        <f t="shared" si="22"/>
        <v>841.66666666666663</v>
      </c>
      <c r="H24" s="713">
        <f t="shared" si="22"/>
        <v>1050.8333333333335</v>
      </c>
      <c r="I24" s="713">
        <f t="shared" si="22"/>
        <v>1330.8333333333333</v>
      </c>
      <c r="J24" s="713">
        <f t="shared" si="22"/>
        <v>1254.1666666666667</v>
      </c>
      <c r="K24" s="713">
        <f t="shared" si="22"/>
        <v>1325.8333333333335</v>
      </c>
      <c r="L24" s="713">
        <f t="shared" si="22"/>
        <v>1410.8333333333335</v>
      </c>
      <c r="M24" s="713">
        <f t="shared" si="22"/>
        <v>1479.9999999999998</v>
      </c>
      <c r="N24" s="713">
        <f t="shared" si="22"/>
        <v>1874.9999999999998</v>
      </c>
      <c r="O24" s="1679">
        <f t="shared" ref="O24" si="23">CHOOSE(Scenario_Input,O25,O26,O27)</f>
        <v>1721.0847522548545</v>
      </c>
      <c r="P24" s="714">
        <f t="shared" si="22"/>
        <v>1760.4555016477702</v>
      </c>
      <c r="Q24" s="714">
        <f t="shared" ref="Q24:W24" si="24">CHOOSE(Scenario_Input,Q25,Q26,Q27)</f>
        <v>1916.3550321506148</v>
      </c>
      <c r="R24" s="714">
        <f t="shared" si="24"/>
        <v>2051.3096118795311</v>
      </c>
      <c r="S24" s="714">
        <f t="shared" si="24"/>
        <v>2128.7843370103074</v>
      </c>
      <c r="T24" s="714">
        <f t="shared" si="24"/>
        <v>2179.8751610985551</v>
      </c>
      <c r="U24" s="714">
        <f t="shared" si="24"/>
        <v>2232.1921649649203</v>
      </c>
      <c r="V24" s="714">
        <f t="shared" si="24"/>
        <v>2285.7647769240784</v>
      </c>
      <c r="W24" s="714">
        <f t="shared" si="24"/>
        <v>2439.683141957667</v>
      </c>
      <c r="X24" s="707"/>
      <c r="Y24" s="707"/>
      <c r="Z24" s="707"/>
    </row>
    <row r="25" spans="1:33" ht="12.75" customHeight="1">
      <c r="A25" s="236" t="s">
        <v>77</v>
      </c>
      <c r="B25" s="596"/>
      <c r="C25" s="2127">
        <v>830</v>
      </c>
      <c r="D25" s="2127">
        <v>1002.5</v>
      </c>
      <c r="E25" s="2127">
        <v>802.50000000000011</v>
      </c>
      <c r="F25" s="2127">
        <v>842.50000000000011</v>
      </c>
      <c r="G25" s="2127">
        <v>841.66666666666663</v>
      </c>
      <c r="H25" s="2127">
        <v>1050.8333333333335</v>
      </c>
      <c r="I25" s="2127">
        <v>1330.8333333333333</v>
      </c>
      <c r="J25" s="2127">
        <v>1254.1666666666667</v>
      </c>
      <c r="K25" s="2127">
        <v>1325.8333333333335</v>
      </c>
      <c r="L25" s="2127">
        <v>1410.8333333333335</v>
      </c>
      <c r="M25" s="2127">
        <v>1479.9999999999998</v>
      </c>
      <c r="N25" s="2127">
        <v>1874.9999999999998</v>
      </c>
      <c r="O25" s="1680">
        <v>1721.0847522548545</v>
      </c>
      <c r="P25" s="1665">
        <v>1760.4555016477702</v>
      </c>
      <c r="Q25" s="1665">
        <v>1916.3550321506148</v>
      </c>
      <c r="R25" s="1665">
        <v>2051.3096118795311</v>
      </c>
      <c r="S25" s="1665">
        <v>2128.7843370103074</v>
      </c>
      <c r="T25" s="1665">
        <v>2179.8751610985551</v>
      </c>
      <c r="U25" s="1665">
        <v>2232.1921649649203</v>
      </c>
      <c r="V25" s="1665">
        <v>2285.7647769240784</v>
      </c>
      <c r="W25" s="2357">
        <v>2439.683141957667</v>
      </c>
      <c r="X25" s="715"/>
      <c r="Y25" s="707"/>
      <c r="Z25" s="707"/>
      <c r="AB25" s="446"/>
      <c r="AC25" s="175"/>
      <c r="AD25" s="175"/>
      <c r="AE25" s="175"/>
      <c r="AF25" s="175"/>
      <c r="AG25" s="175"/>
    </row>
    <row r="26" spans="1:33" ht="12.75" customHeight="1">
      <c r="A26" s="236" t="s">
        <v>78</v>
      </c>
      <c r="B26" s="596"/>
      <c r="C26" s="2127">
        <f t="shared" ref="C26:G26" si="25">+C25</f>
        <v>830</v>
      </c>
      <c r="D26" s="2127">
        <f t="shared" si="25"/>
        <v>1002.5</v>
      </c>
      <c r="E26" s="2127">
        <f t="shared" si="25"/>
        <v>802.50000000000011</v>
      </c>
      <c r="F26" s="2127">
        <f t="shared" si="25"/>
        <v>842.50000000000011</v>
      </c>
      <c r="G26" s="2127">
        <f t="shared" si="25"/>
        <v>841.66666666666663</v>
      </c>
      <c r="H26" s="2127">
        <f>+H25</f>
        <v>1050.8333333333335</v>
      </c>
      <c r="I26" s="2127">
        <f t="shared" ref="I26:M26" si="26">+I25</f>
        <v>1330.8333333333333</v>
      </c>
      <c r="J26" s="2127">
        <f t="shared" si="26"/>
        <v>1254.1666666666667</v>
      </c>
      <c r="K26" s="2127">
        <f t="shared" si="26"/>
        <v>1325.8333333333335</v>
      </c>
      <c r="L26" s="2127">
        <f t="shared" si="26"/>
        <v>1410.8333333333335</v>
      </c>
      <c r="M26" s="2127">
        <f t="shared" si="26"/>
        <v>1479.9999999999998</v>
      </c>
      <c r="N26" s="2127">
        <f t="shared" ref="N26:O26" si="27">+N25</f>
        <v>1874.9999999999998</v>
      </c>
      <c r="O26" s="2127">
        <f t="shared" si="27"/>
        <v>1721.0847522548545</v>
      </c>
      <c r="P26" s="1665">
        <v>1927.9239385231097</v>
      </c>
      <c r="Q26" s="1665">
        <v>2052.4372323679331</v>
      </c>
      <c r="R26" s="1665">
        <v>2133.72187523399</v>
      </c>
      <c r="S26" s="1665">
        <v>2207.8534695278336</v>
      </c>
      <c r="T26" s="1665">
        <v>2260.8419527965016</v>
      </c>
      <c r="U26" s="1665">
        <v>2315.1021596636174</v>
      </c>
      <c r="V26" s="1665">
        <v>2370.6646114955447</v>
      </c>
      <c r="W26" s="2357">
        <v>2530.2999443732369</v>
      </c>
      <c r="X26" s="715"/>
      <c r="Y26" s="707"/>
      <c r="Z26" s="707"/>
      <c r="AB26" s="446"/>
      <c r="AC26" s="175"/>
      <c r="AD26" s="175"/>
      <c r="AE26" s="175"/>
      <c r="AF26" s="175"/>
      <c r="AG26" s="175"/>
    </row>
    <row r="27" spans="1:33" ht="12.75" customHeight="1">
      <c r="A27" s="236" t="s">
        <v>79</v>
      </c>
      <c r="B27" s="596"/>
      <c r="C27" s="2127">
        <f t="shared" ref="C27:G27" si="28">+C25</f>
        <v>830</v>
      </c>
      <c r="D27" s="2127">
        <f t="shared" si="28"/>
        <v>1002.5</v>
      </c>
      <c r="E27" s="2127">
        <f t="shared" si="28"/>
        <v>802.50000000000011</v>
      </c>
      <c r="F27" s="2127">
        <f t="shared" si="28"/>
        <v>842.50000000000011</v>
      </c>
      <c r="G27" s="2127">
        <f t="shared" si="28"/>
        <v>841.66666666666663</v>
      </c>
      <c r="H27" s="2127">
        <f>+H25</f>
        <v>1050.8333333333335</v>
      </c>
      <c r="I27" s="2127">
        <f t="shared" ref="I27:M27" si="29">+I25</f>
        <v>1330.8333333333333</v>
      </c>
      <c r="J27" s="2127">
        <f t="shared" si="29"/>
        <v>1254.1666666666667</v>
      </c>
      <c r="K27" s="2127">
        <f t="shared" si="29"/>
        <v>1325.8333333333335</v>
      </c>
      <c r="L27" s="2127">
        <f t="shared" si="29"/>
        <v>1410.8333333333335</v>
      </c>
      <c r="M27" s="2127">
        <f t="shared" si="29"/>
        <v>1479.9999999999998</v>
      </c>
      <c r="N27" s="2127">
        <f t="shared" ref="N27:O27" si="30">+N25</f>
        <v>1874.9999999999998</v>
      </c>
      <c r="O27" s="2127">
        <f t="shared" si="30"/>
        <v>1721.0847522548545</v>
      </c>
      <c r="P27" s="1665">
        <v>1583.0981929680283</v>
      </c>
      <c r="Q27" s="1665">
        <v>1729.7430782113827</v>
      </c>
      <c r="R27" s="1665">
        <v>1886.3864783576928</v>
      </c>
      <c r="S27" s="1665">
        <v>1969.551268601937</v>
      </c>
      <c r="T27" s="1665">
        <v>2016.8204990483837</v>
      </c>
      <c r="U27" s="1665">
        <v>2065.2241910255452</v>
      </c>
      <c r="V27" s="1665">
        <v>2114.789571610158</v>
      </c>
      <c r="W27" s="2357">
        <v>2257.1948429392346</v>
      </c>
      <c r="X27" s="715"/>
      <c r="Y27" s="707"/>
      <c r="Z27" s="707"/>
      <c r="AB27" s="446"/>
      <c r="AC27" s="175"/>
      <c r="AD27" s="175"/>
      <c r="AE27" s="175"/>
      <c r="AF27" s="175"/>
      <c r="AG27" s="175"/>
    </row>
    <row r="28" spans="1:33" ht="12.75" customHeight="1">
      <c r="A28" s="157"/>
      <c r="B28" s="596"/>
      <c r="C28" s="1689"/>
      <c r="D28" s="1689"/>
      <c r="E28" s="1689"/>
      <c r="F28" s="1689"/>
      <c r="G28" s="1689"/>
      <c r="H28" s="2127"/>
      <c r="I28" s="2127"/>
      <c r="J28" s="2127"/>
      <c r="K28" s="2127"/>
      <c r="L28" s="2127"/>
      <c r="M28" s="2127"/>
      <c r="N28" s="2127"/>
      <c r="O28" s="1680"/>
      <c r="P28" s="1658"/>
      <c r="Q28" s="1658"/>
      <c r="R28" s="1658"/>
      <c r="S28" s="1658"/>
      <c r="T28" s="1658"/>
      <c r="U28" s="1658"/>
      <c r="V28" s="1658"/>
      <c r="W28" s="1658"/>
      <c r="X28" s="709"/>
      <c r="Y28" s="707"/>
      <c r="Z28" s="707"/>
      <c r="AB28" s="175"/>
      <c r="AC28" s="175"/>
      <c r="AD28" s="175"/>
      <c r="AE28" s="175"/>
      <c r="AF28" s="175"/>
      <c r="AG28" s="175"/>
    </row>
    <row r="29" spans="1:33" s="251" customFormat="1" ht="12.75" customHeight="1">
      <c r="A29" s="251" t="s">
        <v>847</v>
      </c>
      <c r="B29" s="2215"/>
      <c r="C29" s="713">
        <f t="shared" ref="C29:W29" si="31">CHOOSE(Scenario_Input,C30,C31,C32)</f>
        <v>30.849166666666665</v>
      </c>
      <c r="D29" s="713">
        <f t="shared" si="31"/>
        <v>69.778333333333336</v>
      </c>
      <c r="E29" s="713">
        <f t="shared" si="31"/>
        <v>99.167500000000004</v>
      </c>
      <c r="F29" s="713">
        <f t="shared" si="31"/>
        <v>147.42750000000001</v>
      </c>
      <c r="G29" s="713">
        <f t="shared" si="31"/>
        <v>43.956666666666656</v>
      </c>
      <c r="H29" s="713">
        <f t="shared" si="31"/>
        <v>70.436666666666653</v>
      </c>
      <c r="I29" s="713">
        <f t="shared" si="31"/>
        <v>33.543333333333337</v>
      </c>
      <c r="J29" s="713">
        <f t="shared" si="31"/>
        <v>143.88833333333335</v>
      </c>
      <c r="K29" s="713">
        <f t="shared" si="31"/>
        <v>266.16666666666669</v>
      </c>
      <c r="L29" s="713">
        <f t="shared" si="31"/>
        <v>678.09749999999997</v>
      </c>
      <c r="M29" s="713">
        <f t="shared" si="31"/>
        <v>310.76166666666671</v>
      </c>
      <c r="N29" s="713">
        <f t="shared" si="31"/>
        <v>107.17333333333333</v>
      </c>
      <c r="O29" s="1679">
        <f t="shared" ref="O29" si="32">CHOOSE(Scenario_Input,O30,O31,O32)</f>
        <v>190</v>
      </c>
      <c r="P29" s="714">
        <f t="shared" si="31"/>
        <v>160</v>
      </c>
      <c r="Q29" s="714">
        <f t="shared" si="31"/>
        <v>150</v>
      </c>
      <c r="R29" s="714">
        <f t="shared" si="31"/>
        <v>150</v>
      </c>
      <c r="S29" s="714">
        <f t="shared" si="31"/>
        <v>150</v>
      </c>
      <c r="T29" s="714">
        <f t="shared" si="31"/>
        <v>150</v>
      </c>
      <c r="U29" s="714">
        <f t="shared" si="31"/>
        <v>150</v>
      </c>
      <c r="V29" s="714">
        <f t="shared" si="31"/>
        <v>150</v>
      </c>
      <c r="W29" s="714">
        <f t="shared" si="31"/>
        <v>150</v>
      </c>
      <c r="Y29" s="707"/>
      <c r="Z29" s="707"/>
    </row>
    <row r="30" spans="1:33" ht="12.75" customHeight="1">
      <c r="A30" s="157" t="s">
        <v>77</v>
      </c>
      <c r="B30" s="176"/>
      <c r="C30" s="2127">
        <v>30.849166666666665</v>
      </c>
      <c r="D30" s="2127">
        <v>69.778333333333336</v>
      </c>
      <c r="E30" s="2127">
        <v>99.167500000000004</v>
      </c>
      <c r="F30" s="2127">
        <v>147.42750000000001</v>
      </c>
      <c r="G30" s="2127">
        <v>43.956666666666656</v>
      </c>
      <c r="H30" s="2127">
        <v>70.436666666666653</v>
      </c>
      <c r="I30" s="2127">
        <v>33.543333333333337</v>
      </c>
      <c r="J30" s="2127">
        <v>143.88833333333335</v>
      </c>
      <c r="K30" s="2127">
        <v>266.16666666666669</v>
      </c>
      <c r="L30" s="2127">
        <v>678.09749999999997</v>
      </c>
      <c r="M30" s="2127">
        <v>310.76166666666671</v>
      </c>
      <c r="N30" s="2127">
        <v>107.17333333333333</v>
      </c>
      <c r="O30" s="1680">
        <v>190</v>
      </c>
      <c r="P30" s="1665">
        <v>160</v>
      </c>
      <c r="Q30" s="1665">
        <v>150</v>
      </c>
      <c r="R30" s="1665">
        <v>150</v>
      </c>
      <c r="S30" s="1665">
        <v>150</v>
      </c>
      <c r="T30" s="1665">
        <v>150</v>
      </c>
      <c r="U30" s="1665">
        <v>150</v>
      </c>
      <c r="V30" s="1665">
        <v>150</v>
      </c>
      <c r="W30" s="1665">
        <v>150</v>
      </c>
      <c r="Y30" s="707"/>
      <c r="Z30" s="707"/>
      <c r="AB30" s="175"/>
      <c r="AC30" s="175"/>
      <c r="AD30" s="175"/>
      <c r="AE30" s="175"/>
      <c r="AF30" s="175"/>
      <c r="AG30" s="175"/>
    </row>
    <row r="31" spans="1:33" ht="12.75" customHeight="1">
      <c r="A31" s="236" t="s">
        <v>78</v>
      </c>
      <c r="B31" s="176"/>
      <c r="C31" s="2127">
        <f t="shared" ref="C31:G31" si="33">+C30</f>
        <v>30.849166666666665</v>
      </c>
      <c r="D31" s="2127">
        <f t="shared" si="33"/>
        <v>69.778333333333336</v>
      </c>
      <c r="E31" s="2127">
        <f t="shared" si="33"/>
        <v>99.167500000000004</v>
      </c>
      <c r="F31" s="2127">
        <f t="shared" si="33"/>
        <v>147.42750000000001</v>
      </c>
      <c r="G31" s="2127">
        <f t="shared" si="33"/>
        <v>43.956666666666656</v>
      </c>
      <c r="H31" s="2127">
        <f>+H30</f>
        <v>70.436666666666653</v>
      </c>
      <c r="I31" s="2127">
        <f t="shared" ref="I31:M31" si="34">+I30</f>
        <v>33.543333333333337</v>
      </c>
      <c r="J31" s="2127">
        <f t="shared" si="34"/>
        <v>143.88833333333335</v>
      </c>
      <c r="K31" s="2127">
        <f t="shared" si="34"/>
        <v>266.16666666666669</v>
      </c>
      <c r="L31" s="2127">
        <f t="shared" si="34"/>
        <v>678.09749999999997</v>
      </c>
      <c r="M31" s="2127">
        <f t="shared" si="34"/>
        <v>310.76166666666671</v>
      </c>
      <c r="N31" s="2127">
        <f t="shared" ref="N31:O31" si="35">+N30</f>
        <v>107.17333333333333</v>
      </c>
      <c r="O31" s="2127">
        <f t="shared" si="35"/>
        <v>190</v>
      </c>
      <c r="P31" s="1665">
        <v>168</v>
      </c>
      <c r="Q31" s="1665">
        <v>157.5</v>
      </c>
      <c r="R31" s="1665">
        <v>157.5</v>
      </c>
      <c r="S31" s="1665">
        <v>157.5</v>
      </c>
      <c r="T31" s="1665">
        <v>157.5</v>
      </c>
      <c r="U31" s="1665">
        <v>157.5</v>
      </c>
      <c r="V31" s="1665">
        <v>157.5</v>
      </c>
      <c r="W31" s="1665">
        <v>157.5</v>
      </c>
      <c r="Y31" s="707"/>
      <c r="Z31" s="707"/>
      <c r="AB31" s="175"/>
      <c r="AC31" s="175"/>
      <c r="AD31" s="175"/>
      <c r="AE31" s="175"/>
      <c r="AF31" s="175"/>
      <c r="AG31" s="175"/>
    </row>
    <row r="32" spans="1:33" ht="12.75" customHeight="1">
      <c r="A32" s="236" t="s">
        <v>79</v>
      </c>
      <c r="B32" s="176"/>
      <c r="C32" s="2127">
        <f t="shared" ref="C32:G32" si="36">+C30</f>
        <v>30.849166666666665</v>
      </c>
      <c r="D32" s="2127">
        <f t="shared" si="36"/>
        <v>69.778333333333336</v>
      </c>
      <c r="E32" s="2127">
        <f t="shared" si="36"/>
        <v>99.167500000000004</v>
      </c>
      <c r="F32" s="2127">
        <f t="shared" si="36"/>
        <v>147.42750000000001</v>
      </c>
      <c r="G32" s="2127">
        <f t="shared" si="36"/>
        <v>43.956666666666656</v>
      </c>
      <c r="H32" s="2127">
        <f>+H30</f>
        <v>70.436666666666653</v>
      </c>
      <c r="I32" s="2127">
        <f t="shared" ref="I32:M32" si="37">+I30</f>
        <v>33.543333333333337</v>
      </c>
      <c r="J32" s="2127">
        <f t="shared" si="37"/>
        <v>143.88833333333335</v>
      </c>
      <c r="K32" s="2127">
        <f t="shared" si="37"/>
        <v>266.16666666666669</v>
      </c>
      <c r="L32" s="2127">
        <f t="shared" si="37"/>
        <v>678.09749999999997</v>
      </c>
      <c r="M32" s="2127">
        <f t="shared" si="37"/>
        <v>310.76166666666671</v>
      </c>
      <c r="N32" s="2127">
        <f t="shared" ref="N32:O32" si="38">+N30</f>
        <v>107.17333333333333</v>
      </c>
      <c r="O32" s="2127">
        <f t="shared" si="38"/>
        <v>190</v>
      </c>
      <c r="P32" s="1665">
        <v>148.79999999999998</v>
      </c>
      <c r="Q32" s="1665">
        <v>139.5</v>
      </c>
      <c r="R32" s="1665">
        <v>139.5</v>
      </c>
      <c r="S32" s="1665">
        <v>139.5</v>
      </c>
      <c r="T32" s="1665">
        <v>139.5</v>
      </c>
      <c r="U32" s="1665">
        <v>139.5</v>
      </c>
      <c r="V32" s="1665">
        <v>139.5</v>
      </c>
      <c r="W32" s="1665">
        <v>139.5</v>
      </c>
      <c r="Y32" s="707"/>
      <c r="Z32" s="707"/>
      <c r="AB32" s="175"/>
      <c r="AC32" s="175"/>
      <c r="AD32" s="175"/>
      <c r="AE32" s="175"/>
      <c r="AF32" s="175"/>
      <c r="AG32" s="175"/>
    </row>
    <row r="33" spans="1:33" s="1401" customFormat="1" ht="12.75" customHeight="1">
      <c r="A33" s="236"/>
      <c r="B33" s="176"/>
      <c r="C33" s="715"/>
      <c r="D33" s="715"/>
      <c r="E33" s="715"/>
      <c r="F33" s="715"/>
      <c r="G33" s="715"/>
      <c r="H33" s="715"/>
      <c r="I33" s="715"/>
      <c r="J33" s="715"/>
      <c r="K33" s="715"/>
      <c r="L33" s="715"/>
      <c r="M33" s="715"/>
      <c r="N33" s="715"/>
      <c r="O33" s="715"/>
      <c r="P33" s="715"/>
      <c r="Q33" s="715"/>
      <c r="R33" s="715"/>
      <c r="S33" s="1665"/>
      <c r="T33" s="1665"/>
      <c r="U33" s="1665"/>
      <c r="V33" s="1665"/>
      <c r="W33" s="1665"/>
      <c r="AB33" s="175"/>
      <c r="AC33" s="175"/>
      <c r="AD33" s="175"/>
      <c r="AE33" s="175"/>
      <c r="AF33" s="175"/>
      <c r="AG33" s="175"/>
    </row>
    <row r="34" spans="1:33" s="14" customFormat="1" ht="12.75" customHeight="1">
      <c r="A34" s="751" t="s">
        <v>881</v>
      </c>
      <c r="B34" s="2216"/>
      <c r="C34" s="1672"/>
      <c r="D34" s="1660">
        <f>+Q_IS!B84</f>
        <v>-5.101232206003814E-2</v>
      </c>
      <c r="E34" s="1660">
        <f>+Q_IS!C84</f>
        <v>-7.0057483292034206E-2</v>
      </c>
      <c r="F34" s="1660">
        <f>+Q_IS!D84</f>
        <v>9.2419585939320426E-2</v>
      </c>
      <c r="G34" s="1660">
        <f>+Q_IS!E84</f>
        <v>0.11528894590408223</v>
      </c>
      <c r="H34" s="1660">
        <f>+Q_IS!F84</f>
        <v>-9.8833046101175381E-2</v>
      </c>
      <c r="I34" s="1660">
        <f>+Q_IS!G84</f>
        <v>-0.12283250842453697</v>
      </c>
      <c r="J34" s="1661">
        <f>+Q_IS!H84</f>
        <v>-6.2845058174065382E-2</v>
      </c>
      <c r="K34" s="1661">
        <f>+Q_IS!I84</f>
        <v>5.7609725656967425E-2</v>
      </c>
      <c r="L34" s="1661">
        <f>+Q_IS!J84</f>
        <v>-2.6852577677081269E-2</v>
      </c>
      <c r="M34" s="1661">
        <f>+Q_IS!K84</f>
        <v>0.14590897957790938</v>
      </c>
      <c r="N34" s="1661">
        <f>+Q_IS!L84</f>
        <v>-6.0376431660917884E-3</v>
      </c>
      <c r="O34" s="1661">
        <f>+Q_IS!M84</f>
        <v>7.3002577490242304E-2</v>
      </c>
      <c r="P34" s="2102">
        <f t="shared" ref="P34:W34" si="39">CHOOSE(Scenario_Input,P35,P36,P37)</f>
        <v>4.2000000000000003E-2</v>
      </c>
      <c r="Q34" s="2102">
        <f t="shared" si="39"/>
        <v>4.2000000000000003E-2</v>
      </c>
      <c r="R34" s="2102">
        <f t="shared" si="39"/>
        <v>4.2000000000000003E-2</v>
      </c>
      <c r="S34" s="2102">
        <f t="shared" si="39"/>
        <v>4.2000000000000003E-2</v>
      </c>
      <c r="T34" s="2102">
        <f t="shared" si="39"/>
        <v>4.7E-2</v>
      </c>
      <c r="U34" s="2102">
        <f t="shared" si="39"/>
        <v>5.1999999999999998E-2</v>
      </c>
      <c r="V34" s="2102">
        <f t="shared" si="39"/>
        <v>5.6999999999999995E-2</v>
      </c>
      <c r="W34" s="2102">
        <f t="shared" si="39"/>
        <v>6.1999999999999993E-2</v>
      </c>
      <c r="AB34" s="183"/>
      <c r="AC34" s="183"/>
      <c r="AD34" s="183"/>
      <c r="AE34" s="183"/>
      <c r="AF34" s="183"/>
      <c r="AG34" s="183"/>
    </row>
    <row r="35" spans="1:33" s="1401" customFormat="1" ht="12.75" customHeight="1">
      <c r="A35" s="157" t="s">
        <v>77</v>
      </c>
      <c r="B35" s="176"/>
      <c r="C35" s="715"/>
      <c r="D35" s="450">
        <f t="shared" ref="D35:N35" si="40">D34</f>
        <v>-5.101232206003814E-2</v>
      </c>
      <c r="E35" s="450">
        <f t="shared" si="40"/>
        <v>-7.0057483292034206E-2</v>
      </c>
      <c r="F35" s="450">
        <f t="shared" si="40"/>
        <v>9.2419585939320426E-2</v>
      </c>
      <c r="G35" s="450">
        <f t="shared" si="40"/>
        <v>0.11528894590408223</v>
      </c>
      <c r="H35" s="450">
        <f t="shared" si="40"/>
        <v>-9.8833046101175381E-2</v>
      </c>
      <c r="I35" s="450">
        <f t="shared" si="40"/>
        <v>-0.12283250842453697</v>
      </c>
      <c r="J35" s="520">
        <f t="shared" si="40"/>
        <v>-6.2845058174065382E-2</v>
      </c>
      <c r="K35" s="520">
        <f t="shared" si="40"/>
        <v>5.7609725656967425E-2</v>
      </c>
      <c r="L35" s="520">
        <f t="shared" si="40"/>
        <v>-2.6852577677081269E-2</v>
      </c>
      <c r="M35" s="520">
        <f t="shared" si="40"/>
        <v>0.14590897957790938</v>
      </c>
      <c r="N35" s="520">
        <f t="shared" si="40"/>
        <v>-6.0376431660917884E-3</v>
      </c>
      <c r="O35" s="520">
        <f t="shared" ref="O35" si="41">O34</f>
        <v>7.3002577490242304E-2</v>
      </c>
      <c r="P35" s="1659">
        <v>4.2000000000000003E-2</v>
      </c>
      <c r="Q35" s="1666">
        <f>+P35+$Y35</f>
        <v>4.2000000000000003E-2</v>
      </c>
      <c r="R35" s="1666">
        <f>+Q35+$Y35</f>
        <v>4.2000000000000003E-2</v>
      </c>
      <c r="S35" s="1666">
        <f>+R35+$Y35</f>
        <v>4.2000000000000003E-2</v>
      </c>
      <c r="T35" s="1666">
        <f>+S35+$Z35</f>
        <v>4.7E-2</v>
      </c>
      <c r="U35" s="1666">
        <f>+T35+$Z35</f>
        <v>5.1999999999999998E-2</v>
      </c>
      <c r="V35" s="1666">
        <f>+U35+$Z35</f>
        <v>5.6999999999999995E-2</v>
      </c>
      <c r="W35" s="1666">
        <f>+V35+$Z35</f>
        <v>6.1999999999999993E-2</v>
      </c>
      <c r="Y35" s="1669">
        <v>0</v>
      </c>
      <c r="Z35" s="1669">
        <v>5.0000000000000001E-3</v>
      </c>
      <c r="AB35" s="175"/>
      <c r="AC35" s="175"/>
      <c r="AD35" s="175"/>
      <c r="AE35" s="175"/>
      <c r="AF35" s="175"/>
      <c r="AG35" s="175"/>
    </row>
    <row r="36" spans="1:33" s="1401" customFormat="1" ht="12.75" customHeight="1">
      <c r="A36" s="236" t="s">
        <v>78</v>
      </c>
      <c r="B36" s="176"/>
      <c r="C36" s="715"/>
      <c r="D36" s="450">
        <f t="shared" ref="D36:N36" si="42">D35</f>
        <v>-5.101232206003814E-2</v>
      </c>
      <c r="E36" s="450">
        <f t="shared" si="42"/>
        <v>-7.0057483292034206E-2</v>
      </c>
      <c r="F36" s="450">
        <f t="shared" si="42"/>
        <v>9.2419585939320426E-2</v>
      </c>
      <c r="G36" s="450">
        <f t="shared" si="42"/>
        <v>0.11528894590408223</v>
      </c>
      <c r="H36" s="450">
        <f t="shared" si="42"/>
        <v>-9.8833046101175381E-2</v>
      </c>
      <c r="I36" s="450">
        <f t="shared" si="42"/>
        <v>-0.12283250842453697</v>
      </c>
      <c r="J36" s="520">
        <f t="shared" si="42"/>
        <v>-6.2845058174065382E-2</v>
      </c>
      <c r="K36" s="520">
        <f t="shared" si="42"/>
        <v>5.7609725656967425E-2</v>
      </c>
      <c r="L36" s="520">
        <f t="shared" si="42"/>
        <v>-2.6852577677081269E-2</v>
      </c>
      <c r="M36" s="520">
        <f t="shared" si="42"/>
        <v>0.14590897957790938</v>
      </c>
      <c r="N36" s="520">
        <f t="shared" si="42"/>
        <v>-6.0376431660917884E-3</v>
      </c>
      <c r="O36" s="520">
        <f t="shared" ref="O36" si="43">O35</f>
        <v>7.3002577490242304E-2</v>
      </c>
      <c r="P36" s="1666">
        <f>+P35+$Y36</f>
        <v>7.2000000000000008E-2</v>
      </c>
      <c r="Q36" s="1666">
        <f>+Q35+$Y36</f>
        <v>7.2000000000000008E-2</v>
      </c>
      <c r="R36" s="1666">
        <f>+R35+$Y36</f>
        <v>7.2000000000000008E-2</v>
      </c>
      <c r="S36" s="1666">
        <f>+S35+$Y36</f>
        <v>7.2000000000000008E-2</v>
      </c>
      <c r="T36" s="1666">
        <f>+T35+$Z36</f>
        <v>5.1999999999999998E-2</v>
      </c>
      <c r="U36" s="1666">
        <f>+U35+$Z36</f>
        <v>5.6999999999999995E-2</v>
      </c>
      <c r="V36" s="1666">
        <f>+V35+$Z36</f>
        <v>6.1999999999999993E-2</v>
      </c>
      <c r="W36" s="1666">
        <f>+W35+$Z36</f>
        <v>6.699999999999999E-2</v>
      </c>
      <c r="Y36" s="1669">
        <v>0.03</v>
      </c>
      <c r="Z36" s="1669">
        <v>5.0000000000000001E-3</v>
      </c>
      <c r="AB36" s="175"/>
      <c r="AC36" s="175"/>
      <c r="AD36" s="175"/>
      <c r="AE36" s="175"/>
      <c r="AF36" s="175"/>
      <c r="AG36" s="175"/>
    </row>
    <row r="37" spans="1:33" s="1401" customFormat="1" ht="12.75" customHeight="1">
      <c r="A37" s="236" t="s">
        <v>79</v>
      </c>
      <c r="B37" s="176"/>
      <c r="C37" s="715"/>
      <c r="D37" s="450">
        <f t="shared" ref="D37:N37" si="44">D36</f>
        <v>-5.101232206003814E-2</v>
      </c>
      <c r="E37" s="450">
        <f t="shared" si="44"/>
        <v>-7.0057483292034206E-2</v>
      </c>
      <c r="F37" s="450">
        <f t="shared" si="44"/>
        <v>9.2419585939320426E-2</v>
      </c>
      <c r="G37" s="450">
        <f t="shared" si="44"/>
        <v>0.11528894590408223</v>
      </c>
      <c r="H37" s="450">
        <f t="shared" si="44"/>
        <v>-9.8833046101175381E-2</v>
      </c>
      <c r="I37" s="450">
        <f t="shared" si="44"/>
        <v>-0.12283250842453697</v>
      </c>
      <c r="J37" s="520">
        <f t="shared" si="44"/>
        <v>-6.2845058174065382E-2</v>
      </c>
      <c r="K37" s="520">
        <f t="shared" si="44"/>
        <v>5.7609725656967425E-2</v>
      </c>
      <c r="L37" s="520">
        <f t="shared" si="44"/>
        <v>-2.6852577677081269E-2</v>
      </c>
      <c r="M37" s="520">
        <f t="shared" si="44"/>
        <v>0.14590897957790938</v>
      </c>
      <c r="N37" s="520">
        <f t="shared" si="44"/>
        <v>-6.0376431660917884E-3</v>
      </c>
      <c r="O37" s="520">
        <f t="shared" ref="O37" si="45">O36</f>
        <v>7.3002577490242304E-2</v>
      </c>
      <c r="P37" s="1666">
        <f>+P35+$Y37</f>
        <v>3.7000000000000005E-2</v>
      </c>
      <c r="Q37" s="1666">
        <f>+Q35+$Y37</f>
        <v>3.7000000000000005E-2</v>
      </c>
      <c r="R37" s="1666">
        <f>+R35+$Y37</f>
        <v>3.7000000000000005E-2</v>
      </c>
      <c r="S37" s="1666">
        <f>+S35+$Y37</f>
        <v>3.7000000000000005E-2</v>
      </c>
      <c r="T37" s="1666">
        <f>+T35+$Z37</f>
        <v>3.6999999999999998E-2</v>
      </c>
      <c r="U37" s="1666">
        <f>+U35+$Z37</f>
        <v>4.1999999999999996E-2</v>
      </c>
      <c r="V37" s="1666">
        <f>+V35+$Z37</f>
        <v>4.6999999999999993E-2</v>
      </c>
      <c r="W37" s="1666">
        <f>+W35+$Z37</f>
        <v>5.1999999999999991E-2</v>
      </c>
      <c r="Y37" s="1669">
        <v>-5.0000000000000001E-3</v>
      </c>
      <c r="Z37" s="1669">
        <v>-0.01</v>
      </c>
      <c r="AB37" s="175"/>
      <c r="AC37" s="175"/>
      <c r="AD37" s="175"/>
      <c r="AE37" s="175"/>
      <c r="AF37" s="175"/>
      <c r="AG37" s="175"/>
    </row>
    <row r="38" spans="1:33" s="1401" customFormat="1" ht="12.75" customHeight="1">
      <c r="A38" s="236"/>
      <c r="B38" s="176"/>
      <c r="C38" s="715"/>
      <c r="D38" s="715"/>
      <c r="E38" s="715"/>
      <c r="F38" s="715"/>
      <c r="G38" s="715"/>
      <c r="H38" s="715"/>
      <c r="I38" s="715"/>
      <c r="J38" s="715"/>
      <c r="K38" s="715"/>
      <c r="L38" s="715"/>
      <c r="M38" s="715"/>
      <c r="N38" s="715"/>
      <c r="O38" s="1680"/>
      <c r="P38" s="1665"/>
      <c r="Q38" s="1665"/>
      <c r="R38" s="1665"/>
      <c r="S38" s="1665"/>
      <c r="T38" s="1665"/>
      <c r="U38" s="1665"/>
      <c r="V38" s="1665"/>
      <c r="W38" s="1665"/>
      <c r="AB38" s="175"/>
      <c r="AC38" s="175"/>
      <c r="AD38" s="175"/>
      <c r="AE38" s="175"/>
      <c r="AF38" s="175"/>
      <c r="AG38" s="175"/>
    </row>
    <row r="39" spans="1:33" s="14" customFormat="1" ht="12.75" customHeight="1">
      <c r="A39" s="761" t="s">
        <v>1378</v>
      </c>
      <c r="B39" s="2216"/>
      <c r="C39" s="1672"/>
      <c r="D39" s="1660">
        <f>+Q_IS!B91</f>
        <v>-0.21251625661382467</v>
      </c>
      <c r="E39" s="1660">
        <f>+Q_IS!C91</f>
        <v>0.15817590431353046</v>
      </c>
      <c r="F39" s="1660">
        <f>+Q_IS!D91</f>
        <v>9.3507324355105226E-2</v>
      </c>
      <c r="G39" s="1660">
        <f>+Q_IS!E91</f>
        <v>-1.24071137308992E-2</v>
      </c>
      <c r="H39" s="1660">
        <f>+Q_IS!F91</f>
        <v>-0.19870446550869325</v>
      </c>
      <c r="I39" s="1660">
        <f>+Q_IS!G91</f>
        <v>-9.9437006215609691E-2</v>
      </c>
      <c r="J39" s="1661">
        <f>+Q_IS!H91</f>
        <v>-5.5764460619596501E-2</v>
      </c>
      <c r="K39" s="1661">
        <f>+Q_IS!I91</f>
        <v>7.906134403705023E-2</v>
      </c>
      <c r="L39" s="1661">
        <f>+Q_IS!J91</f>
        <v>5.9261633584029028E-3</v>
      </c>
      <c r="M39" s="1661">
        <f>+Q_IS!K91</f>
        <v>0.1243699342944522</v>
      </c>
      <c r="N39" s="1661">
        <f>+Q_IS!L91</f>
        <v>-7.2821483706381751E-2</v>
      </c>
      <c r="O39" s="1661">
        <f>+Q_IS!M91</f>
        <v>-0.2405065165328566</v>
      </c>
      <c r="P39" s="1663">
        <f t="shared" ref="P39:W39" si="46">CHOOSE(Scenario_Input,P40,P41,P42)</f>
        <v>0</v>
      </c>
      <c r="Q39" s="1663">
        <f t="shared" si="46"/>
        <v>0</v>
      </c>
      <c r="R39" s="1663">
        <f t="shared" si="46"/>
        <v>0</v>
      </c>
      <c r="S39" s="1663">
        <f t="shared" si="46"/>
        <v>0</v>
      </c>
      <c r="T39" s="1663">
        <f t="shared" si="46"/>
        <v>0</v>
      </c>
      <c r="U39" s="1663">
        <f t="shared" si="46"/>
        <v>0</v>
      </c>
      <c r="V39" s="1663">
        <f t="shared" si="46"/>
        <v>0</v>
      </c>
      <c r="W39" s="1663">
        <f t="shared" si="46"/>
        <v>0</v>
      </c>
      <c r="AB39" s="183"/>
      <c r="AC39" s="183"/>
      <c r="AD39" s="183"/>
      <c r="AE39" s="183"/>
      <c r="AF39" s="183"/>
      <c r="AG39" s="183"/>
    </row>
    <row r="40" spans="1:33" s="1401" customFormat="1" ht="12.75" customHeight="1">
      <c r="A40" s="157" t="s">
        <v>77</v>
      </c>
      <c r="B40" s="176"/>
      <c r="C40" s="715"/>
      <c r="D40" s="450">
        <f t="shared" ref="D40:N40" si="47">D39</f>
        <v>-0.21251625661382467</v>
      </c>
      <c r="E40" s="450">
        <f t="shared" si="47"/>
        <v>0.15817590431353046</v>
      </c>
      <c r="F40" s="450">
        <f t="shared" si="47"/>
        <v>9.3507324355105226E-2</v>
      </c>
      <c r="G40" s="450">
        <f t="shared" si="47"/>
        <v>-1.24071137308992E-2</v>
      </c>
      <c r="H40" s="450">
        <f t="shared" si="47"/>
        <v>-0.19870446550869325</v>
      </c>
      <c r="I40" s="450">
        <f t="shared" si="47"/>
        <v>-9.9437006215609691E-2</v>
      </c>
      <c r="J40" s="520">
        <f t="shared" si="47"/>
        <v>-5.5764460619596501E-2</v>
      </c>
      <c r="K40" s="520">
        <f t="shared" si="47"/>
        <v>7.906134403705023E-2</v>
      </c>
      <c r="L40" s="520">
        <f t="shared" si="47"/>
        <v>5.9261633584029028E-3</v>
      </c>
      <c r="M40" s="520">
        <f t="shared" si="47"/>
        <v>0.1243699342944522</v>
      </c>
      <c r="N40" s="520">
        <f t="shared" si="47"/>
        <v>-7.2821483706381751E-2</v>
      </c>
      <c r="O40" s="520">
        <f t="shared" ref="O40" si="48">O39</f>
        <v>-0.2405065165328566</v>
      </c>
      <c r="P40" s="1659">
        <v>0</v>
      </c>
      <c r="Q40" s="1666">
        <f>+P40+$Y40</f>
        <v>0</v>
      </c>
      <c r="R40" s="1666">
        <f>+Q40+$Y40</f>
        <v>0</v>
      </c>
      <c r="S40" s="1666">
        <f>+R40+$Y40</f>
        <v>0</v>
      </c>
      <c r="T40" s="1666">
        <f>+S40+$Z40</f>
        <v>0</v>
      </c>
      <c r="U40" s="1666">
        <f>+T40+$Z40</f>
        <v>0</v>
      </c>
      <c r="V40" s="1666">
        <f>+U40+$Z40</f>
        <v>0</v>
      </c>
      <c r="W40" s="1666">
        <f>+V40+$Z40</f>
        <v>0</v>
      </c>
      <c r="Y40" s="1669">
        <v>0</v>
      </c>
      <c r="Z40" s="1669">
        <v>0</v>
      </c>
      <c r="AB40" s="175"/>
      <c r="AC40" s="175"/>
      <c r="AD40" s="175"/>
      <c r="AE40" s="175"/>
      <c r="AF40" s="175"/>
      <c r="AG40" s="175"/>
    </row>
    <row r="41" spans="1:33" s="1401" customFormat="1" ht="12.75" customHeight="1">
      <c r="A41" s="236" t="s">
        <v>78</v>
      </c>
      <c r="B41" s="176"/>
      <c r="C41" s="715"/>
      <c r="D41" s="450">
        <f t="shared" ref="D41:N41" si="49">D40</f>
        <v>-0.21251625661382467</v>
      </c>
      <c r="E41" s="450">
        <f t="shared" si="49"/>
        <v>0.15817590431353046</v>
      </c>
      <c r="F41" s="450">
        <f t="shared" si="49"/>
        <v>9.3507324355105226E-2</v>
      </c>
      <c r="G41" s="450">
        <f t="shared" si="49"/>
        <v>-1.24071137308992E-2</v>
      </c>
      <c r="H41" s="450">
        <f t="shared" si="49"/>
        <v>-0.19870446550869325</v>
      </c>
      <c r="I41" s="450">
        <f t="shared" si="49"/>
        <v>-9.9437006215609691E-2</v>
      </c>
      <c r="J41" s="520">
        <f t="shared" si="49"/>
        <v>-5.5764460619596501E-2</v>
      </c>
      <c r="K41" s="520">
        <f t="shared" si="49"/>
        <v>7.906134403705023E-2</v>
      </c>
      <c r="L41" s="520">
        <f t="shared" si="49"/>
        <v>5.9261633584029028E-3</v>
      </c>
      <c r="M41" s="520">
        <f t="shared" si="49"/>
        <v>0.1243699342944522</v>
      </c>
      <c r="N41" s="520">
        <f t="shared" si="49"/>
        <v>-7.2821483706381751E-2</v>
      </c>
      <c r="O41" s="520">
        <f t="shared" ref="O41" si="50">O40</f>
        <v>-0.2405065165328566</v>
      </c>
      <c r="P41" s="1666">
        <f>+P40+$Y41</f>
        <v>0</v>
      </c>
      <c r="Q41" s="1666">
        <f>+Q40+$Y41</f>
        <v>0</v>
      </c>
      <c r="R41" s="1666">
        <f>+R40+$Y41</f>
        <v>0</v>
      </c>
      <c r="S41" s="1666">
        <f>+S40+$Y41</f>
        <v>0</v>
      </c>
      <c r="T41" s="1666">
        <f>+T40+$Z41</f>
        <v>0</v>
      </c>
      <c r="U41" s="1666">
        <f>+U40+$Z41</f>
        <v>0</v>
      </c>
      <c r="V41" s="1666">
        <f>+V40+$Z41</f>
        <v>0</v>
      </c>
      <c r="W41" s="1666">
        <f>+W40+$Z41</f>
        <v>0</v>
      </c>
      <c r="Y41" s="1669">
        <v>0</v>
      </c>
      <c r="Z41" s="1669">
        <v>0</v>
      </c>
      <c r="AB41" s="175"/>
      <c r="AC41" s="175"/>
      <c r="AD41" s="175"/>
      <c r="AE41" s="175"/>
      <c r="AF41" s="175"/>
      <c r="AG41" s="175"/>
    </row>
    <row r="42" spans="1:33" s="1401" customFormat="1" ht="12.75" customHeight="1">
      <c r="A42" s="236" t="s">
        <v>79</v>
      </c>
      <c r="B42" s="176"/>
      <c r="C42" s="715"/>
      <c r="D42" s="450">
        <f t="shared" ref="D42:N42" si="51">D41</f>
        <v>-0.21251625661382467</v>
      </c>
      <c r="E42" s="450">
        <f t="shared" si="51"/>
        <v>0.15817590431353046</v>
      </c>
      <c r="F42" s="450">
        <f t="shared" si="51"/>
        <v>9.3507324355105226E-2</v>
      </c>
      <c r="G42" s="450">
        <f t="shared" si="51"/>
        <v>-1.24071137308992E-2</v>
      </c>
      <c r="H42" s="450">
        <f t="shared" si="51"/>
        <v>-0.19870446550869325</v>
      </c>
      <c r="I42" s="450">
        <f t="shared" si="51"/>
        <v>-9.9437006215609691E-2</v>
      </c>
      <c r="J42" s="520">
        <f t="shared" si="51"/>
        <v>-5.5764460619596501E-2</v>
      </c>
      <c r="K42" s="520">
        <f t="shared" si="51"/>
        <v>7.906134403705023E-2</v>
      </c>
      <c r="L42" s="520">
        <f t="shared" si="51"/>
        <v>5.9261633584029028E-3</v>
      </c>
      <c r="M42" s="520">
        <f t="shared" si="51"/>
        <v>0.1243699342944522</v>
      </c>
      <c r="N42" s="520">
        <f t="shared" si="51"/>
        <v>-7.2821483706381751E-2</v>
      </c>
      <c r="O42" s="520">
        <f t="shared" ref="O42" si="52">O41</f>
        <v>-0.2405065165328566</v>
      </c>
      <c r="P42" s="1666">
        <f>+P40+$Y42</f>
        <v>0</v>
      </c>
      <c r="Q42" s="1666">
        <f>+Q40+$Y42</f>
        <v>0</v>
      </c>
      <c r="R42" s="1666">
        <f>+R40+$Y42</f>
        <v>0</v>
      </c>
      <c r="S42" s="1666">
        <f>+S40+$Y42</f>
        <v>0</v>
      </c>
      <c r="T42" s="1666">
        <f>+T40+$Z42</f>
        <v>0</v>
      </c>
      <c r="U42" s="1666">
        <f>+U40+$Z42</f>
        <v>0</v>
      </c>
      <c r="V42" s="1666">
        <f>+V40+$Z42</f>
        <v>0</v>
      </c>
      <c r="W42" s="1666">
        <f>+W40+$Z42</f>
        <v>0</v>
      </c>
      <c r="Y42" s="1669">
        <v>0</v>
      </c>
      <c r="Z42" s="1669">
        <v>0</v>
      </c>
      <c r="AB42" s="175"/>
      <c r="AC42" s="175"/>
      <c r="AD42" s="175"/>
      <c r="AE42" s="175"/>
      <c r="AF42" s="175"/>
      <c r="AG42" s="175"/>
    </row>
    <row r="43" spans="1:33" s="1401" customFormat="1" ht="12.75" customHeight="1">
      <c r="A43" s="236"/>
      <c r="B43" s="176"/>
      <c r="C43" s="715"/>
      <c r="D43" s="715"/>
      <c r="E43" s="715"/>
      <c r="F43" s="715"/>
      <c r="G43" s="715"/>
      <c r="H43" s="715"/>
      <c r="I43" s="715"/>
      <c r="J43" s="715"/>
      <c r="K43" s="715"/>
      <c r="L43" s="715"/>
      <c r="M43" s="715"/>
      <c r="N43" s="715"/>
      <c r="O43" s="1680"/>
      <c r="P43" s="1665"/>
      <c r="Q43" s="1665"/>
      <c r="R43" s="1665"/>
      <c r="S43" s="1665"/>
      <c r="T43" s="1665"/>
      <c r="U43" s="1665"/>
      <c r="V43" s="1665"/>
      <c r="W43" s="1665"/>
      <c r="AB43" s="175"/>
      <c r="AC43" s="175"/>
      <c r="AD43" s="175"/>
      <c r="AE43" s="175"/>
      <c r="AF43" s="175"/>
      <c r="AG43" s="175"/>
    </row>
    <row r="44" spans="1:33" s="14" customFormat="1" ht="12.75" customHeight="1">
      <c r="A44" s="761" t="s">
        <v>1379</v>
      </c>
      <c r="B44" s="2216"/>
      <c r="C44" s="1672"/>
      <c r="D44" s="1660">
        <f>+Q_IS!B95</f>
        <v>-0.21949107822226865</v>
      </c>
      <c r="E44" s="1660">
        <f>+Q_IS!C95</f>
        <v>0.26203158747940747</v>
      </c>
      <c r="F44" s="1660">
        <f>+Q_IS!D95</f>
        <v>0.19983653494688736</v>
      </c>
      <c r="G44" s="1660">
        <f>+Q_IS!E95</f>
        <v>0.55591390969395227</v>
      </c>
      <c r="H44" s="1660">
        <f>+Q_IS!F95</f>
        <v>-4.1116381403365598E-2</v>
      </c>
      <c r="I44" s="1660">
        <f>+Q_IS!G95</f>
        <v>5.0481341369736477E-2</v>
      </c>
      <c r="J44" s="1661">
        <f>+Q_IS!H95</f>
        <v>5.4738209356000045E-3</v>
      </c>
      <c r="K44" s="1661">
        <f>+Q_IS!I95</f>
        <v>3.4210392499918196E-2</v>
      </c>
      <c r="L44" s="1661">
        <f>+Q_IS!J95</f>
        <v>-3.9261870766092777E-2</v>
      </c>
      <c r="M44" s="1661">
        <f>+Q_IS!K95</f>
        <v>-2.7617964475540546E-2</v>
      </c>
      <c r="N44" s="1661">
        <f>+Q_IS!L95</f>
        <v>3.5908973261852717E-2</v>
      </c>
      <c r="O44" s="1661">
        <f>+Q_IS!M95</f>
        <v>0.16779912727157753</v>
      </c>
      <c r="P44" s="1663">
        <f t="shared" ref="P44:W44" si="53">CHOOSE(Scenario_Input,P45,P46,P47)</f>
        <v>0.16779912727157753</v>
      </c>
      <c r="Q44" s="1663">
        <f t="shared" si="53"/>
        <v>0.16779912727157753</v>
      </c>
      <c r="R44" s="1663">
        <f t="shared" si="53"/>
        <v>0.16779912727157753</v>
      </c>
      <c r="S44" s="1663">
        <f t="shared" si="53"/>
        <v>0.16779912727157753</v>
      </c>
      <c r="T44" s="1663">
        <f t="shared" si="53"/>
        <v>0.16779912727157753</v>
      </c>
      <c r="U44" s="1663">
        <f t="shared" si="53"/>
        <v>0.16779912727157753</v>
      </c>
      <c r="V44" s="1663">
        <f t="shared" si="53"/>
        <v>0.16779912727157753</v>
      </c>
      <c r="W44" s="1663">
        <f t="shared" si="53"/>
        <v>0.16779912727157753</v>
      </c>
      <c r="AB44" s="183"/>
      <c r="AC44" s="183"/>
      <c r="AD44" s="183"/>
      <c r="AE44" s="183"/>
      <c r="AF44" s="183"/>
      <c r="AG44" s="183"/>
    </row>
    <row r="45" spans="1:33" s="1401" customFormat="1" ht="12.75" customHeight="1">
      <c r="A45" s="157" t="s">
        <v>77</v>
      </c>
      <c r="B45" s="176"/>
      <c r="C45" s="715"/>
      <c r="D45" s="450">
        <f t="shared" ref="D45:N45" si="54">D44</f>
        <v>-0.21949107822226865</v>
      </c>
      <c r="E45" s="450">
        <f t="shared" si="54"/>
        <v>0.26203158747940747</v>
      </c>
      <c r="F45" s="450">
        <f t="shared" si="54"/>
        <v>0.19983653494688736</v>
      </c>
      <c r="G45" s="450">
        <f t="shared" si="54"/>
        <v>0.55591390969395227</v>
      </c>
      <c r="H45" s="450">
        <f t="shared" si="54"/>
        <v>-4.1116381403365598E-2</v>
      </c>
      <c r="I45" s="450">
        <f t="shared" si="54"/>
        <v>5.0481341369736477E-2</v>
      </c>
      <c r="J45" s="520">
        <f t="shared" si="54"/>
        <v>5.4738209356000045E-3</v>
      </c>
      <c r="K45" s="520">
        <f t="shared" si="54"/>
        <v>3.4210392499918196E-2</v>
      </c>
      <c r="L45" s="520">
        <f t="shared" si="54"/>
        <v>-3.9261870766092777E-2</v>
      </c>
      <c r="M45" s="520">
        <f t="shared" si="54"/>
        <v>-2.7617964475540546E-2</v>
      </c>
      <c r="N45" s="520">
        <f t="shared" si="54"/>
        <v>3.5908973261852717E-2</v>
      </c>
      <c r="O45" s="520">
        <f t="shared" ref="O45" si="55">O44</f>
        <v>0.16779912727157753</v>
      </c>
      <c r="P45" s="1666">
        <f>+O45+$Y45</f>
        <v>0.16779912727157753</v>
      </c>
      <c r="Q45" s="1666">
        <f>+P45+$Y45</f>
        <v>0.16779912727157753</v>
      </c>
      <c r="R45" s="1666">
        <f>+Q45+$Y45</f>
        <v>0.16779912727157753</v>
      </c>
      <c r="S45" s="1666">
        <f>+R45+$Y45</f>
        <v>0.16779912727157753</v>
      </c>
      <c r="T45" s="1666">
        <f>+S45+$Z45</f>
        <v>0.16779912727157753</v>
      </c>
      <c r="U45" s="1666">
        <f>+T45+$Z45</f>
        <v>0.16779912727157753</v>
      </c>
      <c r="V45" s="1666">
        <f>+U45+$Z45</f>
        <v>0.16779912727157753</v>
      </c>
      <c r="W45" s="1666">
        <f>+V45+$Z45</f>
        <v>0.16779912727157753</v>
      </c>
      <c r="Y45" s="1669">
        <v>0</v>
      </c>
      <c r="Z45" s="1669">
        <v>0</v>
      </c>
      <c r="AB45" s="175"/>
      <c r="AC45" s="175"/>
      <c r="AD45" s="175"/>
      <c r="AE45" s="175"/>
      <c r="AF45" s="175"/>
      <c r="AG45" s="175"/>
    </row>
    <row r="46" spans="1:33" s="1401" customFormat="1" ht="12.75" customHeight="1">
      <c r="A46" s="236" t="s">
        <v>78</v>
      </c>
      <c r="B46" s="176"/>
      <c r="C46" s="715"/>
      <c r="D46" s="450">
        <f t="shared" ref="D46:N46" si="56">D45</f>
        <v>-0.21949107822226865</v>
      </c>
      <c r="E46" s="450">
        <f t="shared" si="56"/>
        <v>0.26203158747940747</v>
      </c>
      <c r="F46" s="450">
        <f t="shared" si="56"/>
        <v>0.19983653494688736</v>
      </c>
      <c r="G46" s="450">
        <f t="shared" si="56"/>
        <v>0.55591390969395227</v>
      </c>
      <c r="H46" s="450">
        <f t="shared" si="56"/>
        <v>-4.1116381403365598E-2</v>
      </c>
      <c r="I46" s="450">
        <f t="shared" si="56"/>
        <v>5.0481341369736477E-2</v>
      </c>
      <c r="J46" s="520">
        <f t="shared" si="56"/>
        <v>5.4738209356000045E-3</v>
      </c>
      <c r="K46" s="520">
        <f t="shared" si="56"/>
        <v>3.4210392499918196E-2</v>
      </c>
      <c r="L46" s="520">
        <f t="shared" si="56"/>
        <v>-3.9261870766092777E-2</v>
      </c>
      <c r="M46" s="520">
        <f t="shared" si="56"/>
        <v>-2.7617964475540546E-2</v>
      </c>
      <c r="N46" s="520">
        <f t="shared" si="56"/>
        <v>3.5908973261852717E-2</v>
      </c>
      <c r="O46" s="520">
        <f t="shared" ref="O46" si="57">O45</f>
        <v>0.16779912727157753</v>
      </c>
      <c r="P46" s="1666">
        <f>+P45+$Y46</f>
        <v>0.16779912727157753</v>
      </c>
      <c r="Q46" s="1666">
        <f>+Q45+$Y46</f>
        <v>0.16779912727157753</v>
      </c>
      <c r="R46" s="1666">
        <f>+R45+$Y46</f>
        <v>0.16779912727157753</v>
      </c>
      <c r="S46" s="1666">
        <f>+S45+$Y46</f>
        <v>0.16779912727157753</v>
      </c>
      <c r="T46" s="1666">
        <f>+T45+$Z46</f>
        <v>0.16779912727157753</v>
      </c>
      <c r="U46" s="1666">
        <f>+U45+$Z46</f>
        <v>0.16779912727157753</v>
      </c>
      <c r="V46" s="1666">
        <f>+V45+$Z46</f>
        <v>0.16779912727157753</v>
      </c>
      <c r="W46" s="1666">
        <f>+W45+$Z46</f>
        <v>0.16779912727157753</v>
      </c>
      <c r="Y46" s="1669">
        <v>0</v>
      </c>
      <c r="Z46" s="1669">
        <v>0</v>
      </c>
      <c r="AB46" s="175"/>
      <c r="AC46" s="175"/>
      <c r="AD46" s="175"/>
      <c r="AE46" s="175"/>
      <c r="AF46" s="175"/>
      <c r="AG46" s="175"/>
    </row>
    <row r="47" spans="1:33" s="1401" customFormat="1" ht="12.75" customHeight="1">
      <c r="A47" s="236" t="s">
        <v>79</v>
      </c>
      <c r="B47" s="176"/>
      <c r="C47" s="715"/>
      <c r="D47" s="450">
        <f t="shared" ref="D47:N47" si="58">D46</f>
        <v>-0.21949107822226865</v>
      </c>
      <c r="E47" s="450">
        <f t="shared" si="58"/>
        <v>0.26203158747940747</v>
      </c>
      <c r="F47" s="450">
        <f t="shared" si="58"/>
        <v>0.19983653494688736</v>
      </c>
      <c r="G47" s="450">
        <f t="shared" si="58"/>
        <v>0.55591390969395227</v>
      </c>
      <c r="H47" s="450">
        <f t="shared" si="58"/>
        <v>-4.1116381403365598E-2</v>
      </c>
      <c r="I47" s="450">
        <f t="shared" si="58"/>
        <v>5.0481341369736477E-2</v>
      </c>
      <c r="J47" s="520">
        <f t="shared" si="58"/>
        <v>5.4738209356000045E-3</v>
      </c>
      <c r="K47" s="520">
        <f t="shared" si="58"/>
        <v>3.4210392499918196E-2</v>
      </c>
      <c r="L47" s="520">
        <f t="shared" si="58"/>
        <v>-3.9261870766092777E-2</v>
      </c>
      <c r="M47" s="520">
        <f t="shared" si="58"/>
        <v>-2.7617964475540546E-2</v>
      </c>
      <c r="N47" s="520">
        <f t="shared" si="58"/>
        <v>3.5908973261852717E-2</v>
      </c>
      <c r="O47" s="520">
        <f t="shared" ref="O47" si="59">O46</f>
        <v>0.16779912727157753</v>
      </c>
      <c r="P47" s="1666">
        <f>+P45+$Y47</f>
        <v>0.16779912727157753</v>
      </c>
      <c r="Q47" s="1666">
        <f>+Q45+$Y47</f>
        <v>0.16779912727157753</v>
      </c>
      <c r="R47" s="1666">
        <f>+R45+$Y47</f>
        <v>0.16779912727157753</v>
      </c>
      <c r="S47" s="1666">
        <f>+S45+$Y47</f>
        <v>0.16779912727157753</v>
      </c>
      <c r="T47" s="1666">
        <f>+T45+$Z47</f>
        <v>0.16779912727157753</v>
      </c>
      <c r="U47" s="1666">
        <f>+U45+$Z47</f>
        <v>0.16779912727157753</v>
      </c>
      <c r="V47" s="1666">
        <f>+V45+$Z47</f>
        <v>0.16779912727157753</v>
      </c>
      <c r="W47" s="1666">
        <f>+W45+$Z47</f>
        <v>0.16779912727157753</v>
      </c>
      <c r="Y47" s="1669">
        <v>0</v>
      </c>
      <c r="Z47" s="1669">
        <v>0</v>
      </c>
      <c r="AB47" s="175"/>
      <c r="AC47" s="175"/>
      <c r="AD47" s="175"/>
      <c r="AE47" s="175"/>
      <c r="AF47" s="175"/>
      <c r="AG47" s="175"/>
    </row>
    <row r="48" spans="1:33" ht="12.75" customHeight="1">
      <c r="A48" s="236"/>
      <c r="B48" s="176"/>
      <c r="C48" s="176"/>
      <c r="D48" s="709"/>
      <c r="E48" s="709"/>
      <c r="F48" s="709"/>
      <c r="G48" s="709"/>
      <c r="H48" s="716"/>
      <c r="I48" s="716"/>
      <c r="J48" s="717"/>
      <c r="K48" s="717"/>
      <c r="L48" s="717"/>
      <c r="M48" s="717"/>
      <c r="N48" s="717"/>
      <c r="O48" s="717"/>
      <c r="P48" s="2207"/>
      <c r="Q48" s="2207"/>
      <c r="R48" s="2207"/>
      <c r="S48" s="2207"/>
      <c r="T48" s="2207"/>
      <c r="U48" s="2207"/>
      <c r="V48" s="2207"/>
      <c r="W48" s="2207"/>
      <c r="AB48" s="175"/>
      <c r="AC48" s="175"/>
      <c r="AD48" s="175"/>
      <c r="AE48" s="175"/>
      <c r="AF48" s="175"/>
      <c r="AG48" s="175"/>
    </row>
    <row r="49" spans="1:35" s="1401" customFormat="1" ht="12.75" customHeight="1">
      <c r="A49" s="704" t="s">
        <v>1370</v>
      </c>
      <c r="B49" s="720">
        <f t="shared" ref="B49" si="60">C49-1</f>
        <v>2004</v>
      </c>
      <c r="C49" s="720">
        <f t="shared" ref="C49" si="61">D49-1</f>
        <v>2005</v>
      </c>
      <c r="D49" s="720">
        <f t="shared" ref="D49" si="62">E49-1</f>
        <v>2006</v>
      </c>
      <c r="E49" s="720">
        <f t="shared" ref="E49" si="63">F49-1</f>
        <v>2007</v>
      </c>
      <c r="F49" s="720">
        <f t="shared" ref="F49" si="64">G49-1</f>
        <v>2008</v>
      </c>
      <c r="G49" s="720">
        <f t="shared" ref="G49" si="65">H49-1</f>
        <v>2009</v>
      </c>
      <c r="H49" s="720">
        <f t="shared" ref="H49" si="66">I49-1</f>
        <v>2010</v>
      </c>
      <c r="I49" s="720">
        <f t="shared" ref="I49" si="67">J49-1</f>
        <v>2011</v>
      </c>
      <c r="J49" s="720">
        <f t="shared" ref="J49" si="68">K49-1</f>
        <v>2012</v>
      </c>
      <c r="K49" s="720">
        <f t="shared" ref="K49" si="69">L49-1</f>
        <v>2013</v>
      </c>
      <c r="L49" s="720">
        <f t="shared" ref="L49" si="70">M49-1</f>
        <v>2014</v>
      </c>
      <c r="M49" s="720">
        <f t="shared" ref="M49" si="71">N49-1</f>
        <v>2015</v>
      </c>
      <c r="N49" s="720">
        <f t="shared" ref="N49:O49" si="72">O49-1</f>
        <v>2016</v>
      </c>
      <c r="O49" s="1681">
        <f t="shared" si="72"/>
        <v>2017</v>
      </c>
      <c r="P49" s="2214">
        <f t="shared" ref="P49:W49" si="73">+P$13</f>
        <v>2018</v>
      </c>
      <c r="Q49" s="2214">
        <f t="shared" si="73"/>
        <v>2019</v>
      </c>
      <c r="R49" s="2214">
        <f t="shared" si="73"/>
        <v>2020</v>
      </c>
      <c r="S49" s="2214">
        <f t="shared" si="73"/>
        <v>2021</v>
      </c>
      <c r="T49" s="2214">
        <f t="shared" si="73"/>
        <v>2022</v>
      </c>
      <c r="U49" s="2214">
        <f t="shared" si="73"/>
        <v>2023</v>
      </c>
      <c r="V49" s="2214">
        <f t="shared" si="73"/>
        <v>2024</v>
      </c>
      <c r="W49" s="2214">
        <f t="shared" si="73"/>
        <v>2025</v>
      </c>
      <c r="X49" s="706"/>
      <c r="Y49" s="706"/>
      <c r="Z49" s="706"/>
      <c r="AB49" s="481"/>
      <c r="AC49" s="481"/>
      <c r="AD49" s="481"/>
      <c r="AE49" s="481"/>
      <c r="AF49" s="481"/>
      <c r="AG49" s="481"/>
      <c r="AH49" s="481"/>
      <c r="AI49" s="481"/>
    </row>
    <row r="50" spans="1:35" s="14" customFormat="1" ht="12.75" customHeight="1">
      <c r="A50" s="251" t="s">
        <v>1638</v>
      </c>
      <c r="B50" s="727"/>
      <c r="C50" s="727"/>
      <c r="D50" s="2363">
        <f>Q_IS!B7</f>
        <v>0</v>
      </c>
      <c r="E50" s="2363">
        <f>Q_IS!C7</f>
        <v>500</v>
      </c>
      <c r="F50" s="2363">
        <f>Q_IS!D7</f>
        <v>2500</v>
      </c>
      <c r="G50" s="2363">
        <f>Q_IS!E7</f>
        <v>900</v>
      </c>
      <c r="H50" s="2363">
        <f>Q_IS!F7</f>
        <v>200</v>
      </c>
      <c r="I50" s="2363">
        <f>Q_IS!G7</f>
        <v>1400</v>
      </c>
      <c r="J50" s="2363">
        <f>Q_IS!H7</f>
        <v>300</v>
      </c>
      <c r="K50" s="2363">
        <f>Q_IS!I7</f>
        <v>1200</v>
      </c>
      <c r="L50" s="2363">
        <f>Q_IS!J7</f>
        <v>4000</v>
      </c>
      <c r="M50" s="2363">
        <f>Q_IS!K7</f>
        <v>0</v>
      </c>
      <c r="N50" s="2363">
        <f>Q_IS!L7</f>
        <v>24</v>
      </c>
      <c r="O50" s="2363">
        <f>Q_IS!M7</f>
        <v>3976</v>
      </c>
      <c r="P50" s="2362">
        <f t="shared" ref="P50:W50" si="74">CHOOSE(Scenario_Input,P51,P52,P53)</f>
        <v>0</v>
      </c>
      <c r="Q50" s="2362">
        <f t="shared" si="74"/>
        <v>0</v>
      </c>
      <c r="R50" s="2362">
        <f t="shared" si="74"/>
        <v>500</v>
      </c>
      <c r="S50" s="2362">
        <f t="shared" si="74"/>
        <v>500</v>
      </c>
      <c r="T50" s="2362">
        <f t="shared" si="74"/>
        <v>500</v>
      </c>
      <c r="U50" s="2362">
        <f t="shared" si="74"/>
        <v>500</v>
      </c>
      <c r="V50" s="2362">
        <f t="shared" si="74"/>
        <v>500</v>
      </c>
      <c r="W50" s="2362">
        <f t="shared" si="74"/>
        <v>500</v>
      </c>
      <c r="Y50" s="1676">
        <f>Q_IS!$N$6</f>
        <v>24000</v>
      </c>
      <c r="Z50" s="1676"/>
      <c r="AB50" s="251"/>
      <c r="AC50" s="183"/>
      <c r="AD50" s="183"/>
      <c r="AE50" s="183"/>
      <c r="AF50" s="183"/>
      <c r="AG50" s="183"/>
    </row>
    <row r="51" spans="1:35" s="1401" customFormat="1" ht="12.75" customHeight="1">
      <c r="A51" s="157" t="s">
        <v>77</v>
      </c>
      <c r="B51" s="728"/>
      <c r="C51" s="728"/>
      <c r="D51" s="890">
        <f t="shared" ref="D51:O53" si="75">D50</f>
        <v>0</v>
      </c>
      <c r="E51" s="890">
        <f t="shared" si="75"/>
        <v>500</v>
      </c>
      <c r="F51" s="890">
        <f t="shared" si="75"/>
        <v>2500</v>
      </c>
      <c r="G51" s="890">
        <f t="shared" si="75"/>
        <v>900</v>
      </c>
      <c r="H51" s="890">
        <f t="shared" si="75"/>
        <v>200</v>
      </c>
      <c r="I51" s="890">
        <f t="shared" si="75"/>
        <v>1400</v>
      </c>
      <c r="J51" s="890">
        <f t="shared" si="75"/>
        <v>300</v>
      </c>
      <c r="K51" s="890">
        <f t="shared" si="75"/>
        <v>1200</v>
      </c>
      <c r="L51" s="890">
        <f t="shared" si="75"/>
        <v>4000</v>
      </c>
      <c r="M51" s="890">
        <f t="shared" si="75"/>
        <v>0</v>
      </c>
      <c r="N51" s="890">
        <f t="shared" si="75"/>
        <v>24</v>
      </c>
      <c r="O51" s="890">
        <f t="shared" si="75"/>
        <v>3976</v>
      </c>
      <c r="P51" s="851">
        <f>IF(Q_IS!M$13&gt;97%,500,0)</f>
        <v>0</v>
      </c>
      <c r="Q51" s="851">
        <f>IF(Q_IS!N$13&gt;97%,500,0)</f>
        <v>0</v>
      </c>
      <c r="R51" s="851">
        <f>IF(Q_IS!O$13&gt;97%,500,0)</f>
        <v>500</v>
      </c>
      <c r="S51" s="851">
        <f>IF(Q_IS!P$13&gt;97%,500,0)</f>
        <v>500</v>
      </c>
      <c r="T51" s="851">
        <f>IF(Q_IS!Q$13&gt;97%,500,0)</f>
        <v>500</v>
      </c>
      <c r="U51" s="851">
        <f>IF(Q_IS!R$13&gt;97%,500,0)</f>
        <v>500</v>
      </c>
      <c r="V51" s="851">
        <f>IF(Q_IS!S$13&gt;97%,500,0)</f>
        <v>500</v>
      </c>
      <c r="W51" s="851">
        <f>IF(Q_IS!T$13&gt;97%,500,0)</f>
        <v>500</v>
      </c>
      <c r="Y51" s="1669">
        <v>0.01</v>
      </c>
      <c r="Z51" s="1669">
        <v>0</v>
      </c>
      <c r="AB51" s="54"/>
      <c r="AC51" s="175"/>
      <c r="AD51" s="175"/>
      <c r="AE51" s="175"/>
      <c r="AF51" s="175"/>
      <c r="AG51" s="175"/>
    </row>
    <row r="52" spans="1:35" s="1401" customFormat="1" ht="12.75" customHeight="1">
      <c r="A52" s="157" t="s">
        <v>78</v>
      </c>
      <c r="B52" s="728"/>
      <c r="C52" s="728"/>
      <c r="D52" s="890">
        <f t="shared" ref="D52:N52" si="76">D51</f>
        <v>0</v>
      </c>
      <c r="E52" s="890">
        <f t="shared" si="76"/>
        <v>500</v>
      </c>
      <c r="F52" s="890">
        <f t="shared" si="76"/>
        <v>2500</v>
      </c>
      <c r="G52" s="890">
        <f t="shared" si="76"/>
        <v>900</v>
      </c>
      <c r="H52" s="890">
        <f t="shared" si="76"/>
        <v>200</v>
      </c>
      <c r="I52" s="890">
        <f t="shared" si="76"/>
        <v>1400</v>
      </c>
      <c r="J52" s="890">
        <f t="shared" si="76"/>
        <v>300</v>
      </c>
      <c r="K52" s="890">
        <f t="shared" si="76"/>
        <v>1200</v>
      </c>
      <c r="L52" s="890">
        <f t="shared" si="76"/>
        <v>4000</v>
      </c>
      <c r="M52" s="890">
        <f t="shared" si="76"/>
        <v>0</v>
      </c>
      <c r="N52" s="890">
        <f t="shared" si="76"/>
        <v>24</v>
      </c>
      <c r="O52" s="890">
        <f t="shared" si="75"/>
        <v>3976</v>
      </c>
      <c r="P52" s="851">
        <f>IF(Q_IS!M$13&gt;97%,500,0)</f>
        <v>0</v>
      </c>
      <c r="Q52" s="851">
        <f>IF(Q_IS!N$13&gt;97%,500,0)</f>
        <v>0</v>
      </c>
      <c r="R52" s="851">
        <f>IF(Q_IS!O$13&gt;97%,500,0)</f>
        <v>500</v>
      </c>
      <c r="S52" s="851">
        <f>IF(Q_IS!P$13&gt;97%,500,0)</f>
        <v>500</v>
      </c>
      <c r="T52" s="851">
        <f>IF(Q_IS!Q$13&gt;97%,500,0)</f>
        <v>500</v>
      </c>
      <c r="U52" s="851">
        <f>IF(Q_IS!R$13&gt;97%,500,0)</f>
        <v>500</v>
      </c>
      <c r="V52" s="851">
        <f>IF(Q_IS!S$13&gt;97%,500,0)</f>
        <v>500</v>
      </c>
      <c r="W52" s="851">
        <f>IF(Q_IS!T$13&gt;97%,500,0)</f>
        <v>500</v>
      </c>
      <c r="Y52" s="1669">
        <v>1.01</v>
      </c>
      <c r="Z52" s="1669">
        <v>1.01</v>
      </c>
      <c r="AB52" s="54"/>
      <c r="AC52" s="175"/>
      <c r="AD52" s="175"/>
      <c r="AE52" s="175"/>
      <c r="AF52" s="175"/>
      <c r="AG52" s="175"/>
    </row>
    <row r="53" spans="1:35" s="1401" customFormat="1" ht="12.75" customHeight="1">
      <c r="A53" s="157" t="s">
        <v>79</v>
      </c>
      <c r="B53" s="728"/>
      <c r="C53" s="728"/>
      <c r="D53" s="890">
        <f t="shared" ref="D53:N53" si="77">D52</f>
        <v>0</v>
      </c>
      <c r="E53" s="890">
        <f t="shared" si="77"/>
        <v>500</v>
      </c>
      <c r="F53" s="890">
        <f t="shared" si="77"/>
        <v>2500</v>
      </c>
      <c r="G53" s="890">
        <f t="shared" si="77"/>
        <v>900</v>
      </c>
      <c r="H53" s="890">
        <f t="shared" si="77"/>
        <v>200</v>
      </c>
      <c r="I53" s="890">
        <f t="shared" si="77"/>
        <v>1400</v>
      </c>
      <c r="J53" s="890">
        <f t="shared" si="77"/>
        <v>300</v>
      </c>
      <c r="K53" s="890">
        <f t="shared" si="77"/>
        <v>1200</v>
      </c>
      <c r="L53" s="890">
        <f t="shared" si="77"/>
        <v>4000</v>
      </c>
      <c r="M53" s="890">
        <f t="shared" si="77"/>
        <v>0</v>
      </c>
      <c r="N53" s="890">
        <f t="shared" si="77"/>
        <v>24</v>
      </c>
      <c r="O53" s="890">
        <f t="shared" si="75"/>
        <v>3976</v>
      </c>
      <c r="P53" s="851">
        <f>IF(Q_IS!M$13&gt;97%,500,0)</f>
        <v>0</v>
      </c>
      <c r="Q53" s="851">
        <f>IF(Q_IS!N$13&gt;97%,500,0)</f>
        <v>0</v>
      </c>
      <c r="R53" s="851">
        <f>IF(Q_IS!O$13&gt;97%,500,0)</f>
        <v>500</v>
      </c>
      <c r="S53" s="851">
        <f>IF(Q_IS!P$13&gt;97%,500,0)</f>
        <v>500</v>
      </c>
      <c r="T53" s="851">
        <f>IF(Q_IS!Q$13&gt;97%,500,0)</f>
        <v>500</v>
      </c>
      <c r="U53" s="851">
        <f>IF(Q_IS!R$13&gt;97%,500,0)</f>
        <v>500</v>
      </c>
      <c r="V53" s="851">
        <f>IF(Q_IS!S$13&gt;97%,500,0)</f>
        <v>500</v>
      </c>
      <c r="W53" s="851">
        <f>IF(Q_IS!T$13&gt;97%,500,0)</f>
        <v>500</v>
      </c>
      <c r="Y53" s="1669">
        <v>0.995</v>
      </c>
      <c r="Z53" s="1669">
        <v>0.99</v>
      </c>
      <c r="AB53" s="54"/>
      <c r="AC53" s="175"/>
      <c r="AD53" s="175"/>
      <c r="AE53" s="175"/>
      <c r="AF53" s="175"/>
      <c r="AG53" s="175"/>
    </row>
    <row r="54" spans="1:35" s="1401" customFormat="1" ht="12.75" customHeight="1">
      <c r="A54" s="1864"/>
      <c r="B54" s="1864"/>
      <c r="C54" s="1864"/>
      <c r="D54" s="1864"/>
      <c r="E54" s="1864"/>
      <c r="F54" s="1864"/>
      <c r="G54" s="1864"/>
      <c r="H54" s="1864"/>
      <c r="I54" s="1864"/>
      <c r="J54" s="1864"/>
      <c r="K54" s="1864"/>
      <c r="L54" s="1864"/>
      <c r="M54" s="1864"/>
      <c r="N54" s="1864"/>
      <c r="O54" s="2364"/>
      <c r="P54" s="2364"/>
      <c r="Q54" s="2364"/>
      <c r="R54" s="2364"/>
      <c r="S54" s="2364"/>
      <c r="T54" s="2364"/>
      <c r="U54" s="2364"/>
      <c r="V54" s="2364"/>
      <c r="W54" s="2364"/>
      <c r="X54"/>
      <c r="Y54"/>
      <c r="Z54"/>
      <c r="AB54" s="54"/>
      <c r="AC54" s="175"/>
      <c r="AD54" s="175"/>
      <c r="AE54" s="175"/>
      <c r="AF54" s="175"/>
      <c r="AG54" s="175"/>
    </row>
    <row r="55" spans="1:35" s="14" customFormat="1" ht="12.75" customHeight="1">
      <c r="A55" s="251" t="s">
        <v>1497</v>
      </c>
      <c r="B55" s="727"/>
      <c r="C55" s="727"/>
      <c r="D55" s="1063">
        <f>Q_IS!B12</f>
        <v>0</v>
      </c>
      <c r="E55" s="1063">
        <f>Q_IS!C12</f>
        <v>-4.7540815278776072E-2</v>
      </c>
      <c r="F55" s="1063">
        <f>Q_IS!D12</f>
        <v>0.1015523932729625</v>
      </c>
      <c r="G55" s="1063">
        <f>Q_IS!E12</f>
        <v>0.1744959874730867</v>
      </c>
      <c r="H55" s="1063">
        <f>Q_IS!F12</f>
        <v>7.6826931089075901E-2</v>
      </c>
      <c r="I55" s="1063">
        <f>Q_IS!G12</f>
        <v>1.1142923469782628E-2</v>
      </c>
      <c r="J55" s="1063">
        <f>Q_IS!H12</f>
        <v>-0.18956149077829643</v>
      </c>
      <c r="K55" s="1063">
        <f>Q_IS!I12</f>
        <v>0.21671388101983013</v>
      </c>
      <c r="L55" s="1063">
        <f>Q_IS!J12</f>
        <v>0.21016686069072565</v>
      </c>
      <c r="M55" s="1063">
        <f>Q_IS!K12</f>
        <v>0.20041044058231261</v>
      </c>
      <c r="N55" s="1063">
        <f>Q_IS!L12</f>
        <v>6.977241158243408E-2</v>
      </c>
      <c r="O55" s="1063">
        <f>Q_IS!M12</f>
        <v>-3.7105473431881753E-2</v>
      </c>
      <c r="P55" s="2053">
        <f t="shared" ref="P55:W55" si="78">CHOOSE(Scenario_Input,P56,P57,P58)</f>
        <v>0.15657901561122331</v>
      </c>
      <c r="Q55" s="2053">
        <f t="shared" si="78"/>
        <v>0.05</v>
      </c>
      <c r="R55" s="2053">
        <f t="shared" si="78"/>
        <v>0.02</v>
      </c>
      <c r="S55" s="2053">
        <f t="shared" si="78"/>
        <v>0.03</v>
      </c>
      <c r="T55" s="2053">
        <f t="shared" si="78"/>
        <v>1.7999999999999999E-2</v>
      </c>
      <c r="U55" s="2053">
        <f t="shared" si="78"/>
        <v>1.7999999999999999E-2</v>
      </c>
      <c r="V55" s="2053">
        <f t="shared" si="78"/>
        <v>1.7999999999999999E-2</v>
      </c>
      <c r="W55" s="2053">
        <f t="shared" si="78"/>
        <v>1.7999999999999999E-2</v>
      </c>
      <c r="Y55" s="1676"/>
      <c r="Z55" s="1676"/>
      <c r="AB55" s="251"/>
      <c r="AC55" s="183"/>
      <c r="AD55" s="183"/>
      <c r="AE55" s="183"/>
      <c r="AF55" s="183"/>
      <c r="AG55" s="183"/>
    </row>
    <row r="56" spans="1:35" ht="12.75" customHeight="1">
      <c r="A56" s="157" t="s">
        <v>77</v>
      </c>
      <c r="B56" s="728"/>
      <c r="C56" s="728"/>
      <c r="D56" s="419">
        <f t="shared" ref="D56:L58" si="79">D55</f>
        <v>0</v>
      </c>
      <c r="E56" s="419">
        <f t="shared" si="79"/>
        <v>-4.7540815278776072E-2</v>
      </c>
      <c r="F56" s="419">
        <f t="shared" si="79"/>
        <v>0.1015523932729625</v>
      </c>
      <c r="G56" s="419">
        <f t="shared" si="79"/>
        <v>0.1744959874730867</v>
      </c>
      <c r="H56" s="419">
        <f t="shared" si="79"/>
        <v>7.6826931089075901E-2</v>
      </c>
      <c r="I56" s="419">
        <f t="shared" si="79"/>
        <v>1.1142923469782628E-2</v>
      </c>
      <c r="J56" s="419">
        <f t="shared" si="79"/>
        <v>-0.18956149077829643</v>
      </c>
      <c r="K56" s="419">
        <f t="shared" si="79"/>
        <v>0.21671388101983013</v>
      </c>
      <c r="L56" s="419">
        <f t="shared" si="79"/>
        <v>0.21016686069072565</v>
      </c>
      <c r="M56" s="419">
        <f t="shared" ref="M56" si="80">M55</f>
        <v>0.20041044058231261</v>
      </c>
      <c r="N56" s="419">
        <f t="shared" ref="N56:O56" si="81">N55</f>
        <v>6.977241158243408E-2</v>
      </c>
      <c r="O56" s="419">
        <f t="shared" si="81"/>
        <v>-3.7105473431881753E-2</v>
      </c>
      <c r="P56" s="1686">
        <v>0.15657901561122331</v>
      </c>
      <c r="Q56" s="1686">
        <v>0.05</v>
      </c>
      <c r="R56" s="1686">
        <v>0.02</v>
      </c>
      <c r="S56" s="1686">
        <v>0.03</v>
      </c>
      <c r="T56" s="1687">
        <f t="shared" ref="T56:W56" si="82">+T151</f>
        <v>1.7999999999999999E-2</v>
      </c>
      <c r="U56" s="1687">
        <f t="shared" si="82"/>
        <v>1.7999999999999999E-2</v>
      </c>
      <c r="V56" s="1687">
        <f t="shared" si="82"/>
        <v>1.7999999999999999E-2</v>
      </c>
      <c r="W56" s="1687">
        <f t="shared" si="82"/>
        <v>1.7999999999999999E-2</v>
      </c>
      <c r="Y56" s="1669"/>
      <c r="Z56" s="1669"/>
      <c r="AB56" s="54"/>
      <c r="AC56" s="175"/>
      <c r="AD56" s="175"/>
      <c r="AE56" s="175"/>
      <c r="AF56" s="175"/>
      <c r="AG56" s="175"/>
    </row>
    <row r="57" spans="1:35" ht="12.75" customHeight="1">
      <c r="A57" s="157" t="s">
        <v>78</v>
      </c>
      <c r="B57" s="728"/>
      <c r="C57" s="728"/>
      <c r="D57" s="419">
        <f t="shared" si="79"/>
        <v>0</v>
      </c>
      <c r="E57" s="419">
        <f t="shared" si="79"/>
        <v>-4.7540815278776072E-2</v>
      </c>
      <c r="F57" s="419">
        <f t="shared" si="79"/>
        <v>0.1015523932729625</v>
      </c>
      <c r="G57" s="419">
        <f t="shared" si="79"/>
        <v>0.1744959874730867</v>
      </c>
      <c r="H57" s="419">
        <f t="shared" si="79"/>
        <v>7.6826931089075901E-2</v>
      </c>
      <c r="I57" s="419">
        <f t="shared" si="79"/>
        <v>1.1142923469782628E-2</v>
      </c>
      <c r="J57" s="419">
        <f t="shared" si="79"/>
        <v>-0.18956149077829643</v>
      </c>
      <c r="K57" s="419">
        <f t="shared" si="79"/>
        <v>0.21671388101983013</v>
      </c>
      <c r="L57" s="419">
        <f t="shared" si="79"/>
        <v>0.21016686069072565</v>
      </c>
      <c r="M57" s="419">
        <f t="shared" ref="M57" si="83">M56</f>
        <v>0.20041044058231261</v>
      </c>
      <c r="N57" s="419">
        <f t="shared" ref="N57:O57" si="84">N56</f>
        <v>6.977241158243408E-2</v>
      </c>
      <c r="O57" s="419">
        <f t="shared" si="84"/>
        <v>-3.7105473431881753E-2</v>
      </c>
      <c r="P57" s="1687">
        <f>+P56*$Y57</f>
        <v>0.15657901561122331</v>
      </c>
      <c r="Q57" s="1687">
        <f>+Q56*$Y57</f>
        <v>0.05</v>
      </c>
      <c r="R57" s="1687">
        <f>+R56*$Y57</f>
        <v>0.02</v>
      </c>
      <c r="S57" s="1687">
        <f>+S56*$Y57</f>
        <v>0.03</v>
      </c>
      <c r="T57" s="1687">
        <f>+T56*$Z57</f>
        <v>2.1599999999999998E-2</v>
      </c>
      <c r="U57" s="1687">
        <f>+U56*$Z57</f>
        <v>2.1599999999999998E-2</v>
      </c>
      <c r="V57" s="1687">
        <f>+V56*$Z57</f>
        <v>2.1599999999999998E-2</v>
      </c>
      <c r="W57" s="1687">
        <f>+W56*$Z57</f>
        <v>2.1599999999999998E-2</v>
      </c>
      <c r="Y57" s="1669">
        <v>1</v>
      </c>
      <c r="Z57" s="1669">
        <v>1.2</v>
      </c>
      <c r="AB57" s="54"/>
      <c r="AC57" s="175"/>
      <c r="AD57" s="175"/>
      <c r="AE57" s="175"/>
      <c r="AF57" s="175"/>
      <c r="AG57" s="175"/>
    </row>
    <row r="58" spans="1:35" ht="12.75" customHeight="1">
      <c r="A58" s="157" t="s">
        <v>79</v>
      </c>
      <c r="B58" s="728"/>
      <c r="C58" s="728"/>
      <c r="D58" s="419">
        <f t="shared" si="79"/>
        <v>0</v>
      </c>
      <c r="E58" s="419">
        <f t="shared" si="79"/>
        <v>-4.7540815278776072E-2</v>
      </c>
      <c r="F58" s="419">
        <f t="shared" si="79"/>
        <v>0.1015523932729625</v>
      </c>
      <c r="G58" s="419">
        <f t="shared" si="79"/>
        <v>0.1744959874730867</v>
      </c>
      <c r="H58" s="419">
        <f t="shared" si="79"/>
        <v>7.6826931089075901E-2</v>
      </c>
      <c r="I58" s="419">
        <f t="shared" si="79"/>
        <v>1.1142923469782628E-2</v>
      </c>
      <c r="J58" s="419">
        <f t="shared" si="79"/>
        <v>-0.18956149077829643</v>
      </c>
      <c r="K58" s="419">
        <f t="shared" si="79"/>
        <v>0.21671388101983013</v>
      </c>
      <c r="L58" s="419">
        <f t="shared" si="79"/>
        <v>0.21016686069072565</v>
      </c>
      <c r="M58" s="419">
        <f t="shared" ref="M58" si="85">M57</f>
        <v>0.20041044058231261</v>
      </c>
      <c r="N58" s="419">
        <f t="shared" ref="N58:O58" si="86">N57</f>
        <v>6.977241158243408E-2</v>
      </c>
      <c r="O58" s="419">
        <f t="shared" si="86"/>
        <v>-3.7105473431881753E-2</v>
      </c>
      <c r="P58" s="1687">
        <f>+P56*$Y58</f>
        <v>0.14092111405010099</v>
      </c>
      <c r="Q58" s="1687">
        <f>+Q56*$Y58</f>
        <v>4.5000000000000005E-2</v>
      </c>
      <c r="R58" s="1687">
        <f>+R56*$Y58</f>
        <v>1.8000000000000002E-2</v>
      </c>
      <c r="S58" s="1687">
        <f>+S56*$Y58</f>
        <v>2.7E-2</v>
      </c>
      <c r="T58" s="1687">
        <f>+T56*$Z58</f>
        <v>1.6199999999999999E-2</v>
      </c>
      <c r="U58" s="1687">
        <f>+U56*$Z58</f>
        <v>1.6199999999999999E-2</v>
      </c>
      <c r="V58" s="1687">
        <f>+V56*$Z58</f>
        <v>1.6199999999999999E-2</v>
      </c>
      <c r="W58" s="1687">
        <f>+W56*$Z58</f>
        <v>1.6199999999999999E-2</v>
      </c>
      <c r="Y58" s="1669">
        <v>0.9</v>
      </c>
      <c r="Z58" s="1669">
        <v>0.9</v>
      </c>
      <c r="AB58" s="54"/>
      <c r="AC58" s="175"/>
      <c r="AD58" s="175"/>
      <c r="AE58" s="175"/>
      <c r="AF58" s="175"/>
      <c r="AG58" s="175"/>
    </row>
    <row r="59" spans="1:35" s="1401" customFormat="1" ht="12.75" customHeight="1">
      <c r="A59" s="157"/>
      <c r="B59" s="596"/>
      <c r="C59" s="596"/>
      <c r="D59" s="1689"/>
      <c r="E59" s="1689"/>
      <c r="F59" s="1689"/>
      <c r="G59" s="1689"/>
      <c r="H59" s="1689"/>
      <c r="I59" s="1689"/>
      <c r="J59" s="1689"/>
      <c r="K59" s="1689"/>
      <c r="L59" s="1689"/>
      <c r="M59" s="1689"/>
      <c r="N59" s="1689"/>
      <c r="O59" s="1688"/>
      <c r="P59" s="1691"/>
      <c r="Q59" s="1691"/>
      <c r="R59" s="1691"/>
      <c r="S59" s="1691"/>
      <c r="T59" s="1691"/>
      <c r="U59" s="1691"/>
      <c r="V59" s="1691"/>
      <c r="W59" s="1691"/>
      <c r="X59" s="274"/>
      <c r="Y59" s="274"/>
      <c r="Z59" s="274"/>
      <c r="AB59" s="481"/>
      <c r="AC59" s="481"/>
      <c r="AD59" s="481"/>
      <c r="AE59" s="481"/>
      <c r="AF59" s="481"/>
      <c r="AG59" s="481"/>
      <c r="AH59" s="481"/>
      <c r="AI59" s="481"/>
    </row>
    <row r="60" spans="1:35" s="251" customFormat="1" ht="12.75" customHeight="1">
      <c r="A60" s="251" t="s">
        <v>848</v>
      </c>
      <c r="B60" s="743"/>
      <c r="C60" s="743"/>
      <c r="D60" s="1679" t="e">
        <f>Q_IS!B18</f>
        <v>#N/A</v>
      </c>
      <c r="E60" s="1679" t="e">
        <f>Q_IS!C18</f>
        <v>#N/A</v>
      </c>
      <c r="F60" s="1679" t="e">
        <f>Q_IS!D18</f>
        <v>#N/A</v>
      </c>
      <c r="G60" s="1679" t="e">
        <f>Q_IS!E18</f>
        <v>#N/A</v>
      </c>
      <c r="H60" s="1679" t="e">
        <f>Q_IS!F18</f>
        <v>#N/A</v>
      </c>
      <c r="I60" s="1679" t="e">
        <f>Q_IS!G18</f>
        <v>#N/A</v>
      </c>
      <c r="J60" s="1679" t="e">
        <f>Q_IS!H18</f>
        <v>#N/A</v>
      </c>
      <c r="K60" s="1679">
        <f>Q_IS!I18</f>
        <v>139.13999999999999</v>
      </c>
      <c r="L60" s="1679">
        <f>Q_IS!J18</f>
        <v>136.94999999999999</v>
      </c>
      <c r="M60" s="1679">
        <f>Q_IS!K18</f>
        <v>141.6</v>
      </c>
      <c r="N60" s="1679">
        <f>Q_IS!L18</f>
        <v>128.9</v>
      </c>
      <c r="O60" s="1679">
        <f>Q_IS!M18</f>
        <v>130.30000000000001</v>
      </c>
      <c r="P60" s="714">
        <f>CHOOSE(Scenario_Input,P61,P62,P63)</f>
        <v>133.5</v>
      </c>
      <c r="Q60" s="714">
        <f t="shared" ref="Q60:W60" si="87">CHOOSE(Scenario_Input,Q61,Q62,Q63)</f>
        <v>135.06499999999997</v>
      </c>
      <c r="R60" s="714">
        <f t="shared" si="87"/>
        <v>135.74032499999996</v>
      </c>
      <c r="S60" s="714">
        <f t="shared" si="87"/>
        <v>136.41902662499993</v>
      </c>
      <c r="T60" s="714">
        <f t="shared" si="87"/>
        <v>137.10112175812492</v>
      </c>
      <c r="U60" s="714">
        <f t="shared" si="87"/>
        <v>137.78662736691552</v>
      </c>
      <c r="V60" s="714">
        <f t="shared" si="87"/>
        <v>138.47556050375007</v>
      </c>
      <c r="W60" s="714">
        <f t="shared" si="87"/>
        <v>139.16793830626881</v>
      </c>
      <c r="X60" s="743"/>
      <c r="Y60" s="743"/>
      <c r="Z60" s="743"/>
      <c r="AB60" s="15"/>
    </row>
    <row r="61" spans="1:35" ht="12.75" customHeight="1">
      <c r="A61" s="157" t="s">
        <v>77</v>
      </c>
      <c r="B61" s="2217"/>
      <c r="C61" s="2217"/>
      <c r="D61" s="1688" t="e">
        <f t="shared" ref="D61:L63" si="88">D60</f>
        <v>#N/A</v>
      </c>
      <c r="E61" s="1688" t="e">
        <f t="shared" si="88"/>
        <v>#N/A</v>
      </c>
      <c r="F61" s="1688" t="e">
        <f t="shared" si="88"/>
        <v>#N/A</v>
      </c>
      <c r="G61" s="1688" t="e">
        <f t="shared" si="88"/>
        <v>#N/A</v>
      </c>
      <c r="H61" s="1688" t="e">
        <f t="shared" si="88"/>
        <v>#N/A</v>
      </c>
      <c r="I61" s="1688" t="e">
        <f t="shared" si="88"/>
        <v>#N/A</v>
      </c>
      <c r="J61" s="1688" t="e">
        <f t="shared" si="88"/>
        <v>#N/A</v>
      </c>
      <c r="K61" s="1688">
        <f t="shared" si="88"/>
        <v>139.13999999999999</v>
      </c>
      <c r="L61" s="1688">
        <f t="shared" si="88"/>
        <v>136.94999999999999</v>
      </c>
      <c r="M61" s="1688">
        <f t="shared" ref="M61" si="89">M60</f>
        <v>141.6</v>
      </c>
      <c r="N61" s="1688">
        <f t="shared" ref="N61:O61" si="90">N60</f>
        <v>128.9</v>
      </c>
      <c r="O61" s="1688">
        <f t="shared" si="90"/>
        <v>130.30000000000001</v>
      </c>
      <c r="P61" s="2357">
        <v>133.5</v>
      </c>
      <c r="Q61" s="1690">
        <f>+AVERAGE(K61:P61)</f>
        <v>135.06499999999997</v>
      </c>
      <c r="R61" s="1690">
        <f t="shared" ref="R61:S61" si="91">+Q61*(1+$Y$61)</f>
        <v>135.74032499999996</v>
      </c>
      <c r="S61" s="1690">
        <f t="shared" si="91"/>
        <v>136.41902662499993</v>
      </c>
      <c r="T61" s="1690">
        <f>+S61*(1+$Z$61)</f>
        <v>137.10112175812492</v>
      </c>
      <c r="U61" s="1690">
        <f t="shared" ref="U61:W61" si="92">+T61*(1+$Z$61)</f>
        <v>137.78662736691552</v>
      </c>
      <c r="V61" s="1690">
        <f t="shared" si="92"/>
        <v>138.47556050375007</v>
      </c>
      <c r="W61" s="1690">
        <f t="shared" si="92"/>
        <v>139.16793830626881</v>
      </c>
      <c r="X61" s="723"/>
      <c r="Y61" s="2358">
        <v>5.0000000000000001E-3</v>
      </c>
      <c r="Z61" s="2358">
        <v>5.0000000000000001E-3</v>
      </c>
      <c r="AB61" s="210"/>
      <c r="AC61" s="175"/>
      <c r="AD61" s="724"/>
      <c r="AE61" s="724"/>
      <c r="AF61" s="725"/>
      <c r="AG61" s="725"/>
    </row>
    <row r="62" spans="1:35" ht="12.75" customHeight="1">
      <c r="A62" s="157" t="s">
        <v>78</v>
      </c>
      <c r="B62" s="726"/>
      <c r="C62" s="726"/>
      <c r="D62" s="1689" t="e">
        <f t="shared" si="88"/>
        <v>#N/A</v>
      </c>
      <c r="E62" s="1689" t="e">
        <f t="shared" si="88"/>
        <v>#N/A</v>
      </c>
      <c r="F62" s="1689" t="e">
        <f t="shared" si="88"/>
        <v>#N/A</v>
      </c>
      <c r="G62" s="1689" t="e">
        <f t="shared" si="88"/>
        <v>#N/A</v>
      </c>
      <c r="H62" s="1689" t="e">
        <f t="shared" si="88"/>
        <v>#N/A</v>
      </c>
      <c r="I62" s="1689" t="e">
        <f t="shared" si="88"/>
        <v>#N/A</v>
      </c>
      <c r="J62" s="1689" t="e">
        <f t="shared" si="88"/>
        <v>#N/A</v>
      </c>
      <c r="K62" s="1689">
        <f t="shared" si="88"/>
        <v>139.13999999999999</v>
      </c>
      <c r="L62" s="1689">
        <f t="shared" si="88"/>
        <v>136.94999999999999</v>
      </c>
      <c r="M62" s="1689">
        <f t="shared" ref="M62" si="93">M61</f>
        <v>141.6</v>
      </c>
      <c r="N62" s="1689">
        <f t="shared" ref="N62:O62" si="94">N61</f>
        <v>128.9</v>
      </c>
      <c r="O62" s="1688">
        <f t="shared" si="94"/>
        <v>130.30000000000001</v>
      </c>
      <c r="P62" s="1690">
        <f>+P61+$Y62</f>
        <v>134.5</v>
      </c>
      <c r="Q62" s="1690">
        <f>+Q61+$Y62</f>
        <v>136.06499999999997</v>
      </c>
      <c r="R62" s="1690">
        <f>+R61+$Y62</f>
        <v>136.74032499999996</v>
      </c>
      <c r="S62" s="1690">
        <f>+S61+$Y62</f>
        <v>137.41902662499993</v>
      </c>
      <c r="T62" s="1690">
        <f>+T61+$Z62</f>
        <v>138.10112175812492</v>
      </c>
      <c r="U62" s="1690">
        <f>+U61+$Z62</f>
        <v>138.78662736691552</v>
      </c>
      <c r="V62" s="1690">
        <f>+V61+$Z62</f>
        <v>139.47556050375007</v>
      </c>
      <c r="W62" s="1690">
        <f>+W61+$Z62</f>
        <v>140.16793830626881</v>
      </c>
      <c r="X62" s="722"/>
      <c r="Y62" s="1668">
        <v>1</v>
      </c>
      <c r="Z62" s="1668">
        <f t="shared" ref="Z62:Z63" si="95">+Y62</f>
        <v>1</v>
      </c>
      <c r="AB62" s="210"/>
      <c r="AC62" s="175"/>
      <c r="AD62" s="175"/>
      <c r="AE62" s="175"/>
      <c r="AF62" s="175"/>
      <c r="AG62" s="175"/>
    </row>
    <row r="63" spans="1:35" ht="12.75" customHeight="1">
      <c r="A63" s="157" t="s">
        <v>79</v>
      </c>
      <c r="B63" s="726"/>
      <c r="C63" s="726"/>
      <c r="D63" s="1689" t="e">
        <f t="shared" si="88"/>
        <v>#N/A</v>
      </c>
      <c r="E63" s="1689" t="e">
        <f t="shared" si="88"/>
        <v>#N/A</v>
      </c>
      <c r="F63" s="1689" t="e">
        <f t="shared" si="88"/>
        <v>#N/A</v>
      </c>
      <c r="G63" s="1689" t="e">
        <f t="shared" si="88"/>
        <v>#N/A</v>
      </c>
      <c r="H63" s="1689" t="e">
        <f t="shared" si="88"/>
        <v>#N/A</v>
      </c>
      <c r="I63" s="1689" t="e">
        <f t="shared" si="88"/>
        <v>#N/A</v>
      </c>
      <c r="J63" s="1689" t="e">
        <f t="shared" si="88"/>
        <v>#N/A</v>
      </c>
      <c r="K63" s="1689">
        <f t="shared" si="88"/>
        <v>139.13999999999999</v>
      </c>
      <c r="L63" s="1689">
        <f t="shared" si="88"/>
        <v>136.94999999999999</v>
      </c>
      <c r="M63" s="1689">
        <f t="shared" ref="M63" si="96">M62</f>
        <v>141.6</v>
      </c>
      <c r="N63" s="1689">
        <f t="shared" ref="N63:O63" si="97">N62</f>
        <v>128.9</v>
      </c>
      <c r="O63" s="1688">
        <f t="shared" si="97"/>
        <v>130.30000000000001</v>
      </c>
      <c r="P63" s="1690">
        <f>+P61+$Y63</f>
        <v>133</v>
      </c>
      <c r="Q63" s="1690">
        <f>+Q61+$Y63</f>
        <v>134.56499999999997</v>
      </c>
      <c r="R63" s="1690">
        <f>+R61+$Y63</f>
        <v>135.24032499999996</v>
      </c>
      <c r="S63" s="1690">
        <f>+S61+$Y63</f>
        <v>135.91902662499993</v>
      </c>
      <c r="T63" s="1690">
        <f>+T61+$Z63</f>
        <v>136.60112175812492</v>
      </c>
      <c r="U63" s="1690">
        <f>+U61+$Z63</f>
        <v>137.28662736691552</v>
      </c>
      <c r="V63" s="1690">
        <f>+V61+$Z63</f>
        <v>137.97556050375007</v>
      </c>
      <c r="W63" s="1690">
        <f>+W61+$Z63</f>
        <v>138.66793830626881</v>
      </c>
      <c r="X63" s="722"/>
      <c r="Y63" s="1668">
        <v>-0.5</v>
      </c>
      <c r="Z63" s="1668">
        <f t="shared" si="95"/>
        <v>-0.5</v>
      </c>
      <c r="AB63" s="210"/>
      <c r="AC63" s="175"/>
      <c r="AD63" s="175"/>
      <c r="AE63" s="175"/>
      <c r="AF63" s="175"/>
      <c r="AG63" s="175"/>
    </row>
    <row r="64" spans="1:35" s="1401" customFormat="1" ht="12.75" customHeight="1">
      <c r="A64" s="157"/>
      <c r="B64" s="596"/>
      <c r="C64" s="596"/>
      <c r="D64" s="1689"/>
      <c r="E64" s="1689"/>
      <c r="F64" s="1689"/>
      <c r="G64" s="1689"/>
      <c r="H64" s="1689"/>
      <c r="I64" s="1689"/>
      <c r="J64" s="1689"/>
      <c r="K64" s="1689"/>
      <c r="L64" s="1689"/>
      <c r="M64" s="1689"/>
      <c r="N64" s="1689"/>
      <c r="O64" s="1688"/>
      <c r="P64" s="1691"/>
      <c r="Q64" s="1691"/>
      <c r="R64" s="1691"/>
      <c r="S64" s="1691"/>
      <c r="T64" s="1691"/>
      <c r="U64" s="1691"/>
      <c r="V64" s="1691"/>
      <c r="W64" s="1691"/>
      <c r="X64" s="274"/>
      <c r="Y64" s="274"/>
      <c r="Z64" s="274"/>
      <c r="AB64" s="481"/>
      <c r="AC64" s="481"/>
      <c r="AD64" s="481"/>
      <c r="AE64" s="481"/>
      <c r="AF64" s="481"/>
      <c r="AG64" s="481"/>
      <c r="AH64" s="481"/>
      <c r="AI64" s="481"/>
    </row>
    <row r="65" spans="1:33" s="14" customFormat="1" ht="12.75" customHeight="1">
      <c r="A65" s="251" t="s">
        <v>1371</v>
      </c>
      <c r="B65" s="2216"/>
      <c r="C65" s="2216"/>
      <c r="D65" s="1660">
        <f>+Q_IS!B46</f>
        <v>0.94796814064861978</v>
      </c>
      <c r="E65" s="1660">
        <f>+Q_IS!C46</f>
        <v>1.0024514225051824</v>
      </c>
      <c r="F65" s="1660">
        <f>+Q_IS!D46</f>
        <v>0.87000018159396586</v>
      </c>
      <c r="G65" s="1660">
        <f>+Q_IS!E46</f>
        <v>1.3287048120660763</v>
      </c>
      <c r="H65" s="1660">
        <f>+Q_IS!F46</f>
        <v>0.85745694393550742</v>
      </c>
      <c r="I65" s="1660">
        <f>+Q_IS!G46</f>
        <v>1.0440086103802917</v>
      </c>
      <c r="J65" s="1661">
        <f>+Q_IS!H46</f>
        <v>0.9375</v>
      </c>
      <c r="K65" s="1661">
        <f>+Q_IS!I46</f>
        <v>0.99262446220036882</v>
      </c>
      <c r="L65" s="1661">
        <f>+Q_IS!J46</f>
        <v>0.99475383373688453</v>
      </c>
      <c r="M65" s="1661">
        <f>+Q_IS!K46</f>
        <v>1.0457905020813865</v>
      </c>
      <c r="N65" s="1661">
        <f>+Q_IS!L46</f>
        <v>1.0241465445462115</v>
      </c>
      <c r="O65" s="1661">
        <f>+Q_IS!M46</f>
        <v>0.99033264824541367</v>
      </c>
      <c r="P65" s="1663">
        <f t="shared" ref="P65:W65" si="98">CHOOSE(Scenario_Input,P66,P67,P68)</f>
        <v>1</v>
      </c>
      <c r="Q65" s="1663">
        <f t="shared" si="98"/>
        <v>1.0029781751616589</v>
      </c>
      <c r="R65" s="1663">
        <f t="shared" si="98"/>
        <v>1.0027490847646083</v>
      </c>
      <c r="S65" s="1663">
        <f t="shared" si="98"/>
        <v>1.0027654483643975</v>
      </c>
      <c r="T65" s="1663">
        <f t="shared" si="98"/>
        <v>1.0027643574577449</v>
      </c>
      <c r="U65" s="1663">
        <f t="shared" si="98"/>
        <v>1.0027644256394106</v>
      </c>
      <c r="V65" s="1663">
        <f t="shared" si="98"/>
        <v>1.0027644216287244</v>
      </c>
      <c r="W65" s="1663">
        <f t="shared" si="98"/>
        <v>1.0027644218515404</v>
      </c>
      <c r="AB65" s="183"/>
      <c r="AC65" s="183"/>
      <c r="AD65" s="183"/>
      <c r="AE65" s="183"/>
      <c r="AF65" s="183"/>
      <c r="AG65" s="183"/>
    </row>
    <row r="66" spans="1:33" s="1401" customFormat="1" ht="12.75" customHeight="1">
      <c r="A66" s="157" t="s">
        <v>77</v>
      </c>
      <c r="B66" s="176"/>
      <c r="C66" s="176"/>
      <c r="D66" s="450">
        <f t="shared" ref="D66:N66" si="99">D65</f>
        <v>0.94796814064861978</v>
      </c>
      <c r="E66" s="450">
        <f t="shared" si="99"/>
        <v>1.0024514225051824</v>
      </c>
      <c r="F66" s="450">
        <f t="shared" si="99"/>
        <v>0.87000018159396586</v>
      </c>
      <c r="G66" s="450">
        <f t="shared" si="99"/>
        <v>1.3287048120660763</v>
      </c>
      <c r="H66" s="450">
        <f t="shared" si="99"/>
        <v>0.85745694393550742</v>
      </c>
      <c r="I66" s="450">
        <f t="shared" si="99"/>
        <v>1.0440086103802917</v>
      </c>
      <c r="J66" s="520">
        <f t="shared" si="99"/>
        <v>0.9375</v>
      </c>
      <c r="K66" s="520">
        <f t="shared" si="99"/>
        <v>0.99262446220036882</v>
      </c>
      <c r="L66" s="520">
        <f t="shared" si="99"/>
        <v>0.99475383373688453</v>
      </c>
      <c r="M66" s="520">
        <f t="shared" si="99"/>
        <v>1.0457905020813865</v>
      </c>
      <c r="N66" s="520">
        <f t="shared" si="99"/>
        <v>1.0241465445462115</v>
      </c>
      <c r="O66" s="520">
        <f t="shared" ref="O66" si="100">O65</f>
        <v>0.99033264824541367</v>
      </c>
      <c r="P66" s="1659">
        <v>1</v>
      </c>
      <c r="Q66" s="1666">
        <f>AVERAGE($D$66:O66)</f>
        <v>1.0029781751616589</v>
      </c>
      <c r="R66" s="1666">
        <f>AVERAGE($D$66:P66)</f>
        <v>1.0027490847646083</v>
      </c>
      <c r="S66" s="1666">
        <f>AVERAGE($D$66:Q66)</f>
        <v>1.0027654483643975</v>
      </c>
      <c r="T66" s="1666">
        <f>AVERAGE($D$66:R66)</f>
        <v>1.0027643574577449</v>
      </c>
      <c r="U66" s="1666">
        <f>AVERAGE($D$66:S66)</f>
        <v>1.0027644256394106</v>
      </c>
      <c r="V66" s="1666">
        <f>AVERAGE($D$66:T66)</f>
        <v>1.0027644216287244</v>
      </c>
      <c r="W66" s="1666">
        <f>AVERAGE($D$66:U66)</f>
        <v>1.0027644218515404</v>
      </c>
      <c r="AB66" s="175"/>
      <c r="AC66" s="175"/>
      <c r="AD66" s="175"/>
      <c r="AE66" s="175"/>
      <c r="AF66" s="175"/>
      <c r="AG66" s="175"/>
    </row>
    <row r="67" spans="1:33" s="1401" customFormat="1" ht="12.75" customHeight="1">
      <c r="A67" s="157" t="s">
        <v>78</v>
      </c>
      <c r="B67" s="176"/>
      <c r="C67" s="176"/>
      <c r="D67" s="450">
        <f t="shared" ref="D67:N67" si="101">D66</f>
        <v>0.94796814064861978</v>
      </c>
      <c r="E67" s="450">
        <f t="shared" si="101"/>
        <v>1.0024514225051824</v>
      </c>
      <c r="F67" s="450">
        <f t="shared" si="101"/>
        <v>0.87000018159396586</v>
      </c>
      <c r="G67" s="450">
        <f t="shared" si="101"/>
        <v>1.3287048120660763</v>
      </c>
      <c r="H67" s="450">
        <f t="shared" si="101"/>
        <v>0.85745694393550742</v>
      </c>
      <c r="I67" s="450">
        <f t="shared" si="101"/>
        <v>1.0440086103802917</v>
      </c>
      <c r="J67" s="520">
        <f t="shared" si="101"/>
        <v>0.9375</v>
      </c>
      <c r="K67" s="520">
        <f t="shared" si="101"/>
        <v>0.99262446220036882</v>
      </c>
      <c r="L67" s="520">
        <f t="shared" si="101"/>
        <v>0.99475383373688453</v>
      </c>
      <c r="M67" s="520">
        <f t="shared" si="101"/>
        <v>1.0457905020813865</v>
      </c>
      <c r="N67" s="520">
        <f t="shared" si="101"/>
        <v>1.0241465445462115</v>
      </c>
      <c r="O67" s="520">
        <f t="shared" ref="O67" si="102">O66</f>
        <v>0.99033264824541367</v>
      </c>
      <c r="P67" s="1666">
        <f t="shared" ref="P67:W67" si="103">+P66+$Y67</f>
        <v>1</v>
      </c>
      <c r="Q67" s="1666">
        <f t="shared" si="103"/>
        <v>1.0029781751616589</v>
      </c>
      <c r="R67" s="1666">
        <f t="shared" si="103"/>
        <v>1.0027490847646083</v>
      </c>
      <c r="S67" s="1666">
        <f t="shared" si="103"/>
        <v>1.0027654483643975</v>
      </c>
      <c r="T67" s="1666">
        <f t="shared" si="103"/>
        <v>1.0027643574577449</v>
      </c>
      <c r="U67" s="1666">
        <f t="shared" si="103"/>
        <v>1.0027644256394106</v>
      </c>
      <c r="V67" s="1666">
        <f t="shared" si="103"/>
        <v>1.0027644216287244</v>
      </c>
      <c r="W67" s="1666">
        <f t="shared" si="103"/>
        <v>1.0027644218515404</v>
      </c>
      <c r="Y67" s="1669">
        <v>0</v>
      </c>
      <c r="Z67" s="1669">
        <v>0</v>
      </c>
      <c r="AB67" s="175"/>
      <c r="AC67" s="175"/>
      <c r="AD67" s="175"/>
      <c r="AE67" s="175"/>
      <c r="AF67" s="175"/>
      <c r="AG67" s="175"/>
    </row>
    <row r="68" spans="1:33" s="1401" customFormat="1" ht="12.75" customHeight="1">
      <c r="A68" s="157" t="s">
        <v>79</v>
      </c>
      <c r="B68" s="176"/>
      <c r="C68" s="176"/>
      <c r="D68" s="450">
        <f t="shared" ref="D68:N68" si="104">D67</f>
        <v>0.94796814064861978</v>
      </c>
      <c r="E68" s="450">
        <f t="shared" si="104"/>
        <v>1.0024514225051824</v>
      </c>
      <c r="F68" s="450">
        <f t="shared" si="104"/>
        <v>0.87000018159396586</v>
      </c>
      <c r="G68" s="450">
        <f t="shared" si="104"/>
        <v>1.3287048120660763</v>
      </c>
      <c r="H68" s="450">
        <f t="shared" si="104"/>
        <v>0.85745694393550742</v>
      </c>
      <c r="I68" s="450">
        <f t="shared" si="104"/>
        <v>1.0440086103802917</v>
      </c>
      <c r="J68" s="520">
        <f t="shared" si="104"/>
        <v>0.9375</v>
      </c>
      <c r="K68" s="520">
        <f t="shared" si="104"/>
        <v>0.99262446220036882</v>
      </c>
      <c r="L68" s="520">
        <f t="shared" si="104"/>
        <v>0.99475383373688453</v>
      </c>
      <c r="M68" s="520">
        <f t="shared" si="104"/>
        <v>1.0457905020813865</v>
      </c>
      <c r="N68" s="520">
        <f t="shared" si="104"/>
        <v>1.0241465445462115</v>
      </c>
      <c r="O68" s="520">
        <f t="shared" ref="O68" si="105">O67</f>
        <v>0.99033264824541367</v>
      </c>
      <c r="P68" s="1666">
        <f>+P66+$Y68</f>
        <v>1</v>
      </c>
      <c r="Q68" s="1666">
        <f>+Q66+$Y68</f>
        <v>1.0029781751616589</v>
      </c>
      <c r="R68" s="1666">
        <f>+R66+$Y68</f>
        <v>1.0027490847646083</v>
      </c>
      <c r="S68" s="1666">
        <f>+S66+$Y68</f>
        <v>1.0027654483643975</v>
      </c>
      <c r="T68" s="1666">
        <f>+T66+$Z68</f>
        <v>1.0027643574577449</v>
      </c>
      <c r="U68" s="1666">
        <f>+U66+$Z68</f>
        <v>1.0027644256394106</v>
      </c>
      <c r="V68" s="1666">
        <f>+V66+$Z68</f>
        <v>1.0027644216287244</v>
      </c>
      <c r="W68" s="1666">
        <f>+W66+$Z68</f>
        <v>1.0027644218515404</v>
      </c>
      <c r="Y68" s="1669">
        <v>0</v>
      </c>
      <c r="Z68" s="1669">
        <v>0</v>
      </c>
      <c r="AB68" s="175"/>
      <c r="AC68" s="175"/>
      <c r="AD68" s="175"/>
      <c r="AE68" s="175"/>
      <c r="AF68" s="175"/>
      <c r="AG68" s="175"/>
    </row>
    <row r="69" spans="1:33" s="1401" customFormat="1" ht="12.75" customHeight="1">
      <c r="A69" s="251"/>
      <c r="B69" s="176"/>
      <c r="C69" s="176"/>
      <c r="D69" s="709"/>
      <c r="E69" s="709"/>
      <c r="F69" s="709"/>
      <c r="G69" s="709"/>
      <c r="H69" s="716"/>
      <c r="I69" s="716"/>
      <c r="J69" s="717"/>
      <c r="K69" s="717"/>
      <c r="L69" s="717"/>
      <c r="M69" s="717"/>
      <c r="N69" s="717"/>
      <c r="O69" s="717"/>
      <c r="P69" s="710"/>
      <c r="Q69" s="710"/>
      <c r="R69" s="710"/>
      <c r="S69" s="710"/>
      <c r="T69" s="710"/>
      <c r="U69" s="710"/>
      <c r="V69" s="710"/>
      <c r="W69" s="710"/>
      <c r="AB69" s="175"/>
      <c r="AC69" s="175"/>
      <c r="AD69" s="175"/>
      <c r="AE69" s="175"/>
      <c r="AF69" s="175"/>
      <c r="AG69" s="175"/>
    </row>
    <row r="70" spans="1:33" s="14" customFormat="1" ht="12.75" customHeight="1">
      <c r="A70" s="251" t="s">
        <v>1372</v>
      </c>
      <c r="B70" s="2216"/>
      <c r="C70" s="2216"/>
      <c r="D70" s="1660">
        <f>+Q_IS!B48</f>
        <v>0.87082843492338691</v>
      </c>
      <c r="E70" s="1660">
        <f>+Q_IS!C48</f>
        <v>0.98410938101018586</v>
      </c>
      <c r="F70" s="1660">
        <f>+Q_IS!D48</f>
        <v>0.96681770094469244</v>
      </c>
      <c r="G70" s="1660">
        <f>+Q_IS!E48</f>
        <v>1.0771935432315807</v>
      </c>
      <c r="H70" s="1660">
        <f>+Q_IS!F48</f>
        <v>0.97308828355759769</v>
      </c>
      <c r="I70" s="1660">
        <f>+Q_IS!G48</f>
        <v>1.078861943860989</v>
      </c>
      <c r="J70" s="1661">
        <f>+Q_IS!H48</f>
        <v>0.94419531639262577</v>
      </c>
      <c r="K70" s="1661">
        <f>+Q_IS!I48</f>
        <v>1.0004436557231589</v>
      </c>
      <c r="L70" s="1661">
        <f>+Q_IS!J48</f>
        <v>1.0021922956467271</v>
      </c>
      <c r="M70" s="1661">
        <f>+Q_IS!K48</f>
        <v>1.1087748808522571</v>
      </c>
      <c r="N70" s="1661">
        <f>+Q_IS!L48</f>
        <v>0.94465408805031437</v>
      </c>
      <c r="O70" s="1661">
        <f>+Q_IS!M48</f>
        <v>0.95504009163802983</v>
      </c>
      <c r="P70" s="1663">
        <f t="shared" ref="P70:W70" si="106">CHOOSE(Scenario_Input,P71,P72,P73)</f>
        <v>0.99555995674486508</v>
      </c>
      <c r="Q70" s="1663">
        <f t="shared" si="106"/>
        <v>0.99218330131929544</v>
      </c>
      <c r="R70" s="1663">
        <f t="shared" si="106"/>
        <v>0.99244304404433925</v>
      </c>
      <c r="S70" s="1663">
        <f t="shared" si="106"/>
        <v>0.99242449099255037</v>
      </c>
      <c r="T70" s="1663">
        <f t="shared" si="106"/>
        <v>0.99242572786266969</v>
      </c>
      <c r="U70" s="1663">
        <f t="shared" si="106"/>
        <v>0.99242565055828713</v>
      </c>
      <c r="V70" s="1663">
        <f t="shared" si="106"/>
        <v>0.99242565510560377</v>
      </c>
      <c r="W70" s="1663">
        <f t="shared" si="106"/>
        <v>0.99242565485297496</v>
      </c>
      <c r="AB70" s="183"/>
      <c r="AC70" s="183"/>
      <c r="AD70" s="183"/>
      <c r="AE70" s="183"/>
      <c r="AF70" s="183"/>
      <c r="AG70" s="183"/>
    </row>
    <row r="71" spans="1:33" s="1401" customFormat="1" ht="12.75" customHeight="1">
      <c r="A71" s="157" t="s">
        <v>77</v>
      </c>
      <c r="B71" s="176"/>
      <c r="C71" s="176"/>
      <c r="D71" s="450">
        <f t="shared" ref="D71:N71" si="107">D70</f>
        <v>0.87082843492338691</v>
      </c>
      <c r="E71" s="450">
        <f t="shared" si="107"/>
        <v>0.98410938101018586</v>
      </c>
      <c r="F71" s="450">
        <f t="shared" si="107"/>
        <v>0.96681770094469244</v>
      </c>
      <c r="G71" s="450">
        <f t="shared" si="107"/>
        <v>1.0771935432315807</v>
      </c>
      <c r="H71" s="450">
        <f t="shared" si="107"/>
        <v>0.97308828355759769</v>
      </c>
      <c r="I71" s="450">
        <f t="shared" si="107"/>
        <v>1.078861943860989</v>
      </c>
      <c r="J71" s="520">
        <f t="shared" si="107"/>
        <v>0.94419531639262577</v>
      </c>
      <c r="K71" s="520">
        <f t="shared" si="107"/>
        <v>1.0004436557231589</v>
      </c>
      <c r="L71" s="520">
        <f t="shared" si="107"/>
        <v>1.0021922956467271</v>
      </c>
      <c r="M71" s="520">
        <f t="shared" si="107"/>
        <v>1.1087748808522571</v>
      </c>
      <c r="N71" s="520">
        <f t="shared" si="107"/>
        <v>0.94465408805031437</v>
      </c>
      <c r="O71" s="520">
        <f t="shared" ref="O71" si="108">O70</f>
        <v>0.95504009163802983</v>
      </c>
      <c r="P71" s="1666">
        <f>AVERAGE($D$71:N71)</f>
        <v>0.99555995674486508</v>
      </c>
      <c r="Q71" s="1666">
        <f>AVERAGE($D$71:O71)</f>
        <v>0.99218330131929544</v>
      </c>
      <c r="R71" s="1666">
        <f>AVERAGE($D$71:P71)</f>
        <v>0.99244304404433925</v>
      </c>
      <c r="S71" s="1666">
        <f>AVERAGE($D$71:Q71)</f>
        <v>0.99242449099255037</v>
      </c>
      <c r="T71" s="1666">
        <f>AVERAGE($D$71:R71)</f>
        <v>0.99242572786266969</v>
      </c>
      <c r="U71" s="1666">
        <f>AVERAGE($D$71:S71)</f>
        <v>0.99242565055828713</v>
      </c>
      <c r="V71" s="1666">
        <f>AVERAGE($D$71:T71)</f>
        <v>0.99242565510560377</v>
      </c>
      <c r="W71" s="1666">
        <f>AVERAGE($D$71:U71)</f>
        <v>0.99242565485297496</v>
      </c>
      <c r="Y71" s="14"/>
      <c r="Z71" s="14"/>
      <c r="AB71" s="175"/>
      <c r="AC71" s="175"/>
      <c r="AD71" s="175"/>
      <c r="AE71" s="175"/>
      <c r="AF71" s="175"/>
      <c r="AG71" s="175"/>
    </row>
    <row r="72" spans="1:33" s="1401" customFormat="1" ht="12.75" customHeight="1">
      <c r="A72" s="157" t="s">
        <v>78</v>
      </c>
      <c r="B72" s="176"/>
      <c r="C72" s="176"/>
      <c r="D72" s="450">
        <f t="shared" ref="D72:N72" si="109">D71</f>
        <v>0.87082843492338691</v>
      </c>
      <c r="E72" s="450">
        <f t="shared" si="109"/>
        <v>0.98410938101018586</v>
      </c>
      <c r="F72" s="450">
        <f t="shared" si="109"/>
        <v>0.96681770094469244</v>
      </c>
      <c r="G72" s="450">
        <f t="shared" si="109"/>
        <v>1.0771935432315807</v>
      </c>
      <c r="H72" s="450">
        <f t="shared" si="109"/>
        <v>0.97308828355759769</v>
      </c>
      <c r="I72" s="450">
        <f t="shared" si="109"/>
        <v>1.078861943860989</v>
      </c>
      <c r="J72" s="520">
        <f t="shared" si="109"/>
        <v>0.94419531639262577</v>
      </c>
      <c r="K72" s="520">
        <f t="shared" si="109"/>
        <v>1.0004436557231589</v>
      </c>
      <c r="L72" s="520">
        <f t="shared" si="109"/>
        <v>1.0021922956467271</v>
      </c>
      <c r="M72" s="520">
        <f t="shared" si="109"/>
        <v>1.1087748808522571</v>
      </c>
      <c r="N72" s="520">
        <f t="shared" si="109"/>
        <v>0.94465408805031437</v>
      </c>
      <c r="O72" s="520">
        <f t="shared" ref="O72" si="110">O71</f>
        <v>0.95504009163802983</v>
      </c>
      <c r="P72" s="1666">
        <f>+P71+$Y72</f>
        <v>0.99555995674486508</v>
      </c>
      <c r="Q72" s="1666">
        <f>+Q71+$Y72</f>
        <v>0.99218330131929544</v>
      </c>
      <c r="R72" s="1666">
        <f>+R71+$Y72</f>
        <v>0.99244304404433925</v>
      </c>
      <c r="S72" s="1666">
        <f>+S71+$Y72</f>
        <v>0.99242449099255037</v>
      </c>
      <c r="T72" s="1666">
        <f>+T71+$Z72</f>
        <v>0.99242572786266969</v>
      </c>
      <c r="U72" s="1666">
        <f>+U71+$Z72</f>
        <v>0.99242565055828713</v>
      </c>
      <c r="V72" s="1666">
        <f>+V71+$Z72</f>
        <v>0.99242565510560377</v>
      </c>
      <c r="W72" s="1666">
        <f>+W71+$Z72</f>
        <v>0.99242565485297496</v>
      </c>
      <c r="Y72" s="1669">
        <v>0</v>
      </c>
      <c r="Z72" s="1669">
        <v>0</v>
      </c>
      <c r="AB72" s="175"/>
      <c r="AC72" s="175"/>
      <c r="AD72" s="175"/>
      <c r="AE72" s="175"/>
      <c r="AF72" s="175"/>
      <c r="AG72" s="175"/>
    </row>
    <row r="73" spans="1:33" s="1401" customFormat="1" ht="12.75" customHeight="1">
      <c r="A73" s="157" t="s">
        <v>79</v>
      </c>
      <c r="B73" s="176"/>
      <c r="C73" s="176"/>
      <c r="D73" s="450">
        <f t="shared" ref="D73:N73" si="111">D72</f>
        <v>0.87082843492338691</v>
      </c>
      <c r="E73" s="450">
        <f t="shared" si="111"/>
        <v>0.98410938101018586</v>
      </c>
      <c r="F73" s="450">
        <f t="shared" si="111"/>
        <v>0.96681770094469244</v>
      </c>
      <c r="G73" s="450">
        <f t="shared" si="111"/>
        <v>1.0771935432315807</v>
      </c>
      <c r="H73" s="450">
        <f t="shared" si="111"/>
        <v>0.97308828355759769</v>
      </c>
      <c r="I73" s="450">
        <f t="shared" si="111"/>
        <v>1.078861943860989</v>
      </c>
      <c r="J73" s="520">
        <f t="shared" si="111"/>
        <v>0.94419531639262577</v>
      </c>
      <c r="K73" s="520">
        <f t="shared" si="111"/>
        <v>1.0004436557231589</v>
      </c>
      <c r="L73" s="520">
        <f t="shared" si="111"/>
        <v>1.0021922956467271</v>
      </c>
      <c r="M73" s="520">
        <f t="shared" si="111"/>
        <v>1.1087748808522571</v>
      </c>
      <c r="N73" s="520">
        <f t="shared" si="111"/>
        <v>0.94465408805031437</v>
      </c>
      <c r="O73" s="520">
        <f t="shared" ref="O73" si="112">O72</f>
        <v>0.95504009163802983</v>
      </c>
      <c r="P73" s="1666">
        <f>+P71+$Y73</f>
        <v>0.99555995674486508</v>
      </c>
      <c r="Q73" s="1666">
        <f>+Q71+$Y73</f>
        <v>0.99218330131929544</v>
      </c>
      <c r="R73" s="1666">
        <f>+R71+$Y73</f>
        <v>0.99244304404433925</v>
      </c>
      <c r="S73" s="1666">
        <f>+S71+$Y73</f>
        <v>0.99242449099255037</v>
      </c>
      <c r="T73" s="1666">
        <f>+T71+$Z73</f>
        <v>0.99242572786266969</v>
      </c>
      <c r="U73" s="1666">
        <f>+U71+$Z73</f>
        <v>0.99242565055828713</v>
      </c>
      <c r="V73" s="1666">
        <f>+V71+$Z73</f>
        <v>0.99242565510560377</v>
      </c>
      <c r="W73" s="1666">
        <f>+W71+$Z73</f>
        <v>0.99242565485297496</v>
      </c>
      <c r="Y73" s="1669">
        <v>0</v>
      </c>
      <c r="Z73" s="1669">
        <v>0</v>
      </c>
      <c r="AB73" s="175"/>
      <c r="AC73" s="175"/>
      <c r="AD73" s="175"/>
      <c r="AE73" s="175"/>
      <c r="AF73" s="175"/>
      <c r="AG73" s="175"/>
    </row>
    <row r="74" spans="1:33" s="1401" customFormat="1" ht="12.75" customHeight="1">
      <c r="A74" s="251"/>
      <c r="B74" s="176"/>
      <c r="C74" s="176"/>
      <c r="D74" s="709"/>
      <c r="E74" s="709"/>
      <c r="F74" s="709"/>
      <c r="G74" s="709"/>
      <c r="H74" s="716"/>
      <c r="I74" s="716"/>
      <c r="J74" s="717"/>
      <c r="K74" s="717"/>
      <c r="L74" s="717"/>
      <c r="M74" s="717"/>
      <c r="N74" s="717"/>
      <c r="O74" s="717"/>
      <c r="P74" s="1658"/>
      <c r="Q74" s="710"/>
      <c r="R74" s="710"/>
      <c r="S74" s="710"/>
      <c r="T74" s="710"/>
      <c r="U74" s="710"/>
      <c r="V74" s="710"/>
      <c r="W74" s="710"/>
      <c r="AB74" s="175"/>
      <c r="AC74" s="175"/>
      <c r="AD74" s="175"/>
      <c r="AE74" s="175"/>
      <c r="AF74" s="175"/>
      <c r="AG74" s="175"/>
    </row>
    <row r="75" spans="1:33" s="14" customFormat="1" ht="12.75" customHeight="1">
      <c r="A75" s="251" t="s">
        <v>1373</v>
      </c>
      <c r="B75" s="2216"/>
      <c r="C75" s="2216"/>
      <c r="D75" s="1660" t="str">
        <f>+Q_IS!B50</f>
        <v>NA</v>
      </c>
      <c r="E75" s="1660" t="str">
        <f>+Q_IS!C50</f>
        <v>NA</v>
      </c>
      <c r="F75" s="1660" t="str">
        <f>+Q_IS!D50</f>
        <v>NA</v>
      </c>
      <c r="G75" s="1660" t="str">
        <f>+Q_IS!E50</f>
        <v>NA</v>
      </c>
      <c r="H75" s="1660" t="str">
        <f>+Q_IS!F50</f>
        <v>NA</v>
      </c>
      <c r="I75" s="1660">
        <f>+Q_IS!G50</f>
        <v>0.88394793926247284</v>
      </c>
      <c r="J75" s="1661">
        <f>+Q_IS!H50</f>
        <v>0.56134723336006409</v>
      </c>
      <c r="K75" s="1661">
        <f>+Q_IS!I50</f>
        <v>0.67536454336147345</v>
      </c>
      <c r="L75" s="1661">
        <f>+Q_IS!J50</f>
        <v>0.99214365881032551</v>
      </c>
      <c r="M75" s="1661">
        <f>+Q_IS!K50</f>
        <v>1.1267605633802817</v>
      </c>
      <c r="N75" s="1661">
        <f>+Q_IS!L50</f>
        <v>0.89148219441770926</v>
      </c>
      <c r="O75" s="1661">
        <f>+Q_IS!M50</f>
        <v>0.78731547293603066</v>
      </c>
      <c r="P75" s="1663">
        <f t="shared" ref="P75:W75" si="113">CHOOSE(Scenario_Input,P76,P77,P78)</f>
        <v>1</v>
      </c>
      <c r="Q75" s="1663">
        <f t="shared" si="113"/>
        <v>1</v>
      </c>
      <c r="R75" s="1663">
        <f t="shared" si="113"/>
        <v>1</v>
      </c>
      <c r="S75" s="1663">
        <f t="shared" si="113"/>
        <v>1</v>
      </c>
      <c r="T75" s="1663">
        <f t="shared" si="113"/>
        <v>1</v>
      </c>
      <c r="U75" s="1663">
        <f t="shared" si="113"/>
        <v>1</v>
      </c>
      <c r="V75" s="1663">
        <f t="shared" si="113"/>
        <v>1</v>
      </c>
      <c r="W75" s="1663">
        <f t="shared" si="113"/>
        <v>1</v>
      </c>
      <c r="AB75" s="183"/>
      <c r="AC75" s="183"/>
      <c r="AD75" s="183"/>
      <c r="AE75" s="183"/>
      <c r="AF75" s="183"/>
      <c r="AG75" s="183"/>
    </row>
    <row r="76" spans="1:33" s="1401" customFormat="1" ht="12.75" customHeight="1">
      <c r="A76" s="157" t="s">
        <v>77</v>
      </c>
      <c r="B76" s="176"/>
      <c r="C76" s="176"/>
      <c r="D76" s="450" t="str">
        <f t="shared" ref="D76:N76" si="114">D75</f>
        <v>NA</v>
      </c>
      <c r="E76" s="450" t="str">
        <f t="shared" si="114"/>
        <v>NA</v>
      </c>
      <c r="F76" s="450" t="str">
        <f t="shared" si="114"/>
        <v>NA</v>
      </c>
      <c r="G76" s="450" t="str">
        <f t="shared" si="114"/>
        <v>NA</v>
      </c>
      <c r="H76" s="450" t="str">
        <f t="shared" si="114"/>
        <v>NA</v>
      </c>
      <c r="I76" s="450">
        <f t="shared" si="114"/>
        <v>0.88394793926247284</v>
      </c>
      <c r="J76" s="520">
        <f t="shared" si="114"/>
        <v>0.56134723336006409</v>
      </c>
      <c r="K76" s="520">
        <f t="shared" si="114"/>
        <v>0.67536454336147345</v>
      </c>
      <c r="L76" s="520">
        <f t="shared" si="114"/>
        <v>0.99214365881032551</v>
      </c>
      <c r="M76" s="520">
        <f t="shared" si="114"/>
        <v>1.1267605633802817</v>
      </c>
      <c r="N76" s="520">
        <f t="shared" si="114"/>
        <v>0.89148219441770926</v>
      </c>
      <c r="O76" s="520">
        <f t="shared" ref="O76" si="115">O75</f>
        <v>0.78731547293603066</v>
      </c>
      <c r="P76" s="1659">
        <v>1</v>
      </c>
      <c r="Q76" s="1659">
        <v>1</v>
      </c>
      <c r="R76" s="1659">
        <v>1</v>
      </c>
      <c r="S76" s="1659">
        <v>1</v>
      </c>
      <c r="T76" s="1659">
        <v>1</v>
      </c>
      <c r="U76" s="1659">
        <v>1</v>
      </c>
      <c r="V76" s="1659">
        <v>1</v>
      </c>
      <c r="W76" s="1659">
        <v>1</v>
      </c>
      <c r="Y76" s="14"/>
      <c r="Z76" s="14"/>
      <c r="AB76" s="175"/>
      <c r="AC76" s="175"/>
      <c r="AD76" s="175"/>
      <c r="AE76" s="175"/>
      <c r="AF76" s="175"/>
      <c r="AG76" s="175"/>
    </row>
    <row r="77" spans="1:33" s="1401" customFormat="1" ht="12.75" customHeight="1">
      <c r="A77" s="157" t="s">
        <v>78</v>
      </c>
      <c r="B77" s="176"/>
      <c r="C77" s="176"/>
      <c r="D77" s="450" t="str">
        <f t="shared" ref="D77:N77" si="116">D76</f>
        <v>NA</v>
      </c>
      <c r="E77" s="450" t="str">
        <f t="shared" si="116"/>
        <v>NA</v>
      </c>
      <c r="F77" s="450" t="str">
        <f t="shared" si="116"/>
        <v>NA</v>
      </c>
      <c r="G77" s="450" t="str">
        <f t="shared" si="116"/>
        <v>NA</v>
      </c>
      <c r="H77" s="450" t="str">
        <f t="shared" si="116"/>
        <v>NA</v>
      </c>
      <c r="I77" s="450">
        <f t="shared" si="116"/>
        <v>0.88394793926247284</v>
      </c>
      <c r="J77" s="520">
        <f t="shared" si="116"/>
        <v>0.56134723336006409</v>
      </c>
      <c r="K77" s="520">
        <f t="shared" si="116"/>
        <v>0.67536454336147345</v>
      </c>
      <c r="L77" s="520">
        <f t="shared" si="116"/>
        <v>0.99214365881032551</v>
      </c>
      <c r="M77" s="520">
        <f t="shared" si="116"/>
        <v>1.1267605633802817</v>
      </c>
      <c r="N77" s="520">
        <f t="shared" si="116"/>
        <v>0.89148219441770926</v>
      </c>
      <c r="O77" s="520">
        <f t="shared" ref="O77" si="117">O76</f>
        <v>0.78731547293603066</v>
      </c>
      <c r="P77" s="1666">
        <f>+P76+$Y77</f>
        <v>1</v>
      </c>
      <c r="Q77" s="1666">
        <f>+Q76+$Y77</f>
        <v>1</v>
      </c>
      <c r="R77" s="1666">
        <f>+R76+$Y77</f>
        <v>1</v>
      </c>
      <c r="S77" s="1666">
        <f>+S76+$Y77</f>
        <v>1</v>
      </c>
      <c r="T77" s="1666">
        <f>+T76+$Z77</f>
        <v>1</v>
      </c>
      <c r="U77" s="1666">
        <f>+U76+$Z77</f>
        <v>1</v>
      </c>
      <c r="V77" s="1666">
        <f>+V76+$Z77</f>
        <v>1</v>
      </c>
      <c r="W77" s="1666">
        <f>+W76+$Z77</f>
        <v>1</v>
      </c>
      <c r="Y77" s="1669">
        <v>0</v>
      </c>
      <c r="Z77" s="1669">
        <v>0</v>
      </c>
      <c r="AB77" s="175"/>
      <c r="AC77" s="175"/>
      <c r="AD77" s="175"/>
      <c r="AE77" s="175"/>
      <c r="AF77" s="175"/>
      <c r="AG77" s="175"/>
    </row>
    <row r="78" spans="1:33" s="1401" customFormat="1" ht="12.75" customHeight="1">
      <c r="A78" s="157" t="s">
        <v>79</v>
      </c>
      <c r="B78" s="176"/>
      <c r="C78" s="176"/>
      <c r="D78" s="450" t="str">
        <f t="shared" ref="D78:N78" si="118">D77</f>
        <v>NA</v>
      </c>
      <c r="E78" s="450" t="str">
        <f t="shared" si="118"/>
        <v>NA</v>
      </c>
      <c r="F78" s="450" t="str">
        <f t="shared" si="118"/>
        <v>NA</v>
      </c>
      <c r="G78" s="450" t="str">
        <f t="shared" si="118"/>
        <v>NA</v>
      </c>
      <c r="H78" s="450" t="str">
        <f t="shared" si="118"/>
        <v>NA</v>
      </c>
      <c r="I78" s="450">
        <f t="shared" si="118"/>
        <v>0.88394793926247284</v>
      </c>
      <c r="J78" s="520">
        <f t="shared" si="118"/>
        <v>0.56134723336006409</v>
      </c>
      <c r="K78" s="520">
        <f t="shared" si="118"/>
        <v>0.67536454336147345</v>
      </c>
      <c r="L78" s="520">
        <f t="shared" si="118"/>
        <v>0.99214365881032551</v>
      </c>
      <c r="M78" s="520">
        <f t="shared" si="118"/>
        <v>1.1267605633802817</v>
      </c>
      <c r="N78" s="520">
        <f t="shared" si="118"/>
        <v>0.89148219441770926</v>
      </c>
      <c r="O78" s="520">
        <f t="shared" ref="O78" si="119">O77</f>
        <v>0.78731547293603066</v>
      </c>
      <c r="P78" s="1666">
        <f>+P76+$Y78</f>
        <v>1</v>
      </c>
      <c r="Q78" s="1666">
        <f>+Q76+$Y78</f>
        <v>1</v>
      </c>
      <c r="R78" s="1666">
        <f>+R76+$Y78</f>
        <v>1</v>
      </c>
      <c r="S78" s="1666">
        <f>+S76+$Y78</f>
        <v>1</v>
      </c>
      <c r="T78" s="1666">
        <f>+T76+$Z78</f>
        <v>1</v>
      </c>
      <c r="U78" s="1666">
        <f>+U76+$Z78</f>
        <v>1</v>
      </c>
      <c r="V78" s="1666">
        <f>+V76+$Z78</f>
        <v>1</v>
      </c>
      <c r="W78" s="1666">
        <f>+W76+$Z78</f>
        <v>1</v>
      </c>
      <c r="Y78" s="1669">
        <v>0</v>
      </c>
      <c r="Z78" s="1669">
        <v>0</v>
      </c>
      <c r="AB78" s="175"/>
      <c r="AC78" s="175"/>
      <c r="AD78" s="175"/>
      <c r="AE78" s="175"/>
      <c r="AF78" s="175"/>
      <c r="AG78" s="175"/>
    </row>
    <row r="79" spans="1:33" s="1401" customFormat="1" ht="12.75" customHeight="1">
      <c r="A79" s="251"/>
      <c r="B79" s="176"/>
      <c r="C79" s="176"/>
      <c r="D79" s="709"/>
      <c r="E79" s="709"/>
      <c r="F79" s="709"/>
      <c r="G79" s="709"/>
      <c r="H79" s="716"/>
      <c r="I79" s="716"/>
      <c r="J79" s="717"/>
      <c r="K79" s="717"/>
      <c r="L79" s="717"/>
      <c r="M79" s="717"/>
      <c r="N79" s="717"/>
      <c r="O79" s="717"/>
      <c r="P79" s="710">
        <f>Q_IS!$N$61</f>
        <v>900.00000000000011</v>
      </c>
      <c r="Q79" s="710"/>
      <c r="R79" s="710"/>
      <c r="S79" s="710"/>
      <c r="T79" s="710"/>
      <c r="U79" s="710"/>
      <c r="V79" s="710"/>
      <c r="W79" s="710"/>
      <c r="AB79" s="175"/>
      <c r="AC79" s="175"/>
      <c r="AD79" s="175"/>
      <c r="AE79" s="175"/>
      <c r="AF79" s="175"/>
      <c r="AG79" s="175"/>
    </row>
    <row r="80" spans="1:33" s="14" customFormat="1" ht="12.75" customHeight="1">
      <c r="A80" s="251" t="s">
        <v>1027</v>
      </c>
      <c r="B80" s="719"/>
      <c r="C80" s="719"/>
      <c r="D80" s="1692"/>
      <c r="E80" s="1693" t="str">
        <f>IF(ISERROR(Q_IS!C61/Q_IS!B61-1),"NA",Q_IS!C61/Q_IS!B61-1)</f>
        <v>NA</v>
      </c>
      <c r="F80" s="1693" t="str">
        <f>IF(ISERROR(Q_IS!D61/Q_IS!C61-1),"NA",Q_IS!D61/Q_IS!C61-1)</f>
        <v>NA</v>
      </c>
      <c r="G80" s="1693" t="str">
        <f>IF(ISERROR(Q_IS!E61/Q_IS!D61-1),"NA",Q_IS!E61/Q_IS!D61-1)</f>
        <v>NA</v>
      </c>
      <c r="H80" s="1693" t="str">
        <f>IF(ISERROR(Q_IS!F61/Q_IS!E61-1),"NA",Q_IS!F61/Q_IS!E61-1)</f>
        <v>NA</v>
      </c>
      <c r="I80" s="1693" t="str">
        <f>IF(ISERROR(Q_IS!G61/Q_IS!F61-1),"NA",Q_IS!G61/Q_IS!F61-1)</f>
        <v>NA</v>
      </c>
      <c r="J80" s="1063">
        <f>Q_IS!H61/Q_IS!G61-1</f>
        <v>0.35249457700650755</v>
      </c>
      <c r="K80" s="1063">
        <f>Q_IS!I61/Q_IS!H61-1</f>
        <v>4.4907778668805243E-2</v>
      </c>
      <c r="L80" s="1063">
        <f>Q_IS!J61/Q_IS!I61-1</f>
        <v>0.7095165003837296</v>
      </c>
      <c r="M80" s="1063">
        <f>Q_IS!K61/Q_IS!J61-1</f>
        <v>0.43434343434343425</v>
      </c>
      <c r="N80" s="1063">
        <f>Q_IS!L61/Q_IS!K61-1</f>
        <v>0.3007824726134587</v>
      </c>
      <c r="O80" s="1063">
        <f>Q_IS!M61/Q_IS!L61-1</f>
        <v>0.10021655437921062</v>
      </c>
      <c r="P80" s="1778">
        <f t="shared" ref="P80:W80" si="120">CHOOSE(Scenario_Input,P81,P82,P83)</f>
        <v>-1.5855658829961674E-2</v>
      </c>
      <c r="Q80" s="1778">
        <f t="shared" si="120"/>
        <v>0</v>
      </c>
      <c r="R80" s="1778">
        <f t="shared" si="120"/>
        <v>2.0833333333333259E-2</v>
      </c>
      <c r="S80" s="1778">
        <f t="shared" si="120"/>
        <v>2.0408163265306145E-2</v>
      </c>
      <c r="T80" s="1778">
        <f t="shared" si="120"/>
        <v>2.0000000000000018E-2</v>
      </c>
      <c r="U80" s="1778">
        <f t="shared" si="120"/>
        <v>1.9607843137254832E-2</v>
      </c>
      <c r="V80" s="1778">
        <f t="shared" si="120"/>
        <v>1.9230769230769162E-2</v>
      </c>
      <c r="W80" s="1778">
        <f t="shared" si="120"/>
        <v>1.8867924528301883E-2</v>
      </c>
      <c r="Y80" s="1676"/>
      <c r="Z80" s="1676"/>
      <c r="AB80" s="251"/>
      <c r="AC80" s="183"/>
      <c r="AD80" s="183"/>
      <c r="AE80" s="183"/>
      <c r="AF80" s="183"/>
      <c r="AG80" s="183"/>
    </row>
    <row r="81" spans="1:35" ht="12.75" customHeight="1">
      <c r="A81" s="157" t="s">
        <v>77</v>
      </c>
      <c r="B81" s="949"/>
      <c r="C81" s="2218"/>
      <c r="D81" s="1694"/>
      <c r="E81" s="1694" t="str">
        <f t="shared" ref="E81:L83" si="121">E80</f>
        <v>NA</v>
      </c>
      <c r="F81" s="1694" t="str">
        <f t="shared" si="121"/>
        <v>NA</v>
      </c>
      <c r="G81" s="1694" t="str">
        <f t="shared" si="121"/>
        <v>NA</v>
      </c>
      <c r="H81" s="1694" t="str">
        <f t="shared" si="121"/>
        <v>NA</v>
      </c>
      <c r="I81" s="1694" t="str">
        <f t="shared" si="121"/>
        <v>NA</v>
      </c>
      <c r="J81" s="419">
        <f t="shared" si="121"/>
        <v>0.35249457700650755</v>
      </c>
      <c r="K81" s="419">
        <f t="shared" si="121"/>
        <v>4.4907778668805243E-2</v>
      </c>
      <c r="L81" s="419">
        <f t="shared" si="121"/>
        <v>0.7095165003837296</v>
      </c>
      <c r="M81" s="419">
        <f t="shared" ref="M81" si="122">M80</f>
        <v>0.43434343434343425</v>
      </c>
      <c r="N81" s="419">
        <f t="shared" ref="N81:O81" si="123">N80</f>
        <v>0.3007824726134587</v>
      </c>
      <c r="O81" s="419">
        <f t="shared" si="123"/>
        <v>0.10021655437921062</v>
      </c>
      <c r="P81" s="1659">
        <v>-1.5855658829961674E-2</v>
      </c>
      <c r="Q81" s="1666">
        <f>Financials!Q5/Financials!P5-1</f>
        <v>0</v>
      </c>
      <c r="R81" s="1666">
        <f>Financials!R5/Financials!Q5-1</f>
        <v>2.0833333333333259E-2</v>
      </c>
      <c r="S81" s="1666">
        <f>Financials!S5/Financials!R5-1</f>
        <v>2.0408163265306145E-2</v>
      </c>
      <c r="T81" s="1666">
        <f>Financials!T5/Financials!S5-1</f>
        <v>2.0000000000000018E-2</v>
      </c>
      <c r="U81" s="1666">
        <f>Financials!U5/Financials!T5-1</f>
        <v>1.9607843137254832E-2</v>
      </c>
      <c r="V81" s="1666">
        <f>Financials!V5/Financials!U5-1</f>
        <v>1.9230769230769162E-2</v>
      </c>
      <c r="W81" s="1666">
        <f>Financials!W5/Financials!V5-1</f>
        <v>1.8867924528301883E-2</v>
      </c>
      <c r="Y81" s="79"/>
      <c r="Z81" s="79"/>
      <c r="AB81" s="54"/>
      <c r="AC81" s="175"/>
      <c r="AD81" s="175"/>
      <c r="AE81" s="175"/>
      <c r="AF81" s="175"/>
      <c r="AG81" s="175"/>
    </row>
    <row r="82" spans="1:35" ht="12.75" customHeight="1">
      <c r="A82" s="157" t="s">
        <v>78</v>
      </c>
      <c r="B82" s="949"/>
      <c r="C82" s="2218"/>
      <c r="D82" s="1694"/>
      <c r="E82" s="1694" t="str">
        <f t="shared" si="121"/>
        <v>NA</v>
      </c>
      <c r="F82" s="1694" t="str">
        <f t="shared" si="121"/>
        <v>NA</v>
      </c>
      <c r="G82" s="1694" t="str">
        <f t="shared" si="121"/>
        <v>NA</v>
      </c>
      <c r="H82" s="1694" t="str">
        <f t="shared" si="121"/>
        <v>NA</v>
      </c>
      <c r="I82" s="1694" t="str">
        <f t="shared" si="121"/>
        <v>NA</v>
      </c>
      <c r="J82" s="419">
        <f t="shared" si="121"/>
        <v>0.35249457700650755</v>
      </c>
      <c r="K82" s="419">
        <f t="shared" si="121"/>
        <v>4.4907778668805243E-2</v>
      </c>
      <c r="L82" s="419">
        <f t="shared" si="121"/>
        <v>0.7095165003837296</v>
      </c>
      <c r="M82" s="419">
        <f t="shared" ref="M82" si="124">M81</f>
        <v>0.43434343434343425</v>
      </c>
      <c r="N82" s="419">
        <f t="shared" ref="N82:O82" si="125">N81</f>
        <v>0.3007824726134587</v>
      </c>
      <c r="O82" s="419">
        <f t="shared" si="125"/>
        <v>0.10021655437921062</v>
      </c>
      <c r="P82" s="1666">
        <f>+P81*$Y82</f>
        <v>-1.7441224712957844E-2</v>
      </c>
      <c r="Q82" s="1666">
        <f>+Q81*$Y82</f>
        <v>0</v>
      </c>
      <c r="R82" s="1666">
        <f>+R81*$Y82</f>
        <v>2.2916666666666589E-2</v>
      </c>
      <c r="S82" s="1666">
        <f>+S81*$Y82</f>
        <v>2.2448979591836761E-2</v>
      </c>
      <c r="T82" s="1666">
        <f>+T81*$Z82</f>
        <v>2.2000000000000023E-2</v>
      </c>
      <c r="U82" s="1666">
        <f>+U81*$Z82</f>
        <v>2.1568627450980319E-2</v>
      </c>
      <c r="V82" s="1666">
        <f>+V81*$Z82</f>
        <v>2.1153846153846079E-2</v>
      </c>
      <c r="W82" s="1666">
        <f>+W81*$Z82</f>
        <v>2.0754716981132071E-2</v>
      </c>
      <c r="Y82" s="1669">
        <v>1.1000000000000001</v>
      </c>
      <c r="Z82" s="1669">
        <v>1.1000000000000001</v>
      </c>
      <c r="AB82" s="54"/>
      <c r="AC82" s="175"/>
      <c r="AD82" s="175"/>
      <c r="AE82" s="175"/>
      <c r="AF82" s="175"/>
      <c r="AG82" s="175"/>
    </row>
    <row r="83" spans="1:35" ht="12.75" customHeight="1">
      <c r="A83" s="157" t="s">
        <v>79</v>
      </c>
      <c r="B83" s="949"/>
      <c r="C83" s="2218"/>
      <c r="D83" s="1694"/>
      <c r="E83" s="1694" t="str">
        <f t="shared" si="121"/>
        <v>NA</v>
      </c>
      <c r="F83" s="1694" t="str">
        <f t="shared" si="121"/>
        <v>NA</v>
      </c>
      <c r="G83" s="1694" t="str">
        <f t="shared" si="121"/>
        <v>NA</v>
      </c>
      <c r="H83" s="1694" t="str">
        <f t="shared" si="121"/>
        <v>NA</v>
      </c>
      <c r="I83" s="1694" t="str">
        <f t="shared" si="121"/>
        <v>NA</v>
      </c>
      <c r="J83" s="419">
        <f t="shared" si="121"/>
        <v>0.35249457700650755</v>
      </c>
      <c r="K83" s="419">
        <f t="shared" si="121"/>
        <v>4.4907778668805243E-2</v>
      </c>
      <c r="L83" s="419">
        <f t="shared" si="121"/>
        <v>0.7095165003837296</v>
      </c>
      <c r="M83" s="419">
        <f t="shared" ref="M83" si="126">M82</f>
        <v>0.43434343434343425</v>
      </c>
      <c r="N83" s="419">
        <f t="shared" ref="N83:O83" si="127">N82</f>
        <v>0.3007824726134587</v>
      </c>
      <c r="O83" s="419">
        <f t="shared" si="127"/>
        <v>0.10021655437921062</v>
      </c>
      <c r="P83" s="1666">
        <f>+P81*$Y83</f>
        <v>-1.4270092946965508E-2</v>
      </c>
      <c r="Q83" s="1666">
        <f t="shared" ref="Q83:W83" si="128">+Q81*$Y83</f>
        <v>0</v>
      </c>
      <c r="R83" s="1666">
        <f t="shared" si="128"/>
        <v>1.8749999999999933E-2</v>
      </c>
      <c r="S83" s="1666">
        <f t="shared" si="128"/>
        <v>1.8367346938775533E-2</v>
      </c>
      <c r="T83" s="1666">
        <f t="shared" si="128"/>
        <v>1.8000000000000016E-2</v>
      </c>
      <c r="U83" s="1666">
        <f t="shared" si="128"/>
        <v>1.7647058823529349E-2</v>
      </c>
      <c r="V83" s="1666">
        <f t="shared" si="128"/>
        <v>1.7307692307692246E-2</v>
      </c>
      <c r="W83" s="1666">
        <f t="shared" si="128"/>
        <v>1.6981132075471694E-2</v>
      </c>
      <c r="Y83" s="1669">
        <v>0.9</v>
      </c>
      <c r="Z83" s="1669">
        <v>0.9</v>
      </c>
      <c r="AB83" s="54"/>
      <c r="AC83" s="175"/>
      <c r="AD83" s="175"/>
      <c r="AE83" s="175"/>
      <c r="AF83" s="175"/>
      <c r="AG83" s="175"/>
    </row>
    <row r="84" spans="1:35">
      <c r="B84" s="260"/>
      <c r="C84" s="260"/>
      <c r="D84" s="260"/>
      <c r="E84" s="260"/>
      <c r="F84" s="260"/>
      <c r="G84" s="260"/>
      <c r="H84" s="260"/>
      <c r="I84" s="260"/>
      <c r="J84" s="260"/>
      <c r="K84" s="260"/>
      <c r="L84" s="260"/>
      <c r="M84" s="260"/>
      <c r="N84" s="260"/>
      <c r="O84" s="260"/>
      <c r="P84" s="260"/>
      <c r="Q84" s="260"/>
      <c r="R84" s="260"/>
      <c r="S84" s="260"/>
      <c r="T84" s="260"/>
      <c r="U84" s="260"/>
      <c r="V84" s="260"/>
      <c r="W84" s="260"/>
    </row>
    <row r="85" spans="1:35" s="1401" customFormat="1" ht="12.75" customHeight="1">
      <c r="A85" s="704" t="s">
        <v>1553</v>
      </c>
      <c r="B85" s="720">
        <f t="shared" ref="B85" si="129">C85-1</f>
        <v>2004</v>
      </c>
      <c r="C85" s="720">
        <f t="shared" ref="C85" si="130">D85-1</f>
        <v>2005</v>
      </c>
      <c r="D85" s="720">
        <f t="shared" ref="D85" si="131">E85-1</f>
        <v>2006</v>
      </c>
      <c r="E85" s="720">
        <f t="shared" ref="E85" si="132">F85-1</f>
        <v>2007</v>
      </c>
      <c r="F85" s="720">
        <f t="shared" ref="F85" si="133">G85-1</f>
        <v>2008</v>
      </c>
      <c r="G85" s="720">
        <f t="shared" ref="G85" si="134">H85-1</f>
        <v>2009</v>
      </c>
      <c r="H85" s="720">
        <f t="shared" ref="H85" si="135">I85-1</f>
        <v>2010</v>
      </c>
      <c r="I85" s="720">
        <f t="shared" ref="I85" si="136">J85-1</f>
        <v>2011</v>
      </c>
      <c r="J85" s="720">
        <f t="shared" ref="J85" si="137">K85-1</f>
        <v>2012</v>
      </c>
      <c r="K85" s="720">
        <f t="shared" ref="K85" si="138">L85-1</f>
        <v>2013</v>
      </c>
      <c r="L85" s="720">
        <f t="shared" ref="L85" si="139">M85-1</f>
        <v>2014</v>
      </c>
      <c r="M85" s="720">
        <f t="shared" ref="M85" si="140">N85-1</f>
        <v>2015</v>
      </c>
      <c r="N85" s="720">
        <f t="shared" ref="N85:O85" si="141">O85-1</f>
        <v>2016</v>
      </c>
      <c r="O85" s="1681">
        <f t="shared" si="141"/>
        <v>2017</v>
      </c>
      <c r="P85" s="2214">
        <f t="shared" ref="P85:W85" si="142">+P$13</f>
        <v>2018</v>
      </c>
      <c r="Q85" s="2214">
        <f t="shared" si="142"/>
        <v>2019</v>
      </c>
      <c r="R85" s="2214">
        <f t="shared" si="142"/>
        <v>2020</v>
      </c>
      <c r="S85" s="2214">
        <f t="shared" si="142"/>
        <v>2021</v>
      </c>
      <c r="T85" s="2214">
        <f t="shared" si="142"/>
        <v>2022</v>
      </c>
      <c r="U85" s="2214">
        <f t="shared" si="142"/>
        <v>2023</v>
      </c>
      <c r="V85" s="2214">
        <f t="shared" si="142"/>
        <v>2024</v>
      </c>
      <c r="W85" s="2214">
        <f t="shared" si="142"/>
        <v>2025</v>
      </c>
      <c r="X85" s="706"/>
      <c r="Y85" s="706"/>
      <c r="Z85" s="706"/>
      <c r="AB85" s="481"/>
      <c r="AC85" s="481"/>
      <c r="AD85" s="481"/>
      <c r="AE85" s="481"/>
      <c r="AF85" s="481"/>
      <c r="AG85" s="481"/>
      <c r="AH85" s="481"/>
      <c r="AI85" s="481"/>
    </row>
    <row r="86" spans="1:35" s="14" customFormat="1" ht="12.75" customHeight="1">
      <c r="A86" s="1656" t="s">
        <v>1366</v>
      </c>
      <c r="B86" s="2216"/>
      <c r="C86" s="2216"/>
      <c r="D86" s="1673"/>
      <c r="E86" s="1673"/>
      <c r="F86" s="1673"/>
      <c r="G86" s="1673"/>
      <c r="H86" s="1674"/>
      <c r="I86" s="1674"/>
      <c r="J86" s="1675"/>
      <c r="K86" s="1675"/>
      <c r="L86" s="1675"/>
      <c r="M86" s="1675"/>
      <c r="N86" s="1675"/>
      <c r="O86" s="1675"/>
      <c r="P86" s="1662"/>
      <c r="Q86" s="1662"/>
      <c r="R86" s="1662"/>
      <c r="S86" s="1662"/>
      <c r="T86" s="1662"/>
      <c r="U86" s="1662"/>
      <c r="V86" s="1662"/>
      <c r="W86" s="1662"/>
      <c r="AB86" s="183"/>
      <c r="AC86" s="183"/>
      <c r="AD86" s="183"/>
      <c r="AE86" s="183"/>
      <c r="AF86" s="183"/>
      <c r="AG86" s="183"/>
    </row>
    <row r="87" spans="1:35" s="1401" customFormat="1" ht="12.75" customHeight="1">
      <c r="A87" s="236" t="s">
        <v>1144</v>
      </c>
      <c r="B87" s="176"/>
      <c r="C87" s="176"/>
      <c r="D87" s="450">
        <f>+Q_IS!B23</f>
        <v>0.4276852678359338</v>
      </c>
      <c r="E87" s="450">
        <f>+Q_IS!C23</f>
        <v>0.50519321281368457</v>
      </c>
      <c r="F87" s="450">
        <f>+Q_IS!D23</f>
        <v>0.40447370691386925</v>
      </c>
      <c r="G87" s="450">
        <f>+Q_IS!E23</f>
        <v>0.28880521854426672</v>
      </c>
      <c r="H87" s="450">
        <f>+Q_IS!F23</f>
        <v>0.44983986789117447</v>
      </c>
      <c r="I87" s="450">
        <f>+Q_IS!G23</f>
        <v>0.49178107921508046</v>
      </c>
      <c r="J87" s="520">
        <f>+Q_IS!H23</f>
        <v>0.56000000000000005</v>
      </c>
      <c r="K87" s="520">
        <f>+Q_IS!I23</f>
        <v>0.56999999999999995</v>
      </c>
      <c r="L87" s="520">
        <f>+Q_IS!J23</f>
        <v>0.48</v>
      </c>
      <c r="M87" s="520">
        <f>+Q_IS!K23</f>
        <v>0.49</v>
      </c>
      <c r="N87" s="520">
        <f>+Q_IS!L23</f>
        <v>0.5</v>
      </c>
      <c r="O87" s="520">
        <f>+Q_IS!M23</f>
        <v>0.63</v>
      </c>
      <c r="P87" s="1659">
        <v>0.49</v>
      </c>
      <c r="Q87" s="1666">
        <f t="shared" ref="Q87:S88" si="143">+P87+$Y87</f>
        <v>0.49</v>
      </c>
      <c r="R87" s="1666">
        <f t="shared" si="143"/>
        <v>0.49</v>
      </c>
      <c r="S87" s="1666">
        <f t="shared" si="143"/>
        <v>0.49</v>
      </c>
      <c r="T87" s="1666">
        <f t="shared" ref="T87:W88" si="144">+S87+$Z87</f>
        <v>0.49</v>
      </c>
      <c r="U87" s="1666">
        <f t="shared" si="144"/>
        <v>0.49</v>
      </c>
      <c r="V87" s="1666">
        <f t="shared" si="144"/>
        <v>0.49</v>
      </c>
      <c r="W87" s="1666">
        <f t="shared" si="144"/>
        <v>0.49</v>
      </c>
      <c r="Y87" s="1669">
        <v>0</v>
      </c>
      <c r="Z87" s="1669">
        <v>0</v>
      </c>
      <c r="AB87" s="175"/>
      <c r="AC87" s="175"/>
      <c r="AD87" s="175"/>
      <c r="AE87" s="175"/>
      <c r="AF87" s="175"/>
      <c r="AG87" s="175"/>
    </row>
    <row r="88" spans="1:35" s="1401" customFormat="1" ht="12.75" customHeight="1">
      <c r="A88" s="236" t="s">
        <v>1367</v>
      </c>
      <c r="B88" s="176"/>
      <c r="C88" s="176"/>
      <c r="D88" s="450">
        <f>+Q_IS!B24</f>
        <v>0.57231473216406625</v>
      </c>
      <c r="E88" s="450">
        <f>+Q_IS!C24</f>
        <v>0.49480678718631554</v>
      </c>
      <c r="F88" s="450">
        <f>+Q_IS!D24</f>
        <v>0.5955262930861307</v>
      </c>
      <c r="G88" s="450">
        <f>+Q_IS!E24</f>
        <v>0.71119478145573334</v>
      </c>
      <c r="H88" s="450">
        <f>+Q_IS!F24</f>
        <v>0.55016013210882564</v>
      </c>
      <c r="I88" s="450">
        <f>+Q_IS!G24</f>
        <v>0.50821892078491948</v>
      </c>
      <c r="J88" s="520">
        <f>+Q_IS!H24</f>
        <v>0.44</v>
      </c>
      <c r="K88" s="520">
        <f>+Q_IS!I24</f>
        <v>0.43</v>
      </c>
      <c r="L88" s="520">
        <f>+Q_IS!J24</f>
        <v>0.52</v>
      </c>
      <c r="M88" s="520">
        <f>+Q_IS!K24</f>
        <v>0.51</v>
      </c>
      <c r="N88" s="520">
        <f>+Q_IS!L24</f>
        <v>0.5</v>
      </c>
      <c r="O88" s="520">
        <f>+Q_IS!M24</f>
        <v>0.37</v>
      </c>
      <c r="P88" s="1686">
        <f>1-P87</f>
        <v>0.51</v>
      </c>
      <c r="Q88" s="1666">
        <f t="shared" si="143"/>
        <v>0.51</v>
      </c>
      <c r="R88" s="1666">
        <f t="shared" si="143"/>
        <v>0.51</v>
      </c>
      <c r="S88" s="1666">
        <f t="shared" si="143"/>
        <v>0.51</v>
      </c>
      <c r="T88" s="1666">
        <f t="shared" si="144"/>
        <v>0.51</v>
      </c>
      <c r="U88" s="1666">
        <f t="shared" si="144"/>
        <v>0.51</v>
      </c>
      <c r="V88" s="1666">
        <f t="shared" si="144"/>
        <v>0.51</v>
      </c>
      <c r="W88" s="1666">
        <f t="shared" si="144"/>
        <v>0.51</v>
      </c>
      <c r="Y88" s="1669">
        <v>0</v>
      </c>
      <c r="Z88" s="1669">
        <v>0</v>
      </c>
      <c r="AB88" s="175"/>
      <c r="AC88" s="175"/>
      <c r="AD88" s="175"/>
      <c r="AE88" s="175"/>
      <c r="AF88" s="175"/>
      <c r="AG88" s="175"/>
    </row>
    <row r="89" spans="1:35" s="1401" customFormat="1" ht="12.75" customHeight="1">
      <c r="A89" s="1656" t="s">
        <v>1144</v>
      </c>
      <c r="B89" s="176"/>
      <c r="C89" s="176"/>
      <c r="D89" s="709"/>
      <c r="E89" s="709"/>
      <c r="F89" s="709"/>
      <c r="G89" s="709"/>
      <c r="H89" s="716"/>
      <c r="I89" s="716"/>
      <c r="J89" s="717"/>
      <c r="K89" s="717"/>
      <c r="L89" s="717"/>
      <c r="M89" s="717"/>
      <c r="N89" s="717"/>
      <c r="O89" s="717"/>
      <c r="P89" s="1658"/>
      <c r="Q89" s="1658"/>
      <c r="R89" s="1658"/>
      <c r="S89" s="1658"/>
      <c r="T89" s="1658"/>
      <c r="U89" s="1658"/>
      <c r="V89" s="1658"/>
      <c r="W89" s="1658"/>
      <c r="AB89" s="175"/>
      <c r="AC89" s="175"/>
      <c r="AD89" s="175"/>
      <c r="AE89" s="175"/>
      <c r="AF89" s="175"/>
      <c r="AG89" s="175"/>
    </row>
    <row r="90" spans="1:35" s="1401" customFormat="1" ht="12.75" customHeight="1">
      <c r="A90" s="236" t="s">
        <v>1368</v>
      </c>
      <c r="B90" s="176"/>
      <c r="C90" s="176"/>
      <c r="D90" s="450">
        <f>+Q_IS!B26</f>
        <v>0.33033475300523807</v>
      </c>
      <c r="E90" s="450">
        <f>+Q_IS!C26</f>
        <v>0.29209382830317437</v>
      </c>
      <c r="F90" s="450">
        <f>+Q_IS!D26</f>
        <v>0.33139055176760629</v>
      </c>
      <c r="G90" s="450">
        <f>+Q_IS!E26</f>
        <v>0.11292200267474503</v>
      </c>
      <c r="H90" s="450">
        <f>+Q_IS!F26</f>
        <v>7.6256089974357191E-2</v>
      </c>
      <c r="I90" s="450">
        <f>+Q_IS!G26</f>
        <v>6.7940644633955563E-2</v>
      </c>
      <c r="J90" s="520">
        <f>+Q_IS!H26</f>
        <v>7.4282052734512355E-2</v>
      </c>
      <c r="K90" s="520">
        <f>+Q_IS!I26</f>
        <v>6.8787454338816209E-2</v>
      </c>
      <c r="L90" s="520">
        <f>+Q_IS!J26</f>
        <v>7.149252370141862E-2</v>
      </c>
      <c r="M90" s="520">
        <f>+Q_IS!K26</f>
        <v>8.2794872356302215E-2</v>
      </c>
      <c r="N90" s="520">
        <f>+Q_IS!L26</f>
        <v>8.1064238321526774E-2</v>
      </c>
      <c r="O90" s="520">
        <f>+Q_IS!M26</f>
        <v>0.10519530674635287</v>
      </c>
      <c r="P90" s="1666">
        <f>1-P91</f>
        <v>8.9684805808060486E-2</v>
      </c>
      <c r="Q90" s="1666">
        <f t="shared" ref="Q90:W90" si="145">1-Q91</f>
        <v>8.9684805808060486E-2</v>
      </c>
      <c r="R90" s="1666">
        <f t="shared" si="145"/>
        <v>8.9684805808060486E-2</v>
      </c>
      <c r="S90" s="1666">
        <f t="shared" si="145"/>
        <v>8.9684805808060486E-2</v>
      </c>
      <c r="T90" s="1666">
        <f t="shared" si="145"/>
        <v>8.9684805808060486E-2</v>
      </c>
      <c r="U90" s="1666">
        <f t="shared" si="145"/>
        <v>8.9684805808060486E-2</v>
      </c>
      <c r="V90" s="1666">
        <f t="shared" si="145"/>
        <v>8.9684805808060486E-2</v>
      </c>
      <c r="W90" s="1666">
        <f t="shared" si="145"/>
        <v>8.9684805808060486E-2</v>
      </c>
      <c r="Y90" s="1669">
        <v>0</v>
      </c>
      <c r="Z90" s="1669">
        <v>0</v>
      </c>
      <c r="AB90" s="175"/>
      <c r="AC90" s="175"/>
      <c r="AD90" s="175"/>
      <c r="AE90" s="175"/>
      <c r="AF90" s="175"/>
      <c r="AG90" s="175"/>
    </row>
    <row r="91" spans="1:35" s="1401" customFormat="1" ht="12.75" customHeight="1">
      <c r="A91" s="236" t="s">
        <v>1369</v>
      </c>
      <c r="B91" s="176"/>
      <c r="C91" s="176"/>
      <c r="D91" s="450">
        <f>+Q_IS!B27</f>
        <v>0.66966524699476193</v>
      </c>
      <c r="E91" s="450">
        <f>+Q_IS!C27</f>
        <v>0.70790617169682557</v>
      </c>
      <c r="F91" s="450">
        <f>+Q_IS!D27</f>
        <v>0.66860944823239377</v>
      </c>
      <c r="G91" s="450">
        <f>+Q_IS!E27</f>
        <v>0.88707799732525494</v>
      </c>
      <c r="H91" s="450">
        <f>+Q_IS!F27</f>
        <v>0.92374391002564282</v>
      </c>
      <c r="I91" s="450">
        <f>+Q_IS!G27</f>
        <v>0.93205935536604445</v>
      </c>
      <c r="J91" s="520">
        <f>+Q_IS!H27</f>
        <v>0.92571794726548762</v>
      </c>
      <c r="K91" s="520">
        <f>+Q_IS!I27</f>
        <v>0.93121254566118383</v>
      </c>
      <c r="L91" s="520">
        <f>+Q_IS!J27</f>
        <v>0.92850747629858132</v>
      </c>
      <c r="M91" s="520">
        <f>+Q_IS!K27</f>
        <v>0.91720512764369788</v>
      </c>
      <c r="N91" s="520">
        <f>+Q_IS!L27</f>
        <v>0.91893576167847324</v>
      </c>
      <c r="O91" s="520">
        <f>+Q_IS!M27</f>
        <v>0.8948046932536472</v>
      </c>
      <c r="P91" s="1659">
        <f>+AVERAGE(M91:O91)</f>
        <v>0.91031519419193951</v>
      </c>
      <c r="Q91" s="1666">
        <f>+P91+$Y91</f>
        <v>0.91031519419193951</v>
      </c>
      <c r="R91" s="1666">
        <f>+Q91+$Y91</f>
        <v>0.91031519419193951</v>
      </c>
      <c r="S91" s="1666">
        <f>+R91+$Y91</f>
        <v>0.91031519419193951</v>
      </c>
      <c r="T91" s="1666">
        <f t="shared" ref="T91:W91" si="146">+S91+$Z91</f>
        <v>0.91031519419193951</v>
      </c>
      <c r="U91" s="1666">
        <f t="shared" si="146"/>
        <v>0.91031519419193951</v>
      </c>
      <c r="V91" s="1666">
        <f t="shared" si="146"/>
        <v>0.91031519419193951</v>
      </c>
      <c r="W91" s="1666">
        <f t="shared" si="146"/>
        <v>0.91031519419193951</v>
      </c>
      <c r="Y91" s="1669">
        <v>0</v>
      </c>
      <c r="Z91" s="1669">
        <v>0</v>
      </c>
      <c r="AB91" s="175"/>
      <c r="AC91" s="175"/>
      <c r="AD91" s="175"/>
      <c r="AE91" s="175"/>
      <c r="AF91" s="175"/>
      <c r="AG91" s="175"/>
    </row>
    <row r="92" spans="1:35" s="1401" customFormat="1" ht="12.75" customHeight="1">
      <c r="A92" s="1656" t="s">
        <v>1367</v>
      </c>
      <c r="B92" s="176"/>
      <c r="C92" s="176"/>
      <c r="D92" s="709"/>
      <c r="E92" s="709"/>
      <c r="F92" s="709"/>
      <c r="G92" s="709"/>
      <c r="H92" s="716"/>
      <c r="I92" s="716"/>
      <c r="J92" s="717"/>
      <c r="K92" s="717"/>
      <c r="L92" s="717"/>
      <c r="M92" s="717"/>
      <c r="N92" s="717"/>
      <c r="O92" s="717"/>
      <c r="P92" s="1658"/>
      <c r="Q92" s="1658"/>
      <c r="R92" s="1658"/>
      <c r="S92" s="1658"/>
      <c r="T92" s="1658"/>
      <c r="U92" s="1658"/>
      <c r="V92" s="1658"/>
      <c r="W92" s="1658"/>
      <c r="AB92" s="175"/>
      <c r="AC92" s="175"/>
      <c r="AD92" s="175"/>
      <c r="AE92" s="175"/>
      <c r="AF92" s="175"/>
      <c r="AG92" s="175"/>
    </row>
    <row r="93" spans="1:35" s="1401" customFormat="1" ht="12.75" customHeight="1">
      <c r="A93" s="157" t="s">
        <v>160</v>
      </c>
      <c r="B93" s="176"/>
      <c r="C93" s="176"/>
      <c r="D93" s="450">
        <f>+Q_IS!B29</f>
        <v>0.6774047727259378</v>
      </c>
      <c r="E93" s="450">
        <f>+Q_IS!C29</f>
        <v>0.32319463185354824</v>
      </c>
      <c r="F93" s="450">
        <f>+Q_IS!D29</f>
        <v>0.40925467678131056</v>
      </c>
      <c r="G93" s="450">
        <f>+Q_IS!E29</f>
        <v>0.32982237789145313</v>
      </c>
      <c r="H93" s="450">
        <f>+Q_IS!F29</f>
        <v>0.32521612843297987</v>
      </c>
      <c r="I93" s="450">
        <f>+Q_IS!G29</f>
        <v>0.42059598242139884</v>
      </c>
      <c r="J93" s="520">
        <f>+Q_IS!H29</f>
        <v>0.43181018717449199</v>
      </c>
      <c r="K93" s="520">
        <f>+Q_IS!I29</f>
        <v>0.47264630636719696</v>
      </c>
      <c r="L93" s="520">
        <f>+Q_IS!J29</f>
        <v>0.4435619471281535</v>
      </c>
      <c r="M93" s="520">
        <f>+Q_IS!K29</f>
        <v>0.47481059332696784</v>
      </c>
      <c r="N93" s="520">
        <f>+Q_IS!L29</f>
        <v>0.50581598824942686</v>
      </c>
      <c r="O93" s="520">
        <f>+Q_IS!M29</f>
        <v>0.56686822210603605</v>
      </c>
      <c r="P93" s="1666">
        <f>+AVERAGE(M93:O93)</f>
        <v>0.51583160122747695</v>
      </c>
      <c r="Q93" s="1666">
        <f t="shared" ref="Q93:S95" si="147">+P93+$Y93</f>
        <v>0.51583160122747695</v>
      </c>
      <c r="R93" s="1666">
        <f t="shared" si="147"/>
        <v>0.51583160122747695</v>
      </c>
      <c r="S93" s="1666">
        <f t="shared" si="147"/>
        <v>0.51583160122747695</v>
      </c>
      <c r="T93" s="1666">
        <f t="shared" ref="T93:W95" si="148">+S93+$Z93</f>
        <v>0.51583160122747695</v>
      </c>
      <c r="U93" s="1666">
        <f t="shared" si="148"/>
        <v>0.51583160122747695</v>
      </c>
      <c r="V93" s="1666">
        <f t="shared" si="148"/>
        <v>0.51583160122747695</v>
      </c>
      <c r="W93" s="1666">
        <f t="shared" si="148"/>
        <v>0.51583160122747695</v>
      </c>
      <c r="Y93" s="1669">
        <v>0</v>
      </c>
      <c r="Z93" s="1669">
        <v>0</v>
      </c>
      <c r="AB93" s="175"/>
      <c r="AC93" s="175"/>
      <c r="AD93" s="175"/>
      <c r="AE93" s="175"/>
      <c r="AF93" s="175"/>
      <c r="AG93" s="175"/>
    </row>
    <row r="94" spans="1:35" s="1401" customFormat="1" ht="12.75" customHeight="1">
      <c r="A94" s="157" t="s">
        <v>161</v>
      </c>
      <c r="B94" s="176"/>
      <c r="C94" s="176"/>
      <c r="D94" s="450">
        <f>+Q_IS!B30</f>
        <v>6.8820855851159754E-2</v>
      </c>
      <c r="E94" s="450">
        <f>+Q_IS!C30</f>
        <v>0.23306259810755139</v>
      </c>
      <c r="F94" s="450">
        <f>+Q_IS!D30</f>
        <v>0.20179961760908019</v>
      </c>
      <c r="G94" s="450">
        <f>+Q_IS!E30</f>
        <v>5.7924029550091009E-2</v>
      </c>
      <c r="H94" s="450">
        <f>+Q_IS!F30</f>
        <v>4.6700294233248021E-2</v>
      </c>
      <c r="I94" s="450">
        <f>+Q_IS!G30</f>
        <v>5.0791897552050019E-2</v>
      </c>
      <c r="J94" s="520">
        <f>+Q_IS!H30</f>
        <v>3.6706414966426709E-2</v>
      </c>
      <c r="K94" s="520">
        <f>+Q_IS!I30</f>
        <v>0.13694334509063896</v>
      </c>
      <c r="L94" s="520">
        <f>+Q_IS!J30</f>
        <v>0.17322160749297597</v>
      </c>
      <c r="M94" s="520">
        <f>+Q_IS!K30</f>
        <v>6.063846131645613E-2</v>
      </c>
      <c r="N94" s="520">
        <f>+Q_IS!L30</f>
        <v>0.11037147859905319</v>
      </c>
      <c r="O94" s="520">
        <f>+Q_IS!M30</f>
        <v>4.455732750178449E-2</v>
      </c>
      <c r="P94" s="1666">
        <f t="shared" ref="P94:P95" si="149">+AVERAGE(M94:O94)</f>
        <v>7.1855755805764601E-2</v>
      </c>
      <c r="Q94" s="1666">
        <f t="shared" si="147"/>
        <v>7.1855755805764601E-2</v>
      </c>
      <c r="R94" s="1666">
        <f t="shared" si="147"/>
        <v>7.1855755805764601E-2</v>
      </c>
      <c r="S94" s="1666">
        <f t="shared" si="147"/>
        <v>7.1855755805764601E-2</v>
      </c>
      <c r="T94" s="1666">
        <f t="shared" si="148"/>
        <v>7.1855755805764601E-2</v>
      </c>
      <c r="U94" s="1666">
        <f t="shared" si="148"/>
        <v>7.1855755805764601E-2</v>
      </c>
      <c r="V94" s="1666">
        <f t="shared" si="148"/>
        <v>7.1855755805764601E-2</v>
      </c>
      <c r="W94" s="1666">
        <f t="shared" si="148"/>
        <v>7.1855755805764601E-2</v>
      </c>
      <c r="Y94" s="1669">
        <v>0</v>
      </c>
      <c r="Z94" s="1669">
        <v>0</v>
      </c>
      <c r="AB94" s="175"/>
      <c r="AC94" s="175"/>
      <c r="AD94" s="175"/>
      <c r="AE94" s="175"/>
      <c r="AF94" s="175"/>
      <c r="AG94" s="175"/>
    </row>
    <row r="95" spans="1:35" s="1401" customFormat="1" ht="12.75" customHeight="1">
      <c r="A95" s="157" t="s">
        <v>158</v>
      </c>
      <c r="B95" s="176"/>
      <c r="C95" s="176"/>
      <c r="D95" s="450">
        <f>+Q_IS!B31</f>
        <v>0.14786072587910457</v>
      </c>
      <c r="E95" s="450">
        <f>+Q_IS!C31</f>
        <v>0.37152429779943696</v>
      </c>
      <c r="F95" s="450">
        <f>+Q_IS!D31</f>
        <v>0.32504662842822457</v>
      </c>
      <c r="G95" s="450">
        <f>+Q_IS!E31</f>
        <v>0.57939252403130714</v>
      </c>
      <c r="H95" s="450">
        <f>+Q_IS!F31</f>
        <v>0.53261099651991939</v>
      </c>
      <c r="I95" s="450">
        <f>+Q_IS!G31</f>
        <v>0.47938230856515485</v>
      </c>
      <c r="J95" s="520">
        <f>+Q_IS!H31</f>
        <v>0.43329574807077675</v>
      </c>
      <c r="K95" s="520">
        <f>+Q_IS!I31</f>
        <v>0.32058612784497736</v>
      </c>
      <c r="L95" s="520">
        <f>+Q_IS!J31</f>
        <v>0.28634445381215767</v>
      </c>
      <c r="M95" s="520">
        <f>+Q_IS!K31</f>
        <v>0.39904789170452792</v>
      </c>
      <c r="N95" s="520">
        <f>+Q_IS!L31</f>
        <v>0.31996632313493573</v>
      </c>
      <c r="O95" s="520">
        <f>+Q_IS!M31</f>
        <v>0.33499721917113923</v>
      </c>
      <c r="P95" s="1666">
        <f t="shared" si="149"/>
        <v>0.35133714467020094</v>
      </c>
      <c r="Q95" s="1666">
        <f t="shared" si="147"/>
        <v>0.35133714467020094</v>
      </c>
      <c r="R95" s="1666">
        <f t="shared" si="147"/>
        <v>0.35133714467020094</v>
      </c>
      <c r="S95" s="1666">
        <f t="shared" si="147"/>
        <v>0.35133714467020094</v>
      </c>
      <c r="T95" s="1666">
        <f t="shared" si="148"/>
        <v>0.35133714467020094</v>
      </c>
      <c r="U95" s="1666">
        <f t="shared" si="148"/>
        <v>0.35133714467020094</v>
      </c>
      <c r="V95" s="1666">
        <f t="shared" si="148"/>
        <v>0.35133714467020094</v>
      </c>
      <c r="W95" s="1666">
        <f t="shared" si="148"/>
        <v>0.35133714467020094</v>
      </c>
      <c r="Y95" s="1669">
        <v>0</v>
      </c>
      <c r="Z95" s="1669">
        <v>0</v>
      </c>
      <c r="AB95" s="175"/>
      <c r="AC95" s="175"/>
      <c r="AD95" s="175"/>
      <c r="AE95" s="175"/>
      <c r="AF95" s="175"/>
      <c r="AG95" s="175"/>
    </row>
    <row r="96" spans="1:35" s="1401" customFormat="1" ht="12.75" customHeight="1">
      <c r="A96" s="157" t="s">
        <v>159</v>
      </c>
      <c r="B96" s="176"/>
      <c r="C96" s="176"/>
      <c r="D96" s="450">
        <f>+Q_IS!B32</f>
        <v>0.10591364554379794</v>
      </c>
      <c r="E96" s="450">
        <f>+Q_IS!C32</f>
        <v>7.2218472239463469E-2</v>
      </c>
      <c r="F96" s="450">
        <f>+Q_IS!D32</f>
        <v>6.3899077181384725E-2</v>
      </c>
      <c r="G96" s="450">
        <f>+Q_IS!E32</f>
        <v>3.2861068527148755E-2</v>
      </c>
      <c r="H96" s="450">
        <f>+Q_IS!F32</f>
        <v>9.5472580813852709E-2</v>
      </c>
      <c r="I96" s="450">
        <f>+Q_IS!G32</f>
        <v>4.9229811461396225E-2</v>
      </c>
      <c r="J96" s="520">
        <f>+Q_IS!H32</f>
        <v>9.8187649788304548E-2</v>
      </c>
      <c r="K96" s="520">
        <f>+Q_IS!I32</f>
        <v>6.9824220697186565E-2</v>
      </c>
      <c r="L96" s="520">
        <f>+Q_IS!J32</f>
        <v>9.6871991566712903E-2</v>
      </c>
      <c r="M96" s="520">
        <f>+Q_IS!K32</f>
        <v>6.5503053652048199E-2</v>
      </c>
      <c r="N96" s="520">
        <f>+Q_IS!L32</f>
        <v>6.3846210016584262E-2</v>
      </c>
      <c r="O96" s="520">
        <f>+Q_IS!M32</f>
        <v>5.3577231221040182E-2</v>
      </c>
      <c r="P96" s="1666">
        <f>1-SUM(P93:P95)</f>
        <v>6.0975498296557462E-2</v>
      </c>
      <c r="Q96" s="1666">
        <f t="shared" ref="Q96:W96" si="150">1-SUM(Q93:Q95)</f>
        <v>6.0975498296557462E-2</v>
      </c>
      <c r="R96" s="1666">
        <f t="shared" si="150"/>
        <v>6.0975498296557462E-2</v>
      </c>
      <c r="S96" s="1666">
        <f t="shared" si="150"/>
        <v>6.0975498296557462E-2</v>
      </c>
      <c r="T96" s="1666">
        <f t="shared" si="150"/>
        <v>6.0975498296557462E-2</v>
      </c>
      <c r="U96" s="1666">
        <f t="shared" si="150"/>
        <v>6.0975498296557462E-2</v>
      </c>
      <c r="V96" s="1666">
        <f t="shared" si="150"/>
        <v>6.0975498296557462E-2</v>
      </c>
      <c r="W96" s="1666">
        <f t="shared" si="150"/>
        <v>6.0975498296557462E-2</v>
      </c>
      <c r="AB96" s="175"/>
      <c r="AC96" s="175"/>
      <c r="AD96" s="175"/>
      <c r="AE96" s="175"/>
      <c r="AF96" s="175"/>
      <c r="AG96" s="175"/>
    </row>
    <row r="97" spans="1:35" s="1401" customFormat="1" ht="12.75" customHeight="1">
      <c r="A97" s="236"/>
      <c r="B97" s="176"/>
      <c r="C97" s="176"/>
      <c r="D97" s="709"/>
      <c r="E97" s="709"/>
      <c r="F97" s="709"/>
      <c r="G97" s="709"/>
      <c r="H97" s="716"/>
      <c r="I97" s="716"/>
      <c r="J97" s="717"/>
      <c r="K97" s="520"/>
      <c r="L97" s="520"/>
      <c r="M97" s="520"/>
      <c r="N97" s="520"/>
      <c r="O97" s="520"/>
      <c r="P97" s="520"/>
      <c r="Q97" s="520"/>
      <c r="R97" s="520"/>
      <c r="S97" s="520"/>
      <c r="T97" s="520"/>
      <c r="U97" s="520"/>
      <c r="V97" s="520"/>
      <c r="W97" s="520"/>
      <c r="AB97" s="175"/>
      <c r="AC97" s="175"/>
      <c r="AD97" s="175"/>
      <c r="AE97" s="175"/>
      <c r="AF97" s="175"/>
      <c r="AG97" s="175"/>
    </row>
    <row r="98" spans="1:35" ht="12.75" customHeight="1">
      <c r="A98" s="704" t="s">
        <v>1554</v>
      </c>
      <c r="B98" s="720">
        <f t="shared" ref="B98:O98" si="151">C98-1</f>
        <v>2004</v>
      </c>
      <c r="C98" s="720">
        <f t="shared" si="151"/>
        <v>2005</v>
      </c>
      <c r="D98" s="720">
        <f t="shared" si="151"/>
        <v>2006</v>
      </c>
      <c r="E98" s="720">
        <f t="shared" si="151"/>
        <v>2007</v>
      </c>
      <c r="F98" s="720">
        <f t="shared" si="151"/>
        <v>2008</v>
      </c>
      <c r="G98" s="720">
        <f t="shared" si="151"/>
        <v>2009</v>
      </c>
      <c r="H98" s="720">
        <f t="shared" si="151"/>
        <v>2010</v>
      </c>
      <c r="I98" s="720">
        <f t="shared" si="151"/>
        <v>2011</v>
      </c>
      <c r="J98" s="720">
        <f t="shared" si="151"/>
        <v>2012</v>
      </c>
      <c r="K98" s="720">
        <f t="shared" si="151"/>
        <v>2013</v>
      </c>
      <c r="L98" s="720">
        <f t="shared" si="151"/>
        <v>2014</v>
      </c>
      <c r="M98" s="720">
        <f t="shared" si="151"/>
        <v>2015</v>
      </c>
      <c r="N98" s="720">
        <f t="shared" si="151"/>
        <v>2016</v>
      </c>
      <c r="O98" s="1681">
        <f t="shared" si="151"/>
        <v>2017</v>
      </c>
      <c r="P98" s="2214">
        <f t="shared" ref="P98:W98" si="152">+P$13</f>
        <v>2018</v>
      </c>
      <c r="Q98" s="2214">
        <f t="shared" si="152"/>
        <v>2019</v>
      </c>
      <c r="R98" s="2214">
        <f t="shared" si="152"/>
        <v>2020</v>
      </c>
      <c r="S98" s="2214">
        <f t="shared" si="152"/>
        <v>2021</v>
      </c>
      <c r="T98" s="2214">
        <f t="shared" si="152"/>
        <v>2022</v>
      </c>
      <c r="U98" s="2214">
        <f t="shared" si="152"/>
        <v>2023</v>
      </c>
      <c r="V98" s="2214">
        <f t="shared" si="152"/>
        <v>2024</v>
      </c>
      <c r="W98" s="2214">
        <f t="shared" si="152"/>
        <v>2025</v>
      </c>
      <c r="X98" s="706"/>
      <c r="Y98" s="706"/>
      <c r="Z98" s="706"/>
      <c r="AB98" s="481"/>
      <c r="AC98" s="481"/>
      <c r="AD98" s="481"/>
      <c r="AE98" s="481"/>
      <c r="AF98" s="481"/>
      <c r="AG98" s="481"/>
      <c r="AH98" s="481"/>
      <c r="AI98" s="481"/>
    </row>
    <row r="99" spans="1:35" s="14" customFormat="1" ht="12" customHeight="1">
      <c r="A99" s="251" t="s">
        <v>894</v>
      </c>
      <c r="B99" s="719"/>
      <c r="C99" s="719"/>
      <c r="D99" s="719"/>
      <c r="E99" s="719" t="str">
        <f>IF(ISERROR(Q_IS!C132/Q_IS!B132-1),"NA",Q_IS!C132/Q_IS!B132-1)</f>
        <v>NA</v>
      </c>
      <c r="F99" s="719" t="str">
        <f>IF(ISERROR(Q_IS!D132/Q_IS!C132-1),"NA",Q_IS!D132/Q_IS!C132-1)</f>
        <v>NA</v>
      </c>
      <c r="G99" s="719" t="str">
        <f>IF(ISERROR(Q_IS!E132/Q_IS!D132-1),"NA",Q_IS!E132/Q_IS!D132-1)</f>
        <v>NA</v>
      </c>
      <c r="H99" s="729" t="str">
        <f>IF(ISERROR(Q_IS!F132/Q_IS!E132-1),"NA",Q_IS!F132/Q_IS!E132-1)</f>
        <v>NA</v>
      </c>
      <c r="I99" s="2359">
        <f>Q_IS!G132/Q_IS!F132-1</f>
        <v>-0.12306451646775429</v>
      </c>
      <c r="J99" s="2360">
        <f>Q_IS!H132/Q_IS!G132-1</f>
        <v>0.43188284053828419</v>
      </c>
      <c r="K99" s="2360">
        <f>Q_IS!I132/Q_IS!H132-1</f>
        <v>-3.973390606214644E-2</v>
      </c>
      <c r="L99" s="2360">
        <f>Q_IS!J132/Q_IS!I132-1</f>
        <v>3.7469364593039955E-2</v>
      </c>
      <c r="M99" s="2360">
        <f>Q_IS!K132/Q_IS!J132-1</f>
        <v>-9.499509239104742E-2</v>
      </c>
      <c r="N99" s="2360">
        <f>Q_IS!L132/Q_IS!K132-1</f>
        <v>0.22317382271873765</v>
      </c>
      <c r="O99" s="2360">
        <f>Q_IS!M132/Q_IS!L132-1</f>
        <v>0.16271992982272332</v>
      </c>
      <c r="P99" s="2361">
        <f t="shared" ref="P99:W99" si="153">CHOOSE(Scenario_Input,P100,P101,P102)</f>
        <v>-6.1646752038160911E-2</v>
      </c>
      <c r="Q99" s="2361">
        <f t="shared" si="153"/>
        <v>1.0664165418911645E-2</v>
      </c>
      <c r="R99" s="2361">
        <f t="shared" si="153"/>
        <v>4.0301685680512442E-2</v>
      </c>
      <c r="S99" s="2361">
        <f t="shared" si="153"/>
        <v>0.10516495360433094</v>
      </c>
      <c r="T99" s="2361">
        <f t="shared" si="153"/>
        <v>5.0457837130009481E-2</v>
      </c>
      <c r="U99" s="2361">
        <f t="shared" si="153"/>
        <v>-4.053020840946496E-2</v>
      </c>
      <c r="V99" s="2361">
        <f t="shared" si="153"/>
        <v>-2.8997735225712192E-2</v>
      </c>
      <c r="W99" s="2361">
        <f t="shared" si="153"/>
        <v>-0.04</v>
      </c>
      <c r="Y99" s="1676"/>
      <c r="Z99" s="1676"/>
      <c r="AB99" s="251"/>
      <c r="AC99" s="481"/>
      <c r="AD99" s="481"/>
      <c r="AE99" s="481"/>
      <c r="AF99" s="481"/>
      <c r="AG99" s="481"/>
      <c r="AH99" s="481"/>
    </row>
    <row r="100" spans="1:35" ht="12.75" customHeight="1">
      <c r="A100" s="157" t="s">
        <v>77</v>
      </c>
      <c r="B100" s="949"/>
      <c r="C100" s="2218"/>
      <c r="D100" s="2219"/>
      <c r="E100" s="779" t="str">
        <f t="shared" ref="E100:L102" si="154">E99</f>
        <v>NA</v>
      </c>
      <c r="F100" s="779" t="str">
        <f t="shared" si="154"/>
        <v>NA</v>
      </c>
      <c r="G100" s="779" t="str">
        <f t="shared" si="154"/>
        <v>NA</v>
      </c>
      <c r="H100" s="779" t="str">
        <f t="shared" si="154"/>
        <v>NA</v>
      </c>
      <c r="I100" s="762">
        <f t="shared" si="154"/>
        <v>-0.12306451646775429</v>
      </c>
      <c r="J100" s="762">
        <f t="shared" si="154"/>
        <v>0.43188284053828419</v>
      </c>
      <c r="K100" s="762">
        <f t="shared" si="154"/>
        <v>-3.973390606214644E-2</v>
      </c>
      <c r="L100" s="762">
        <f t="shared" si="154"/>
        <v>3.7469364593039955E-2</v>
      </c>
      <c r="M100" s="762">
        <f t="shared" ref="M100" si="155">M99</f>
        <v>-9.499509239104742E-2</v>
      </c>
      <c r="N100" s="762">
        <f t="shared" ref="N100:O100" si="156">N99</f>
        <v>0.22317382271873765</v>
      </c>
      <c r="O100" s="762">
        <f t="shared" si="156"/>
        <v>0.16271992982272332</v>
      </c>
      <c r="P100" s="2221">
        <f>40%*((P14*P155)/(O14*O155)-1)+60%*P144-3%</f>
        <v>-6.1646752038160911E-2</v>
      </c>
      <c r="Q100" s="2221">
        <f>40%*((Q14*Q155)/(P14*P155)-1)+60%*Q144-3%</f>
        <v>1.0664165418911645E-2</v>
      </c>
      <c r="R100" s="2222">
        <f>40%*((R14*R155)/(Q14*Q155)-1)+60%*R144</f>
        <v>4.0301685680512442E-2</v>
      </c>
      <c r="S100" s="2222">
        <f>40%*((S14*S155)/(R14*R155)-1)+60%*S144</f>
        <v>0.10516495360433094</v>
      </c>
      <c r="T100" s="2222">
        <f>40%*((T14*T155)/(S14*S155)-1)+60%*T144</f>
        <v>5.0457837130009481E-2</v>
      </c>
      <c r="U100" s="2222">
        <f>40%*((U14*U155)/(T14*T155)-1)+60%*U144</f>
        <v>-4.053020840946496E-2</v>
      </c>
      <c r="V100" s="2222">
        <f>40%*((V14*V155)/(U14*U155)-1)+60%*V144</f>
        <v>-2.8997735225712192E-2</v>
      </c>
      <c r="W100" s="2221">
        <v>-0.04</v>
      </c>
      <c r="Y100" s="1668"/>
      <c r="Z100" s="1668"/>
      <c r="AB100" s="54"/>
      <c r="AC100" s="481"/>
      <c r="AD100" s="481"/>
      <c r="AE100" s="481"/>
      <c r="AF100" s="481"/>
      <c r="AG100" s="481"/>
      <c r="AH100" s="481"/>
    </row>
    <row r="101" spans="1:35" ht="12.75" customHeight="1">
      <c r="A101" s="157" t="s">
        <v>78</v>
      </c>
      <c r="B101" s="949"/>
      <c r="C101" s="2218"/>
      <c r="D101" s="719"/>
      <c r="E101" s="779" t="str">
        <f t="shared" si="154"/>
        <v>NA</v>
      </c>
      <c r="F101" s="779" t="str">
        <f t="shared" si="154"/>
        <v>NA</v>
      </c>
      <c r="G101" s="779" t="str">
        <f t="shared" si="154"/>
        <v>NA</v>
      </c>
      <c r="H101" s="779" t="str">
        <f t="shared" si="154"/>
        <v>NA</v>
      </c>
      <c r="I101" s="762">
        <f t="shared" si="154"/>
        <v>-0.12306451646775429</v>
      </c>
      <c r="J101" s="762">
        <f t="shared" si="154"/>
        <v>0.43188284053828419</v>
      </c>
      <c r="K101" s="762">
        <f t="shared" si="154"/>
        <v>-3.973390606214644E-2</v>
      </c>
      <c r="L101" s="762">
        <f t="shared" si="154"/>
        <v>3.7469364593039955E-2</v>
      </c>
      <c r="M101" s="762">
        <f t="shared" ref="M101" si="157">M100</f>
        <v>-9.499509239104742E-2</v>
      </c>
      <c r="N101" s="762">
        <f t="shared" ref="N101:O101" si="158">N100</f>
        <v>0.22317382271873765</v>
      </c>
      <c r="O101" s="762">
        <f t="shared" si="158"/>
        <v>0.16271992982272332</v>
      </c>
      <c r="P101" s="2222">
        <f>+P100+$Y101</f>
        <v>-7.6646752038160904E-2</v>
      </c>
      <c r="Q101" s="2222">
        <f>+Q100+$Y101</f>
        <v>-4.3358345810883547E-3</v>
      </c>
      <c r="R101" s="2222">
        <f>+R100+$Y101</f>
        <v>2.5301685680512442E-2</v>
      </c>
      <c r="S101" s="2222">
        <f>+S100+$Y101</f>
        <v>9.0164953604330939E-2</v>
      </c>
      <c r="T101" s="2222">
        <f>+T100+$Z101</f>
        <v>3.045783713000948E-2</v>
      </c>
      <c r="U101" s="2222">
        <f>+U100+$Z101</f>
        <v>-6.0530208409464964E-2</v>
      </c>
      <c r="V101" s="2222">
        <f>+V100+$Z101</f>
        <v>-4.8997735225712193E-2</v>
      </c>
      <c r="W101" s="2222">
        <f>+W100+$Z101</f>
        <v>-0.06</v>
      </c>
      <c r="Y101" s="2358">
        <v>-1.4999999999999999E-2</v>
      </c>
      <c r="Z101" s="2358">
        <v>-0.02</v>
      </c>
      <c r="AB101" s="54"/>
      <c r="AC101" s="481"/>
      <c r="AD101" s="481"/>
      <c r="AE101" s="481"/>
      <c r="AF101" s="481"/>
      <c r="AG101" s="481"/>
      <c r="AH101" s="481"/>
    </row>
    <row r="102" spans="1:35" ht="12.75" customHeight="1">
      <c r="A102" s="157" t="s">
        <v>79</v>
      </c>
      <c r="B102" s="949"/>
      <c r="C102" s="2218"/>
      <c r="D102" s="779"/>
      <c r="E102" s="779" t="str">
        <f t="shared" si="154"/>
        <v>NA</v>
      </c>
      <c r="F102" s="779" t="str">
        <f t="shared" si="154"/>
        <v>NA</v>
      </c>
      <c r="G102" s="779" t="str">
        <f t="shared" si="154"/>
        <v>NA</v>
      </c>
      <c r="H102" s="779" t="str">
        <f t="shared" si="154"/>
        <v>NA</v>
      </c>
      <c r="I102" s="762">
        <f t="shared" si="154"/>
        <v>-0.12306451646775429</v>
      </c>
      <c r="J102" s="762">
        <f t="shared" si="154"/>
        <v>0.43188284053828419</v>
      </c>
      <c r="K102" s="762">
        <f t="shared" si="154"/>
        <v>-3.973390606214644E-2</v>
      </c>
      <c r="L102" s="762">
        <f t="shared" si="154"/>
        <v>3.7469364593039955E-2</v>
      </c>
      <c r="M102" s="762">
        <f t="shared" ref="M102" si="159">M101</f>
        <v>-9.499509239104742E-2</v>
      </c>
      <c r="N102" s="762">
        <f t="shared" ref="N102:O102" si="160">N101</f>
        <v>0.22317382271873765</v>
      </c>
      <c r="O102" s="762">
        <f t="shared" si="160"/>
        <v>0.16271992982272332</v>
      </c>
      <c r="P102" s="2222">
        <f>+P100+$Y102</f>
        <v>-5.6646752038160914E-2</v>
      </c>
      <c r="Q102" s="2222">
        <f>+Q100+$Y102</f>
        <v>1.5664165418911646E-2</v>
      </c>
      <c r="R102" s="2222">
        <f>+R100+$Y102</f>
        <v>4.5301685680512439E-2</v>
      </c>
      <c r="S102" s="2222">
        <f>+S100+$Y102</f>
        <v>0.11016495360433094</v>
      </c>
      <c r="T102" s="2222">
        <f>+T100+$Z102</f>
        <v>5.5457837130009478E-2</v>
      </c>
      <c r="U102" s="2222">
        <f>+U100+$Z102</f>
        <v>-3.5530208409464963E-2</v>
      </c>
      <c r="V102" s="2222">
        <f>+V100+$Z102</f>
        <v>-2.3997735225712191E-2</v>
      </c>
      <c r="W102" s="2222">
        <f>+W100+$Z102</f>
        <v>-3.5000000000000003E-2</v>
      </c>
      <c r="Y102" s="2358">
        <v>5.0000000000000001E-3</v>
      </c>
      <c r="Z102" s="2358">
        <v>5.0000000000000001E-3</v>
      </c>
      <c r="AB102" s="54"/>
      <c r="AC102" s="481"/>
      <c r="AD102" s="481"/>
      <c r="AE102" s="481"/>
      <c r="AF102" s="481"/>
      <c r="AG102" s="481"/>
      <c r="AH102" s="481"/>
    </row>
    <row r="103" spans="1:35" ht="12.75" customHeight="1">
      <c r="A103" s="2246"/>
      <c r="B103" s="2247"/>
      <c r="C103" s="2247"/>
      <c r="D103" s="2247"/>
      <c r="E103" s="2247"/>
      <c r="F103" s="2248"/>
      <c r="G103" s="2248"/>
      <c r="H103" s="2249"/>
      <c r="I103" s="2250"/>
      <c r="J103" s="2250"/>
      <c r="K103" s="2250"/>
      <c r="L103" s="2250"/>
      <c r="M103" s="2250"/>
      <c r="N103" s="2250"/>
      <c r="O103" s="2250"/>
      <c r="P103" s="2250"/>
      <c r="Q103" s="2250"/>
      <c r="R103" s="2250"/>
      <c r="S103" s="2250"/>
      <c r="T103" s="2250"/>
      <c r="U103" s="2250"/>
      <c r="V103" s="2250"/>
      <c r="W103" s="2250"/>
      <c r="Y103" s="79"/>
      <c r="Z103" s="79"/>
      <c r="AB103" s="54"/>
      <c r="AC103" s="481"/>
      <c r="AD103" s="481"/>
      <c r="AE103" s="481"/>
      <c r="AF103" s="481"/>
      <c r="AG103" s="481"/>
      <c r="AH103" s="481"/>
    </row>
    <row r="104" spans="1:35" s="14" customFormat="1" ht="12.75" customHeight="1">
      <c r="A104" s="251" t="s">
        <v>895</v>
      </c>
      <c r="B104" s="1677"/>
      <c r="C104" s="1677"/>
      <c r="D104" s="1677"/>
      <c r="E104" s="719" t="str">
        <f>IF(ISERROR(Q_IS!C133/Q_IS!B133-1),"NA",Q_IS!C133/Q_IS!B133-1)</f>
        <v>NA</v>
      </c>
      <c r="F104" s="719" t="str">
        <f>IF(ISERROR(Q_IS!D133/Q_IS!C133-1),"NA",Q_IS!D133/Q_IS!C133-1)</f>
        <v>NA</v>
      </c>
      <c r="G104" s="719" t="str">
        <f>IF(ISERROR(Q_IS!E133/Q_IS!D133-1),"NA",Q_IS!E133/Q_IS!D133-1)</f>
        <v>NA</v>
      </c>
      <c r="H104" s="719" t="str">
        <f>IF(ISERROR(Q_IS!F133/Q_IS!E133-1),"NA",Q_IS!F133/Q_IS!E133-1)</f>
        <v>NA</v>
      </c>
      <c r="I104" s="719">
        <f>Q_IS!G133/Q_IS!F133-1</f>
        <v>-0.17880478590412063</v>
      </c>
      <c r="J104" s="718">
        <f>Q_IS!H133/Q_IS!G133-1</f>
        <v>0.85974779216367581</v>
      </c>
      <c r="K104" s="718">
        <f>Q_IS!I133/Q_IS!H133-1</f>
        <v>-7.7600336140165371E-2</v>
      </c>
      <c r="L104" s="718">
        <f>Q_IS!J133/Q_IS!I133-1</f>
        <v>-2.160959704150367E-2</v>
      </c>
      <c r="M104" s="718">
        <f>Q_IS!K133/Q_IS!J133-1</f>
        <v>-9.4431727021181633E-2</v>
      </c>
      <c r="N104" s="718">
        <f>Q_IS!L133/Q_IS!K133-1</f>
        <v>0.36035274164248987</v>
      </c>
      <c r="O104" s="718">
        <f>Q_IS!M133/Q_IS!L133-1</f>
        <v>0.13132858375510681</v>
      </c>
      <c r="P104" s="2227">
        <f t="shared" ref="P104:W104" si="161">CHOOSE(Scenario_Input,P105,P106,P107)</f>
        <v>-6.1646752038160911E-2</v>
      </c>
      <c r="Q104" s="2227">
        <f t="shared" si="161"/>
        <v>1.0664165418911645E-2</v>
      </c>
      <c r="R104" s="2227">
        <f t="shared" si="161"/>
        <v>4.0301685680512442E-2</v>
      </c>
      <c r="S104" s="2227">
        <f t="shared" si="161"/>
        <v>0.10516495360433094</v>
      </c>
      <c r="T104" s="2227">
        <f t="shared" si="161"/>
        <v>5.0457837130009481E-2</v>
      </c>
      <c r="U104" s="2227">
        <f t="shared" si="161"/>
        <v>-4.053020840946496E-2</v>
      </c>
      <c r="V104" s="2227">
        <f t="shared" si="161"/>
        <v>-2.8997735225712192E-2</v>
      </c>
      <c r="W104" s="2227">
        <f t="shared" si="161"/>
        <v>-0.04</v>
      </c>
      <c r="Y104" s="1676"/>
      <c r="Z104" s="1676"/>
      <c r="AB104" s="251"/>
      <c r="AC104" s="481"/>
      <c r="AD104" s="481"/>
      <c r="AE104" s="481"/>
      <c r="AF104" s="481"/>
      <c r="AG104" s="481"/>
      <c r="AH104" s="481"/>
    </row>
    <row r="105" spans="1:35" ht="12.75" customHeight="1">
      <c r="A105" s="157" t="s">
        <v>77</v>
      </c>
      <c r="B105" s="949"/>
      <c r="C105" s="949"/>
      <c r="D105" s="949"/>
      <c r="E105" s="2333" t="str">
        <f t="shared" ref="E105:L107" si="162">E104</f>
        <v>NA</v>
      </c>
      <c r="F105" s="2333" t="str">
        <f t="shared" si="162"/>
        <v>NA</v>
      </c>
      <c r="G105" s="2333" t="str">
        <f t="shared" si="162"/>
        <v>NA</v>
      </c>
      <c r="H105" s="2333" t="str">
        <f t="shared" si="162"/>
        <v>NA</v>
      </c>
      <c r="I105" s="2333">
        <f t="shared" si="162"/>
        <v>-0.17880478590412063</v>
      </c>
      <c r="J105" s="2333">
        <f t="shared" si="162"/>
        <v>0.85974779216367581</v>
      </c>
      <c r="K105" s="2333">
        <f t="shared" si="162"/>
        <v>-7.7600336140165371E-2</v>
      </c>
      <c r="L105" s="2333">
        <f t="shared" si="162"/>
        <v>-2.160959704150367E-2</v>
      </c>
      <c r="M105" s="2333">
        <f t="shared" ref="M105" si="163">M104</f>
        <v>-9.4431727021181633E-2</v>
      </c>
      <c r="N105" s="2333">
        <f t="shared" ref="N105:O105" si="164">N104</f>
        <v>0.36035274164248987</v>
      </c>
      <c r="O105" s="2333">
        <f t="shared" si="164"/>
        <v>0.13132858375510681</v>
      </c>
      <c r="P105" s="2334">
        <f t="shared" ref="P105:V105" si="165">+P100</f>
        <v>-6.1646752038160911E-2</v>
      </c>
      <c r="Q105" s="2334">
        <f t="shared" si="165"/>
        <v>1.0664165418911645E-2</v>
      </c>
      <c r="R105" s="2334">
        <f t="shared" si="165"/>
        <v>4.0301685680512442E-2</v>
      </c>
      <c r="S105" s="2334">
        <f t="shared" si="165"/>
        <v>0.10516495360433094</v>
      </c>
      <c r="T105" s="2334">
        <f t="shared" si="165"/>
        <v>5.0457837130009481E-2</v>
      </c>
      <c r="U105" s="2334">
        <f t="shared" si="165"/>
        <v>-4.053020840946496E-2</v>
      </c>
      <c r="V105" s="2334">
        <f t="shared" si="165"/>
        <v>-2.8997735225712192E-2</v>
      </c>
      <c r="W105" s="2221">
        <f>+W100</f>
        <v>-0.04</v>
      </c>
      <c r="Y105" s="79"/>
      <c r="Z105" s="79"/>
      <c r="AB105" s="54"/>
      <c r="AC105" s="481"/>
      <c r="AD105" s="481"/>
      <c r="AE105" s="481"/>
      <c r="AF105" s="481"/>
      <c r="AG105" s="481"/>
      <c r="AH105" s="481"/>
    </row>
    <row r="106" spans="1:35" ht="12.75" customHeight="1">
      <c r="A106" s="157" t="s">
        <v>78</v>
      </c>
      <c r="B106" s="949"/>
      <c r="C106" s="949"/>
      <c r="D106" s="949"/>
      <c r="E106" s="2333" t="str">
        <f t="shared" si="162"/>
        <v>NA</v>
      </c>
      <c r="F106" s="2333" t="str">
        <f t="shared" si="162"/>
        <v>NA</v>
      </c>
      <c r="G106" s="2333" t="str">
        <f t="shared" si="162"/>
        <v>NA</v>
      </c>
      <c r="H106" s="2333" t="str">
        <f t="shared" si="162"/>
        <v>NA</v>
      </c>
      <c r="I106" s="2333">
        <f t="shared" si="162"/>
        <v>-0.17880478590412063</v>
      </c>
      <c r="J106" s="2333">
        <f t="shared" si="162"/>
        <v>0.85974779216367581</v>
      </c>
      <c r="K106" s="2333">
        <f t="shared" si="162"/>
        <v>-7.7600336140165371E-2</v>
      </c>
      <c r="L106" s="2333">
        <f t="shared" si="162"/>
        <v>-2.160959704150367E-2</v>
      </c>
      <c r="M106" s="2333">
        <f t="shared" ref="M106" si="166">M105</f>
        <v>-9.4431727021181633E-2</v>
      </c>
      <c r="N106" s="2333">
        <f t="shared" ref="N106:O106" si="167">N105</f>
        <v>0.36035274164248987</v>
      </c>
      <c r="O106" s="2333">
        <f t="shared" si="167"/>
        <v>0.13132858375510681</v>
      </c>
      <c r="P106" s="2334">
        <f>+P105+$Y106</f>
        <v>-7.8146752038160905E-2</v>
      </c>
      <c r="Q106" s="2334">
        <f>+Q105+$Y106</f>
        <v>-5.8358345810883561E-3</v>
      </c>
      <c r="R106" s="2334">
        <f>+R105+$Y106</f>
        <v>2.3801685680512441E-2</v>
      </c>
      <c r="S106" s="2334">
        <f>+S105+$Y106</f>
        <v>8.8664953604330937E-2</v>
      </c>
      <c r="T106" s="2334">
        <f>+T105+$Z106</f>
        <v>3.5457837130009481E-2</v>
      </c>
      <c r="U106" s="2334">
        <f>+U105+$Z106</f>
        <v>-5.553020840946496E-2</v>
      </c>
      <c r="V106" s="2334">
        <f>+V105+$Z106</f>
        <v>-4.3997735225712195E-2</v>
      </c>
      <c r="W106" s="2334">
        <f>+W105+$Z106</f>
        <v>-5.5E-2</v>
      </c>
      <c r="Y106" s="1669">
        <v>-1.6500000000000001E-2</v>
      </c>
      <c r="Z106" s="1669">
        <v>-1.4999999999999999E-2</v>
      </c>
      <c r="AB106" s="54"/>
      <c r="AC106" s="481"/>
      <c r="AD106" s="481"/>
      <c r="AE106" s="481"/>
      <c r="AF106" s="481"/>
      <c r="AG106" s="481"/>
      <c r="AH106" s="481"/>
    </row>
    <row r="107" spans="1:35" ht="12.75" customHeight="1">
      <c r="A107" s="157" t="s">
        <v>79</v>
      </c>
      <c r="B107" s="949"/>
      <c r="C107" s="949"/>
      <c r="D107" s="949"/>
      <c r="E107" s="2333" t="str">
        <f t="shared" si="162"/>
        <v>NA</v>
      </c>
      <c r="F107" s="2333" t="str">
        <f t="shared" si="162"/>
        <v>NA</v>
      </c>
      <c r="G107" s="2333" t="str">
        <f t="shared" si="162"/>
        <v>NA</v>
      </c>
      <c r="H107" s="2333" t="str">
        <f t="shared" si="162"/>
        <v>NA</v>
      </c>
      <c r="I107" s="2333">
        <f t="shared" si="162"/>
        <v>-0.17880478590412063</v>
      </c>
      <c r="J107" s="2333">
        <f t="shared" si="162"/>
        <v>0.85974779216367581</v>
      </c>
      <c r="K107" s="2333">
        <f t="shared" si="162"/>
        <v>-7.7600336140165371E-2</v>
      </c>
      <c r="L107" s="2333">
        <f t="shared" si="162"/>
        <v>-2.160959704150367E-2</v>
      </c>
      <c r="M107" s="2333">
        <f t="shared" ref="M107" si="168">M106</f>
        <v>-9.4431727021181633E-2</v>
      </c>
      <c r="N107" s="2333">
        <f t="shared" ref="N107:O107" si="169">N106</f>
        <v>0.36035274164248987</v>
      </c>
      <c r="O107" s="2333">
        <f t="shared" si="169"/>
        <v>0.13132858375510681</v>
      </c>
      <c r="P107" s="2334">
        <f>+P105+$Y107</f>
        <v>-5.6646752038160914E-2</v>
      </c>
      <c r="Q107" s="2334">
        <f>+Q105+$Y107</f>
        <v>1.5664165418911646E-2</v>
      </c>
      <c r="R107" s="2334">
        <f>+R105+$Y107</f>
        <v>4.5301685680512439E-2</v>
      </c>
      <c r="S107" s="2334">
        <f>+S105+$Y107</f>
        <v>0.11016495360433094</v>
      </c>
      <c r="T107" s="2334">
        <f>+T105+$Z107</f>
        <v>5.5457837130009478E-2</v>
      </c>
      <c r="U107" s="2334">
        <f>+U105+$Z107</f>
        <v>-3.5530208409464963E-2</v>
      </c>
      <c r="V107" s="2334">
        <f>+V105+$Z107</f>
        <v>-2.3997735225712191E-2</v>
      </c>
      <c r="W107" s="2334">
        <f>+W105+$Z107</f>
        <v>-3.5000000000000003E-2</v>
      </c>
      <c r="Y107" s="1669">
        <v>5.0000000000000001E-3</v>
      </c>
      <c r="Z107" s="1669">
        <v>5.0000000000000001E-3</v>
      </c>
      <c r="AB107" s="54"/>
      <c r="AC107" s="481"/>
      <c r="AD107" s="481"/>
      <c r="AE107" s="481"/>
      <c r="AF107" s="481"/>
      <c r="AG107" s="481"/>
      <c r="AH107" s="481"/>
    </row>
    <row r="108" spans="1:35" s="1401" customFormat="1" ht="12.75" customHeight="1">
      <c r="A108" s="157"/>
      <c r="B108" s="949"/>
      <c r="C108" s="949"/>
      <c r="D108" s="949"/>
      <c r="E108" s="2333"/>
      <c r="F108" s="2333"/>
      <c r="G108" s="2333"/>
      <c r="H108" s="2333"/>
      <c r="I108" s="2333"/>
      <c r="J108" s="2333"/>
      <c r="K108" s="2333"/>
      <c r="L108" s="2333"/>
      <c r="M108" s="2333"/>
      <c r="N108" s="2333"/>
      <c r="O108" s="2333"/>
      <c r="P108" s="2334"/>
      <c r="Q108" s="2334"/>
      <c r="R108" s="2334"/>
      <c r="S108" s="2334"/>
      <c r="T108" s="2334"/>
      <c r="U108" s="2334"/>
      <c r="V108" s="2334"/>
      <c r="W108" s="2334"/>
      <c r="AB108" s="54"/>
      <c r="AC108" s="481"/>
      <c r="AD108" s="481"/>
      <c r="AE108" s="481"/>
      <c r="AF108" s="481"/>
      <c r="AG108" s="481"/>
      <c r="AH108" s="481"/>
    </row>
    <row r="109" spans="1:35" s="1401" customFormat="1">
      <c r="A109" s="54" t="s">
        <v>1579</v>
      </c>
      <c r="B109" s="176"/>
      <c r="C109" s="176"/>
      <c r="D109" s="450"/>
      <c r="E109" s="450"/>
      <c r="F109" s="450"/>
      <c r="G109" s="450"/>
      <c r="H109" s="450">
        <f>Financials!H45</f>
        <v>0.59530994258509617</v>
      </c>
      <c r="I109" s="450">
        <f>Financials!I45</f>
        <v>0.63403994730658308</v>
      </c>
      <c r="J109" s="450">
        <f>Financials!J45</f>
        <v>0.57450432836346521</v>
      </c>
      <c r="K109" s="450">
        <f>Financials!K45</f>
        <v>0.58731845703474383</v>
      </c>
      <c r="L109" s="450">
        <f>Financials!L45</f>
        <v>0.53180235990202129</v>
      </c>
      <c r="M109" s="450">
        <f>Financials!M45</f>
        <v>0.57050150255199705</v>
      </c>
      <c r="N109" s="450">
        <f>Financials!N45</f>
        <v>0.54579615962120553</v>
      </c>
      <c r="O109" s="450">
        <f>Financials!O45</f>
        <v>0.57247405191441236</v>
      </c>
      <c r="P109" s="1808">
        <f>Financials!P45</f>
        <v>0.63979065835104854</v>
      </c>
      <c r="Q109" s="1808">
        <f>Financials!Q45</f>
        <v>0.57278351634501423</v>
      </c>
      <c r="R109" s="1808">
        <f>Financials!R45</f>
        <v>0.57059124886384605</v>
      </c>
      <c r="S109" s="1808">
        <f>Financials!S45</f>
        <v>0.60350042892929268</v>
      </c>
      <c r="T109" s="1808">
        <f>Financials!T45</f>
        <v>0.60883918068424969</v>
      </c>
      <c r="U109" s="1808">
        <f>Financials!U45</f>
        <v>0.55123468491874372</v>
      </c>
      <c r="V109" s="1808">
        <f>Financials!V45</f>
        <v>0.49638639865534995</v>
      </c>
      <c r="W109" s="1808">
        <f>Financials!W45</f>
        <v>0.57611941458523397</v>
      </c>
      <c r="AC109" s="481"/>
      <c r="AD109" s="481"/>
      <c r="AE109" s="481"/>
      <c r="AF109" s="481"/>
      <c r="AG109" s="481"/>
      <c r="AH109" s="481"/>
    </row>
    <row r="110" spans="1:35" s="1401" customFormat="1">
      <c r="A110" s="54" t="s">
        <v>1580</v>
      </c>
      <c r="B110" s="176"/>
      <c r="C110" s="176"/>
      <c r="D110" s="450"/>
      <c r="E110" s="450"/>
      <c r="F110" s="450"/>
      <c r="G110" s="450"/>
      <c r="H110" s="450">
        <f>Financials!H46</f>
        <v>0.44310283491253505</v>
      </c>
      <c r="I110" s="450">
        <f>Financials!I46</f>
        <v>0.56270071157231194</v>
      </c>
      <c r="J110" s="450">
        <f>Financials!J46</f>
        <v>0.43730176015205813</v>
      </c>
      <c r="K110" s="450">
        <f>Financials!K46</f>
        <v>0.42883848500272803</v>
      </c>
      <c r="L110" s="450">
        <f>Financials!L46</f>
        <v>0.485086187321149</v>
      </c>
      <c r="M110" s="450">
        <f>Financials!M46</f>
        <v>0.49634008102213817</v>
      </c>
      <c r="N110" s="450">
        <f>Financials!N46</f>
        <v>0.51901261617839356</v>
      </c>
      <c r="O110" s="450">
        <f>Financials!O46</f>
        <v>0.49221674145213767</v>
      </c>
      <c r="P110" s="1808">
        <f>Financials!P46</f>
        <v>0.47907371147576061</v>
      </c>
      <c r="Q110" s="1808">
        <f>Financials!Q46</f>
        <v>0.51798925907754279</v>
      </c>
      <c r="R110" s="1808">
        <f>Financials!R46</f>
        <v>0.53143002841686016</v>
      </c>
      <c r="S110" s="1808">
        <f>Financials!S46</f>
        <v>0.5010086840201301</v>
      </c>
      <c r="T110" s="1808">
        <f>Financials!T46</f>
        <v>0.4881152423738484</v>
      </c>
      <c r="U110" s="1808">
        <f>Financials!U46</f>
        <v>0.5203731216200681</v>
      </c>
      <c r="V110" s="1808">
        <f>Financials!V46</f>
        <v>0.54519649678958049</v>
      </c>
      <c r="W110" s="1808">
        <f>Financials!W46</f>
        <v>0.59093422521959482</v>
      </c>
      <c r="AC110" s="481"/>
      <c r="AD110" s="481"/>
      <c r="AE110" s="481"/>
      <c r="AF110" s="481"/>
      <c r="AG110" s="481"/>
      <c r="AH110" s="481"/>
    </row>
    <row r="111" spans="1:35" s="1401" customFormat="1" ht="12.75" customHeight="1">
      <c r="A111" s="157"/>
      <c r="B111" s="949"/>
      <c r="C111" s="949"/>
      <c r="D111" s="949"/>
      <c r="E111" s="779"/>
      <c r="F111" s="779"/>
      <c r="G111" s="779"/>
      <c r="H111" s="779"/>
      <c r="I111" s="779"/>
      <c r="J111" s="779"/>
      <c r="K111" s="779"/>
      <c r="L111" s="779"/>
      <c r="M111" s="779"/>
      <c r="N111" s="779"/>
      <c r="O111" s="779"/>
      <c r="P111" s="1670"/>
      <c r="Q111" s="1670"/>
      <c r="R111" s="1670"/>
      <c r="S111" s="1670"/>
      <c r="AB111" s="54"/>
      <c r="AC111" s="481"/>
      <c r="AD111" s="481"/>
      <c r="AE111" s="481"/>
      <c r="AF111" s="481"/>
      <c r="AG111" s="481"/>
      <c r="AH111" s="481"/>
    </row>
    <row r="112" spans="1:35">
      <c r="A112" s="433" t="s">
        <v>1555</v>
      </c>
      <c r="B112" s="720">
        <f t="shared" ref="B112" si="170">C112-1</f>
        <v>2004</v>
      </c>
      <c r="C112" s="720">
        <f t="shared" ref="C112" si="171">D112-1</f>
        <v>2005</v>
      </c>
      <c r="D112" s="720">
        <f t="shared" ref="D112" si="172">E112-1</f>
        <v>2006</v>
      </c>
      <c r="E112" s="720">
        <f t="shared" ref="E112" si="173">F112-1</f>
        <v>2007</v>
      </c>
      <c r="F112" s="720">
        <f t="shared" ref="F112" si="174">G112-1</f>
        <v>2008</v>
      </c>
      <c r="G112" s="720">
        <f t="shared" ref="G112" si="175">H112-1</f>
        <v>2009</v>
      </c>
      <c r="H112" s="720">
        <f t="shared" ref="H112" si="176">I112-1</f>
        <v>2010</v>
      </c>
      <c r="I112" s="720">
        <f t="shared" ref="I112" si="177">J112-1</f>
        <v>2011</v>
      </c>
      <c r="J112" s="720">
        <f t="shared" ref="J112" si="178">K112-1</f>
        <v>2012</v>
      </c>
      <c r="K112" s="720">
        <f t="shared" ref="K112" si="179">L112-1</f>
        <v>2013</v>
      </c>
      <c r="L112" s="720">
        <f t="shared" ref="L112" si="180">M112-1</f>
        <v>2014</v>
      </c>
      <c r="M112" s="720">
        <f t="shared" ref="M112" si="181">N112-1</f>
        <v>2015</v>
      </c>
      <c r="N112" s="720">
        <f t="shared" ref="N112:O112" si="182">O112-1</f>
        <v>2016</v>
      </c>
      <c r="O112" s="1681">
        <f t="shared" si="182"/>
        <v>2017</v>
      </c>
      <c r="P112" s="2214">
        <f t="shared" ref="P112:W112" si="183">+P$13</f>
        <v>2018</v>
      </c>
      <c r="Q112" s="2214">
        <f t="shared" si="183"/>
        <v>2019</v>
      </c>
      <c r="R112" s="2214">
        <f t="shared" si="183"/>
        <v>2020</v>
      </c>
      <c r="S112" s="2214">
        <f t="shared" si="183"/>
        <v>2021</v>
      </c>
      <c r="T112" s="2214">
        <f t="shared" si="183"/>
        <v>2022</v>
      </c>
      <c r="U112" s="2214">
        <f t="shared" si="183"/>
        <v>2023</v>
      </c>
      <c r="V112" s="2214">
        <f t="shared" si="183"/>
        <v>2024</v>
      </c>
      <c r="W112" s="2214">
        <f t="shared" si="183"/>
        <v>2025</v>
      </c>
      <c r="AC112" s="481"/>
      <c r="AD112" s="481"/>
      <c r="AE112" s="481"/>
      <c r="AF112" s="481"/>
      <c r="AG112" s="481"/>
      <c r="AH112" s="481"/>
    </row>
    <row r="113" spans="1:34" s="14" customFormat="1">
      <c r="A113" s="251" t="s">
        <v>1026</v>
      </c>
      <c r="B113" s="2215"/>
      <c r="C113" s="2215"/>
      <c r="D113" s="718"/>
      <c r="E113" s="745">
        <f>Q_IS!C115/Q_IS!B115-1</f>
        <v>0.16576700979161441</v>
      </c>
      <c r="F113" s="745">
        <f>Q_IS!D115/Q_IS!C115-1</f>
        <v>-4.2777149625800814E-2</v>
      </c>
      <c r="G113" s="745">
        <f>Q_IS!E115/Q_IS!D115-1</f>
        <v>0.33228337598785052</v>
      </c>
      <c r="H113" s="745">
        <f>Q_IS!F115/Q_IS!E115-1</f>
        <v>0.17991640631596728</v>
      </c>
      <c r="I113" s="745">
        <f>Q_IS!G115/Q_IS!F115-1</f>
        <v>-0.14187315502281062</v>
      </c>
      <c r="J113" s="745">
        <f>Q_IS!H115/Q_IS!G115-1</f>
        <v>0.41019493380590011</v>
      </c>
      <c r="K113" s="745">
        <f>Q_IS!I115/Q_IS!H115-1</f>
        <v>0.40529272619751633</v>
      </c>
      <c r="L113" s="745">
        <f>Q_IS!J115/Q_IS!I115-1</f>
        <v>0.77259242115008298</v>
      </c>
      <c r="M113" s="745">
        <f>Q_IS!K115/Q_IS!J115-1</f>
        <v>-0.35278826294423471</v>
      </c>
      <c r="N113" s="745">
        <f>Q_IS!L115/Q_IS!K115-1</f>
        <v>-0.43192113709307656</v>
      </c>
      <c r="O113" s="745">
        <f>Q_IS!M115/Q_IS!L115-1</f>
        <v>5.6724079484737455E-2</v>
      </c>
      <c r="P113" s="730">
        <f t="shared" ref="P113:W113" si="184">CHOOSE(Scenario_Input,P114,P115,P116)</f>
        <v>0.1</v>
      </c>
      <c r="Q113" s="730">
        <f t="shared" si="184"/>
        <v>0.2</v>
      </c>
      <c r="R113" s="730">
        <f t="shared" si="184"/>
        <v>0.16</v>
      </c>
      <c r="S113" s="730">
        <f t="shared" si="184"/>
        <v>0.12</v>
      </c>
      <c r="T113" s="730">
        <f t="shared" si="184"/>
        <v>9.9999999999999992E-2</v>
      </c>
      <c r="U113" s="730">
        <f t="shared" si="184"/>
        <v>7.9999999999999988E-2</v>
      </c>
      <c r="V113" s="730">
        <f t="shared" si="184"/>
        <v>5.9999999999999984E-2</v>
      </c>
      <c r="W113" s="730">
        <f t="shared" si="184"/>
        <v>3.999999999999998E-2</v>
      </c>
      <c r="AC113" s="481"/>
      <c r="AD113" s="481"/>
      <c r="AE113" s="481"/>
      <c r="AF113" s="481"/>
      <c r="AG113" s="481"/>
      <c r="AH113" s="481"/>
    </row>
    <row r="114" spans="1:34">
      <c r="A114" s="157" t="s">
        <v>77</v>
      </c>
      <c r="B114" s="176"/>
      <c r="C114" s="176"/>
      <c r="D114" s="176"/>
      <c r="E114" s="1026">
        <f t="shared" ref="E114:L116" si="185">E113</f>
        <v>0.16576700979161441</v>
      </c>
      <c r="F114" s="1026">
        <f t="shared" si="185"/>
        <v>-4.2777149625800814E-2</v>
      </c>
      <c r="G114" s="1026">
        <f t="shared" si="185"/>
        <v>0.33228337598785052</v>
      </c>
      <c r="H114" s="1026">
        <f t="shared" si="185"/>
        <v>0.17991640631596728</v>
      </c>
      <c r="I114" s="1026">
        <f t="shared" si="185"/>
        <v>-0.14187315502281062</v>
      </c>
      <c r="J114" s="1026">
        <f t="shared" si="185"/>
        <v>0.41019493380590011</v>
      </c>
      <c r="K114" s="1026">
        <f t="shared" si="185"/>
        <v>0.40529272619751633</v>
      </c>
      <c r="L114" s="1026">
        <f t="shared" si="185"/>
        <v>0.77259242115008298</v>
      </c>
      <c r="M114" s="1026">
        <f t="shared" ref="M114" si="186">M113</f>
        <v>-0.35278826294423471</v>
      </c>
      <c r="N114" s="1026">
        <f t="shared" ref="N114:O114" si="187">N113</f>
        <v>-0.43192113709307656</v>
      </c>
      <c r="O114" s="1026">
        <f t="shared" si="187"/>
        <v>5.6724079484737455E-2</v>
      </c>
      <c r="P114" s="1686">
        <v>0.1</v>
      </c>
      <c r="Q114" s="1686">
        <v>0.2</v>
      </c>
      <c r="R114" s="1687">
        <f>+Q114+$Y114</f>
        <v>0.16</v>
      </c>
      <c r="S114" s="1687">
        <f>+R114+$Y114</f>
        <v>0.12</v>
      </c>
      <c r="T114" s="1687">
        <f>+S114+$Z114</f>
        <v>9.9999999999999992E-2</v>
      </c>
      <c r="U114" s="1687">
        <f>+T114+$Z114</f>
        <v>7.9999999999999988E-2</v>
      </c>
      <c r="V114" s="1687">
        <f>+U114+$Z114</f>
        <v>5.9999999999999984E-2</v>
      </c>
      <c r="W114" s="1687">
        <f>+V114+$Z114</f>
        <v>3.999999999999998E-2</v>
      </c>
      <c r="Y114" s="1669">
        <v>-0.04</v>
      </c>
      <c r="Z114" s="1669">
        <v>-0.02</v>
      </c>
      <c r="AC114" s="481"/>
      <c r="AD114" s="481"/>
      <c r="AE114" s="481"/>
      <c r="AF114" s="481"/>
      <c r="AG114" s="481"/>
      <c r="AH114" s="481"/>
    </row>
    <row r="115" spans="1:34">
      <c r="A115" s="157" t="s">
        <v>78</v>
      </c>
      <c r="B115" s="176"/>
      <c r="C115" s="176"/>
      <c r="D115" s="176"/>
      <c r="E115" s="1026">
        <f t="shared" si="185"/>
        <v>0.16576700979161441</v>
      </c>
      <c r="F115" s="1026">
        <f t="shared" si="185"/>
        <v>-4.2777149625800814E-2</v>
      </c>
      <c r="G115" s="1026">
        <f t="shared" si="185"/>
        <v>0.33228337598785052</v>
      </c>
      <c r="H115" s="1026">
        <f t="shared" si="185"/>
        <v>0.17991640631596728</v>
      </c>
      <c r="I115" s="1026">
        <f t="shared" si="185"/>
        <v>-0.14187315502281062</v>
      </c>
      <c r="J115" s="1026">
        <f t="shared" si="185"/>
        <v>0.41019493380590011</v>
      </c>
      <c r="K115" s="1026">
        <f t="shared" si="185"/>
        <v>0.40529272619751633</v>
      </c>
      <c r="L115" s="1026">
        <f t="shared" si="185"/>
        <v>0.77259242115008298</v>
      </c>
      <c r="M115" s="1026">
        <f t="shared" ref="M115" si="188">M114</f>
        <v>-0.35278826294423471</v>
      </c>
      <c r="N115" s="1026">
        <f t="shared" ref="N115:O115" si="189">N114</f>
        <v>-0.43192113709307656</v>
      </c>
      <c r="O115" s="1026">
        <f t="shared" si="189"/>
        <v>5.6724079484737455E-2</v>
      </c>
      <c r="P115" s="1687">
        <f>+P114+$Y$115</f>
        <v>0.13300000000000001</v>
      </c>
      <c r="Q115" s="1687">
        <f>+Q114+$Y$115</f>
        <v>0.23300000000000001</v>
      </c>
      <c r="R115" s="1687">
        <f>+R114+$Y$115</f>
        <v>0.193</v>
      </c>
      <c r="S115" s="1687">
        <f>+S114+$Y$115</f>
        <v>0.153</v>
      </c>
      <c r="T115" s="1687">
        <f>+T114+$Z$115</f>
        <v>0.12</v>
      </c>
      <c r="U115" s="1687">
        <f>+U114+$Z$115</f>
        <v>9.9999999999999992E-2</v>
      </c>
      <c r="V115" s="1687">
        <f>+V114+$Z$115</f>
        <v>7.9999999999999988E-2</v>
      </c>
      <c r="W115" s="1687">
        <f>+W114+$Z$115</f>
        <v>5.9999999999999984E-2</v>
      </c>
      <c r="Y115" s="1669">
        <v>3.3000000000000002E-2</v>
      </c>
      <c r="Z115" s="1669">
        <v>0.02</v>
      </c>
      <c r="AC115" s="481"/>
      <c r="AD115" s="481"/>
      <c r="AE115" s="481"/>
      <c r="AF115" s="481"/>
      <c r="AG115" s="481"/>
      <c r="AH115" s="481"/>
    </row>
    <row r="116" spans="1:34">
      <c r="A116" s="157" t="s">
        <v>79</v>
      </c>
      <c r="B116" s="176"/>
      <c r="C116" s="176"/>
      <c r="D116" s="176"/>
      <c r="E116" s="1026">
        <f t="shared" si="185"/>
        <v>0.16576700979161441</v>
      </c>
      <c r="F116" s="1026">
        <f t="shared" si="185"/>
        <v>-4.2777149625800814E-2</v>
      </c>
      <c r="G116" s="1026">
        <f t="shared" si="185"/>
        <v>0.33228337598785052</v>
      </c>
      <c r="H116" s="1026">
        <f t="shared" si="185"/>
        <v>0.17991640631596728</v>
      </c>
      <c r="I116" s="1026">
        <f t="shared" si="185"/>
        <v>-0.14187315502281062</v>
      </c>
      <c r="J116" s="1026">
        <f t="shared" si="185"/>
        <v>0.41019493380590011</v>
      </c>
      <c r="K116" s="1026">
        <f t="shared" si="185"/>
        <v>0.40529272619751633</v>
      </c>
      <c r="L116" s="1026">
        <f t="shared" si="185"/>
        <v>0.77259242115008298</v>
      </c>
      <c r="M116" s="1026">
        <f t="shared" ref="M116" si="190">M115</f>
        <v>-0.35278826294423471</v>
      </c>
      <c r="N116" s="1026">
        <f t="shared" ref="N116:O116" si="191">N115</f>
        <v>-0.43192113709307656</v>
      </c>
      <c r="O116" s="1026">
        <f t="shared" si="191"/>
        <v>5.6724079484737455E-2</v>
      </c>
      <c r="P116" s="1687">
        <f>+P114+$Y116</f>
        <v>0.08</v>
      </c>
      <c r="Q116" s="1687">
        <f>+Q114+$Y116</f>
        <v>0.18000000000000002</v>
      </c>
      <c r="R116" s="1687">
        <f>+R114+$Y116</f>
        <v>0.14000000000000001</v>
      </c>
      <c r="S116" s="1687">
        <f>+S114+$Y116</f>
        <v>9.9999999999999992E-2</v>
      </c>
      <c r="T116" s="1687">
        <f>+T114+$Z116</f>
        <v>8.4999999999999992E-2</v>
      </c>
      <c r="U116" s="1687">
        <f>+U114+$Z116</f>
        <v>6.4999999999999988E-2</v>
      </c>
      <c r="V116" s="1687">
        <f>+V114+$Z116</f>
        <v>4.4999999999999984E-2</v>
      </c>
      <c r="W116" s="1687">
        <f>+W114+$Z116</f>
        <v>2.4999999999999981E-2</v>
      </c>
      <c r="Y116" s="1669">
        <v>-0.02</v>
      </c>
      <c r="Z116" s="1669">
        <v>-1.4999999999999999E-2</v>
      </c>
      <c r="AC116" s="481"/>
      <c r="AD116" s="481"/>
      <c r="AE116" s="481"/>
      <c r="AF116" s="481"/>
      <c r="AG116" s="481"/>
      <c r="AH116" s="481"/>
    </row>
    <row r="117" spans="1:34" s="1401" customFormat="1">
      <c r="A117" s="157"/>
      <c r="B117" s="176"/>
      <c r="C117" s="176"/>
      <c r="D117" s="176"/>
      <c r="E117" s="1026"/>
      <c r="F117" s="1026"/>
      <c r="G117" s="1026"/>
      <c r="H117" s="1026"/>
      <c r="I117" s="1026"/>
      <c r="J117" s="1026"/>
      <c r="K117" s="1026"/>
      <c r="L117" s="1026"/>
      <c r="M117" s="1026"/>
      <c r="N117" s="1026"/>
      <c r="O117" s="1026"/>
      <c r="P117" s="851"/>
      <c r="Q117" s="851"/>
      <c r="R117" s="851"/>
      <c r="S117" s="851"/>
      <c r="T117" s="851"/>
      <c r="U117" s="851"/>
      <c r="V117" s="851"/>
      <c r="W117" s="851"/>
      <c r="AC117" s="481"/>
      <c r="AD117" s="481"/>
      <c r="AE117" s="481"/>
      <c r="AF117" s="481"/>
      <c r="AG117" s="481"/>
      <c r="AH117" s="481"/>
    </row>
    <row r="118" spans="1:34" s="1401" customFormat="1">
      <c r="A118" s="251" t="s">
        <v>1414</v>
      </c>
      <c r="B118" s="176"/>
      <c r="C118" s="176"/>
      <c r="D118" s="450" t="str">
        <f>+Q_IS!B194</f>
        <v>NA</v>
      </c>
      <c r="E118" s="450" t="str">
        <f>+Q_IS!C194</f>
        <v>NA</v>
      </c>
      <c r="F118" s="450" t="str">
        <f>+Q_IS!D194</f>
        <v>NA</v>
      </c>
      <c r="G118" s="450" t="str">
        <f>+Q_IS!E194</f>
        <v>NA</v>
      </c>
      <c r="H118" s="450" t="str">
        <f>+Q_IS!F194</f>
        <v>NA</v>
      </c>
      <c r="I118" s="450" t="str">
        <f>+Q_IS!G194</f>
        <v>NA</v>
      </c>
      <c r="J118" s="450" t="str">
        <f>+Q_IS!H194</f>
        <v>NA</v>
      </c>
      <c r="K118" s="450">
        <f>+Q_IS!I194</f>
        <v>0.60754818951540257</v>
      </c>
      <c r="L118" s="450">
        <f>+Q_IS!J194</f>
        <v>0.84884759230261553</v>
      </c>
      <c r="M118" s="450">
        <f>+Q_IS!K194</f>
        <v>0.92510866461499408</v>
      </c>
      <c r="N118" s="450">
        <f>+Q_IS!L194</f>
        <v>0.66510214309193683</v>
      </c>
      <c r="O118" s="450">
        <f>+Q_IS!M194</f>
        <v>0.55860713135072226</v>
      </c>
      <c r="P118" s="1808">
        <f t="shared" ref="P118:W118" si="192">CHOOSE(Scenario_Input,P119,P120,P121)</f>
        <v>0.71627264635255106</v>
      </c>
      <c r="Q118" s="1808">
        <f t="shared" si="192"/>
        <v>0.71627264635255106</v>
      </c>
      <c r="R118" s="1808">
        <f t="shared" si="192"/>
        <v>0.71627264635255106</v>
      </c>
      <c r="S118" s="1808">
        <f t="shared" si="192"/>
        <v>0.71627264635255106</v>
      </c>
      <c r="T118" s="1808">
        <f t="shared" si="192"/>
        <v>0.71627264635255106</v>
      </c>
      <c r="U118" s="1808">
        <f t="shared" si="192"/>
        <v>0.71627264635255106</v>
      </c>
      <c r="V118" s="1808">
        <f t="shared" si="192"/>
        <v>0.71627264635255106</v>
      </c>
      <c r="W118" s="1808">
        <f t="shared" si="192"/>
        <v>0.71627264635255106</v>
      </c>
      <c r="AC118" s="481"/>
      <c r="AD118" s="481"/>
      <c r="AE118" s="481"/>
      <c r="AF118" s="481"/>
      <c r="AG118" s="481"/>
      <c r="AH118" s="481"/>
    </row>
    <row r="119" spans="1:34" s="1401" customFormat="1">
      <c r="A119" s="157" t="s">
        <v>77</v>
      </c>
      <c r="B119" s="176"/>
      <c r="C119" s="176"/>
      <c r="D119" s="176" t="str">
        <f t="shared" ref="D119" si="193">D118</f>
        <v>NA</v>
      </c>
      <c r="E119" s="1026" t="str">
        <f t="shared" ref="E119:N121" si="194">E118</f>
        <v>NA</v>
      </c>
      <c r="F119" s="1026" t="str">
        <f t="shared" si="194"/>
        <v>NA</v>
      </c>
      <c r="G119" s="1026" t="str">
        <f t="shared" si="194"/>
        <v>NA</v>
      </c>
      <c r="H119" s="1026" t="str">
        <f t="shared" si="194"/>
        <v>NA</v>
      </c>
      <c r="I119" s="1026" t="str">
        <f t="shared" si="194"/>
        <v>NA</v>
      </c>
      <c r="J119" s="1026" t="str">
        <f t="shared" si="194"/>
        <v>NA</v>
      </c>
      <c r="K119" s="1026">
        <f t="shared" si="194"/>
        <v>0.60754818951540257</v>
      </c>
      <c r="L119" s="1026">
        <f t="shared" si="194"/>
        <v>0.84884759230261553</v>
      </c>
      <c r="M119" s="1026">
        <f t="shared" si="194"/>
        <v>0.92510866461499408</v>
      </c>
      <c r="N119" s="1026">
        <f t="shared" si="194"/>
        <v>0.66510214309193683</v>
      </c>
      <c r="O119" s="1026">
        <f t="shared" ref="O119" si="195">O118</f>
        <v>0.55860713135072226</v>
      </c>
      <c r="P119" s="1687">
        <f>+AVERAGE(M119:O119)</f>
        <v>0.71627264635255106</v>
      </c>
      <c r="Q119" s="1687">
        <f>+P119+$Y119</f>
        <v>0.71627264635255106</v>
      </c>
      <c r="R119" s="1687">
        <f>+Q119+$Y119</f>
        <v>0.71627264635255106</v>
      </c>
      <c r="S119" s="1687">
        <f>+R119+$Y119</f>
        <v>0.71627264635255106</v>
      </c>
      <c r="T119" s="1687">
        <f>+S119+$Z119</f>
        <v>0.71627264635255106</v>
      </c>
      <c r="U119" s="1687">
        <f>+T119+$Z119</f>
        <v>0.71627264635255106</v>
      </c>
      <c r="V119" s="1687">
        <f>+U119+$Z119</f>
        <v>0.71627264635255106</v>
      </c>
      <c r="W119" s="1687">
        <f>+V119+$Z119</f>
        <v>0.71627264635255106</v>
      </c>
      <c r="Y119" s="1669">
        <v>0</v>
      </c>
      <c r="Z119" s="1669">
        <v>0</v>
      </c>
      <c r="AC119" s="481"/>
      <c r="AD119" s="481"/>
      <c r="AE119" s="481"/>
      <c r="AF119" s="481"/>
      <c r="AG119" s="481"/>
      <c r="AH119" s="481"/>
    </row>
    <row r="120" spans="1:34" s="1401" customFormat="1">
      <c r="A120" s="157" t="s">
        <v>78</v>
      </c>
      <c r="B120" s="176"/>
      <c r="C120" s="176"/>
      <c r="D120" s="176" t="str">
        <f t="shared" ref="D120" si="196">D119</f>
        <v>NA</v>
      </c>
      <c r="E120" s="1026" t="str">
        <f t="shared" ref="E120:L120" si="197">E119</f>
        <v>NA</v>
      </c>
      <c r="F120" s="1026" t="str">
        <f t="shared" si="197"/>
        <v>NA</v>
      </c>
      <c r="G120" s="1026" t="str">
        <f t="shared" si="197"/>
        <v>NA</v>
      </c>
      <c r="H120" s="1026" t="str">
        <f t="shared" si="197"/>
        <v>NA</v>
      </c>
      <c r="I120" s="1026" t="str">
        <f t="shared" si="197"/>
        <v>NA</v>
      </c>
      <c r="J120" s="1026" t="str">
        <f t="shared" si="197"/>
        <v>NA</v>
      </c>
      <c r="K120" s="1026">
        <f t="shared" si="197"/>
        <v>0.60754818951540257</v>
      </c>
      <c r="L120" s="1026">
        <f t="shared" si="197"/>
        <v>0.84884759230261553</v>
      </c>
      <c r="M120" s="1026">
        <f t="shared" si="194"/>
        <v>0.92510866461499408</v>
      </c>
      <c r="N120" s="1026">
        <f t="shared" si="194"/>
        <v>0.66510214309193683</v>
      </c>
      <c r="O120" s="1026">
        <f t="shared" ref="O120" si="198">O119</f>
        <v>0.55860713135072226</v>
      </c>
      <c r="P120" s="1687">
        <f>+P119+$Y120</f>
        <v>0.72877264635255101</v>
      </c>
      <c r="Q120" s="1687">
        <f>+Q119+$Y120</f>
        <v>0.72877264635255101</v>
      </c>
      <c r="R120" s="1687">
        <f>+R119+$Y120</f>
        <v>0.72877264635255101</v>
      </c>
      <c r="S120" s="1687">
        <f>+S119+$Y120</f>
        <v>0.72877264635255101</v>
      </c>
      <c r="T120" s="1687">
        <f>+T119+$Z120</f>
        <v>0.718772646352551</v>
      </c>
      <c r="U120" s="1687">
        <f>+U119+$Z120</f>
        <v>0.718772646352551</v>
      </c>
      <c r="V120" s="1687">
        <f>+V119+$Z120</f>
        <v>0.718772646352551</v>
      </c>
      <c r="W120" s="1687">
        <f>+W119+$Z120</f>
        <v>0.718772646352551</v>
      </c>
      <c r="Y120" s="1669">
        <v>1.2500000000000001E-2</v>
      </c>
      <c r="Z120" s="1669">
        <v>2.5000000000000001E-3</v>
      </c>
      <c r="AC120" s="481"/>
      <c r="AD120" s="481"/>
      <c r="AE120" s="481"/>
      <c r="AF120" s="481"/>
      <c r="AG120" s="481"/>
      <c r="AH120" s="481"/>
    </row>
    <row r="121" spans="1:34" s="1401" customFormat="1">
      <c r="A121" s="157" t="s">
        <v>79</v>
      </c>
      <c r="B121" s="176"/>
      <c r="C121" s="176"/>
      <c r="D121" s="176" t="str">
        <f t="shared" ref="D121" si="199">D120</f>
        <v>NA</v>
      </c>
      <c r="E121" s="1026" t="str">
        <f t="shared" ref="E121:L121" si="200">E120</f>
        <v>NA</v>
      </c>
      <c r="F121" s="1026" t="str">
        <f t="shared" si="200"/>
        <v>NA</v>
      </c>
      <c r="G121" s="1026" t="str">
        <f t="shared" si="200"/>
        <v>NA</v>
      </c>
      <c r="H121" s="1026" t="str">
        <f t="shared" si="200"/>
        <v>NA</v>
      </c>
      <c r="I121" s="1026" t="str">
        <f t="shared" si="200"/>
        <v>NA</v>
      </c>
      <c r="J121" s="1026" t="str">
        <f t="shared" si="200"/>
        <v>NA</v>
      </c>
      <c r="K121" s="1026">
        <f t="shared" si="200"/>
        <v>0.60754818951540257</v>
      </c>
      <c r="L121" s="1026">
        <f t="shared" si="200"/>
        <v>0.84884759230261553</v>
      </c>
      <c r="M121" s="1026">
        <f t="shared" si="194"/>
        <v>0.92510866461499408</v>
      </c>
      <c r="N121" s="1026">
        <f t="shared" si="194"/>
        <v>0.66510214309193683</v>
      </c>
      <c r="O121" s="1026">
        <f t="shared" ref="O121" si="201">O120</f>
        <v>0.55860713135072226</v>
      </c>
      <c r="P121" s="1687">
        <f>+P119+$Y121</f>
        <v>0.71127264635255105</v>
      </c>
      <c r="Q121" s="1687">
        <f>+Q119+$Y121</f>
        <v>0.71127264635255105</v>
      </c>
      <c r="R121" s="1687">
        <f>+R119+$Y121</f>
        <v>0.71127264635255105</v>
      </c>
      <c r="S121" s="1687">
        <f>+S119+$Y121</f>
        <v>0.71127264635255105</v>
      </c>
      <c r="T121" s="1687">
        <f>+T119+$Z121</f>
        <v>0.71127264635255105</v>
      </c>
      <c r="U121" s="1687">
        <f>+U119+$Z121</f>
        <v>0.71127264635255105</v>
      </c>
      <c r="V121" s="1687">
        <f>+V119+$Z121</f>
        <v>0.71127264635255105</v>
      </c>
      <c r="W121" s="1687">
        <f>+W119+$Z121</f>
        <v>0.71127264635255105</v>
      </c>
      <c r="Y121" s="1669">
        <v>-5.0000000000000001E-3</v>
      </c>
      <c r="Z121" s="1669">
        <v>-5.0000000000000001E-3</v>
      </c>
      <c r="AC121" s="481"/>
      <c r="AD121" s="481"/>
      <c r="AE121" s="481"/>
      <c r="AF121" s="481"/>
      <c r="AG121" s="481"/>
      <c r="AH121" s="481"/>
    </row>
    <row r="122" spans="1:34" s="1401" customFormat="1">
      <c r="A122" s="157"/>
      <c r="B122" s="176"/>
      <c r="C122" s="176"/>
      <c r="D122" s="176"/>
      <c r="E122" s="1026"/>
      <c r="F122" s="1026"/>
      <c r="G122" s="1026"/>
      <c r="H122" s="1026"/>
      <c r="I122" s="1026"/>
      <c r="J122" s="1026"/>
      <c r="K122" s="1026"/>
      <c r="L122" s="1026"/>
      <c r="M122" s="1026"/>
      <c r="N122" s="1026"/>
      <c r="O122" s="1026"/>
      <c r="P122" s="1687"/>
      <c r="Q122" s="1687"/>
      <c r="R122" s="1687"/>
      <c r="S122" s="1687"/>
      <c r="T122" s="1687"/>
      <c r="U122" s="1687"/>
      <c r="V122" s="1687"/>
      <c r="W122" s="1687"/>
      <c r="AC122" s="481"/>
      <c r="AD122" s="481"/>
      <c r="AE122" s="481"/>
      <c r="AF122" s="481"/>
      <c r="AG122" s="481"/>
      <c r="AH122" s="481"/>
    </row>
    <row r="123" spans="1:34" s="1401" customFormat="1">
      <c r="A123" s="251" t="s">
        <v>1621</v>
      </c>
      <c r="B123" s="176"/>
      <c r="C123" s="176"/>
      <c r="D123" s="176"/>
      <c r="E123" s="1026">
        <f>+Q_IS!C198</f>
        <v>0.1694917099799646</v>
      </c>
      <c r="F123" s="1026">
        <f>+Q_IS!D198</f>
        <v>0.26840103927604408</v>
      </c>
      <c r="G123" s="1026">
        <f>+Q_IS!E198</f>
        <v>0.26148599703270609</v>
      </c>
      <c r="H123" s="1026">
        <f>+Q_IS!F198</f>
        <v>0.23410719461973301</v>
      </c>
      <c r="I123" s="1026">
        <f>+Q_IS!G198</f>
        <v>0.25509152191622686</v>
      </c>
      <c r="J123" s="1026">
        <f>+Q_IS!H198</f>
        <v>0.25722719259102106</v>
      </c>
      <c r="K123" s="1026">
        <f>+Q_IS!I198</f>
        <v>0.27687208809049646</v>
      </c>
      <c r="L123" s="1026">
        <f>+Q_IS!J198</f>
        <v>0.22742053965863962</v>
      </c>
      <c r="M123" s="1026">
        <f>+Q_IS!K198</f>
        <v>0.25762893080138072</v>
      </c>
      <c r="N123" s="1026">
        <f>+Q_IS!L198</f>
        <v>0.26536869279993724</v>
      </c>
      <c r="O123" s="1026">
        <f>+Q_IS!M198</f>
        <v>0.24573426461645842</v>
      </c>
      <c r="P123" s="1808">
        <f>CHOOSE(Scenario_Input,P124,P125,P126)</f>
        <v>0.25624396273925881</v>
      </c>
      <c r="Q123" s="1808">
        <f t="shared" ref="Q123:W123" si="202">CHOOSE(Scenario_Input,Q124,Q125,Q126)</f>
        <v>0.25624396273925881</v>
      </c>
      <c r="R123" s="1808">
        <f t="shared" si="202"/>
        <v>0.25624396273925881</v>
      </c>
      <c r="S123" s="1808">
        <f t="shared" si="202"/>
        <v>0.25624396273925881</v>
      </c>
      <c r="T123" s="1808">
        <f t="shared" si="202"/>
        <v>0.25624396273925881</v>
      </c>
      <c r="U123" s="1808">
        <f t="shared" si="202"/>
        <v>0.25624396273925881</v>
      </c>
      <c r="V123" s="1808">
        <f t="shared" si="202"/>
        <v>0.25624396273925881</v>
      </c>
      <c r="W123" s="1808">
        <f t="shared" si="202"/>
        <v>0.25624396273925881</v>
      </c>
      <c r="AC123" s="481"/>
      <c r="AD123" s="481"/>
      <c r="AE123" s="481"/>
      <c r="AF123" s="481"/>
      <c r="AG123" s="481"/>
      <c r="AH123" s="481"/>
    </row>
    <row r="124" spans="1:34" s="1401" customFormat="1">
      <c r="A124" s="157" t="s">
        <v>77</v>
      </c>
      <c r="B124" s="176"/>
      <c r="C124" s="176"/>
      <c r="D124" s="176"/>
      <c r="E124" s="762">
        <f t="shared" ref="E124:O126" si="203">E123</f>
        <v>0.1694917099799646</v>
      </c>
      <c r="F124" s="762">
        <f t="shared" si="203"/>
        <v>0.26840103927604408</v>
      </c>
      <c r="G124" s="762">
        <f t="shared" si="203"/>
        <v>0.26148599703270609</v>
      </c>
      <c r="H124" s="762">
        <f t="shared" si="203"/>
        <v>0.23410719461973301</v>
      </c>
      <c r="I124" s="762">
        <f t="shared" si="203"/>
        <v>0.25509152191622686</v>
      </c>
      <c r="J124" s="762">
        <f t="shared" si="203"/>
        <v>0.25722719259102106</v>
      </c>
      <c r="K124" s="762">
        <f t="shared" si="203"/>
        <v>0.27687208809049646</v>
      </c>
      <c r="L124" s="762">
        <f t="shared" si="203"/>
        <v>0.22742053965863962</v>
      </c>
      <c r="M124" s="762">
        <f t="shared" si="203"/>
        <v>0.25762893080138072</v>
      </c>
      <c r="N124" s="762">
        <f t="shared" si="203"/>
        <v>0.26536869279993724</v>
      </c>
      <c r="O124" s="762">
        <f t="shared" si="203"/>
        <v>0.24573426461645842</v>
      </c>
      <c r="P124" s="2221">
        <f>+AVERAGE(M124:O124)</f>
        <v>0.25624396273925881</v>
      </c>
      <c r="Q124" s="2222">
        <f>+P124+$Y124</f>
        <v>0.25624396273925881</v>
      </c>
      <c r="R124" s="2222">
        <f>+Q124+$Y124</f>
        <v>0.25624396273925881</v>
      </c>
      <c r="S124" s="2222">
        <f>+R124+$Y124</f>
        <v>0.25624396273925881</v>
      </c>
      <c r="T124" s="2222">
        <f>+S124+$Z124</f>
        <v>0.25624396273925881</v>
      </c>
      <c r="U124" s="2222">
        <f>+T124+$Z124</f>
        <v>0.25624396273925881</v>
      </c>
      <c r="V124" s="2222">
        <f>+U124+$Z124</f>
        <v>0.25624396273925881</v>
      </c>
      <c r="W124" s="2222">
        <f>+V124+$Z124</f>
        <v>0.25624396273925881</v>
      </c>
      <c r="Y124" s="1669">
        <v>0</v>
      </c>
      <c r="Z124" s="1669">
        <v>0</v>
      </c>
      <c r="AC124" s="481"/>
      <c r="AD124" s="481"/>
      <c r="AE124" s="481"/>
      <c r="AF124" s="481"/>
      <c r="AG124" s="481"/>
      <c r="AH124" s="481"/>
    </row>
    <row r="125" spans="1:34" s="1401" customFormat="1">
      <c r="A125" s="157" t="s">
        <v>78</v>
      </c>
      <c r="B125" s="176"/>
      <c r="C125" s="176"/>
      <c r="D125" s="176"/>
      <c r="E125" s="762">
        <f t="shared" ref="E125:L125" si="204">E124</f>
        <v>0.1694917099799646</v>
      </c>
      <c r="F125" s="762">
        <f t="shared" si="204"/>
        <v>0.26840103927604408</v>
      </c>
      <c r="G125" s="762">
        <f t="shared" si="204"/>
        <v>0.26148599703270609</v>
      </c>
      <c r="H125" s="762">
        <f t="shared" si="204"/>
        <v>0.23410719461973301</v>
      </c>
      <c r="I125" s="762">
        <f t="shared" si="204"/>
        <v>0.25509152191622686</v>
      </c>
      <c r="J125" s="762">
        <f t="shared" si="204"/>
        <v>0.25722719259102106</v>
      </c>
      <c r="K125" s="762">
        <f t="shared" si="204"/>
        <v>0.27687208809049646</v>
      </c>
      <c r="L125" s="762">
        <f t="shared" si="204"/>
        <v>0.22742053965863962</v>
      </c>
      <c r="M125" s="762">
        <f t="shared" si="203"/>
        <v>0.25762893080138072</v>
      </c>
      <c r="N125" s="762">
        <f t="shared" si="203"/>
        <v>0.26536869279993724</v>
      </c>
      <c r="O125" s="762">
        <f t="shared" si="203"/>
        <v>0.24573426461645842</v>
      </c>
      <c r="P125" s="2222">
        <f>+P124+$Y125</f>
        <v>0.25624396273925881</v>
      </c>
      <c r="Q125" s="2222">
        <f>+Q124+$Y125</f>
        <v>0.25624396273925881</v>
      </c>
      <c r="R125" s="2222">
        <f>+R124+$Y125</f>
        <v>0.25624396273925881</v>
      </c>
      <c r="S125" s="2222">
        <f>+S124+$Y125</f>
        <v>0.25624396273925881</v>
      </c>
      <c r="T125" s="2222">
        <f>+T124+$Z125</f>
        <v>0.25624396273925881</v>
      </c>
      <c r="U125" s="2222">
        <f>+U124+$Z125</f>
        <v>0.25624396273925881</v>
      </c>
      <c r="V125" s="2222">
        <f>+V124+$Z125</f>
        <v>0.25624396273925881</v>
      </c>
      <c r="W125" s="2222">
        <f>+W124+$Z125</f>
        <v>0.25624396273925881</v>
      </c>
      <c r="Y125" s="1669">
        <v>0</v>
      </c>
      <c r="Z125" s="1669">
        <v>0</v>
      </c>
      <c r="AC125" s="481"/>
      <c r="AD125" s="481"/>
      <c r="AE125" s="481"/>
      <c r="AF125" s="481"/>
      <c r="AG125" s="481"/>
      <c r="AH125" s="481"/>
    </row>
    <row r="126" spans="1:34" s="1401" customFormat="1">
      <c r="A126" s="157" t="s">
        <v>79</v>
      </c>
      <c r="B126" s="176"/>
      <c r="C126" s="176"/>
      <c r="D126" s="176"/>
      <c r="E126" s="762">
        <f t="shared" ref="E126:L126" si="205">E125</f>
        <v>0.1694917099799646</v>
      </c>
      <c r="F126" s="762">
        <f t="shared" si="205"/>
        <v>0.26840103927604408</v>
      </c>
      <c r="G126" s="762">
        <f t="shared" si="205"/>
        <v>0.26148599703270609</v>
      </c>
      <c r="H126" s="762">
        <f t="shared" si="205"/>
        <v>0.23410719461973301</v>
      </c>
      <c r="I126" s="762">
        <f t="shared" si="205"/>
        <v>0.25509152191622686</v>
      </c>
      <c r="J126" s="762">
        <f t="shared" si="205"/>
        <v>0.25722719259102106</v>
      </c>
      <c r="K126" s="762">
        <f t="shared" si="205"/>
        <v>0.27687208809049646</v>
      </c>
      <c r="L126" s="762">
        <f t="shared" si="205"/>
        <v>0.22742053965863962</v>
      </c>
      <c r="M126" s="762">
        <f t="shared" si="203"/>
        <v>0.25762893080138072</v>
      </c>
      <c r="N126" s="762">
        <f t="shared" si="203"/>
        <v>0.26536869279993724</v>
      </c>
      <c r="O126" s="762">
        <f t="shared" si="203"/>
        <v>0.24573426461645842</v>
      </c>
      <c r="P126" s="2222">
        <f>+P124+$Y126</f>
        <v>0.25624396273925881</v>
      </c>
      <c r="Q126" s="2222">
        <f>+Q124+$Y126</f>
        <v>0.25624396273925881</v>
      </c>
      <c r="R126" s="2222">
        <f>+R124+$Y126</f>
        <v>0.25624396273925881</v>
      </c>
      <c r="S126" s="2222">
        <f>+S124+$Y126</f>
        <v>0.25624396273925881</v>
      </c>
      <c r="T126" s="2222">
        <f>+T124+$Z126</f>
        <v>0.25624396273925881</v>
      </c>
      <c r="U126" s="2222">
        <f>+U124+$Z126</f>
        <v>0.25624396273925881</v>
      </c>
      <c r="V126" s="2222">
        <f>+V124+$Z126</f>
        <v>0.25624396273925881</v>
      </c>
      <c r="W126" s="2222">
        <f>+W124+$Z126</f>
        <v>0.25624396273925881</v>
      </c>
      <c r="Y126" s="1669">
        <v>0</v>
      </c>
      <c r="Z126" s="1669">
        <v>0</v>
      </c>
      <c r="AC126" s="481"/>
      <c r="AD126" s="481"/>
      <c r="AE126" s="481"/>
      <c r="AF126" s="481"/>
      <c r="AG126" s="481"/>
      <c r="AH126" s="481"/>
    </row>
    <row r="127" spans="1:34" s="1401" customFormat="1">
      <c r="A127" s="157"/>
      <c r="B127" s="176"/>
      <c r="C127" s="176"/>
      <c r="D127" s="176"/>
      <c r="E127" s="1026"/>
      <c r="F127" s="1026"/>
      <c r="G127" s="1026"/>
      <c r="H127" s="1026"/>
      <c r="I127" s="1026"/>
      <c r="J127" s="1026"/>
      <c r="K127" s="1026"/>
      <c r="L127" s="1026"/>
      <c r="M127" s="1026"/>
      <c r="N127" s="1026"/>
      <c r="O127" s="1026"/>
      <c r="P127" s="1687"/>
      <c r="Q127" s="1687"/>
      <c r="R127" s="1687"/>
      <c r="S127" s="1687"/>
      <c r="T127" s="1687"/>
      <c r="U127" s="1687"/>
      <c r="V127" s="1687"/>
      <c r="W127" s="1687"/>
      <c r="AC127" s="481"/>
      <c r="AD127" s="481"/>
      <c r="AE127" s="481"/>
      <c r="AF127" s="481"/>
      <c r="AG127" s="481"/>
      <c r="AH127" s="481"/>
    </row>
    <row r="128" spans="1:34" s="1401" customFormat="1">
      <c r="A128" s="251" t="s">
        <v>1704</v>
      </c>
      <c r="B128" s="176"/>
      <c r="C128" s="176"/>
      <c r="D128" s="176"/>
      <c r="E128" s="2303">
        <f>+Q_BS!E89</f>
        <v>0</v>
      </c>
      <c r="F128" s="2303">
        <f>+Q_BS!F89</f>
        <v>0</v>
      </c>
      <c r="G128" s="2303">
        <f>+Q_BS!G89</f>
        <v>0</v>
      </c>
      <c r="H128" s="2303">
        <f>+Q_BS!H89</f>
        <v>0</v>
      </c>
      <c r="I128" s="2303">
        <f>+Q_BS!I89</f>
        <v>0</v>
      </c>
      <c r="J128" s="2303">
        <f>+Q_BS!J89</f>
        <v>0</v>
      </c>
      <c r="K128" s="2303">
        <f>+Q_BS!K89</f>
        <v>0</v>
      </c>
      <c r="L128" s="2303">
        <f>+Q_BS!L89</f>
        <v>0</v>
      </c>
      <c r="M128" s="2303">
        <f>+Q_BS!M89</f>
        <v>0</v>
      </c>
      <c r="N128" s="2303">
        <f>+Q_BS!N89</f>
        <v>0</v>
      </c>
      <c r="O128" s="2303">
        <f>+Q_BS!O89</f>
        <v>0</v>
      </c>
      <c r="P128" s="2408">
        <f t="shared" ref="P128:W128" si="206">CHOOSE(Scenario_Input,P129,P130,P131)</f>
        <v>70</v>
      </c>
      <c r="Q128" s="2408">
        <f t="shared" si="206"/>
        <v>73.08</v>
      </c>
      <c r="R128" s="2408">
        <f t="shared" si="206"/>
        <v>76.295519999999996</v>
      </c>
      <c r="S128" s="2408">
        <f t="shared" si="206"/>
        <v>79.652522879999992</v>
      </c>
      <c r="T128" s="2408">
        <f t="shared" si="206"/>
        <v>83.157233886719993</v>
      </c>
      <c r="U128" s="2408">
        <f t="shared" si="206"/>
        <v>86.816152177735674</v>
      </c>
      <c r="V128" s="2408">
        <f t="shared" si="206"/>
        <v>90.636062873556043</v>
      </c>
      <c r="W128" s="2408">
        <f t="shared" si="206"/>
        <v>94.624049639992506</v>
      </c>
      <c r="AC128" s="481"/>
      <c r="AD128" s="481"/>
      <c r="AE128" s="481"/>
      <c r="AF128" s="481"/>
      <c r="AG128" s="481"/>
      <c r="AH128" s="481"/>
    </row>
    <row r="129" spans="1:104" s="1401" customFormat="1">
      <c r="A129" s="157" t="s">
        <v>77</v>
      </c>
      <c r="B129" s="176"/>
      <c r="C129" s="176"/>
      <c r="D129" s="176"/>
      <c r="E129" s="2303">
        <f t="shared" ref="E129:O129" si="207">E128</f>
        <v>0</v>
      </c>
      <c r="F129" s="2303">
        <f t="shared" si="207"/>
        <v>0</v>
      </c>
      <c r="G129" s="2303">
        <f t="shared" si="207"/>
        <v>0</v>
      </c>
      <c r="H129" s="2303">
        <f t="shared" si="207"/>
        <v>0</v>
      </c>
      <c r="I129" s="2303">
        <f t="shared" si="207"/>
        <v>0</v>
      </c>
      <c r="J129" s="2303">
        <f t="shared" si="207"/>
        <v>0</v>
      </c>
      <c r="K129" s="2303">
        <f t="shared" si="207"/>
        <v>0</v>
      </c>
      <c r="L129" s="2303">
        <f t="shared" si="207"/>
        <v>0</v>
      </c>
      <c r="M129" s="2303">
        <f t="shared" si="207"/>
        <v>0</v>
      </c>
      <c r="N129" s="2303">
        <f t="shared" si="207"/>
        <v>0</v>
      </c>
      <c r="O129" s="2303">
        <f t="shared" si="207"/>
        <v>0</v>
      </c>
      <c r="P129" s="2357">
        <v>70</v>
      </c>
      <c r="Q129" s="851">
        <f>+P129*(1+Q145)</f>
        <v>73.08</v>
      </c>
      <c r="R129" s="851">
        <f t="shared" ref="R129:T129" si="208">+Q129*(1+R145)</f>
        <v>76.295519999999996</v>
      </c>
      <c r="S129" s="851">
        <f t="shared" si="208"/>
        <v>79.652522879999992</v>
      </c>
      <c r="T129" s="851">
        <f t="shared" si="208"/>
        <v>83.157233886719993</v>
      </c>
      <c r="U129" s="851">
        <f t="shared" ref="U129:W129" si="209">+T129*(1+U145)</f>
        <v>86.816152177735674</v>
      </c>
      <c r="V129" s="851">
        <f t="shared" si="209"/>
        <v>90.636062873556043</v>
      </c>
      <c r="W129" s="851">
        <f t="shared" si="209"/>
        <v>94.624049639992506</v>
      </c>
      <c r="AC129" s="481"/>
      <c r="AD129" s="481"/>
      <c r="AE129" s="481"/>
      <c r="AF129" s="481"/>
      <c r="AG129" s="481"/>
      <c r="AH129" s="481"/>
    </row>
    <row r="130" spans="1:104" s="1401" customFormat="1">
      <c r="A130" s="157" t="s">
        <v>78</v>
      </c>
      <c r="B130" s="176"/>
      <c r="C130" s="176"/>
      <c r="D130" s="176"/>
      <c r="E130" s="2303">
        <f t="shared" ref="E130:O130" si="210">E129</f>
        <v>0</v>
      </c>
      <c r="F130" s="2303">
        <f t="shared" si="210"/>
        <v>0</v>
      </c>
      <c r="G130" s="2303">
        <f t="shared" si="210"/>
        <v>0</v>
      </c>
      <c r="H130" s="2303">
        <f t="shared" si="210"/>
        <v>0</v>
      </c>
      <c r="I130" s="2303">
        <f t="shared" si="210"/>
        <v>0</v>
      </c>
      <c r="J130" s="2303">
        <f t="shared" si="210"/>
        <v>0</v>
      </c>
      <c r="K130" s="2303">
        <f t="shared" si="210"/>
        <v>0</v>
      </c>
      <c r="L130" s="2303">
        <f t="shared" si="210"/>
        <v>0</v>
      </c>
      <c r="M130" s="2303">
        <f t="shared" si="210"/>
        <v>0</v>
      </c>
      <c r="N130" s="2303">
        <f t="shared" si="210"/>
        <v>0</v>
      </c>
      <c r="O130" s="2303">
        <f t="shared" si="210"/>
        <v>0</v>
      </c>
      <c r="P130" s="851">
        <f>+P$129*(1+$Y130)</f>
        <v>66.5</v>
      </c>
      <c r="Q130" s="851">
        <f t="shared" ref="Q130:S131" si="211">+Q$129*(1+$Y130)</f>
        <v>69.426000000000002</v>
      </c>
      <c r="R130" s="851">
        <f t="shared" si="211"/>
        <v>72.480743999999987</v>
      </c>
      <c r="S130" s="851">
        <f t="shared" si="211"/>
        <v>75.669896735999984</v>
      </c>
      <c r="T130" s="851">
        <f>+T$129*(1+$Z130)</f>
        <v>78.999372192383987</v>
      </c>
      <c r="U130" s="851">
        <f t="shared" ref="U130:W131" si="212">+U$129*(1+$Z130)</f>
        <v>82.475344568848882</v>
      </c>
      <c r="V130" s="851">
        <f t="shared" si="212"/>
        <v>86.104259729878237</v>
      </c>
      <c r="W130" s="851">
        <f t="shared" si="212"/>
        <v>89.892847157992875</v>
      </c>
      <c r="Y130" s="1669">
        <v>-0.05</v>
      </c>
      <c r="Z130" s="1669">
        <v>-0.05</v>
      </c>
      <c r="AC130" s="481"/>
      <c r="AD130" s="481"/>
      <c r="AE130" s="481"/>
      <c r="AF130" s="481"/>
      <c r="AG130" s="481"/>
      <c r="AH130" s="481"/>
    </row>
    <row r="131" spans="1:104" s="1401" customFormat="1">
      <c r="A131" s="157" t="s">
        <v>79</v>
      </c>
      <c r="B131" s="176"/>
      <c r="C131" s="176"/>
      <c r="D131" s="176"/>
      <c r="E131" s="2303">
        <f t="shared" ref="E131:O131" si="213">E130</f>
        <v>0</v>
      </c>
      <c r="F131" s="2303">
        <f t="shared" si="213"/>
        <v>0</v>
      </c>
      <c r="G131" s="2303">
        <f t="shared" si="213"/>
        <v>0</v>
      </c>
      <c r="H131" s="2303">
        <f t="shared" si="213"/>
        <v>0</v>
      </c>
      <c r="I131" s="2303">
        <f t="shared" si="213"/>
        <v>0</v>
      </c>
      <c r="J131" s="2303">
        <f t="shared" si="213"/>
        <v>0</v>
      </c>
      <c r="K131" s="2303">
        <f t="shared" si="213"/>
        <v>0</v>
      </c>
      <c r="L131" s="2303">
        <f t="shared" si="213"/>
        <v>0</v>
      </c>
      <c r="M131" s="2303">
        <f t="shared" si="213"/>
        <v>0</v>
      </c>
      <c r="N131" s="2303">
        <f t="shared" si="213"/>
        <v>0</v>
      </c>
      <c r="O131" s="2303">
        <f t="shared" si="213"/>
        <v>0</v>
      </c>
      <c r="P131" s="851">
        <f>+P$129*(1+$Y131)</f>
        <v>77</v>
      </c>
      <c r="Q131" s="851">
        <f t="shared" si="211"/>
        <v>80.388000000000005</v>
      </c>
      <c r="R131" s="851">
        <f t="shared" si="211"/>
        <v>83.925072</v>
      </c>
      <c r="S131" s="851">
        <f t="shared" si="211"/>
        <v>87.617775167999994</v>
      </c>
      <c r="T131" s="851">
        <f>+T$129*(1+$Z131)</f>
        <v>91.472957275392005</v>
      </c>
      <c r="U131" s="851">
        <f t="shared" si="212"/>
        <v>95.497767395509243</v>
      </c>
      <c r="V131" s="851">
        <f t="shared" si="212"/>
        <v>99.699669160911654</v>
      </c>
      <c r="W131" s="851">
        <f t="shared" si="212"/>
        <v>104.08645460399177</v>
      </c>
      <c r="Y131" s="1669">
        <v>0.1</v>
      </c>
      <c r="Z131" s="1669">
        <v>0.1</v>
      </c>
      <c r="AC131" s="481"/>
      <c r="AD131" s="481"/>
      <c r="AE131" s="481"/>
      <c r="AF131" s="481"/>
      <c r="AG131" s="481"/>
      <c r="AH131" s="481"/>
    </row>
    <row r="132" spans="1:104" s="1401" customFormat="1">
      <c r="A132" s="157"/>
      <c r="B132" s="176"/>
      <c r="C132" s="176"/>
      <c r="D132" s="176"/>
      <c r="E132" s="1026"/>
      <c r="F132" s="1026"/>
      <c r="G132" s="1026"/>
      <c r="H132" s="1026"/>
      <c r="I132" s="1026"/>
      <c r="J132" s="1026"/>
      <c r="K132" s="1026"/>
      <c r="L132" s="1026"/>
      <c r="M132" s="1026"/>
      <c r="N132" s="1026"/>
      <c r="O132" s="1026"/>
      <c r="P132" s="1687"/>
      <c r="Q132" s="1687"/>
      <c r="R132" s="1687"/>
      <c r="S132" s="1687"/>
      <c r="T132" s="1687"/>
      <c r="U132" s="1687"/>
      <c r="V132" s="1687"/>
      <c r="W132" s="1687"/>
      <c r="AC132" s="481"/>
      <c r="AD132" s="481"/>
      <c r="AE132" s="481"/>
      <c r="AF132" s="481"/>
      <c r="AG132" s="481"/>
      <c r="AH132" s="481"/>
    </row>
    <row r="133" spans="1:104" s="1401" customFormat="1">
      <c r="A133" s="251" t="s">
        <v>1636</v>
      </c>
      <c r="B133" s="176"/>
      <c r="C133" s="176"/>
      <c r="D133" s="176"/>
      <c r="E133" s="762">
        <f>Q_BS!E85</f>
        <v>0.27612227416591661</v>
      </c>
      <c r="F133" s="762">
        <f>Q_BS!F85</f>
        <v>0.69849905743670504</v>
      </c>
      <c r="G133" s="762">
        <f>Q_BS!G85</f>
        <v>0.57194525613892822</v>
      </c>
      <c r="H133" s="762">
        <f>Q_BS!H85</f>
        <v>0.32368985715215332</v>
      </c>
      <c r="I133" s="762">
        <f>Q_BS!I85</f>
        <v>0.32524275218235665</v>
      </c>
      <c r="J133" s="762">
        <f>Q_BS!J85</f>
        <v>0.34154675601138257</v>
      </c>
      <c r="K133" s="762">
        <f>Q_BS!K85</f>
        <v>0.25720710973535932</v>
      </c>
      <c r="L133" s="762">
        <f>Q_BS!L85</f>
        <v>0.22428788558279034</v>
      </c>
      <c r="M133" s="762">
        <f>Q_BS!M85</f>
        <v>0.26957347488045991</v>
      </c>
      <c r="N133" s="762">
        <f>Q_BS!N85</f>
        <v>0.24770888094393922</v>
      </c>
      <c r="O133" s="762">
        <f>Q_BS!O85</f>
        <v>0.26378392490947022</v>
      </c>
      <c r="P133" s="111">
        <f t="shared" ref="P133:W133" si="214">CHOOSE(Scenario_Input,P134,P135,P136)</f>
        <v>0.25</v>
      </c>
      <c r="Q133" s="111">
        <f t="shared" si="214"/>
        <v>0.25</v>
      </c>
      <c r="R133" s="111">
        <f t="shared" si="214"/>
        <v>0.25</v>
      </c>
      <c r="S133" s="111">
        <f t="shared" si="214"/>
        <v>0.25</v>
      </c>
      <c r="T133" s="111">
        <f t="shared" si="214"/>
        <v>0.25</v>
      </c>
      <c r="U133" s="111">
        <f t="shared" si="214"/>
        <v>0.25</v>
      </c>
      <c r="V133" s="111">
        <f t="shared" si="214"/>
        <v>0.25</v>
      </c>
      <c r="W133" s="111">
        <f t="shared" si="214"/>
        <v>0.25</v>
      </c>
      <c r="AC133" s="481"/>
      <c r="AD133" s="481"/>
      <c r="AE133" s="481"/>
      <c r="AF133" s="481"/>
      <c r="AG133" s="481"/>
      <c r="AH133" s="481"/>
    </row>
    <row r="134" spans="1:104" s="1401" customFormat="1">
      <c r="A134" s="157" t="s">
        <v>77</v>
      </c>
      <c r="B134" s="176"/>
      <c r="C134" s="176"/>
      <c r="D134" s="176"/>
      <c r="E134" s="762">
        <f t="shared" ref="E134:O134" si="215">E133</f>
        <v>0.27612227416591661</v>
      </c>
      <c r="F134" s="762">
        <f t="shared" si="215"/>
        <v>0.69849905743670504</v>
      </c>
      <c r="G134" s="762">
        <f t="shared" si="215"/>
        <v>0.57194525613892822</v>
      </c>
      <c r="H134" s="762">
        <f t="shared" si="215"/>
        <v>0.32368985715215332</v>
      </c>
      <c r="I134" s="762">
        <f t="shared" si="215"/>
        <v>0.32524275218235665</v>
      </c>
      <c r="J134" s="762">
        <f t="shared" si="215"/>
        <v>0.34154675601138257</v>
      </c>
      <c r="K134" s="762">
        <f t="shared" si="215"/>
        <v>0.25720710973535932</v>
      </c>
      <c r="L134" s="762">
        <f t="shared" si="215"/>
        <v>0.22428788558279034</v>
      </c>
      <c r="M134" s="762">
        <f t="shared" si="215"/>
        <v>0.26957347488045991</v>
      </c>
      <c r="N134" s="762">
        <f t="shared" si="215"/>
        <v>0.24770888094393922</v>
      </c>
      <c r="O134" s="762">
        <f t="shared" si="215"/>
        <v>0.26378392490947022</v>
      </c>
      <c r="P134" s="2221">
        <v>0.25</v>
      </c>
      <c r="Q134" s="2222">
        <f t="shared" ref="Q134:W134" si="216">+P134</f>
        <v>0.25</v>
      </c>
      <c r="R134" s="2222">
        <f t="shared" si="216"/>
        <v>0.25</v>
      </c>
      <c r="S134" s="2222">
        <f t="shared" si="216"/>
        <v>0.25</v>
      </c>
      <c r="T134" s="2222">
        <f t="shared" si="216"/>
        <v>0.25</v>
      </c>
      <c r="U134" s="2222">
        <f t="shared" si="216"/>
        <v>0.25</v>
      </c>
      <c r="V134" s="2222">
        <f t="shared" si="216"/>
        <v>0.25</v>
      </c>
      <c r="W134" s="2222">
        <f t="shared" si="216"/>
        <v>0.25</v>
      </c>
      <c r="Y134" s="2356">
        <f>+AVERAGE(M134:P134)</f>
        <v>0.25776657018346733</v>
      </c>
      <c r="Z134" s="2356">
        <f>+Y134</f>
        <v>0.25776657018346733</v>
      </c>
      <c r="AC134" s="481"/>
      <c r="AD134" s="481"/>
      <c r="AE134" s="481"/>
      <c r="AF134" s="481"/>
      <c r="AG134" s="481"/>
      <c r="AH134" s="481"/>
    </row>
    <row r="135" spans="1:104" s="1401" customFormat="1">
      <c r="A135" s="157" t="s">
        <v>78</v>
      </c>
      <c r="B135" s="176"/>
      <c r="C135" s="176"/>
      <c r="D135" s="176"/>
      <c r="E135" s="762">
        <f t="shared" ref="E135:O135" si="217">E134</f>
        <v>0.27612227416591661</v>
      </c>
      <c r="F135" s="762">
        <f t="shared" si="217"/>
        <v>0.69849905743670504</v>
      </c>
      <c r="G135" s="762">
        <f t="shared" si="217"/>
        <v>0.57194525613892822</v>
      </c>
      <c r="H135" s="762">
        <f t="shared" si="217"/>
        <v>0.32368985715215332</v>
      </c>
      <c r="I135" s="762">
        <f t="shared" si="217"/>
        <v>0.32524275218235665</v>
      </c>
      <c r="J135" s="762">
        <f t="shared" si="217"/>
        <v>0.34154675601138257</v>
      </c>
      <c r="K135" s="762">
        <f t="shared" si="217"/>
        <v>0.25720710973535932</v>
      </c>
      <c r="L135" s="762">
        <f t="shared" si="217"/>
        <v>0.22428788558279034</v>
      </c>
      <c r="M135" s="762">
        <f t="shared" si="217"/>
        <v>0.26957347488045991</v>
      </c>
      <c r="N135" s="762">
        <f t="shared" si="217"/>
        <v>0.24770888094393922</v>
      </c>
      <c r="O135" s="762">
        <f t="shared" si="217"/>
        <v>0.26378392490947022</v>
      </c>
      <c r="P135" s="2222">
        <f>+P134+$Y135</f>
        <v>0.24</v>
      </c>
      <c r="Q135" s="2222">
        <f>+Q134+$Y135</f>
        <v>0.24</v>
      </c>
      <c r="R135" s="2222">
        <f>+R134+$Y135</f>
        <v>0.24</v>
      </c>
      <c r="S135" s="2222">
        <f>+S134+$Y135</f>
        <v>0.24</v>
      </c>
      <c r="T135" s="2222">
        <f>+T134+$Z135</f>
        <v>0.24</v>
      </c>
      <c r="U135" s="2222">
        <f>+U134+$Z135</f>
        <v>0.24</v>
      </c>
      <c r="V135" s="2222">
        <f>+V134+$Z135</f>
        <v>0.24</v>
      </c>
      <c r="W135" s="2222">
        <f>+W134+$Z135</f>
        <v>0.24</v>
      </c>
      <c r="Y135" s="2355">
        <v>-0.01</v>
      </c>
      <c r="Z135" s="2355">
        <v>-0.01</v>
      </c>
      <c r="AC135" s="481"/>
      <c r="AD135" s="481"/>
      <c r="AE135" s="481"/>
      <c r="AF135" s="481"/>
      <c r="AG135" s="481"/>
      <c r="AH135" s="481"/>
    </row>
    <row r="136" spans="1:104" s="1401" customFormat="1">
      <c r="A136" s="157" t="s">
        <v>79</v>
      </c>
      <c r="B136" s="176"/>
      <c r="C136" s="176"/>
      <c r="D136" s="176"/>
      <c r="E136" s="762">
        <f t="shared" ref="E136:O136" si="218">E135</f>
        <v>0.27612227416591661</v>
      </c>
      <c r="F136" s="762">
        <f t="shared" si="218"/>
        <v>0.69849905743670504</v>
      </c>
      <c r="G136" s="762">
        <f t="shared" si="218"/>
        <v>0.57194525613892822</v>
      </c>
      <c r="H136" s="762">
        <f t="shared" si="218"/>
        <v>0.32368985715215332</v>
      </c>
      <c r="I136" s="762">
        <f t="shared" si="218"/>
        <v>0.32524275218235665</v>
      </c>
      <c r="J136" s="762">
        <f t="shared" si="218"/>
        <v>0.34154675601138257</v>
      </c>
      <c r="K136" s="762">
        <f t="shared" si="218"/>
        <v>0.25720710973535932</v>
      </c>
      <c r="L136" s="762">
        <f t="shared" si="218"/>
        <v>0.22428788558279034</v>
      </c>
      <c r="M136" s="762">
        <f t="shared" si="218"/>
        <v>0.26957347488045991</v>
      </c>
      <c r="N136" s="762">
        <f t="shared" si="218"/>
        <v>0.24770888094393922</v>
      </c>
      <c r="O136" s="762">
        <f t="shared" si="218"/>
        <v>0.26378392490947022</v>
      </c>
      <c r="P136" s="2222">
        <f>+P134+$Y136</f>
        <v>0.26</v>
      </c>
      <c r="Q136" s="2222">
        <f>+Q134+$Y136</f>
        <v>0.26</v>
      </c>
      <c r="R136" s="2222">
        <f>+R134+$Y136</f>
        <v>0.26</v>
      </c>
      <c r="S136" s="2222">
        <f>+S134+$Y136</f>
        <v>0.26</v>
      </c>
      <c r="T136" s="2222">
        <f>+T134+$Z136</f>
        <v>0.26</v>
      </c>
      <c r="U136" s="2222">
        <f>+U134+$Z136</f>
        <v>0.26</v>
      </c>
      <c r="V136" s="2222">
        <f>+V134+$Z136</f>
        <v>0.26</v>
      </c>
      <c r="W136" s="2222">
        <f>+W134+$Z136</f>
        <v>0.26</v>
      </c>
      <c r="Y136" s="2355">
        <v>0.01</v>
      </c>
      <c r="Z136" s="2355">
        <v>0.01</v>
      </c>
      <c r="AC136" s="481"/>
      <c r="AD136" s="481"/>
      <c r="AE136" s="481"/>
      <c r="AF136" s="481"/>
      <c r="AG136" s="481"/>
      <c r="AH136" s="481"/>
    </row>
    <row r="137" spans="1:104" s="1401" customFormat="1">
      <c r="A137" s="157"/>
      <c r="B137" s="176"/>
      <c r="C137" s="176"/>
      <c r="D137" s="176"/>
      <c r="E137" s="1026"/>
      <c r="F137" s="1026"/>
      <c r="G137" s="1026"/>
      <c r="H137" s="1026"/>
      <c r="I137" s="1026"/>
      <c r="J137" s="1026"/>
      <c r="K137" s="1026"/>
      <c r="L137" s="1026"/>
      <c r="M137" s="1026"/>
      <c r="N137" s="1026"/>
      <c r="O137" s="1026"/>
      <c r="P137" s="1687"/>
      <c r="Q137" s="1687"/>
      <c r="R137" s="1687"/>
      <c r="S137" s="1687"/>
      <c r="T137" s="1687"/>
      <c r="U137" s="1687"/>
      <c r="V137" s="1687"/>
      <c r="W137" s="1687"/>
      <c r="AC137" s="481"/>
      <c r="AD137" s="481"/>
      <c r="AE137" s="481"/>
      <c r="AF137" s="481"/>
      <c r="AG137" s="481"/>
      <c r="AH137" s="481"/>
    </row>
    <row r="138" spans="1:104">
      <c r="A138" s="52" t="s">
        <v>914</v>
      </c>
      <c r="B138" s="598">
        <f>Financials!B74</f>
        <v>-2.6379999999999999</v>
      </c>
      <c r="C138" s="598">
        <f>Financials!C74</f>
        <v>1.0920000000000001</v>
      </c>
      <c r="D138" s="598">
        <f>Financials!D74</f>
        <v>8.6990000000000016</v>
      </c>
      <c r="E138" s="598">
        <f>Financials!E74</f>
        <v>7.6210000000000004</v>
      </c>
      <c r="F138" s="598">
        <f>Financials!F74</f>
        <v>0.97700000000000042</v>
      </c>
      <c r="G138" s="598">
        <f>Financials!G74</f>
        <v>-70.171999999999997</v>
      </c>
      <c r="H138" s="598">
        <f>Financials!H74</f>
        <v>92.875999999999991</v>
      </c>
      <c r="I138" s="598">
        <f>Financials!I74</f>
        <v>23.465000000000003</v>
      </c>
      <c r="J138" s="598">
        <f>Financials!J74</f>
        <v>-22.323</v>
      </c>
      <c r="K138" s="598">
        <f>Financials!K74</f>
        <v>-15.769000000000002</v>
      </c>
      <c r="L138" s="598">
        <f>Financials!L74</f>
        <v>7.488999999999999</v>
      </c>
      <c r="M138" s="598">
        <f>Financials!M74</f>
        <v>-12.562000000000001</v>
      </c>
      <c r="N138" s="598">
        <f>Financials!N74</f>
        <v>-129.185</v>
      </c>
      <c r="O138" s="1437">
        <f>Financials!O74</f>
        <v>-49.898000000000003</v>
      </c>
      <c r="P138" s="2220">
        <f t="shared" ref="P138:S138" si="219">O138</f>
        <v>-49.898000000000003</v>
      </c>
      <c r="Q138" s="2220">
        <f t="shared" si="219"/>
        <v>-49.898000000000003</v>
      </c>
      <c r="R138" s="2220">
        <f t="shared" si="219"/>
        <v>-49.898000000000003</v>
      </c>
      <c r="S138" s="2220">
        <f t="shared" si="219"/>
        <v>-49.898000000000003</v>
      </c>
      <c r="T138" s="2220">
        <f t="shared" ref="T138" si="220">S138</f>
        <v>-49.898000000000003</v>
      </c>
      <c r="U138" s="2220">
        <f t="shared" ref="U138" si="221">T138</f>
        <v>-49.898000000000003</v>
      </c>
      <c r="V138" s="2220">
        <f t="shared" ref="V138" si="222">U138</f>
        <v>-49.898000000000003</v>
      </c>
      <c r="W138" s="2220">
        <f t="shared" ref="W138" si="223">V138</f>
        <v>-49.898000000000003</v>
      </c>
    </row>
    <row r="139" spans="1:104">
      <c r="A139" s="52" t="s">
        <v>226</v>
      </c>
      <c r="B139" s="421">
        <f>Financials!B77</f>
        <v>0.17635736985810807</v>
      </c>
      <c r="C139" s="421">
        <f>Financials!C77</f>
        <v>0.34537386776192769</v>
      </c>
      <c r="D139" s="421">
        <f>Financials!D77</f>
        <v>0.180096295979429</v>
      </c>
      <c r="E139" s="421">
        <f>Financials!E77</f>
        <v>0.15540919520693472</v>
      </c>
      <c r="F139" s="421">
        <f>Financials!F77</f>
        <v>0.31537371441399759</v>
      </c>
      <c r="G139" s="421">
        <f>Financials!G77</f>
        <v>0.40629362141166453</v>
      </c>
      <c r="H139" s="421">
        <f>Financials!H77</f>
        <v>0.28268438481666142</v>
      </c>
      <c r="I139" s="421">
        <f>Financials!I77</f>
        <v>0.27805514120166031</v>
      </c>
      <c r="J139" s="421">
        <f>Financials!J77</f>
        <v>0.23821471333249078</v>
      </c>
      <c r="K139" s="421">
        <f>Financials!K77</f>
        <v>0.25681801974347795</v>
      </c>
      <c r="L139" s="421">
        <f>Financials!L77</f>
        <v>0.31023242268330936</v>
      </c>
      <c r="M139" s="421">
        <f>Financials!M77</f>
        <v>9.1214995804474369E-2</v>
      </c>
      <c r="N139" s="421" t="str">
        <f>Financials!N77</f>
        <v>NM</v>
      </c>
      <c r="O139" s="1044">
        <f>Financials!O77</f>
        <v>0.36286983277712065</v>
      </c>
      <c r="P139" s="2221">
        <v>0.17</v>
      </c>
      <c r="Q139" s="2221">
        <v>0.13</v>
      </c>
      <c r="R139" s="2221">
        <v>0.13</v>
      </c>
      <c r="S139" s="2221">
        <v>0.17</v>
      </c>
      <c r="T139" s="2222">
        <f t="shared" ref="T139:V139" si="224">+S139+2%</f>
        <v>0.19</v>
      </c>
      <c r="U139" s="2222">
        <f t="shared" si="224"/>
        <v>0.21</v>
      </c>
      <c r="V139" s="2222">
        <f t="shared" si="224"/>
        <v>0.22999999999999998</v>
      </c>
      <c r="W139" s="2222">
        <v>0.34</v>
      </c>
    </row>
    <row r="140" spans="1:104">
      <c r="A140" s="52" t="s">
        <v>1162</v>
      </c>
      <c r="B140" s="983">
        <f>Financials!B79</f>
        <v>0</v>
      </c>
      <c r="C140" s="983">
        <f>Financials!C79</f>
        <v>0</v>
      </c>
      <c r="D140" s="983">
        <f>Financials!D79</f>
        <v>0</v>
      </c>
      <c r="E140" s="983">
        <f>Financials!E79</f>
        <v>0</v>
      </c>
      <c r="F140" s="983">
        <f>Financials!F79</f>
        <v>0</v>
      </c>
      <c r="G140" s="983">
        <f>Financials!G79</f>
        <v>6.3950000000000005</v>
      </c>
      <c r="H140" s="983">
        <f>Financials!H79</f>
        <v>-3.0859999999999999</v>
      </c>
      <c r="I140" s="983">
        <f>Financials!I79</f>
        <v>0</v>
      </c>
      <c r="J140" s="983">
        <f>Financials!J79</f>
        <v>0</v>
      </c>
      <c r="K140" s="983">
        <f>Financials!K79</f>
        <v>0</v>
      </c>
      <c r="L140" s="983">
        <f>Financials!L79</f>
        <v>0</v>
      </c>
      <c r="M140" s="983">
        <f>Financials!M79</f>
        <v>-2.2589999999999999</v>
      </c>
      <c r="N140" s="983">
        <f>Financials!N79</f>
        <v>0</v>
      </c>
      <c r="O140" s="935">
        <f>Financials!O79</f>
        <v>0</v>
      </c>
      <c r="P140" s="851">
        <f>O140/Financials!O78*Financials!P78</f>
        <v>0</v>
      </c>
      <c r="Q140" s="851">
        <f>P140/Financials!P78*Financials!Q78</f>
        <v>0</v>
      </c>
      <c r="R140" s="851">
        <f>Q140/Financials!Q78*Financials!R78</f>
        <v>0</v>
      </c>
      <c r="S140" s="851">
        <f>R140/Financials!R78*Financials!S78</f>
        <v>0</v>
      </c>
      <c r="T140" s="851"/>
      <c r="U140" s="851"/>
      <c r="V140" s="851"/>
      <c r="W140" s="851"/>
    </row>
    <row r="141" spans="1:104">
      <c r="B141" s="260"/>
      <c r="C141" s="260"/>
      <c r="D141" s="260"/>
      <c r="E141" s="260"/>
      <c r="F141" s="260"/>
      <c r="G141" s="260"/>
      <c r="H141" s="260"/>
      <c r="I141" s="260"/>
      <c r="J141" s="260"/>
      <c r="K141" s="260"/>
      <c r="L141" s="260"/>
      <c r="M141" s="260"/>
      <c r="N141" s="2255"/>
      <c r="O141" s="2255"/>
      <c r="P141" s="2255"/>
      <c r="Q141" s="2255"/>
      <c r="R141" s="2255"/>
      <c r="S141" s="2255"/>
      <c r="T141" s="2255"/>
      <c r="U141" s="2255"/>
      <c r="V141" s="2255"/>
      <c r="W141" s="2255"/>
      <c r="AB141" s="107">
        <f>2.07/22.89</f>
        <v>9.0432503276539969E-2</v>
      </c>
    </row>
    <row r="142" spans="1:104" ht="12.75" customHeight="1">
      <c r="A142" s="704" t="s">
        <v>849</v>
      </c>
      <c r="B142" s="720">
        <f t="shared" ref="B142:O142" si="225">C142-1</f>
        <v>2004</v>
      </c>
      <c r="C142" s="720">
        <f t="shared" si="225"/>
        <v>2005</v>
      </c>
      <c r="D142" s="720">
        <f t="shared" si="225"/>
        <v>2006</v>
      </c>
      <c r="E142" s="720">
        <f t="shared" si="225"/>
        <v>2007</v>
      </c>
      <c r="F142" s="720">
        <f t="shared" si="225"/>
        <v>2008</v>
      </c>
      <c r="G142" s="720">
        <f t="shared" si="225"/>
        <v>2009</v>
      </c>
      <c r="H142" s="720">
        <f t="shared" si="225"/>
        <v>2010</v>
      </c>
      <c r="I142" s="720">
        <f t="shared" si="225"/>
        <v>2011</v>
      </c>
      <c r="J142" s="720">
        <f t="shared" si="225"/>
        <v>2012</v>
      </c>
      <c r="K142" s="720">
        <f t="shared" si="225"/>
        <v>2013</v>
      </c>
      <c r="L142" s="720">
        <f t="shared" si="225"/>
        <v>2014</v>
      </c>
      <c r="M142" s="720">
        <f t="shared" si="225"/>
        <v>2015</v>
      </c>
      <c r="N142" s="720">
        <f t="shared" si="225"/>
        <v>2016</v>
      </c>
      <c r="O142" s="1681">
        <f t="shared" si="225"/>
        <v>2017</v>
      </c>
      <c r="P142" s="2214">
        <f t="shared" ref="P142:W142" si="226">+P$13</f>
        <v>2018</v>
      </c>
      <c r="Q142" s="2214">
        <f t="shared" si="226"/>
        <v>2019</v>
      </c>
      <c r="R142" s="2214">
        <f t="shared" si="226"/>
        <v>2020</v>
      </c>
      <c r="S142" s="2214">
        <f t="shared" si="226"/>
        <v>2021</v>
      </c>
      <c r="T142" s="2214">
        <f t="shared" si="226"/>
        <v>2022</v>
      </c>
      <c r="U142" s="2214">
        <f t="shared" si="226"/>
        <v>2023</v>
      </c>
      <c r="V142" s="2214">
        <f t="shared" si="226"/>
        <v>2024</v>
      </c>
      <c r="W142" s="2214">
        <f t="shared" si="226"/>
        <v>2025</v>
      </c>
      <c r="X142" s="706"/>
      <c r="Y142" s="706"/>
      <c r="Z142" s="706"/>
      <c r="AB142" s="481"/>
      <c r="AC142" s="481"/>
      <c r="AD142" s="481"/>
      <c r="AE142" s="481"/>
      <c r="AF142" s="481"/>
      <c r="AG142" s="481"/>
      <c r="AH142" s="481"/>
      <c r="AI142" s="481"/>
    </row>
    <row r="143" spans="1:104">
      <c r="A143" s="1652" t="s">
        <v>231</v>
      </c>
      <c r="B143" s="580"/>
      <c r="C143" s="580"/>
      <c r="D143" s="580"/>
      <c r="E143" s="580"/>
      <c r="F143" s="580"/>
      <c r="G143" s="580"/>
      <c r="H143" s="580"/>
      <c r="I143" s="580"/>
      <c r="J143" s="580"/>
      <c r="K143" s="580"/>
      <c r="L143" s="580"/>
      <c r="M143" s="580"/>
      <c r="N143" s="580"/>
      <c r="O143" s="580"/>
      <c r="P143" s="580"/>
      <c r="Q143" s="580"/>
      <c r="R143" s="580"/>
      <c r="S143" s="581"/>
      <c r="T143" s="581"/>
      <c r="U143" s="581"/>
      <c r="V143" s="581"/>
      <c r="W143" s="581"/>
      <c r="BU143" s="1401"/>
      <c r="BV143" s="1401"/>
      <c r="BW143" s="1401"/>
      <c r="BX143" s="1401"/>
      <c r="BY143" s="1401"/>
      <c r="CW143" s="577"/>
      <c r="CX143" s="577"/>
      <c r="CY143" s="577"/>
      <c r="CZ143" s="577"/>
    </row>
    <row r="144" spans="1:104" ht="12.75" customHeight="1">
      <c r="A144" s="251" t="s">
        <v>349</v>
      </c>
      <c r="B144" s="2331">
        <f t="shared" ref="B144:O144" si="227">+B145</f>
        <v>8.8752585625066271E-2</v>
      </c>
      <c r="C144" s="2331">
        <f t="shared" si="227"/>
        <v>7.121928591303589E-2</v>
      </c>
      <c r="D144" s="2331">
        <f t="shared" si="227"/>
        <v>5.0522991469455381E-2</v>
      </c>
      <c r="E144" s="2331">
        <f t="shared" si="227"/>
        <v>3.4704697069920909E-2</v>
      </c>
      <c r="F144" s="2331">
        <f t="shared" si="227"/>
        <v>4.8187620876895876E-2</v>
      </c>
      <c r="G144" s="2331">
        <f t="shared" si="227"/>
        <v>5.5052053039257864E-2</v>
      </c>
      <c r="H144" s="2331">
        <f t="shared" si="227"/>
        <v>4.7110046337424438E-2</v>
      </c>
      <c r="I144" s="2331">
        <f t="shared" si="227"/>
        <v>6.0568012604496915E-2</v>
      </c>
      <c r="J144" s="2331">
        <f t="shared" si="227"/>
        <v>6.3250000000000001E-2</v>
      </c>
      <c r="K144" s="2331">
        <f t="shared" si="227"/>
        <v>5.8250000000000003E-2</v>
      </c>
      <c r="L144" s="2331">
        <f t="shared" si="227"/>
        <v>6.0249999999999991E-2</v>
      </c>
      <c r="M144" s="2331">
        <f t="shared" si="227"/>
        <v>7.4750000000000011E-2</v>
      </c>
      <c r="N144" s="2331">
        <f t="shared" si="227"/>
        <v>9.6000000000000002E-2</v>
      </c>
      <c r="O144" s="2331">
        <f t="shared" si="227"/>
        <v>5.6499999999999995E-2</v>
      </c>
      <c r="P144" s="111">
        <f t="shared" ref="P144:W144" si="228">CHOOSE(Scenario_Input,P145,P146,P147)</f>
        <v>3.875E-2</v>
      </c>
      <c r="Q144" s="111">
        <f t="shared" si="228"/>
        <v>4.3999999999999997E-2</v>
      </c>
      <c r="R144" s="111">
        <f t="shared" si="228"/>
        <v>4.3999999999999997E-2</v>
      </c>
      <c r="S144" s="111">
        <f t="shared" si="228"/>
        <v>4.3999999999999997E-2</v>
      </c>
      <c r="T144" s="111">
        <f t="shared" si="228"/>
        <v>4.3999999999999997E-2</v>
      </c>
      <c r="U144" s="111">
        <f t="shared" si="228"/>
        <v>4.3999999999999997E-2</v>
      </c>
      <c r="V144" s="111">
        <f t="shared" si="228"/>
        <v>4.3999999999999997E-2</v>
      </c>
      <c r="W144" s="111">
        <f t="shared" si="228"/>
        <v>4.3999999999999997E-2</v>
      </c>
      <c r="X144" s="732"/>
      <c r="Y144" s="732"/>
      <c r="Z144" s="732"/>
      <c r="AB144" s="175"/>
      <c r="AC144" s="175"/>
      <c r="AD144" s="175"/>
      <c r="AE144" s="175"/>
      <c r="AF144" s="175"/>
      <c r="AG144" s="175"/>
    </row>
    <row r="145" spans="1:101" s="1401" customFormat="1" ht="12.75" customHeight="1">
      <c r="A145" s="157" t="s">
        <v>77</v>
      </c>
      <c r="B145" s="583">
        <v>8.8752585625066271E-2</v>
      </c>
      <c r="C145" s="583">
        <v>7.121928591303589E-2</v>
      </c>
      <c r="D145" s="583">
        <v>5.0522991469455381E-2</v>
      </c>
      <c r="E145" s="583">
        <v>3.4704697069920909E-2</v>
      </c>
      <c r="F145" s="583">
        <v>4.8187620876895876E-2</v>
      </c>
      <c r="G145" s="583">
        <v>5.5052053039257864E-2</v>
      </c>
      <c r="H145" s="583">
        <v>4.7110046337424438E-2</v>
      </c>
      <c r="I145" s="583">
        <v>6.0568012604496915E-2</v>
      </c>
      <c r="J145" s="583">
        <v>6.3250000000000001E-2</v>
      </c>
      <c r="K145" s="583">
        <v>5.8250000000000003E-2</v>
      </c>
      <c r="L145" s="583">
        <v>6.0249999999999991E-2</v>
      </c>
      <c r="M145" s="583">
        <v>7.4750000000000011E-2</v>
      </c>
      <c r="N145" s="583">
        <v>9.6000000000000002E-2</v>
      </c>
      <c r="O145" s="583">
        <v>5.6499999999999995E-2</v>
      </c>
      <c r="P145" s="2334">
        <v>3.875E-2</v>
      </c>
      <c r="Q145" s="2334">
        <v>4.3999999999999997E-2</v>
      </c>
      <c r="R145" s="2334">
        <v>4.3999999999999997E-2</v>
      </c>
      <c r="S145" s="2334">
        <v>4.3999999999999997E-2</v>
      </c>
      <c r="T145" s="2334">
        <v>4.3999999999999997E-2</v>
      </c>
      <c r="U145" s="2334">
        <v>4.3999999999999997E-2</v>
      </c>
      <c r="V145" s="2334">
        <v>4.3999999999999997E-2</v>
      </c>
      <c r="W145" s="2334">
        <v>4.3999999999999997E-2</v>
      </c>
      <c r="X145" s="732"/>
      <c r="Y145" s="732"/>
      <c r="Z145" s="732"/>
      <c r="AB145" s="175"/>
      <c r="AC145" s="175"/>
      <c r="AD145" s="175"/>
      <c r="AE145" s="175"/>
      <c r="AF145" s="175"/>
      <c r="AG145" s="175"/>
    </row>
    <row r="146" spans="1:101" s="1401" customFormat="1" ht="12.75" customHeight="1">
      <c r="A146" s="157" t="s">
        <v>78</v>
      </c>
      <c r="B146" s="2332">
        <f t="shared" ref="B146:O146" si="229">B145</f>
        <v>8.8752585625066271E-2</v>
      </c>
      <c r="C146" s="2332">
        <f t="shared" si="229"/>
        <v>7.121928591303589E-2</v>
      </c>
      <c r="D146" s="2332">
        <f t="shared" si="229"/>
        <v>5.0522991469455381E-2</v>
      </c>
      <c r="E146" s="2332">
        <f t="shared" si="229"/>
        <v>3.4704697069920909E-2</v>
      </c>
      <c r="F146" s="2332">
        <f t="shared" si="229"/>
        <v>4.8187620876895876E-2</v>
      </c>
      <c r="G146" s="2332">
        <f t="shared" si="229"/>
        <v>5.5052053039257864E-2</v>
      </c>
      <c r="H146" s="2332">
        <f t="shared" si="229"/>
        <v>4.7110046337424438E-2</v>
      </c>
      <c r="I146" s="2332">
        <f t="shared" si="229"/>
        <v>6.0568012604496915E-2</v>
      </c>
      <c r="J146" s="2332">
        <f t="shared" si="229"/>
        <v>6.3250000000000001E-2</v>
      </c>
      <c r="K146" s="2332">
        <f t="shared" si="229"/>
        <v>5.8250000000000003E-2</v>
      </c>
      <c r="L146" s="2332">
        <f t="shared" si="229"/>
        <v>6.0249999999999991E-2</v>
      </c>
      <c r="M146" s="2332">
        <f t="shared" si="229"/>
        <v>7.4750000000000011E-2</v>
      </c>
      <c r="N146" s="2332">
        <f t="shared" si="229"/>
        <v>9.6000000000000002E-2</v>
      </c>
      <c r="O146" s="2333">
        <f t="shared" si="229"/>
        <v>5.6499999999999995E-2</v>
      </c>
      <c r="P146" s="2334">
        <f>+P145+$Y146</f>
        <v>3.3750000000000002E-2</v>
      </c>
      <c r="Q146" s="2334">
        <f>+Q145+$Y146</f>
        <v>3.9E-2</v>
      </c>
      <c r="R146" s="2334">
        <f>+R145+$Y146</f>
        <v>3.9E-2</v>
      </c>
      <c r="S146" s="2334">
        <f>+S145+$Y146</f>
        <v>3.9E-2</v>
      </c>
      <c r="T146" s="2334">
        <f>+T145+$Z146</f>
        <v>3.3999999999999996E-2</v>
      </c>
      <c r="U146" s="2334">
        <f>+U145+$Z146</f>
        <v>3.3999999999999996E-2</v>
      </c>
      <c r="V146" s="2334">
        <f>+V145+$Z146</f>
        <v>3.3999999999999996E-2</v>
      </c>
      <c r="W146" s="2334">
        <f>+W145+$Z146</f>
        <v>3.3999999999999996E-2</v>
      </c>
      <c r="X146" s="732"/>
      <c r="Y146" s="1669">
        <v>-5.0000000000000001E-3</v>
      </c>
      <c r="Z146" s="1669">
        <v>-0.01</v>
      </c>
      <c r="AB146" s="175"/>
      <c r="AC146" s="175"/>
      <c r="AD146" s="175"/>
      <c r="AE146" s="175"/>
      <c r="AF146" s="175"/>
      <c r="AG146" s="175"/>
    </row>
    <row r="147" spans="1:101" s="1401" customFormat="1" ht="12.75" customHeight="1">
      <c r="A147" s="157" t="s">
        <v>79</v>
      </c>
      <c r="B147" s="2332">
        <f t="shared" ref="B147:D147" si="230">B146</f>
        <v>8.8752585625066271E-2</v>
      </c>
      <c r="C147" s="2332">
        <f t="shared" si="230"/>
        <v>7.121928591303589E-2</v>
      </c>
      <c r="D147" s="2332">
        <f t="shared" si="230"/>
        <v>5.0522991469455381E-2</v>
      </c>
      <c r="E147" s="2332">
        <f t="shared" ref="E147:O147" si="231">E146</f>
        <v>3.4704697069920909E-2</v>
      </c>
      <c r="F147" s="2332">
        <f t="shared" si="231"/>
        <v>4.8187620876895876E-2</v>
      </c>
      <c r="G147" s="2332">
        <f t="shared" si="231"/>
        <v>5.5052053039257864E-2</v>
      </c>
      <c r="H147" s="2332">
        <f t="shared" si="231"/>
        <v>4.7110046337424438E-2</v>
      </c>
      <c r="I147" s="2332">
        <f t="shared" si="231"/>
        <v>6.0568012604496915E-2</v>
      </c>
      <c r="J147" s="2332">
        <f t="shared" si="231"/>
        <v>6.3250000000000001E-2</v>
      </c>
      <c r="K147" s="2332">
        <f t="shared" si="231"/>
        <v>5.8250000000000003E-2</v>
      </c>
      <c r="L147" s="2332">
        <f t="shared" si="231"/>
        <v>6.0249999999999991E-2</v>
      </c>
      <c r="M147" s="2332">
        <f t="shared" si="231"/>
        <v>7.4750000000000011E-2</v>
      </c>
      <c r="N147" s="2332">
        <f t="shared" si="231"/>
        <v>9.6000000000000002E-2</v>
      </c>
      <c r="O147" s="2333">
        <f t="shared" si="231"/>
        <v>5.6499999999999995E-2</v>
      </c>
      <c r="P147" s="2334">
        <f>+P145+$Y147</f>
        <v>4.3749999999999997E-2</v>
      </c>
      <c r="Q147" s="2334">
        <f>+Q145+$Y147</f>
        <v>4.8999999999999995E-2</v>
      </c>
      <c r="R147" s="2334">
        <f>+R145+$Y147</f>
        <v>4.8999999999999995E-2</v>
      </c>
      <c r="S147" s="2334">
        <f>+S145+$Y147</f>
        <v>4.8999999999999995E-2</v>
      </c>
      <c r="T147" s="2334">
        <f>+T145+$Z147</f>
        <v>4.7E-2</v>
      </c>
      <c r="U147" s="2334">
        <f>+U145+$Z147</f>
        <v>4.7E-2</v>
      </c>
      <c r="V147" s="2334">
        <f>+V145+$Z147</f>
        <v>4.7E-2</v>
      </c>
      <c r="W147" s="2334">
        <f>+W145+$Z147</f>
        <v>4.7E-2</v>
      </c>
      <c r="X147" s="732"/>
      <c r="Y147" s="1669">
        <v>5.0000000000000001E-3</v>
      </c>
      <c r="Z147" s="1669">
        <v>3.0000000000000001E-3</v>
      </c>
      <c r="AB147" s="175"/>
      <c r="AC147" s="175"/>
      <c r="AD147" s="175"/>
      <c r="AE147" s="175"/>
      <c r="AF147" s="175"/>
      <c r="AG147" s="175"/>
    </row>
    <row r="148" spans="1:101" s="1401" customFormat="1" ht="12.75" customHeight="1">
      <c r="A148" s="157"/>
      <c r="B148" s="2332"/>
      <c r="C148" s="2332"/>
      <c r="D148" s="2332"/>
      <c r="E148" s="2332"/>
      <c r="F148" s="2332"/>
      <c r="G148" s="2332"/>
      <c r="H148" s="2332"/>
      <c r="I148" s="2332"/>
      <c r="J148" s="2332"/>
      <c r="K148" s="2332"/>
      <c r="L148" s="2332"/>
      <c r="M148" s="2332"/>
      <c r="N148" s="2332"/>
      <c r="O148" s="2333"/>
      <c r="P148" s="2334"/>
      <c r="Q148" s="2334"/>
      <c r="R148" s="2334"/>
      <c r="S148" s="2334"/>
      <c r="T148" s="2334"/>
      <c r="U148" s="2334"/>
      <c r="V148" s="2334"/>
      <c r="W148" s="2334"/>
      <c r="X148" s="732"/>
      <c r="Y148" s="732"/>
      <c r="Z148" s="732"/>
      <c r="AA148" s="732"/>
      <c r="AB148" s="175"/>
      <c r="AC148" s="175"/>
      <c r="AD148" s="175"/>
      <c r="AE148" s="175"/>
      <c r="AF148" s="175"/>
      <c r="AG148" s="175"/>
    </row>
    <row r="149" spans="1:101">
      <c r="A149" s="1654" t="s">
        <v>1627</v>
      </c>
      <c r="B149" s="583">
        <f>AVERAGE(Macroeconomic!C19:F19)</f>
        <v>2.0050000000000002E-2</v>
      </c>
      <c r="C149" s="583">
        <f>AVERAGE(Macroeconomic!G19:J19)</f>
        <v>2.9899999999999999E-2</v>
      </c>
      <c r="D149" s="583">
        <f>AVERAGE(Macroeconomic!K19:N19)</f>
        <v>3.5424999999999998E-2</v>
      </c>
      <c r="E149" s="583">
        <f>AVERAGE(Macroeconomic!O19:R19)</f>
        <v>3.0224999999999998E-2</v>
      </c>
      <c r="F149" s="583">
        <f>AVERAGE(Macroeconomic!S19:V19)</f>
        <v>3.4000000000000002E-2</v>
      </c>
      <c r="G149" s="583">
        <f>AVERAGE(Macroeconomic!W19:Z19)</f>
        <v>2.4E-2</v>
      </c>
      <c r="H149" s="583">
        <f>AVERAGE(Macroeconomic!AA19:AD19)</f>
        <v>5.7499999999999999E-3</v>
      </c>
      <c r="I149" s="583">
        <f>AVERAGE(Macroeconomic!AE19:AH19)</f>
        <v>1.6E-2</v>
      </c>
      <c r="J149" s="583">
        <f>AVERAGE(Macroeconomic!AI19:AL19)</f>
        <v>3.3000000000000002E-2</v>
      </c>
      <c r="K149" s="583">
        <f>AVERAGE(Macroeconomic!AM19:AP19)</f>
        <v>1.7750000000000002E-2</v>
      </c>
      <c r="L149" s="583">
        <f>AVERAGE(Macroeconomic!AQ19:AT19)</f>
        <v>1.3749999999999998E-2</v>
      </c>
      <c r="M149" s="583">
        <f>AVERAGE(Macroeconomic!AU19:AX19)</f>
        <v>2.2000000000000002E-2</v>
      </c>
      <c r="N149" s="583">
        <f>AVERAGE(Macroeconomic!AY19:BB19)</f>
        <v>1.8250000000000002E-2</v>
      </c>
      <c r="O149" s="583">
        <f>AVERAGE(Macroeconomic!BC19:BF19)</f>
        <v>1.575E-2</v>
      </c>
      <c r="P149" s="2334">
        <f>AVERAGE(Macroeconomic!BG19:BJ19)</f>
        <v>2.4E-2</v>
      </c>
      <c r="Q149" s="2334">
        <f>AVERAGE(Macroeconomic!BK19:BN19)</f>
        <v>2.4E-2</v>
      </c>
      <c r="R149" s="2334">
        <f>AVERAGE(Macroeconomic!BO19:BR19)</f>
        <v>2.4E-2</v>
      </c>
      <c r="S149" s="2334">
        <f>AVERAGE(Macroeconomic!BS19:BV19)</f>
        <v>2.4E-2</v>
      </c>
      <c r="T149" s="2334">
        <f>AVERAGE(Macroeconomic!BT19:BW19)</f>
        <v>2.4E-2</v>
      </c>
      <c r="U149" s="2334">
        <f>AVERAGE(Macroeconomic!BU19:BX19)</f>
        <v>2.4E-2</v>
      </c>
      <c r="V149" s="2334">
        <f>AVERAGE(Macroeconomic!BV19:BY19)</f>
        <v>2.4E-2</v>
      </c>
      <c r="W149" s="2334">
        <f>AVERAGE(Macroeconomic!BW19:BZ19)</f>
        <v>2.4E-2</v>
      </c>
      <c r="BR149" s="1401"/>
      <c r="BS149" s="1401"/>
      <c r="BT149" s="1401"/>
      <c r="BU149" s="1401"/>
      <c r="BV149" s="1401"/>
      <c r="CT149" s="590"/>
      <c r="CU149" s="590"/>
      <c r="CV149" s="590"/>
      <c r="CW149" s="590"/>
    </row>
    <row r="150" spans="1:101" s="1401" customFormat="1" ht="12.75" customHeight="1">
      <c r="A150" s="251"/>
      <c r="B150" s="2223"/>
      <c r="C150" s="2223"/>
      <c r="D150" s="2223"/>
      <c r="E150" s="2223"/>
      <c r="F150" s="2223"/>
      <c r="G150" s="2223"/>
      <c r="H150" s="2223"/>
      <c r="I150" s="2223"/>
      <c r="J150" s="2223"/>
      <c r="K150" s="2223"/>
      <c r="L150" s="2223"/>
      <c r="M150" s="2223"/>
      <c r="N150" s="2223"/>
      <c r="O150" s="2224"/>
      <c r="P150" s="1695"/>
      <c r="Q150" s="1695"/>
      <c r="R150" s="1695"/>
      <c r="S150" s="1695"/>
      <c r="T150" s="1695"/>
      <c r="U150" s="1695"/>
      <c r="V150" s="1695"/>
      <c r="W150" s="1695"/>
      <c r="X150" s="732"/>
      <c r="Y150" s="732"/>
      <c r="Z150" s="732"/>
      <c r="AB150" s="175"/>
      <c r="AC150" s="175"/>
      <c r="AD150" s="175"/>
      <c r="AE150" s="175"/>
      <c r="AF150" s="175"/>
      <c r="AG150" s="175"/>
    </row>
    <row r="151" spans="1:101" s="1401" customFormat="1" ht="12.75" customHeight="1">
      <c r="A151" s="1654" t="s">
        <v>1703</v>
      </c>
      <c r="B151" s="2332">
        <v>5.679E-2</v>
      </c>
      <c r="C151" s="2332">
        <v>3.2000000000000001E-2</v>
      </c>
      <c r="D151" s="2332">
        <v>0.04</v>
      </c>
      <c r="E151" s="2332">
        <v>6.0999999999999999E-2</v>
      </c>
      <c r="F151" s="2332">
        <v>5.0999999999999997E-2</v>
      </c>
      <c r="G151" s="2332">
        <v>-3.0000000000000001E-3</v>
      </c>
      <c r="H151" s="2332">
        <v>7.4890304978230349E-2</v>
      </c>
      <c r="I151" s="2332">
        <v>3.9E-2</v>
      </c>
      <c r="J151" s="2332">
        <v>1.9E-2</v>
      </c>
      <c r="K151" s="2332">
        <v>0.03</v>
      </c>
      <c r="L151" s="2332">
        <v>5.0000000000000001E-3</v>
      </c>
      <c r="M151" s="2332">
        <v>-3.7999999999999999E-2</v>
      </c>
      <c r="N151" s="2332">
        <v>-3.5999999999999997E-2</v>
      </c>
      <c r="O151" s="2333">
        <v>5.0000000000000001E-3</v>
      </c>
      <c r="P151" s="2398">
        <v>2.5000000000000001E-2</v>
      </c>
      <c r="Q151" s="2398">
        <v>1.7999999999999999E-2</v>
      </c>
      <c r="R151" s="2398">
        <v>1.7999999999999999E-2</v>
      </c>
      <c r="S151" s="2398">
        <v>1.7999999999999999E-2</v>
      </c>
      <c r="T151" s="2398">
        <v>1.7999999999999999E-2</v>
      </c>
      <c r="U151" s="2398">
        <v>1.7999999999999999E-2</v>
      </c>
      <c r="V151" s="2398">
        <v>1.7999999999999999E-2</v>
      </c>
      <c r="W151" s="2398">
        <v>1.7999999999999999E-2</v>
      </c>
      <c r="X151" s="732"/>
      <c r="Y151" s="732"/>
      <c r="Z151" s="732"/>
      <c r="AB151" s="175"/>
      <c r="AC151" s="175"/>
      <c r="AD151" s="175"/>
      <c r="AE151" s="175"/>
      <c r="AF151" s="175"/>
      <c r="AG151" s="175"/>
    </row>
    <row r="152" spans="1:101" s="1401" customFormat="1" ht="12.75" customHeight="1">
      <c r="A152" s="251"/>
      <c r="B152" s="2223"/>
      <c r="C152" s="2223"/>
      <c r="D152" s="2223"/>
      <c r="E152" s="2223"/>
      <c r="F152" s="2223"/>
      <c r="G152" s="2223"/>
      <c r="H152" s="2223"/>
      <c r="I152" s="2223"/>
      <c r="J152" s="2223"/>
      <c r="K152" s="2223"/>
      <c r="L152" s="2223"/>
      <c r="M152" s="2223"/>
      <c r="N152" s="2223"/>
      <c r="O152" s="2224"/>
      <c r="P152" s="1695"/>
      <c r="Q152" s="1695"/>
      <c r="R152" s="1695"/>
      <c r="S152" s="1695"/>
      <c r="T152" s="1695"/>
      <c r="U152" s="1695"/>
      <c r="V152" s="1695"/>
      <c r="W152" s="1695"/>
      <c r="X152" s="732"/>
      <c r="Y152" s="732"/>
      <c r="Z152" s="732"/>
      <c r="AB152" s="175"/>
      <c r="AC152" s="175"/>
      <c r="AD152" s="175"/>
      <c r="AE152" s="175"/>
      <c r="AF152" s="175"/>
      <c r="AG152" s="175"/>
    </row>
    <row r="153" spans="1:101">
      <c r="A153" s="1653" t="s">
        <v>350</v>
      </c>
      <c r="B153" s="580"/>
      <c r="C153" s="580"/>
      <c r="D153" s="580"/>
      <c r="E153" s="580"/>
      <c r="F153" s="580"/>
      <c r="G153" s="580"/>
      <c r="H153" s="580"/>
      <c r="I153" s="580"/>
      <c r="J153" s="580"/>
      <c r="K153" s="580"/>
      <c r="L153" s="580"/>
      <c r="M153" s="580"/>
      <c r="N153" s="580"/>
      <c r="O153" s="580"/>
      <c r="P153" s="581"/>
      <c r="Q153" s="2335"/>
      <c r="R153" s="581"/>
      <c r="S153" s="581"/>
      <c r="T153" s="581"/>
      <c r="U153" s="581"/>
      <c r="V153" s="581"/>
      <c r="W153" s="581"/>
      <c r="BR153" s="1401"/>
      <c r="BS153" s="1401"/>
      <c r="BT153" s="1401"/>
      <c r="BU153" s="1401"/>
      <c r="BV153" s="1401"/>
      <c r="CT153" s="585"/>
      <c r="CU153" s="585"/>
      <c r="CV153" s="585"/>
      <c r="CW153" s="585"/>
    </row>
    <row r="154" spans="1:101">
      <c r="A154" s="582" t="s">
        <v>351</v>
      </c>
      <c r="B154" s="2329">
        <f>Macroeconomic!F17</f>
        <v>2.915</v>
      </c>
      <c r="C154" s="2329">
        <f>Macroeconomic!J17</f>
        <v>2.6585000000000001</v>
      </c>
      <c r="D154" s="2329">
        <f>Macroeconomic!N17</f>
        <v>2.1706000000000003</v>
      </c>
      <c r="E154" s="2329">
        <f>Macroeconomic!R17</f>
        <v>2.0460000000000003</v>
      </c>
      <c r="F154" s="2329">
        <f>Macroeconomic!V17</f>
        <v>1.7519</v>
      </c>
      <c r="G154" s="2329">
        <f>Macroeconomic!Z17</f>
        <v>2.3228</v>
      </c>
      <c r="H154" s="2329">
        <f>Macroeconomic!AD17</f>
        <v>1.7806</v>
      </c>
      <c r="I154" s="2329">
        <f>Macroeconomic!AH17</f>
        <v>1.6282999999999999</v>
      </c>
      <c r="J154" s="2329">
        <f>Macroeconomic!AL17</f>
        <v>1.8218000000000001</v>
      </c>
      <c r="K154" s="2329">
        <f>Macroeconomic!AP17</f>
        <v>2.0134999999999996</v>
      </c>
      <c r="L154" s="2329">
        <f>Macroeconomic!AT17</f>
        <v>2.2627000000000002</v>
      </c>
      <c r="M154" s="2329">
        <f>Macroeconomic!AX17</f>
        <v>3.2077</v>
      </c>
      <c r="N154" s="2329">
        <f>Macroeconomic!BB17</f>
        <v>3.5586000000000002</v>
      </c>
      <c r="O154" s="2329">
        <f>Macroeconomic!BF17</f>
        <v>3.4</v>
      </c>
      <c r="P154" s="2304">
        <f>Macroeconomic!BJ17</f>
        <v>3.1</v>
      </c>
      <c r="Q154" s="2304">
        <f>Macroeconomic!BN17</f>
        <v>3.3</v>
      </c>
      <c r="R154" s="2304">
        <f>Macroeconomic!BR17</f>
        <v>3.3</v>
      </c>
      <c r="S154" s="2304">
        <f>Macroeconomic!BV17</f>
        <v>3.3</v>
      </c>
      <c r="T154" s="2304">
        <f>Macroeconomic!BW17</f>
        <v>3.3</v>
      </c>
      <c r="U154" s="2304">
        <f>Macroeconomic!BX17</f>
        <v>3.3</v>
      </c>
      <c r="V154" s="2304">
        <f>Macroeconomic!BY17</f>
        <v>3.3</v>
      </c>
      <c r="W154" s="2304">
        <f>Macroeconomic!BZ17</f>
        <v>3.3</v>
      </c>
      <c r="BR154" s="1401"/>
      <c r="BS154" s="1401"/>
      <c r="BT154" s="1401"/>
      <c r="BU154" s="1401"/>
      <c r="BV154" s="1401"/>
      <c r="CT154" s="589"/>
      <c r="CU154" s="589"/>
      <c r="CV154" s="589"/>
      <c r="CW154" s="589"/>
    </row>
    <row r="155" spans="1:101">
      <c r="A155" s="582" t="s">
        <v>352</v>
      </c>
      <c r="B155" s="191">
        <f>AVERAGE(Macroeconomic!C18:F18)</f>
        <v>2.9517500000000001</v>
      </c>
      <c r="C155" s="2330">
        <f>AVERAGE(Macroeconomic!G18:J18)</f>
        <v>2.8496875000000008</v>
      </c>
      <c r="D155" s="2330">
        <f>AVERAGE(Macroeconomic!K18:N18)</f>
        <v>2.3333000000000004</v>
      </c>
      <c r="E155" s="2330">
        <f>AVERAGE(Macroeconomic!O18:R18)</f>
        <v>2.1446375000000004</v>
      </c>
      <c r="F155" s="2330">
        <f>AVERAGE(Macroeconomic!S18:V18)</f>
        <v>1.8542000000000001</v>
      </c>
      <c r="G155" s="2330">
        <f>AVERAGE(Macroeconomic!W18:Z18)</f>
        <v>1.9502000000000002</v>
      </c>
      <c r="H155" s="2330">
        <f>AVERAGE(Macroeconomic!AA18:AD18)</f>
        <v>1.8971999999999998</v>
      </c>
      <c r="I155" s="2330">
        <f>AVERAGE(Macroeconomic!AE18:AH18)</f>
        <v>1.7265250000000001</v>
      </c>
      <c r="J155" s="2330">
        <f>AVERAGE(Macroeconomic!AI18:AL18)</f>
        <v>1.7008749999999999</v>
      </c>
      <c r="K155" s="2330">
        <f>AVERAGE(Macroeconomic!AM18:AP18)</f>
        <v>2.0124499999999999</v>
      </c>
      <c r="L155" s="2330">
        <f>AVERAGE(Macroeconomic!AQ18:AT18)</f>
        <v>2.2357750000000003</v>
      </c>
      <c r="M155" s="2330">
        <f>AVERAGE(Macroeconomic!AU18:AX18)</f>
        <v>2.5110000000000001</v>
      </c>
      <c r="N155" s="2330">
        <f>AVERAGE(Macroeconomic!AY18:BB18)</f>
        <v>3.5905875000000003</v>
      </c>
      <c r="O155" s="2330">
        <f>AVERAGE(Macroeconomic!BC18:BF18)</f>
        <v>3.3073250000000001</v>
      </c>
      <c r="P155" s="2304">
        <f>AVERAGE(Macroeconomic!BG18:BJ18)</f>
        <v>3.1274999999999995</v>
      </c>
      <c r="Q155" s="2304">
        <f>AVERAGE(Macroeconomic!BK18:BN18)</f>
        <v>3.2249999999999996</v>
      </c>
      <c r="R155" s="2304">
        <f>AVERAGE(Macroeconomic!BO18:BR18)</f>
        <v>3.3</v>
      </c>
      <c r="S155" s="2304">
        <f>AVERAGE(Macroeconomic!BS18:BV18)</f>
        <v>3.3</v>
      </c>
      <c r="T155" s="2304">
        <f>AVERAGE(Macroeconomic!BT18:BW18)</f>
        <v>3.3</v>
      </c>
      <c r="U155" s="2304">
        <f>AVERAGE(Macroeconomic!BU18:BX18)</f>
        <v>3.3</v>
      </c>
      <c r="V155" s="2304">
        <f>AVERAGE(Macroeconomic!BV18:BY18)</f>
        <v>3.3</v>
      </c>
      <c r="W155" s="2304">
        <f>AVERAGE(Macroeconomic!BW18:BZ18)</f>
        <v>3.3</v>
      </c>
      <c r="BR155" s="1401"/>
      <c r="BS155" s="1401"/>
      <c r="BT155" s="1401"/>
      <c r="BU155" s="1401"/>
      <c r="BV155" s="1401"/>
    </row>
    <row r="156" spans="1:101" ht="12.75" customHeight="1">
      <c r="A156" s="236"/>
      <c r="B156" s="176"/>
      <c r="C156" s="176"/>
      <c r="D156" s="176"/>
      <c r="E156" s="176"/>
      <c r="F156" s="176"/>
      <c r="G156" s="176"/>
      <c r="H156" s="2225"/>
      <c r="I156" s="2225"/>
      <c r="J156" s="2225"/>
      <c r="K156" s="2225"/>
      <c r="L156" s="2225"/>
      <c r="M156" s="2225"/>
      <c r="N156" s="2225"/>
      <c r="O156" s="875"/>
      <c r="P156" s="2226"/>
      <c r="Q156" s="2226"/>
      <c r="R156" s="2226"/>
      <c r="S156" s="2226"/>
      <c r="T156" s="2226"/>
      <c r="U156" s="2226"/>
      <c r="V156" s="2226"/>
      <c r="W156" s="2226"/>
      <c r="X156" s="721"/>
      <c r="Y156" s="721"/>
      <c r="Z156" s="721"/>
      <c r="AB156" s="175"/>
      <c r="AC156" s="175"/>
      <c r="AD156" s="175"/>
      <c r="AE156" s="175"/>
      <c r="AF156" s="175"/>
      <c r="AG156" s="175"/>
    </row>
    <row r="157" spans="1:101" ht="12.75" customHeight="1">
      <c r="A157" s="704" t="s">
        <v>850</v>
      </c>
      <c r="B157" s="720">
        <f t="shared" ref="B157:O157" si="232">C157-1</f>
        <v>2004</v>
      </c>
      <c r="C157" s="720">
        <f t="shared" si="232"/>
        <v>2005</v>
      </c>
      <c r="D157" s="720">
        <f t="shared" si="232"/>
        <v>2006</v>
      </c>
      <c r="E157" s="720">
        <f t="shared" si="232"/>
        <v>2007</v>
      </c>
      <c r="F157" s="720">
        <f t="shared" si="232"/>
        <v>2008</v>
      </c>
      <c r="G157" s="720">
        <f t="shared" si="232"/>
        <v>2009</v>
      </c>
      <c r="H157" s="720">
        <f t="shared" si="232"/>
        <v>2010</v>
      </c>
      <c r="I157" s="720">
        <f t="shared" si="232"/>
        <v>2011</v>
      </c>
      <c r="J157" s="720">
        <f t="shared" si="232"/>
        <v>2012</v>
      </c>
      <c r="K157" s="720">
        <f t="shared" si="232"/>
        <v>2013</v>
      </c>
      <c r="L157" s="720">
        <f t="shared" si="232"/>
        <v>2014</v>
      </c>
      <c r="M157" s="720">
        <f t="shared" si="232"/>
        <v>2015</v>
      </c>
      <c r="N157" s="720">
        <f t="shared" si="232"/>
        <v>2016</v>
      </c>
      <c r="O157" s="1681">
        <f t="shared" si="232"/>
        <v>2017</v>
      </c>
      <c r="P157" s="2214">
        <f t="shared" ref="P157:W157" si="233">+P$13</f>
        <v>2018</v>
      </c>
      <c r="Q157" s="2214">
        <f t="shared" si="233"/>
        <v>2019</v>
      </c>
      <c r="R157" s="2214">
        <f t="shared" si="233"/>
        <v>2020</v>
      </c>
      <c r="S157" s="2214">
        <f t="shared" si="233"/>
        <v>2021</v>
      </c>
      <c r="T157" s="2214">
        <f t="shared" si="233"/>
        <v>2022</v>
      </c>
      <c r="U157" s="2214">
        <f t="shared" si="233"/>
        <v>2023</v>
      </c>
      <c r="V157" s="2214">
        <f t="shared" si="233"/>
        <v>2024</v>
      </c>
      <c r="W157" s="2214">
        <f t="shared" si="233"/>
        <v>2025</v>
      </c>
      <c r="X157" s="706"/>
      <c r="Y157" s="706"/>
      <c r="Z157" s="706"/>
      <c r="AB157" s="481"/>
      <c r="AC157" s="481"/>
      <c r="AD157" s="481"/>
      <c r="AE157" s="481"/>
      <c r="AF157" s="481"/>
      <c r="AG157" s="481"/>
      <c r="AH157" s="481"/>
      <c r="AI157" s="481"/>
    </row>
    <row r="158" spans="1:101" s="251" customFormat="1" ht="12.75" customHeight="1">
      <c r="A158" s="251" t="s">
        <v>851</v>
      </c>
      <c r="B158" s="2215"/>
      <c r="C158" s="2215"/>
      <c r="D158" s="2215"/>
      <c r="E158" s="2215"/>
      <c r="F158" s="2215"/>
      <c r="G158" s="2215"/>
      <c r="H158" s="707"/>
      <c r="I158" s="707"/>
      <c r="J158" s="707"/>
      <c r="K158" s="707"/>
      <c r="L158" s="707"/>
      <c r="M158" s="707"/>
      <c r="N158" s="707"/>
      <c r="O158" s="743"/>
      <c r="P158" s="744"/>
      <c r="Q158" s="744"/>
      <c r="R158" s="2215"/>
      <c r="S158" s="2227">
        <f>CHOOSE(Scenario_Input,S159,S160,S161)</f>
        <v>0.04</v>
      </c>
      <c r="T158" s="2227"/>
      <c r="U158" s="2227"/>
      <c r="V158" s="2227"/>
      <c r="W158" s="2227"/>
      <c r="X158" s="707"/>
      <c r="Y158" s="707"/>
      <c r="Z158" s="707"/>
    </row>
    <row r="159" spans="1:101">
      <c r="A159" s="236" t="s">
        <v>77</v>
      </c>
      <c r="B159" s="176"/>
      <c r="C159" s="176"/>
      <c r="D159" s="176"/>
      <c r="E159" s="176"/>
      <c r="F159" s="176"/>
      <c r="G159" s="176"/>
      <c r="H159" s="712"/>
      <c r="I159" s="712"/>
      <c r="J159" s="712"/>
      <c r="K159" s="712"/>
      <c r="L159" s="712"/>
      <c r="M159" s="712"/>
      <c r="N159" s="712"/>
      <c r="O159" s="1682"/>
      <c r="P159" s="711"/>
      <c r="Q159" s="711"/>
      <c r="R159" s="260"/>
      <c r="S159" s="2228">
        <v>0.04</v>
      </c>
      <c r="T159" s="2227"/>
      <c r="U159" s="2227"/>
      <c r="V159" s="2227"/>
      <c r="W159" s="2227"/>
      <c r="X159" s="712"/>
      <c r="Y159" s="712"/>
      <c r="Z159" s="712"/>
      <c r="AB159" s="175"/>
      <c r="AC159" s="175"/>
      <c r="AD159" s="175"/>
      <c r="AE159" s="175"/>
      <c r="AF159" s="175"/>
      <c r="AG159" s="175"/>
    </row>
    <row r="160" spans="1:101">
      <c r="A160" s="236" t="s">
        <v>78</v>
      </c>
      <c r="B160" s="176"/>
      <c r="C160" s="176"/>
      <c r="D160" s="176"/>
      <c r="E160" s="176"/>
      <c r="F160" s="176"/>
      <c r="G160" s="176"/>
      <c r="H160" s="712"/>
      <c r="I160" s="712"/>
      <c r="J160" s="712"/>
      <c r="K160" s="712"/>
      <c r="L160" s="712"/>
      <c r="M160" s="712"/>
      <c r="N160" s="712"/>
      <c r="O160" s="1682"/>
      <c r="P160" s="711"/>
      <c r="Q160" s="711"/>
      <c r="R160" s="260"/>
      <c r="S160" s="2228">
        <f>+S159+Y160</f>
        <v>0.05</v>
      </c>
      <c r="T160" s="2227"/>
      <c r="U160" s="2227"/>
      <c r="V160" s="2227"/>
      <c r="W160" s="2227"/>
      <c r="X160" s="712"/>
      <c r="Y160" s="1669">
        <v>0.01</v>
      </c>
      <c r="Z160" s="712"/>
      <c r="AB160" s="175"/>
      <c r="AC160" s="175"/>
      <c r="AD160" s="175"/>
      <c r="AE160" s="175"/>
      <c r="AF160" s="175"/>
      <c r="AG160" s="175"/>
    </row>
    <row r="161" spans="1:33">
      <c r="A161" s="236" t="s">
        <v>79</v>
      </c>
      <c r="B161" s="176"/>
      <c r="C161" s="176"/>
      <c r="D161" s="176"/>
      <c r="E161" s="176"/>
      <c r="F161" s="176"/>
      <c r="G161" s="176"/>
      <c r="H161" s="712"/>
      <c r="I161" s="712"/>
      <c r="J161" s="712"/>
      <c r="K161" s="712"/>
      <c r="L161" s="712"/>
      <c r="M161" s="712"/>
      <c r="N161" s="712"/>
      <c r="O161" s="1682"/>
      <c r="P161" s="711"/>
      <c r="Q161" s="711"/>
      <c r="R161" s="260"/>
      <c r="S161" s="2228">
        <f>+S159+Y161</f>
        <v>0.03</v>
      </c>
      <c r="T161" s="2227"/>
      <c r="U161" s="2227"/>
      <c r="V161" s="2227"/>
      <c r="W161" s="2227"/>
      <c r="X161" s="712"/>
      <c r="Y161" s="1669">
        <v>-0.01</v>
      </c>
      <c r="Z161" s="712"/>
      <c r="AB161" s="175"/>
      <c r="AC161" s="175"/>
      <c r="AD161" s="175"/>
      <c r="AE161" s="175"/>
      <c r="AF161" s="175"/>
      <c r="AG161" s="175"/>
    </row>
    <row r="162" spans="1:33">
      <c r="A162" s="236"/>
      <c r="B162" s="176"/>
      <c r="C162" s="176"/>
      <c r="D162" s="176"/>
      <c r="E162" s="176"/>
      <c r="F162" s="176"/>
      <c r="G162" s="176"/>
      <c r="H162" s="176"/>
      <c r="I162" s="176"/>
      <c r="J162" s="176"/>
      <c r="K162" s="176"/>
      <c r="L162" s="176"/>
      <c r="M162" s="176"/>
      <c r="N162" s="176"/>
      <c r="O162" s="216"/>
      <c r="P162" s="2229"/>
      <c r="Q162" s="2229"/>
      <c r="R162" s="2229"/>
      <c r="S162" s="2229"/>
      <c r="T162" s="2229"/>
      <c r="U162" s="2229"/>
      <c r="V162" s="2229"/>
      <c r="W162" s="2229"/>
      <c r="X162" s="175"/>
      <c r="Y162" s="175"/>
      <c r="Z162" s="175"/>
      <c r="AB162" s="175"/>
      <c r="AC162" s="175"/>
      <c r="AD162" s="175"/>
      <c r="AE162" s="175"/>
      <c r="AF162" s="175"/>
      <c r="AG162" s="175"/>
    </row>
    <row r="163" spans="1:33">
      <c r="A163" s="704" t="s">
        <v>852</v>
      </c>
      <c r="B163" s="720"/>
      <c r="C163" s="720"/>
      <c r="D163" s="720"/>
      <c r="E163" s="720"/>
      <c r="F163" s="720"/>
      <c r="G163" s="720"/>
      <c r="H163" s="720"/>
      <c r="I163" s="720"/>
      <c r="J163" s="720"/>
      <c r="K163" s="720"/>
      <c r="L163" s="720"/>
      <c r="M163" s="720"/>
      <c r="N163" s="720"/>
      <c r="O163" s="1681"/>
      <c r="P163" s="2214">
        <f t="shared" ref="P163:W163" si="234">+P$13</f>
        <v>2018</v>
      </c>
      <c r="Q163" s="2214">
        <f t="shared" si="234"/>
        <v>2019</v>
      </c>
      <c r="R163" s="2214">
        <f t="shared" si="234"/>
        <v>2020</v>
      </c>
      <c r="S163" s="2214">
        <f t="shared" si="234"/>
        <v>2021</v>
      </c>
      <c r="T163" s="2214">
        <f t="shared" si="234"/>
        <v>2022</v>
      </c>
      <c r="U163" s="2214">
        <f t="shared" si="234"/>
        <v>2023</v>
      </c>
      <c r="V163" s="2214">
        <f t="shared" si="234"/>
        <v>2024</v>
      </c>
      <c r="W163" s="2214">
        <f t="shared" si="234"/>
        <v>2025</v>
      </c>
      <c r="X163" s="175"/>
      <c r="Y163" s="175"/>
      <c r="Z163" s="175"/>
      <c r="AB163" s="175"/>
      <c r="AC163" s="175"/>
      <c r="AD163" s="175"/>
      <c r="AE163" s="175"/>
      <c r="AF163" s="175"/>
      <c r="AG163" s="175"/>
    </row>
    <row r="164" spans="1:33" s="14" customFormat="1">
      <c r="A164" s="251" t="s">
        <v>1123</v>
      </c>
      <c r="B164" s="2230"/>
      <c r="C164" s="2230"/>
      <c r="D164" s="2230"/>
      <c r="E164" s="2230"/>
      <c r="F164" s="2230"/>
      <c r="G164" s="2230"/>
      <c r="H164" s="2230"/>
      <c r="I164" s="2230"/>
      <c r="J164" s="2230"/>
      <c r="K164" s="2230"/>
      <c r="L164" s="2230"/>
      <c r="M164" s="2230"/>
      <c r="N164" s="2230"/>
      <c r="O164" s="2428">
        <f t="shared" ref="O164" si="235">CHOOSE(Scenario_Input,O165,O166,O167)</f>
        <v>75</v>
      </c>
      <c r="P164" s="2216"/>
      <c r="Q164" s="2232"/>
      <c r="R164" s="2216"/>
      <c r="S164" s="2216"/>
      <c r="T164" s="2216"/>
      <c r="U164" s="2216"/>
      <c r="V164" s="2216"/>
      <c r="W164" s="2216"/>
      <c r="X164" s="183"/>
      <c r="Y164" s="183"/>
      <c r="Z164" s="183"/>
      <c r="AA164" s="2425" t="s">
        <v>1721</v>
      </c>
      <c r="AB164" s="2425" t="s">
        <v>1722</v>
      </c>
      <c r="AC164" s="183"/>
      <c r="AD164" s="183"/>
      <c r="AE164" s="183"/>
      <c r="AF164" s="183"/>
      <c r="AG164" s="183"/>
    </row>
    <row r="165" spans="1:33">
      <c r="A165" s="236" t="s">
        <v>77</v>
      </c>
      <c r="B165" s="2230"/>
      <c r="C165" s="2230"/>
      <c r="D165" s="2230"/>
      <c r="E165" s="2230"/>
      <c r="F165" s="2230"/>
      <c r="G165" s="2230"/>
      <c r="H165" s="2230"/>
      <c r="I165" s="2230"/>
      <c r="J165" s="2230"/>
      <c r="K165" s="2230"/>
      <c r="L165" s="2230"/>
      <c r="M165" s="2230"/>
      <c r="N165" s="2230"/>
      <c r="O165" s="2299">
        <v>75</v>
      </c>
      <c r="P165" s="176"/>
      <c r="Q165" s="260"/>
      <c r="R165" s="176"/>
      <c r="S165" s="176"/>
      <c r="T165" s="176"/>
      <c r="U165" s="176"/>
      <c r="V165" s="176"/>
      <c r="W165" s="176"/>
      <c r="X165" s="175"/>
      <c r="Y165" s="175"/>
      <c r="Z165" s="175"/>
      <c r="AA165" s="2427">
        <v>75</v>
      </c>
      <c r="AB165" s="2427">
        <v>65</v>
      </c>
      <c r="AC165" s="175"/>
      <c r="AD165" s="175"/>
      <c r="AE165" s="175"/>
      <c r="AF165" s="175"/>
      <c r="AG165" s="175"/>
    </row>
    <row r="166" spans="1:33">
      <c r="A166" s="236" t="s">
        <v>78</v>
      </c>
      <c r="B166" s="2230"/>
      <c r="C166" s="2230"/>
      <c r="D166" s="2230"/>
      <c r="E166" s="2230"/>
      <c r="F166" s="2230"/>
      <c r="G166" s="2230"/>
      <c r="H166" s="2230"/>
      <c r="I166" s="2230"/>
      <c r="J166" s="2230"/>
      <c r="K166" s="2230"/>
      <c r="L166" s="2230"/>
      <c r="M166" s="2230"/>
      <c r="N166" s="2230"/>
      <c r="O166" s="2299">
        <v>120</v>
      </c>
      <c r="P166" s="176"/>
      <c r="Q166" s="260"/>
      <c r="R166" s="176"/>
      <c r="S166" s="176"/>
      <c r="T166" s="176"/>
      <c r="U166" s="176"/>
      <c r="V166" s="176"/>
      <c r="W166" s="176"/>
      <c r="X166" s="175"/>
      <c r="Y166" s="175"/>
      <c r="Z166" s="175"/>
      <c r="AA166" s="175"/>
      <c r="AB166" s="2427">
        <v>100</v>
      </c>
      <c r="AC166" s="175"/>
      <c r="AD166" s="175"/>
      <c r="AE166" s="175"/>
      <c r="AF166" s="175"/>
      <c r="AG166" s="175"/>
    </row>
    <row r="167" spans="1:33">
      <c r="A167" s="236" t="s">
        <v>79</v>
      </c>
      <c r="B167" s="2230"/>
      <c r="C167" s="2230"/>
      <c r="D167" s="2230"/>
      <c r="E167" s="2230"/>
      <c r="F167" s="2230"/>
      <c r="G167" s="2230"/>
      <c r="H167" s="2230"/>
      <c r="I167" s="2230"/>
      <c r="J167" s="2230"/>
      <c r="K167" s="2230"/>
      <c r="L167" s="2230"/>
      <c r="M167" s="2230"/>
      <c r="N167" s="2230"/>
      <c r="O167" s="2299">
        <v>65</v>
      </c>
      <c r="P167" s="176"/>
      <c r="Q167" s="260"/>
      <c r="R167" s="176"/>
      <c r="S167" s="176"/>
      <c r="T167" s="176"/>
      <c r="U167" s="176"/>
      <c r="V167" s="176"/>
      <c r="W167" s="176"/>
      <c r="X167" s="175"/>
      <c r="Y167" s="175"/>
      <c r="Z167" s="175"/>
      <c r="AA167" s="175"/>
      <c r="AB167" s="2427">
        <v>45</v>
      </c>
      <c r="AC167" s="175"/>
      <c r="AD167" s="175"/>
      <c r="AE167" s="175"/>
      <c r="AF167" s="175"/>
      <c r="AG167" s="175"/>
    </row>
    <row r="168" spans="1:33">
      <c r="A168" s="884"/>
      <c r="B168" s="2230"/>
      <c r="C168" s="2230"/>
      <c r="D168" s="2230"/>
      <c r="E168" s="2230"/>
      <c r="F168" s="2230"/>
      <c r="G168" s="2230"/>
      <c r="H168" s="2230"/>
      <c r="I168" s="2230"/>
      <c r="J168" s="2230"/>
      <c r="K168" s="2230"/>
      <c r="L168" s="2230"/>
      <c r="M168" s="2230"/>
      <c r="N168" s="2230"/>
      <c r="O168" s="2231"/>
      <c r="P168" s="176"/>
      <c r="Q168" s="260"/>
      <c r="R168" s="176"/>
      <c r="S168" s="176"/>
      <c r="T168" s="176"/>
      <c r="U168" s="176"/>
      <c r="V168" s="176"/>
      <c r="W168" s="176"/>
      <c r="X168" s="175"/>
      <c r="Y168" s="175"/>
      <c r="Z168" s="175"/>
      <c r="AB168" s="175"/>
      <c r="AC168" s="175"/>
      <c r="AD168" s="175"/>
      <c r="AE168" s="175"/>
      <c r="AF168" s="175"/>
      <c r="AG168" s="175"/>
    </row>
    <row r="169" spans="1:33">
      <c r="A169" s="251" t="s">
        <v>1124</v>
      </c>
      <c r="B169" s="2230"/>
      <c r="C169" s="2230"/>
      <c r="D169" s="2230"/>
      <c r="E169" s="2230"/>
      <c r="F169" s="2230"/>
      <c r="G169" s="2230"/>
      <c r="H169" s="2230"/>
      <c r="I169" s="2230"/>
      <c r="J169" s="2230"/>
      <c r="K169" s="2230"/>
      <c r="L169" s="2230"/>
      <c r="M169" s="2230"/>
      <c r="N169" s="2230"/>
      <c r="O169" s="2302">
        <f t="shared" ref="O169" si="236">CHOOSE(Scenario_Input,O170,O171,O172)</f>
        <v>0</v>
      </c>
      <c r="P169" s="176"/>
      <c r="Q169" s="260"/>
      <c r="R169" s="176"/>
      <c r="S169" s="176"/>
      <c r="T169" s="176"/>
      <c r="U169" s="176"/>
      <c r="V169" s="176"/>
      <c r="W169" s="176"/>
      <c r="X169" s="175"/>
      <c r="Y169" s="175"/>
      <c r="AA169" s="2425" t="s">
        <v>1721</v>
      </c>
      <c r="AB169" s="175"/>
      <c r="AC169" s="175"/>
      <c r="AD169" s="175"/>
      <c r="AE169" s="175"/>
      <c r="AF169" s="175"/>
      <c r="AG169" s="175"/>
    </row>
    <row r="170" spans="1:33">
      <c r="A170" s="236" t="s">
        <v>77</v>
      </c>
      <c r="B170" s="2230"/>
      <c r="C170" s="2230"/>
      <c r="D170" s="2230"/>
      <c r="E170" s="2230"/>
      <c r="F170" s="2230"/>
      <c r="G170" s="2230"/>
      <c r="H170" s="2230"/>
      <c r="I170" s="2230"/>
      <c r="J170" s="2230"/>
      <c r="K170" s="2230"/>
      <c r="L170" s="2230"/>
      <c r="M170" s="2230"/>
      <c r="N170" s="2230"/>
      <c r="O170" s="2424">
        <v>0</v>
      </c>
      <c r="P170" s="176"/>
      <c r="Q170" s="260"/>
      <c r="R170" s="176"/>
      <c r="S170" s="176"/>
      <c r="T170" s="176"/>
      <c r="U170" s="176"/>
      <c r="V170" s="176"/>
      <c r="W170" s="176"/>
      <c r="X170" s="175"/>
      <c r="Y170" s="175"/>
      <c r="AA170" s="2426">
        <v>0.25</v>
      </c>
      <c r="AB170" s="175"/>
      <c r="AC170" s="175"/>
      <c r="AD170" s="175"/>
      <c r="AE170" s="175"/>
      <c r="AF170" s="175"/>
      <c r="AG170" s="175"/>
    </row>
    <row r="171" spans="1:33">
      <c r="A171" s="236" t="s">
        <v>78</v>
      </c>
      <c r="B171" s="2230"/>
      <c r="C171" s="2230"/>
      <c r="D171" s="2230"/>
      <c r="E171" s="2230"/>
      <c r="F171" s="2230"/>
      <c r="G171" s="2230"/>
      <c r="H171" s="2230"/>
      <c r="I171" s="2230"/>
      <c r="J171" s="2230"/>
      <c r="K171" s="2230"/>
      <c r="L171" s="2230"/>
      <c r="M171" s="2230"/>
      <c r="N171" s="2230"/>
      <c r="O171" s="2424">
        <v>0</v>
      </c>
      <c r="P171" s="176"/>
      <c r="Q171" s="260"/>
      <c r="R171" s="176"/>
      <c r="S171" s="176"/>
      <c r="T171" s="176"/>
      <c r="U171" s="176"/>
      <c r="V171" s="176"/>
      <c r="W171" s="176"/>
      <c r="X171" s="175"/>
      <c r="Y171" s="175"/>
      <c r="AA171" s="2426">
        <v>0.3</v>
      </c>
      <c r="AB171" s="175"/>
      <c r="AC171" s="175"/>
      <c r="AD171" s="175"/>
      <c r="AE171" s="175"/>
      <c r="AF171" s="175"/>
      <c r="AG171" s="175"/>
    </row>
    <row r="172" spans="1:33">
      <c r="A172" s="236" t="s">
        <v>79</v>
      </c>
      <c r="B172" s="2230"/>
      <c r="C172" s="2230"/>
      <c r="D172" s="2230"/>
      <c r="E172" s="2230"/>
      <c r="F172" s="2230"/>
      <c r="G172" s="2230"/>
      <c r="H172" s="2230"/>
      <c r="I172" s="2230"/>
      <c r="J172" s="2230"/>
      <c r="K172" s="2230"/>
      <c r="L172" s="2230"/>
      <c r="M172" s="2230"/>
      <c r="N172" s="2230"/>
      <c r="O172" s="2424">
        <v>0.1</v>
      </c>
      <c r="P172" s="176"/>
      <c r="Q172" s="260"/>
      <c r="R172" s="176"/>
      <c r="S172" s="176"/>
      <c r="T172" s="176"/>
      <c r="U172" s="176"/>
      <c r="V172" s="176"/>
      <c r="W172" s="176"/>
      <c r="X172" s="175"/>
      <c r="Y172" s="175"/>
      <c r="AA172" s="2426">
        <v>0.2</v>
      </c>
      <c r="AB172" s="175"/>
      <c r="AC172" s="175"/>
      <c r="AD172" s="175"/>
      <c r="AE172" s="175"/>
      <c r="AF172" s="175"/>
      <c r="AG172" s="175"/>
    </row>
    <row r="173" spans="1:33">
      <c r="A173" s="884"/>
      <c r="B173" s="2230"/>
      <c r="C173" s="2230"/>
      <c r="D173" s="2230"/>
      <c r="E173" s="2230"/>
      <c r="F173" s="2230"/>
      <c r="G173" s="2230"/>
      <c r="H173" s="2230"/>
      <c r="I173" s="2230"/>
      <c r="J173" s="2230"/>
      <c r="K173" s="2230"/>
      <c r="L173" s="2230"/>
      <c r="M173" s="2230"/>
      <c r="N173" s="2230"/>
      <c r="O173" s="2231"/>
      <c r="P173" s="176"/>
      <c r="Q173" s="260"/>
      <c r="R173" s="176"/>
      <c r="S173" s="176"/>
      <c r="T173" s="176"/>
      <c r="U173" s="176"/>
      <c r="V173" s="176"/>
      <c r="W173" s="176"/>
      <c r="X173" s="175"/>
      <c r="Y173" s="175"/>
      <c r="Z173" s="458"/>
      <c r="AB173" s="175"/>
      <c r="AC173" s="175"/>
      <c r="AD173" s="175"/>
      <c r="AE173" s="175"/>
      <c r="AF173" s="175"/>
      <c r="AG173" s="175"/>
    </row>
    <row r="174" spans="1:33" s="1401" customFormat="1">
      <c r="A174" s="251" t="s">
        <v>1615</v>
      </c>
      <c r="B174" s="2230"/>
      <c r="C174" s="2230"/>
      <c r="D174" s="2230"/>
      <c r="E174" s="2230"/>
      <c r="F174" s="2230"/>
      <c r="G174" s="2230"/>
      <c r="H174" s="2230"/>
      <c r="I174" s="2230"/>
      <c r="J174" s="2230"/>
      <c r="K174" s="2230"/>
      <c r="L174" s="2230"/>
      <c r="M174" s="2230"/>
      <c r="N174" s="2230"/>
      <c r="O174" s="2302">
        <f t="shared" ref="O174" si="237">CHOOSE(Scenario_Input,O175,O176,O177)</f>
        <v>0.5</v>
      </c>
      <c r="P174" s="176"/>
      <c r="Q174" s="260"/>
      <c r="R174" s="176"/>
      <c r="S174" s="176"/>
      <c r="T174" s="176"/>
      <c r="U174" s="176"/>
      <c r="V174" s="176"/>
      <c r="W174" s="176"/>
      <c r="X174" s="175"/>
      <c r="Y174" s="175"/>
      <c r="Z174" s="175"/>
      <c r="AB174" s="175"/>
      <c r="AC174" s="175"/>
      <c r="AD174" s="175"/>
      <c r="AE174" s="175"/>
      <c r="AF174" s="175"/>
      <c r="AG174" s="175"/>
    </row>
    <row r="175" spans="1:33" s="1401" customFormat="1">
      <c r="A175" s="236" t="s">
        <v>77</v>
      </c>
      <c r="B175" s="2230"/>
      <c r="C175" s="2230"/>
      <c r="D175" s="2230"/>
      <c r="E175" s="2230"/>
      <c r="F175" s="2230"/>
      <c r="G175" s="2230"/>
      <c r="H175" s="2230"/>
      <c r="I175" s="2230"/>
      <c r="J175" s="2230"/>
      <c r="K175" s="2230"/>
      <c r="L175" s="2230"/>
      <c r="M175" s="2230"/>
      <c r="N175" s="2230"/>
      <c r="O175" s="2318">
        <f>Q_IS!$N$135</f>
        <v>0.5</v>
      </c>
      <c r="P175" s="176"/>
      <c r="Q175" s="260"/>
      <c r="R175" s="176"/>
      <c r="S175" s="176"/>
      <c r="T175" s="176"/>
      <c r="U175" s="176"/>
      <c r="V175" s="176"/>
      <c r="W175" s="176"/>
      <c r="X175" s="175"/>
      <c r="Y175" s="175"/>
      <c r="Z175" s="175"/>
      <c r="AB175" s="175"/>
      <c r="AC175" s="175"/>
      <c r="AD175" s="175"/>
      <c r="AE175" s="175"/>
      <c r="AF175" s="175"/>
      <c r="AG175" s="175"/>
    </row>
    <row r="176" spans="1:33" s="1401" customFormat="1">
      <c r="A176" s="236" t="s">
        <v>78</v>
      </c>
      <c r="B176" s="2230"/>
      <c r="C176" s="2230"/>
      <c r="D176" s="2230"/>
      <c r="E176" s="2230"/>
      <c r="F176" s="2230"/>
      <c r="G176" s="2230"/>
      <c r="H176" s="2230"/>
      <c r="I176" s="2230"/>
      <c r="J176" s="2230"/>
      <c r="K176" s="2230"/>
      <c r="L176" s="2230"/>
      <c r="M176" s="2230"/>
      <c r="N176" s="2230"/>
      <c r="O176" s="2318">
        <v>0.15</v>
      </c>
      <c r="P176" s="176"/>
      <c r="Q176" s="260"/>
      <c r="R176" s="176"/>
      <c r="S176" s="176"/>
      <c r="T176" s="176"/>
      <c r="U176" s="176"/>
      <c r="V176" s="176"/>
      <c r="W176" s="176"/>
      <c r="X176" s="175"/>
      <c r="Y176" s="175"/>
      <c r="Z176" s="175"/>
      <c r="AB176" s="175"/>
      <c r="AC176" s="175"/>
      <c r="AD176" s="175"/>
      <c r="AE176" s="175"/>
      <c r="AF176" s="175"/>
      <c r="AG176" s="175"/>
    </row>
    <row r="177" spans="1:101" s="1401" customFormat="1">
      <c r="A177" s="236" t="s">
        <v>79</v>
      </c>
      <c r="B177" s="2230"/>
      <c r="C177" s="2230"/>
      <c r="D177" s="2230"/>
      <c r="E177" s="2230"/>
      <c r="F177" s="2230"/>
      <c r="G177" s="2230"/>
      <c r="H177" s="2230"/>
      <c r="I177" s="2230"/>
      <c r="J177" s="2230"/>
      <c r="K177" s="2230"/>
      <c r="L177" s="2230"/>
      <c r="M177" s="2230"/>
      <c r="N177" s="2230"/>
      <c r="O177" s="2318">
        <v>0.25</v>
      </c>
      <c r="P177" s="176"/>
      <c r="Q177" s="260"/>
      <c r="R177" s="176"/>
      <c r="S177" s="176"/>
      <c r="T177" s="176"/>
      <c r="U177" s="176"/>
      <c r="V177" s="176"/>
      <c r="W177" s="176"/>
      <c r="X177" s="175"/>
      <c r="Y177" s="175"/>
      <c r="Z177" s="175"/>
      <c r="AB177" s="175"/>
      <c r="AC177" s="175"/>
      <c r="AD177" s="175"/>
      <c r="AE177" s="175"/>
      <c r="AF177" s="175"/>
      <c r="AG177" s="175"/>
    </row>
    <row r="178" spans="1:101" s="1401" customFormat="1">
      <c r="A178" s="236"/>
      <c r="B178" s="2230"/>
      <c r="C178" s="2230"/>
      <c r="D178" s="2230"/>
      <c r="E178" s="2230"/>
      <c r="F178" s="2230"/>
      <c r="G178" s="2230"/>
      <c r="H178" s="2230"/>
      <c r="I178" s="2230"/>
      <c r="J178" s="2230"/>
      <c r="K178" s="2230"/>
      <c r="L178" s="2230"/>
      <c r="M178" s="2230"/>
      <c r="N178" s="2230"/>
      <c r="O178" s="2230"/>
      <c r="P178" s="176"/>
      <c r="Q178" s="260"/>
      <c r="R178" s="176"/>
      <c r="S178" s="176"/>
      <c r="T178" s="176"/>
      <c r="U178" s="176"/>
      <c r="V178" s="176"/>
      <c r="W178" s="176"/>
      <c r="X178" s="175"/>
      <c r="Y178" s="175"/>
      <c r="Z178" s="175"/>
      <c r="AB178" s="175"/>
      <c r="AC178" s="175"/>
      <c r="AD178" s="175"/>
      <c r="AE178" s="175"/>
      <c r="AF178" s="175"/>
      <c r="AG178" s="175"/>
    </row>
    <row r="179" spans="1:101">
      <c r="A179" s="201" t="s">
        <v>1130</v>
      </c>
      <c r="B179" s="2230"/>
      <c r="C179" s="2230"/>
      <c r="D179" s="2230"/>
      <c r="E179" s="2234">
        <v>0</v>
      </c>
      <c r="F179" s="2234">
        <v>0</v>
      </c>
      <c r="G179" s="2234">
        <v>0</v>
      </c>
      <c r="H179" s="2234">
        <v>0</v>
      </c>
      <c r="I179" s="2234">
        <v>0.05</v>
      </c>
      <c r="J179" s="2234">
        <v>0.1</v>
      </c>
      <c r="K179" s="2234">
        <v>0.2</v>
      </c>
      <c r="L179" s="2234">
        <v>0.3</v>
      </c>
      <c r="M179" s="2234">
        <v>0.3</v>
      </c>
      <c r="N179" s="2234">
        <v>0.3</v>
      </c>
      <c r="O179" s="2235">
        <v>0.3</v>
      </c>
      <c r="P179" s="2236">
        <f>+O179</f>
        <v>0.3</v>
      </c>
      <c r="Q179" s="2236">
        <f t="shared" ref="Q179:W179" si="238">+P179</f>
        <v>0.3</v>
      </c>
      <c r="R179" s="2236">
        <f t="shared" si="238"/>
        <v>0.3</v>
      </c>
      <c r="S179" s="2236">
        <f t="shared" si="238"/>
        <v>0.3</v>
      </c>
      <c r="T179" s="2236">
        <f t="shared" si="238"/>
        <v>0.3</v>
      </c>
      <c r="U179" s="2236">
        <f t="shared" si="238"/>
        <v>0.3</v>
      </c>
      <c r="V179" s="2236">
        <f t="shared" si="238"/>
        <v>0.3</v>
      </c>
      <c r="W179" s="2236">
        <f t="shared" si="238"/>
        <v>0.3</v>
      </c>
      <c r="X179" s="175"/>
      <c r="Y179" s="175"/>
      <c r="Z179" s="175"/>
      <c r="AB179" s="175"/>
      <c r="AC179" s="175"/>
      <c r="AD179" s="175"/>
      <c r="AE179" s="175"/>
      <c r="AF179" s="175"/>
      <c r="AG179" s="175"/>
    </row>
    <row r="180" spans="1:101">
      <c r="A180" s="884"/>
      <c r="B180" s="2230"/>
      <c r="C180" s="2230"/>
      <c r="D180" s="2230"/>
      <c r="E180" s="2230"/>
      <c r="F180" s="2230"/>
      <c r="G180" s="2230"/>
      <c r="H180" s="2230"/>
      <c r="I180" s="2230"/>
      <c r="J180" s="2230"/>
      <c r="K180" s="2230"/>
      <c r="L180" s="2230"/>
      <c r="M180" s="2230"/>
      <c r="N180" s="2230"/>
      <c r="O180" s="2231"/>
      <c r="P180" s="176"/>
      <c r="Q180" s="260"/>
      <c r="R180" s="176"/>
      <c r="S180" s="176"/>
      <c r="T180" s="176"/>
      <c r="U180" s="176"/>
      <c r="V180" s="176"/>
      <c r="W180" s="176"/>
      <c r="X180" s="175"/>
      <c r="Y180" s="175"/>
      <c r="Z180" s="175"/>
      <c r="AB180" s="175"/>
      <c r="AC180" s="175"/>
      <c r="AD180" s="175"/>
      <c r="AE180" s="175"/>
      <c r="AF180" s="175"/>
      <c r="AG180" s="175"/>
    </row>
    <row r="181" spans="1:101" ht="12.75" customHeight="1">
      <c r="A181" s="704" t="s">
        <v>853</v>
      </c>
      <c r="B181" s="720">
        <f t="shared" ref="B181:O181" si="239">C181-1</f>
        <v>2004</v>
      </c>
      <c r="C181" s="720">
        <f t="shared" si="239"/>
        <v>2005</v>
      </c>
      <c r="D181" s="720">
        <f t="shared" si="239"/>
        <v>2006</v>
      </c>
      <c r="E181" s="720">
        <f t="shared" si="239"/>
        <v>2007</v>
      </c>
      <c r="F181" s="720">
        <f t="shared" si="239"/>
        <v>2008</v>
      </c>
      <c r="G181" s="720">
        <f t="shared" si="239"/>
        <v>2009</v>
      </c>
      <c r="H181" s="720">
        <f t="shared" si="239"/>
        <v>2010</v>
      </c>
      <c r="I181" s="720">
        <f t="shared" si="239"/>
        <v>2011</v>
      </c>
      <c r="J181" s="720">
        <f t="shared" si="239"/>
        <v>2012</v>
      </c>
      <c r="K181" s="720">
        <f t="shared" si="239"/>
        <v>2013</v>
      </c>
      <c r="L181" s="720">
        <f t="shared" si="239"/>
        <v>2014</v>
      </c>
      <c r="M181" s="720">
        <f t="shared" si="239"/>
        <v>2015</v>
      </c>
      <c r="N181" s="720">
        <f t="shared" si="239"/>
        <v>2016</v>
      </c>
      <c r="O181" s="1681">
        <f t="shared" si="239"/>
        <v>2017</v>
      </c>
      <c r="P181" s="2214">
        <f t="shared" ref="P181:W181" si="240">+P$13</f>
        <v>2018</v>
      </c>
      <c r="Q181" s="2214">
        <f t="shared" si="240"/>
        <v>2019</v>
      </c>
      <c r="R181" s="2214">
        <f t="shared" si="240"/>
        <v>2020</v>
      </c>
      <c r="S181" s="2214">
        <f t="shared" si="240"/>
        <v>2021</v>
      </c>
      <c r="T181" s="2214">
        <f t="shared" si="240"/>
        <v>2022</v>
      </c>
      <c r="U181" s="2214">
        <f t="shared" si="240"/>
        <v>2023</v>
      </c>
      <c r="V181" s="2214">
        <f t="shared" si="240"/>
        <v>2024</v>
      </c>
      <c r="W181" s="2214">
        <f t="shared" si="240"/>
        <v>2025</v>
      </c>
      <c r="X181" s="706"/>
      <c r="Y181" s="706"/>
      <c r="Z181" s="706"/>
      <c r="AB181" s="481"/>
      <c r="AC181" s="481"/>
      <c r="AD181" s="481"/>
      <c r="AE181" s="481"/>
      <c r="AF181" s="481"/>
      <c r="AG181" s="481"/>
      <c r="AH181" s="481"/>
      <c r="AI181" s="481"/>
    </row>
    <row r="182" spans="1:101" s="14" customFormat="1" ht="12.75" customHeight="1">
      <c r="A182" s="251" t="s">
        <v>854</v>
      </c>
      <c r="B182" s="1063"/>
      <c r="C182" s="1063"/>
      <c r="D182" s="1063"/>
      <c r="E182" s="1063">
        <f>+Q_BS!E173</f>
        <v>0</v>
      </c>
      <c r="F182" s="1063">
        <f>+Q_BS!F173</f>
        <v>0</v>
      </c>
      <c r="G182" s="1063">
        <f>+Q_BS!G173</f>
        <v>0</v>
      </c>
      <c r="H182" s="1063">
        <f>+Q_BS!H173</f>
        <v>0.31541112651929204</v>
      </c>
      <c r="I182" s="1063">
        <f>+Q_BS!I173</f>
        <v>0.2125366328861279</v>
      </c>
      <c r="J182" s="1063">
        <f>+Q_BS!J173</f>
        <v>0.28499893374193397</v>
      </c>
      <c r="K182" s="1063">
        <f>+Q_BS!K173</f>
        <v>0.41124057573680611</v>
      </c>
      <c r="L182" s="1063">
        <f>+Q_BS!L173</f>
        <v>0.2992918623427801</v>
      </c>
      <c r="M182" s="1063">
        <f>+Q_BS!M173</f>
        <v>0.23750078655377568</v>
      </c>
      <c r="N182" s="1063">
        <f>+Q_BS!N173</f>
        <v>0.26652228622420093</v>
      </c>
      <c r="O182" s="1063">
        <f>+Q_BS!O173</f>
        <v>0.36027738281837657</v>
      </c>
      <c r="P182" s="2237">
        <f t="shared" ref="P182:W182" si="241">CHOOSE(Scenario_Input,P183,P184,P185)</f>
        <v>0.4</v>
      </c>
      <c r="Q182" s="2237">
        <f t="shared" si="241"/>
        <v>0.5</v>
      </c>
      <c r="R182" s="2237">
        <f t="shared" si="241"/>
        <v>0.7</v>
      </c>
      <c r="S182" s="2237">
        <f t="shared" si="241"/>
        <v>0.7</v>
      </c>
      <c r="T182" s="2237">
        <f t="shared" si="241"/>
        <v>0.7</v>
      </c>
      <c r="U182" s="2237">
        <f t="shared" si="241"/>
        <v>1</v>
      </c>
      <c r="V182" s="2237">
        <f t="shared" si="241"/>
        <v>1</v>
      </c>
      <c r="W182" s="2237">
        <f t="shared" si="241"/>
        <v>1</v>
      </c>
      <c r="X182" s="1671"/>
      <c r="Y182" s="1671"/>
      <c r="Z182" s="1671"/>
      <c r="AB182" s="2273" t="s">
        <v>1611</v>
      </c>
      <c r="AC182" s="183"/>
      <c r="AD182" s="183"/>
      <c r="AE182" s="183"/>
      <c r="AF182" s="183"/>
      <c r="AG182" s="183"/>
    </row>
    <row r="183" spans="1:101">
      <c r="A183" s="236" t="s">
        <v>77</v>
      </c>
      <c r="B183" s="480"/>
      <c r="C183" s="480"/>
      <c r="D183" s="480"/>
      <c r="E183" s="480">
        <f t="shared" ref="E183:N183" si="242">E182</f>
        <v>0</v>
      </c>
      <c r="F183" s="480">
        <f t="shared" si="242"/>
        <v>0</v>
      </c>
      <c r="G183" s="480">
        <f t="shared" si="242"/>
        <v>0</v>
      </c>
      <c r="H183" s="480">
        <f t="shared" si="242"/>
        <v>0.31541112651929204</v>
      </c>
      <c r="I183" s="480">
        <f t="shared" si="242"/>
        <v>0.2125366328861279</v>
      </c>
      <c r="J183" s="480">
        <f t="shared" si="242"/>
        <v>0.28499893374193397</v>
      </c>
      <c r="K183" s="480">
        <f t="shared" si="242"/>
        <v>0.41124057573680611</v>
      </c>
      <c r="L183" s="480">
        <f t="shared" si="242"/>
        <v>0.2992918623427801</v>
      </c>
      <c r="M183" s="480">
        <f t="shared" si="242"/>
        <v>0.23750078655377568</v>
      </c>
      <c r="N183" s="480">
        <f t="shared" si="242"/>
        <v>0.26652228622420093</v>
      </c>
      <c r="O183" s="779">
        <f t="shared" ref="O183" si="243">O182</f>
        <v>0.36027738281837657</v>
      </c>
      <c r="P183" s="2238">
        <v>0.4</v>
      </c>
      <c r="Q183" s="2238">
        <v>0.5</v>
      </c>
      <c r="R183" s="2238">
        <v>0.7</v>
      </c>
      <c r="S183" s="2238">
        <f>+R183+$Y183</f>
        <v>0.7</v>
      </c>
      <c r="T183" s="2238">
        <f>+S183+$Z183</f>
        <v>0.7</v>
      </c>
      <c r="U183" s="2238">
        <v>1</v>
      </c>
      <c r="V183" s="2238">
        <f>+U183+$Z183</f>
        <v>1</v>
      </c>
      <c r="W183" s="2238">
        <f>+V183+$Z183</f>
        <v>1</v>
      </c>
      <c r="Y183" s="1669">
        <v>0</v>
      </c>
      <c r="Z183" s="1669">
        <v>0</v>
      </c>
    </row>
    <row r="184" spans="1:101">
      <c r="A184" s="236" t="s">
        <v>78</v>
      </c>
      <c r="B184" s="480"/>
      <c r="C184" s="480"/>
      <c r="D184" s="480"/>
      <c r="E184" s="480">
        <f t="shared" ref="E184:N184" si="244">E183</f>
        <v>0</v>
      </c>
      <c r="F184" s="480">
        <f t="shared" si="244"/>
        <v>0</v>
      </c>
      <c r="G184" s="480">
        <f t="shared" si="244"/>
        <v>0</v>
      </c>
      <c r="H184" s="480">
        <f t="shared" si="244"/>
        <v>0.31541112651929204</v>
      </c>
      <c r="I184" s="480">
        <f t="shared" si="244"/>
        <v>0.2125366328861279</v>
      </c>
      <c r="J184" s="480">
        <f t="shared" si="244"/>
        <v>0.28499893374193397</v>
      </c>
      <c r="K184" s="480">
        <f t="shared" si="244"/>
        <v>0.41124057573680611</v>
      </c>
      <c r="L184" s="480">
        <f t="shared" si="244"/>
        <v>0.2992918623427801</v>
      </c>
      <c r="M184" s="480">
        <f t="shared" si="244"/>
        <v>0.23750078655377568</v>
      </c>
      <c r="N184" s="480">
        <f t="shared" si="244"/>
        <v>0.26652228622420093</v>
      </c>
      <c r="O184" s="779">
        <f t="shared" ref="O184" si="245">O183</f>
        <v>0.36027738281837657</v>
      </c>
      <c r="P184" s="2233">
        <f>+P183+$Y184</f>
        <v>0.4</v>
      </c>
      <c r="Q184" s="2233">
        <f>+Q183+$Y184</f>
        <v>0.5</v>
      </c>
      <c r="R184" s="2233">
        <f>+R183+$Y184</f>
        <v>0.7</v>
      </c>
      <c r="S184" s="2233">
        <f>+S183+$Y184</f>
        <v>0.7</v>
      </c>
      <c r="T184" s="2233">
        <f>+T183+$Z184</f>
        <v>0.7</v>
      </c>
      <c r="U184" s="2233">
        <f>+U183+$Z184</f>
        <v>1</v>
      </c>
      <c r="V184" s="2233">
        <f>+V183+$Z184</f>
        <v>1</v>
      </c>
      <c r="W184" s="2233">
        <f>+W183+$Z184</f>
        <v>1</v>
      </c>
      <c r="Y184" s="1669">
        <v>0</v>
      </c>
      <c r="Z184" s="1669">
        <v>0</v>
      </c>
    </row>
    <row r="185" spans="1:101">
      <c r="A185" s="236" t="s">
        <v>79</v>
      </c>
      <c r="B185" s="480"/>
      <c r="C185" s="480"/>
      <c r="D185" s="480"/>
      <c r="E185" s="480">
        <f t="shared" ref="E185:N185" si="246">E184</f>
        <v>0</v>
      </c>
      <c r="F185" s="480">
        <f t="shared" si="246"/>
        <v>0</v>
      </c>
      <c r="G185" s="480">
        <f t="shared" si="246"/>
        <v>0</v>
      </c>
      <c r="H185" s="480">
        <f t="shared" si="246"/>
        <v>0.31541112651929204</v>
      </c>
      <c r="I185" s="480">
        <f t="shared" si="246"/>
        <v>0.2125366328861279</v>
      </c>
      <c r="J185" s="480">
        <f t="shared" si="246"/>
        <v>0.28499893374193397</v>
      </c>
      <c r="K185" s="480">
        <f t="shared" si="246"/>
        <v>0.41124057573680611</v>
      </c>
      <c r="L185" s="480">
        <f t="shared" si="246"/>
        <v>0.2992918623427801</v>
      </c>
      <c r="M185" s="480">
        <f t="shared" si="246"/>
        <v>0.23750078655377568</v>
      </c>
      <c r="N185" s="480">
        <f t="shared" si="246"/>
        <v>0.26652228622420093</v>
      </c>
      <c r="O185" s="779">
        <f t="shared" ref="O185" si="247">O184</f>
        <v>0.36027738281837657</v>
      </c>
      <c r="P185" s="2233">
        <f>+P183+$Y185</f>
        <v>0.4</v>
      </c>
      <c r="Q185" s="2233">
        <f>+Q183+$Y185</f>
        <v>0.5</v>
      </c>
      <c r="R185" s="2233">
        <f>+R183+$Y185</f>
        <v>0.7</v>
      </c>
      <c r="S185" s="2233">
        <f>+S183+$Y185</f>
        <v>0.7</v>
      </c>
      <c r="T185" s="2233">
        <f>+T183+$Z185</f>
        <v>0.7</v>
      </c>
      <c r="U185" s="2233">
        <f>+U183+$Z185</f>
        <v>1</v>
      </c>
      <c r="V185" s="2233">
        <f>+V183+$Z185</f>
        <v>1</v>
      </c>
      <c r="W185" s="2233">
        <f>+W183+$Z185</f>
        <v>1</v>
      </c>
      <c r="Y185" s="1669">
        <v>0</v>
      </c>
      <c r="Z185" s="1669">
        <v>0</v>
      </c>
    </row>
    <row r="186" spans="1:101">
      <c r="B186" s="260"/>
      <c r="C186" s="260"/>
      <c r="D186" s="260"/>
      <c r="E186" s="260"/>
      <c r="F186" s="260"/>
      <c r="G186" s="260"/>
      <c r="H186" s="260"/>
      <c r="I186" s="260"/>
      <c r="J186" s="260"/>
      <c r="K186" s="260"/>
      <c r="L186" s="260"/>
      <c r="M186" s="260"/>
      <c r="N186" s="260"/>
      <c r="O186" s="260"/>
      <c r="P186" s="1392"/>
      <c r="Q186" s="1392"/>
      <c r="R186" s="1392"/>
      <c r="S186" s="1392"/>
      <c r="T186" s="1392"/>
      <c r="U186" s="1392"/>
      <c r="V186" s="1392"/>
      <c r="W186" s="1392"/>
      <c r="Y186" s="329"/>
    </row>
    <row r="187" spans="1:101" s="1401" customFormat="1" ht="12.75" customHeight="1">
      <c r="A187" s="704" t="s">
        <v>1639</v>
      </c>
      <c r="B187" s="720"/>
      <c r="C187" s="720"/>
      <c r="D187" s="720"/>
      <c r="E187" s="720"/>
      <c r="F187" s="720"/>
      <c r="G187" s="720"/>
      <c r="H187" s="720"/>
      <c r="I187" s="720"/>
      <c r="J187" s="720"/>
      <c r="K187" s="720"/>
      <c r="L187" s="720"/>
      <c r="M187" s="720"/>
      <c r="N187" s="720"/>
      <c r="O187" s="1681"/>
      <c r="P187" s="2214"/>
      <c r="Q187" s="2214"/>
      <c r="R187" s="2214"/>
      <c r="S187" s="2214"/>
      <c r="T187" s="2214"/>
      <c r="U187" s="2214"/>
      <c r="V187" s="2214"/>
      <c r="W187" s="2214"/>
      <c r="X187" s="706"/>
      <c r="Y187" s="706"/>
      <c r="Z187" s="706"/>
      <c r="AB187" s="481"/>
      <c r="AC187" s="481"/>
      <c r="AD187" s="481"/>
      <c r="AE187" s="481"/>
      <c r="AF187" s="481"/>
      <c r="AG187" s="481"/>
      <c r="AH187" s="481"/>
      <c r="AI187" s="481"/>
    </row>
    <row r="188" spans="1:101">
      <c r="A188" s="14" t="s">
        <v>419</v>
      </c>
      <c r="B188" s="478"/>
      <c r="C188" s="479"/>
      <c r="D188" s="389"/>
      <c r="E188" s="389"/>
      <c r="F188" s="389"/>
      <c r="G188" s="389"/>
      <c r="H188" s="389"/>
      <c r="I188" s="389"/>
      <c r="J188" s="756"/>
      <c r="K188" s="756"/>
      <c r="L188" s="756"/>
      <c r="M188" s="756"/>
      <c r="N188" s="389"/>
      <c r="O188" s="389"/>
      <c r="P188" s="389"/>
      <c r="Q188" s="389"/>
      <c r="R188" s="756"/>
      <c r="S188" s="756"/>
      <c r="T188" s="756"/>
      <c r="U188" s="756"/>
      <c r="V188" s="389"/>
      <c r="W188" s="756"/>
      <c r="X188" s="389"/>
      <c r="Y188" s="756"/>
      <c r="Z188" s="389"/>
      <c r="AA188" s="389"/>
      <c r="AB188" s="389"/>
      <c r="AC188" s="389"/>
      <c r="AD188" s="389"/>
      <c r="AE188" s="389"/>
      <c r="AF188" s="389"/>
      <c r="AG188" s="389"/>
      <c r="AH188" s="389"/>
      <c r="AI188" s="389"/>
      <c r="AJ188" s="389"/>
      <c r="AK188" s="389"/>
      <c r="AL188" s="389"/>
      <c r="AM188" s="389"/>
      <c r="AN188" s="389"/>
      <c r="AO188" s="389"/>
      <c r="AP188" s="389"/>
      <c r="AQ188" s="389"/>
      <c r="AR188" s="389"/>
      <c r="AS188" s="389"/>
      <c r="AT188" s="389"/>
      <c r="AU188" s="389"/>
      <c r="AV188" s="389"/>
      <c r="AW188" s="389"/>
      <c r="AX188" s="389"/>
      <c r="AY188" s="756"/>
      <c r="AZ188" s="389"/>
      <c r="BA188" s="389"/>
      <c r="BB188" s="389"/>
      <c r="BC188" s="389"/>
      <c r="BD188" s="389"/>
      <c r="BE188" s="389"/>
      <c r="BF188" s="389"/>
      <c r="BG188" s="756"/>
      <c r="BH188" s="756"/>
      <c r="BI188" s="756"/>
      <c r="BJ188" s="756"/>
      <c r="BK188" s="756"/>
      <c r="BL188" s="756"/>
      <c r="BM188" s="756"/>
      <c r="BN188" s="756"/>
      <c r="BO188" s="756"/>
      <c r="BP188" s="756"/>
      <c r="BQ188" s="756"/>
      <c r="BR188" s="756"/>
      <c r="CW188" s="1401"/>
    </row>
    <row r="189" spans="1:101">
      <c r="A189" s="1182" t="s">
        <v>420</v>
      </c>
      <c r="B189" s="2209">
        <v>1.0452999999999999</v>
      </c>
      <c r="C189" s="54"/>
      <c r="D189" s="472"/>
      <c r="E189" s="472"/>
      <c r="F189" s="472"/>
      <c r="G189" s="472"/>
      <c r="H189" s="472"/>
      <c r="I189" s="472"/>
      <c r="J189" s="472"/>
      <c r="K189" s="472"/>
      <c r="L189" s="472"/>
      <c r="M189" s="472"/>
      <c r="N189" s="472"/>
      <c r="O189" s="472"/>
      <c r="P189" s="472"/>
      <c r="Q189" s="472"/>
      <c r="R189" s="472"/>
      <c r="S189" s="472"/>
      <c r="T189" s="472"/>
      <c r="U189" s="472"/>
      <c r="V189" s="472"/>
      <c r="W189" s="472"/>
      <c r="X189" s="472"/>
      <c r="Y189" s="472"/>
      <c r="Z189" s="472"/>
      <c r="AA189" s="472"/>
      <c r="AB189" s="472"/>
      <c r="AC189" s="472"/>
      <c r="AD189" s="472"/>
      <c r="AE189" s="472"/>
      <c r="AF189" s="472"/>
      <c r="AG189" s="472"/>
      <c r="AH189" s="389"/>
      <c r="AI189" s="389"/>
      <c r="AJ189" s="389"/>
      <c r="AK189" s="389"/>
      <c r="AL189" s="389"/>
      <c r="AM189" s="389"/>
      <c r="AN189" s="389"/>
      <c r="AO189" s="389"/>
      <c r="AP189" s="389"/>
      <c r="AQ189" s="389"/>
      <c r="AR189" s="389"/>
      <c r="AS189" s="389"/>
      <c r="AT189" s="389"/>
      <c r="AU189" s="389"/>
      <c r="AV189" s="389"/>
      <c r="AW189" s="389"/>
      <c r="AX189" s="389"/>
      <c r="AY189" s="756"/>
      <c r="AZ189" s="389"/>
      <c r="BA189" s="389"/>
      <c r="BB189" s="389"/>
      <c r="BC189" s="389"/>
      <c r="BD189" s="389"/>
      <c r="BE189" s="389"/>
      <c r="BF189" s="389"/>
      <c r="BG189" s="756"/>
      <c r="BH189" s="756"/>
      <c r="BI189" s="756"/>
      <c r="BJ189" s="756"/>
      <c r="BK189" s="756"/>
      <c r="BL189" s="756"/>
      <c r="BM189" s="756"/>
      <c r="BN189" s="756"/>
      <c r="BO189" s="756"/>
      <c r="BP189" s="756"/>
      <c r="BQ189" s="756"/>
      <c r="BR189" s="756"/>
    </row>
    <row r="190" spans="1:101">
      <c r="A190" s="1182" t="s">
        <v>421</v>
      </c>
      <c r="B190" s="2209">
        <v>1.0495000000000001</v>
      </c>
      <c r="C190" s="54"/>
      <c r="D190" s="472"/>
      <c r="E190" s="472"/>
      <c r="F190" s="472"/>
      <c r="G190" s="472"/>
      <c r="H190" s="472"/>
      <c r="I190" s="472"/>
      <c r="J190" s="472"/>
      <c r="K190" s="472"/>
      <c r="L190" s="472"/>
      <c r="M190" s="472"/>
      <c r="N190" s="472"/>
      <c r="O190" s="472"/>
      <c r="P190" s="472"/>
      <c r="Q190" s="472"/>
      <c r="R190" s="472"/>
      <c r="S190" s="472"/>
      <c r="T190" s="472"/>
      <c r="U190" s="472"/>
      <c r="V190" s="472"/>
      <c r="W190" s="472"/>
      <c r="X190" s="472"/>
      <c r="Y190" s="472"/>
      <c r="Z190" s="472"/>
      <c r="AA190" s="472"/>
      <c r="AB190" s="472"/>
      <c r="AC190" s="472"/>
      <c r="AD190" s="472"/>
      <c r="AE190" s="472"/>
      <c r="AF190" s="472"/>
      <c r="AG190" s="472"/>
      <c r="AH190" s="389"/>
      <c r="AI190" s="389"/>
      <c r="AJ190" s="389"/>
      <c r="AK190" s="389"/>
      <c r="AL190" s="389"/>
      <c r="AM190" s="389"/>
      <c r="AN190" s="389"/>
      <c r="AO190" s="389"/>
      <c r="AP190" s="389"/>
      <c r="AQ190" s="389"/>
      <c r="AR190" s="389"/>
      <c r="AS190" s="389"/>
      <c r="AT190" s="389"/>
      <c r="AU190" s="389"/>
      <c r="AV190" s="389"/>
      <c r="AW190" s="389"/>
      <c r="AX190" s="389"/>
      <c r="AY190" s="756"/>
      <c r="AZ190" s="389"/>
      <c r="BA190" s="389"/>
      <c r="BB190" s="389"/>
      <c r="BC190" s="389"/>
      <c r="BD190" s="389"/>
      <c r="BE190" s="389"/>
      <c r="BF190" s="389"/>
      <c r="BG190" s="756"/>
      <c r="BH190" s="756"/>
      <c r="BI190" s="756"/>
      <c r="BJ190" s="756"/>
      <c r="BK190" s="756"/>
      <c r="BL190" s="756"/>
      <c r="BM190" s="756"/>
      <c r="BN190" s="756"/>
      <c r="BO190" s="756"/>
      <c r="BP190" s="756"/>
      <c r="BQ190" s="756"/>
      <c r="BR190" s="756"/>
    </row>
    <row r="191" spans="1:101">
      <c r="A191" s="1182" t="s">
        <v>422</v>
      </c>
      <c r="B191" s="2209">
        <v>1.7650999999999999</v>
      </c>
      <c r="C191" s="54"/>
      <c r="D191" s="472"/>
      <c r="E191" s="472"/>
      <c r="F191" s="472"/>
      <c r="G191" s="472"/>
      <c r="H191" s="472"/>
      <c r="I191" s="472"/>
      <c r="J191" s="472"/>
      <c r="K191" s="472"/>
      <c r="L191" s="472"/>
      <c r="M191" s="472"/>
      <c r="N191" s="472"/>
      <c r="O191" s="472"/>
      <c r="P191" s="472"/>
      <c r="Q191" s="472"/>
      <c r="R191" s="472"/>
      <c r="S191" s="472"/>
      <c r="T191" s="472"/>
      <c r="U191" s="472"/>
      <c r="V191" s="472"/>
      <c r="W191" s="472"/>
      <c r="X191" s="472"/>
      <c r="Y191" s="472"/>
      <c r="Z191" s="472"/>
      <c r="AA191" s="472"/>
      <c r="AB191" s="472"/>
      <c r="AC191" s="472"/>
      <c r="AD191" s="472"/>
      <c r="AE191" s="472"/>
      <c r="AF191" s="472"/>
      <c r="AG191" s="472"/>
      <c r="AH191" s="389"/>
      <c r="AI191" s="389"/>
      <c r="AJ191" s="389"/>
      <c r="AK191" s="389"/>
      <c r="AL191" s="389"/>
      <c r="AM191" s="389"/>
      <c r="AN191" s="389"/>
      <c r="AO191" s="389"/>
      <c r="AP191" s="389"/>
      <c r="AQ191" s="389"/>
      <c r="AR191" s="389"/>
      <c r="AS191" s="389"/>
      <c r="AT191" s="389"/>
      <c r="AU191" s="389"/>
      <c r="AV191" s="389"/>
      <c r="AW191" s="389"/>
      <c r="AX191" s="389"/>
      <c r="AY191" s="756"/>
      <c r="AZ191" s="389"/>
      <c r="BA191" s="389"/>
      <c r="BB191" s="389"/>
      <c r="BC191" s="389"/>
      <c r="BD191" s="389"/>
      <c r="BE191" s="389"/>
      <c r="BF191" s="389"/>
      <c r="BG191" s="756"/>
      <c r="BH191" s="756"/>
      <c r="BI191" s="756"/>
      <c r="BJ191" s="756"/>
      <c r="BK191" s="756"/>
      <c r="BL191" s="756"/>
      <c r="BM191" s="756"/>
      <c r="BN191" s="756"/>
      <c r="BO191" s="756"/>
      <c r="BP191" s="756"/>
      <c r="BQ191" s="756"/>
      <c r="BR191" s="756"/>
    </row>
    <row r="192" spans="1:101">
      <c r="A192" s="1182" t="s">
        <v>423</v>
      </c>
      <c r="B192" s="2209">
        <v>1.6913</v>
      </c>
      <c r="C192" s="54"/>
      <c r="D192" s="472"/>
      <c r="E192" s="472"/>
      <c r="F192" s="472"/>
      <c r="G192" s="472"/>
      <c r="H192" s="472"/>
      <c r="I192" s="472"/>
      <c r="J192" s="472"/>
      <c r="K192" s="472"/>
      <c r="L192" s="472"/>
      <c r="M192" s="472"/>
      <c r="N192" s="472"/>
      <c r="O192" s="472"/>
      <c r="P192" s="472"/>
      <c r="Q192" s="472"/>
      <c r="R192" s="472"/>
      <c r="S192" s="472"/>
      <c r="T192" s="472"/>
      <c r="U192" s="472"/>
      <c r="V192" s="472"/>
      <c r="W192" s="472"/>
      <c r="X192" s="472"/>
      <c r="Y192" s="472"/>
      <c r="Z192" s="472"/>
      <c r="AA192" s="472"/>
      <c r="AB192" s="472"/>
      <c r="AC192" s="472"/>
      <c r="AD192" s="472"/>
      <c r="AE192" s="472"/>
      <c r="AF192" s="472"/>
      <c r="AG192" s="472"/>
      <c r="AH192" s="389"/>
      <c r="AI192" s="389"/>
      <c r="AJ192" s="389"/>
      <c r="AK192" s="389"/>
      <c r="AL192" s="389"/>
      <c r="AM192" s="389"/>
      <c r="AN192" s="389"/>
      <c r="AO192" s="389"/>
      <c r="AP192" s="389"/>
      <c r="AQ192" s="389"/>
      <c r="AR192" s="389"/>
      <c r="AS192" s="389"/>
      <c r="AT192" s="389"/>
      <c r="AU192" s="389"/>
      <c r="AV192" s="389"/>
      <c r="AW192" s="389"/>
      <c r="AX192" s="389"/>
      <c r="AY192" s="756"/>
      <c r="AZ192" s="389"/>
      <c r="BA192" s="389"/>
      <c r="BB192" s="389"/>
      <c r="BC192" s="389"/>
      <c r="BD192" s="389"/>
      <c r="BE192" s="389"/>
      <c r="BF192" s="389"/>
      <c r="BG192" s="756"/>
      <c r="BH192" s="756"/>
      <c r="BI192" s="756"/>
      <c r="BJ192" s="756"/>
      <c r="BK192" s="756"/>
      <c r="BL192" s="756"/>
      <c r="BM192" s="756"/>
      <c r="BN192" s="756"/>
      <c r="BO192" s="756"/>
      <c r="BP192" s="756"/>
      <c r="BQ192" s="756"/>
      <c r="BR192" s="756"/>
    </row>
    <row r="193" spans="1:78">
      <c r="A193" s="1182" t="s">
        <v>886</v>
      </c>
      <c r="B193" s="2210">
        <v>4.5400000000000003E-2</v>
      </c>
      <c r="C193" s="54"/>
      <c r="D193" s="472"/>
      <c r="E193" s="472"/>
      <c r="F193" s="196"/>
      <c r="G193" s="472"/>
      <c r="H193" s="472"/>
      <c r="I193" s="472"/>
      <c r="J193" s="472"/>
      <c r="K193" s="472"/>
      <c r="L193" s="472"/>
      <c r="M193" s="472"/>
      <c r="N193" s="472"/>
      <c r="O193" s="472"/>
      <c r="P193" s="472"/>
      <c r="Q193" s="472"/>
      <c r="R193" s="472"/>
      <c r="S193" s="472"/>
      <c r="T193" s="472"/>
      <c r="U193" s="472"/>
      <c r="V193" s="472"/>
      <c r="W193" s="472"/>
      <c r="X193" s="472"/>
      <c r="Y193" s="472"/>
      <c r="Z193" s="472"/>
      <c r="AA193" s="472"/>
      <c r="AB193" s="472"/>
      <c r="AC193" s="472"/>
      <c r="AD193" s="472"/>
      <c r="AE193" s="472"/>
      <c r="AF193" s="472"/>
      <c r="AG193" s="472"/>
      <c r="AH193" s="389"/>
      <c r="AI193" s="389"/>
      <c r="AJ193" s="389"/>
      <c r="AK193" s="389"/>
      <c r="AL193" s="389"/>
      <c r="AM193" s="389"/>
      <c r="AN193" s="389"/>
      <c r="AO193" s="389"/>
      <c r="AP193" s="389"/>
      <c r="AQ193" s="389"/>
      <c r="AR193" s="389"/>
      <c r="AS193" s="389"/>
      <c r="AT193" s="389"/>
      <c r="AU193" s="389"/>
      <c r="AV193" s="389"/>
      <c r="AW193" s="389"/>
      <c r="AX193" s="389"/>
      <c r="AY193" s="756"/>
      <c r="AZ193" s="389"/>
      <c r="BA193" s="389"/>
      <c r="BB193" s="389"/>
      <c r="BC193" s="389"/>
      <c r="BD193" s="389"/>
      <c r="BE193" s="389"/>
      <c r="BF193" s="389"/>
      <c r="BG193" s="756"/>
      <c r="BH193" s="756"/>
      <c r="BI193" s="756"/>
      <c r="BJ193" s="756"/>
      <c r="BK193" s="756"/>
      <c r="BL193" s="756"/>
      <c r="BM193" s="756"/>
      <c r="BN193" s="756"/>
      <c r="BO193" s="756"/>
      <c r="BP193" s="756"/>
      <c r="BQ193" s="756"/>
      <c r="BR193" s="756"/>
    </row>
    <row r="194" spans="1:78" s="210" customFormat="1" ht="12.75">
      <c r="A194" s="1647"/>
      <c r="B194" s="646"/>
      <c r="C194" s="646"/>
      <c r="D194" s="646"/>
      <c r="E194" s="646"/>
      <c r="F194" s="646"/>
      <c r="G194" s="646"/>
      <c r="H194" s="646"/>
      <c r="I194" s="646"/>
      <c r="J194" s="646"/>
      <c r="K194" s="646"/>
      <c r="L194" s="646"/>
      <c r="M194" s="646"/>
      <c r="N194" s="646"/>
      <c r="O194" s="646"/>
      <c r="P194" s="2320"/>
      <c r="Q194" s="2320"/>
      <c r="R194" s="2320"/>
      <c r="S194" s="2320"/>
      <c r="T194" s="2320"/>
      <c r="U194" s="2320"/>
      <c r="V194" s="2321"/>
      <c r="W194" s="2321"/>
    </row>
    <row r="195" spans="1:78" s="1401" customFormat="1" ht="12.75" customHeight="1">
      <c r="A195" s="2211" t="s">
        <v>1385</v>
      </c>
      <c r="B195" s="2212"/>
      <c r="C195" s="2212"/>
      <c r="D195" s="2212"/>
      <c r="E195" s="2212"/>
      <c r="F195" s="2212"/>
      <c r="G195" s="2212"/>
      <c r="H195" s="2212"/>
      <c r="I195" s="2212"/>
      <c r="J195" s="2212"/>
      <c r="K195" s="2212"/>
      <c r="L195" s="2212"/>
      <c r="M195" s="2212"/>
      <c r="N195" s="2212"/>
      <c r="O195" s="2213"/>
      <c r="P195" s="2213"/>
      <c r="Q195" s="2213"/>
      <c r="R195" s="2213"/>
      <c r="S195" s="2213"/>
      <c r="T195" s="2213"/>
      <c r="U195" s="2213"/>
      <c r="V195" s="2213"/>
      <c r="W195" s="2213"/>
      <c r="X195" s="2213"/>
      <c r="Y195" s="2213"/>
      <c r="Z195" s="2213"/>
      <c r="AA195" s="2213"/>
      <c r="AB195" s="2213"/>
      <c r="AC195" s="2213"/>
      <c r="AD195" s="2213"/>
      <c r="AE195" s="2213"/>
      <c r="AF195" s="2213"/>
      <c r="AG195" s="2213"/>
      <c r="AH195" s="2213"/>
      <c r="AI195" s="2213"/>
      <c r="AJ195" s="2213"/>
      <c r="AK195" s="2213"/>
      <c r="AL195" s="2213"/>
      <c r="AM195" s="2213"/>
      <c r="AN195" s="2213"/>
      <c r="AO195" s="2213"/>
      <c r="AP195" s="2213"/>
      <c r="AQ195" s="2213"/>
      <c r="AR195" s="2213"/>
      <c r="AS195" s="2213"/>
      <c r="AT195" s="2213"/>
      <c r="AU195" s="2213"/>
      <c r="AV195" s="2213"/>
      <c r="AW195" s="2213"/>
      <c r="AX195" s="2213"/>
      <c r="AY195" s="2213"/>
      <c r="AZ195" s="2213"/>
      <c r="BA195" s="2213"/>
      <c r="BB195" s="2213"/>
      <c r="BC195" s="2213"/>
      <c r="BD195" s="2213"/>
      <c r="BE195" s="2213"/>
      <c r="BF195" s="2213"/>
      <c r="BG195" s="2213"/>
      <c r="BH195" s="2213"/>
      <c r="BI195" s="2213"/>
      <c r="BJ195" s="2213"/>
      <c r="BK195" s="2213"/>
      <c r="BL195" s="2213"/>
      <c r="BM195" s="2213"/>
      <c r="BN195" s="2213"/>
      <c r="BO195" s="2213"/>
      <c r="BP195" s="2213"/>
      <c r="BQ195" s="2213"/>
      <c r="BR195" s="2213"/>
      <c r="BS195" s="2213"/>
      <c r="BT195" s="2213"/>
      <c r="BU195" s="2213"/>
      <c r="BV195" s="2213"/>
    </row>
    <row r="196" spans="1:78" s="1401" customFormat="1" ht="12.75" customHeight="1">
      <c r="A196" s="704" t="s">
        <v>1423</v>
      </c>
      <c r="B196" s="631">
        <v>39447</v>
      </c>
      <c r="C196" s="631">
        <v>39538</v>
      </c>
      <c r="D196" s="631">
        <v>39629</v>
      </c>
      <c r="E196" s="631">
        <v>39721</v>
      </c>
      <c r="F196" s="631">
        <v>39813</v>
      </c>
      <c r="G196" s="631">
        <v>39903</v>
      </c>
      <c r="H196" s="631">
        <v>39994</v>
      </c>
      <c r="I196" s="631">
        <v>40086</v>
      </c>
      <c r="J196" s="631">
        <v>40178</v>
      </c>
      <c r="K196" s="631">
        <v>40268</v>
      </c>
      <c r="L196" s="631">
        <v>40359</v>
      </c>
      <c r="M196" s="631">
        <v>40451</v>
      </c>
      <c r="N196" s="631">
        <v>40543</v>
      </c>
      <c r="O196" s="1451">
        <v>40543</v>
      </c>
      <c r="P196" s="631">
        <v>40724</v>
      </c>
      <c r="Q196" s="631">
        <v>40816</v>
      </c>
      <c r="R196" s="631">
        <v>40908</v>
      </c>
      <c r="S196" s="631">
        <v>40999</v>
      </c>
      <c r="T196" s="631">
        <v>41090</v>
      </c>
      <c r="U196" s="631">
        <v>41182</v>
      </c>
      <c r="V196" s="631">
        <v>41274</v>
      </c>
      <c r="W196" s="631">
        <v>41364</v>
      </c>
      <c r="X196" s="631">
        <v>41455</v>
      </c>
      <c r="Y196" s="631">
        <v>41547</v>
      </c>
      <c r="Z196" s="631">
        <v>41639</v>
      </c>
      <c r="AA196" s="631">
        <v>41729</v>
      </c>
      <c r="AB196" s="631">
        <v>41820</v>
      </c>
      <c r="AC196" s="631">
        <v>41912</v>
      </c>
      <c r="AD196" s="631">
        <v>42004</v>
      </c>
      <c r="AE196" s="1451">
        <v>42094</v>
      </c>
      <c r="AF196" s="1451">
        <v>42185</v>
      </c>
      <c r="AG196" s="1451">
        <v>42277</v>
      </c>
      <c r="AH196" s="1451">
        <v>42369</v>
      </c>
      <c r="AI196" s="1451">
        <v>42460</v>
      </c>
      <c r="AJ196" s="1451">
        <v>42551</v>
      </c>
      <c r="AK196" s="1451">
        <v>42643</v>
      </c>
      <c r="AL196" s="1451">
        <v>42735</v>
      </c>
      <c r="AM196" s="1451">
        <v>42825</v>
      </c>
      <c r="AN196" s="632">
        <v>42916</v>
      </c>
      <c r="AO196" s="608">
        <v>43008</v>
      </c>
      <c r="AP196" s="608">
        <v>43100</v>
      </c>
      <c r="AQ196" s="608">
        <v>43190</v>
      </c>
      <c r="AR196" s="608">
        <v>43281</v>
      </c>
      <c r="AS196" s="608">
        <v>43373</v>
      </c>
      <c r="AT196" s="608">
        <v>43465</v>
      </c>
      <c r="AU196" s="608">
        <v>43555</v>
      </c>
      <c r="AV196" s="608">
        <v>43646</v>
      </c>
      <c r="AW196" s="608">
        <v>43738</v>
      </c>
      <c r="AX196" s="608">
        <v>43830</v>
      </c>
      <c r="AY196" s="608">
        <v>43921</v>
      </c>
      <c r="AZ196" s="608">
        <v>44012</v>
      </c>
      <c r="BA196" s="608">
        <v>44104</v>
      </c>
      <c r="BB196" s="608">
        <v>44196</v>
      </c>
      <c r="BC196" s="608">
        <v>44286</v>
      </c>
      <c r="BD196" s="608">
        <v>44377</v>
      </c>
      <c r="BE196" s="608">
        <v>44469</v>
      </c>
      <c r="BF196" s="608">
        <v>44561</v>
      </c>
      <c r="BG196" s="608">
        <v>44651</v>
      </c>
      <c r="BH196" s="608">
        <v>44742</v>
      </c>
      <c r="BI196" s="608">
        <v>44834</v>
      </c>
      <c r="BJ196" s="608">
        <v>44926</v>
      </c>
      <c r="BK196" s="608">
        <v>45016</v>
      </c>
      <c r="BL196" s="608">
        <v>45107</v>
      </c>
      <c r="BM196" s="608">
        <v>45199</v>
      </c>
      <c r="BN196" s="608">
        <v>45291</v>
      </c>
      <c r="BO196" s="608">
        <v>45382</v>
      </c>
      <c r="BP196" s="608">
        <v>45473</v>
      </c>
      <c r="BQ196" s="608">
        <v>45565</v>
      </c>
      <c r="BR196" s="608">
        <v>45657</v>
      </c>
      <c r="BS196" s="608">
        <v>45747</v>
      </c>
      <c r="BT196" s="608">
        <v>45838</v>
      </c>
      <c r="BU196" s="608">
        <v>45930</v>
      </c>
      <c r="BV196" s="608">
        <v>46022</v>
      </c>
      <c r="BX196" s="753" t="s">
        <v>1382</v>
      </c>
      <c r="BY196" s="753" t="s">
        <v>1380</v>
      </c>
      <c r="BZ196" s="753" t="s">
        <v>1381</v>
      </c>
    </row>
    <row r="197" spans="1:78" s="14" customFormat="1" ht="12.75" customHeight="1">
      <c r="A197" s="853" t="s">
        <v>1383</v>
      </c>
      <c r="B197" s="1377">
        <f>+Q_BS!B18</f>
        <v>19.444275097025599</v>
      </c>
      <c r="C197" s="1377">
        <f>+Q_BS!C18</f>
        <v>37.038768898488122</v>
      </c>
      <c r="D197" s="1377">
        <f>+Q_BS!D18</f>
        <v>41.395628747718781</v>
      </c>
      <c r="E197" s="1377">
        <f>+Q_BS!E18</f>
        <v>23.191634116091048</v>
      </c>
      <c r="F197" s="1377">
        <f>+Q_BS!F18</f>
        <v>14.780595609013838</v>
      </c>
      <c r="G197" s="1377">
        <f>+Q_BS!G18</f>
        <v>15.337090002918529</v>
      </c>
      <c r="H197" s="1377">
        <f>+Q_BS!H18</f>
        <v>11.668404957347498</v>
      </c>
      <c r="I197" s="1377">
        <f>+Q_BS!I18</f>
        <v>23.127172132435899</v>
      </c>
      <c r="J197" s="1377">
        <f>+Q_BS!J18</f>
        <v>17.824597340177757</v>
      </c>
      <c r="K197" s="1377">
        <f>+Q_BS!K18</f>
        <v>10.542381752336253</v>
      </c>
      <c r="L197" s="1377">
        <f>+Q_BS!L18</f>
        <v>18.955158678722444</v>
      </c>
      <c r="M197" s="1377">
        <f>+Q_BS!M18</f>
        <v>19.618222180238053</v>
      </c>
      <c r="N197" s="1377">
        <f>+Q_BS!N18</f>
        <v>18.170167954187324</v>
      </c>
      <c r="O197" s="1377">
        <f>+Q_BS!O18</f>
        <v>19.143687174734442</v>
      </c>
      <c r="P197" s="1377">
        <f>+Q_BS!P18</f>
        <v>15.300652382747423</v>
      </c>
      <c r="Q197" s="1377">
        <f>+Q_BS!Q18</f>
        <v>14.440498138761487</v>
      </c>
      <c r="R197" s="1377">
        <f>+Q_BS!R18</f>
        <v>15.400559340566913</v>
      </c>
      <c r="S197" s="1377">
        <f>+Q_BS!S18</f>
        <v>13.466998365912312</v>
      </c>
      <c r="T197" s="1377">
        <f>+Q_BS!T18</f>
        <v>20.249806243606042</v>
      </c>
      <c r="U197" s="1377">
        <f>+Q_BS!U18</f>
        <v>21.682987970664438</v>
      </c>
      <c r="V197" s="1377">
        <f>+Q_BS!V18</f>
        <v>27.443962766765594</v>
      </c>
      <c r="W197" s="1377">
        <f>+Q_BS!W18</f>
        <v>13.96693519029848</v>
      </c>
      <c r="X197" s="1377">
        <f>+Q_BS!X18</f>
        <v>21.284044260016469</v>
      </c>
      <c r="Y197" s="1377">
        <f>+Q_BS!Y18</f>
        <v>24.526735818413197</v>
      </c>
      <c r="Z197" s="1377">
        <f>+Q_BS!Z18</f>
        <v>33.356854326148984</v>
      </c>
      <c r="AA197" s="1377">
        <f>+Q_BS!AA18</f>
        <v>19.525544196492767</v>
      </c>
      <c r="AB197" s="1377">
        <f>+Q_BS!AB18</f>
        <v>31.05134216085321</v>
      </c>
      <c r="AC197" s="1377">
        <f>+Q_BS!AC18</f>
        <v>30.8314486302652</v>
      </c>
      <c r="AD197" s="1377">
        <f>+Q_BS!AD18</f>
        <v>36.442560262022923</v>
      </c>
      <c r="AE197" s="1377">
        <f>+Q_BS!AE18</f>
        <v>21.701518539033998</v>
      </c>
      <c r="AF197" s="1377">
        <f>+Q_BS!AF18</f>
        <v>31.347716793757758</v>
      </c>
      <c r="AG197" s="1377">
        <f>+Q_BS!AG18</f>
        <v>30.441803025625195</v>
      </c>
      <c r="AH197" s="1377">
        <f>+Q_BS!AH18</f>
        <v>28.572343362130123</v>
      </c>
      <c r="AI197" s="1377">
        <f>+Q_BS!AI18</f>
        <v>13.084217901989588</v>
      </c>
      <c r="AJ197" s="1377">
        <f>+Q_BS!AJ18</f>
        <v>22.752908309142896</v>
      </c>
      <c r="AK197" s="1377">
        <f>+Q_BS!AK18</f>
        <v>18.402489070974134</v>
      </c>
      <c r="AL197" s="1377">
        <f>+Q_BS!AL18</f>
        <v>31.118058307233856</v>
      </c>
      <c r="AM197" s="1377">
        <f>+Q_BS!AM18</f>
        <v>16.911547076233898</v>
      </c>
      <c r="AN197" s="2365">
        <f>+Q_BS!AN18</f>
        <v>34.023382864711756</v>
      </c>
      <c r="AO197" s="364">
        <f t="shared" ref="AO197:BV197" si="248">CHOOSE(Scenario_Input,AO198,AO199,AO200)</f>
        <v>26.558580242288176</v>
      </c>
      <c r="AP197" s="364">
        <f t="shared" si="248"/>
        <v>32.044320643795636</v>
      </c>
      <c r="AQ197" s="364">
        <f t="shared" si="248"/>
        <v>17.232427839085826</v>
      </c>
      <c r="AR197" s="364">
        <f t="shared" si="248"/>
        <v>29.374669322537471</v>
      </c>
      <c r="AS197" s="364">
        <f t="shared" si="248"/>
        <v>29.558580242288176</v>
      </c>
      <c r="AT197" s="364">
        <f t="shared" si="248"/>
        <v>35.044320643795636</v>
      </c>
      <c r="AU197" s="364">
        <f t="shared" si="248"/>
        <v>20.232427839085826</v>
      </c>
      <c r="AV197" s="364">
        <f t="shared" si="248"/>
        <v>32.374669322537471</v>
      </c>
      <c r="AW197" s="364">
        <f t="shared" si="248"/>
        <v>32.558580242288173</v>
      </c>
      <c r="AX197" s="364">
        <f t="shared" si="248"/>
        <v>38.044320643795636</v>
      </c>
      <c r="AY197" s="364">
        <f t="shared" si="248"/>
        <v>23.232427839085826</v>
      </c>
      <c r="AZ197" s="364">
        <f t="shared" si="248"/>
        <v>35.374669322537471</v>
      </c>
      <c r="BA197" s="364">
        <f t="shared" si="248"/>
        <v>35.558580242288173</v>
      </c>
      <c r="BB197" s="364">
        <f t="shared" si="248"/>
        <v>41.044320643795636</v>
      </c>
      <c r="BC197" s="364">
        <f t="shared" si="248"/>
        <v>26.232427839085826</v>
      </c>
      <c r="BD197" s="364">
        <f t="shared" si="248"/>
        <v>38.374669322537471</v>
      </c>
      <c r="BE197" s="364">
        <f t="shared" si="248"/>
        <v>38.558580242288173</v>
      </c>
      <c r="BF197" s="364">
        <f t="shared" si="248"/>
        <v>44.044320643795636</v>
      </c>
      <c r="BG197" s="364">
        <f t="shared" si="248"/>
        <v>29.232427839085826</v>
      </c>
      <c r="BH197" s="364">
        <f t="shared" si="248"/>
        <v>41.374669322537471</v>
      </c>
      <c r="BI197" s="364">
        <f t="shared" si="248"/>
        <v>41.558580242288173</v>
      </c>
      <c r="BJ197" s="364">
        <f t="shared" si="248"/>
        <v>47.044320643795636</v>
      </c>
      <c r="BK197" s="364">
        <f t="shared" si="248"/>
        <v>32.23242783908583</v>
      </c>
      <c r="BL197" s="364">
        <f t="shared" si="248"/>
        <v>44.374669322537471</v>
      </c>
      <c r="BM197" s="364">
        <f t="shared" si="248"/>
        <v>44.558580242288173</v>
      </c>
      <c r="BN197" s="364">
        <f t="shared" si="248"/>
        <v>50.044320643795636</v>
      </c>
      <c r="BO197" s="364">
        <f t="shared" si="248"/>
        <v>35.23242783908583</v>
      </c>
      <c r="BP197" s="364">
        <f t="shared" si="248"/>
        <v>47.374669322537471</v>
      </c>
      <c r="BQ197" s="364">
        <f t="shared" si="248"/>
        <v>47.558580242288173</v>
      </c>
      <c r="BR197" s="364">
        <f t="shared" si="248"/>
        <v>53.044320643795636</v>
      </c>
      <c r="BS197" s="364">
        <f t="shared" si="248"/>
        <v>38.23242783908583</v>
      </c>
      <c r="BT197" s="364">
        <f t="shared" si="248"/>
        <v>50.374669322537471</v>
      </c>
      <c r="BU197" s="364">
        <f t="shared" si="248"/>
        <v>50.558580242288173</v>
      </c>
      <c r="BV197" s="364">
        <f t="shared" si="248"/>
        <v>56.044320643795636</v>
      </c>
    </row>
    <row r="198" spans="1:78" s="1401" customFormat="1" ht="12.75" customHeight="1">
      <c r="A198" s="236" t="s">
        <v>77</v>
      </c>
      <c r="B198" s="1376">
        <f t="shared" ref="B198:Q200" si="249">B197</f>
        <v>19.444275097025599</v>
      </c>
      <c r="C198" s="1376">
        <f t="shared" si="249"/>
        <v>37.038768898488122</v>
      </c>
      <c r="D198" s="1376">
        <f t="shared" si="249"/>
        <v>41.395628747718781</v>
      </c>
      <c r="E198" s="1376">
        <f t="shared" si="249"/>
        <v>23.191634116091048</v>
      </c>
      <c r="F198" s="1376">
        <f t="shared" si="249"/>
        <v>14.780595609013838</v>
      </c>
      <c r="G198" s="1376">
        <f t="shared" si="249"/>
        <v>15.337090002918529</v>
      </c>
      <c r="H198" s="1376">
        <f t="shared" si="249"/>
        <v>11.668404957347498</v>
      </c>
      <c r="I198" s="1376">
        <f t="shared" si="249"/>
        <v>23.127172132435899</v>
      </c>
      <c r="J198" s="1376">
        <f t="shared" si="249"/>
        <v>17.824597340177757</v>
      </c>
      <c r="K198" s="1376">
        <f t="shared" si="249"/>
        <v>10.542381752336253</v>
      </c>
      <c r="L198" s="1376">
        <f t="shared" si="249"/>
        <v>18.955158678722444</v>
      </c>
      <c r="M198" s="1376">
        <f t="shared" si="249"/>
        <v>19.618222180238053</v>
      </c>
      <c r="N198" s="1376">
        <f t="shared" si="249"/>
        <v>18.170167954187324</v>
      </c>
      <c r="O198" s="1376">
        <f t="shared" ref="O198" si="250">O197</f>
        <v>19.143687174734442</v>
      </c>
      <c r="P198" s="1376">
        <f t="shared" si="249"/>
        <v>15.300652382747423</v>
      </c>
      <c r="Q198" s="1376">
        <f t="shared" si="249"/>
        <v>14.440498138761487</v>
      </c>
      <c r="R198" s="1376">
        <f t="shared" ref="C198:S200" si="251">R197</f>
        <v>15.400559340566913</v>
      </c>
      <c r="S198" s="1376">
        <f t="shared" si="251"/>
        <v>13.466998365912312</v>
      </c>
      <c r="T198" s="1376">
        <f t="shared" ref="T198:AI200" si="252">T197</f>
        <v>20.249806243606042</v>
      </c>
      <c r="U198" s="1376">
        <f t="shared" si="252"/>
        <v>21.682987970664438</v>
      </c>
      <c r="V198" s="1376">
        <f t="shared" si="252"/>
        <v>27.443962766765594</v>
      </c>
      <c r="W198" s="1376">
        <f t="shared" si="252"/>
        <v>13.96693519029848</v>
      </c>
      <c r="X198" s="1376">
        <f t="shared" si="252"/>
        <v>21.284044260016469</v>
      </c>
      <c r="Y198" s="1376">
        <f t="shared" si="252"/>
        <v>24.526735818413197</v>
      </c>
      <c r="Z198" s="1376">
        <f t="shared" si="252"/>
        <v>33.356854326148984</v>
      </c>
      <c r="AA198" s="1376">
        <f t="shared" si="252"/>
        <v>19.525544196492767</v>
      </c>
      <c r="AB198" s="1376">
        <f t="shared" si="252"/>
        <v>31.05134216085321</v>
      </c>
      <c r="AC198" s="1376">
        <f t="shared" si="252"/>
        <v>30.8314486302652</v>
      </c>
      <c r="AD198" s="1376">
        <f t="shared" si="252"/>
        <v>36.442560262022923</v>
      </c>
      <c r="AE198" s="1376">
        <f t="shared" si="252"/>
        <v>21.701518539033998</v>
      </c>
      <c r="AF198" s="1376">
        <f t="shared" si="252"/>
        <v>31.347716793757758</v>
      </c>
      <c r="AG198" s="1376">
        <f t="shared" si="252"/>
        <v>30.441803025625195</v>
      </c>
      <c r="AH198" s="1376">
        <f t="shared" si="252"/>
        <v>28.572343362130123</v>
      </c>
      <c r="AI198" s="1376">
        <f t="shared" si="252"/>
        <v>13.084217901989588</v>
      </c>
      <c r="AJ198" s="1376">
        <f t="shared" ref="AJ198:AK198" si="253">AJ197</f>
        <v>22.752908309142896</v>
      </c>
      <c r="AK198" s="1376">
        <f t="shared" si="253"/>
        <v>18.402489070974134</v>
      </c>
      <c r="AL198" s="1376">
        <f t="shared" ref="AL198:AM198" si="254">AL197</f>
        <v>31.118058307233856</v>
      </c>
      <c r="AM198" s="1376">
        <f t="shared" si="254"/>
        <v>16.911547076233898</v>
      </c>
      <c r="AN198" s="974">
        <f t="shared" ref="AN198" si="255">AN197</f>
        <v>34.023382864711756</v>
      </c>
      <c r="AO198" s="2366">
        <f>AVERAGE(AK198,AG198,AC198+$BX198)</f>
        <v>26.558580242288176</v>
      </c>
      <c r="AP198" s="2366">
        <f t="shared" ref="AP198" si="256">AVERAGE(AL198,AH198,AD198+$BX198)</f>
        <v>32.044320643795636</v>
      </c>
      <c r="AQ198" s="2366">
        <f t="shared" ref="AQ198" si="257">AVERAGE(AM198,AI198,AE198+$BX198)</f>
        <v>17.232427839085826</v>
      </c>
      <c r="AR198" s="2366">
        <f t="shared" ref="AR198" si="258">AVERAGE(AN198,AJ198,AF198+$BX198)</f>
        <v>29.374669322537471</v>
      </c>
      <c r="AS198" s="484">
        <f t="shared" ref="AS198:BF198" si="259">AO198+$BY198</f>
        <v>29.558580242288176</v>
      </c>
      <c r="AT198" s="484">
        <f t="shared" si="259"/>
        <v>35.044320643795636</v>
      </c>
      <c r="AU198" s="484">
        <f t="shared" si="259"/>
        <v>20.232427839085826</v>
      </c>
      <c r="AV198" s="484">
        <f t="shared" si="259"/>
        <v>32.374669322537471</v>
      </c>
      <c r="AW198" s="484">
        <f t="shared" si="259"/>
        <v>32.558580242288173</v>
      </c>
      <c r="AX198" s="484">
        <f t="shared" si="259"/>
        <v>38.044320643795636</v>
      </c>
      <c r="AY198" s="484">
        <f t="shared" si="259"/>
        <v>23.232427839085826</v>
      </c>
      <c r="AZ198" s="484">
        <f t="shared" si="259"/>
        <v>35.374669322537471</v>
      </c>
      <c r="BA198" s="484">
        <f t="shared" si="259"/>
        <v>35.558580242288173</v>
      </c>
      <c r="BB198" s="484">
        <f t="shared" si="259"/>
        <v>41.044320643795636</v>
      </c>
      <c r="BC198" s="484">
        <f t="shared" si="259"/>
        <v>26.232427839085826</v>
      </c>
      <c r="BD198" s="484">
        <f t="shared" si="259"/>
        <v>38.374669322537471</v>
      </c>
      <c r="BE198" s="484">
        <f t="shared" si="259"/>
        <v>38.558580242288173</v>
      </c>
      <c r="BF198" s="484">
        <f t="shared" si="259"/>
        <v>44.044320643795636</v>
      </c>
      <c r="BG198" s="484">
        <f t="shared" ref="BG198:BV198" si="260">BC198+$BZ198</f>
        <v>29.232427839085826</v>
      </c>
      <c r="BH198" s="484">
        <f t="shared" si="260"/>
        <v>41.374669322537471</v>
      </c>
      <c r="BI198" s="484">
        <f t="shared" si="260"/>
        <v>41.558580242288173</v>
      </c>
      <c r="BJ198" s="484">
        <f t="shared" si="260"/>
        <v>47.044320643795636</v>
      </c>
      <c r="BK198" s="484">
        <f t="shared" si="260"/>
        <v>32.23242783908583</v>
      </c>
      <c r="BL198" s="484">
        <f t="shared" si="260"/>
        <v>44.374669322537471</v>
      </c>
      <c r="BM198" s="484">
        <f t="shared" si="260"/>
        <v>44.558580242288173</v>
      </c>
      <c r="BN198" s="484">
        <f t="shared" si="260"/>
        <v>50.044320643795636</v>
      </c>
      <c r="BO198" s="484">
        <f t="shared" si="260"/>
        <v>35.23242783908583</v>
      </c>
      <c r="BP198" s="484">
        <f t="shared" si="260"/>
        <v>47.374669322537471</v>
      </c>
      <c r="BQ198" s="484">
        <f t="shared" si="260"/>
        <v>47.558580242288173</v>
      </c>
      <c r="BR198" s="484">
        <f t="shared" si="260"/>
        <v>53.044320643795636</v>
      </c>
      <c r="BS198" s="484">
        <f t="shared" si="260"/>
        <v>38.23242783908583</v>
      </c>
      <c r="BT198" s="484">
        <f t="shared" si="260"/>
        <v>50.374669322537471</v>
      </c>
      <c r="BU198" s="484">
        <f t="shared" si="260"/>
        <v>50.558580242288173</v>
      </c>
      <c r="BV198" s="484">
        <f t="shared" si="260"/>
        <v>56.044320643795636</v>
      </c>
      <c r="BX198" s="1779">
        <v>0</v>
      </c>
      <c r="BY198" s="1779">
        <v>3</v>
      </c>
      <c r="BZ198" s="1779">
        <v>3</v>
      </c>
    </row>
    <row r="199" spans="1:78" s="1401" customFormat="1" ht="12.75" customHeight="1">
      <c r="A199" s="236" t="s">
        <v>78</v>
      </c>
      <c r="B199" s="1376">
        <f t="shared" si="249"/>
        <v>19.444275097025599</v>
      </c>
      <c r="C199" s="1376">
        <f t="shared" si="251"/>
        <v>37.038768898488122</v>
      </c>
      <c r="D199" s="1376">
        <f t="shared" si="251"/>
        <v>41.395628747718781</v>
      </c>
      <c r="E199" s="1376">
        <f t="shared" si="251"/>
        <v>23.191634116091048</v>
      </c>
      <c r="F199" s="1376">
        <f t="shared" si="251"/>
        <v>14.780595609013838</v>
      </c>
      <c r="G199" s="1376">
        <f t="shared" si="251"/>
        <v>15.337090002918529</v>
      </c>
      <c r="H199" s="1376">
        <f t="shared" si="251"/>
        <v>11.668404957347498</v>
      </c>
      <c r="I199" s="1376">
        <f t="shared" si="251"/>
        <v>23.127172132435899</v>
      </c>
      <c r="J199" s="1376">
        <f t="shared" si="251"/>
        <v>17.824597340177757</v>
      </c>
      <c r="K199" s="1376">
        <f t="shared" si="251"/>
        <v>10.542381752336253</v>
      </c>
      <c r="L199" s="1376">
        <f t="shared" si="251"/>
        <v>18.955158678722444</v>
      </c>
      <c r="M199" s="1376">
        <f t="shared" si="251"/>
        <v>19.618222180238053</v>
      </c>
      <c r="N199" s="1376">
        <f t="shared" si="251"/>
        <v>18.170167954187324</v>
      </c>
      <c r="O199" s="1376">
        <f t="shared" ref="O199" si="261">O198</f>
        <v>19.143687174734442</v>
      </c>
      <c r="P199" s="1376">
        <f t="shared" si="251"/>
        <v>15.300652382747423</v>
      </c>
      <c r="Q199" s="1376">
        <f t="shared" si="251"/>
        <v>14.440498138761487</v>
      </c>
      <c r="R199" s="1376">
        <f t="shared" si="251"/>
        <v>15.400559340566913</v>
      </c>
      <c r="S199" s="1376">
        <f t="shared" si="251"/>
        <v>13.466998365912312</v>
      </c>
      <c r="T199" s="1376">
        <f t="shared" si="252"/>
        <v>20.249806243606042</v>
      </c>
      <c r="U199" s="1376">
        <f t="shared" si="252"/>
        <v>21.682987970664438</v>
      </c>
      <c r="V199" s="1376">
        <f t="shared" si="252"/>
        <v>27.443962766765594</v>
      </c>
      <c r="W199" s="1376">
        <f t="shared" si="252"/>
        <v>13.96693519029848</v>
      </c>
      <c r="X199" s="1376">
        <f t="shared" si="252"/>
        <v>21.284044260016469</v>
      </c>
      <c r="Y199" s="1376">
        <f t="shared" si="252"/>
        <v>24.526735818413197</v>
      </c>
      <c r="Z199" s="1376">
        <f t="shared" si="252"/>
        <v>33.356854326148984</v>
      </c>
      <c r="AA199" s="1376">
        <f t="shared" si="252"/>
        <v>19.525544196492767</v>
      </c>
      <c r="AB199" s="1376">
        <f t="shared" si="252"/>
        <v>31.05134216085321</v>
      </c>
      <c r="AC199" s="1376">
        <f t="shared" si="252"/>
        <v>30.8314486302652</v>
      </c>
      <c r="AD199" s="1376">
        <f t="shared" si="252"/>
        <v>36.442560262022923</v>
      </c>
      <c r="AE199" s="1376">
        <f t="shared" si="252"/>
        <v>21.701518539033998</v>
      </c>
      <c r="AF199" s="1376">
        <f t="shared" si="252"/>
        <v>31.347716793757758</v>
      </c>
      <c r="AG199" s="1376">
        <f t="shared" si="252"/>
        <v>30.441803025625195</v>
      </c>
      <c r="AH199" s="1376">
        <f t="shared" si="252"/>
        <v>28.572343362130123</v>
      </c>
      <c r="AI199" s="1376">
        <f t="shared" si="252"/>
        <v>13.084217901989588</v>
      </c>
      <c r="AJ199" s="1376">
        <f t="shared" ref="AJ199:AK199" si="262">AJ198</f>
        <v>22.752908309142896</v>
      </c>
      <c r="AK199" s="1376">
        <f t="shared" si="262"/>
        <v>18.402489070974134</v>
      </c>
      <c r="AL199" s="1376">
        <f t="shared" ref="AL199:AM199" si="263">AL198</f>
        <v>31.118058307233856</v>
      </c>
      <c r="AM199" s="1376">
        <f t="shared" si="263"/>
        <v>16.911547076233898</v>
      </c>
      <c r="AN199" s="974">
        <f t="shared" ref="AN199" si="264">AN198</f>
        <v>34.023382864711756</v>
      </c>
      <c r="AO199" s="484">
        <f t="shared" ref="AO199:AP199" si="265">+AO198+$BX199</f>
        <v>26.558580242288176</v>
      </c>
      <c r="AP199" s="484">
        <f t="shared" si="265"/>
        <v>32.044320643795636</v>
      </c>
      <c r="AQ199" s="484">
        <f t="shared" ref="AQ199:BF199" si="266">+AQ198+$BY199</f>
        <v>17.232427839085826</v>
      </c>
      <c r="AR199" s="484">
        <f t="shared" si="266"/>
        <v>29.374669322537471</v>
      </c>
      <c r="AS199" s="484">
        <f t="shared" si="266"/>
        <v>29.558580242288176</v>
      </c>
      <c r="AT199" s="484">
        <f t="shared" si="266"/>
        <v>35.044320643795636</v>
      </c>
      <c r="AU199" s="484">
        <f t="shared" si="266"/>
        <v>20.232427839085826</v>
      </c>
      <c r="AV199" s="484">
        <f t="shared" si="266"/>
        <v>32.374669322537471</v>
      </c>
      <c r="AW199" s="484">
        <f t="shared" si="266"/>
        <v>32.558580242288173</v>
      </c>
      <c r="AX199" s="484">
        <f t="shared" si="266"/>
        <v>38.044320643795636</v>
      </c>
      <c r="AY199" s="484">
        <f t="shared" si="266"/>
        <v>23.232427839085826</v>
      </c>
      <c r="AZ199" s="484">
        <f t="shared" si="266"/>
        <v>35.374669322537471</v>
      </c>
      <c r="BA199" s="484">
        <f t="shared" si="266"/>
        <v>35.558580242288173</v>
      </c>
      <c r="BB199" s="484">
        <f t="shared" si="266"/>
        <v>41.044320643795636</v>
      </c>
      <c r="BC199" s="484">
        <f t="shared" si="266"/>
        <v>26.232427839085826</v>
      </c>
      <c r="BD199" s="484">
        <f t="shared" si="266"/>
        <v>38.374669322537471</v>
      </c>
      <c r="BE199" s="484">
        <f t="shared" si="266"/>
        <v>38.558580242288173</v>
      </c>
      <c r="BF199" s="484">
        <f t="shared" si="266"/>
        <v>44.044320643795636</v>
      </c>
      <c r="BG199" s="484">
        <f t="shared" ref="BG199:BV199" si="267">+BG198+$BZ199</f>
        <v>29.232427839085826</v>
      </c>
      <c r="BH199" s="484">
        <f t="shared" si="267"/>
        <v>41.374669322537471</v>
      </c>
      <c r="BI199" s="484">
        <f t="shared" si="267"/>
        <v>41.558580242288173</v>
      </c>
      <c r="BJ199" s="484">
        <f t="shared" si="267"/>
        <v>47.044320643795636</v>
      </c>
      <c r="BK199" s="484">
        <f t="shared" si="267"/>
        <v>32.23242783908583</v>
      </c>
      <c r="BL199" s="484">
        <f t="shared" si="267"/>
        <v>44.374669322537471</v>
      </c>
      <c r="BM199" s="484">
        <f t="shared" si="267"/>
        <v>44.558580242288173</v>
      </c>
      <c r="BN199" s="484">
        <f t="shared" si="267"/>
        <v>50.044320643795636</v>
      </c>
      <c r="BO199" s="484">
        <f t="shared" si="267"/>
        <v>35.23242783908583</v>
      </c>
      <c r="BP199" s="484">
        <f t="shared" si="267"/>
        <v>47.374669322537471</v>
      </c>
      <c r="BQ199" s="484">
        <f t="shared" si="267"/>
        <v>47.558580242288173</v>
      </c>
      <c r="BR199" s="484">
        <f t="shared" si="267"/>
        <v>53.044320643795636</v>
      </c>
      <c r="BS199" s="484">
        <f t="shared" si="267"/>
        <v>38.23242783908583</v>
      </c>
      <c r="BT199" s="484">
        <f t="shared" si="267"/>
        <v>50.374669322537471</v>
      </c>
      <c r="BU199" s="484">
        <f t="shared" si="267"/>
        <v>50.558580242288173</v>
      </c>
      <c r="BV199" s="484">
        <f t="shared" si="267"/>
        <v>56.044320643795636</v>
      </c>
      <c r="BX199" s="1779">
        <v>0</v>
      </c>
      <c r="BY199" s="1779">
        <v>0</v>
      </c>
      <c r="BZ199" s="1779">
        <v>0</v>
      </c>
    </row>
    <row r="200" spans="1:78" s="1401" customFormat="1" ht="12.75" customHeight="1">
      <c r="A200" s="236" t="s">
        <v>79</v>
      </c>
      <c r="B200" s="1376">
        <f t="shared" si="249"/>
        <v>19.444275097025599</v>
      </c>
      <c r="C200" s="1376">
        <f t="shared" si="251"/>
        <v>37.038768898488122</v>
      </c>
      <c r="D200" s="1376">
        <f t="shared" si="251"/>
        <v>41.395628747718781</v>
      </c>
      <c r="E200" s="1376">
        <f t="shared" si="251"/>
        <v>23.191634116091048</v>
      </c>
      <c r="F200" s="1376">
        <f t="shared" si="251"/>
        <v>14.780595609013838</v>
      </c>
      <c r="G200" s="1376">
        <f t="shared" si="251"/>
        <v>15.337090002918529</v>
      </c>
      <c r="H200" s="1376">
        <f t="shared" si="251"/>
        <v>11.668404957347498</v>
      </c>
      <c r="I200" s="1376">
        <f t="shared" si="251"/>
        <v>23.127172132435899</v>
      </c>
      <c r="J200" s="1376">
        <f t="shared" si="251"/>
        <v>17.824597340177757</v>
      </c>
      <c r="K200" s="1376">
        <f t="shared" si="251"/>
        <v>10.542381752336253</v>
      </c>
      <c r="L200" s="1376">
        <f t="shared" si="251"/>
        <v>18.955158678722444</v>
      </c>
      <c r="M200" s="1376">
        <f t="shared" si="251"/>
        <v>19.618222180238053</v>
      </c>
      <c r="N200" s="1376">
        <f t="shared" si="251"/>
        <v>18.170167954187324</v>
      </c>
      <c r="O200" s="1376">
        <f t="shared" ref="O200" si="268">O199</f>
        <v>19.143687174734442</v>
      </c>
      <c r="P200" s="1376">
        <f t="shared" si="251"/>
        <v>15.300652382747423</v>
      </c>
      <c r="Q200" s="1376">
        <f t="shared" si="251"/>
        <v>14.440498138761487</v>
      </c>
      <c r="R200" s="1376">
        <f t="shared" si="251"/>
        <v>15.400559340566913</v>
      </c>
      <c r="S200" s="1376">
        <f t="shared" si="251"/>
        <v>13.466998365912312</v>
      </c>
      <c r="T200" s="1376">
        <f t="shared" si="252"/>
        <v>20.249806243606042</v>
      </c>
      <c r="U200" s="1376">
        <f t="shared" si="252"/>
        <v>21.682987970664438</v>
      </c>
      <c r="V200" s="1376">
        <f t="shared" si="252"/>
        <v>27.443962766765594</v>
      </c>
      <c r="W200" s="1376">
        <f t="shared" si="252"/>
        <v>13.96693519029848</v>
      </c>
      <c r="X200" s="1376">
        <f t="shared" si="252"/>
        <v>21.284044260016469</v>
      </c>
      <c r="Y200" s="1376">
        <f t="shared" si="252"/>
        <v>24.526735818413197</v>
      </c>
      <c r="Z200" s="1376">
        <f t="shared" si="252"/>
        <v>33.356854326148984</v>
      </c>
      <c r="AA200" s="1376">
        <f t="shared" si="252"/>
        <v>19.525544196492767</v>
      </c>
      <c r="AB200" s="1376">
        <f t="shared" si="252"/>
        <v>31.05134216085321</v>
      </c>
      <c r="AC200" s="1376">
        <f t="shared" si="252"/>
        <v>30.8314486302652</v>
      </c>
      <c r="AD200" s="1376">
        <f t="shared" si="252"/>
        <v>36.442560262022923</v>
      </c>
      <c r="AE200" s="1376">
        <f t="shared" si="252"/>
        <v>21.701518539033998</v>
      </c>
      <c r="AF200" s="1376">
        <f t="shared" si="252"/>
        <v>31.347716793757758</v>
      </c>
      <c r="AG200" s="1376">
        <f t="shared" si="252"/>
        <v>30.441803025625195</v>
      </c>
      <c r="AH200" s="1376">
        <f t="shared" si="252"/>
        <v>28.572343362130123</v>
      </c>
      <c r="AI200" s="1376">
        <f t="shared" si="252"/>
        <v>13.084217901989588</v>
      </c>
      <c r="AJ200" s="1376">
        <f t="shared" ref="AJ200:AK200" si="269">AJ199</f>
        <v>22.752908309142896</v>
      </c>
      <c r="AK200" s="1376">
        <f t="shared" si="269"/>
        <v>18.402489070974134</v>
      </c>
      <c r="AL200" s="1376">
        <f t="shared" ref="AL200:AM200" si="270">AL199</f>
        <v>31.118058307233856</v>
      </c>
      <c r="AM200" s="1376">
        <f t="shared" si="270"/>
        <v>16.911547076233898</v>
      </c>
      <c r="AN200" s="974">
        <f t="shared" ref="AN200" si="271">AN199</f>
        <v>34.023382864711756</v>
      </c>
      <c r="AO200" s="484">
        <f t="shared" ref="AO200:AP200" si="272">+AO198+$BX200</f>
        <v>26.558580242288176</v>
      </c>
      <c r="AP200" s="484">
        <f t="shared" si="272"/>
        <v>32.044320643795636</v>
      </c>
      <c r="AQ200" s="484">
        <f t="shared" ref="AQ200:BF200" si="273">+AQ198+$BY200</f>
        <v>17.232427839085826</v>
      </c>
      <c r="AR200" s="484">
        <f t="shared" si="273"/>
        <v>29.374669322537471</v>
      </c>
      <c r="AS200" s="484">
        <f t="shared" si="273"/>
        <v>29.558580242288176</v>
      </c>
      <c r="AT200" s="484">
        <f t="shared" si="273"/>
        <v>35.044320643795636</v>
      </c>
      <c r="AU200" s="484">
        <f t="shared" si="273"/>
        <v>20.232427839085826</v>
      </c>
      <c r="AV200" s="484">
        <f t="shared" si="273"/>
        <v>32.374669322537471</v>
      </c>
      <c r="AW200" s="484">
        <f t="shared" si="273"/>
        <v>32.558580242288173</v>
      </c>
      <c r="AX200" s="484">
        <f t="shared" si="273"/>
        <v>38.044320643795636</v>
      </c>
      <c r="AY200" s="484">
        <f t="shared" si="273"/>
        <v>23.232427839085826</v>
      </c>
      <c r="AZ200" s="484">
        <f t="shared" si="273"/>
        <v>35.374669322537471</v>
      </c>
      <c r="BA200" s="484">
        <f t="shared" si="273"/>
        <v>35.558580242288173</v>
      </c>
      <c r="BB200" s="484">
        <f t="shared" si="273"/>
        <v>41.044320643795636</v>
      </c>
      <c r="BC200" s="484">
        <f t="shared" si="273"/>
        <v>26.232427839085826</v>
      </c>
      <c r="BD200" s="484">
        <f t="shared" si="273"/>
        <v>38.374669322537471</v>
      </c>
      <c r="BE200" s="484">
        <f t="shared" si="273"/>
        <v>38.558580242288173</v>
      </c>
      <c r="BF200" s="484">
        <f t="shared" si="273"/>
        <v>44.044320643795636</v>
      </c>
      <c r="BG200" s="484">
        <f t="shared" ref="BG200:BV200" si="274">+BG198+$BZ200</f>
        <v>29.232427839085826</v>
      </c>
      <c r="BH200" s="484">
        <f t="shared" si="274"/>
        <v>41.374669322537471</v>
      </c>
      <c r="BI200" s="484">
        <f t="shared" si="274"/>
        <v>41.558580242288173</v>
      </c>
      <c r="BJ200" s="484">
        <f t="shared" si="274"/>
        <v>47.044320643795636</v>
      </c>
      <c r="BK200" s="484">
        <f t="shared" si="274"/>
        <v>32.23242783908583</v>
      </c>
      <c r="BL200" s="484">
        <f t="shared" si="274"/>
        <v>44.374669322537471</v>
      </c>
      <c r="BM200" s="484">
        <f t="shared" si="274"/>
        <v>44.558580242288173</v>
      </c>
      <c r="BN200" s="484">
        <f t="shared" si="274"/>
        <v>50.044320643795636</v>
      </c>
      <c r="BO200" s="484">
        <f t="shared" si="274"/>
        <v>35.23242783908583</v>
      </c>
      <c r="BP200" s="484">
        <f t="shared" si="274"/>
        <v>47.374669322537471</v>
      </c>
      <c r="BQ200" s="484">
        <f t="shared" si="274"/>
        <v>47.558580242288173</v>
      </c>
      <c r="BR200" s="484">
        <f t="shared" si="274"/>
        <v>53.044320643795636</v>
      </c>
      <c r="BS200" s="484">
        <f t="shared" si="274"/>
        <v>38.23242783908583</v>
      </c>
      <c r="BT200" s="484">
        <f t="shared" si="274"/>
        <v>50.374669322537471</v>
      </c>
      <c r="BU200" s="484">
        <f t="shared" si="274"/>
        <v>50.558580242288173</v>
      </c>
      <c r="BV200" s="484">
        <f t="shared" si="274"/>
        <v>56.044320643795636</v>
      </c>
      <c r="BX200" s="1779">
        <v>0</v>
      </c>
      <c r="BY200" s="1779">
        <v>0</v>
      </c>
      <c r="BZ200" s="1779">
        <v>0</v>
      </c>
    </row>
    <row r="201" spans="1:78" s="1401" customFormat="1" ht="12.75" customHeight="1">
      <c r="A201" s="157"/>
      <c r="B201" s="1376"/>
      <c r="C201" s="1376"/>
      <c r="D201" s="1376"/>
      <c r="E201" s="890"/>
      <c r="F201" s="890"/>
      <c r="G201" s="890"/>
      <c r="H201" s="890"/>
      <c r="I201" s="890"/>
      <c r="J201" s="890"/>
      <c r="K201" s="890"/>
      <c r="L201" s="890"/>
      <c r="M201" s="890"/>
      <c r="N201" s="890"/>
      <c r="O201" s="890"/>
      <c r="P201" s="851"/>
      <c r="Q201" s="851"/>
      <c r="R201" s="851"/>
      <c r="S201" s="851"/>
      <c r="T201" s="983"/>
      <c r="U201" s="822"/>
      <c r="V201" s="822"/>
      <c r="W201" s="822"/>
      <c r="X201" s="1376"/>
      <c r="Y201" s="2367"/>
      <c r="Z201" s="2367"/>
      <c r="AA201" s="2367"/>
      <c r="AB201" s="2367"/>
      <c r="AC201" s="2367"/>
      <c r="AD201" s="983"/>
      <c r="AE201" s="983"/>
      <c r="AF201" s="983"/>
      <c r="AG201" s="983"/>
      <c r="AH201" s="983"/>
      <c r="AI201" s="983"/>
      <c r="AJ201" s="983"/>
      <c r="AK201" s="983"/>
      <c r="AL201" s="983"/>
      <c r="AM201" s="983"/>
      <c r="AN201" s="1046"/>
      <c r="AO201" s="196"/>
      <c r="AP201" s="196"/>
      <c r="AQ201" s="196"/>
      <c r="AR201" s="196"/>
      <c r="AS201" s="196"/>
      <c r="AT201" s="196"/>
      <c r="AU201" s="196"/>
      <c r="AV201" s="196"/>
      <c r="AW201" s="196"/>
      <c r="AX201" s="196"/>
      <c r="AY201" s="196"/>
      <c r="AZ201" s="196"/>
      <c r="BA201" s="196"/>
      <c r="BB201" s="196"/>
      <c r="BC201" s="196"/>
      <c r="BD201" s="196"/>
      <c r="BE201" s="196"/>
      <c r="BF201" s="196"/>
      <c r="BG201" s="196"/>
      <c r="BH201" s="196"/>
      <c r="BI201" s="196"/>
      <c r="BJ201" s="196"/>
      <c r="BK201" s="196"/>
      <c r="BL201" s="196"/>
      <c r="BM201" s="196"/>
      <c r="BN201" s="196"/>
      <c r="BO201" s="196"/>
      <c r="BP201" s="196"/>
      <c r="BQ201" s="196"/>
      <c r="BR201" s="196"/>
      <c r="BS201" s="196"/>
      <c r="BT201" s="196"/>
      <c r="BU201" s="196"/>
      <c r="BV201" s="196"/>
      <c r="BX201" s="1780"/>
      <c r="BY201" s="1780"/>
      <c r="BZ201" s="1780"/>
    </row>
    <row r="202" spans="1:78" s="14" customFormat="1" ht="12.75" customHeight="1">
      <c r="A202" s="853" t="s">
        <v>1384</v>
      </c>
      <c r="B202" s="1377">
        <f>+Q_BS!B21</f>
        <v>353.33519751769137</v>
      </c>
      <c r="C202" s="1377">
        <f>+Q_BS!C21</f>
        <v>126.04707656223825</v>
      </c>
      <c r="D202" s="1377">
        <f>+Q_BS!D21</f>
        <v>394.49447995351539</v>
      </c>
      <c r="E202" s="1377">
        <f>+Q_BS!E21</f>
        <v>350.14330674633374</v>
      </c>
      <c r="F202" s="1377">
        <f>+Q_BS!F21</f>
        <v>383.31025268764535</v>
      </c>
      <c r="G202" s="1377">
        <f>+Q_BS!G21</f>
        <v>171.45953311394487</v>
      </c>
      <c r="H202" s="1377">
        <f>+Q_BS!H21</f>
        <v>234.41526697506092</v>
      </c>
      <c r="I202" s="1377">
        <f>+Q_BS!I21</f>
        <v>251.92803430330952</v>
      </c>
      <c r="J202" s="1377">
        <f>+Q_BS!J21</f>
        <v>244.03911505159039</v>
      </c>
      <c r="K202" s="1377">
        <f>+Q_BS!K21</f>
        <v>57.386879475664522</v>
      </c>
      <c r="L202" s="1377">
        <f>+Q_BS!L21</f>
        <v>248.12985056688436</v>
      </c>
      <c r="M202" s="1377">
        <f>+Q_BS!M21</f>
        <v>334.96209787816565</v>
      </c>
      <c r="N202" s="1377">
        <f>+Q_BS!N21</f>
        <v>250.61877734209477</v>
      </c>
      <c r="O202" s="1377">
        <f>+Q_BS!O21</f>
        <v>94.330470162748625</v>
      </c>
      <c r="P202" s="1377">
        <f>+Q_BS!P21</f>
        <v>135.11508165225746</v>
      </c>
      <c r="Q202" s="1377">
        <f>+Q_BS!Q21</f>
        <v>260.4144765791907</v>
      </c>
      <c r="R202" s="1377">
        <f>+Q_BS!R21</f>
        <v>189.93334587779898</v>
      </c>
      <c r="S202" s="1377">
        <f>+Q_BS!S21</f>
        <v>83.196072167761415</v>
      </c>
      <c r="T202" s="1377">
        <f>+Q_BS!T21</f>
        <v>138.69679170968604</v>
      </c>
      <c r="U202" s="1377">
        <f>+Q_BS!U21</f>
        <v>144.12991573596736</v>
      </c>
      <c r="V202" s="1377">
        <f>+Q_BS!V21</f>
        <v>227.18059310316366</v>
      </c>
      <c r="W202" s="1377">
        <f>+Q_BS!W21</f>
        <v>64.726522437447983</v>
      </c>
      <c r="X202" s="1377">
        <f>+Q_BS!X21</f>
        <v>82.957915822762331</v>
      </c>
      <c r="Y202" s="1377">
        <f>+Q_BS!Y21</f>
        <v>111.1563434402144</v>
      </c>
      <c r="Z202" s="1377">
        <f>+Q_BS!Z21</f>
        <v>180.83302953649283</v>
      </c>
      <c r="AA202" s="1377">
        <f>+Q_BS!AA21</f>
        <v>53.704570796114261</v>
      </c>
      <c r="AB202" s="1377">
        <f>+Q_BS!AB21</f>
        <v>131.51094469284817</v>
      </c>
      <c r="AC202" s="1377">
        <f>+Q_BS!AC21</f>
        <v>315.24738037630055</v>
      </c>
      <c r="AD202" s="1377">
        <f>+Q_BS!AD21</f>
        <v>262.12987527222333</v>
      </c>
      <c r="AE202" s="1377">
        <f>+Q_BS!AE21</f>
        <v>53.47890864551627</v>
      </c>
      <c r="AF202" s="1377">
        <f>+Q_BS!AF21</f>
        <v>240.16458392297764</v>
      </c>
      <c r="AG202" s="1377">
        <f>+Q_BS!AG21</f>
        <v>286.81578298975722</v>
      </c>
      <c r="AH202" s="1377">
        <f>+Q_BS!AH21</f>
        <v>184.11175198079675</v>
      </c>
      <c r="AI202" s="1377">
        <f>+Q_BS!AI21</f>
        <v>62.449789185909836</v>
      </c>
      <c r="AJ202" s="1377">
        <f>+Q_BS!AJ21</f>
        <v>172.03541329093932</v>
      </c>
      <c r="AK202" s="1377">
        <f>+Q_BS!AK21</f>
        <v>244.99192875034788</v>
      </c>
      <c r="AL202" s="1377">
        <f>+Q_BS!AL21</f>
        <v>203.62452911055468</v>
      </c>
      <c r="AM202" s="1377">
        <f>+Q_BS!AM21</f>
        <v>50.981269207672483</v>
      </c>
      <c r="AN202" s="2365">
        <f>+Q_BS!AN21</f>
        <v>160.50459608780054</v>
      </c>
      <c r="AO202" s="364">
        <f t="shared" ref="AO202:BV202" si="275">CHOOSE(Scenario_Input,AO203,AO204,AO205)</f>
        <v>282.35169737213522</v>
      </c>
      <c r="AP202" s="364">
        <f t="shared" si="275"/>
        <v>216.62205212119159</v>
      </c>
      <c r="AQ202" s="364">
        <f t="shared" si="275"/>
        <v>55.636655679699537</v>
      </c>
      <c r="AR202" s="364">
        <f t="shared" si="275"/>
        <v>190.9015311005725</v>
      </c>
      <c r="AS202" s="364">
        <f t="shared" si="275"/>
        <v>285.35169737213522</v>
      </c>
      <c r="AT202" s="364">
        <f t="shared" si="275"/>
        <v>219.62205212119159</v>
      </c>
      <c r="AU202" s="364">
        <f t="shared" si="275"/>
        <v>58.636655679699537</v>
      </c>
      <c r="AV202" s="364">
        <f t="shared" si="275"/>
        <v>193.9015311005725</v>
      </c>
      <c r="AW202" s="364">
        <f t="shared" si="275"/>
        <v>288.35169737213522</v>
      </c>
      <c r="AX202" s="364">
        <f t="shared" si="275"/>
        <v>222.62205212119159</v>
      </c>
      <c r="AY202" s="364">
        <f t="shared" si="275"/>
        <v>61.636655679699537</v>
      </c>
      <c r="AZ202" s="364">
        <f t="shared" si="275"/>
        <v>196.9015311005725</v>
      </c>
      <c r="BA202" s="364">
        <f t="shared" si="275"/>
        <v>291.35169737213522</v>
      </c>
      <c r="BB202" s="364">
        <f t="shared" si="275"/>
        <v>225.62205212119159</v>
      </c>
      <c r="BC202" s="364">
        <f t="shared" si="275"/>
        <v>64.636655679699544</v>
      </c>
      <c r="BD202" s="364">
        <f t="shared" si="275"/>
        <v>199.9015311005725</v>
      </c>
      <c r="BE202" s="364">
        <f t="shared" si="275"/>
        <v>294.35169737213522</v>
      </c>
      <c r="BF202" s="364">
        <f t="shared" si="275"/>
        <v>228.62205212119159</v>
      </c>
      <c r="BG202" s="364">
        <f t="shared" si="275"/>
        <v>67.636655679699544</v>
      </c>
      <c r="BH202" s="364">
        <f t="shared" si="275"/>
        <v>202.9015311005725</v>
      </c>
      <c r="BI202" s="364">
        <f t="shared" si="275"/>
        <v>297.35169737213522</v>
      </c>
      <c r="BJ202" s="364">
        <f t="shared" si="275"/>
        <v>231.62205212119159</v>
      </c>
      <c r="BK202" s="364">
        <f t="shared" si="275"/>
        <v>70.636655679699544</v>
      </c>
      <c r="BL202" s="364">
        <f t="shared" si="275"/>
        <v>205.9015311005725</v>
      </c>
      <c r="BM202" s="364">
        <f t="shared" si="275"/>
        <v>300.35169737213522</v>
      </c>
      <c r="BN202" s="364">
        <f t="shared" si="275"/>
        <v>234.62205212119159</v>
      </c>
      <c r="BO202" s="364">
        <f t="shared" si="275"/>
        <v>73.636655679699544</v>
      </c>
      <c r="BP202" s="364">
        <f t="shared" si="275"/>
        <v>208.9015311005725</v>
      </c>
      <c r="BQ202" s="364">
        <f t="shared" si="275"/>
        <v>303.35169737213522</v>
      </c>
      <c r="BR202" s="364">
        <f t="shared" si="275"/>
        <v>237.62205212119159</v>
      </c>
      <c r="BS202" s="364">
        <f t="shared" si="275"/>
        <v>76.636655679699544</v>
      </c>
      <c r="BT202" s="364">
        <f t="shared" si="275"/>
        <v>211.9015311005725</v>
      </c>
      <c r="BU202" s="364">
        <f t="shared" si="275"/>
        <v>306.35169737213522</v>
      </c>
      <c r="BV202" s="364">
        <f t="shared" si="275"/>
        <v>240.62205212119159</v>
      </c>
      <c r="BX202" s="1781"/>
      <c r="BY202" s="1781"/>
      <c r="BZ202" s="1781"/>
    </row>
    <row r="203" spans="1:78" s="1401" customFormat="1" ht="12.75" customHeight="1">
      <c r="A203" s="236" t="s">
        <v>77</v>
      </c>
      <c r="B203" s="1376">
        <f t="shared" ref="B203:S203" si="276">B202</f>
        <v>353.33519751769137</v>
      </c>
      <c r="C203" s="1376">
        <f t="shared" si="276"/>
        <v>126.04707656223825</v>
      </c>
      <c r="D203" s="1376">
        <f t="shared" si="276"/>
        <v>394.49447995351539</v>
      </c>
      <c r="E203" s="1376">
        <f t="shared" si="276"/>
        <v>350.14330674633374</v>
      </c>
      <c r="F203" s="1376">
        <f t="shared" si="276"/>
        <v>383.31025268764535</v>
      </c>
      <c r="G203" s="1376">
        <f t="shared" si="276"/>
        <v>171.45953311394487</v>
      </c>
      <c r="H203" s="1376">
        <f t="shared" si="276"/>
        <v>234.41526697506092</v>
      </c>
      <c r="I203" s="1376">
        <f t="shared" si="276"/>
        <v>251.92803430330952</v>
      </c>
      <c r="J203" s="1376">
        <f t="shared" si="276"/>
        <v>244.03911505159039</v>
      </c>
      <c r="K203" s="1376">
        <f t="shared" si="276"/>
        <v>57.386879475664522</v>
      </c>
      <c r="L203" s="1376">
        <f t="shared" si="276"/>
        <v>248.12985056688436</v>
      </c>
      <c r="M203" s="1376">
        <f t="shared" si="276"/>
        <v>334.96209787816565</v>
      </c>
      <c r="N203" s="1376">
        <f t="shared" si="276"/>
        <v>250.61877734209477</v>
      </c>
      <c r="O203" s="1376">
        <f t="shared" ref="O203" si="277">O202</f>
        <v>94.330470162748625</v>
      </c>
      <c r="P203" s="1376">
        <f t="shared" si="276"/>
        <v>135.11508165225746</v>
      </c>
      <c r="Q203" s="1376">
        <f t="shared" si="276"/>
        <v>260.4144765791907</v>
      </c>
      <c r="R203" s="1376">
        <f t="shared" si="276"/>
        <v>189.93334587779898</v>
      </c>
      <c r="S203" s="1376">
        <f t="shared" si="276"/>
        <v>83.196072167761415</v>
      </c>
      <c r="T203" s="1376">
        <f t="shared" ref="T203:AI205" si="278">T202</f>
        <v>138.69679170968604</v>
      </c>
      <c r="U203" s="1376">
        <f t="shared" si="278"/>
        <v>144.12991573596736</v>
      </c>
      <c r="V203" s="1376">
        <f t="shared" si="278"/>
        <v>227.18059310316366</v>
      </c>
      <c r="W203" s="1376">
        <f t="shared" si="278"/>
        <v>64.726522437447983</v>
      </c>
      <c r="X203" s="1376">
        <f t="shared" si="278"/>
        <v>82.957915822762331</v>
      </c>
      <c r="Y203" s="1376">
        <f t="shared" si="278"/>
        <v>111.1563434402144</v>
      </c>
      <c r="Z203" s="1376">
        <f t="shared" si="278"/>
        <v>180.83302953649283</v>
      </c>
      <c r="AA203" s="1376">
        <f t="shared" si="278"/>
        <v>53.704570796114261</v>
      </c>
      <c r="AB203" s="1376">
        <f t="shared" si="278"/>
        <v>131.51094469284817</v>
      </c>
      <c r="AC203" s="1376">
        <f t="shared" si="278"/>
        <v>315.24738037630055</v>
      </c>
      <c r="AD203" s="1376">
        <f t="shared" si="278"/>
        <v>262.12987527222333</v>
      </c>
      <c r="AE203" s="1376">
        <f t="shared" si="278"/>
        <v>53.47890864551627</v>
      </c>
      <c r="AF203" s="1376">
        <f t="shared" si="278"/>
        <v>240.16458392297764</v>
      </c>
      <c r="AG203" s="1376">
        <f t="shared" si="278"/>
        <v>286.81578298975722</v>
      </c>
      <c r="AH203" s="1376">
        <f t="shared" si="278"/>
        <v>184.11175198079675</v>
      </c>
      <c r="AI203" s="1376">
        <f t="shared" si="278"/>
        <v>62.449789185909836</v>
      </c>
      <c r="AJ203" s="1376">
        <f t="shared" ref="AJ203:AK203" si="279">AJ202</f>
        <v>172.03541329093932</v>
      </c>
      <c r="AK203" s="1376">
        <f t="shared" si="279"/>
        <v>244.99192875034788</v>
      </c>
      <c r="AL203" s="1376">
        <f t="shared" ref="AL203:AM203" si="280">AL202</f>
        <v>203.62452911055468</v>
      </c>
      <c r="AM203" s="1376">
        <f t="shared" si="280"/>
        <v>50.981269207672483</v>
      </c>
      <c r="AN203" s="974">
        <f t="shared" ref="AN203" si="281">AN202</f>
        <v>160.50459608780054</v>
      </c>
      <c r="AO203" s="2366">
        <f>AVERAGE(AK203,AG203,AC203+$BX203)</f>
        <v>282.35169737213522</v>
      </c>
      <c r="AP203" s="2366">
        <f t="shared" ref="AP203" si="282">AVERAGE(AL203,AH203,AD203+$BX203)</f>
        <v>216.62205212119159</v>
      </c>
      <c r="AQ203" s="2366">
        <f t="shared" ref="AQ203" si="283">AVERAGE(AM203,AI203,AE203+$BX203)</f>
        <v>55.636655679699537</v>
      </c>
      <c r="AR203" s="2366">
        <f t="shared" ref="AR203" si="284">AVERAGE(AN203,AJ203,AF203+$BX203)</f>
        <v>190.9015311005725</v>
      </c>
      <c r="AS203" s="484">
        <f t="shared" ref="AS203:BF203" si="285">AO203+$BY203</f>
        <v>285.35169737213522</v>
      </c>
      <c r="AT203" s="484">
        <f t="shared" si="285"/>
        <v>219.62205212119159</v>
      </c>
      <c r="AU203" s="484">
        <f t="shared" si="285"/>
        <v>58.636655679699537</v>
      </c>
      <c r="AV203" s="484">
        <f t="shared" si="285"/>
        <v>193.9015311005725</v>
      </c>
      <c r="AW203" s="484">
        <f t="shared" si="285"/>
        <v>288.35169737213522</v>
      </c>
      <c r="AX203" s="484">
        <f t="shared" si="285"/>
        <v>222.62205212119159</v>
      </c>
      <c r="AY203" s="484">
        <f t="shared" si="285"/>
        <v>61.636655679699537</v>
      </c>
      <c r="AZ203" s="484">
        <f t="shared" si="285"/>
        <v>196.9015311005725</v>
      </c>
      <c r="BA203" s="484">
        <f t="shared" si="285"/>
        <v>291.35169737213522</v>
      </c>
      <c r="BB203" s="484">
        <f t="shared" si="285"/>
        <v>225.62205212119159</v>
      </c>
      <c r="BC203" s="484">
        <f t="shared" si="285"/>
        <v>64.636655679699544</v>
      </c>
      <c r="BD203" s="484">
        <f t="shared" si="285"/>
        <v>199.9015311005725</v>
      </c>
      <c r="BE203" s="484">
        <f t="shared" si="285"/>
        <v>294.35169737213522</v>
      </c>
      <c r="BF203" s="484">
        <f t="shared" si="285"/>
        <v>228.62205212119159</v>
      </c>
      <c r="BG203" s="484">
        <f t="shared" ref="BG203:BV203" si="286">BC203+$BZ203</f>
        <v>67.636655679699544</v>
      </c>
      <c r="BH203" s="484">
        <f t="shared" si="286"/>
        <v>202.9015311005725</v>
      </c>
      <c r="BI203" s="484">
        <f t="shared" si="286"/>
        <v>297.35169737213522</v>
      </c>
      <c r="BJ203" s="484">
        <f t="shared" si="286"/>
        <v>231.62205212119159</v>
      </c>
      <c r="BK203" s="484">
        <f t="shared" si="286"/>
        <v>70.636655679699544</v>
      </c>
      <c r="BL203" s="484">
        <f t="shared" si="286"/>
        <v>205.9015311005725</v>
      </c>
      <c r="BM203" s="484">
        <f t="shared" si="286"/>
        <v>300.35169737213522</v>
      </c>
      <c r="BN203" s="484">
        <f t="shared" si="286"/>
        <v>234.62205212119159</v>
      </c>
      <c r="BO203" s="484">
        <f t="shared" si="286"/>
        <v>73.636655679699544</v>
      </c>
      <c r="BP203" s="484">
        <f t="shared" si="286"/>
        <v>208.9015311005725</v>
      </c>
      <c r="BQ203" s="484">
        <f t="shared" si="286"/>
        <v>303.35169737213522</v>
      </c>
      <c r="BR203" s="484">
        <f t="shared" si="286"/>
        <v>237.62205212119159</v>
      </c>
      <c r="BS203" s="484">
        <f t="shared" si="286"/>
        <v>76.636655679699544</v>
      </c>
      <c r="BT203" s="484">
        <f t="shared" si="286"/>
        <v>211.9015311005725</v>
      </c>
      <c r="BU203" s="484">
        <f t="shared" si="286"/>
        <v>306.35169737213522</v>
      </c>
      <c r="BV203" s="484">
        <f t="shared" si="286"/>
        <v>240.62205212119159</v>
      </c>
      <c r="BX203" s="1779">
        <v>0</v>
      </c>
      <c r="BY203" s="1779">
        <v>3</v>
      </c>
      <c r="BZ203" s="1779">
        <v>3</v>
      </c>
    </row>
    <row r="204" spans="1:78" s="1401" customFormat="1" ht="12.75" customHeight="1">
      <c r="A204" s="236" t="s">
        <v>78</v>
      </c>
      <c r="B204" s="1376">
        <f t="shared" ref="B204:S204" si="287">B203</f>
        <v>353.33519751769137</v>
      </c>
      <c r="C204" s="1376">
        <f t="shared" si="287"/>
        <v>126.04707656223825</v>
      </c>
      <c r="D204" s="1376">
        <f t="shared" si="287"/>
        <v>394.49447995351539</v>
      </c>
      <c r="E204" s="1376">
        <f t="shared" si="287"/>
        <v>350.14330674633374</v>
      </c>
      <c r="F204" s="1376">
        <f t="shared" si="287"/>
        <v>383.31025268764535</v>
      </c>
      <c r="G204" s="1376">
        <f t="shared" si="287"/>
        <v>171.45953311394487</v>
      </c>
      <c r="H204" s="1376">
        <f t="shared" si="287"/>
        <v>234.41526697506092</v>
      </c>
      <c r="I204" s="1376">
        <f t="shared" si="287"/>
        <v>251.92803430330952</v>
      </c>
      <c r="J204" s="1376">
        <f t="shared" si="287"/>
        <v>244.03911505159039</v>
      </c>
      <c r="K204" s="1376">
        <f t="shared" si="287"/>
        <v>57.386879475664522</v>
      </c>
      <c r="L204" s="1376">
        <f t="shared" si="287"/>
        <v>248.12985056688436</v>
      </c>
      <c r="M204" s="1376">
        <f t="shared" si="287"/>
        <v>334.96209787816565</v>
      </c>
      <c r="N204" s="1376">
        <f t="shared" si="287"/>
        <v>250.61877734209477</v>
      </c>
      <c r="O204" s="1376">
        <f t="shared" ref="O204" si="288">O203</f>
        <v>94.330470162748625</v>
      </c>
      <c r="P204" s="1376">
        <f t="shared" si="287"/>
        <v>135.11508165225746</v>
      </c>
      <c r="Q204" s="1376">
        <f t="shared" si="287"/>
        <v>260.4144765791907</v>
      </c>
      <c r="R204" s="1376">
        <f t="shared" si="287"/>
        <v>189.93334587779898</v>
      </c>
      <c r="S204" s="1376">
        <f t="shared" si="287"/>
        <v>83.196072167761415</v>
      </c>
      <c r="T204" s="1376">
        <f t="shared" si="278"/>
        <v>138.69679170968604</v>
      </c>
      <c r="U204" s="1376">
        <f t="shared" si="278"/>
        <v>144.12991573596736</v>
      </c>
      <c r="V204" s="1376">
        <f t="shared" si="278"/>
        <v>227.18059310316366</v>
      </c>
      <c r="W204" s="1376">
        <f t="shared" si="278"/>
        <v>64.726522437447983</v>
      </c>
      <c r="X204" s="1376">
        <f t="shared" si="278"/>
        <v>82.957915822762331</v>
      </c>
      <c r="Y204" s="1376">
        <f t="shared" si="278"/>
        <v>111.1563434402144</v>
      </c>
      <c r="Z204" s="1376">
        <f t="shared" si="278"/>
        <v>180.83302953649283</v>
      </c>
      <c r="AA204" s="1376">
        <f t="shared" si="278"/>
        <v>53.704570796114261</v>
      </c>
      <c r="AB204" s="1376">
        <f t="shared" si="278"/>
        <v>131.51094469284817</v>
      </c>
      <c r="AC204" s="1376">
        <f t="shared" si="278"/>
        <v>315.24738037630055</v>
      </c>
      <c r="AD204" s="1376">
        <f t="shared" si="278"/>
        <v>262.12987527222333</v>
      </c>
      <c r="AE204" s="1376">
        <f t="shared" si="278"/>
        <v>53.47890864551627</v>
      </c>
      <c r="AF204" s="1376">
        <f t="shared" si="278"/>
        <v>240.16458392297764</v>
      </c>
      <c r="AG204" s="1376">
        <f t="shared" si="278"/>
        <v>286.81578298975722</v>
      </c>
      <c r="AH204" s="1376">
        <f t="shared" si="278"/>
        <v>184.11175198079675</v>
      </c>
      <c r="AI204" s="1376">
        <f t="shared" si="278"/>
        <v>62.449789185909836</v>
      </c>
      <c r="AJ204" s="1376">
        <f t="shared" ref="AJ204:AK204" si="289">AJ203</f>
        <v>172.03541329093932</v>
      </c>
      <c r="AK204" s="1376">
        <f t="shared" si="289"/>
        <v>244.99192875034788</v>
      </c>
      <c r="AL204" s="1376">
        <f t="shared" ref="AL204:AM204" si="290">AL203</f>
        <v>203.62452911055468</v>
      </c>
      <c r="AM204" s="1376">
        <f t="shared" si="290"/>
        <v>50.981269207672483</v>
      </c>
      <c r="AN204" s="974">
        <f t="shared" ref="AN204" si="291">AN203</f>
        <v>160.50459608780054</v>
      </c>
      <c r="AO204" s="484">
        <f t="shared" ref="AO204:AP204" si="292">+AO203+$BX204</f>
        <v>282.35169737213522</v>
      </c>
      <c r="AP204" s="484">
        <f t="shared" si="292"/>
        <v>216.62205212119159</v>
      </c>
      <c r="AQ204" s="484">
        <f t="shared" ref="AQ204:BF204" si="293">+AQ203+$BY204</f>
        <v>55.636655679699537</v>
      </c>
      <c r="AR204" s="484">
        <f t="shared" si="293"/>
        <v>190.9015311005725</v>
      </c>
      <c r="AS204" s="484">
        <f t="shared" si="293"/>
        <v>285.35169737213522</v>
      </c>
      <c r="AT204" s="484">
        <f t="shared" si="293"/>
        <v>219.62205212119159</v>
      </c>
      <c r="AU204" s="484">
        <f t="shared" si="293"/>
        <v>58.636655679699537</v>
      </c>
      <c r="AV204" s="484">
        <f t="shared" si="293"/>
        <v>193.9015311005725</v>
      </c>
      <c r="AW204" s="484">
        <f t="shared" si="293"/>
        <v>288.35169737213522</v>
      </c>
      <c r="AX204" s="484">
        <f t="shared" si="293"/>
        <v>222.62205212119159</v>
      </c>
      <c r="AY204" s="484">
        <f t="shared" si="293"/>
        <v>61.636655679699537</v>
      </c>
      <c r="AZ204" s="484">
        <f t="shared" si="293"/>
        <v>196.9015311005725</v>
      </c>
      <c r="BA204" s="484">
        <f t="shared" si="293"/>
        <v>291.35169737213522</v>
      </c>
      <c r="BB204" s="484">
        <f t="shared" si="293"/>
        <v>225.62205212119159</v>
      </c>
      <c r="BC204" s="484">
        <f t="shared" si="293"/>
        <v>64.636655679699544</v>
      </c>
      <c r="BD204" s="484">
        <f t="shared" si="293"/>
        <v>199.9015311005725</v>
      </c>
      <c r="BE204" s="484">
        <f t="shared" si="293"/>
        <v>294.35169737213522</v>
      </c>
      <c r="BF204" s="484">
        <f t="shared" si="293"/>
        <v>228.62205212119159</v>
      </c>
      <c r="BG204" s="484">
        <f t="shared" ref="BG204:BV204" si="294">+BG203+$BZ204</f>
        <v>67.636655679699544</v>
      </c>
      <c r="BH204" s="484">
        <f t="shared" si="294"/>
        <v>202.9015311005725</v>
      </c>
      <c r="BI204" s="484">
        <f t="shared" si="294"/>
        <v>297.35169737213522</v>
      </c>
      <c r="BJ204" s="484">
        <f t="shared" si="294"/>
        <v>231.62205212119159</v>
      </c>
      <c r="BK204" s="484">
        <f t="shared" si="294"/>
        <v>70.636655679699544</v>
      </c>
      <c r="BL204" s="484">
        <f t="shared" si="294"/>
        <v>205.9015311005725</v>
      </c>
      <c r="BM204" s="484">
        <f t="shared" si="294"/>
        <v>300.35169737213522</v>
      </c>
      <c r="BN204" s="484">
        <f t="shared" si="294"/>
        <v>234.62205212119159</v>
      </c>
      <c r="BO204" s="484">
        <f t="shared" si="294"/>
        <v>73.636655679699544</v>
      </c>
      <c r="BP204" s="484">
        <f t="shared" si="294"/>
        <v>208.9015311005725</v>
      </c>
      <c r="BQ204" s="484">
        <f t="shared" si="294"/>
        <v>303.35169737213522</v>
      </c>
      <c r="BR204" s="484">
        <f t="shared" si="294"/>
        <v>237.62205212119159</v>
      </c>
      <c r="BS204" s="484">
        <f t="shared" si="294"/>
        <v>76.636655679699544</v>
      </c>
      <c r="BT204" s="484">
        <f t="shared" si="294"/>
        <v>211.9015311005725</v>
      </c>
      <c r="BU204" s="484">
        <f t="shared" si="294"/>
        <v>306.35169737213522</v>
      </c>
      <c r="BV204" s="484">
        <f t="shared" si="294"/>
        <v>240.62205212119159</v>
      </c>
      <c r="BX204" s="1779">
        <v>0</v>
      </c>
      <c r="BY204" s="1779">
        <v>0</v>
      </c>
      <c r="BZ204" s="1779">
        <v>0</v>
      </c>
    </row>
    <row r="205" spans="1:78" s="1401" customFormat="1" ht="12.75" customHeight="1">
      <c r="A205" s="236" t="s">
        <v>79</v>
      </c>
      <c r="B205" s="1376">
        <f t="shared" ref="B205:S205" si="295">B204</f>
        <v>353.33519751769137</v>
      </c>
      <c r="C205" s="1376">
        <f t="shared" si="295"/>
        <v>126.04707656223825</v>
      </c>
      <c r="D205" s="1376">
        <f t="shared" si="295"/>
        <v>394.49447995351539</v>
      </c>
      <c r="E205" s="1376">
        <f t="shared" si="295"/>
        <v>350.14330674633374</v>
      </c>
      <c r="F205" s="1376">
        <f t="shared" si="295"/>
        <v>383.31025268764535</v>
      </c>
      <c r="G205" s="1376">
        <f t="shared" si="295"/>
        <v>171.45953311394487</v>
      </c>
      <c r="H205" s="1376">
        <f t="shared" si="295"/>
        <v>234.41526697506092</v>
      </c>
      <c r="I205" s="1376">
        <f t="shared" si="295"/>
        <v>251.92803430330952</v>
      </c>
      <c r="J205" s="1376">
        <f t="shared" si="295"/>
        <v>244.03911505159039</v>
      </c>
      <c r="K205" s="1376">
        <f t="shared" si="295"/>
        <v>57.386879475664522</v>
      </c>
      <c r="L205" s="1376">
        <f t="shared" si="295"/>
        <v>248.12985056688436</v>
      </c>
      <c r="M205" s="1376">
        <f t="shared" si="295"/>
        <v>334.96209787816565</v>
      </c>
      <c r="N205" s="1376">
        <f t="shared" si="295"/>
        <v>250.61877734209477</v>
      </c>
      <c r="O205" s="1376">
        <f t="shared" ref="O205" si="296">O204</f>
        <v>94.330470162748625</v>
      </c>
      <c r="P205" s="1376">
        <f t="shared" si="295"/>
        <v>135.11508165225746</v>
      </c>
      <c r="Q205" s="1376">
        <f t="shared" si="295"/>
        <v>260.4144765791907</v>
      </c>
      <c r="R205" s="1376">
        <f t="shared" si="295"/>
        <v>189.93334587779898</v>
      </c>
      <c r="S205" s="1376">
        <f t="shared" si="295"/>
        <v>83.196072167761415</v>
      </c>
      <c r="T205" s="1376">
        <f t="shared" si="278"/>
        <v>138.69679170968604</v>
      </c>
      <c r="U205" s="1376">
        <f t="shared" si="278"/>
        <v>144.12991573596736</v>
      </c>
      <c r="V205" s="1376">
        <f t="shared" si="278"/>
        <v>227.18059310316366</v>
      </c>
      <c r="W205" s="1376">
        <f t="shared" si="278"/>
        <v>64.726522437447983</v>
      </c>
      <c r="X205" s="1376">
        <f t="shared" si="278"/>
        <v>82.957915822762331</v>
      </c>
      <c r="Y205" s="1376">
        <f t="shared" si="278"/>
        <v>111.1563434402144</v>
      </c>
      <c r="Z205" s="1376">
        <f t="shared" si="278"/>
        <v>180.83302953649283</v>
      </c>
      <c r="AA205" s="1376">
        <f t="shared" si="278"/>
        <v>53.704570796114261</v>
      </c>
      <c r="AB205" s="1376">
        <f t="shared" si="278"/>
        <v>131.51094469284817</v>
      </c>
      <c r="AC205" s="1376">
        <f t="shared" si="278"/>
        <v>315.24738037630055</v>
      </c>
      <c r="AD205" s="1376">
        <f t="shared" si="278"/>
        <v>262.12987527222333</v>
      </c>
      <c r="AE205" s="1376">
        <f t="shared" si="278"/>
        <v>53.47890864551627</v>
      </c>
      <c r="AF205" s="1376">
        <f t="shared" si="278"/>
        <v>240.16458392297764</v>
      </c>
      <c r="AG205" s="1376">
        <f t="shared" si="278"/>
        <v>286.81578298975722</v>
      </c>
      <c r="AH205" s="1376">
        <f t="shared" si="278"/>
        <v>184.11175198079675</v>
      </c>
      <c r="AI205" s="1376">
        <f t="shared" si="278"/>
        <v>62.449789185909836</v>
      </c>
      <c r="AJ205" s="1376">
        <f t="shared" ref="AJ205:AK205" si="297">AJ204</f>
        <v>172.03541329093932</v>
      </c>
      <c r="AK205" s="1376">
        <f t="shared" si="297"/>
        <v>244.99192875034788</v>
      </c>
      <c r="AL205" s="1376">
        <f t="shared" ref="AL205:AM205" si="298">AL204</f>
        <v>203.62452911055468</v>
      </c>
      <c r="AM205" s="1376">
        <f t="shared" si="298"/>
        <v>50.981269207672483</v>
      </c>
      <c r="AN205" s="974">
        <f t="shared" ref="AN205" si="299">AN204</f>
        <v>160.50459608780054</v>
      </c>
      <c r="AO205" s="484">
        <f t="shared" ref="AO205:AP205" si="300">+AO203+$BX205</f>
        <v>282.35169737213522</v>
      </c>
      <c r="AP205" s="484">
        <f t="shared" si="300"/>
        <v>216.62205212119159</v>
      </c>
      <c r="AQ205" s="484">
        <f t="shared" ref="AQ205:BF205" si="301">+AQ203+$BY205</f>
        <v>55.636655679699537</v>
      </c>
      <c r="AR205" s="484">
        <f t="shared" si="301"/>
        <v>190.9015311005725</v>
      </c>
      <c r="AS205" s="484">
        <f t="shared" si="301"/>
        <v>285.35169737213522</v>
      </c>
      <c r="AT205" s="484">
        <f t="shared" si="301"/>
        <v>219.62205212119159</v>
      </c>
      <c r="AU205" s="484">
        <f t="shared" si="301"/>
        <v>58.636655679699537</v>
      </c>
      <c r="AV205" s="484">
        <f t="shared" si="301"/>
        <v>193.9015311005725</v>
      </c>
      <c r="AW205" s="484">
        <f t="shared" si="301"/>
        <v>288.35169737213522</v>
      </c>
      <c r="AX205" s="484">
        <f t="shared" si="301"/>
        <v>222.62205212119159</v>
      </c>
      <c r="AY205" s="484">
        <f t="shared" si="301"/>
        <v>61.636655679699537</v>
      </c>
      <c r="AZ205" s="484">
        <f t="shared" si="301"/>
        <v>196.9015311005725</v>
      </c>
      <c r="BA205" s="484">
        <f t="shared" si="301"/>
        <v>291.35169737213522</v>
      </c>
      <c r="BB205" s="484">
        <f t="shared" si="301"/>
        <v>225.62205212119159</v>
      </c>
      <c r="BC205" s="484">
        <f t="shared" si="301"/>
        <v>64.636655679699544</v>
      </c>
      <c r="BD205" s="484">
        <f t="shared" si="301"/>
        <v>199.9015311005725</v>
      </c>
      <c r="BE205" s="484">
        <f t="shared" si="301"/>
        <v>294.35169737213522</v>
      </c>
      <c r="BF205" s="484">
        <f t="shared" si="301"/>
        <v>228.62205212119159</v>
      </c>
      <c r="BG205" s="484">
        <f t="shared" ref="BG205:BV205" si="302">+BG203+$BZ205</f>
        <v>67.636655679699544</v>
      </c>
      <c r="BH205" s="484">
        <f t="shared" si="302"/>
        <v>202.9015311005725</v>
      </c>
      <c r="BI205" s="484">
        <f t="shared" si="302"/>
        <v>297.35169737213522</v>
      </c>
      <c r="BJ205" s="484">
        <f t="shared" si="302"/>
        <v>231.62205212119159</v>
      </c>
      <c r="BK205" s="484">
        <f t="shared" si="302"/>
        <v>70.636655679699544</v>
      </c>
      <c r="BL205" s="484">
        <f t="shared" si="302"/>
        <v>205.9015311005725</v>
      </c>
      <c r="BM205" s="484">
        <f t="shared" si="302"/>
        <v>300.35169737213522</v>
      </c>
      <c r="BN205" s="484">
        <f t="shared" si="302"/>
        <v>234.62205212119159</v>
      </c>
      <c r="BO205" s="484">
        <f t="shared" si="302"/>
        <v>73.636655679699544</v>
      </c>
      <c r="BP205" s="484">
        <f t="shared" si="302"/>
        <v>208.9015311005725</v>
      </c>
      <c r="BQ205" s="484">
        <f t="shared" si="302"/>
        <v>303.35169737213522</v>
      </c>
      <c r="BR205" s="484">
        <f t="shared" si="302"/>
        <v>237.62205212119159</v>
      </c>
      <c r="BS205" s="484">
        <f t="shared" si="302"/>
        <v>76.636655679699544</v>
      </c>
      <c r="BT205" s="484">
        <f t="shared" si="302"/>
        <v>211.9015311005725</v>
      </c>
      <c r="BU205" s="484">
        <f t="shared" si="302"/>
        <v>306.35169737213522</v>
      </c>
      <c r="BV205" s="484">
        <f t="shared" si="302"/>
        <v>240.62205212119159</v>
      </c>
      <c r="BX205" s="1779">
        <v>0</v>
      </c>
      <c r="BY205" s="1779">
        <v>0</v>
      </c>
      <c r="BZ205" s="1779">
        <v>0</v>
      </c>
    </row>
    <row r="206" spans="1:78" s="1401" customFormat="1" ht="12.75" customHeight="1">
      <c r="A206" s="157"/>
      <c r="B206" s="1376"/>
      <c r="C206" s="1376"/>
      <c r="D206" s="1376"/>
      <c r="E206" s="890"/>
      <c r="F206" s="890"/>
      <c r="G206" s="890"/>
      <c r="H206" s="890"/>
      <c r="I206" s="890"/>
      <c r="J206" s="890"/>
      <c r="K206" s="890"/>
      <c r="L206" s="890"/>
      <c r="M206" s="890"/>
      <c r="N206" s="890"/>
      <c r="O206" s="890"/>
      <c r="P206" s="851"/>
      <c r="Q206" s="851"/>
      <c r="R206" s="851"/>
      <c r="S206" s="851"/>
      <c r="T206" s="983"/>
      <c r="U206" s="822"/>
      <c r="V206" s="822"/>
      <c r="W206" s="822"/>
      <c r="X206" s="1376"/>
      <c r="Y206" s="2367"/>
      <c r="Z206" s="2367"/>
      <c r="AA206" s="2367"/>
      <c r="AB206" s="2367"/>
      <c r="AC206" s="2367"/>
      <c r="AD206" s="983"/>
      <c r="AE206" s="983"/>
      <c r="AF206" s="983"/>
      <c r="AG206" s="983"/>
      <c r="AH206" s="983"/>
      <c r="AI206" s="983"/>
      <c r="AJ206" s="983"/>
      <c r="AK206" s="983"/>
      <c r="AL206" s="983"/>
      <c r="AM206" s="983"/>
      <c r="AN206" s="1046"/>
      <c r="AO206" s="196"/>
      <c r="AP206" s="196"/>
      <c r="AQ206" s="196"/>
      <c r="AR206" s="196"/>
      <c r="AS206" s="196"/>
      <c r="AT206" s="196"/>
      <c r="AU206" s="196"/>
      <c r="AV206" s="196"/>
      <c r="AW206" s="196"/>
      <c r="AX206" s="196"/>
      <c r="AY206" s="196"/>
      <c r="AZ206" s="196"/>
      <c r="BA206" s="196"/>
      <c r="BB206" s="196"/>
      <c r="BC206" s="196"/>
      <c r="BD206" s="196"/>
      <c r="BE206" s="196"/>
      <c r="BF206" s="196"/>
      <c r="BG206" s="196"/>
      <c r="BH206" s="196"/>
      <c r="BI206" s="196"/>
      <c r="BJ206" s="196"/>
      <c r="BK206" s="196"/>
      <c r="BL206" s="196"/>
      <c r="BM206" s="196"/>
      <c r="BN206" s="196"/>
      <c r="BO206" s="196"/>
      <c r="BP206" s="196"/>
      <c r="BQ206" s="196"/>
      <c r="BR206" s="196"/>
      <c r="BS206" s="196"/>
      <c r="BT206" s="196"/>
      <c r="BU206" s="196"/>
      <c r="BV206" s="196"/>
      <c r="BX206" s="1780"/>
      <c r="BY206" s="1780"/>
      <c r="BZ206" s="1780"/>
    </row>
    <row r="207" spans="1:78" s="14" customFormat="1" ht="12.75" customHeight="1">
      <c r="A207" s="853" t="s">
        <v>14</v>
      </c>
      <c r="B207" s="1377">
        <f>+Q_BS!B27</f>
        <v>169.77637146326211</v>
      </c>
      <c r="C207" s="1377">
        <f>+Q_BS!C27</f>
        <v>96.664041994750662</v>
      </c>
      <c r="D207" s="1377">
        <f>+Q_BS!D27</f>
        <v>121.47937245787332</v>
      </c>
      <c r="E207" s="1377">
        <f>+Q_BS!E27</f>
        <v>84.171923001042813</v>
      </c>
      <c r="F207" s="1377">
        <f>+Q_BS!F27</f>
        <v>74.194579284422787</v>
      </c>
      <c r="G207" s="1377">
        <f>+Q_BS!G27</f>
        <v>45.324519230769234</v>
      </c>
      <c r="H207" s="1377">
        <f>+Q_BS!H27</f>
        <v>60.309228479285544</v>
      </c>
      <c r="I207" s="1377">
        <f>+Q_BS!I27</f>
        <v>61.148575572888177</v>
      </c>
      <c r="J207" s="1377">
        <f>+Q_BS!J27</f>
        <v>59.546217989367818</v>
      </c>
      <c r="K207" s="1377">
        <f>+Q_BS!K27</f>
        <v>41.714710523121738</v>
      </c>
      <c r="L207" s="1377">
        <f>+Q_BS!L27</f>
        <v>72.293978606626339</v>
      </c>
      <c r="M207" s="1377">
        <f>+Q_BS!M27</f>
        <v>90.570699292721883</v>
      </c>
      <c r="N207" s="1377">
        <f>+Q_BS!N27</f>
        <v>73.51302572917227</v>
      </c>
      <c r="O207" s="1377">
        <f>+Q_BS!O27</f>
        <v>42.924276672694383</v>
      </c>
      <c r="P207" s="1377">
        <f>+Q_BS!P27</f>
        <v>66.394284341978874</v>
      </c>
      <c r="Q207" s="1377">
        <f>+Q_BS!Q27</f>
        <v>99.892503427824366</v>
      </c>
      <c r="R207" s="1377">
        <f>+Q_BS!R27</f>
        <v>61.692255584527295</v>
      </c>
      <c r="S207" s="1377">
        <f>+Q_BS!S27</f>
        <v>47.850080859304803</v>
      </c>
      <c r="T207" s="1377">
        <f>+Q_BS!T27</f>
        <v>72.582165117968728</v>
      </c>
      <c r="U207" s="1377">
        <f>+Q_BS!U27</f>
        <v>63.854610469264863</v>
      </c>
      <c r="V207" s="1377">
        <f>+Q_BS!V27</f>
        <v>70.659368099552196</v>
      </c>
      <c r="W207" s="1377">
        <f>+Q_BS!W27</f>
        <v>42.771203823751371</v>
      </c>
      <c r="X207" s="1377">
        <f>+Q_BS!X27</f>
        <v>52.774939594215255</v>
      </c>
      <c r="Y207" s="1377">
        <f>+Q_BS!Y27</f>
        <v>55.76146469049695</v>
      </c>
      <c r="Z207" s="1377">
        <f>+Q_BS!Z27</f>
        <v>71.034167844654419</v>
      </c>
      <c r="AA207" s="1377">
        <f>+Q_BS!AA27</f>
        <v>33.550359401422796</v>
      </c>
      <c r="AB207" s="1377">
        <f>+Q_BS!AB27</f>
        <v>59.741186317481983</v>
      </c>
      <c r="AC207" s="1377">
        <f>+Q_BS!AC27</f>
        <v>95.021452000166562</v>
      </c>
      <c r="AD207" s="1377">
        <f>+Q_BS!AD27</f>
        <v>57.663927935062368</v>
      </c>
      <c r="AE207" s="1377">
        <f>+Q_BS!AE27</f>
        <v>29.059531216432266</v>
      </c>
      <c r="AF207" s="1377">
        <f>+Q_BS!AF27</f>
        <v>76.883276807429766</v>
      </c>
      <c r="AG207" s="1377">
        <f>+Q_BS!AG27</f>
        <v>68.290191753391753</v>
      </c>
      <c r="AH207" s="1377">
        <f>+Q_BS!AH27</f>
        <v>46.490278484081166</v>
      </c>
      <c r="AI207" s="1377">
        <f>+Q_BS!AI27</f>
        <v>31.810465314038108</v>
      </c>
      <c r="AJ207" s="1377">
        <f>+Q_BS!AJ27</f>
        <v>57.700320333173678</v>
      </c>
      <c r="AK207" s="1377">
        <f>+Q_BS!AK27</f>
        <v>73.210358253354045</v>
      </c>
      <c r="AL207" s="1377">
        <f>+Q_BS!AL27</f>
        <v>54.129198529245897</v>
      </c>
      <c r="AM207" s="1377">
        <f>+Q_BS!AM27</f>
        <v>27.607187643505601</v>
      </c>
      <c r="AN207" s="2365">
        <f>+Q_BS!AN27</f>
        <v>61.010356876213237</v>
      </c>
      <c r="AO207" s="364">
        <f t="shared" ref="AO207:BV207" si="303">CHOOSE(Scenario_Input,AO208,AO209,AO210)</f>
        <v>78.840667335637463</v>
      </c>
      <c r="AP207" s="364">
        <f t="shared" si="303"/>
        <v>52.761134982796477</v>
      </c>
      <c r="AQ207" s="364">
        <f t="shared" si="303"/>
        <v>29.492394724658656</v>
      </c>
      <c r="AR207" s="364">
        <f t="shared" si="303"/>
        <v>65.197984672272227</v>
      </c>
      <c r="AS207" s="364">
        <f t="shared" si="303"/>
        <v>75.840667335637463</v>
      </c>
      <c r="AT207" s="364">
        <f t="shared" si="303"/>
        <v>49.761134982796477</v>
      </c>
      <c r="AU207" s="364">
        <f t="shared" si="303"/>
        <v>26.492394724658656</v>
      </c>
      <c r="AV207" s="364">
        <f t="shared" si="303"/>
        <v>62.197984672272227</v>
      </c>
      <c r="AW207" s="364">
        <f t="shared" si="303"/>
        <v>72.840667335637463</v>
      </c>
      <c r="AX207" s="364">
        <f t="shared" si="303"/>
        <v>46.761134982796477</v>
      </c>
      <c r="AY207" s="364">
        <f t="shared" si="303"/>
        <v>23.492394724658656</v>
      </c>
      <c r="AZ207" s="364">
        <f t="shared" si="303"/>
        <v>59.197984672272227</v>
      </c>
      <c r="BA207" s="364">
        <f t="shared" si="303"/>
        <v>69.840667335637463</v>
      </c>
      <c r="BB207" s="364">
        <f t="shared" si="303"/>
        <v>43.761134982796477</v>
      </c>
      <c r="BC207" s="364">
        <f t="shared" si="303"/>
        <v>20.492394724658656</v>
      </c>
      <c r="BD207" s="364">
        <f t="shared" si="303"/>
        <v>56.197984672272227</v>
      </c>
      <c r="BE207" s="364">
        <f t="shared" si="303"/>
        <v>66.840667335637463</v>
      </c>
      <c r="BF207" s="364">
        <f t="shared" si="303"/>
        <v>40.761134982796477</v>
      </c>
      <c r="BG207" s="364">
        <f t="shared" si="303"/>
        <v>17.492394724658656</v>
      </c>
      <c r="BH207" s="364">
        <f t="shared" si="303"/>
        <v>53.197984672272227</v>
      </c>
      <c r="BI207" s="364">
        <f t="shared" si="303"/>
        <v>63.840667335637463</v>
      </c>
      <c r="BJ207" s="364">
        <f t="shared" si="303"/>
        <v>37.761134982796477</v>
      </c>
      <c r="BK207" s="364">
        <f t="shared" si="303"/>
        <v>14.492394724658656</v>
      </c>
      <c r="BL207" s="364">
        <f t="shared" si="303"/>
        <v>50.197984672272227</v>
      </c>
      <c r="BM207" s="364">
        <f t="shared" si="303"/>
        <v>60.840667335637463</v>
      </c>
      <c r="BN207" s="364">
        <f t="shared" si="303"/>
        <v>34.761134982796477</v>
      </c>
      <c r="BO207" s="364">
        <f t="shared" si="303"/>
        <v>11.492394724658656</v>
      </c>
      <c r="BP207" s="364">
        <f t="shared" si="303"/>
        <v>47.197984672272227</v>
      </c>
      <c r="BQ207" s="364">
        <f t="shared" si="303"/>
        <v>57.840667335637463</v>
      </c>
      <c r="BR207" s="364">
        <f t="shared" si="303"/>
        <v>31.761134982796477</v>
      </c>
      <c r="BS207" s="364">
        <f t="shared" si="303"/>
        <v>8.4923947246586557</v>
      </c>
      <c r="BT207" s="364">
        <f t="shared" si="303"/>
        <v>44.197984672272227</v>
      </c>
      <c r="BU207" s="364">
        <f t="shared" si="303"/>
        <v>54.840667335637463</v>
      </c>
      <c r="BV207" s="364">
        <f t="shared" si="303"/>
        <v>28.761134982796477</v>
      </c>
      <c r="BX207" s="1781"/>
      <c r="BY207" s="1781"/>
      <c r="BZ207" s="1781"/>
    </row>
    <row r="208" spans="1:78" s="1401" customFormat="1" ht="12.75" customHeight="1">
      <c r="A208" s="236" t="s">
        <v>77</v>
      </c>
      <c r="B208" s="1376">
        <f t="shared" ref="B208:S208" si="304">B207</f>
        <v>169.77637146326211</v>
      </c>
      <c r="C208" s="1376">
        <f t="shared" si="304"/>
        <v>96.664041994750662</v>
      </c>
      <c r="D208" s="1376">
        <f t="shared" si="304"/>
        <v>121.47937245787332</v>
      </c>
      <c r="E208" s="1376">
        <f t="shared" si="304"/>
        <v>84.171923001042813</v>
      </c>
      <c r="F208" s="1376">
        <f t="shared" si="304"/>
        <v>74.194579284422787</v>
      </c>
      <c r="G208" s="1376">
        <f t="shared" si="304"/>
        <v>45.324519230769234</v>
      </c>
      <c r="H208" s="1376">
        <f t="shared" si="304"/>
        <v>60.309228479285544</v>
      </c>
      <c r="I208" s="1376">
        <f t="shared" si="304"/>
        <v>61.148575572888177</v>
      </c>
      <c r="J208" s="1376">
        <f t="shared" si="304"/>
        <v>59.546217989367818</v>
      </c>
      <c r="K208" s="1376">
        <f t="shared" si="304"/>
        <v>41.714710523121738</v>
      </c>
      <c r="L208" s="1376">
        <f t="shared" si="304"/>
        <v>72.293978606626339</v>
      </c>
      <c r="M208" s="1376">
        <f t="shared" si="304"/>
        <v>90.570699292721883</v>
      </c>
      <c r="N208" s="1376">
        <f t="shared" si="304"/>
        <v>73.51302572917227</v>
      </c>
      <c r="O208" s="1376">
        <f t="shared" ref="O208" si="305">O207</f>
        <v>42.924276672694383</v>
      </c>
      <c r="P208" s="1376">
        <f t="shared" si="304"/>
        <v>66.394284341978874</v>
      </c>
      <c r="Q208" s="1376">
        <f t="shared" si="304"/>
        <v>99.892503427824366</v>
      </c>
      <c r="R208" s="1376">
        <f t="shared" si="304"/>
        <v>61.692255584527295</v>
      </c>
      <c r="S208" s="1376">
        <f t="shared" si="304"/>
        <v>47.850080859304803</v>
      </c>
      <c r="T208" s="1376">
        <f t="shared" ref="T208:AI210" si="306">T207</f>
        <v>72.582165117968728</v>
      </c>
      <c r="U208" s="1376">
        <f t="shared" si="306"/>
        <v>63.854610469264863</v>
      </c>
      <c r="V208" s="1376">
        <f t="shared" si="306"/>
        <v>70.659368099552196</v>
      </c>
      <c r="W208" s="1376">
        <f t="shared" si="306"/>
        <v>42.771203823751371</v>
      </c>
      <c r="X208" s="1376">
        <f t="shared" si="306"/>
        <v>52.774939594215255</v>
      </c>
      <c r="Y208" s="1376">
        <f t="shared" si="306"/>
        <v>55.76146469049695</v>
      </c>
      <c r="Z208" s="1376">
        <f t="shared" si="306"/>
        <v>71.034167844654419</v>
      </c>
      <c r="AA208" s="1376">
        <f t="shared" si="306"/>
        <v>33.550359401422796</v>
      </c>
      <c r="AB208" s="1376">
        <f t="shared" si="306"/>
        <v>59.741186317481983</v>
      </c>
      <c r="AC208" s="1376">
        <f t="shared" si="306"/>
        <v>95.021452000166562</v>
      </c>
      <c r="AD208" s="1376">
        <f t="shared" si="306"/>
        <v>57.663927935062368</v>
      </c>
      <c r="AE208" s="1376">
        <f t="shared" si="306"/>
        <v>29.059531216432266</v>
      </c>
      <c r="AF208" s="1376">
        <f t="shared" si="306"/>
        <v>76.883276807429766</v>
      </c>
      <c r="AG208" s="1376">
        <f t="shared" si="306"/>
        <v>68.290191753391753</v>
      </c>
      <c r="AH208" s="1376">
        <f t="shared" si="306"/>
        <v>46.490278484081166</v>
      </c>
      <c r="AI208" s="1376">
        <f t="shared" si="306"/>
        <v>31.810465314038108</v>
      </c>
      <c r="AJ208" s="1376">
        <f t="shared" ref="AJ208:AK208" si="307">AJ207</f>
        <v>57.700320333173678</v>
      </c>
      <c r="AK208" s="1376">
        <f t="shared" si="307"/>
        <v>73.210358253354045</v>
      </c>
      <c r="AL208" s="1376">
        <f t="shared" ref="AL208:AM208" si="308">AL207</f>
        <v>54.129198529245897</v>
      </c>
      <c r="AM208" s="1376">
        <f t="shared" si="308"/>
        <v>27.607187643505601</v>
      </c>
      <c r="AN208" s="974">
        <f t="shared" ref="AN208" si="309">AN207</f>
        <v>61.010356876213237</v>
      </c>
      <c r="AO208" s="2366">
        <f>AVERAGE(AK208,AG208,AC208+$BX208)</f>
        <v>78.840667335637463</v>
      </c>
      <c r="AP208" s="2366">
        <f t="shared" ref="AP208:AR208" si="310">AVERAGE(AL208,AH208,AD208+$BX208)</f>
        <v>52.761134982796477</v>
      </c>
      <c r="AQ208" s="2366">
        <f t="shared" si="310"/>
        <v>29.492394724658656</v>
      </c>
      <c r="AR208" s="2366">
        <f t="shared" si="310"/>
        <v>65.197984672272227</v>
      </c>
      <c r="AS208" s="484">
        <f t="shared" ref="AS208:BF208" si="311">AO208+$BY208</f>
        <v>75.840667335637463</v>
      </c>
      <c r="AT208" s="484">
        <f t="shared" si="311"/>
        <v>49.761134982796477</v>
      </c>
      <c r="AU208" s="484">
        <f t="shared" si="311"/>
        <v>26.492394724658656</v>
      </c>
      <c r="AV208" s="484">
        <f t="shared" si="311"/>
        <v>62.197984672272227</v>
      </c>
      <c r="AW208" s="484">
        <f t="shared" si="311"/>
        <v>72.840667335637463</v>
      </c>
      <c r="AX208" s="484">
        <f t="shared" si="311"/>
        <v>46.761134982796477</v>
      </c>
      <c r="AY208" s="484">
        <f t="shared" si="311"/>
        <v>23.492394724658656</v>
      </c>
      <c r="AZ208" s="484">
        <f t="shared" si="311"/>
        <v>59.197984672272227</v>
      </c>
      <c r="BA208" s="484">
        <f t="shared" si="311"/>
        <v>69.840667335637463</v>
      </c>
      <c r="BB208" s="484">
        <f t="shared" si="311"/>
        <v>43.761134982796477</v>
      </c>
      <c r="BC208" s="484">
        <f t="shared" si="311"/>
        <v>20.492394724658656</v>
      </c>
      <c r="BD208" s="484">
        <f t="shared" si="311"/>
        <v>56.197984672272227</v>
      </c>
      <c r="BE208" s="484">
        <f t="shared" si="311"/>
        <v>66.840667335637463</v>
      </c>
      <c r="BF208" s="484">
        <f t="shared" si="311"/>
        <v>40.761134982796477</v>
      </c>
      <c r="BG208" s="484">
        <f t="shared" ref="BG208:BV208" si="312">BC208+$BZ208</f>
        <v>17.492394724658656</v>
      </c>
      <c r="BH208" s="484">
        <f t="shared" si="312"/>
        <v>53.197984672272227</v>
      </c>
      <c r="BI208" s="484">
        <f t="shared" si="312"/>
        <v>63.840667335637463</v>
      </c>
      <c r="BJ208" s="484">
        <f t="shared" si="312"/>
        <v>37.761134982796477</v>
      </c>
      <c r="BK208" s="484">
        <f t="shared" si="312"/>
        <v>14.492394724658656</v>
      </c>
      <c r="BL208" s="484">
        <f t="shared" si="312"/>
        <v>50.197984672272227</v>
      </c>
      <c r="BM208" s="484">
        <f t="shared" si="312"/>
        <v>60.840667335637463</v>
      </c>
      <c r="BN208" s="484">
        <f t="shared" si="312"/>
        <v>34.761134982796477</v>
      </c>
      <c r="BO208" s="484">
        <f t="shared" si="312"/>
        <v>11.492394724658656</v>
      </c>
      <c r="BP208" s="484">
        <f t="shared" si="312"/>
        <v>47.197984672272227</v>
      </c>
      <c r="BQ208" s="484">
        <f t="shared" si="312"/>
        <v>57.840667335637463</v>
      </c>
      <c r="BR208" s="484">
        <f t="shared" si="312"/>
        <v>31.761134982796477</v>
      </c>
      <c r="BS208" s="484">
        <f t="shared" si="312"/>
        <v>8.4923947246586557</v>
      </c>
      <c r="BT208" s="484">
        <f t="shared" si="312"/>
        <v>44.197984672272227</v>
      </c>
      <c r="BU208" s="484">
        <f t="shared" si="312"/>
        <v>54.840667335637463</v>
      </c>
      <c r="BV208" s="484">
        <f t="shared" si="312"/>
        <v>28.761134982796477</v>
      </c>
      <c r="BX208" s="1779">
        <v>0</v>
      </c>
      <c r="BY208" s="1779">
        <v>-3</v>
      </c>
      <c r="BZ208" s="1779">
        <v>-3</v>
      </c>
    </row>
    <row r="209" spans="1:78" s="1401" customFormat="1" ht="12.75" customHeight="1">
      <c r="A209" s="236" t="s">
        <v>78</v>
      </c>
      <c r="B209" s="1376">
        <f t="shared" ref="B209:S209" si="313">B208</f>
        <v>169.77637146326211</v>
      </c>
      <c r="C209" s="1376">
        <f t="shared" si="313"/>
        <v>96.664041994750662</v>
      </c>
      <c r="D209" s="1376">
        <f t="shared" si="313"/>
        <v>121.47937245787332</v>
      </c>
      <c r="E209" s="1376">
        <f t="shared" si="313"/>
        <v>84.171923001042813</v>
      </c>
      <c r="F209" s="1376">
        <f t="shared" si="313"/>
        <v>74.194579284422787</v>
      </c>
      <c r="G209" s="1376">
        <f t="shared" si="313"/>
        <v>45.324519230769234</v>
      </c>
      <c r="H209" s="1376">
        <f t="shared" si="313"/>
        <v>60.309228479285544</v>
      </c>
      <c r="I209" s="1376">
        <f t="shared" si="313"/>
        <v>61.148575572888177</v>
      </c>
      <c r="J209" s="1376">
        <f t="shared" si="313"/>
        <v>59.546217989367818</v>
      </c>
      <c r="K209" s="1376">
        <f t="shared" si="313"/>
        <v>41.714710523121738</v>
      </c>
      <c r="L209" s="1376">
        <f t="shared" si="313"/>
        <v>72.293978606626339</v>
      </c>
      <c r="M209" s="1376">
        <f t="shared" si="313"/>
        <v>90.570699292721883</v>
      </c>
      <c r="N209" s="1376">
        <f t="shared" si="313"/>
        <v>73.51302572917227</v>
      </c>
      <c r="O209" s="1376">
        <f t="shared" ref="O209" si="314">O208</f>
        <v>42.924276672694383</v>
      </c>
      <c r="P209" s="1376">
        <f t="shared" si="313"/>
        <v>66.394284341978874</v>
      </c>
      <c r="Q209" s="1376">
        <f t="shared" si="313"/>
        <v>99.892503427824366</v>
      </c>
      <c r="R209" s="1376">
        <f t="shared" si="313"/>
        <v>61.692255584527295</v>
      </c>
      <c r="S209" s="1376">
        <f t="shared" si="313"/>
        <v>47.850080859304803</v>
      </c>
      <c r="T209" s="1376">
        <f t="shared" si="306"/>
        <v>72.582165117968728</v>
      </c>
      <c r="U209" s="1376">
        <f t="shared" si="306"/>
        <v>63.854610469264863</v>
      </c>
      <c r="V209" s="1376">
        <f t="shared" si="306"/>
        <v>70.659368099552196</v>
      </c>
      <c r="W209" s="1376">
        <f t="shared" si="306"/>
        <v>42.771203823751371</v>
      </c>
      <c r="X209" s="1376">
        <f t="shared" si="306"/>
        <v>52.774939594215255</v>
      </c>
      <c r="Y209" s="1376">
        <f t="shared" si="306"/>
        <v>55.76146469049695</v>
      </c>
      <c r="Z209" s="1376">
        <f t="shared" si="306"/>
        <v>71.034167844654419</v>
      </c>
      <c r="AA209" s="1376">
        <f t="shared" si="306"/>
        <v>33.550359401422796</v>
      </c>
      <c r="AB209" s="1376">
        <f t="shared" si="306"/>
        <v>59.741186317481983</v>
      </c>
      <c r="AC209" s="1376">
        <f t="shared" si="306"/>
        <v>95.021452000166562</v>
      </c>
      <c r="AD209" s="1376">
        <f t="shared" si="306"/>
        <v>57.663927935062368</v>
      </c>
      <c r="AE209" s="1376">
        <f t="shared" si="306"/>
        <v>29.059531216432266</v>
      </c>
      <c r="AF209" s="1376">
        <f t="shared" si="306"/>
        <v>76.883276807429766</v>
      </c>
      <c r="AG209" s="1376">
        <f t="shared" si="306"/>
        <v>68.290191753391753</v>
      </c>
      <c r="AH209" s="1376">
        <f t="shared" si="306"/>
        <v>46.490278484081166</v>
      </c>
      <c r="AI209" s="1376">
        <f t="shared" si="306"/>
        <v>31.810465314038108</v>
      </c>
      <c r="AJ209" s="1376">
        <f t="shared" ref="AJ209:AK209" si="315">AJ208</f>
        <v>57.700320333173678</v>
      </c>
      <c r="AK209" s="1376">
        <f t="shared" si="315"/>
        <v>73.210358253354045</v>
      </c>
      <c r="AL209" s="1376">
        <f t="shared" ref="AL209:AM209" si="316">AL208</f>
        <v>54.129198529245897</v>
      </c>
      <c r="AM209" s="1376">
        <f t="shared" si="316"/>
        <v>27.607187643505601</v>
      </c>
      <c r="AN209" s="974">
        <f t="shared" ref="AN209" si="317">AN208</f>
        <v>61.010356876213237</v>
      </c>
      <c r="AO209" s="484">
        <f t="shared" ref="AO209:AP209" si="318">+AO208+$BX209</f>
        <v>78.840667335637463</v>
      </c>
      <c r="AP209" s="484">
        <f t="shared" si="318"/>
        <v>52.761134982796477</v>
      </c>
      <c r="AQ209" s="484">
        <f t="shared" ref="AQ209:BF209" si="319">+AQ208+$BY209</f>
        <v>29.492394724658656</v>
      </c>
      <c r="AR209" s="484">
        <f t="shared" si="319"/>
        <v>65.197984672272227</v>
      </c>
      <c r="AS209" s="484">
        <f t="shared" si="319"/>
        <v>75.840667335637463</v>
      </c>
      <c r="AT209" s="484">
        <f t="shared" si="319"/>
        <v>49.761134982796477</v>
      </c>
      <c r="AU209" s="484">
        <f t="shared" si="319"/>
        <v>26.492394724658656</v>
      </c>
      <c r="AV209" s="484">
        <f t="shared" si="319"/>
        <v>62.197984672272227</v>
      </c>
      <c r="AW209" s="484">
        <f t="shared" si="319"/>
        <v>72.840667335637463</v>
      </c>
      <c r="AX209" s="484">
        <f t="shared" si="319"/>
        <v>46.761134982796477</v>
      </c>
      <c r="AY209" s="484">
        <f t="shared" si="319"/>
        <v>23.492394724658656</v>
      </c>
      <c r="AZ209" s="484">
        <f t="shared" si="319"/>
        <v>59.197984672272227</v>
      </c>
      <c r="BA209" s="484">
        <f t="shared" si="319"/>
        <v>69.840667335637463</v>
      </c>
      <c r="BB209" s="484">
        <f t="shared" si="319"/>
        <v>43.761134982796477</v>
      </c>
      <c r="BC209" s="484">
        <f t="shared" si="319"/>
        <v>20.492394724658656</v>
      </c>
      <c r="BD209" s="484">
        <f t="shared" si="319"/>
        <v>56.197984672272227</v>
      </c>
      <c r="BE209" s="484">
        <f t="shared" si="319"/>
        <v>66.840667335637463</v>
      </c>
      <c r="BF209" s="484">
        <f t="shared" si="319"/>
        <v>40.761134982796477</v>
      </c>
      <c r="BG209" s="484">
        <f t="shared" ref="BG209:BV209" si="320">+BG208+$BZ209</f>
        <v>17.492394724658656</v>
      </c>
      <c r="BH209" s="484">
        <f t="shared" si="320"/>
        <v>53.197984672272227</v>
      </c>
      <c r="BI209" s="484">
        <f t="shared" si="320"/>
        <v>63.840667335637463</v>
      </c>
      <c r="BJ209" s="484">
        <f t="shared" si="320"/>
        <v>37.761134982796477</v>
      </c>
      <c r="BK209" s="484">
        <f t="shared" si="320"/>
        <v>14.492394724658656</v>
      </c>
      <c r="BL209" s="484">
        <f t="shared" si="320"/>
        <v>50.197984672272227</v>
      </c>
      <c r="BM209" s="484">
        <f t="shared" si="320"/>
        <v>60.840667335637463</v>
      </c>
      <c r="BN209" s="484">
        <f t="shared" si="320"/>
        <v>34.761134982796477</v>
      </c>
      <c r="BO209" s="484">
        <f t="shared" si="320"/>
        <v>11.492394724658656</v>
      </c>
      <c r="BP209" s="484">
        <f t="shared" si="320"/>
        <v>47.197984672272227</v>
      </c>
      <c r="BQ209" s="484">
        <f t="shared" si="320"/>
        <v>57.840667335637463</v>
      </c>
      <c r="BR209" s="484">
        <f t="shared" si="320"/>
        <v>31.761134982796477</v>
      </c>
      <c r="BS209" s="484">
        <f t="shared" si="320"/>
        <v>8.4923947246586557</v>
      </c>
      <c r="BT209" s="484">
        <f t="shared" si="320"/>
        <v>44.197984672272227</v>
      </c>
      <c r="BU209" s="484">
        <f t="shared" si="320"/>
        <v>54.840667335637463</v>
      </c>
      <c r="BV209" s="484">
        <f t="shared" si="320"/>
        <v>28.761134982796477</v>
      </c>
      <c r="BX209" s="1779">
        <v>0</v>
      </c>
      <c r="BY209" s="1779">
        <v>0</v>
      </c>
      <c r="BZ209" s="1779">
        <v>0</v>
      </c>
    </row>
    <row r="210" spans="1:78" s="1401" customFormat="1" ht="12.75" customHeight="1">
      <c r="A210" s="236" t="s">
        <v>79</v>
      </c>
      <c r="B210" s="1376">
        <f t="shared" ref="B210:S210" si="321">B209</f>
        <v>169.77637146326211</v>
      </c>
      <c r="C210" s="1376">
        <f t="shared" si="321"/>
        <v>96.664041994750662</v>
      </c>
      <c r="D210" s="1376">
        <f t="shared" si="321"/>
        <v>121.47937245787332</v>
      </c>
      <c r="E210" s="1376">
        <f t="shared" si="321"/>
        <v>84.171923001042813</v>
      </c>
      <c r="F210" s="1376">
        <f t="shared" si="321"/>
        <v>74.194579284422787</v>
      </c>
      <c r="G210" s="1376">
        <f t="shared" si="321"/>
        <v>45.324519230769234</v>
      </c>
      <c r="H210" s="1376">
        <f t="shared" si="321"/>
        <v>60.309228479285544</v>
      </c>
      <c r="I210" s="1376">
        <f t="shared" si="321"/>
        <v>61.148575572888177</v>
      </c>
      <c r="J210" s="1376">
        <f t="shared" si="321"/>
        <v>59.546217989367818</v>
      </c>
      <c r="K210" s="1376">
        <f t="shared" si="321"/>
        <v>41.714710523121738</v>
      </c>
      <c r="L210" s="1376">
        <f t="shared" si="321"/>
        <v>72.293978606626339</v>
      </c>
      <c r="M210" s="1376">
        <f t="shared" si="321"/>
        <v>90.570699292721883</v>
      </c>
      <c r="N210" s="1376">
        <f t="shared" si="321"/>
        <v>73.51302572917227</v>
      </c>
      <c r="O210" s="1376">
        <f t="shared" ref="O210" si="322">O209</f>
        <v>42.924276672694383</v>
      </c>
      <c r="P210" s="1376">
        <f t="shared" si="321"/>
        <v>66.394284341978874</v>
      </c>
      <c r="Q210" s="1376">
        <f t="shared" si="321"/>
        <v>99.892503427824366</v>
      </c>
      <c r="R210" s="1376">
        <f t="shared" si="321"/>
        <v>61.692255584527295</v>
      </c>
      <c r="S210" s="1376">
        <f t="shared" si="321"/>
        <v>47.850080859304803</v>
      </c>
      <c r="T210" s="1376">
        <f t="shared" si="306"/>
        <v>72.582165117968728</v>
      </c>
      <c r="U210" s="1376">
        <f t="shared" si="306"/>
        <v>63.854610469264863</v>
      </c>
      <c r="V210" s="1376">
        <f t="shared" si="306"/>
        <v>70.659368099552196</v>
      </c>
      <c r="W210" s="1376">
        <f t="shared" si="306"/>
        <v>42.771203823751371</v>
      </c>
      <c r="X210" s="1376">
        <f t="shared" si="306"/>
        <v>52.774939594215255</v>
      </c>
      <c r="Y210" s="1376">
        <f t="shared" si="306"/>
        <v>55.76146469049695</v>
      </c>
      <c r="Z210" s="1376">
        <f t="shared" si="306"/>
        <v>71.034167844654419</v>
      </c>
      <c r="AA210" s="1376">
        <f t="shared" si="306"/>
        <v>33.550359401422796</v>
      </c>
      <c r="AB210" s="1376">
        <f t="shared" si="306"/>
        <v>59.741186317481983</v>
      </c>
      <c r="AC210" s="1376">
        <f t="shared" si="306"/>
        <v>95.021452000166562</v>
      </c>
      <c r="AD210" s="1376">
        <f t="shared" si="306"/>
        <v>57.663927935062368</v>
      </c>
      <c r="AE210" s="1376">
        <f t="shared" si="306"/>
        <v>29.059531216432266</v>
      </c>
      <c r="AF210" s="1376">
        <f t="shared" si="306"/>
        <v>76.883276807429766</v>
      </c>
      <c r="AG210" s="1376">
        <f t="shared" si="306"/>
        <v>68.290191753391753</v>
      </c>
      <c r="AH210" s="1376">
        <f t="shared" si="306"/>
        <v>46.490278484081166</v>
      </c>
      <c r="AI210" s="1376">
        <f t="shared" si="306"/>
        <v>31.810465314038108</v>
      </c>
      <c r="AJ210" s="1376">
        <f t="shared" ref="AJ210:AK210" si="323">AJ209</f>
        <v>57.700320333173678</v>
      </c>
      <c r="AK210" s="1376">
        <f t="shared" si="323"/>
        <v>73.210358253354045</v>
      </c>
      <c r="AL210" s="1376">
        <f t="shared" ref="AL210:AM210" si="324">AL209</f>
        <v>54.129198529245897</v>
      </c>
      <c r="AM210" s="1376">
        <f t="shared" si="324"/>
        <v>27.607187643505601</v>
      </c>
      <c r="AN210" s="974">
        <f t="shared" ref="AN210" si="325">AN209</f>
        <v>61.010356876213237</v>
      </c>
      <c r="AO210" s="484">
        <f t="shared" ref="AO210:AP210" si="326">+AO208+$BX210</f>
        <v>78.840667335637463</v>
      </c>
      <c r="AP210" s="484">
        <f t="shared" si="326"/>
        <v>52.761134982796477</v>
      </c>
      <c r="AQ210" s="484">
        <f t="shared" ref="AQ210:BF210" si="327">+AQ208+$BY210</f>
        <v>29.492394724658656</v>
      </c>
      <c r="AR210" s="484">
        <f t="shared" si="327"/>
        <v>65.197984672272227</v>
      </c>
      <c r="AS210" s="484">
        <f t="shared" si="327"/>
        <v>75.840667335637463</v>
      </c>
      <c r="AT210" s="484">
        <f t="shared" si="327"/>
        <v>49.761134982796477</v>
      </c>
      <c r="AU210" s="484">
        <f t="shared" si="327"/>
        <v>26.492394724658656</v>
      </c>
      <c r="AV210" s="484">
        <f t="shared" si="327"/>
        <v>62.197984672272227</v>
      </c>
      <c r="AW210" s="484">
        <f t="shared" si="327"/>
        <v>72.840667335637463</v>
      </c>
      <c r="AX210" s="484">
        <f t="shared" si="327"/>
        <v>46.761134982796477</v>
      </c>
      <c r="AY210" s="484">
        <f t="shared" si="327"/>
        <v>23.492394724658656</v>
      </c>
      <c r="AZ210" s="484">
        <f t="shared" si="327"/>
        <v>59.197984672272227</v>
      </c>
      <c r="BA210" s="484">
        <f t="shared" si="327"/>
        <v>69.840667335637463</v>
      </c>
      <c r="BB210" s="484">
        <f t="shared" si="327"/>
        <v>43.761134982796477</v>
      </c>
      <c r="BC210" s="484">
        <f t="shared" si="327"/>
        <v>20.492394724658656</v>
      </c>
      <c r="BD210" s="484">
        <f t="shared" si="327"/>
        <v>56.197984672272227</v>
      </c>
      <c r="BE210" s="484">
        <f t="shared" si="327"/>
        <v>66.840667335637463</v>
      </c>
      <c r="BF210" s="484">
        <f t="shared" si="327"/>
        <v>40.761134982796477</v>
      </c>
      <c r="BG210" s="484">
        <f t="shared" ref="BG210:BV210" si="328">+BG208+$BZ210</f>
        <v>17.492394724658656</v>
      </c>
      <c r="BH210" s="484">
        <f t="shared" si="328"/>
        <v>53.197984672272227</v>
      </c>
      <c r="BI210" s="484">
        <f t="shared" si="328"/>
        <v>63.840667335637463</v>
      </c>
      <c r="BJ210" s="484">
        <f t="shared" si="328"/>
        <v>37.761134982796477</v>
      </c>
      <c r="BK210" s="484">
        <f t="shared" si="328"/>
        <v>14.492394724658656</v>
      </c>
      <c r="BL210" s="484">
        <f t="shared" si="328"/>
        <v>50.197984672272227</v>
      </c>
      <c r="BM210" s="484">
        <f t="shared" si="328"/>
        <v>60.840667335637463</v>
      </c>
      <c r="BN210" s="484">
        <f t="shared" si="328"/>
        <v>34.761134982796477</v>
      </c>
      <c r="BO210" s="484">
        <f t="shared" si="328"/>
        <v>11.492394724658656</v>
      </c>
      <c r="BP210" s="484">
        <f t="shared" si="328"/>
        <v>47.197984672272227</v>
      </c>
      <c r="BQ210" s="484">
        <f t="shared" si="328"/>
        <v>57.840667335637463</v>
      </c>
      <c r="BR210" s="484">
        <f t="shared" si="328"/>
        <v>31.761134982796477</v>
      </c>
      <c r="BS210" s="484">
        <f t="shared" si="328"/>
        <v>8.4923947246586557</v>
      </c>
      <c r="BT210" s="484">
        <f t="shared" si="328"/>
        <v>44.197984672272227</v>
      </c>
      <c r="BU210" s="484">
        <f t="shared" si="328"/>
        <v>54.840667335637463</v>
      </c>
      <c r="BV210" s="484">
        <f t="shared" si="328"/>
        <v>28.761134982796477</v>
      </c>
      <c r="BX210" s="1779">
        <v>0</v>
      </c>
      <c r="BY210" s="1779">
        <v>0</v>
      </c>
      <c r="BZ210" s="1779">
        <v>0</v>
      </c>
    </row>
    <row r="211" spans="1:78" s="1401" customFormat="1" ht="12.75" customHeight="1">
      <c r="A211" s="236"/>
      <c r="B211" s="597"/>
      <c r="C211" s="597"/>
      <c r="D211" s="597"/>
      <c r="E211" s="597"/>
      <c r="F211" s="597"/>
      <c r="G211" s="597"/>
      <c r="H211" s="597"/>
      <c r="I211" s="597"/>
      <c r="J211" s="597"/>
      <c r="K211" s="597"/>
      <c r="L211" s="597"/>
      <c r="M211" s="597"/>
      <c r="N211" s="597"/>
      <c r="O211" s="597"/>
      <c r="P211" s="597"/>
      <c r="Q211" s="597"/>
      <c r="R211" s="597"/>
      <c r="S211" s="597"/>
      <c r="T211" s="597"/>
      <c r="U211" s="597"/>
      <c r="V211" s="597"/>
      <c r="W211" s="597"/>
      <c r="X211" s="597"/>
      <c r="Y211" s="597"/>
      <c r="Z211" s="597"/>
      <c r="AA211" s="597"/>
      <c r="AB211" s="597"/>
      <c r="AC211" s="597"/>
      <c r="AD211" s="597"/>
      <c r="AE211" s="597"/>
      <c r="AF211" s="597"/>
      <c r="AG211" s="597"/>
      <c r="AH211" s="597"/>
      <c r="AI211" s="597"/>
      <c r="AJ211" s="597"/>
      <c r="AK211" s="597"/>
      <c r="AL211" s="597"/>
      <c r="AM211" s="597"/>
      <c r="AN211" s="1684"/>
      <c r="AO211" s="1685"/>
      <c r="AP211" s="1685"/>
      <c r="AQ211" s="1685"/>
      <c r="AR211" s="1685"/>
      <c r="AS211" s="1685"/>
      <c r="AT211" s="1685"/>
      <c r="AU211" s="1685"/>
      <c r="AV211" s="1685"/>
      <c r="AW211" s="1685"/>
      <c r="AX211" s="1685"/>
      <c r="AY211" s="1685"/>
      <c r="AZ211" s="1685"/>
      <c r="BA211" s="1685"/>
      <c r="BB211" s="1685"/>
      <c r="BC211" s="1685"/>
      <c r="BD211" s="1685"/>
      <c r="BE211" s="1685"/>
      <c r="BF211" s="1685"/>
      <c r="BG211" s="1685"/>
      <c r="BH211" s="1685"/>
      <c r="BI211" s="1685"/>
      <c r="BJ211" s="1685"/>
      <c r="BK211" s="1685"/>
      <c r="BL211" s="1685"/>
      <c r="BM211" s="1685"/>
      <c r="BN211" s="1685"/>
      <c r="BO211" s="1685"/>
      <c r="BP211" s="1685"/>
      <c r="BQ211" s="1685"/>
      <c r="BR211" s="1685"/>
      <c r="BS211" s="1685"/>
      <c r="BT211" s="1685"/>
      <c r="BU211" s="1685"/>
      <c r="BV211" s="1685"/>
    </row>
    <row r="212" spans="1:78" s="1401" customFormat="1" ht="12.75" customHeight="1">
      <c r="A212" s="704" t="s">
        <v>1482</v>
      </c>
      <c r="B212" s="631">
        <v>39447</v>
      </c>
      <c r="C212" s="631">
        <v>39538</v>
      </c>
      <c r="D212" s="631">
        <v>39629</v>
      </c>
      <c r="E212" s="631">
        <v>39721</v>
      </c>
      <c r="F212" s="631">
        <v>39813</v>
      </c>
      <c r="G212" s="631">
        <v>39903</v>
      </c>
      <c r="H212" s="631">
        <v>39994</v>
      </c>
      <c r="I212" s="631">
        <v>40086</v>
      </c>
      <c r="J212" s="631">
        <v>40178</v>
      </c>
      <c r="K212" s="631">
        <v>40268</v>
      </c>
      <c r="L212" s="631">
        <v>40359</v>
      </c>
      <c r="M212" s="631">
        <v>40451</v>
      </c>
      <c r="N212" s="631">
        <v>40543</v>
      </c>
      <c r="O212" s="1451">
        <v>40543</v>
      </c>
      <c r="P212" s="631">
        <v>40724</v>
      </c>
      <c r="Q212" s="631">
        <v>40816</v>
      </c>
      <c r="R212" s="631">
        <v>40908</v>
      </c>
      <c r="S212" s="631">
        <v>40999</v>
      </c>
      <c r="T212" s="631">
        <v>41090</v>
      </c>
      <c r="U212" s="631">
        <v>41182</v>
      </c>
      <c r="V212" s="631">
        <v>41274</v>
      </c>
      <c r="W212" s="631">
        <v>41364</v>
      </c>
      <c r="X212" s="631">
        <v>41455</v>
      </c>
      <c r="Y212" s="631">
        <v>41547</v>
      </c>
      <c r="Z212" s="631">
        <v>41639</v>
      </c>
      <c r="AA212" s="631">
        <v>41729</v>
      </c>
      <c r="AB212" s="631">
        <v>41820</v>
      </c>
      <c r="AC212" s="631">
        <v>41912</v>
      </c>
      <c r="AD212" s="631">
        <v>42004</v>
      </c>
      <c r="AE212" s="1451">
        <v>42094</v>
      </c>
      <c r="AF212" s="1451">
        <v>42185</v>
      </c>
      <c r="AG212" s="1451">
        <v>42277</v>
      </c>
      <c r="AH212" s="1451">
        <v>42369</v>
      </c>
      <c r="AI212" s="1451">
        <v>42460</v>
      </c>
      <c r="AJ212" s="1451">
        <f>+AJ196</f>
        <v>42551</v>
      </c>
      <c r="AK212" s="1451">
        <f>+AK196</f>
        <v>42643</v>
      </c>
      <c r="AL212" s="1451">
        <f>+AL196</f>
        <v>42735</v>
      </c>
      <c r="AM212" s="1451">
        <v>42460</v>
      </c>
      <c r="AN212" s="632">
        <v>42916</v>
      </c>
      <c r="AO212" s="608">
        <v>43008</v>
      </c>
      <c r="AP212" s="608">
        <v>43100</v>
      </c>
      <c r="AQ212" s="608">
        <v>43190</v>
      </c>
      <c r="AR212" s="608">
        <v>43281</v>
      </c>
      <c r="AS212" s="608">
        <v>43373</v>
      </c>
      <c r="AT212" s="608">
        <v>43465</v>
      </c>
      <c r="AU212" s="608">
        <v>43555</v>
      </c>
      <c r="AV212" s="608">
        <v>43646</v>
      </c>
      <c r="AW212" s="608">
        <v>43738</v>
      </c>
      <c r="AX212" s="608">
        <v>43830</v>
      </c>
      <c r="AY212" s="608">
        <v>43921</v>
      </c>
      <c r="AZ212" s="608">
        <v>44012</v>
      </c>
      <c r="BA212" s="608">
        <v>44104</v>
      </c>
      <c r="BB212" s="608">
        <v>44196</v>
      </c>
      <c r="BC212" s="608">
        <v>44286</v>
      </c>
      <c r="BD212" s="608">
        <v>44377</v>
      </c>
      <c r="BE212" s="608">
        <v>44469</v>
      </c>
      <c r="BF212" s="608">
        <v>44561</v>
      </c>
      <c r="BG212" s="608">
        <v>44651</v>
      </c>
      <c r="BH212" s="608">
        <v>44742</v>
      </c>
      <c r="BI212" s="608">
        <v>44834</v>
      </c>
      <c r="BJ212" s="608">
        <v>44926</v>
      </c>
      <c r="BK212" s="608">
        <v>45016</v>
      </c>
      <c r="BL212" s="608">
        <v>45107</v>
      </c>
      <c r="BM212" s="608">
        <v>45199</v>
      </c>
      <c r="BN212" s="608">
        <v>45291</v>
      </c>
      <c r="BO212" s="608">
        <v>45382</v>
      </c>
      <c r="BP212" s="608">
        <v>45473</v>
      </c>
      <c r="BQ212" s="608">
        <v>45565</v>
      </c>
      <c r="BR212" s="608">
        <v>45657</v>
      </c>
      <c r="BS212" s="608">
        <v>45747</v>
      </c>
      <c r="BT212" s="608">
        <v>45838</v>
      </c>
      <c r="BU212" s="608">
        <v>45930</v>
      </c>
      <c r="BV212" s="608">
        <v>46022</v>
      </c>
      <c r="BX212" s="753"/>
      <c r="BY212" s="753"/>
      <c r="BZ212" s="753"/>
    </row>
    <row r="213" spans="1:78" customFormat="1" ht="12.75" customHeight="1">
      <c r="A213" s="2008" t="s">
        <v>1645</v>
      </c>
      <c r="B213" s="71">
        <f>+Q_BS!B71</f>
        <v>0.46972564854213844</v>
      </c>
      <c r="C213" s="71">
        <f>+Q_BS!C71</f>
        <v>0.61934195169246431</v>
      </c>
      <c r="D213" s="71">
        <f>+Q_BS!D71</f>
        <v>0.15182067022342799</v>
      </c>
      <c r="E213" s="71">
        <f>+Q_BS!E71</f>
        <v>0.46853123270589253</v>
      </c>
      <c r="F213" s="71">
        <f>+Q_BS!F71</f>
        <v>0.17849205445730293</v>
      </c>
      <c r="G213" s="71">
        <f>+Q_BS!G71</f>
        <v>0.34052908538787779</v>
      </c>
      <c r="H213" s="71">
        <f>+Q_BS!H71</f>
        <v>0.63754913192564455</v>
      </c>
      <c r="I213" s="71">
        <f>+Q_BS!I71</f>
        <v>0.54758163600694643</v>
      </c>
      <c r="J213" s="71">
        <f>+Q_BS!J71</f>
        <v>0.29654560458792678</v>
      </c>
      <c r="K213" s="71">
        <f>+Q_BS!K71</f>
        <v>1.819152367352622</v>
      </c>
      <c r="L213" s="71">
        <f>+Q_BS!L71</f>
        <v>-3.3653892225313078E-2</v>
      </c>
      <c r="M213" s="71">
        <f>+Q_BS!M71</f>
        <v>2.6987544501235458E-2</v>
      </c>
      <c r="N213" s="71">
        <f>+Q_BS!N71</f>
        <v>8.8264872289046378E-2</v>
      </c>
      <c r="O213" s="71">
        <f>+Q_BS!O71</f>
        <v>0.20443045624757133</v>
      </c>
      <c r="P213" s="71">
        <f>+Q_BS!P71</f>
        <v>8.1786945572962788E-2</v>
      </c>
      <c r="Q213" s="71">
        <f>+Q_BS!Q71</f>
        <v>0.28293211413753971</v>
      </c>
      <c r="R213" s="71">
        <f>+Q_BS!R71</f>
        <v>0.10172217142702854</v>
      </c>
      <c r="S213" s="71">
        <f>+Q_BS!S71</f>
        <v>6.8039530531580322E-2</v>
      </c>
      <c r="T213" s="71">
        <f>+Q_BS!T71</f>
        <v>9.2821659170903195E-2</v>
      </c>
      <c r="U213" s="71">
        <f>+Q_BS!U71</f>
        <v>9.1840711023109603E-2</v>
      </c>
      <c r="V213" s="71">
        <f>+Q_BS!V71</f>
        <v>0.1146272799161492</v>
      </c>
      <c r="W213" s="71">
        <f>+Q_BS!W71</f>
        <v>-1.5679623817348207E-2</v>
      </c>
      <c r="X213" s="71">
        <f>+Q_BS!X71</f>
        <v>-1.5175966571462293E-2</v>
      </c>
      <c r="Y213" s="71">
        <f>+Q_BS!Y71</f>
        <v>-2.6059945958101599E-2</v>
      </c>
      <c r="Z213" s="71">
        <f>+Q_BS!Z71</f>
        <v>-2.483038799330553E-2</v>
      </c>
      <c r="AA213" s="71">
        <f>+Q_BS!AA71</f>
        <v>-4.1814201719692773E-3</v>
      </c>
      <c r="AB213" s="71">
        <f>+Q_BS!AB71</f>
        <v>-2.37914211672451E-2</v>
      </c>
      <c r="AC213" s="71">
        <f>+Q_BS!AC71</f>
        <v>3.9196532329924025E-2</v>
      </c>
      <c r="AD213" s="71">
        <f>+Q_BS!AD71</f>
        <v>5.6934509530750244E-2</v>
      </c>
      <c r="AE213" s="71">
        <f>+Q_BS!AE71</f>
        <v>3.886946107554079E-3</v>
      </c>
      <c r="AF213" s="71">
        <f>+Q_BS!AF71</f>
        <v>1.8835155810913995E-3</v>
      </c>
      <c r="AG213" s="71">
        <f>+Q_BS!AG71</f>
        <v>-3.1664238985826071E-2</v>
      </c>
      <c r="AH213" s="71">
        <f>+Q_BS!AH71</f>
        <v>-6.1483698881152071E-3</v>
      </c>
      <c r="AI213" s="71">
        <f>+Q_BS!AI71</f>
        <v>-6.1548100635377134E-3</v>
      </c>
      <c r="AJ213" s="71">
        <f>+Q_BS!AJ71</f>
        <v>4.0140517360531675E-2</v>
      </c>
      <c r="AK213" s="71">
        <f>+Q_BS!AK71</f>
        <v>4.6688751467232809E-2</v>
      </c>
      <c r="AL213" s="71">
        <f>+Q_BS!AL71</f>
        <v>7.1292536810305118E-3</v>
      </c>
      <c r="AM213" s="71">
        <f>+Q_BS!AM71</f>
        <v>3.8640562146903812E-3</v>
      </c>
      <c r="AN213" s="1482">
        <f>+Q_BS!AN71</f>
        <v>4.7994977586636664E-2</v>
      </c>
      <c r="AO213" s="691">
        <f>+AVERAGE(AK213:AN213)</f>
        <v>2.6419259737397591E-2</v>
      </c>
      <c r="AP213" s="2368">
        <f t="shared" ref="AP213:BV213" si="329">+AO213</f>
        <v>2.6419259737397591E-2</v>
      </c>
      <c r="AQ213" s="691">
        <v>0.02</v>
      </c>
      <c r="AR213" s="2368">
        <f t="shared" si="329"/>
        <v>0.02</v>
      </c>
      <c r="AS213" s="2368">
        <f t="shared" si="329"/>
        <v>0.02</v>
      </c>
      <c r="AT213" s="2368">
        <f t="shared" si="329"/>
        <v>0.02</v>
      </c>
      <c r="AU213" s="691">
        <v>0.01</v>
      </c>
      <c r="AV213" s="2368">
        <f t="shared" si="329"/>
        <v>0.01</v>
      </c>
      <c r="AW213" s="2368">
        <f t="shared" si="329"/>
        <v>0.01</v>
      </c>
      <c r="AX213" s="2368">
        <f t="shared" si="329"/>
        <v>0.01</v>
      </c>
      <c r="AY213" s="2368">
        <f t="shared" si="329"/>
        <v>0.01</v>
      </c>
      <c r="AZ213" s="2368">
        <f t="shared" si="329"/>
        <v>0.01</v>
      </c>
      <c r="BA213" s="2368">
        <f t="shared" si="329"/>
        <v>0.01</v>
      </c>
      <c r="BB213" s="2368">
        <f t="shared" si="329"/>
        <v>0.01</v>
      </c>
      <c r="BC213" s="2368">
        <f t="shared" si="329"/>
        <v>0.01</v>
      </c>
      <c r="BD213" s="2368">
        <f t="shared" si="329"/>
        <v>0.01</v>
      </c>
      <c r="BE213" s="2368">
        <f t="shared" si="329"/>
        <v>0.01</v>
      </c>
      <c r="BF213" s="2368">
        <f t="shared" si="329"/>
        <v>0.01</v>
      </c>
      <c r="BG213" s="2368">
        <f t="shared" si="329"/>
        <v>0.01</v>
      </c>
      <c r="BH213" s="2368">
        <f t="shared" si="329"/>
        <v>0.01</v>
      </c>
      <c r="BI213" s="2368">
        <f t="shared" si="329"/>
        <v>0.01</v>
      </c>
      <c r="BJ213" s="2368">
        <f t="shared" si="329"/>
        <v>0.01</v>
      </c>
      <c r="BK213" s="2368">
        <f t="shared" si="329"/>
        <v>0.01</v>
      </c>
      <c r="BL213" s="2368">
        <f t="shared" si="329"/>
        <v>0.01</v>
      </c>
      <c r="BM213" s="2368">
        <f t="shared" si="329"/>
        <v>0.01</v>
      </c>
      <c r="BN213" s="2368">
        <f t="shared" si="329"/>
        <v>0.01</v>
      </c>
      <c r="BO213" s="2368">
        <f t="shared" si="329"/>
        <v>0.01</v>
      </c>
      <c r="BP213" s="2368">
        <f t="shared" si="329"/>
        <v>0.01</v>
      </c>
      <c r="BQ213" s="2368">
        <f t="shared" si="329"/>
        <v>0.01</v>
      </c>
      <c r="BR213" s="2368">
        <f t="shared" si="329"/>
        <v>0.01</v>
      </c>
      <c r="BS213" s="2368">
        <f t="shared" si="329"/>
        <v>0.01</v>
      </c>
      <c r="BT213" s="2368">
        <f t="shared" si="329"/>
        <v>0.01</v>
      </c>
      <c r="BU213" s="2368">
        <f t="shared" si="329"/>
        <v>0.01</v>
      </c>
      <c r="BV213" s="2368">
        <f t="shared" si="329"/>
        <v>0.01</v>
      </c>
      <c r="BW213" s="2010"/>
      <c r="BX213" s="2011" t="s">
        <v>1485</v>
      </c>
    </row>
    <row r="214" spans="1:78" customFormat="1" ht="12.75" customHeight="1">
      <c r="A214" s="2008" t="s">
        <v>1483</v>
      </c>
      <c r="AC214" s="597"/>
      <c r="AD214" s="597"/>
      <c r="AE214" s="597"/>
      <c r="AF214" s="597"/>
      <c r="AG214" s="597"/>
      <c r="AH214" s="597"/>
      <c r="AI214" s="597"/>
      <c r="AJ214" s="597"/>
      <c r="AK214" s="597"/>
      <c r="AL214" s="597"/>
      <c r="AM214" s="597"/>
      <c r="AN214" s="1684"/>
      <c r="AO214" s="2009">
        <v>400</v>
      </c>
      <c r="AP214" s="2009">
        <v>400</v>
      </c>
      <c r="AQ214" s="2009">
        <v>400</v>
      </c>
      <c r="AR214" s="2009">
        <v>400</v>
      </c>
      <c r="AS214" s="2009">
        <v>400</v>
      </c>
      <c r="AT214" s="2009">
        <v>400</v>
      </c>
      <c r="AU214" s="2009">
        <v>400</v>
      </c>
      <c r="AV214" s="2009">
        <v>400</v>
      </c>
      <c r="AW214" s="2009">
        <v>400</v>
      </c>
      <c r="AX214" s="2009">
        <v>400</v>
      </c>
      <c r="AY214" s="2009">
        <v>400</v>
      </c>
      <c r="AZ214" s="2009">
        <v>400</v>
      </c>
      <c r="BA214" s="2009">
        <v>400</v>
      </c>
      <c r="BB214" s="2009">
        <v>400</v>
      </c>
      <c r="BC214" s="2009">
        <v>400</v>
      </c>
      <c r="BD214" s="2009">
        <v>400</v>
      </c>
      <c r="BE214" s="2009">
        <v>400</v>
      </c>
      <c r="BF214" s="2009">
        <v>400</v>
      </c>
      <c r="BG214" s="2009">
        <v>400</v>
      </c>
      <c r="BH214" s="2009">
        <v>400</v>
      </c>
      <c r="BI214" s="2009">
        <v>400</v>
      </c>
      <c r="BJ214" s="2009">
        <v>400</v>
      </c>
      <c r="BK214" s="2009">
        <v>400</v>
      </c>
      <c r="BL214" s="2009">
        <v>400</v>
      </c>
      <c r="BM214" s="2009">
        <v>400</v>
      </c>
      <c r="BN214" s="2009">
        <v>400</v>
      </c>
      <c r="BO214" s="2009">
        <v>400</v>
      </c>
      <c r="BP214" s="2009">
        <v>400</v>
      </c>
      <c r="BQ214" s="2009">
        <v>400</v>
      </c>
      <c r="BR214" s="2009">
        <v>400</v>
      </c>
      <c r="BS214" s="2009">
        <v>400</v>
      </c>
      <c r="BT214" s="2009">
        <v>400</v>
      </c>
      <c r="BU214" s="2009">
        <v>400</v>
      </c>
      <c r="BV214" s="2009">
        <v>400</v>
      </c>
      <c r="BX214" s="2012">
        <v>2</v>
      </c>
      <c r="BY214" s="1401" t="s">
        <v>1486</v>
      </c>
    </row>
    <row r="215" spans="1:78" s="1401" customFormat="1" ht="12.75" customHeight="1">
      <c r="A215" s="2008" t="s">
        <v>1484</v>
      </c>
      <c r="B215" s="597"/>
      <c r="C215" s="597"/>
      <c r="D215" s="597"/>
      <c r="E215" s="597"/>
      <c r="F215" s="597"/>
      <c r="G215" s="597"/>
      <c r="H215" s="597"/>
      <c r="I215" s="597"/>
      <c r="J215" s="597"/>
      <c r="K215" s="597"/>
      <c r="L215" s="597"/>
      <c r="M215" s="597"/>
      <c r="N215" s="597"/>
      <c r="O215" s="597"/>
      <c r="P215" s="597"/>
      <c r="Q215" s="597"/>
      <c r="R215" s="597"/>
      <c r="S215" s="597"/>
      <c r="T215" s="597"/>
      <c r="U215" s="597"/>
      <c r="V215" s="597"/>
      <c r="W215" s="597"/>
      <c r="X215" s="597"/>
      <c r="Y215" s="597"/>
      <c r="Z215" s="597"/>
      <c r="AA215" s="597"/>
      <c r="AB215" s="597"/>
      <c r="AC215" s="597"/>
      <c r="AD215" s="597"/>
      <c r="AE215" s="597"/>
      <c r="AF215" s="597"/>
      <c r="AG215" s="597"/>
      <c r="AH215" s="597"/>
      <c r="AI215" s="597"/>
      <c r="AJ215" s="597"/>
      <c r="AK215" s="597"/>
      <c r="AL215" s="597"/>
      <c r="AM215" s="597"/>
      <c r="AN215" s="1684"/>
      <c r="AO215" s="2009">
        <v>0</v>
      </c>
      <c r="AP215" s="2009">
        <v>0</v>
      </c>
      <c r="AQ215" s="2009">
        <v>0</v>
      </c>
      <c r="AR215" s="2009">
        <v>0</v>
      </c>
      <c r="AS215" s="2009">
        <v>0</v>
      </c>
      <c r="AT215" s="2009">
        <v>0</v>
      </c>
      <c r="AU215" s="2009">
        <v>0</v>
      </c>
      <c r="AV215" s="2009">
        <v>0</v>
      </c>
      <c r="AW215" s="2009">
        <v>0</v>
      </c>
      <c r="AX215" s="2009">
        <v>0</v>
      </c>
      <c r="AY215" s="2009">
        <v>0</v>
      </c>
      <c r="AZ215" s="2009">
        <v>0</v>
      </c>
      <c r="BA215" s="2009">
        <v>0</v>
      </c>
      <c r="BB215" s="2009">
        <v>0</v>
      </c>
      <c r="BC215" s="2009">
        <v>0</v>
      </c>
      <c r="BD215" s="2009">
        <v>0</v>
      </c>
      <c r="BE215" s="2009">
        <v>0</v>
      </c>
      <c r="BF215" s="2009">
        <v>0</v>
      </c>
      <c r="BG215" s="2009">
        <v>0</v>
      </c>
      <c r="BH215" s="2009">
        <v>0</v>
      </c>
      <c r="BI215" s="2009">
        <v>0</v>
      </c>
      <c r="BJ215" s="2009">
        <v>0</v>
      </c>
      <c r="BK215" s="2009">
        <v>0</v>
      </c>
      <c r="BL215" s="2009">
        <v>0</v>
      </c>
      <c r="BM215" s="2009">
        <v>0</v>
      </c>
      <c r="BN215" s="2009">
        <v>0</v>
      </c>
      <c r="BO215" s="2009">
        <v>0</v>
      </c>
      <c r="BP215" s="2009">
        <v>0</v>
      </c>
      <c r="BQ215" s="2009">
        <v>0</v>
      </c>
      <c r="BR215" s="2009">
        <v>0</v>
      </c>
      <c r="BS215" s="2009">
        <v>0</v>
      </c>
      <c r="BT215" s="2009">
        <v>0</v>
      </c>
      <c r="BU215" s="2009">
        <v>0</v>
      </c>
      <c r="BV215" s="2009">
        <v>0</v>
      </c>
      <c r="BX215"/>
      <c r="BY215"/>
      <c r="BZ215"/>
    </row>
    <row r="216" spans="1:78" s="1401" customFormat="1" ht="12.75" customHeight="1">
      <c r="A216" s="236"/>
      <c r="B216" s="597"/>
      <c r="C216" s="597"/>
      <c r="D216" s="597"/>
      <c r="E216" s="597"/>
      <c r="F216" s="597"/>
      <c r="G216" s="597"/>
      <c r="H216" s="597"/>
      <c r="I216" s="597"/>
      <c r="J216" s="597"/>
      <c r="K216" s="597"/>
      <c r="L216" s="597"/>
      <c r="M216" s="597"/>
      <c r="N216" s="597"/>
      <c r="O216" s="597"/>
      <c r="P216" s="597"/>
      <c r="Q216" s="597"/>
      <c r="R216" s="597"/>
      <c r="S216" s="597"/>
      <c r="T216" s="597"/>
      <c r="U216" s="597"/>
      <c r="V216" s="597"/>
      <c r="W216" s="597"/>
      <c r="X216" s="597"/>
      <c r="Y216" s="597"/>
      <c r="Z216" s="597"/>
      <c r="AA216" s="597"/>
      <c r="AB216" s="597"/>
      <c r="AC216" s="597"/>
      <c r="AD216" s="597"/>
      <c r="AE216" s="597"/>
      <c r="AF216" s="597"/>
      <c r="AG216" s="597"/>
      <c r="AH216" s="597"/>
      <c r="AI216" s="597"/>
      <c r="AJ216" s="597"/>
      <c r="AK216" s="597"/>
      <c r="AL216" s="597"/>
      <c r="AM216" s="597"/>
      <c r="AN216" s="1684"/>
      <c r="AO216" s="1685"/>
      <c r="AP216" s="1685"/>
      <c r="AQ216" s="1685"/>
      <c r="AR216" s="1685"/>
      <c r="AS216" s="1685"/>
      <c r="AT216" s="1685"/>
      <c r="AU216" s="1685"/>
      <c r="AV216" s="1685"/>
      <c r="AW216" s="1685"/>
      <c r="AX216" s="1685"/>
      <c r="AY216" s="1685"/>
      <c r="AZ216" s="1685"/>
      <c r="BA216" s="1685"/>
      <c r="BB216" s="1685"/>
      <c r="BC216" s="1685"/>
      <c r="BD216" s="1685"/>
      <c r="BE216" s="1685"/>
      <c r="BF216" s="1685"/>
      <c r="BG216" s="1685"/>
      <c r="BH216" s="1685"/>
      <c r="BI216" s="1685"/>
      <c r="BJ216" s="1685"/>
      <c r="BK216" s="1685"/>
      <c r="BL216" s="1685"/>
      <c r="BM216" s="1685"/>
      <c r="BN216" s="1685"/>
      <c r="BO216" s="1685"/>
      <c r="BP216" s="1685"/>
      <c r="BQ216" s="1685"/>
      <c r="BR216" s="1685"/>
      <c r="BS216" s="1685"/>
      <c r="BT216" s="1685"/>
      <c r="BU216" s="1685"/>
      <c r="BV216" s="1685"/>
      <c r="BX216"/>
      <c r="BY216"/>
      <c r="BZ216"/>
    </row>
    <row r="217" spans="1:78" s="1401" customFormat="1" ht="12.75">
      <c r="A217" s="704" t="s">
        <v>1479</v>
      </c>
      <c r="B217" s="597"/>
      <c r="C217" s="597"/>
      <c r="D217" s="597"/>
      <c r="E217" s="597"/>
      <c r="F217" s="597"/>
      <c r="G217" s="597"/>
      <c r="H217" s="597"/>
      <c r="I217" s="597"/>
      <c r="J217" s="597"/>
      <c r="K217" s="597"/>
      <c r="L217" s="597"/>
      <c r="M217" s="597"/>
      <c r="N217" s="597"/>
      <c r="O217" s="597"/>
      <c r="P217" s="597"/>
      <c r="Q217" s="597"/>
      <c r="R217" s="597"/>
      <c r="S217" s="597"/>
      <c r="T217" s="597"/>
      <c r="U217" s="597"/>
      <c r="V217" s="597"/>
      <c r="W217" s="597"/>
      <c r="X217" s="597"/>
      <c r="Y217" s="597"/>
      <c r="Z217" s="597"/>
      <c r="AA217" s="597"/>
      <c r="AB217" s="597"/>
      <c r="AC217" s="597"/>
      <c r="AD217" s="597"/>
      <c r="AE217" s="597"/>
      <c r="AF217" s="597"/>
      <c r="AG217" s="597"/>
      <c r="AH217" s="597"/>
      <c r="AI217" s="597"/>
      <c r="AJ217" s="597"/>
      <c r="AK217" s="597"/>
      <c r="AL217" s="597"/>
      <c r="AM217" s="597"/>
      <c r="AN217" s="1684"/>
      <c r="AO217" s="1685"/>
      <c r="AP217" s="1685"/>
      <c r="AQ217" s="1685"/>
      <c r="AR217" s="1685"/>
      <c r="AS217" s="1685"/>
      <c r="AT217" s="1685"/>
      <c r="AU217" s="1685"/>
      <c r="AV217" s="1685"/>
      <c r="AW217" s="1685"/>
      <c r="AX217" s="1685"/>
      <c r="AY217" s="1685"/>
      <c r="AZ217" s="1685"/>
      <c r="BA217" s="1685"/>
      <c r="BB217" s="1685"/>
      <c r="BC217" s="1685"/>
      <c r="BD217" s="1685"/>
      <c r="BE217" s="1685"/>
      <c r="BF217" s="1685"/>
      <c r="BG217" s="1685"/>
      <c r="BH217" s="1685"/>
      <c r="BI217" s="1685"/>
      <c r="BJ217" s="1685"/>
      <c r="BK217" s="1685"/>
      <c r="BL217" s="1685"/>
      <c r="BM217" s="1685"/>
      <c r="BN217" s="1685"/>
      <c r="BO217" s="1685"/>
      <c r="BP217" s="1685"/>
      <c r="BQ217" s="1685"/>
      <c r="BR217" s="1685"/>
      <c r="BS217" s="1685"/>
      <c r="BT217" s="1685"/>
      <c r="BU217" s="1685"/>
      <c r="BV217" s="1685"/>
      <c r="BX217"/>
      <c r="BY217"/>
      <c r="BZ217"/>
    </row>
    <row r="218" spans="1:78" s="14" customFormat="1">
      <c r="A218" s="251" t="s">
        <v>1011</v>
      </c>
      <c r="B218" s="1799">
        <f>+Q_IS!AD214</f>
        <v>0.22900763358778625</v>
      </c>
      <c r="C218" s="1799">
        <f>+Q_IS!AE214</f>
        <v>0</v>
      </c>
      <c r="D218" s="1799">
        <f>+Q_IS!AF214</f>
        <v>0.24964586284476295</v>
      </c>
      <c r="E218" s="1799">
        <f>+Q_IS!AG214</f>
        <v>0.47279393383884677</v>
      </c>
      <c r="F218" s="1799">
        <f>+Q_IS!AH214</f>
        <v>0.27756020331639031</v>
      </c>
      <c r="G218" s="1799">
        <f>+Q_IS!AI214</f>
        <v>0</v>
      </c>
      <c r="H218" s="1799">
        <f>+Q_IS!AJ214</f>
        <v>0.34697825582295133</v>
      </c>
      <c r="I218" s="1799">
        <f>+Q_IS!AK214</f>
        <v>0.38551419948928267</v>
      </c>
      <c r="J218" s="1799">
        <f>+Q_IS!AL214</f>
        <v>0.267507544687766</v>
      </c>
      <c r="K218" s="1799">
        <f>+Q_IS!AM214</f>
        <v>0</v>
      </c>
      <c r="L218" s="1799">
        <f>+Q_IS!AN214</f>
        <v>0.40192852223157571</v>
      </c>
      <c r="M218" s="1799">
        <f>+Q_IS!AO214</f>
        <v>0.42557587816637332</v>
      </c>
      <c r="N218" s="1799">
        <f>+Q_IS!AP214</f>
        <v>0.17249559960205096</v>
      </c>
      <c r="O218" s="1799">
        <f>+Q_IS!AQ214</f>
        <v>0</v>
      </c>
      <c r="P218" s="1799">
        <f>+Q_IS!AR214</f>
        <v>0.34447592067988669</v>
      </c>
      <c r="Q218" s="1799">
        <f>+Q_IS!AS214</f>
        <v>0.47544853635505191</v>
      </c>
      <c r="R218" s="1799">
        <f>+Q_IS!AT214</f>
        <v>0.18007554296506137</v>
      </c>
      <c r="S218" s="1799">
        <f>+Q_IS!AU214</f>
        <v>0</v>
      </c>
      <c r="T218" s="1799">
        <f>+Q_IS!AV214</f>
        <v>0.22646488164532402</v>
      </c>
      <c r="U218" s="1799">
        <f>+Q_IS!AW214</f>
        <v>0.46845168800931314</v>
      </c>
      <c r="V218" s="1799">
        <f>+Q_IS!AX214</f>
        <v>0.30508343034536284</v>
      </c>
      <c r="W218" s="1799">
        <f>+Q_IS!AY214</f>
        <v>0</v>
      </c>
      <c r="X218" s="1799">
        <f>+Q_IS!AZ214</f>
        <v>0.35550282195997945</v>
      </c>
      <c r="Y218" s="1799">
        <f>+Q_IS!BA214</f>
        <v>0.39103386351975372</v>
      </c>
      <c r="Z218" s="1799">
        <f>+Q_IS!BB214</f>
        <v>0.25346331452026682</v>
      </c>
      <c r="AA218" s="1799">
        <f>+Q_IS!BC214</f>
        <v>0</v>
      </c>
      <c r="AB218" s="1799">
        <f>+Q_IS!BD214</f>
        <v>0.34551477266655983</v>
      </c>
      <c r="AC218" s="1799">
        <f>+Q_IS!BE214</f>
        <v>0.46433723353101458</v>
      </c>
      <c r="AD218" s="1799">
        <f>+Q_IS!BF214</f>
        <v>0.19014799380242561</v>
      </c>
      <c r="AE218" s="1799">
        <f>+Q_IS!BG214</f>
        <v>0</v>
      </c>
      <c r="AF218" s="1799">
        <f>+Q_IS!BH214</f>
        <v>0.37000599280862967</v>
      </c>
      <c r="AG218" s="1799">
        <f>+Q_IS!BI214</f>
        <v>0.38094286855773074</v>
      </c>
      <c r="AH218" s="1799">
        <f>+Q_IS!BJ214</f>
        <v>0.24905113863363965</v>
      </c>
      <c r="AI218" s="1799">
        <f>+Q_IS!BK214</f>
        <v>0</v>
      </c>
      <c r="AJ218" s="1799">
        <f>+Q_IS!BL214</f>
        <v>0.42456304133603029</v>
      </c>
      <c r="AK218" s="1799">
        <f>+Q_IS!BM214</f>
        <v>0.43286136611171622</v>
      </c>
      <c r="AL218" s="1799">
        <f>+Q_IS!BN214</f>
        <v>0.14257559255225352</v>
      </c>
      <c r="AM218" s="1799">
        <f>+Q_IS!BO214</f>
        <v>0</v>
      </c>
      <c r="AN218" s="1064">
        <f>+Q_IS!BP214</f>
        <v>0.43642628845385539</v>
      </c>
      <c r="AO218" s="691">
        <v>0.42</v>
      </c>
      <c r="AP218" s="1800">
        <f t="shared" ref="AP218" si="330">AL218</f>
        <v>0.14257559255225352</v>
      </c>
      <c r="AQ218" s="366">
        <f>1-SUM(AN218:AP218)</f>
        <v>9.9811899389112835E-4</v>
      </c>
      <c r="AR218" s="1800">
        <f t="shared" ref="AR218" si="331">AN218</f>
        <v>0.43642628845385539</v>
      </c>
      <c r="AS218" s="1800">
        <f t="shared" ref="AS218" si="332">AO218</f>
        <v>0.42</v>
      </c>
      <c r="AT218" s="2128">
        <f t="shared" ref="AT218" si="333">1-AS218-AR218</f>
        <v>0.14357371154614468</v>
      </c>
      <c r="AU218" s="366">
        <f>1-SUM(AR218:AT218)</f>
        <v>0</v>
      </c>
      <c r="AV218" s="1800">
        <f t="shared" ref="AV218" si="334">AR218</f>
        <v>0.43642628845385539</v>
      </c>
      <c r="AW218" s="1800">
        <f t="shared" ref="AW218" si="335">AS218</f>
        <v>0.42</v>
      </c>
      <c r="AX218" s="2128">
        <f t="shared" ref="AX218" si="336">1-AW218-AV218</f>
        <v>0.14357371154614468</v>
      </c>
      <c r="AY218" s="366">
        <f>1-SUM(AV218:AX218)</f>
        <v>0</v>
      </c>
      <c r="AZ218" s="1800">
        <f t="shared" ref="AZ218" si="337">AV218</f>
        <v>0.43642628845385539</v>
      </c>
      <c r="BA218" s="1800">
        <f t="shared" ref="BA218" si="338">AW218</f>
        <v>0.42</v>
      </c>
      <c r="BB218" s="2128">
        <f t="shared" ref="BB218" si="339">1-BA218-AZ218</f>
        <v>0.14357371154614468</v>
      </c>
      <c r="BC218" s="366">
        <f t="shared" ref="BC218" si="340">AY218</f>
        <v>0</v>
      </c>
      <c r="BD218" s="1800">
        <f t="shared" ref="BD218" si="341">AZ218</f>
        <v>0.43642628845385539</v>
      </c>
      <c r="BE218" s="1800">
        <f t="shared" ref="BE218" si="342">BA218</f>
        <v>0.42</v>
      </c>
      <c r="BF218" s="2128">
        <f t="shared" ref="BF218" si="343">1-BE218-BD218</f>
        <v>0.14357371154614468</v>
      </c>
      <c r="BG218" s="366">
        <f t="shared" ref="BG218" si="344">BC218</f>
        <v>0</v>
      </c>
      <c r="BH218" s="1800">
        <f t="shared" ref="BH218" si="345">BD218</f>
        <v>0.43642628845385539</v>
      </c>
      <c r="BI218" s="1800">
        <f t="shared" ref="BI218" si="346">BE218</f>
        <v>0.42</v>
      </c>
      <c r="BJ218" s="2128">
        <f t="shared" ref="BJ218" si="347">1-BI218-BH218</f>
        <v>0.14357371154614468</v>
      </c>
      <c r="BK218" s="366">
        <f t="shared" ref="BK218" si="348">BG218</f>
        <v>0</v>
      </c>
      <c r="BL218" s="1800">
        <f t="shared" ref="BL218" si="349">BH218</f>
        <v>0.43642628845385539</v>
      </c>
      <c r="BM218" s="1800">
        <f t="shared" ref="BM218" si="350">BI218</f>
        <v>0.42</v>
      </c>
      <c r="BN218" s="2128">
        <f t="shared" ref="BN218" si="351">1-BM218-BL218</f>
        <v>0.14357371154614468</v>
      </c>
      <c r="BO218" s="366">
        <f t="shared" ref="BO218" si="352">BK218</f>
        <v>0</v>
      </c>
      <c r="BP218" s="1800">
        <f t="shared" ref="BP218" si="353">BL218</f>
        <v>0.43642628845385539</v>
      </c>
      <c r="BQ218" s="1800">
        <f t="shared" ref="BQ218" si="354">BM218</f>
        <v>0.42</v>
      </c>
      <c r="BR218" s="2128">
        <f t="shared" ref="BR218" si="355">1-BQ218-BP218</f>
        <v>0.14357371154614468</v>
      </c>
      <c r="BS218" s="366">
        <f t="shared" ref="BS218" si="356">BO218</f>
        <v>0</v>
      </c>
      <c r="BT218" s="1800">
        <f t="shared" ref="BT218" si="357">BP218</f>
        <v>0.43642628845385539</v>
      </c>
      <c r="BU218" s="1800">
        <f t="shared" ref="BU218" si="358">BQ218</f>
        <v>0.42</v>
      </c>
      <c r="BV218" s="2128">
        <f t="shared" ref="BV218" si="359">1-BU218-BT218</f>
        <v>0.14357371154614468</v>
      </c>
      <c r="BX218" s="1401"/>
      <c r="BY218" s="1401"/>
      <c r="BZ218" s="1401"/>
    </row>
    <row r="219" spans="1:78" s="14" customFormat="1">
      <c r="A219" s="251" t="s">
        <v>1144</v>
      </c>
      <c r="B219" s="1799"/>
      <c r="C219" s="1799"/>
      <c r="D219" s="1799"/>
      <c r="E219" s="1799"/>
      <c r="F219" s="1799"/>
      <c r="G219" s="1799"/>
      <c r="H219" s="1799"/>
      <c r="I219" s="1799"/>
      <c r="J219" s="1799"/>
      <c r="K219" s="1799"/>
      <c r="L219" s="1799"/>
      <c r="M219" s="1799"/>
      <c r="N219" s="1799"/>
      <c r="O219" s="1799"/>
      <c r="P219" s="1799"/>
      <c r="Q219" s="1799"/>
      <c r="R219" s="1799"/>
      <c r="S219" s="1799"/>
      <c r="T219" s="1799"/>
      <c r="U219" s="1799"/>
      <c r="V219" s="1799"/>
      <c r="W219" s="1799"/>
      <c r="X219" s="1799"/>
      <c r="Y219" s="1799"/>
      <c r="Z219" s="1799"/>
      <c r="AA219" s="1799"/>
      <c r="AB219" s="1799"/>
      <c r="AC219" s="1799"/>
      <c r="AD219" s="1799"/>
      <c r="AE219" s="1799"/>
      <c r="AF219" s="1799"/>
      <c r="AG219" s="1799"/>
      <c r="AH219" s="1799"/>
      <c r="AI219" s="1799"/>
      <c r="AJ219" s="1799"/>
      <c r="AK219" s="1799"/>
      <c r="AL219" s="1799"/>
      <c r="AM219" s="1799"/>
      <c r="AN219" s="1064"/>
      <c r="AO219" s="1800"/>
      <c r="AP219" s="1800"/>
      <c r="AQ219" s="1800"/>
      <c r="AR219" s="1800"/>
      <c r="AS219" s="1800"/>
      <c r="AT219" s="1800"/>
      <c r="AU219" s="1800"/>
      <c r="AV219" s="1800"/>
      <c r="AW219" s="1800"/>
      <c r="AX219" s="1800"/>
      <c r="AY219" s="1800"/>
      <c r="AZ219" s="1800"/>
      <c r="BA219" s="1800"/>
      <c r="BB219" s="1800"/>
      <c r="BC219" s="1800"/>
      <c r="BD219" s="1800"/>
      <c r="BE219" s="1800"/>
      <c r="BF219" s="1800"/>
      <c r="BG219" s="1800"/>
      <c r="BH219" s="1800"/>
      <c r="BI219" s="1800"/>
      <c r="BJ219" s="1800"/>
      <c r="BK219" s="1800"/>
      <c r="BL219" s="1800"/>
      <c r="BM219" s="1800"/>
      <c r="BN219" s="1800"/>
      <c r="BO219" s="1800"/>
      <c r="BP219" s="1800"/>
      <c r="BQ219" s="1800"/>
      <c r="BR219" s="1800"/>
      <c r="BS219" s="1800"/>
      <c r="BT219" s="1800"/>
      <c r="BU219" s="1800"/>
      <c r="BV219" s="1800"/>
      <c r="BX219" s="1401"/>
      <c r="BY219" s="1401"/>
      <c r="BZ219" s="1401"/>
    </row>
    <row r="220" spans="1:78" s="1401" customFormat="1">
      <c r="A220" s="157" t="s">
        <v>875</v>
      </c>
      <c r="B220" s="184">
        <f>+Q_IS!AD216</f>
        <v>0.26589154562733186</v>
      </c>
      <c r="C220" s="184">
        <f>+Q_IS!AE216</f>
        <v>0.2737170612666307</v>
      </c>
      <c r="D220" s="184">
        <f>+Q_IS!AF216</f>
        <v>6.8847551849476177E-2</v>
      </c>
      <c r="E220" s="184">
        <f>+Q_IS!AG216</f>
        <v>0.29373530040624335</v>
      </c>
      <c r="F220" s="184">
        <f>+Q_IS!AH216</f>
        <v>0.29681419713491558</v>
      </c>
      <c r="G220" s="184">
        <f>+Q_IS!AI216</f>
        <v>0.34060295060936502</v>
      </c>
      <c r="H220" s="184">
        <f>+Q_IS!AJ216</f>
        <v>0.22865183541833572</v>
      </c>
      <c r="I220" s="184">
        <f>+Q_IS!AK216</f>
        <v>0.22298227234444651</v>
      </c>
      <c r="J220" s="184">
        <f>+Q_IS!AL216</f>
        <v>0.24335983237813522</v>
      </c>
      <c r="K220" s="184">
        <f>+Q_IS!AM216</f>
        <v>0.30500605985908263</v>
      </c>
      <c r="L220" s="184">
        <f>+Q_IS!AN216</f>
        <v>0.18170470423847229</v>
      </c>
      <c r="M220" s="184">
        <f>+Q_IS!AO216</f>
        <v>0.17904052165812762</v>
      </c>
      <c r="N220" s="184">
        <f>+Q_IS!AP216</f>
        <v>0.25499767116907313</v>
      </c>
      <c r="O220" s="184">
        <f>+Q_IS!AQ216</f>
        <v>0.38425710293432697</v>
      </c>
      <c r="P220" s="184">
        <f>+Q_IS!AR216</f>
        <v>0.19375238601092171</v>
      </c>
      <c r="Q220" s="184">
        <f>+Q_IS!AS216</f>
        <v>0.21152920477368167</v>
      </c>
      <c r="R220" s="184">
        <f>+Q_IS!AT216</f>
        <v>0.33107042674324033</v>
      </c>
      <c r="S220" s="184">
        <f>+Q_IS!AU216</f>
        <v>0.26364798247215632</v>
      </c>
      <c r="T220" s="184">
        <f>+Q_IS!AV216</f>
        <v>0.17468047241546675</v>
      </c>
      <c r="U220" s="184">
        <f>+Q_IS!AW216</f>
        <v>0.2551367092703446</v>
      </c>
      <c r="V220" s="184">
        <f>+Q_IS!AX216</f>
        <v>0.28514803429865715</v>
      </c>
      <c r="W220" s="184">
        <f>+Q_IS!AY216</f>
        <v>0.28503478401553145</v>
      </c>
      <c r="X220" s="184">
        <f>+Q_IS!AZ216</f>
        <v>0.20154498730571552</v>
      </c>
      <c r="Y220" s="184">
        <f>+Q_IS!BA216</f>
        <v>0.29890395690135613</v>
      </c>
      <c r="Z220" s="184">
        <f>+Q_IS!BB216</f>
        <v>0.22345036844386648</v>
      </c>
      <c r="AA220" s="184">
        <f>+Q_IS!BC216</f>
        <v>0.27610068734906185</v>
      </c>
      <c r="AB220" s="184">
        <f>+Q_IS!BD216</f>
        <v>0.21044461552052704</v>
      </c>
      <c r="AC220" s="184">
        <f>+Q_IS!BE216</f>
        <v>0.2133851609727779</v>
      </c>
      <c r="AD220" s="184">
        <f>+Q_IS!BF216</f>
        <v>0.27720635561669421</v>
      </c>
      <c r="AE220" s="184">
        <f>+Q_IS!BG216</f>
        <v>0.2989638678900009</v>
      </c>
      <c r="AF220" s="184">
        <f>+Q_IS!BH216</f>
        <v>0.22461017744996378</v>
      </c>
      <c r="AG220" s="184">
        <f>+Q_IS!BI216</f>
        <v>0.22384716217009371</v>
      </c>
      <c r="AH220" s="184">
        <f>+Q_IS!BJ216</f>
        <v>0.26016864594134564</v>
      </c>
      <c r="AI220" s="184">
        <f>+Q_IS!BK216</f>
        <v>0.29137401443859684</v>
      </c>
      <c r="AJ220" s="184">
        <f>+Q_IS!BL216</f>
        <v>0.16994926242020111</v>
      </c>
      <c r="AK220" s="184">
        <f>+Q_IS!BM216</f>
        <v>0.19863051794355213</v>
      </c>
      <c r="AL220" s="184">
        <f>+Q_IS!BN216</f>
        <v>0.25732172322372121</v>
      </c>
      <c r="AM220" s="184">
        <f>+Q_IS!BO216</f>
        <v>0.59215855066225809</v>
      </c>
      <c r="AN220" s="411">
        <f>+Q_IS!BP216</f>
        <v>0.41200868663549395</v>
      </c>
      <c r="AO220" s="1657">
        <f t="shared" ref="AO220:AT221" si="360">AK220</f>
        <v>0.19863051794355213</v>
      </c>
      <c r="AP220" s="1657">
        <f t="shared" si="360"/>
        <v>0.25732172322372121</v>
      </c>
      <c r="AQ220" s="366">
        <f>1-SUM(AN220:AP220)</f>
        <v>0.13203907219723265</v>
      </c>
      <c r="AR220" s="1657">
        <f t="shared" si="360"/>
        <v>0.41200868663549395</v>
      </c>
      <c r="AS220" s="1657">
        <f t="shared" si="360"/>
        <v>0.19863051794355213</v>
      </c>
      <c r="AT220" s="1657">
        <f t="shared" si="360"/>
        <v>0.25732172322372121</v>
      </c>
      <c r="AU220" s="366">
        <f>1-SUM(AR220:AT220)</f>
        <v>0.13203907219723265</v>
      </c>
      <c r="AV220" s="1657">
        <f t="shared" ref="AV220:AV221" si="361">AR220</f>
        <v>0.41200868663549395</v>
      </c>
      <c r="AW220" s="1657">
        <f t="shared" ref="AW220:AW221" si="362">AS220</f>
        <v>0.19863051794355213</v>
      </c>
      <c r="AX220" s="1657">
        <f t="shared" ref="AX220:AX221" si="363">AT220</f>
        <v>0.25732172322372121</v>
      </c>
      <c r="AY220" s="366">
        <f>1-SUM(AV220:AX220)</f>
        <v>0.13203907219723265</v>
      </c>
      <c r="AZ220" s="1657">
        <f t="shared" ref="AZ220:AZ221" si="364">AV220</f>
        <v>0.41200868663549395</v>
      </c>
      <c r="BA220" s="1657">
        <f t="shared" ref="BA220:BA221" si="365">AW220</f>
        <v>0.19863051794355213</v>
      </c>
      <c r="BB220" s="1657">
        <f t="shared" ref="BB220:BB221" si="366">AX220</f>
        <v>0.25732172322372121</v>
      </c>
      <c r="BC220" s="366">
        <f t="shared" ref="BC220:BC221" si="367">1-SUM(AZ220:BB220)</f>
        <v>0.13203907219723265</v>
      </c>
      <c r="BD220" s="1657">
        <f t="shared" ref="BD220:BD221" si="368">AZ220</f>
        <v>0.41200868663549395</v>
      </c>
      <c r="BE220" s="1657">
        <f t="shared" ref="BE220:BE221" si="369">BA220</f>
        <v>0.19863051794355213</v>
      </c>
      <c r="BF220" s="1657">
        <f t="shared" ref="BF220:BF221" si="370">BB220</f>
        <v>0.25732172322372121</v>
      </c>
      <c r="BG220" s="366">
        <f t="shared" ref="BG220:BG221" si="371">1-SUM(BD220:BF220)</f>
        <v>0.13203907219723265</v>
      </c>
      <c r="BH220" s="1657">
        <f t="shared" ref="BH220:BH221" si="372">BD220</f>
        <v>0.41200868663549395</v>
      </c>
      <c r="BI220" s="1657">
        <f t="shared" ref="BI220:BI221" si="373">BE220</f>
        <v>0.19863051794355213</v>
      </c>
      <c r="BJ220" s="1657">
        <f t="shared" ref="BJ220:BJ221" si="374">BF220</f>
        <v>0.25732172322372121</v>
      </c>
      <c r="BK220" s="366">
        <f t="shared" ref="BK220:BK221" si="375">1-SUM(BH220:BJ220)</f>
        <v>0.13203907219723265</v>
      </c>
      <c r="BL220" s="1657">
        <f t="shared" ref="BL220:BL221" si="376">BH220</f>
        <v>0.41200868663549395</v>
      </c>
      <c r="BM220" s="1657">
        <f t="shared" ref="BM220:BM221" si="377">BI220</f>
        <v>0.19863051794355213</v>
      </c>
      <c r="BN220" s="1657">
        <f t="shared" ref="BN220:BN221" si="378">BJ220</f>
        <v>0.25732172322372121</v>
      </c>
      <c r="BO220" s="366">
        <f t="shared" ref="BO220:BO221" si="379">1-SUM(BL220:BN220)</f>
        <v>0.13203907219723265</v>
      </c>
      <c r="BP220" s="1657">
        <f t="shared" ref="BP220:BP221" si="380">BL220</f>
        <v>0.41200868663549395</v>
      </c>
      <c r="BQ220" s="1657">
        <f t="shared" ref="BQ220:BQ221" si="381">BM220</f>
        <v>0.19863051794355213</v>
      </c>
      <c r="BR220" s="1657">
        <f t="shared" ref="BR220:BR221" si="382">BN220</f>
        <v>0.25732172322372121</v>
      </c>
      <c r="BS220" s="366">
        <f t="shared" ref="BS220:BS221" si="383">1-SUM(BP220:BR220)</f>
        <v>0.13203907219723265</v>
      </c>
      <c r="BT220" s="1657">
        <f t="shared" ref="BT220:BT221" si="384">BP220</f>
        <v>0.41200868663549395</v>
      </c>
      <c r="BU220" s="1657">
        <f t="shared" ref="BU220:BU221" si="385">BQ220</f>
        <v>0.19863051794355213</v>
      </c>
      <c r="BV220" s="1657">
        <f t="shared" ref="BV220:BV221" si="386">BR220</f>
        <v>0.25732172322372121</v>
      </c>
    </row>
    <row r="221" spans="1:78" s="1401" customFormat="1">
      <c r="A221" s="157" t="s">
        <v>424</v>
      </c>
      <c r="B221" s="184">
        <f>+Q_IS!AD217</f>
        <v>0.11470516504607293</v>
      </c>
      <c r="C221" s="184">
        <f>+Q_IS!AE217</f>
        <v>0.27181439341724367</v>
      </c>
      <c r="D221" s="184">
        <f>+Q_IS!AF217</f>
        <v>6.1497404188298424E-2</v>
      </c>
      <c r="E221" s="184">
        <f>+Q_IS!AG217</f>
        <v>0.18259639503004141</v>
      </c>
      <c r="F221" s="184">
        <f>+Q_IS!AH217</f>
        <v>0.36349627641991872</v>
      </c>
      <c r="G221" s="184">
        <f>+Q_IS!AI217</f>
        <v>0.39240992436174138</v>
      </c>
      <c r="H221" s="184">
        <f>+Q_IS!AJ217</f>
        <v>0.1755736349989036</v>
      </c>
      <c r="I221" s="184">
        <f>+Q_IS!AK217</f>
        <v>0.23701438046670451</v>
      </c>
      <c r="J221" s="184">
        <f>+Q_IS!AL217</f>
        <v>0.24178038161744173</v>
      </c>
      <c r="K221" s="184">
        <f>+Q_IS!AM217</f>
        <v>0.34563160291695016</v>
      </c>
      <c r="L221" s="184">
        <f>+Q_IS!AN217</f>
        <v>0.25858750963762528</v>
      </c>
      <c r="M221" s="184">
        <f>+Q_IS!AO217</f>
        <v>0.31415420200462607</v>
      </c>
      <c r="N221" s="184">
        <f>+Q_IS!AP217</f>
        <v>0.28252274479568235</v>
      </c>
      <c r="O221" s="184">
        <f>+Q_IS!AQ217</f>
        <v>0.1447355435620663</v>
      </c>
      <c r="P221" s="184">
        <f>+Q_IS!AR217</f>
        <v>0.2626843572216222</v>
      </c>
      <c r="Q221" s="184">
        <f>+Q_IS!AS217</f>
        <v>0.36808310955904311</v>
      </c>
      <c r="R221" s="184">
        <f>+Q_IS!AT217</f>
        <v>0.24174559517355304</v>
      </c>
      <c r="S221" s="184">
        <f>+Q_IS!AU217</f>
        <v>0.12748693804578159</v>
      </c>
      <c r="T221" s="184">
        <f>+Q_IS!AV217</f>
        <v>0.1519229816908193</v>
      </c>
      <c r="U221" s="184">
        <f>+Q_IS!AW217</f>
        <v>0.44077202886610933</v>
      </c>
      <c r="V221" s="184">
        <f>+Q_IS!AX217</f>
        <v>0.16562785588554402</v>
      </c>
      <c r="W221" s="184">
        <f>+Q_IS!AY217</f>
        <v>0.2416771335575274</v>
      </c>
      <c r="X221" s="184">
        <f>+Q_IS!AZ217</f>
        <v>0.26360319100525936</v>
      </c>
      <c r="Y221" s="184">
        <f>+Q_IS!BA217</f>
        <v>0.33763705060151594</v>
      </c>
      <c r="Z221" s="184">
        <f>+Q_IS!BB217</f>
        <v>0.18904229582556098</v>
      </c>
      <c r="AA221" s="184">
        <f>+Q_IS!BC217</f>
        <v>0.20971746256766369</v>
      </c>
      <c r="AB221" s="184">
        <f>+Q_IS!BD217</f>
        <v>0.18608976774194833</v>
      </c>
      <c r="AC221" s="184">
        <f>+Q_IS!BE217</f>
        <v>0.23150549702904941</v>
      </c>
      <c r="AD221" s="184">
        <f>+Q_IS!BF217</f>
        <v>0.26154803575280822</v>
      </c>
      <c r="AE221" s="184">
        <f>+Q_IS!BG217</f>
        <v>0.32085669947619416</v>
      </c>
      <c r="AF221" s="184">
        <f>+Q_IS!BH217</f>
        <v>0.1488759187202767</v>
      </c>
      <c r="AG221" s="184">
        <f>+Q_IS!BI217</f>
        <v>0.23101599654128838</v>
      </c>
      <c r="AH221" s="184">
        <f>+Q_IS!BJ217</f>
        <v>0.30674535235624728</v>
      </c>
      <c r="AI221" s="184">
        <f>+Q_IS!BK217</f>
        <v>0.31336273238218765</v>
      </c>
      <c r="AJ221" s="184">
        <f>+Q_IS!BL217</f>
        <v>0.24272044358811642</v>
      </c>
      <c r="AK221" s="184">
        <f>+Q_IS!BM217</f>
        <v>0.23909221434607236</v>
      </c>
      <c r="AL221" s="184">
        <f>+Q_IS!BN217</f>
        <v>0.20656021612916495</v>
      </c>
      <c r="AM221" s="184">
        <f>+Q_IS!BO217</f>
        <v>0.39955555555555555</v>
      </c>
      <c r="AN221" s="411">
        <f>+Q_IS!BP217</f>
        <v>0.4414483354950281</v>
      </c>
      <c r="AO221" s="1657">
        <v>0.22</v>
      </c>
      <c r="AP221" s="1657">
        <v>0.22</v>
      </c>
      <c r="AQ221" s="366">
        <f>1-SUM(AN221:AP221)</f>
        <v>0.1185516645049719</v>
      </c>
      <c r="AR221" s="1657">
        <f t="shared" si="360"/>
        <v>0.4414483354950281</v>
      </c>
      <c r="AS221" s="1657">
        <f t="shared" si="360"/>
        <v>0.22</v>
      </c>
      <c r="AT221" s="1657">
        <f t="shared" si="360"/>
        <v>0.22</v>
      </c>
      <c r="AU221" s="366">
        <f>1-SUM(AR221:AT221)</f>
        <v>0.1185516645049719</v>
      </c>
      <c r="AV221" s="1657">
        <f t="shared" si="361"/>
        <v>0.4414483354950281</v>
      </c>
      <c r="AW221" s="1657">
        <f t="shared" si="362"/>
        <v>0.22</v>
      </c>
      <c r="AX221" s="1657">
        <f t="shared" si="363"/>
        <v>0.22</v>
      </c>
      <c r="AY221" s="366">
        <f>1-SUM(AV221:AX221)</f>
        <v>0.1185516645049719</v>
      </c>
      <c r="AZ221" s="1657">
        <f t="shared" si="364"/>
        <v>0.4414483354950281</v>
      </c>
      <c r="BA221" s="1657">
        <f t="shared" si="365"/>
        <v>0.22</v>
      </c>
      <c r="BB221" s="1657">
        <f t="shared" si="366"/>
        <v>0.22</v>
      </c>
      <c r="BC221" s="366">
        <f t="shared" si="367"/>
        <v>0.1185516645049719</v>
      </c>
      <c r="BD221" s="1657">
        <f t="shared" si="368"/>
        <v>0.4414483354950281</v>
      </c>
      <c r="BE221" s="1657">
        <f t="shared" si="369"/>
        <v>0.22</v>
      </c>
      <c r="BF221" s="1657">
        <f t="shared" si="370"/>
        <v>0.22</v>
      </c>
      <c r="BG221" s="366">
        <f t="shared" si="371"/>
        <v>0.1185516645049719</v>
      </c>
      <c r="BH221" s="1657">
        <f t="shared" si="372"/>
        <v>0.4414483354950281</v>
      </c>
      <c r="BI221" s="1657">
        <f t="shared" si="373"/>
        <v>0.22</v>
      </c>
      <c r="BJ221" s="1657">
        <f t="shared" si="374"/>
        <v>0.22</v>
      </c>
      <c r="BK221" s="366">
        <f t="shared" si="375"/>
        <v>0.1185516645049719</v>
      </c>
      <c r="BL221" s="1657">
        <f t="shared" si="376"/>
        <v>0.4414483354950281</v>
      </c>
      <c r="BM221" s="1657">
        <f t="shared" si="377"/>
        <v>0.22</v>
      </c>
      <c r="BN221" s="1657">
        <f t="shared" si="378"/>
        <v>0.22</v>
      </c>
      <c r="BO221" s="366">
        <f t="shared" si="379"/>
        <v>0.1185516645049719</v>
      </c>
      <c r="BP221" s="1657">
        <f t="shared" si="380"/>
        <v>0.4414483354950281</v>
      </c>
      <c r="BQ221" s="1657">
        <f t="shared" si="381"/>
        <v>0.22</v>
      </c>
      <c r="BR221" s="1657">
        <f t="shared" si="382"/>
        <v>0.22</v>
      </c>
      <c r="BS221" s="366">
        <f t="shared" si="383"/>
        <v>0.1185516645049719</v>
      </c>
      <c r="BT221" s="1657">
        <f t="shared" si="384"/>
        <v>0.4414483354950281</v>
      </c>
      <c r="BU221" s="1657">
        <f t="shared" si="385"/>
        <v>0.22</v>
      </c>
      <c r="BV221" s="1657">
        <f t="shared" si="386"/>
        <v>0.22</v>
      </c>
    </row>
    <row r="222" spans="1:78" s="14" customFormat="1">
      <c r="A222" s="251" t="s">
        <v>42</v>
      </c>
      <c r="B222" s="1799"/>
      <c r="C222" s="1799"/>
      <c r="D222" s="1799"/>
      <c r="E222" s="1799"/>
      <c r="F222" s="1799"/>
      <c r="G222" s="1799"/>
      <c r="H222" s="1799"/>
      <c r="I222" s="1799"/>
      <c r="J222" s="1799"/>
      <c r="K222" s="1799"/>
      <c r="L222" s="1799"/>
      <c r="M222" s="1799"/>
      <c r="N222" s="1799"/>
      <c r="O222" s="1799"/>
      <c r="P222" s="1799"/>
      <c r="Q222" s="1799"/>
      <c r="R222" s="1799"/>
      <c r="S222" s="1799"/>
      <c r="T222" s="1799"/>
      <c r="U222" s="1799"/>
      <c r="V222" s="1799"/>
      <c r="W222" s="1799"/>
      <c r="X222" s="1799"/>
      <c r="Y222" s="1799"/>
      <c r="Z222" s="1799"/>
      <c r="AA222" s="1799"/>
      <c r="AB222" s="1799"/>
      <c r="AC222" s="1799"/>
      <c r="AD222" s="1799"/>
      <c r="AE222" s="1799"/>
      <c r="AF222" s="1799"/>
      <c r="AG222" s="1799"/>
      <c r="AH222" s="1799"/>
      <c r="AI222" s="1799"/>
      <c r="AJ222" s="1799"/>
      <c r="AK222" s="1799"/>
      <c r="AL222" s="1799"/>
      <c r="AM222" s="1799"/>
      <c r="AN222" s="1064"/>
      <c r="AO222" s="1800"/>
      <c r="AP222" s="1800"/>
      <c r="AQ222" s="2128"/>
      <c r="AR222" s="1800"/>
      <c r="AS222" s="1800"/>
      <c r="AT222" s="1800"/>
      <c r="AU222" s="2128"/>
      <c r="AV222" s="1800"/>
      <c r="AW222" s="1800"/>
      <c r="AX222" s="1800"/>
      <c r="AY222" s="2128"/>
      <c r="AZ222" s="1800"/>
      <c r="BA222" s="1800"/>
      <c r="BB222" s="1800"/>
      <c r="BC222" s="2128"/>
      <c r="BD222" s="1800"/>
      <c r="BE222" s="1800"/>
      <c r="BF222" s="1800"/>
      <c r="BG222" s="2128"/>
      <c r="BH222" s="1800"/>
      <c r="BI222" s="1800"/>
      <c r="BJ222" s="1800"/>
      <c r="BK222" s="2128"/>
      <c r="BL222" s="1800"/>
      <c r="BM222" s="1800"/>
      <c r="BN222" s="1800"/>
      <c r="BO222" s="2128"/>
      <c r="BP222" s="1800"/>
      <c r="BQ222" s="1800"/>
      <c r="BR222" s="1800"/>
      <c r="BS222" s="2128"/>
      <c r="BT222" s="1800"/>
      <c r="BU222" s="1800"/>
      <c r="BV222" s="1800"/>
      <c r="BX222" s="1401"/>
      <c r="BY222" s="1401"/>
      <c r="BZ222" s="1401"/>
    </row>
    <row r="223" spans="1:78" s="1401" customFormat="1">
      <c r="A223" s="157" t="s">
        <v>413</v>
      </c>
      <c r="B223" s="184">
        <f>+Q_IS!AD219</f>
        <v>0.20351764790110494</v>
      </c>
      <c r="C223" s="184">
        <f>+Q_IS!AE219</f>
        <v>0.43485549960623349</v>
      </c>
      <c r="D223" s="184">
        <f>+Q_IS!AF219</f>
        <v>0.18274859029839186</v>
      </c>
      <c r="E223" s="184">
        <f>+Q_IS!AG219</f>
        <v>0.23501782244316491</v>
      </c>
      <c r="F223" s="184">
        <f>+Q_IS!AH219</f>
        <v>0.31604735166839532</v>
      </c>
      <c r="G223" s="184">
        <f>+Q_IS!AI219</f>
        <v>0.26618623559004806</v>
      </c>
      <c r="H223" s="184">
        <f>+Q_IS!AJ219</f>
        <v>0.14205302281613885</v>
      </c>
      <c r="I223" s="184">
        <f>+Q_IS!AK219</f>
        <v>0.17894126240708116</v>
      </c>
      <c r="J223" s="184">
        <f>+Q_IS!AL219</f>
        <v>0.32102651140806943</v>
      </c>
      <c r="K223" s="184">
        <f>+Q_IS!AM219</f>
        <v>0.35797920336871053</v>
      </c>
      <c r="L223" s="184">
        <f>+Q_IS!AN219</f>
        <v>0.12289743468809358</v>
      </c>
      <c r="M223" s="184">
        <f>+Q_IS!AO219</f>
        <v>0.17136523644346496</v>
      </c>
      <c r="N223" s="184">
        <f>+Q_IS!AP219</f>
        <v>0.31353145219035533</v>
      </c>
      <c r="O223" s="184">
        <f>+Q_IS!AQ219</f>
        <v>0.39220587667808621</v>
      </c>
      <c r="P223" s="184">
        <f>+Q_IS!AR219</f>
        <v>0.2539685966040815</v>
      </c>
      <c r="Q223" s="184">
        <f>+Q_IS!AS219</f>
        <v>0.18018313610872463</v>
      </c>
      <c r="R223" s="184">
        <f>+Q_IS!AT219</f>
        <v>0.34097335848828525</v>
      </c>
      <c r="S223" s="184">
        <f>+Q_IS!AU219</f>
        <v>0.22487490879890862</v>
      </c>
      <c r="T223" s="184">
        <f>+Q_IS!AV219</f>
        <v>0.20841900103183403</v>
      </c>
      <c r="U223" s="184">
        <f>+Q_IS!AW219</f>
        <v>0.20154775098406391</v>
      </c>
      <c r="V223" s="184">
        <f>+Q_IS!AX219</f>
        <v>0.31016165399166895</v>
      </c>
      <c r="W223" s="184">
        <f>+Q_IS!AY219</f>
        <v>0.27987159399243322</v>
      </c>
      <c r="X223" s="184">
        <f>+Q_IS!AZ219</f>
        <v>0.24682377507251868</v>
      </c>
      <c r="Y223" s="184">
        <f>+Q_IS!BA219</f>
        <v>0.18000930973814389</v>
      </c>
      <c r="Z223" s="184">
        <f>+Q_IS!BB219</f>
        <v>0.22430946200758983</v>
      </c>
      <c r="AA223" s="184">
        <f>+Q_IS!BC219</f>
        <v>0.34885745318174766</v>
      </c>
      <c r="AB223" s="184">
        <f>+Q_IS!BD219</f>
        <v>0.26583160557127983</v>
      </c>
      <c r="AC223" s="184">
        <f>+Q_IS!BE219</f>
        <v>0.18772529013498052</v>
      </c>
      <c r="AD223" s="184">
        <f>+Q_IS!BF219</f>
        <v>0.25061296122643861</v>
      </c>
      <c r="AE223" s="184">
        <f>+Q_IS!BG219</f>
        <v>0.29583014306730099</v>
      </c>
      <c r="AF223" s="184">
        <f>+Q_IS!BH219</f>
        <v>0.17990637345985244</v>
      </c>
      <c r="AG223" s="184">
        <f>+Q_IS!BI219</f>
        <v>0.19802584501410109</v>
      </c>
      <c r="AH223" s="184">
        <f>+Q_IS!BJ219</f>
        <v>0.26489936800582087</v>
      </c>
      <c r="AI223" s="184">
        <f>+Q_IS!BK219</f>
        <v>0.3571684135202256</v>
      </c>
      <c r="AJ223" s="184">
        <f>+Q_IS!BL219</f>
        <v>0.2099971683342032</v>
      </c>
      <c r="AK223" s="184">
        <f>+Q_IS!BM219</f>
        <v>0.2040298490888699</v>
      </c>
      <c r="AL223" s="184">
        <f>+Q_IS!BN219</f>
        <v>0.27430790756554474</v>
      </c>
      <c r="AM223" s="184">
        <f>+Q_IS!BO219</f>
        <v>0.3375411157012369</v>
      </c>
      <c r="AN223" s="411">
        <f>+Q_IS!BP219</f>
        <v>0.233050108539438</v>
      </c>
      <c r="AO223" s="1657">
        <f t="shared" ref="AO223:AO228" si="387">AK223</f>
        <v>0.2040298490888699</v>
      </c>
      <c r="AP223" s="1657">
        <f t="shared" ref="AP223:AP228" si="388">AL223</f>
        <v>0.27430790756554474</v>
      </c>
      <c r="AQ223" s="366">
        <f t="shared" ref="AQ223:AQ228" si="389">1-SUM(AN223:AP223)</f>
        <v>0.28861213480614745</v>
      </c>
      <c r="AR223" s="1657">
        <f t="shared" ref="AR223:AR228" si="390">AN223</f>
        <v>0.233050108539438</v>
      </c>
      <c r="AS223" s="1657">
        <f t="shared" ref="AS223:AS228" si="391">AO223</f>
        <v>0.2040298490888699</v>
      </c>
      <c r="AT223" s="1657">
        <f t="shared" ref="AT223:AT228" si="392">AP223</f>
        <v>0.27430790756554474</v>
      </c>
      <c r="AU223" s="366">
        <f t="shared" ref="AU223:AU228" si="393">1-SUM(AR223:AT223)</f>
        <v>0.28861213480614745</v>
      </c>
      <c r="AV223" s="1657">
        <f t="shared" ref="AV223:AV228" si="394">AR223</f>
        <v>0.233050108539438</v>
      </c>
      <c r="AW223" s="1657">
        <f t="shared" ref="AW223:AW228" si="395">AS223</f>
        <v>0.2040298490888699</v>
      </c>
      <c r="AX223" s="1657">
        <f t="shared" ref="AX223:AX228" si="396">AT223</f>
        <v>0.27430790756554474</v>
      </c>
      <c r="AY223" s="366">
        <f t="shared" ref="AY223:AY228" si="397">1-SUM(AV223:AX223)</f>
        <v>0.28861213480614745</v>
      </c>
      <c r="AZ223" s="1657">
        <f t="shared" ref="AZ223:AZ228" si="398">AV223</f>
        <v>0.233050108539438</v>
      </c>
      <c r="BA223" s="1657">
        <f t="shared" ref="BA223:BA228" si="399">AW223</f>
        <v>0.2040298490888699</v>
      </c>
      <c r="BB223" s="1657">
        <f t="shared" ref="BB223:BB228" si="400">AX223</f>
        <v>0.27430790756554474</v>
      </c>
      <c r="BC223" s="366">
        <f t="shared" ref="BC223:BC228" si="401">1-SUM(AZ223:BB223)</f>
        <v>0.28861213480614745</v>
      </c>
      <c r="BD223" s="1657">
        <f t="shared" ref="BD223:BD228" si="402">AZ223</f>
        <v>0.233050108539438</v>
      </c>
      <c r="BE223" s="1657">
        <f t="shared" ref="BE223:BE228" si="403">BA223</f>
        <v>0.2040298490888699</v>
      </c>
      <c r="BF223" s="1657">
        <f t="shared" ref="BF223:BF228" si="404">BB223</f>
        <v>0.27430790756554474</v>
      </c>
      <c r="BG223" s="366">
        <f t="shared" ref="BG223:BG228" si="405">1-SUM(BD223:BF223)</f>
        <v>0.28861213480614745</v>
      </c>
      <c r="BH223" s="1657">
        <f t="shared" ref="BH223:BH228" si="406">BD223</f>
        <v>0.233050108539438</v>
      </c>
      <c r="BI223" s="1657">
        <f t="shared" ref="BI223:BI228" si="407">BE223</f>
        <v>0.2040298490888699</v>
      </c>
      <c r="BJ223" s="1657">
        <f t="shared" ref="BJ223:BJ228" si="408">BF223</f>
        <v>0.27430790756554474</v>
      </c>
      <c r="BK223" s="366">
        <f t="shared" ref="BK223:BK228" si="409">1-SUM(BH223:BJ223)</f>
        <v>0.28861213480614745</v>
      </c>
      <c r="BL223" s="1657">
        <f t="shared" ref="BL223:BL228" si="410">BH223</f>
        <v>0.233050108539438</v>
      </c>
      <c r="BM223" s="1657">
        <f t="shared" ref="BM223:BM228" si="411">BI223</f>
        <v>0.2040298490888699</v>
      </c>
      <c r="BN223" s="1657">
        <f t="shared" ref="BN223:BN228" si="412">BJ223</f>
        <v>0.27430790756554474</v>
      </c>
      <c r="BO223" s="366">
        <f t="shared" ref="BO223:BO228" si="413">1-SUM(BL223:BN223)</f>
        <v>0.28861213480614745</v>
      </c>
      <c r="BP223" s="1657">
        <f t="shared" ref="BP223:BP228" si="414">BL223</f>
        <v>0.233050108539438</v>
      </c>
      <c r="BQ223" s="1657">
        <f t="shared" ref="BQ223:BQ228" si="415">BM223</f>
        <v>0.2040298490888699</v>
      </c>
      <c r="BR223" s="1657">
        <f t="shared" ref="BR223:BR228" si="416">BN223</f>
        <v>0.27430790756554474</v>
      </c>
      <c r="BS223" s="366">
        <f t="shared" ref="BS223:BS228" si="417">1-SUM(BP223:BR223)</f>
        <v>0.28861213480614745</v>
      </c>
      <c r="BT223" s="1657">
        <f t="shared" ref="BT223:BT228" si="418">BP223</f>
        <v>0.233050108539438</v>
      </c>
      <c r="BU223" s="1657">
        <f t="shared" ref="BU223:BU228" si="419">BQ223</f>
        <v>0.2040298490888699</v>
      </c>
      <c r="BV223" s="1657">
        <f t="shared" ref="BV223:BV228" si="420">BR223</f>
        <v>0.27430790756554474</v>
      </c>
    </row>
    <row r="224" spans="1:78" s="1401" customFormat="1">
      <c r="A224" s="157" t="s">
        <v>161</v>
      </c>
      <c r="B224" s="184">
        <f>+Q_IS!AD220</f>
        <v>7.1026279391424613E-2</v>
      </c>
      <c r="C224" s="184">
        <f>+Q_IS!AE220</f>
        <v>0.37857814661134159</v>
      </c>
      <c r="D224" s="184">
        <f>+Q_IS!AF220</f>
        <v>0.18950407258480259</v>
      </c>
      <c r="E224" s="184">
        <f>+Q_IS!AG220</f>
        <v>0.71801216620270136</v>
      </c>
      <c r="F224" s="184">
        <f>+Q_IS!AH220</f>
        <v>9.2483761212496129E-2</v>
      </c>
      <c r="G224" s="184">
        <f>+Q_IS!AI220</f>
        <v>0</v>
      </c>
      <c r="H224" s="184">
        <f>+Q_IS!AJ220</f>
        <v>0.17177799561219251</v>
      </c>
      <c r="I224" s="184">
        <f>+Q_IS!AK220</f>
        <v>0.74891471782663488</v>
      </c>
      <c r="J224" s="184">
        <f>+Q_IS!AL220</f>
        <v>7.9307286561172571E-2</v>
      </c>
      <c r="K224" s="184">
        <f>+Q_IS!AM220</f>
        <v>0</v>
      </c>
      <c r="L224" s="184">
        <f>+Q_IS!AN220</f>
        <v>0.28267812783407592</v>
      </c>
      <c r="M224" s="184">
        <f>+Q_IS!AO220</f>
        <v>0.38389653404834195</v>
      </c>
      <c r="N224" s="184">
        <f>+Q_IS!AP220</f>
        <v>0.33342533811758207</v>
      </c>
      <c r="O224" s="184">
        <f>+Q_IS!AQ220</f>
        <v>0</v>
      </c>
      <c r="P224" s="184">
        <f>+Q_IS!AR220</f>
        <v>0</v>
      </c>
      <c r="Q224" s="184">
        <f>+Q_IS!AS220</f>
        <v>0</v>
      </c>
      <c r="R224" s="184">
        <f>+Q_IS!AT220</f>
        <v>0.5622848537005164</v>
      </c>
      <c r="S224" s="184">
        <f>+Q_IS!AU220</f>
        <v>0.43771514629948366</v>
      </c>
      <c r="T224" s="184">
        <f>+Q_IS!AV220</f>
        <v>0.10036547652516166</v>
      </c>
      <c r="U224" s="184">
        <f>+Q_IS!AW220</f>
        <v>7.7263448680495297E-2</v>
      </c>
      <c r="V224" s="184">
        <f>+Q_IS!AX220</f>
        <v>0.62495263473127094</v>
      </c>
      <c r="W224" s="184">
        <f>+Q_IS!AY220</f>
        <v>0.19741844006307221</v>
      </c>
      <c r="X224" s="184">
        <f>+Q_IS!AZ220</f>
        <v>0.45933081619537275</v>
      </c>
      <c r="Y224" s="184">
        <f>+Q_IS!BA220</f>
        <v>0.5210408633247644</v>
      </c>
      <c r="Z224" s="184">
        <f>+Q_IS!BB220</f>
        <v>1.9628320479862894E-2</v>
      </c>
      <c r="AA224" s="184">
        <f>+Q_IS!BC220</f>
        <v>0</v>
      </c>
      <c r="AB224" s="184">
        <f>+Q_IS!BD220</f>
        <v>1</v>
      </c>
      <c r="AC224" s="184">
        <f>+Q_IS!BE220</f>
        <v>0</v>
      </c>
      <c r="AD224" s="184">
        <f>+Q_IS!BF220</f>
        <v>0</v>
      </c>
      <c r="AE224" s="184">
        <f>+Q_IS!BG220</f>
        <v>0</v>
      </c>
      <c r="AF224" s="184">
        <f>+Q_IS!BH220</f>
        <v>0</v>
      </c>
      <c r="AG224" s="184">
        <f>+Q_IS!BI220</f>
        <v>0.67023086811463894</v>
      </c>
      <c r="AH224" s="184">
        <f>+Q_IS!BJ220</f>
        <v>0.329769131885361</v>
      </c>
      <c r="AI224" s="184">
        <f>+Q_IS!BK220</f>
        <v>0</v>
      </c>
      <c r="AJ224" s="184">
        <f>+Q_IS!BL220</f>
        <v>0</v>
      </c>
      <c r="AK224" s="184">
        <f>+Q_IS!BM220</f>
        <v>0.61046781994047616</v>
      </c>
      <c r="AL224" s="184">
        <f>+Q_IS!BN220</f>
        <v>0</v>
      </c>
      <c r="AM224" s="184">
        <f>+Q_IS!BO220</f>
        <v>0.12448450352581011</v>
      </c>
      <c r="AN224" s="411">
        <f>+Q_IS!BP220</f>
        <v>5.1493918070427032E-3</v>
      </c>
      <c r="AO224" s="1657">
        <f t="shared" si="387"/>
        <v>0.61046781994047616</v>
      </c>
      <c r="AP224" s="1657">
        <f t="shared" si="388"/>
        <v>0</v>
      </c>
      <c r="AQ224" s="366">
        <f t="shared" si="389"/>
        <v>0.38438278825248118</v>
      </c>
      <c r="AR224" s="1657">
        <f t="shared" si="390"/>
        <v>5.1493918070427032E-3</v>
      </c>
      <c r="AS224" s="1657">
        <f t="shared" si="391"/>
        <v>0.61046781994047616</v>
      </c>
      <c r="AT224" s="1657">
        <f t="shared" si="392"/>
        <v>0</v>
      </c>
      <c r="AU224" s="366">
        <f t="shared" si="393"/>
        <v>0.38438278825248118</v>
      </c>
      <c r="AV224" s="1657">
        <f t="shared" si="394"/>
        <v>5.1493918070427032E-3</v>
      </c>
      <c r="AW224" s="1657">
        <f t="shared" si="395"/>
        <v>0.61046781994047616</v>
      </c>
      <c r="AX224" s="1657">
        <f t="shared" si="396"/>
        <v>0</v>
      </c>
      <c r="AY224" s="366">
        <f t="shared" si="397"/>
        <v>0.38438278825248118</v>
      </c>
      <c r="AZ224" s="1657">
        <f t="shared" si="398"/>
        <v>5.1493918070427032E-3</v>
      </c>
      <c r="BA224" s="1657">
        <f t="shared" si="399"/>
        <v>0.61046781994047616</v>
      </c>
      <c r="BB224" s="1657">
        <f t="shared" si="400"/>
        <v>0</v>
      </c>
      <c r="BC224" s="366">
        <f t="shared" si="401"/>
        <v>0.38438278825248118</v>
      </c>
      <c r="BD224" s="1657">
        <f t="shared" si="402"/>
        <v>5.1493918070427032E-3</v>
      </c>
      <c r="BE224" s="1657">
        <f t="shared" si="403"/>
        <v>0.61046781994047616</v>
      </c>
      <c r="BF224" s="1657">
        <f t="shared" si="404"/>
        <v>0</v>
      </c>
      <c r="BG224" s="366">
        <f t="shared" si="405"/>
        <v>0.38438278825248118</v>
      </c>
      <c r="BH224" s="1657">
        <f t="shared" si="406"/>
        <v>5.1493918070427032E-3</v>
      </c>
      <c r="BI224" s="1657">
        <f t="shared" si="407"/>
        <v>0.61046781994047616</v>
      </c>
      <c r="BJ224" s="1657">
        <f t="shared" si="408"/>
        <v>0</v>
      </c>
      <c r="BK224" s="366">
        <f t="shared" si="409"/>
        <v>0.38438278825248118</v>
      </c>
      <c r="BL224" s="1657">
        <f t="shared" si="410"/>
        <v>5.1493918070427032E-3</v>
      </c>
      <c r="BM224" s="1657">
        <f t="shared" si="411"/>
        <v>0.61046781994047616</v>
      </c>
      <c r="BN224" s="1657">
        <f t="shared" si="412"/>
        <v>0</v>
      </c>
      <c r="BO224" s="366">
        <f t="shared" si="413"/>
        <v>0.38438278825248118</v>
      </c>
      <c r="BP224" s="1657">
        <f t="shared" si="414"/>
        <v>5.1493918070427032E-3</v>
      </c>
      <c r="BQ224" s="1657">
        <f t="shared" si="415"/>
        <v>0.61046781994047616</v>
      </c>
      <c r="BR224" s="1657">
        <f t="shared" si="416"/>
        <v>0</v>
      </c>
      <c r="BS224" s="366">
        <f t="shared" si="417"/>
        <v>0.38438278825248118</v>
      </c>
      <c r="BT224" s="1657">
        <f t="shared" si="418"/>
        <v>5.1493918070427032E-3</v>
      </c>
      <c r="BU224" s="1657">
        <f t="shared" si="419"/>
        <v>0.61046781994047616</v>
      </c>
      <c r="BV224" s="1657">
        <f t="shared" si="420"/>
        <v>0</v>
      </c>
    </row>
    <row r="225" spans="1:78" s="1401" customFormat="1">
      <c r="A225" s="157" t="s">
        <v>1064</v>
      </c>
      <c r="B225" s="184">
        <f>+Q_IS!AD221</f>
        <v>0.28915210907541544</v>
      </c>
      <c r="C225" s="184">
        <f>+Q_IS!AE221</f>
        <v>0.29694077545803149</v>
      </c>
      <c r="D225" s="184">
        <f>+Q_IS!AF221</f>
        <v>0.12099733920543168</v>
      </c>
      <c r="E225" s="184">
        <f>+Q_IS!AG221</f>
        <v>0.2489486803070618</v>
      </c>
      <c r="F225" s="184">
        <f>+Q_IS!AH221</f>
        <v>0.2242101721870508</v>
      </c>
      <c r="G225" s="184">
        <f>+Q_IS!AI221</f>
        <v>0.40584380830045569</v>
      </c>
      <c r="H225" s="184">
        <f>+Q_IS!AJ221</f>
        <v>0.18632619072402565</v>
      </c>
      <c r="I225" s="184">
        <f>+Q_IS!AK221</f>
        <v>0.21130425731237643</v>
      </c>
      <c r="J225" s="184">
        <f>+Q_IS!AL221</f>
        <v>0.35504617169028541</v>
      </c>
      <c r="K225" s="184">
        <f>+Q_IS!AM221</f>
        <v>0.24732338027331263</v>
      </c>
      <c r="L225" s="184">
        <f>+Q_IS!AN221</f>
        <v>0.20104792504929303</v>
      </c>
      <c r="M225" s="184">
        <f>+Q_IS!AO221</f>
        <v>0.1866801210898083</v>
      </c>
      <c r="N225" s="184">
        <f>+Q_IS!AP221</f>
        <v>0.34098518465351346</v>
      </c>
      <c r="O225" s="184">
        <f>+Q_IS!AQ221</f>
        <v>0.27128676920738531</v>
      </c>
      <c r="P225" s="184">
        <f>+Q_IS!AR221</f>
        <v>0.24148779841487797</v>
      </c>
      <c r="Q225" s="184">
        <f>+Q_IS!AS221</f>
        <v>0.19205511792055119</v>
      </c>
      <c r="R225" s="184">
        <f>+Q_IS!AT221</f>
        <v>0.2659150586591506</v>
      </c>
      <c r="S225" s="184">
        <f>+Q_IS!AU221</f>
        <v>0.30054202500542021</v>
      </c>
      <c r="T225" s="184">
        <f>+Q_IS!AV221</f>
        <v>0.2236072153980076</v>
      </c>
      <c r="U225" s="184">
        <f>+Q_IS!AW221</f>
        <v>0.19155624335042076</v>
      </c>
      <c r="V225" s="184">
        <f>+Q_IS!AX221</f>
        <v>0.29202534094206406</v>
      </c>
      <c r="W225" s="184">
        <f>+Q_IS!AY221</f>
        <v>0.29281120030950775</v>
      </c>
      <c r="X225" s="184">
        <f>+Q_IS!AZ221</f>
        <v>0.23273372267617196</v>
      </c>
      <c r="Y225" s="184">
        <f>+Q_IS!BA221</f>
        <v>0.1540002637209322</v>
      </c>
      <c r="Z225" s="184">
        <f>+Q_IS!BB221</f>
        <v>0.26002033203316077</v>
      </c>
      <c r="AA225" s="184">
        <f>+Q_IS!BC221</f>
        <v>0.35324568156973501</v>
      </c>
      <c r="AB225" s="184">
        <f>+Q_IS!BD221</f>
        <v>0.15074681513229449</v>
      </c>
      <c r="AC225" s="184">
        <f>+Q_IS!BE221</f>
        <v>0.16755688609857744</v>
      </c>
      <c r="AD225" s="184">
        <f>+Q_IS!BF221</f>
        <v>0.19005825911846738</v>
      </c>
      <c r="AE225" s="184">
        <f>+Q_IS!BG221</f>
        <v>0.49163803965066066</v>
      </c>
      <c r="AF225" s="184">
        <f>+Q_IS!BH221</f>
        <v>0.14357981799165695</v>
      </c>
      <c r="AG225" s="184">
        <f>+Q_IS!BI221</f>
        <v>8.6250796436771943E-2</v>
      </c>
      <c r="AH225" s="184">
        <f>+Q_IS!BJ221</f>
        <v>0.38251565824747846</v>
      </c>
      <c r="AI225" s="184">
        <f>+Q_IS!BK221</f>
        <v>0.3876537273240927</v>
      </c>
      <c r="AJ225" s="184">
        <f>+Q_IS!BL221</f>
        <v>0.22495575618851735</v>
      </c>
      <c r="AK225" s="184">
        <f>+Q_IS!BM221</f>
        <v>0.26370809318532978</v>
      </c>
      <c r="AL225" s="184">
        <f>+Q_IS!BN221</f>
        <v>0.30619962508206011</v>
      </c>
      <c r="AM225" s="184">
        <f>+Q_IS!BO221</f>
        <v>0.1975908539004364</v>
      </c>
      <c r="AN225" s="411">
        <f>+Q_IS!BP221</f>
        <v>0.15795054277917364</v>
      </c>
      <c r="AO225" s="1657">
        <f t="shared" si="387"/>
        <v>0.26370809318532978</v>
      </c>
      <c r="AP225" s="1657">
        <f t="shared" si="388"/>
        <v>0.30619962508206011</v>
      </c>
      <c r="AQ225" s="366">
        <f t="shared" si="389"/>
        <v>0.27214173895343641</v>
      </c>
      <c r="AR225" s="1657">
        <f t="shared" si="390"/>
        <v>0.15795054277917364</v>
      </c>
      <c r="AS225" s="1657">
        <f t="shared" si="391"/>
        <v>0.26370809318532978</v>
      </c>
      <c r="AT225" s="1657">
        <f t="shared" si="392"/>
        <v>0.30619962508206011</v>
      </c>
      <c r="AU225" s="366">
        <f t="shared" si="393"/>
        <v>0.27214173895343641</v>
      </c>
      <c r="AV225" s="1657">
        <f t="shared" si="394"/>
        <v>0.15795054277917364</v>
      </c>
      <c r="AW225" s="1657">
        <f t="shared" si="395"/>
        <v>0.26370809318532978</v>
      </c>
      <c r="AX225" s="1657">
        <f t="shared" si="396"/>
        <v>0.30619962508206011</v>
      </c>
      <c r="AY225" s="366">
        <f t="shared" si="397"/>
        <v>0.27214173895343641</v>
      </c>
      <c r="AZ225" s="1657">
        <f t="shared" si="398"/>
        <v>0.15795054277917364</v>
      </c>
      <c r="BA225" s="1657">
        <f t="shared" si="399"/>
        <v>0.26370809318532978</v>
      </c>
      <c r="BB225" s="1657">
        <f t="shared" si="400"/>
        <v>0.30619962508206011</v>
      </c>
      <c r="BC225" s="366">
        <f t="shared" si="401"/>
        <v>0.27214173895343641</v>
      </c>
      <c r="BD225" s="1657">
        <f t="shared" si="402"/>
        <v>0.15795054277917364</v>
      </c>
      <c r="BE225" s="1657">
        <f t="shared" si="403"/>
        <v>0.26370809318532978</v>
      </c>
      <c r="BF225" s="1657">
        <f t="shared" si="404"/>
        <v>0.30619962508206011</v>
      </c>
      <c r="BG225" s="366">
        <f t="shared" si="405"/>
        <v>0.27214173895343641</v>
      </c>
      <c r="BH225" s="1657">
        <f t="shared" si="406"/>
        <v>0.15795054277917364</v>
      </c>
      <c r="BI225" s="1657">
        <f t="shared" si="407"/>
        <v>0.26370809318532978</v>
      </c>
      <c r="BJ225" s="1657">
        <f t="shared" si="408"/>
        <v>0.30619962508206011</v>
      </c>
      <c r="BK225" s="366">
        <f t="shared" si="409"/>
        <v>0.27214173895343641</v>
      </c>
      <c r="BL225" s="1657">
        <f t="shared" si="410"/>
        <v>0.15795054277917364</v>
      </c>
      <c r="BM225" s="1657">
        <f t="shared" si="411"/>
        <v>0.26370809318532978</v>
      </c>
      <c r="BN225" s="1657">
        <f t="shared" si="412"/>
        <v>0.30619962508206011</v>
      </c>
      <c r="BO225" s="366">
        <f t="shared" si="413"/>
        <v>0.27214173895343641</v>
      </c>
      <c r="BP225" s="1657">
        <f t="shared" si="414"/>
        <v>0.15795054277917364</v>
      </c>
      <c r="BQ225" s="1657">
        <f t="shared" si="415"/>
        <v>0.26370809318532978</v>
      </c>
      <c r="BR225" s="1657">
        <f t="shared" si="416"/>
        <v>0.30619962508206011</v>
      </c>
      <c r="BS225" s="366">
        <f t="shared" si="417"/>
        <v>0.27214173895343641</v>
      </c>
      <c r="BT225" s="1657">
        <f t="shared" si="418"/>
        <v>0.15795054277917364</v>
      </c>
      <c r="BU225" s="1657">
        <f t="shared" si="419"/>
        <v>0.26370809318532978</v>
      </c>
      <c r="BV225" s="1657">
        <f t="shared" si="420"/>
        <v>0.30619962508206011</v>
      </c>
    </row>
    <row r="226" spans="1:78" s="1401" customFormat="1">
      <c r="A226" s="157" t="s">
        <v>1065</v>
      </c>
      <c r="B226" s="184">
        <f>+Q_IS!AD222</f>
        <v>7.0561456752655544E-2</v>
      </c>
      <c r="C226" s="184">
        <f>+Q_IS!AE222</f>
        <v>0.29875713563118728</v>
      </c>
      <c r="D226" s="184">
        <f>+Q_IS!AF222</f>
        <v>0</v>
      </c>
      <c r="E226" s="184">
        <f>+Q_IS!AG222</f>
        <v>0.17779318112896939</v>
      </c>
      <c r="F226" s="184">
        <f>+Q_IS!AH222</f>
        <v>0.19568513624745487</v>
      </c>
      <c r="G226" s="184">
        <f>+Q_IS!AI222</f>
        <v>0.62652168262357577</v>
      </c>
      <c r="H226" s="184">
        <f>+Q_IS!AJ222</f>
        <v>0.20381945195406276</v>
      </c>
      <c r="I226" s="184">
        <f>+Q_IS!AK222</f>
        <v>0.48898068646322213</v>
      </c>
      <c r="J226" s="184">
        <f>+Q_IS!AL222</f>
        <v>0.10039578692389213</v>
      </c>
      <c r="K226" s="184">
        <f>+Q_IS!AM222</f>
        <v>0.206804074658823</v>
      </c>
      <c r="L226" s="184">
        <f>+Q_IS!AN222</f>
        <v>0.17846659621932606</v>
      </c>
      <c r="M226" s="184">
        <f>+Q_IS!AO222</f>
        <v>0.22594027631012484</v>
      </c>
      <c r="N226" s="184">
        <f>+Q_IS!AP222</f>
        <v>0.4152870729129976</v>
      </c>
      <c r="O226" s="184">
        <f>+Q_IS!AQ222</f>
        <v>0.18030605455755158</v>
      </c>
      <c r="P226" s="184">
        <f>+Q_IS!AR222</f>
        <v>3.7575860100230486E-2</v>
      </c>
      <c r="Q226" s="184">
        <f>+Q_IS!AS222</f>
        <v>0.14592628618553213</v>
      </c>
      <c r="R226" s="184">
        <f>+Q_IS!AT222</f>
        <v>0.45469539658708846</v>
      </c>
      <c r="S226" s="184">
        <f>+Q_IS!AU222</f>
        <v>0.36180245712714892</v>
      </c>
      <c r="T226" s="184">
        <f>+Q_IS!AV222</f>
        <v>0.19480972572594063</v>
      </c>
      <c r="U226" s="184">
        <f>+Q_IS!AW222</f>
        <v>0.35610004830658581</v>
      </c>
      <c r="V226" s="184">
        <f>+Q_IS!AX222</f>
        <v>6.2986420481992378E-2</v>
      </c>
      <c r="W226" s="184">
        <f>+Q_IS!AY222</f>
        <v>0.38610380548548118</v>
      </c>
      <c r="X226" s="184">
        <f>+Q_IS!AZ222</f>
        <v>4.3160760090038212E-2</v>
      </c>
      <c r="Y226" s="184">
        <f>+Q_IS!BA222</f>
        <v>0.59285190807726529</v>
      </c>
      <c r="Z226" s="184">
        <f>+Q_IS!BB222</f>
        <v>0.24914934826990523</v>
      </c>
      <c r="AA226" s="184">
        <f>+Q_IS!BC222</f>
        <v>0.11483798356279118</v>
      </c>
      <c r="AB226" s="184">
        <f>+Q_IS!BD222</f>
        <v>0</v>
      </c>
      <c r="AC226" s="184">
        <f>+Q_IS!BE222</f>
        <v>0.2977879601832833</v>
      </c>
      <c r="AD226" s="184">
        <f>+Q_IS!BF222</f>
        <v>0.22494864907568335</v>
      </c>
      <c r="AE226" s="184">
        <f>+Q_IS!BG222</f>
        <v>0.4772633907410333</v>
      </c>
      <c r="AF226" s="184">
        <f>+Q_IS!BH222</f>
        <v>0</v>
      </c>
      <c r="AG226" s="184">
        <f>+Q_IS!BI222</f>
        <v>0.51936677057646674</v>
      </c>
      <c r="AH226" s="184">
        <f>+Q_IS!BJ222</f>
        <v>0.28346438375284977</v>
      </c>
      <c r="AI226" s="184">
        <f>+Q_IS!BK222</f>
        <v>0.19716884567068346</v>
      </c>
      <c r="AJ226" s="184">
        <f>+Q_IS!BL222</f>
        <v>0.23214476638511711</v>
      </c>
      <c r="AK226" s="184">
        <f>+Q_IS!BM222</f>
        <v>0.38126804233935635</v>
      </c>
      <c r="AL226" s="184">
        <f>+Q_IS!BN222</f>
        <v>0.28355875120282259</v>
      </c>
      <c r="AM226" s="184">
        <f>+Q_IS!BO222</f>
        <v>8.9668729353743065E-2</v>
      </c>
      <c r="AN226" s="411">
        <f>+Q_IS!BP222</f>
        <v>0.13149630112129529</v>
      </c>
      <c r="AO226" s="1657">
        <f t="shared" si="387"/>
        <v>0.38126804233935635</v>
      </c>
      <c r="AP226" s="1657">
        <f t="shared" si="388"/>
        <v>0.28355875120282259</v>
      </c>
      <c r="AQ226" s="366">
        <f t="shared" si="389"/>
        <v>0.20367690533652572</v>
      </c>
      <c r="AR226" s="1657">
        <f t="shared" si="390"/>
        <v>0.13149630112129529</v>
      </c>
      <c r="AS226" s="1657">
        <f t="shared" si="391"/>
        <v>0.38126804233935635</v>
      </c>
      <c r="AT226" s="1657">
        <f t="shared" si="392"/>
        <v>0.28355875120282259</v>
      </c>
      <c r="AU226" s="366">
        <f t="shared" si="393"/>
        <v>0.20367690533652572</v>
      </c>
      <c r="AV226" s="1657">
        <f t="shared" si="394"/>
        <v>0.13149630112129529</v>
      </c>
      <c r="AW226" s="1657">
        <f t="shared" si="395"/>
        <v>0.38126804233935635</v>
      </c>
      <c r="AX226" s="1657">
        <f t="shared" si="396"/>
        <v>0.28355875120282259</v>
      </c>
      <c r="AY226" s="366">
        <f t="shared" si="397"/>
        <v>0.20367690533652572</v>
      </c>
      <c r="AZ226" s="1657">
        <f t="shared" si="398"/>
        <v>0.13149630112129529</v>
      </c>
      <c r="BA226" s="1657">
        <f t="shared" si="399"/>
        <v>0.38126804233935635</v>
      </c>
      <c r="BB226" s="1657">
        <f t="shared" si="400"/>
        <v>0.28355875120282259</v>
      </c>
      <c r="BC226" s="366">
        <f t="shared" si="401"/>
        <v>0.20367690533652572</v>
      </c>
      <c r="BD226" s="1657">
        <f t="shared" si="402"/>
        <v>0.13149630112129529</v>
      </c>
      <c r="BE226" s="1657">
        <f t="shared" si="403"/>
        <v>0.38126804233935635</v>
      </c>
      <c r="BF226" s="1657">
        <f t="shared" si="404"/>
        <v>0.28355875120282259</v>
      </c>
      <c r="BG226" s="366">
        <f t="shared" si="405"/>
        <v>0.20367690533652572</v>
      </c>
      <c r="BH226" s="1657">
        <f t="shared" si="406"/>
        <v>0.13149630112129529</v>
      </c>
      <c r="BI226" s="1657">
        <f t="shared" si="407"/>
        <v>0.38126804233935635</v>
      </c>
      <c r="BJ226" s="1657">
        <f t="shared" si="408"/>
        <v>0.28355875120282259</v>
      </c>
      <c r="BK226" s="366">
        <f t="shared" si="409"/>
        <v>0.20367690533652572</v>
      </c>
      <c r="BL226" s="1657">
        <f t="shared" si="410"/>
        <v>0.13149630112129529</v>
      </c>
      <c r="BM226" s="1657">
        <f t="shared" si="411"/>
        <v>0.38126804233935635</v>
      </c>
      <c r="BN226" s="1657">
        <f t="shared" si="412"/>
        <v>0.28355875120282259</v>
      </c>
      <c r="BO226" s="366">
        <f t="shared" si="413"/>
        <v>0.20367690533652572</v>
      </c>
      <c r="BP226" s="1657">
        <f t="shared" si="414"/>
        <v>0.13149630112129529</v>
      </c>
      <c r="BQ226" s="1657">
        <f t="shared" si="415"/>
        <v>0.38126804233935635</v>
      </c>
      <c r="BR226" s="1657">
        <f t="shared" si="416"/>
        <v>0.28355875120282259</v>
      </c>
      <c r="BS226" s="366">
        <f t="shared" si="417"/>
        <v>0.20367690533652572</v>
      </c>
      <c r="BT226" s="1657">
        <f t="shared" si="418"/>
        <v>0.13149630112129529</v>
      </c>
      <c r="BU226" s="1657">
        <f t="shared" si="419"/>
        <v>0.38126804233935635</v>
      </c>
      <c r="BV226" s="1657">
        <f t="shared" si="420"/>
        <v>0.28355875120282259</v>
      </c>
    </row>
    <row r="227" spans="1:78" s="1401" customFormat="1">
      <c r="A227" s="251" t="s">
        <v>1501</v>
      </c>
      <c r="B227" s="184"/>
      <c r="C227" s="184"/>
      <c r="D227" s="184"/>
      <c r="E227" s="184"/>
      <c r="F227" s="184"/>
      <c r="G227" s="184"/>
      <c r="H227" s="184"/>
      <c r="I227" s="184"/>
      <c r="J227" s="184"/>
      <c r="K227" s="184"/>
      <c r="L227" s="184"/>
      <c r="M227" s="184"/>
      <c r="N227" s="184"/>
      <c r="O227" s="184"/>
      <c r="P227" s="184"/>
      <c r="Q227" s="184"/>
      <c r="R227" s="184"/>
      <c r="S227" s="184"/>
      <c r="T227" s="184"/>
      <c r="U227" s="184"/>
      <c r="V227" s="184"/>
      <c r="W227" s="184"/>
      <c r="X227" s="184"/>
      <c r="Y227" s="184"/>
      <c r="Z227" s="184"/>
      <c r="AA227" s="184">
        <f>+Q_IS!BC223</f>
        <v>0</v>
      </c>
      <c r="AB227" s="184">
        <f>+Q_IS!BD223</f>
        <v>0</v>
      </c>
      <c r="AC227" s="184">
        <f>+Q_IS!BE223</f>
        <v>0.57133968016924908</v>
      </c>
      <c r="AD227" s="184">
        <f>+Q_IS!BF223</f>
        <v>0.24640657084188913</v>
      </c>
      <c r="AE227" s="184">
        <f>+Q_IS!BG223</f>
        <v>0.18225374898886193</v>
      </c>
      <c r="AF227" s="184">
        <f>+Q_IS!BH223</f>
        <v>0.40782776575206237</v>
      </c>
      <c r="AG227" s="184">
        <f>+Q_IS!BI223</f>
        <v>0.15608728719358805</v>
      </c>
      <c r="AH227" s="184">
        <f>+Q_IS!BJ223</f>
        <v>0.42634411747498985</v>
      </c>
      <c r="AI227" s="184">
        <f>+Q_IS!BK223</f>
        <v>9.7408295793599744E-3</v>
      </c>
      <c r="AJ227" s="184">
        <f>+Q_IS!BL223</f>
        <v>0.2384799661797172</v>
      </c>
      <c r="AK227" s="184">
        <f>+Q_IS!BM223</f>
        <v>0.61233500868993374</v>
      </c>
      <c r="AL227" s="184">
        <f>+Q_IS!BN223</f>
        <v>0.13424773357132791</v>
      </c>
      <c r="AM227" s="184">
        <f>+Q_IS!BO223</f>
        <v>9.3605569531387146E-3</v>
      </c>
      <c r="AN227" s="411">
        <f>+Q_IS!BP223</f>
        <v>3.2352424969285684E-2</v>
      </c>
      <c r="AO227" s="1657">
        <f t="shared" ref="AO227" si="421">AK227</f>
        <v>0.61233500868993374</v>
      </c>
      <c r="AP227" s="1657">
        <f t="shared" ref="AP227" si="422">AL227</f>
        <v>0.13424773357132791</v>
      </c>
      <c r="AQ227" s="366">
        <f t="shared" si="389"/>
        <v>0.22106483276945266</v>
      </c>
      <c r="AR227" s="1657">
        <f t="shared" ref="AR227" si="423">AN227</f>
        <v>3.2352424969285684E-2</v>
      </c>
      <c r="AS227" s="1657">
        <f t="shared" ref="AS227" si="424">AO227</f>
        <v>0.61233500868993374</v>
      </c>
      <c r="AT227" s="1657">
        <f t="shared" ref="AT227" si="425">AP227</f>
        <v>0.13424773357132791</v>
      </c>
      <c r="AU227" s="366">
        <f t="shared" si="393"/>
        <v>0.22106483276945266</v>
      </c>
      <c r="AV227" s="1657">
        <f t="shared" si="394"/>
        <v>3.2352424969285684E-2</v>
      </c>
      <c r="AW227" s="1657">
        <f t="shared" si="395"/>
        <v>0.61233500868993374</v>
      </c>
      <c r="AX227" s="1657">
        <f t="shared" si="396"/>
        <v>0.13424773357132791</v>
      </c>
      <c r="AY227" s="366">
        <f t="shared" si="397"/>
        <v>0.22106483276945266</v>
      </c>
      <c r="AZ227" s="1657">
        <f t="shared" si="398"/>
        <v>3.2352424969285684E-2</v>
      </c>
      <c r="BA227" s="1657">
        <f t="shared" si="399"/>
        <v>0.61233500868993374</v>
      </c>
      <c r="BB227" s="1657">
        <f t="shared" si="400"/>
        <v>0.13424773357132791</v>
      </c>
      <c r="BC227" s="366">
        <f t="shared" si="401"/>
        <v>0.22106483276945266</v>
      </c>
      <c r="BD227" s="1657">
        <f t="shared" si="402"/>
        <v>3.2352424969285684E-2</v>
      </c>
      <c r="BE227" s="1657">
        <f t="shared" si="403"/>
        <v>0.61233500868993374</v>
      </c>
      <c r="BF227" s="1657">
        <f t="shared" si="404"/>
        <v>0.13424773357132791</v>
      </c>
      <c r="BG227" s="366">
        <f t="shared" si="405"/>
        <v>0.22106483276945266</v>
      </c>
      <c r="BH227" s="1657">
        <f t="shared" si="406"/>
        <v>3.2352424969285684E-2</v>
      </c>
      <c r="BI227" s="1657">
        <f t="shared" si="407"/>
        <v>0.61233500868993374</v>
      </c>
      <c r="BJ227" s="1657">
        <f t="shared" si="408"/>
        <v>0.13424773357132791</v>
      </c>
      <c r="BK227" s="366">
        <f t="shared" si="409"/>
        <v>0.22106483276945266</v>
      </c>
      <c r="BL227" s="1657">
        <f t="shared" si="410"/>
        <v>3.2352424969285684E-2</v>
      </c>
      <c r="BM227" s="1657">
        <f t="shared" si="411"/>
        <v>0.61233500868993374</v>
      </c>
      <c r="BN227" s="1657">
        <f t="shared" si="412"/>
        <v>0.13424773357132791</v>
      </c>
      <c r="BO227" s="366">
        <f t="shared" si="413"/>
        <v>0.22106483276945266</v>
      </c>
      <c r="BP227" s="1657">
        <f t="shared" si="414"/>
        <v>3.2352424969285684E-2</v>
      </c>
      <c r="BQ227" s="1657">
        <f t="shared" si="415"/>
        <v>0.61233500868993374</v>
      </c>
      <c r="BR227" s="1657">
        <f t="shared" si="416"/>
        <v>0.13424773357132791</v>
      </c>
      <c r="BS227" s="366">
        <f t="shared" si="417"/>
        <v>0.22106483276945266</v>
      </c>
      <c r="BT227" s="1657">
        <f t="shared" si="418"/>
        <v>3.2352424969285684E-2</v>
      </c>
      <c r="BU227" s="1657">
        <f t="shared" si="419"/>
        <v>0.61233500868993374</v>
      </c>
      <c r="BV227" s="1657">
        <f t="shared" si="420"/>
        <v>0.13424773357132791</v>
      </c>
    </row>
    <row r="228" spans="1:78" s="14" customFormat="1">
      <c r="A228" s="251" t="s">
        <v>874</v>
      </c>
      <c r="B228" s="1799">
        <f>+Q_IS!AD224</f>
        <v>0</v>
      </c>
      <c r="C228" s="1799">
        <f>+Q_IS!AE224</f>
        <v>0</v>
      </c>
      <c r="D228" s="1799">
        <f>+Q_IS!AF224</f>
        <v>7.7896017026451797E-2</v>
      </c>
      <c r="E228" s="1799">
        <f>+Q_IS!AG224</f>
        <v>0.44110671936758888</v>
      </c>
      <c r="F228" s="1799">
        <f>+Q_IS!AH224</f>
        <v>0.42669504408634845</v>
      </c>
      <c r="G228" s="1799">
        <f>+Q_IS!AI224</f>
        <v>5.4302219519610825E-2</v>
      </c>
      <c r="H228" s="1799">
        <f>+Q_IS!AJ224</f>
        <v>0.24366620330926864</v>
      </c>
      <c r="I228" s="1799">
        <f>+Q_IS!AK224</f>
        <v>0.40379355185866106</v>
      </c>
      <c r="J228" s="1799">
        <f>+Q_IS!AL224</f>
        <v>0.3525402448320703</v>
      </c>
      <c r="K228" s="1799">
        <f>+Q_IS!AM224</f>
        <v>0</v>
      </c>
      <c r="L228" s="1799">
        <f>+Q_IS!AN224</f>
        <v>0.23881905875475007</v>
      </c>
      <c r="M228" s="1799">
        <f>+Q_IS!AO224</f>
        <v>0.44043095168497093</v>
      </c>
      <c r="N228" s="1799">
        <f>+Q_IS!AP224</f>
        <v>0.28880444314527914</v>
      </c>
      <c r="O228" s="1799">
        <f>+Q_IS!AQ224</f>
        <v>3.194554641499979E-2</v>
      </c>
      <c r="P228" s="1799">
        <f>+Q_IS!AR224</f>
        <v>0.14529047222121555</v>
      </c>
      <c r="Q228" s="1799">
        <f>+Q_IS!AS224</f>
        <v>0.37096365020113797</v>
      </c>
      <c r="R228" s="1799">
        <f>+Q_IS!AT224</f>
        <v>0.31609466168955891</v>
      </c>
      <c r="S228" s="1799">
        <f>+Q_IS!AU224</f>
        <v>0.16765121588808757</v>
      </c>
      <c r="T228" s="1799">
        <f>+Q_IS!AV224</f>
        <v>0.15708527550721701</v>
      </c>
      <c r="U228" s="1799">
        <f>+Q_IS!AW224</f>
        <v>0.29262086513994912</v>
      </c>
      <c r="V228" s="1799">
        <f>+Q_IS!AX224</f>
        <v>0.43247990272242115</v>
      </c>
      <c r="W228" s="1799">
        <f>+Q_IS!AY224</f>
        <v>0.11781395663041276</v>
      </c>
      <c r="X228" s="1799">
        <f>+Q_IS!AZ224</f>
        <v>0.11475897767712716</v>
      </c>
      <c r="Y228" s="1799">
        <f>+Q_IS!BA224</f>
        <v>0.33004205758654165</v>
      </c>
      <c r="Z228" s="1799">
        <f>+Q_IS!BB224</f>
        <v>0.52428340342931101</v>
      </c>
      <c r="AA228" s="1799">
        <f>+Q_IS!BC224</f>
        <v>3.0915561307020382E-2</v>
      </c>
      <c r="AB228" s="1799">
        <f>+Q_IS!BD224</f>
        <v>0.26604716960756791</v>
      </c>
      <c r="AC228" s="1799">
        <f>+Q_IS!BE224</f>
        <v>0.33440962398220342</v>
      </c>
      <c r="AD228" s="1799">
        <f>+Q_IS!BF224</f>
        <v>0.39601736463575304</v>
      </c>
      <c r="AE228" s="1799">
        <f>+Q_IS!BG224</f>
        <v>3.5258417744757136E-3</v>
      </c>
      <c r="AF228" s="1799">
        <f>+Q_IS!BH224</f>
        <v>0.36541953840267705</v>
      </c>
      <c r="AG228" s="1799">
        <f>+Q_IS!BI224</f>
        <v>0.3546043874917148</v>
      </c>
      <c r="AH228" s="1799">
        <f>+Q_IS!BJ224</f>
        <v>0.26422486029756481</v>
      </c>
      <c r="AI228" s="1799">
        <f>+Q_IS!BK224</f>
        <v>1.5751213808043191E-2</v>
      </c>
      <c r="AJ228" s="1799">
        <f>+Q_IS!BL224</f>
        <v>0.28739751066809566</v>
      </c>
      <c r="AK228" s="1799">
        <f>+Q_IS!BM224</f>
        <v>0.32026642294972024</v>
      </c>
      <c r="AL228" s="1799">
        <f>+Q_IS!BN224</f>
        <v>0.20085607769135178</v>
      </c>
      <c r="AM228" s="1799">
        <f>+Q_IS!BO224</f>
        <v>0.15693015686549225</v>
      </c>
      <c r="AN228" s="1064">
        <f>+Q_IS!BP224</f>
        <v>0.35679759447764486</v>
      </c>
      <c r="AO228" s="1800">
        <f t="shared" si="387"/>
        <v>0.32026642294972024</v>
      </c>
      <c r="AP228" s="1800">
        <f t="shared" si="388"/>
        <v>0.20085607769135178</v>
      </c>
      <c r="AQ228" s="2128">
        <f t="shared" si="389"/>
        <v>0.12207990488128306</v>
      </c>
      <c r="AR228" s="1800">
        <f t="shared" si="390"/>
        <v>0.35679759447764486</v>
      </c>
      <c r="AS228" s="1800">
        <f t="shared" si="391"/>
        <v>0.32026642294972024</v>
      </c>
      <c r="AT228" s="1800">
        <f t="shared" si="392"/>
        <v>0.20085607769135178</v>
      </c>
      <c r="AU228" s="2128">
        <f t="shared" si="393"/>
        <v>0.12207990488128306</v>
      </c>
      <c r="AV228" s="1800">
        <f t="shared" si="394"/>
        <v>0.35679759447764486</v>
      </c>
      <c r="AW228" s="1800">
        <f t="shared" si="395"/>
        <v>0.32026642294972024</v>
      </c>
      <c r="AX228" s="1800">
        <f t="shared" si="396"/>
        <v>0.20085607769135178</v>
      </c>
      <c r="AY228" s="2128">
        <f t="shared" si="397"/>
        <v>0.12207990488128306</v>
      </c>
      <c r="AZ228" s="1800">
        <f t="shared" si="398"/>
        <v>0.35679759447764486</v>
      </c>
      <c r="BA228" s="1800">
        <f t="shared" si="399"/>
        <v>0.32026642294972024</v>
      </c>
      <c r="BB228" s="1800">
        <f t="shared" si="400"/>
        <v>0.20085607769135178</v>
      </c>
      <c r="BC228" s="2128">
        <f t="shared" si="401"/>
        <v>0.12207990488128306</v>
      </c>
      <c r="BD228" s="1800">
        <f t="shared" si="402"/>
        <v>0.35679759447764486</v>
      </c>
      <c r="BE228" s="1800">
        <f t="shared" si="403"/>
        <v>0.32026642294972024</v>
      </c>
      <c r="BF228" s="1800">
        <f t="shared" si="404"/>
        <v>0.20085607769135178</v>
      </c>
      <c r="BG228" s="2128">
        <f t="shared" si="405"/>
        <v>0.12207990488128306</v>
      </c>
      <c r="BH228" s="1800">
        <f t="shared" si="406"/>
        <v>0.35679759447764486</v>
      </c>
      <c r="BI228" s="1800">
        <f t="shared" si="407"/>
        <v>0.32026642294972024</v>
      </c>
      <c r="BJ228" s="1800">
        <f t="shared" si="408"/>
        <v>0.20085607769135178</v>
      </c>
      <c r="BK228" s="2128">
        <f t="shared" si="409"/>
        <v>0.12207990488128306</v>
      </c>
      <c r="BL228" s="1800">
        <f t="shared" si="410"/>
        <v>0.35679759447764486</v>
      </c>
      <c r="BM228" s="1800">
        <f t="shared" si="411"/>
        <v>0.32026642294972024</v>
      </c>
      <c r="BN228" s="1800">
        <f t="shared" si="412"/>
        <v>0.20085607769135178</v>
      </c>
      <c r="BO228" s="2128">
        <f t="shared" si="413"/>
        <v>0.12207990488128306</v>
      </c>
      <c r="BP228" s="1800">
        <f t="shared" si="414"/>
        <v>0.35679759447764486</v>
      </c>
      <c r="BQ228" s="1800">
        <f t="shared" si="415"/>
        <v>0.32026642294972024</v>
      </c>
      <c r="BR228" s="1800">
        <f t="shared" si="416"/>
        <v>0.20085607769135178</v>
      </c>
      <c r="BS228" s="2128">
        <f t="shared" si="417"/>
        <v>0.12207990488128306</v>
      </c>
      <c r="BT228" s="1800">
        <f t="shared" si="418"/>
        <v>0.35679759447764486</v>
      </c>
      <c r="BU228" s="1800">
        <f t="shared" si="419"/>
        <v>0.32026642294972024</v>
      </c>
      <c r="BV228" s="1800">
        <f t="shared" si="420"/>
        <v>0.20085607769135178</v>
      </c>
      <c r="BX228" s="1401"/>
      <c r="BY228" s="1401"/>
      <c r="BZ228" s="1401"/>
    </row>
    <row r="229" spans="1:78" s="14" customFormat="1">
      <c r="A229" s="251" t="s">
        <v>222</v>
      </c>
      <c r="B229" s="1799"/>
      <c r="C229" s="1799"/>
      <c r="D229" s="1799"/>
      <c r="E229" s="1799"/>
      <c r="F229" s="1799"/>
      <c r="G229" s="1799"/>
      <c r="H229" s="1799"/>
      <c r="I229" s="1799"/>
      <c r="J229" s="1799"/>
      <c r="K229" s="1799"/>
      <c r="L229" s="1799"/>
      <c r="M229" s="1799"/>
      <c r="N229" s="1799"/>
      <c r="O229" s="1799"/>
      <c r="P229" s="1799"/>
      <c r="Q229" s="1799"/>
      <c r="R229" s="1799"/>
      <c r="S229" s="1799"/>
      <c r="T229" s="1799"/>
      <c r="U229" s="1799"/>
      <c r="V229" s="1799"/>
      <c r="W229" s="1799"/>
      <c r="X229" s="1799"/>
      <c r="Y229" s="1799"/>
      <c r="Z229" s="1799"/>
      <c r="AA229" s="1799"/>
      <c r="AB229" s="1799"/>
      <c r="AC229" s="1799"/>
      <c r="AD229" s="1799"/>
      <c r="AE229" s="1799"/>
      <c r="AF229" s="1799"/>
      <c r="AG229" s="1799"/>
      <c r="AH229" s="1799"/>
      <c r="AI229" s="1799"/>
      <c r="AJ229" s="1799"/>
      <c r="AK229" s="1799"/>
      <c r="AL229" s="1799"/>
      <c r="AM229" s="1799"/>
      <c r="AN229" s="1064"/>
      <c r="AO229" s="1800"/>
      <c r="AP229" s="1800"/>
      <c r="AQ229" s="2128"/>
      <c r="AR229" s="1800"/>
      <c r="AS229" s="1800"/>
      <c r="AT229" s="1800"/>
      <c r="AU229" s="2128"/>
      <c r="AV229" s="1800"/>
      <c r="AW229" s="1800"/>
      <c r="AX229" s="1800"/>
      <c r="AY229" s="2128"/>
      <c r="AZ229" s="1800"/>
      <c r="BA229" s="1800"/>
      <c r="BB229" s="1800"/>
      <c r="BC229" s="2128"/>
      <c r="BD229" s="1800"/>
      <c r="BE229" s="1800"/>
      <c r="BF229" s="1800"/>
      <c r="BG229" s="2128"/>
      <c r="BH229" s="1800"/>
      <c r="BI229" s="1800"/>
      <c r="BJ229" s="1800"/>
      <c r="BK229" s="2128"/>
      <c r="BL229" s="1800"/>
      <c r="BM229" s="1800"/>
      <c r="BN229" s="1800"/>
      <c r="BO229" s="2128"/>
      <c r="BP229" s="1800"/>
      <c r="BQ229" s="1800"/>
      <c r="BR229" s="1800"/>
      <c r="BS229" s="2128"/>
      <c r="BT229" s="1800"/>
      <c r="BU229" s="1800"/>
      <c r="BV229" s="1800"/>
      <c r="BX229" s="1401"/>
      <c r="BY229" s="1401"/>
      <c r="BZ229" s="1401"/>
    </row>
    <row r="230" spans="1:78" s="1401" customFormat="1">
      <c r="A230" s="157" t="s">
        <v>163</v>
      </c>
      <c r="B230" s="184">
        <f>+Q_IS!AD226</f>
        <v>0.19711317842392892</v>
      </c>
      <c r="C230" s="184">
        <f>+Q_IS!AE226</f>
        <v>0.1078803554294773</v>
      </c>
      <c r="D230" s="184">
        <f>+Q_IS!AF226</f>
        <v>0.20054135544439117</v>
      </c>
      <c r="E230" s="184">
        <f>+Q_IS!AG226</f>
        <v>0.36075515658192286</v>
      </c>
      <c r="F230" s="184">
        <f>+Q_IS!AH226</f>
        <v>0.27139724525457415</v>
      </c>
      <c r="G230" s="184">
        <f>+Q_IS!AI226</f>
        <v>0.16730624271911193</v>
      </c>
      <c r="H230" s="184">
        <f>+Q_IS!AJ226</f>
        <v>0.33988691484170946</v>
      </c>
      <c r="I230" s="184">
        <f>+Q_IS!AK226</f>
        <v>0.27326999799087281</v>
      </c>
      <c r="J230" s="184">
        <f>+Q_IS!AL226</f>
        <v>0.26557791108177148</v>
      </c>
      <c r="K230" s="184">
        <f>+Q_IS!AM226</f>
        <v>0.1212651760856462</v>
      </c>
      <c r="L230" s="184">
        <f>+Q_IS!AN226</f>
        <v>0.32997446147013104</v>
      </c>
      <c r="M230" s="184">
        <f>+Q_IS!AO226</f>
        <v>0.35673439928936268</v>
      </c>
      <c r="N230" s="184">
        <f>+Q_IS!AP226</f>
        <v>0.23087386186986453</v>
      </c>
      <c r="O230" s="184">
        <f>+Q_IS!AQ226</f>
        <v>8.2417277370641792E-2</v>
      </c>
      <c r="P230" s="184">
        <f>+Q_IS!AR226</f>
        <v>0.23234432087364998</v>
      </c>
      <c r="Q230" s="184">
        <f>+Q_IS!AS226</f>
        <v>0.45850564098446217</v>
      </c>
      <c r="R230" s="184">
        <f>+Q_IS!AT226</f>
        <v>0.19942184927931905</v>
      </c>
      <c r="S230" s="184">
        <f>+Q_IS!AU226</f>
        <v>0.10972818886256876</v>
      </c>
      <c r="T230" s="184">
        <f>+Q_IS!AV226</f>
        <v>0.42459112873249905</v>
      </c>
      <c r="U230" s="184">
        <f>+Q_IS!AW226</f>
        <v>0.2512699789369347</v>
      </c>
      <c r="V230" s="184">
        <f>+Q_IS!AX226</f>
        <v>0.24182257464998144</v>
      </c>
      <c r="W230" s="184">
        <f>+Q_IS!AY226</f>
        <v>8.2316317680584825E-2</v>
      </c>
      <c r="X230" s="184">
        <f>+Q_IS!AZ226</f>
        <v>0.23873184513736631</v>
      </c>
      <c r="Y230" s="184">
        <f>+Q_IS!BA226</f>
        <v>0.43503980458230945</v>
      </c>
      <c r="Z230" s="184">
        <f>+Q_IS!BB226</f>
        <v>0.23993113292228913</v>
      </c>
      <c r="AA230" s="184">
        <f>+Q_IS!BC226</f>
        <v>8.6297217358035236E-2</v>
      </c>
      <c r="AB230" s="184">
        <f>+Q_IS!BD226</f>
        <v>3.4166916242387935E-2</v>
      </c>
      <c r="AC230" s="184">
        <f>+Q_IS!BE226</f>
        <v>0.43136667664969552</v>
      </c>
      <c r="AD230" s="184">
        <f>+Q_IS!BF226</f>
        <v>0.39582709394030152</v>
      </c>
      <c r="AE230" s="184">
        <f>+Q_IS!BG226</f>
        <v>0.13863931316761505</v>
      </c>
      <c r="AF230" s="184">
        <f>+Q_IS!BH226</f>
        <v>0.29967272091338348</v>
      </c>
      <c r="AG230" s="184">
        <f>+Q_IS!BI226</f>
        <v>0.43725485297424233</v>
      </c>
      <c r="AH230" s="184">
        <f>+Q_IS!BJ226</f>
        <v>8.9914307842206512E-2</v>
      </c>
      <c r="AI230" s="184">
        <f>+Q_IS!BK226</f>
        <v>0.17315811827016764</v>
      </c>
      <c r="AJ230" s="184">
        <f>+Q_IS!BL226</f>
        <v>0.2220378309439297</v>
      </c>
      <c r="AK230" s="184">
        <f>+Q_IS!BM226</f>
        <v>0.36099202507721384</v>
      </c>
      <c r="AL230" s="184">
        <f>+Q_IS!BN226</f>
        <v>0.25330751855437239</v>
      </c>
      <c r="AM230" s="184">
        <f>+Q_IS!BO226</f>
        <v>0.26607040247832714</v>
      </c>
      <c r="AN230" s="411">
        <f>+Q_IS!BP226</f>
        <v>0.30724261123741475</v>
      </c>
      <c r="AO230" s="1657">
        <f t="shared" ref="AO230:AO232" si="426">AK230</f>
        <v>0.36099202507721384</v>
      </c>
      <c r="AP230" s="1657">
        <f t="shared" ref="AP230:AP232" si="427">AL230</f>
        <v>0.25330751855437239</v>
      </c>
      <c r="AQ230" s="366">
        <f t="shared" ref="AQ230:AQ232" si="428">1-SUM(AN230:AP230)</f>
        <v>7.8457845130999071E-2</v>
      </c>
      <c r="AR230" s="1657">
        <f t="shared" ref="AR230:AR232" si="429">AN230</f>
        <v>0.30724261123741475</v>
      </c>
      <c r="AS230" s="1657">
        <f t="shared" ref="AS230:AS232" si="430">AO230</f>
        <v>0.36099202507721384</v>
      </c>
      <c r="AT230" s="1657">
        <f t="shared" ref="AT230:AT232" si="431">AP230</f>
        <v>0.25330751855437239</v>
      </c>
      <c r="AU230" s="366">
        <f t="shared" ref="AU230:AU236" si="432">1-SUM(AR230:AT230)</f>
        <v>7.8457845130999071E-2</v>
      </c>
      <c r="AV230" s="1657">
        <f t="shared" ref="AV230:AV232" si="433">AR230</f>
        <v>0.30724261123741475</v>
      </c>
      <c r="AW230" s="1657">
        <f t="shared" ref="AW230:AW232" si="434">AS230</f>
        <v>0.36099202507721384</v>
      </c>
      <c r="AX230" s="1657">
        <f t="shared" ref="AX230:AX232" si="435">AT230</f>
        <v>0.25330751855437239</v>
      </c>
      <c r="AY230" s="366">
        <f t="shared" ref="AY230:AY236" si="436">1-SUM(AV230:AX230)</f>
        <v>7.8457845130999071E-2</v>
      </c>
      <c r="AZ230" s="1657">
        <f t="shared" ref="AZ230:AZ232" si="437">AV230</f>
        <v>0.30724261123741475</v>
      </c>
      <c r="BA230" s="1657">
        <f t="shared" ref="BA230:BA232" si="438">AW230</f>
        <v>0.36099202507721384</v>
      </c>
      <c r="BB230" s="1657">
        <f t="shared" ref="BB230:BB232" si="439">AX230</f>
        <v>0.25330751855437239</v>
      </c>
      <c r="BC230" s="366">
        <f t="shared" ref="BC230:BC232" si="440">1-SUM(AZ230:BB230)</f>
        <v>7.8457845130999071E-2</v>
      </c>
      <c r="BD230" s="1657">
        <f t="shared" ref="BD230:BD232" si="441">AZ230</f>
        <v>0.30724261123741475</v>
      </c>
      <c r="BE230" s="1657">
        <f t="shared" ref="BE230:BE232" si="442">BA230</f>
        <v>0.36099202507721384</v>
      </c>
      <c r="BF230" s="1657">
        <f t="shared" ref="BF230:BF232" si="443">BB230</f>
        <v>0.25330751855437239</v>
      </c>
      <c r="BG230" s="366">
        <f t="shared" ref="BG230:BG232" si="444">1-SUM(BD230:BF230)</f>
        <v>7.8457845130999071E-2</v>
      </c>
      <c r="BH230" s="1657">
        <f t="shared" ref="BH230:BH232" si="445">BD230</f>
        <v>0.30724261123741475</v>
      </c>
      <c r="BI230" s="1657">
        <f t="shared" ref="BI230:BI232" si="446">BE230</f>
        <v>0.36099202507721384</v>
      </c>
      <c r="BJ230" s="1657">
        <f t="shared" ref="BJ230:BJ232" si="447">BF230</f>
        <v>0.25330751855437239</v>
      </c>
      <c r="BK230" s="366">
        <f t="shared" ref="BK230:BK232" si="448">1-SUM(BH230:BJ230)</f>
        <v>7.8457845130999071E-2</v>
      </c>
      <c r="BL230" s="1657">
        <f t="shared" ref="BL230:BL232" si="449">BH230</f>
        <v>0.30724261123741475</v>
      </c>
      <c r="BM230" s="1657">
        <f t="shared" ref="BM230:BM232" si="450">BI230</f>
        <v>0.36099202507721384</v>
      </c>
      <c r="BN230" s="1657">
        <f t="shared" ref="BN230:BN232" si="451">BJ230</f>
        <v>0.25330751855437239</v>
      </c>
      <c r="BO230" s="366">
        <f t="shared" ref="BO230:BO232" si="452">1-SUM(BL230:BN230)</f>
        <v>7.8457845130999071E-2</v>
      </c>
      <c r="BP230" s="1657">
        <f t="shared" ref="BP230:BP232" si="453">BL230</f>
        <v>0.30724261123741475</v>
      </c>
      <c r="BQ230" s="1657">
        <f t="shared" ref="BQ230:BQ232" si="454">BM230</f>
        <v>0.36099202507721384</v>
      </c>
      <c r="BR230" s="1657">
        <f t="shared" ref="BR230:BR232" si="455">BN230</f>
        <v>0.25330751855437239</v>
      </c>
      <c r="BS230" s="366">
        <f t="shared" ref="BS230:BS232" si="456">1-SUM(BP230:BR230)</f>
        <v>7.8457845130999071E-2</v>
      </c>
      <c r="BT230" s="1657">
        <f t="shared" ref="BT230:BT232" si="457">BP230</f>
        <v>0.30724261123741475</v>
      </c>
      <c r="BU230" s="1657">
        <f t="shared" ref="BU230:BU232" si="458">BQ230</f>
        <v>0.36099202507721384</v>
      </c>
      <c r="BV230" s="1657">
        <f t="shared" ref="BV230:BV232" si="459">BR230</f>
        <v>0.25330751855437239</v>
      </c>
    </row>
    <row r="231" spans="1:78" s="1401" customFormat="1">
      <c r="A231" s="157" t="s">
        <v>164</v>
      </c>
      <c r="B231" s="184">
        <f>+Q_IS!AD227</f>
        <v>0.15940277897643912</v>
      </c>
      <c r="C231" s="184">
        <f>+Q_IS!AE227</f>
        <v>0.353758522482092</v>
      </c>
      <c r="D231" s="184">
        <f>+Q_IS!AF227</f>
        <v>0.15594413284944461</v>
      </c>
      <c r="E231" s="184">
        <f>+Q_IS!AG227</f>
        <v>0.14054767403497195</v>
      </c>
      <c r="F231" s="184">
        <f>+Q_IS!AH227</f>
        <v>0.29027823600571867</v>
      </c>
      <c r="G231" s="184">
        <f>+Q_IS!AI227</f>
        <v>0.41322995710986471</v>
      </c>
      <c r="H231" s="184">
        <f>+Q_IS!AJ227</f>
        <v>0.27049491783034108</v>
      </c>
      <c r="I231" s="184">
        <f>+Q_IS!AK227</f>
        <v>7.8037427567208134E-2</v>
      </c>
      <c r="J231" s="184">
        <f>+Q_IS!AL227</f>
        <v>0.21710838795478293</v>
      </c>
      <c r="K231" s="184">
        <f>+Q_IS!AM227</f>
        <v>0.43435926664766789</v>
      </c>
      <c r="L231" s="184">
        <f>+Q_IS!AN227</f>
        <v>0.20256238486015746</v>
      </c>
      <c r="M231" s="184">
        <f>+Q_IS!AO227</f>
        <v>0.19443979232959308</v>
      </c>
      <c r="N231" s="184">
        <f>+Q_IS!AP227</f>
        <v>0.43518673589013573</v>
      </c>
      <c r="O231" s="184">
        <f>+Q_IS!AQ227</f>
        <v>0.1678110869201139</v>
      </c>
      <c r="P231" s="184">
        <f>+Q_IS!AR227</f>
        <v>0.30270543331836552</v>
      </c>
      <c r="Q231" s="184">
        <f>+Q_IS!AS227</f>
        <v>0.21177593174674453</v>
      </c>
      <c r="R231" s="184">
        <f>+Q_IS!AT227</f>
        <v>0.27654916928603507</v>
      </c>
      <c r="S231" s="184">
        <f>+Q_IS!AU227</f>
        <v>0.20896946564885496</v>
      </c>
      <c r="T231" s="184">
        <f>+Q_IS!AV227</f>
        <v>0.10303089942924622</v>
      </c>
      <c r="U231" s="184">
        <f>+Q_IS!AW227</f>
        <v>0.20583218526536773</v>
      </c>
      <c r="V231" s="184">
        <f>+Q_IS!AX227</f>
        <v>0.40559601128386807</v>
      </c>
      <c r="W231" s="184">
        <f>+Q_IS!AY227</f>
        <v>0.2855409040215181</v>
      </c>
      <c r="X231" s="184">
        <f>+Q_IS!AZ227</f>
        <v>8.7931986986679769E-2</v>
      </c>
      <c r="Y231" s="184">
        <f>+Q_IS!BA227</f>
        <v>0.18461113498250567</v>
      </c>
      <c r="Z231" s="184">
        <f>+Q_IS!BB227</f>
        <v>0.42683076545331777</v>
      </c>
      <c r="AA231" s="184">
        <f>+Q_IS!BC227</f>
        <v>0.30062611257749677</v>
      </c>
      <c r="AB231" s="184">
        <f>+Q_IS!BD227</f>
        <v>0.11481673952251398</v>
      </c>
      <c r="AC231" s="184">
        <f>+Q_IS!BE227</f>
        <v>0.30993794515941669</v>
      </c>
      <c r="AD231" s="184">
        <f>+Q_IS!BF227</f>
        <v>0.28643047106654845</v>
      </c>
      <c r="AE231" s="184">
        <f>+Q_IS!BG227</f>
        <v>0.28881484425152082</v>
      </c>
      <c r="AF231" s="184">
        <f>+Q_IS!BH227</f>
        <v>0.76995433789954337</v>
      </c>
      <c r="AG231" s="184">
        <f>+Q_IS!BI227</f>
        <v>0.22410958904109593</v>
      </c>
      <c r="AH231" s="184">
        <f>+Q_IS!BJ227</f>
        <v>5.9360730593607308E-3</v>
      </c>
      <c r="AI231" s="184">
        <f>+Q_IS!BK227</f>
        <v>0</v>
      </c>
      <c r="AJ231" s="184">
        <f>+Q_IS!BL227</f>
        <v>0</v>
      </c>
      <c r="AK231" s="184">
        <f>+Q_IS!BM227</f>
        <v>0</v>
      </c>
      <c r="AL231" s="184">
        <f>+Q_IS!BN227</f>
        <v>0</v>
      </c>
      <c r="AM231" s="184">
        <f>+Q_IS!BO227</f>
        <v>3.5068493150684936E-2</v>
      </c>
      <c r="AN231" s="411">
        <f>+Q_IS!BP227</f>
        <v>0.26219178082191785</v>
      </c>
      <c r="AO231" s="1657">
        <f t="shared" si="426"/>
        <v>0</v>
      </c>
      <c r="AP231" s="1657">
        <f t="shared" si="427"/>
        <v>0</v>
      </c>
      <c r="AQ231" s="366">
        <f t="shared" si="428"/>
        <v>0.73780821917808215</v>
      </c>
      <c r="AR231" s="1657">
        <f t="shared" si="429"/>
        <v>0.26219178082191785</v>
      </c>
      <c r="AS231" s="1657">
        <f t="shared" si="430"/>
        <v>0</v>
      </c>
      <c r="AT231" s="1657">
        <f t="shared" si="431"/>
        <v>0</v>
      </c>
      <c r="AU231" s="366">
        <f t="shared" si="432"/>
        <v>0.73780821917808215</v>
      </c>
      <c r="AV231" s="1657">
        <f t="shared" si="433"/>
        <v>0.26219178082191785</v>
      </c>
      <c r="AW231" s="1657">
        <f t="shared" si="434"/>
        <v>0</v>
      </c>
      <c r="AX231" s="1657">
        <f t="shared" si="435"/>
        <v>0</v>
      </c>
      <c r="AY231" s="366">
        <f t="shared" si="436"/>
        <v>0.73780821917808215</v>
      </c>
      <c r="AZ231" s="1657">
        <f t="shared" si="437"/>
        <v>0.26219178082191785</v>
      </c>
      <c r="BA231" s="1657">
        <f t="shared" si="438"/>
        <v>0</v>
      </c>
      <c r="BB231" s="1657">
        <f t="shared" si="439"/>
        <v>0</v>
      </c>
      <c r="BC231" s="366">
        <f t="shared" si="440"/>
        <v>0.73780821917808215</v>
      </c>
      <c r="BD231" s="1657">
        <f t="shared" si="441"/>
        <v>0.26219178082191785</v>
      </c>
      <c r="BE231" s="1657">
        <f t="shared" si="442"/>
        <v>0</v>
      </c>
      <c r="BF231" s="1657">
        <f t="shared" si="443"/>
        <v>0</v>
      </c>
      <c r="BG231" s="366">
        <f t="shared" si="444"/>
        <v>0.73780821917808215</v>
      </c>
      <c r="BH231" s="1657">
        <f t="shared" si="445"/>
        <v>0.26219178082191785</v>
      </c>
      <c r="BI231" s="1657">
        <f t="shared" si="446"/>
        <v>0</v>
      </c>
      <c r="BJ231" s="1657">
        <f t="shared" si="447"/>
        <v>0</v>
      </c>
      <c r="BK231" s="366">
        <f t="shared" si="448"/>
        <v>0.73780821917808215</v>
      </c>
      <c r="BL231" s="1657">
        <f t="shared" si="449"/>
        <v>0.26219178082191785</v>
      </c>
      <c r="BM231" s="1657">
        <f t="shared" si="450"/>
        <v>0</v>
      </c>
      <c r="BN231" s="1657">
        <f t="shared" si="451"/>
        <v>0</v>
      </c>
      <c r="BO231" s="366">
        <f t="shared" si="452"/>
        <v>0.73780821917808215</v>
      </c>
      <c r="BP231" s="1657">
        <f t="shared" si="453"/>
        <v>0.26219178082191785</v>
      </c>
      <c r="BQ231" s="1657">
        <f t="shared" si="454"/>
        <v>0</v>
      </c>
      <c r="BR231" s="1657">
        <f t="shared" si="455"/>
        <v>0</v>
      </c>
      <c r="BS231" s="366">
        <f t="shared" si="456"/>
        <v>0.73780821917808215</v>
      </c>
      <c r="BT231" s="1657">
        <f t="shared" si="457"/>
        <v>0.26219178082191785</v>
      </c>
      <c r="BU231" s="1657">
        <f t="shared" si="458"/>
        <v>0</v>
      </c>
      <c r="BV231" s="1657">
        <f t="shared" si="459"/>
        <v>0</v>
      </c>
    </row>
    <row r="232" spans="1:78" s="1401" customFormat="1">
      <c r="A232" s="157" t="s">
        <v>878</v>
      </c>
      <c r="B232" s="184">
        <f>+Q_IS!AD228</f>
        <v>0</v>
      </c>
      <c r="C232" s="184">
        <f>+Q_IS!AE228</f>
        <v>0</v>
      </c>
      <c r="D232" s="184">
        <f>+Q_IS!AF228</f>
        <v>0.15594413284944461</v>
      </c>
      <c r="E232" s="184">
        <f>+Q_IS!AG228</f>
        <v>0.14054767403497195</v>
      </c>
      <c r="F232" s="184">
        <f>+Q_IS!AH228</f>
        <v>0.29027823600571867</v>
      </c>
      <c r="G232" s="184">
        <f>+Q_IS!AI228</f>
        <v>0.41322995710986471</v>
      </c>
      <c r="H232" s="184">
        <f>+Q_IS!AJ228</f>
        <v>0.27049491783034108</v>
      </c>
      <c r="I232" s="184">
        <f>+Q_IS!AK228</f>
        <v>7.8037427567208134E-2</v>
      </c>
      <c r="J232" s="184">
        <f>+Q_IS!AL228</f>
        <v>0.21710838795478293</v>
      </c>
      <c r="K232" s="184">
        <f>+Q_IS!AM228</f>
        <v>0.43435926664766789</v>
      </c>
      <c r="L232" s="184">
        <f>+Q_IS!AN228</f>
        <v>0.20256238486015746</v>
      </c>
      <c r="M232" s="184">
        <f>+Q_IS!AO228</f>
        <v>0.19443979232959308</v>
      </c>
      <c r="N232" s="184">
        <f>+Q_IS!AP228</f>
        <v>0.43518673589013573</v>
      </c>
      <c r="O232" s="184">
        <f>+Q_IS!AQ228</f>
        <v>0.1678110869201139</v>
      </c>
      <c r="P232" s="184">
        <f>+Q_IS!AR228</f>
        <v>0.31148203765738708</v>
      </c>
      <c r="Q232" s="184">
        <f>+Q_IS!AS228</f>
        <v>0.21306457202264065</v>
      </c>
      <c r="R232" s="184">
        <f>+Q_IS!AT228</f>
        <v>0.27607716298948831</v>
      </c>
      <c r="S232" s="184">
        <f>+Q_IS!AU228</f>
        <v>0.19937622733048399</v>
      </c>
      <c r="T232" s="184" t="str">
        <f>+Q_IS!AV228</f>
        <v>NM</v>
      </c>
      <c r="U232" s="184" t="str">
        <f>+Q_IS!AW228</f>
        <v>NM</v>
      </c>
      <c r="V232" s="184" t="str">
        <f>+Q_IS!AX228</f>
        <v>NM</v>
      </c>
      <c r="W232" s="184" t="str">
        <f>+Q_IS!AY228</f>
        <v>NM</v>
      </c>
      <c r="X232" s="184" t="str">
        <f>+Q_IS!AZ228</f>
        <v>NM</v>
      </c>
      <c r="Y232" s="184" t="str">
        <f>+Q_IS!BA228</f>
        <v>NM</v>
      </c>
      <c r="Z232" s="184" t="str">
        <f>+Q_IS!BB228</f>
        <v>NM</v>
      </c>
      <c r="AA232" s="184" t="str">
        <f>+Q_IS!BC228</f>
        <v>NM</v>
      </c>
      <c r="AB232" s="184">
        <f>+Q_IS!BD228</f>
        <v>0.11481673952251398</v>
      </c>
      <c r="AC232" s="184">
        <f>+Q_IS!BE228</f>
        <v>0.30993794515941669</v>
      </c>
      <c r="AD232" s="184">
        <f>+Q_IS!BF228</f>
        <v>0.28643047106654845</v>
      </c>
      <c r="AE232" s="184">
        <f>+Q_IS!BG228</f>
        <v>0.28881484425152082</v>
      </c>
      <c r="AF232" s="184">
        <f>+Q_IS!BH228</f>
        <v>0.76995433789954337</v>
      </c>
      <c r="AG232" s="184">
        <f>+Q_IS!BI228</f>
        <v>0.22410958904109593</v>
      </c>
      <c r="AH232" s="184">
        <f>+Q_IS!BJ228</f>
        <v>5.9360730593607308E-3</v>
      </c>
      <c r="AI232" s="184">
        <f>+Q_IS!BK228</f>
        <v>0</v>
      </c>
      <c r="AJ232" s="184">
        <f>+Q_IS!BL228</f>
        <v>0</v>
      </c>
      <c r="AK232" s="184">
        <f>+Q_IS!BM228</f>
        <v>0</v>
      </c>
      <c r="AL232" s="184">
        <f>+Q_IS!BN228</f>
        <v>0</v>
      </c>
      <c r="AM232" s="184">
        <f>+Q_IS!BO228</f>
        <v>0</v>
      </c>
      <c r="AN232" s="411">
        <f>+Q_IS!BP228</f>
        <v>0</v>
      </c>
      <c r="AO232" s="1657">
        <f t="shared" si="426"/>
        <v>0</v>
      </c>
      <c r="AP232" s="1657">
        <f t="shared" si="427"/>
        <v>0</v>
      </c>
      <c r="AQ232" s="366">
        <f t="shared" si="428"/>
        <v>1</v>
      </c>
      <c r="AR232" s="1657">
        <f t="shared" si="429"/>
        <v>0</v>
      </c>
      <c r="AS232" s="1657">
        <f t="shared" si="430"/>
        <v>0</v>
      </c>
      <c r="AT232" s="1657">
        <f t="shared" si="431"/>
        <v>0</v>
      </c>
      <c r="AU232" s="366">
        <f t="shared" si="432"/>
        <v>1</v>
      </c>
      <c r="AV232" s="1657">
        <f t="shared" si="433"/>
        <v>0</v>
      </c>
      <c r="AW232" s="1657">
        <f t="shared" si="434"/>
        <v>0</v>
      </c>
      <c r="AX232" s="1657">
        <f t="shared" si="435"/>
        <v>0</v>
      </c>
      <c r="AY232" s="366">
        <f t="shared" si="436"/>
        <v>1</v>
      </c>
      <c r="AZ232" s="1657">
        <f t="shared" si="437"/>
        <v>0</v>
      </c>
      <c r="BA232" s="1657">
        <f t="shared" si="438"/>
        <v>0</v>
      </c>
      <c r="BB232" s="1657">
        <f t="shared" si="439"/>
        <v>0</v>
      </c>
      <c r="BC232" s="366">
        <f t="shared" si="440"/>
        <v>1</v>
      </c>
      <c r="BD232" s="1657">
        <f t="shared" si="441"/>
        <v>0</v>
      </c>
      <c r="BE232" s="1657">
        <f t="shared" si="442"/>
        <v>0</v>
      </c>
      <c r="BF232" s="1657">
        <f t="shared" si="443"/>
        <v>0</v>
      </c>
      <c r="BG232" s="366">
        <f t="shared" si="444"/>
        <v>1</v>
      </c>
      <c r="BH232" s="1657">
        <f t="shared" si="445"/>
        <v>0</v>
      </c>
      <c r="BI232" s="1657">
        <f t="shared" si="446"/>
        <v>0</v>
      </c>
      <c r="BJ232" s="1657">
        <f t="shared" si="447"/>
        <v>0</v>
      </c>
      <c r="BK232" s="366">
        <f t="shared" si="448"/>
        <v>1</v>
      </c>
      <c r="BL232" s="1657">
        <f t="shared" si="449"/>
        <v>0</v>
      </c>
      <c r="BM232" s="1657">
        <f t="shared" si="450"/>
        <v>0</v>
      </c>
      <c r="BN232" s="1657">
        <f t="shared" si="451"/>
        <v>0</v>
      </c>
      <c r="BO232" s="366">
        <f t="shared" si="452"/>
        <v>1</v>
      </c>
      <c r="BP232" s="1657">
        <f t="shared" si="453"/>
        <v>0</v>
      </c>
      <c r="BQ232" s="1657">
        <f t="shared" si="454"/>
        <v>0</v>
      </c>
      <c r="BR232" s="1657">
        <f t="shared" si="455"/>
        <v>0</v>
      </c>
      <c r="BS232" s="366">
        <f t="shared" si="456"/>
        <v>1</v>
      </c>
      <c r="BT232" s="1657">
        <f t="shared" si="457"/>
        <v>0</v>
      </c>
      <c r="BU232" s="1657">
        <f t="shared" si="458"/>
        <v>0</v>
      </c>
      <c r="BV232" s="1657">
        <f t="shared" si="459"/>
        <v>0</v>
      </c>
    </row>
    <row r="233" spans="1:78" s="1401" customFormat="1">
      <c r="A233" s="770" t="s">
        <v>905</v>
      </c>
      <c r="B233" s="184">
        <f>+Q_IS!AD229</f>
        <v>0.18858197511847519</v>
      </c>
      <c r="C233" s="184">
        <f>+Q_IS!AE229</f>
        <v>0.28991208897955217</v>
      </c>
      <c r="D233" s="184">
        <f>+Q_IS!AF229</f>
        <v>0.13861944377322885</v>
      </c>
      <c r="E233" s="184">
        <f>+Q_IS!AG229</f>
        <v>0.24495840381097034</v>
      </c>
      <c r="F233" s="184">
        <f>+Q_IS!AH229</f>
        <v>0.25837504458789279</v>
      </c>
      <c r="G233" s="184">
        <f>+Q_IS!AI229</f>
        <v>0.358047107827908</v>
      </c>
      <c r="H233" s="184">
        <f>+Q_IS!AJ229</f>
        <v>0.2183247232589888</v>
      </c>
      <c r="I233" s="184">
        <f>+Q_IS!AK229</f>
        <v>0.25039466159460799</v>
      </c>
      <c r="J233" s="184">
        <f>+Q_IS!AL229</f>
        <v>0.26878883892231498</v>
      </c>
      <c r="K233" s="184">
        <f>+Q_IS!AM229</f>
        <v>0.26249177622408815</v>
      </c>
      <c r="L233" s="184">
        <f>+Q_IS!AN229</f>
        <v>0.22076330098667332</v>
      </c>
      <c r="M233" s="184">
        <f>+Q_IS!AO229</f>
        <v>0.24809404705890675</v>
      </c>
      <c r="N233" s="184">
        <f>+Q_IS!AP229</f>
        <v>0.29637877785521477</v>
      </c>
      <c r="O233" s="184">
        <f>+Q_IS!AQ229</f>
        <v>0.2347638740992051</v>
      </c>
      <c r="P233" s="184">
        <f>+Q_IS!AR229</f>
        <v>0.22814259616694138</v>
      </c>
      <c r="Q233" s="184">
        <f>+Q_IS!AS229</f>
        <v>0.24546383828706772</v>
      </c>
      <c r="R233" s="184">
        <f>+Q_IS!AT229</f>
        <v>0.29117375874867529</v>
      </c>
      <c r="S233" s="184">
        <f>+Q_IS!AU229</f>
        <v>0.23521980679731572</v>
      </c>
      <c r="T233" s="184">
        <f>+Q_IS!AV229</f>
        <v>0.16747465561739105</v>
      </c>
      <c r="U233" s="184">
        <f>+Q_IS!AW229</f>
        <v>0.31950764974479501</v>
      </c>
      <c r="V233" s="184">
        <f>+Q_IS!AX229</f>
        <v>0.24826031546791838</v>
      </c>
      <c r="W233" s="184">
        <f>+Q_IS!AY229</f>
        <v>0.26475737916989539</v>
      </c>
      <c r="X233" s="184">
        <f>+Q_IS!AZ229</f>
        <v>0.22674641692843323</v>
      </c>
      <c r="Y233" s="184">
        <f>+Q_IS!BA229</f>
        <v>0.31189415600045517</v>
      </c>
      <c r="Z233" s="184">
        <f>+Q_IS!BB229</f>
        <v>0.21658661762676834</v>
      </c>
      <c r="AA233" s="184">
        <f>+Q_IS!BC229</f>
        <v>0.24477280944434315</v>
      </c>
      <c r="AB233" s="184">
        <f>+Q_IS!BD229</f>
        <v>0.21743211621921657</v>
      </c>
      <c r="AC233" s="184">
        <f>+Q_IS!BE229</f>
        <v>0.20704158034227083</v>
      </c>
      <c r="AD233" s="184">
        <f>+Q_IS!BF229</f>
        <v>0.23222387926749019</v>
      </c>
      <c r="AE233" s="184">
        <f>+Q_IS!BG229</f>
        <v>0.3433024241710223</v>
      </c>
      <c r="AF233" s="184">
        <f>+Q_IS!BH229</f>
        <v>0.16843538404356748</v>
      </c>
      <c r="AG233" s="184">
        <f>+Q_IS!BI229</f>
        <v>0.20660057206573909</v>
      </c>
      <c r="AH233" s="184">
        <f>+Q_IS!BJ229</f>
        <v>0.30665228422294399</v>
      </c>
      <c r="AI233" s="184">
        <f>+Q_IS!BK229</f>
        <v>0.31831175966774944</v>
      </c>
      <c r="AJ233" s="184">
        <f>+Q_IS!BL229</f>
        <v>0.20498328136467514</v>
      </c>
      <c r="AK233" s="184">
        <f>+Q_IS!BM229</f>
        <v>0.23267452208099315</v>
      </c>
      <c r="AL233" s="184">
        <f>+Q_IS!BN229</f>
        <v>0.24694837903743558</v>
      </c>
      <c r="AM233" s="184">
        <f>+Q_IS!BO229</f>
        <v>0.36597986457878823</v>
      </c>
      <c r="AN233" s="411">
        <f>+Q_IS!BP229</f>
        <v>0.27055962250125237</v>
      </c>
      <c r="AO233" s="1657">
        <f t="shared" ref="AO233:AO236" si="460">AK233</f>
        <v>0.23267452208099315</v>
      </c>
      <c r="AP233" s="1657">
        <f t="shared" ref="AP233:AP236" si="461">AL233</f>
        <v>0.24694837903743558</v>
      </c>
      <c r="AQ233" s="366">
        <f t="shared" ref="AQ233:AQ236" si="462">1-SUM(AN233:AP233)</f>
        <v>0.24981747638031893</v>
      </c>
      <c r="AR233" s="1657">
        <f t="shared" ref="AR233:AR236" si="463">AN233</f>
        <v>0.27055962250125237</v>
      </c>
      <c r="AS233" s="1657">
        <f t="shared" ref="AS233:AS236" si="464">AO233</f>
        <v>0.23267452208099315</v>
      </c>
      <c r="AT233" s="1657">
        <f t="shared" ref="AT233:AT236" si="465">AP233</f>
        <v>0.24694837903743558</v>
      </c>
      <c r="AU233" s="366">
        <f t="shared" si="432"/>
        <v>0.24981747638031893</v>
      </c>
      <c r="AV233" s="1657">
        <f t="shared" ref="AV233:AV236" si="466">AR233</f>
        <v>0.27055962250125237</v>
      </c>
      <c r="AW233" s="1657">
        <f t="shared" ref="AW233:AW236" si="467">AS233</f>
        <v>0.23267452208099315</v>
      </c>
      <c r="AX233" s="1657">
        <f t="shared" ref="AX233:AX236" si="468">AT233</f>
        <v>0.24694837903743558</v>
      </c>
      <c r="AY233" s="366">
        <f t="shared" si="436"/>
        <v>0.24981747638031893</v>
      </c>
      <c r="AZ233" s="1657">
        <f t="shared" ref="AZ233:AZ236" si="469">AV233</f>
        <v>0.27055962250125237</v>
      </c>
      <c r="BA233" s="1657">
        <f t="shared" ref="BA233:BA236" si="470">AW233</f>
        <v>0.23267452208099315</v>
      </c>
      <c r="BB233" s="1657">
        <f t="shared" ref="BB233:BB236" si="471">AX233</f>
        <v>0.24694837903743558</v>
      </c>
      <c r="BC233" s="366">
        <f t="shared" ref="BC233:BC236" si="472">1-SUM(AZ233:BB233)</f>
        <v>0.24981747638031893</v>
      </c>
      <c r="BD233" s="1657">
        <f t="shared" ref="BD233:BD236" si="473">AZ233</f>
        <v>0.27055962250125237</v>
      </c>
      <c r="BE233" s="1657">
        <f t="shared" ref="BE233:BE236" si="474">BA233</f>
        <v>0.23267452208099315</v>
      </c>
      <c r="BF233" s="1657">
        <f t="shared" ref="BF233:BF236" si="475">BB233</f>
        <v>0.24694837903743558</v>
      </c>
      <c r="BG233" s="366">
        <f t="shared" ref="BG233:BG236" si="476">1-SUM(BD233:BF233)</f>
        <v>0.24981747638031893</v>
      </c>
      <c r="BH233" s="1657">
        <f t="shared" ref="BH233:BH236" si="477">BD233</f>
        <v>0.27055962250125237</v>
      </c>
      <c r="BI233" s="1657">
        <f t="shared" ref="BI233:BI236" si="478">BE233</f>
        <v>0.23267452208099315</v>
      </c>
      <c r="BJ233" s="1657">
        <f t="shared" ref="BJ233:BJ236" si="479">BF233</f>
        <v>0.24694837903743558</v>
      </c>
      <c r="BK233" s="366">
        <f t="shared" ref="BK233:BK236" si="480">1-SUM(BH233:BJ233)</f>
        <v>0.24981747638031893</v>
      </c>
      <c r="BL233" s="1657">
        <f t="shared" ref="BL233:BL236" si="481">BH233</f>
        <v>0.27055962250125237</v>
      </c>
      <c r="BM233" s="1657">
        <f t="shared" ref="BM233:BM236" si="482">BI233</f>
        <v>0.23267452208099315</v>
      </c>
      <c r="BN233" s="1657">
        <f t="shared" ref="BN233:BN236" si="483">BJ233</f>
        <v>0.24694837903743558</v>
      </c>
      <c r="BO233" s="366">
        <f t="shared" ref="BO233:BO236" si="484">1-SUM(BL233:BN233)</f>
        <v>0.24981747638031893</v>
      </c>
      <c r="BP233" s="1657">
        <f t="shared" ref="BP233:BP236" si="485">BL233</f>
        <v>0.27055962250125237</v>
      </c>
      <c r="BQ233" s="1657">
        <f t="shared" ref="BQ233:BQ236" si="486">BM233</f>
        <v>0.23267452208099315</v>
      </c>
      <c r="BR233" s="1657">
        <f t="shared" ref="BR233:BR236" si="487">BN233</f>
        <v>0.24694837903743558</v>
      </c>
      <c r="BS233" s="366">
        <f t="shared" ref="BS233:BS236" si="488">1-SUM(BP233:BR233)</f>
        <v>0.24981747638031893</v>
      </c>
      <c r="BT233" s="1657">
        <f t="shared" ref="BT233:BT236" si="489">BP233</f>
        <v>0.27055962250125237</v>
      </c>
      <c r="BU233" s="1657">
        <f t="shared" ref="BU233:BU236" si="490">BQ233</f>
        <v>0.23267452208099315</v>
      </c>
      <c r="BV233" s="1657">
        <f t="shared" ref="BV233:BV236" si="491">BR233</f>
        <v>0.24694837903743558</v>
      </c>
    </row>
    <row r="234" spans="1:78" s="1401" customFormat="1">
      <c r="A234" s="770" t="s">
        <v>1505</v>
      </c>
      <c r="B234" s="184"/>
      <c r="C234" s="184"/>
      <c r="D234" s="184"/>
      <c r="E234" s="184"/>
      <c r="F234" s="184"/>
      <c r="G234" s="184"/>
      <c r="H234" s="184">
        <f>+Q_IS!AJ230</f>
        <v>0.12081363203770562</v>
      </c>
      <c r="I234" s="184">
        <f>+Q_IS!AK230</f>
        <v>0.1649659350121607</v>
      </c>
      <c r="J234" s="184">
        <f>+Q_IS!AL230</f>
        <v>0.22795972627158331</v>
      </c>
      <c r="K234" s="184">
        <f>+Q_IS!AM230</f>
        <v>0.48626070667855037</v>
      </c>
      <c r="L234" s="184">
        <f>+Q_IS!AN230</f>
        <v>0.27323396054679377</v>
      </c>
      <c r="M234" s="184">
        <f>+Q_IS!AO230</f>
        <v>0.29363197608760383</v>
      </c>
      <c r="N234" s="184">
        <f>+Q_IS!AP230</f>
        <v>0.28142294488799491</v>
      </c>
      <c r="O234" s="184">
        <f>+Q_IS!AQ230</f>
        <v>0.15171111847760746</v>
      </c>
      <c r="P234" s="184">
        <f>+Q_IS!AR230</f>
        <v>0.25242596644784832</v>
      </c>
      <c r="Q234" s="184">
        <f>+Q_IS!AS230</f>
        <v>0.35162363238512034</v>
      </c>
      <c r="R234" s="184">
        <f>+Q_IS!AT230</f>
        <v>0.27690153172866527</v>
      </c>
      <c r="S234" s="184">
        <f>+Q_IS!AU230</f>
        <v>0.11904886943836608</v>
      </c>
      <c r="T234" s="184">
        <f>+Q_IS!AV230</f>
        <v>0.16132979437177747</v>
      </c>
      <c r="U234" s="184">
        <f>+Q_IS!AW230</f>
        <v>0.43218089643078889</v>
      </c>
      <c r="V234" s="184">
        <f>+Q_IS!AX230</f>
        <v>0.18853612993174543</v>
      </c>
      <c r="W234" s="184">
        <f>+Q_IS!AY230</f>
        <v>0.21795317926568822</v>
      </c>
      <c r="X234" s="184">
        <f>+Q_IS!AZ230</f>
        <v>0.29434667939885861</v>
      </c>
      <c r="Y234" s="184">
        <f>+Q_IS!BA230</f>
        <v>0.35602391833208286</v>
      </c>
      <c r="Z234" s="184">
        <f>+Q_IS!BB230</f>
        <v>0.18481004024282108</v>
      </c>
      <c r="AA234" s="184">
        <f>+Q_IS!BC230</f>
        <v>0.16481936202623748</v>
      </c>
      <c r="AB234" s="184">
        <f>+Q_IS!BD230</f>
        <v>0.15173658961694747</v>
      </c>
      <c r="AC234" s="184">
        <f>+Q_IS!BE230</f>
        <v>0.21541883927138084</v>
      </c>
      <c r="AD234" s="184">
        <f>+Q_IS!BF230</f>
        <v>0.26329363052411459</v>
      </c>
      <c r="AE234" s="184">
        <f>+Q_IS!BG230</f>
        <v>0.36955094058755705</v>
      </c>
      <c r="AF234" s="184">
        <f>+Q_IS!BH230</f>
        <v>0.151676505471734</v>
      </c>
      <c r="AG234" s="184">
        <f>+Q_IS!BI230</f>
        <v>0.26328142570725016</v>
      </c>
      <c r="AH234" s="184">
        <f>+Q_IS!BJ230</f>
        <v>0.32871540639615232</v>
      </c>
      <c r="AI234" s="184">
        <f>+Q_IS!BK230</f>
        <v>0.25632666242486346</v>
      </c>
      <c r="AJ234" s="184">
        <f>+Q_IS!BL230</f>
        <v>0.24404433124667568</v>
      </c>
      <c r="AK234" s="184">
        <f>+Q_IS!BM230</f>
        <v>0.2321176506689579</v>
      </c>
      <c r="AL234" s="184">
        <f>+Q_IS!BN230</f>
        <v>0.1916835440448427</v>
      </c>
      <c r="AM234" s="184">
        <f>+Q_IS!BO230</f>
        <v>0.49937045744196173</v>
      </c>
      <c r="AN234" s="411">
        <f>+Q_IS!BP230</f>
        <v>0.61334745559081838</v>
      </c>
      <c r="AO234" s="1657">
        <f t="shared" si="460"/>
        <v>0.2321176506689579</v>
      </c>
      <c r="AP234" s="1657">
        <f t="shared" si="461"/>
        <v>0.1916835440448427</v>
      </c>
      <c r="AQ234" s="366">
        <f t="shared" si="462"/>
        <v>-3.7148650304619002E-2</v>
      </c>
      <c r="AR234" s="1657">
        <f t="shared" si="463"/>
        <v>0.61334745559081838</v>
      </c>
      <c r="AS234" s="1657">
        <f t="shared" si="464"/>
        <v>0.2321176506689579</v>
      </c>
      <c r="AT234" s="1657">
        <f t="shared" si="465"/>
        <v>0.1916835440448427</v>
      </c>
      <c r="AU234" s="366">
        <f t="shared" si="432"/>
        <v>-3.7148650304619002E-2</v>
      </c>
      <c r="AV234" s="1657">
        <f t="shared" si="466"/>
        <v>0.61334745559081838</v>
      </c>
      <c r="AW234" s="1657">
        <f t="shared" si="467"/>
        <v>0.2321176506689579</v>
      </c>
      <c r="AX234" s="1657">
        <f t="shared" si="468"/>
        <v>0.1916835440448427</v>
      </c>
      <c r="AY234" s="366">
        <f t="shared" si="436"/>
        <v>-3.7148650304619002E-2</v>
      </c>
      <c r="AZ234" s="1657">
        <f t="shared" si="469"/>
        <v>0.61334745559081838</v>
      </c>
      <c r="BA234" s="1657">
        <f t="shared" si="470"/>
        <v>0.2321176506689579</v>
      </c>
      <c r="BB234" s="1657">
        <f t="shared" si="471"/>
        <v>0.1916835440448427</v>
      </c>
      <c r="BC234" s="366">
        <f t="shared" si="472"/>
        <v>-3.7148650304619002E-2</v>
      </c>
      <c r="BD234" s="1657">
        <f t="shared" si="473"/>
        <v>0.61334745559081838</v>
      </c>
      <c r="BE234" s="1657">
        <f t="shared" si="474"/>
        <v>0.2321176506689579</v>
      </c>
      <c r="BF234" s="1657">
        <f t="shared" si="475"/>
        <v>0.1916835440448427</v>
      </c>
      <c r="BG234" s="366">
        <f t="shared" si="476"/>
        <v>-3.7148650304619002E-2</v>
      </c>
      <c r="BH234" s="1657">
        <f t="shared" si="477"/>
        <v>0.61334745559081838</v>
      </c>
      <c r="BI234" s="1657">
        <f t="shared" si="478"/>
        <v>0.2321176506689579</v>
      </c>
      <c r="BJ234" s="1657">
        <f t="shared" si="479"/>
        <v>0.1916835440448427</v>
      </c>
      <c r="BK234" s="366">
        <f t="shared" si="480"/>
        <v>-3.7148650304619002E-2</v>
      </c>
      <c r="BL234" s="1657">
        <f t="shared" si="481"/>
        <v>0.61334745559081838</v>
      </c>
      <c r="BM234" s="1657">
        <f t="shared" si="482"/>
        <v>0.2321176506689579</v>
      </c>
      <c r="BN234" s="1657">
        <f t="shared" si="483"/>
        <v>0.1916835440448427</v>
      </c>
      <c r="BO234" s="366">
        <f t="shared" si="484"/>
        <v>-3.7148650304619002E-2</v>
      </c>
      <c r="BP234" s="1657">
        <f t="shared" si="485"/>
        <v>0.61334745559081838</v>
      </c>
      <c r="BQ234" s="1657">
        <f t="shared" si="486"/>
        <v>0.2321176506689579</v>
      </c>
      <c r="BR234" s="1657">
        <f t="shared" si="487"/>
        <v>0.1916835440448427</v>
      </c>
      <c r="BS234" s="366">
        <f t="shared" si="488"/>
        <v>-3.7148650304619002E-2</v>
      </c>
      <c r="BT234" s="1657">
        <f t="shared" si="489"/>
        <v>0.61334745559081838</v>
      </c>
      <c r="BU234" s="1657">
        <f t="shared" si="490"/>
        <v>0.2321176506689579</v>
      </c>
      <c r="BV234" s="1657">
        <f t="shared" si="491"/>
        <v>0.1916835440448427</v>
      </c>
    </row>
    <row r="235" spans="1:78" s="1401" customFormat="1">
      <c r="A235" s="770" t="s">
        <v>1506</v>
      </c>
      <c r="B235" s="184"/>
      <c r="C235" s="184"/>
      <c r="D235" s="184"/>
      <c r="E235" s="184"/>
      <c r="F235" s="184"/>
      <c r="G235" s="184"/>
      <c r="H235" s="184">
        <f>+Q_IS!AJ231</f>
        <v>5.6697693241602592E-2</v>
      </c>
      <c r="I235" s="184">
        <f>+Q_IS!AK231</f>
        <v>0.16173902988957622</v>
      </c>
      <c r="J235" s="184">
        <f>+Q_IS!AL231</f>
        <v>0.32150661964502519</v>
      </c>
      <c r="K235" s="184">
        <f>+Q_IS!AM231</f>
        <v>0.46005665722379602</v>
      </c>
      <c r="L235" s="184">
        <f>+Q_IS!AN231</f>
        <v>0.14954613399694364</v>
      </c>
      <c r="M235" s="184">
        <f>+Q_IS!AO231</f>
        <v>0.16870704557031793</v>
      </c>
      <c r="N235" s="184">
        <f>+Q_IS!AP231</f>
        <v>0.36002388328921325</v>
      </c>
      <c r="O235" s="184">
        <f>+Q_IS!AQ231</f>
        <v>0.32172293714352518</v>
      </c>
      <c r="P235" s="184">
        <f>+Q_IS!AR231</f>
        <v>0.34029939491448363</v>
      </c>
      <c r="Q235" s="184">
        <f>+Q_IS!AS231</f>
        <v>0.17694379350145148</v>
      </c>
      <c r="R235" s="184">
        <f>+Q_IS!AT231</f>
        <v>0.31592692339081063</v>
      </c>
      <c r="S235" s="184">
        <f>+Q_IS!AU231</f>
        <v>0.16682988819325428</v>
      </c>
      <c r="T235" s="184">
        <f>+Q_IS!AV231</f>
        <v>0.16605216363770645</v>
      </c>
      <c r="U235" s="184">
        <f>+Q_IS!AW231</f>
        <v>0.2124495094391074</v>
      </c>
      <c r="V235" s="184">
        <f>+Q_IS!AX231</f>
        <v>0.34003510904824941</v>
      </c>
      <c r="W235" s="184">
        <f>+Q_IS!AY231</f>
        <v>0.28146321787493678</v>
      </c>
      <c r="X235" s="184">
        <f>+Q_IS!AZ231</f>
        <v>0.30262272412998387</v>
      </c>
      <c r="Y235" s="184">
        <f>+Q_IS!BA231</f>
        <v>0.2689467619267113</v>
      </c>
      <c r="Z235" s="184">
        <f>+Q_IS!BB231</f>
        <v>0.18162095720980259</v>
      </c>
      <c r="AA235" s="184">
        <f>+Q_IS!BC231</f>
        <v>0.24680955673350233</v>
      </c>
      <c r="AB235" s="184">
        <f>+Q_IS!BD231</f>
        <v>0.27364236126958047</v>
      </c>
      <c r="AC235" s="184">
        <f>+Q_IS!BE231</f>
        <v>0.17862920197364082</v>
      </c>
      <c r="AD235" s="184">
        <f>+Q_IS!BF231</f>
        <v>0.21322116237911953</v>
      </c>
      <c r="AE235" s="184">
        <f>+Q_IS!BG231</f>
        <v>0.33450727437765915</v>
      </c>
      <c r="AF235" s="184">
        <f>+Q_IS!BH231</f>
        <v>0.11896687221394309</v>
      </c>
      <c r="AG235" s="184">
        <f>+Q_IS!BI231</f>
        <v>0.20785981914883209</v>
      </c>
      <c r="AH235" s="184">
        <f>+Q_IS!BJ231</f>
        <v>0.33503282125865369</v>
      </c>
      <c r="AI235" s="184">
        <f>+Q_IS!BK231</f>
        <v>0.33814048737857116</v>
      </c>
      <c r="AJ235" s="184">
        <f>+Q_IS!BL231</f>
        <v>0.19588043647088108</v>
      </c>
      <c r="AK235" s="184">
        <f>+Q_IS!BM231</f>
        <v>0.24752000928183665</v>
      </c>
      <c r="AL235" s="184">
        <f>+Q_IS!BN231</f>
        <v>0.30645967172988359</v>
      </c>
      <c r="AM235" s="184">
        <f>+Q_IS!BO231</f>
        <v>0.2179426141570007</v>
      </c>
      <c r="AN235" s="411">
        <f>+Q_IS!BP231</f>
        <v>0.15762193431835153</v>
      </c>
      <c r="AO235" s="1657">
        <f t="shared" si="460"/>
        <v>0.24752000928183665</v>
      </c>
      <c r="AP235" s="1657">
        <f t="shared" si="461"/>
        <v>0.30645967172988359</v>
      </c>
      <c r="AQ235" s="366">
        <f t="shared" si="462"/>
        <v>0.28839838466992829</v>
      </c>
      <c r="AR235" s="1657">
        <f t="shared" si="463"/>
        <v>0.15762193431835153</v>
      </c>
      <c r="AS235" s="1657">
        <f t="shared" si="464"/>
        <v>0.24752000928183665</v>
      </c>
      <c r="AT235" s="1657">
        <f t="shared" si="465"/>
        <v>0.30645967172988359</v>
      </c>
      <c r="AU235" s="366">
        <f t="shared" si="432"/>
        <v>0.28839838466992829</v>
      </c>
      <c r="AV235" s="1657">
        <f t="shared" si="466"/>
        <v>0.15762193431835153</v>
      </c>
      <c r="AW235" s="1657">
        <f t="shared" si="467"/>
        <v>0.24752000928183665</v>
      </c>
      <c r="AX235" s="1657">
        <f t="shared" si="468"/>
        <v>0.30645967172988359</v>
      </c>
      <c r="AY235" s="366">
        <f t="shared" si="436"/>
        <v>0.28839838466992829</v>
      </c>
      <c r="AZ235" s="1657">
        <f t="shared" si="469"/>
        <v>0.15762193431835153</v>
      </c>
      <c r="BA235" s="1657">
        <f t="shared" si="470"/>
        <v>0.24752000928183665</v>
      </c>
      <c r="BB235" s="1657">
        <f t="shared" si="471"/>
        <v>0.30645967172988359</v>
      </c>
      <c r="BC235" s="366">
        <f t="shared" si="472"/>
        <v>0.28839838466992829</v>
      </c>
      <c r="BD235" s="1657">
        <f t="shared" si="473"/>
        <v>0.15762193431835153</v>
      </c>
      <c r="BE235" s="1657">
        <f t="shared" si="474"/>
        <v>0.24752000928183665</v>
      </c>
      <c r="BF235" s="1657">
        <f t="shared" si="475"/>
        <v>0.30645967172988359</v>
      </c>
      <c r="BG235" s="366">
        <f t="shared" si="476"/>
        <v>0.28839838466992829</v>
      </c>
      <c r="BH235" s="1657">
        <f t="shared" si="477"/>
        <v>0.15762193431835153</v>
      </c>
      <c r="BI235" s="1657">
        <f t="shared" si="478"/>
        <v>0.24752000928183665</v>
      </c>
      <c r="BJ235" s="1657">
        <f t="shared" si="479"/>
        <v>0.30645967172988359</v>
      </c>
      <c r="BK235" s="366">
        <f t="shared" si="480"/>
        <v>0.28839838466992829</v>
      </c>
      <c r="BL235" s="1657">
        <f t="shared" si="481"/>
        <v>0.15762193431835153</v>
      </c>
      <c r="BM235" s="1657">
        <f t="shared" si="482"/>
        <v>0.24752000928183665</v>
      </c>
      <c r="BN235" s="1657">
        <f t="shared" si="483"/>
        <v>0.30645967172988359</v>
      </c>
      <c r="BO235" s="366">
        <f t="shared" si="484"/>
        <v>0.28839838466992829</v>
      </c>
      <c r="BP235" s="1657">
        <f t="shared" si="485"/>
        <v>0.15762193431835153</v>
      </c>
      <c r="BQ235" s="1657">
        <f t="shared" si="486"/>
        <v>0.24752000928183665</v>
      </c>
      <c r="BR235" s="1657">
        <f t="shared" si="487"/>
        <v>0.30645967172988359</v>
      </c>
      <c r="BS235" s="366">
        <f t="shared" si="488"/>
        <v>0.28839838466992829</v>
      </c>
      <c r="BT235" s="1657">
        <f t="shared" si="489"/>
        <v>0.15762193431835153</v>
      </c>
      <c r="BU235" s="1657">
        <f t="shared" si="490"/>
        <v>0.24752000928183665</v>
      </c>
      <c r="BV235" s="1657">
        <f t="shared" si="491"/>
        <v>0.30645967172988359</v>
      </c>
    </row>
    <row r="236" spans="1:78" s="1401" customFormat="1">
      <c r="A236" s="770" t="s">
        <v>1507</v>
      </c>
      <c r="B236" s="184"/>
      <c r="C236" s="184"/>
      <c r="D236" s="184"/>
      <c r="E236" s="184"/>
      <c r="F236" s="184"/>
      <c r="G236" s="184"/>
      <c r="H236" s="184">
        <f>+Q_IS!AJ232</f>
        <v>0.16405555175480604</v>
      </c>
      <c r="I236" s="184">
        <f>+Q_IS!AK232</f>
        <v>0.33132653759321334</v>
      </c>
      <c r="J236" s="184">
        <f>+Q_IS!AL232</f>
        <v>0.4664431825956078</v>
      </c>
      <c r="K236" s="184">
        <f>+Q_IS!AM232</f>
        <v>3.8174728056372821E-2</v>
      </c>
      <c r="L236" s="184">
        <f>+Q_IS!AN232</f>
        <v>0.37462765025407396</v>
      </c>
      <c r="M236" s="184">
        <f>+Q_IS!AO232</f>
        <v>0.34962911044915607</v>
      </c>
      <c r="N236" s="184">
        <f>+Q_IS!AP232</f>
        <v>0.29887272939664739</v>
      </c>
      <c r="O236" s="184">
        <f>+Q_IS!AQ232</f>
        <v>-2.3129490099877394E-2</v>
      </c>
      <c r="P236" s="184">
        <f>+Q_IS!AR232</f>
        <v>9.6279416275910426E-2</v>
      </c>
      <c r="Q236" s="184">
        <f>+Q_IS!AS232</f>
        <v>0.35930584162320883</v>
      </c>
      <c r="R236" s="184">
        <f>+Q_IS!AT232</f>
        <v>0.39883430474604492</v>
      </c>
      <c r="S236" s="184">
        <f>+Q_IS!AU232</f>
        <v>0.14558043735483586</v>
      </c>
      <c r="T236" s="184">
        <f>+Q_IS!AV232</f>
        <v>0.23004476483925351</v>
      </c>
      <c r="U236" s="184">
        <f>+Q_IS!AW232</f>
        <v>0.3155630486599616</v>
      </c>
      <c r="V236" s="184">
        <f>+Q_IS!AX232</f>
        <v>0.48212313237602472</v>
      </c>
      <c r="W236" s="184">
        <f>+Q_IS!AY232</f>
        <v>-2.7730945875239828E-2</v>
      </c>
      <c r="X236" s="184">
        <f>+Q_IS!AZ232</f>
        <v>0.10756234644768282</v>
      </c>
      <c r="Y236" s="184">
        <f>+Q_IS!BA232</f>
        <v>0.29026576470456256</v>
      </c>
      <c r="Z236" s="184">
        <f>+Q_IS!BB232</f>
        <v>0.4969093213969194</v>
      </c>
      <c r="AA236" s="184">
        <f>+Q_IS!BC232</f>
        <v>0.10526256745083516</v>
      </c>
      <c r="AB236" s="184">
        <f>+Q_IS!BD232</f>
        <v>0.21301965543236434</v>
      </c>
      <c r="AC236" s="184">
        <f>+Q_IS!BE232</f>
        <v>0.38217772629488661</v>
      </c>
      <c r="AD236" s="184">
        <f>+Q_IS!BF232</f>
        <v>0.35532847923216948</v>
      </c>
      <c r="AE236" s="184">
        <f>+Q_IS!BG232</f>
        <v>4.9474139040579707E-2</v>
      </c>
      <c r="AF236" s="184">
        <f>+Q_IS!BH232</f>
        <v>0.43669908586216977</v>
      </c>
      <c r="AG236" s="184">
        <f>+Q_IS!BI232</f>
        <v>0.32470676628960216</v>
      </c>
      <c r="AH236" s="184">
        <f>+Q_IS!BJ232</f>
        <v>0.21122368052284149</v>
      </c>
      <c r="AI236" s="184">
        <f>+Q_IS!BK232</f>
        <v>2.7370467325386574E-2</v>
      </c>
      <c r="AJ236" s="184">
        <f>+Q_IS!BL232</f>
        <v>0.29710330883782421</v>
      </c>
      <c r="AK236" s="184">
        <f>+Q_IS!BM232</f>
        <v>0.42686729655118782</v>
      </c>
      <c r="AL236" s="184">
        <f>+Q_IS!BN232</f>
        <v>0.22026517360706097</v>
      </c>
      <c r="AM236" s="184">
        <f>+Q_IS!BO232</f>
        <v>4.2761137514236769E-2</v>
      </c>
      <c r="AN236" s="411">
        <f>+Q_IS!BP232</f>
        <v>0.35536288230699042</v>
      </c>
      <c r="AO236" s="1657">
        <f t="shared" si="460"/>
        <v>0.42686729655118782</v>
      </c>
      <c r="AP236" s="1657">
        <f t="shared" si="461"/>
        <v>0.22026517360706097</v>
      </c>
      <c r="AQ236" s="366">
        <f t="shared" si="462"/>
        <v>-2.4953524652391312E-3</v>
      </c>
      <c r="AR236" s="1657">
        <f t="shared" si="463"/>
        <v>0.35536288230699042</v>
      </c>
      <c r="AS236" s="1657">
        <f t="shared" si="464"/>
        <v>0.42686729655118782</v>
      </c>
      <c r="AT236" s="1657">
        <f t="shared" si="465"/>
        <v>0.22026517360706097</v>
      </c>
      <c r="AU236" s="366">
        <f t="shared" si="432"/>
        <v>-2.4953524652391312E-3</v>
      </c>
      <c r="AV236" s="1657">
        <f t="shared" si="466"/>
        <v>0.35536288230699042</v>
      </c>
      <c r="AW236" s="1657">
        <f t="shared" si="467"/>
        <v>0.42686729655118782</v>
      </c>
      <c r="AX236" s="1657">
        <f t="shared" si="468"/>
        <v>0.22026517360706097</v>
      </c>
      <c r="AY236" s="366">
        <f t="shared" si="436"/>
        <v>-2.4953524652391312E-3</v>
      </c>
      <c r="AZ236" s="1657">
        <f t="shared" si="469"/>
        <v>0.35536288230699042</v>
      </c>
      <c r="BA236" s="1657">
        <f t="shared" si="470"/>
        <v>0.42686729655118782</v>
      </c>
      <c r="BB236" s="1657">
        <f t="shared" si="471"/>
        <v>0.22026517360706097</v>
      </c>
      <c r="BC236" s="366">
        <f t="shared" si="472"/>
        <v>-2.4953524652391312E-3</v>
      </c>
      <c r="BD236" s="1657">
        <f t="shared" si="473"/>
        <v>0.35536288230699042</v>
      </c>
      <c r="BE236" s="1657">
        <f t="shared" si="474"/>
        <v>0.42686729655118782</v>
      </c>
      <c r="BF236" s="1657">
        <f t="shared" si="475"/>
        <v>0.22026517360706097</v>
      </c>
      <c r="BG236" s="366">
        <f t="shared" si="476"/>
        <v>-2.4953524652391312E-3</v>
      </c>
      <c r="BH236" s="1657">
        <f t="shared" si="477"/>
        <v>0.35536288230699042</v>
      </c>
      <c r="BI236" s="1657">
        <f t="shared" si="478"/>
        <v>0.42686729655118782</v>
      </c>
      <c r="BJ236" s="1657">
        <f t="shared" si="479"/>
        <v>0.22026517360706097</v>
      </c>
      <c r="BK236" s="366">
        <f t="shared" si="480"/>
        <v>-2.4953524652391312E-3</v>
      </c>
      <c r="BL236" s="1657">
        <f t="shared" si="481"/>
        <v>0.35536288230699042</v>
      </c>
      <c r="BM236" s="1657">
        <f t="shared" si="482"/>
        <v>0.42686729655118782</v>
      </c>
      <c r="BN236" s="1657">
        <f t="shared" si="483"/>
        <v>0.22026517360706097</v>
      </c>
      <c r="BO236" s="366">
        <f t="shared" si="484"/>
        <v>-2.4953524652391312E-3</v>
      </c>
      <c r="BP236" s="1657">
        <f t="shared" si="485"/>
        <v>0.35536288230699042</v>
      </c>
      <c r="BQ236" s="1657">
        <f t="shared" si="486"/>
        <v>0.42686729655118782</v>
      </c>
      <c r="BR236" s="1657">
        <f t="shared" si="487"/>
        <v>0.22026517360706097</v>
      </c>
      <c r="BS236" s="366">
        <f t="shared" si="488"/>
        <v>-2.4953524652391312E-3</v>
      </c>
      <c r="BT236" s="1657">
        <f t="shared" si="489"/>
        <v>0.35536288230699042</v>
      </c>
      <c r="BU236" s="1657">
        <f t="shared" si="490"/>
        <v>0.42686729655118782</v>
      </c>
      <c r="BV236" s="1657">
        <f t="shared" si="491"/>
        <v>0.22026517360706097</v>
      </c>
    </row>
    <row r="237" spans="1:78" s="1401" customFormat="1">
      <c r="A237" s="157"/>
      <c r="B237" s="184"/>
      <c r="C237" s="184"/>
      <c r="D237" s="184"/>
      <c r="E237" s="184"/>
      <c r="F237" s="184"/>
      <c r="G237" s="184"/>
      <c r="H237" s="184"/>
      <c r="I237" s="184"/>
      <c r="J237" s="184"/>
      <c r="K237" s="184"/>
      <c r="L237" s="184"/>
      <c r="M237" s="184"/>
      <c r="N237" s="184"/>
      <c r="O237" s="184"/>
      <c r="P237" s="184"/>
      <c r="Q237" s="184"/>
      <c r="R237" s="184"/>
      <c r="S237" s="184"/>
      <c r="T237" s="184"/>
      <c r="U237" s="184"/>
      <c r="V237" s="184"/>
      <c r="W237" s="184"/>
      <c r="X237" s="184"/>
      <c r="Y237" s="184"/>
      <c r="Z237" s="184"/>
      <c r="AA237" s="184"/>
      <c r="AB237" s="184"/>
      <c r="AC237" s="184"/>
      <c r="AD237" s="184"/>
      <c r="AE237" s="184"/>
      <c r="AF237" s="184"/>
      <c r="AG237" s="184"/>
      <c r="AH237" s="184"/>
      <c r="AI237" s="184"/>
      <c r="AJ237" s="184"/>
      <c r="AK237" s="184"/>
      <c r="AL237" s="184"/>
      <c r="AM237" s="184"/>
      <c r="AN237" s="411"/>
      <c r="AO237" s="1657"/>
      <c r="AP237" s="1657"/>
      <c r="AQ237" s="366"/>
      <c r="AR237" s="1657"/>
      <c r="AS237" s="1657"/>
      <c r="AT237" s="1657"/>
      <c r="AU237" s="366"/>
      <c r="AV237" s="1657"/>
      <c r="AW237" s="1657"/>
      <c r="AX237" s="1657"/>
      <c r="AY237" s="366"/>
      <c r="AZ237" s="1657"/>
      <c r="BA237" s="1657"/>
      <c r="BB237" s="1657"/>
      <c r="BC237" s="366"/>
      <c r="BD237" s="1657"/>
      <c r="BE237" s="1657"/>
      <c r="BF237" s="1657"/>
      <c r="BG237" s="366"/>
      <c r="BH237" s="1657"/>
      <c r="BI237" s="1657"/>
      <c r="BJ237" s="1657"/>
      <c r="BK237" s="366"/>
      <c r="BL237" s="1657"/>
      <c r="BM237" s="1657"/>
      <c r="BN237" s="1657"/>
      <c r="BO237" s="366"/>
      <c r="BP237" s="1657"/>
      <c r="BQ237" s="1657"/>
      <c r="BR237" s="1657"/>
      <c r="BS237" s="366"/>
      <c r="BT237" s="1657"/>
      <c r="BU237" s="1657"/>
      <c r="BV237" s="1657"/>
    </row>
    <row r="238" spans="1:78" s="1401" customFormat="1">
      <c r="A238" s="157"/>
      <c r="B238" s="184"/>
      <c r="C238" s="184"/>
      <c r="D238" s="184"/>
      <c r="E238" s="184"/>
      <c r="F238" s="184"/>
      <c r="G238" s="184"/>
      <c r="H238" s="184"/>
      <c r="I238" s="184"/>
      <c r="J238" s="184"/>
      <c r="K238" s="184"/>
      <c r="L238" s="184"/>
      <c r="M238" s="184"/>
      <c r="N238" s="184"/>
      <c r="O238" s="184"/>
      <c r="P238" s="184"/>
      <c r="Q238" s="184"/>
      <c r="R238" s="184"/>
      <c r="S238" s="184"/>
      <c r="T238" s="184"/>
      <c r="U238" s="184"/>
      <c r="V238" s="184"/>
      <c r="W238" s="184"/>
      <c r="X238" s="184"/>
      <c r="Y238" s="184"/>
      <c r="Z238" s="184"/>
      <c r="AA238" s="184"/>
      <c r="AB238" s="184"/>
      <c r="AC238" s="184"/>
      <c r="AD238" s="184"/>
      <c r="AE238" s="184"/>
      <c r="AF238" s="184"/>
      <c r="AG238" s="184"/>
      <c r="AH238" s="184"/>
      <c r="AI238" s="184"/>
      <c r="AJ238" s="184"/>
      <c r="AK238" s="184"/>
      <c r="AL238" s="184"/>
      <c r="AM238" s="184"/>
      <c r="AN238" s="411"/>
      <c r="AO238" s="1657"/>
      <c r="AP238" s="1657"/>
      <c r="AQ238" s="1657"/>
      <c r="AR238" s="1657"/>
      <c r="AS238" s="1657"/>
      <c r="AT238" s="1657"/>
      <c r="AU238" s="1657"/>
      <c r="AV238" s="1657"/>
      <c r="AW238" s="1657"/>
      <c r="AX238" s="1657"/>
      <c r="AY238" s="1657"/>
      <c r="AZ238" s="1657"/>
      <c r="BA238" s="1657"/>
      <c r="BB238" s="1657"/>
      <c r="BC238" s="1657"/>
      <c r="BD238" s="1657"/>
      <c r="BE238" s="1657"/>
      <c r="BF238" s="1657"/>
      <c r="BG238" s="1657"/>
      <c r="BH238" s="1657"/>
      <c r="BI238" s="1657"/>
      <c r="BJ238" s="1657"/>
      <c r="BK238" s="1657"/>
      <c r="BL238" s="1657"/>
      <c r="BM238" s="1657"/>
      <c r="BN238" s="1657"/>
      <c r="BO238" s="1657"/>
      <c r="BP238" s="1657"/>
      <c r="BQ238" s="1657"/>
      <c r="BR238" s="1657"/>
      <c r="BS238" s="1657"/>
      <c r="BT238" s="1657"/>
      <c r="BU238" s="1657"/>
      <c r="BV238" s="1657"/>
    </row>
    <row r="239" spans="1:78" s="1401" customFormat="1">
      <c r="A239" s="704" t="s">
        <v>1481</v>
      </c>
      <c r="B239" s="705">
        <v>2018</v>
      </c>
      <c r="C239" s="705">
        <v>2019</v>
      </c>
      <c r="D239" s="705">
        <v>2020</v>
      </c>
      <c r="E239" s="705">
        <v>2021</v>
      </c>
      <c r="F239" s="705">
        <v>2022</v>
      </c>
      <c r="G239" s="705">
        <v>2023</v>
      </c>
      <c r="H239" s="705">
        <v>2024</v>
      </c>
      <c r="I239" s="705">
        <v>2025</v>
      </c>
      <c r="K239" s="597"/>
      <c r="L239" s="597"/>
      <c r="M239" s="597"/>
      <c r="N239" s="597"/>
      <c r="O239" s="597"/>
      <c r="P239" s="597"/>
      <c r="Q239" s="597"/>
      <c r="R239" s="597"/>
      <c r="S239" s="597"/>
      <c r="T239" s="597"/>
      <c r="U239" s="597"/>
      <c r="V239" s="597"/>
      <c r="W239" s="597"/>
      <c r="X239" s="597"/>
      <c r="Y239" s="597"/>
      <c r="Z239" s="597"/>
      <c r="AA239" s="597"/>
      <c r="AB239" s="597"/>
      <c r="AC239" s="597"/>
      <c r="AD239" s="597"/>
      <c r="AE239" s="597"/>
      <c r="AF239" s="597"/>
      <c r="AG239" s="597"/>
      <c r="AH239" s="597"/>
      <c r="AI239" s="597"/>
      <c r="AJ239" s="597"/>
      <c r="AK239" s="597"/>
      <c r="AL239" s="597"/>
      <c r="AM239" s="597"/>
      <c r="AN239" s="1684"/>
      <c r="AO239" s="1685"/>
      <c r="AP239" s="1685"/>
      <c r="AQ239" s="1685"/>
      <c r="AR239" s="1685"/>
      <c r="AS239" s="1685"/>
      <c r="AT239" s="1685"/>
      <c r="AU239" s="1685"/>
      <c r="AV239" s="1685"/>
      <c r="AW239" s="1685"/>
      <c r="AX239" s="1685"/>
      <c r="AY239" s="1685"/>
      <c r="AZ239" s="1685"/>
      <c r="BA239" s="1685"/>
      <c r="BB239" s="1685"/>
      <c r="BC239" s="1685"/>
      <c r="BD239" s="1685"/>
      <c r="BE239" s="1685"/>
      <c r="BF239" s="1685"/>
      <c r="BG239" s="1685"/>
      <c r="BH239" s="1685"/>
      <c r="BI239" s="1685"/>
      <c r="BJ239" s="1685"/>
      <c r="BK239" s="1685"/>
      <c r="BL239" s="1685"/>
      <c r="BM239" s="1685"/>
      <c r="BN239" s="1685"/>
      <c r="BO239" s="1685"/>
      <c r="BP239" s="1685"/>
      <c r="BQ239" s="1685"/>
      <c r="BR239" s="1685"/>
      <c r="BS239" s="1685"/>
      <c r="BT239" s="1685"/>
      <c r="BU239" s="1685"/>
      <c r="BV239" s="1685"/>
    </row>
    <row r="240" spans="1:78" s="1401" customFormat="1" ht="12.75" customHeight="1">
      <c r="A240" s="236" t="s">
        <v>1480</v>
      </c>
      <c r="B240" s="2007">
        <v>0</v>
      </c>
      <c r="C240" s="2007">
        <v>-1127</v>
      </c>
      <c r="D240" s="2007">
        <v>-729</v>
      </c>
      <c r="E240" s="2007">
        <v>-981</v>
      </c>
      <c r="F240" s="2007">
        <v>-559</v>
      </c>
      <c r="G240" s="2007">
        <v>-176</v>
      </c>
      <c r="H240" s="2007">
        <f>-478*0.6</f>
        <v>-286.8</v>
      </c>
      <c r="I240" s="2007">
        <f>-478*0.4</f>
        <v>-191.20000000000002</v>
      </c>
      <c r="K240" s="597"/>
      <c r="L240" s="597"/>
      <c r="M240" s="597"/>
      <c r="N240" s="597"/>
      <c r="O240" s="597"/>
      <c r="P240" s="597"/>
      <c r="Q240" s="597"/>
      <c r="R240" s="597"/>
      <c r="S240" s="597"/>
      <c r="T240" s="597"/>
      <c r="U240" s="597"/>
      <c r="V240" s="597"/>
      <c r="W240" s="597"/>
      <c r="X240" s="597"/>
      <c r="Y240" s="597"/>
      <c r="Z240" s="597"/>
      <c r="AA240" s="597"/>
      <c r="AB240" s="597"/>
      <c r="AC240" s="597"/>
      <c r="AD240" s="597"/>
      <c r="AE240" s="597"/>
      <c r="AF240" s="597"/>
      <c r="AG240" s="597"/>
      <c r="AH240" s="597"/>
      <c r="AI240" s="597"/>
      <c r="AJ240" s="597"/>
      <c r="AK240" s="597"/>
      <c r="AL240" s="597"/>
      <c r="AM240" s="597"/>
      <c r="AN240" s="1684"/>
      <c r="AO240" s="1685"/>
      <c r="AP240" s="1685"/>
      <c r="AQ240" s="1685"/>
      <c r="AR240" s="1685"/>
      <c r="AS240" s="1685"/>
      <c r="AT240" s="1685"/>
      <c r="AU240" s="1685"/>
      <c r="AV240" s="1685"/>
      <c r="AW240" s="1685"/>
      <c r="AX240" s="1685"/>
      <c r="AY240" s="1685"/>
      <c r="AZ240" s="1685"/>
      <c r="BA240" s="1685"/>
      <c r="BB240" s="1685"/>
      <c r="BC240" s="1685"/>
      <c r="BD240" s="1685"/>
      <c r="BE240" s="1685"/>
      <c r="BF240" s="1685"/>
      <c r="BG240" s="1685"/>
      <c r="BH240" s="1685"/>
      <c r="BI240" s="1685"/>
      <c r="BJ240" s="1685"/>
      <c r="BK240" s="1685"/>
      <c r="BL240" s="1685"/>
      <c r="BM240" s="1685"/>
      <c r="BN240" s="1685"/>
      <c r="BO240" s="1685"/>
      <c r="BP240" s="1685"/>
      <c r="BQ240" s="1685"/>
      <c r="BR240" s="1685"/>
      <c r="BS240" s="1685"/>
      <c r="BT240" s="1685"/>
      <c r="BU240" s="1685"/>
      <c r="BV240" s="1685"/>
    </row>
    <row r="241" spans="1:78">
      <c r="L241" s="1401"/>
      <c r="M241" s="1401"/>
      <c r="N241" s="1401"/>
      <c r="O241" s="1401"/>
      <c r="P241" s="1401"/>
      <c r="Q241" s="1401"/>
      <c r="R241" s="1401"/>
      <c r="S241" s="1401"/>
      <c r="U241" s="372"/>
      <c r="V241" s="372"/>
      <c r="W241" s="372"/>
      <c r="AI241" s="1401"/>
      <c r="AJ241" s="1401"/>
      <c r="AK241" s="1401"/>
      <c r="AL241" s="1401"/>
      <c r="AM241" s="1401"/>
      <c r="AN241" s="1481"/>
    </row>
    <row r="242" spans="1:78">
      <c r="A242" s="26" t="s">
        <v>201</v>
      </c>
      <c r="B242" s="27"/>
      <c r="C242" s="27"/>
      <c r="D242" s="27"/>
      <c r="E242" s="27"/>
      <c r="F242" s="27"/>
      <c r="G242" s="27"/>
      <c r="H242" s="27"/>
      <c r="I242" s="27"/>
      <c r="J242" s="27"/>
      <c r="K242" s="27"/>
      <c r="L242" s="27"/>
      <c r="M242" s="27"/>
      <c r="N242" s="27"/>
      <c r="O242" s="27"/>
      <c r="P242" s="27"/>
      <c r="Q242" s="27"/>
      <c r="R242" s="27"/>
      <c r="S242" s="27"/>
      <c r="T242" s="27"/>
      <c r="U242" s="27"/>
      <c r="V242" s="27"/>
      <c r="W242" s="27"/>
      <c r="X242" s="27"/>
      <c r="Y242" s="27"/>
      <c r="Z242" s="27"/>
      <c r="AA242" s="27"/>
      <c r="AB242" s="27"/>
      <c r="AC242" s="27"/>
      <c r="AD242" s="27"/>
      <c r="AE242" s="27"/>
      <c r="AF242" s="27"/>
      <c r="AG242" s="27"/>
      <c r="AH242" s="27"/>
      <c r="AI242" s="27"/>
      <c r="AJ242" s="27"/>
      <c r="AK242" s="27"/>
      <c r="AL242" s="27"/>
      <c r="AM242" s="27"/>
      <c r="AN242" s="27"/>
      <c r="AO242" s="27"/>
      <c r="AP242" s="27"/>
      <c r="AQ242" s="27"/>
      <c r="AR242" s="27"/>
      <c r="AS242" s="27"/>
      <c r="AT242" s="27"/>
      <c r="AU242" s="27"/>
      <c r="AV242" s="27"/>
      <c r="AW242" s="27"/>
      <c r="AX242" s="27"/>
      <c r="AY242" s="27"/>
      <c r="AZ242" s="27"/>
      <c r="BA242" s="27"/>
      <c r="BB242" s="27"/>
      <c r="BC242" s="27"/>
      <c r="BD242" s="27"/>
      <c r="BE242" s="27"/>
      <c r="BF242" s="27"/>
      <c r="BG242" s="27"/>
      <c r="BH242" s="27"/>
      <c r="BI242" s="27"/>
      <c r="BJ242" s="27"/>
      <c r="BK242" s="27"/>
      <c r="BL242" s="27"/>
      <c r="BM242" s="27"/>
      <c r="BN242" s="27"/>
      <c r="BO242" s="27"/>
      <c r="BP242" s="27"/>
      <c r="BQ242" s="27"/>
      <c r="BR242" s="27"/>
      <c r="BS242" s="27"/>
      <c r="BT242" s="27"/>
      <c r="BU242" s="27"/>
      <c r="BV242" s="27"/>
      <c r="BW242" s="27"/>
      <c r="BX242" s="27"/>
      <c r="BY242" s="669"/>
      <c r="BZ242" s="1683" t="s">
        <v>362</v>
      </c>
    </row>
  </sheetData>
  <dataValidations disablePrompts="1" count="1">
    <dataValidation type="list" allowBlank="1" showInputMessage="1" showErrorMessage="1" sqref="A6">
      <formula1>#REF!</formula1>
    </dataValidation>
  </dataValidations>
  <pageMargins left="0.7" right="0.7" top="0.75" bottom="0.75" header="0.3" footer="0.3"/>
  <pageSetup scale="42" orientation="landscape" r:id="rId1"/>
  <headerFooter alignWithMargins="0"/>
  <ignoredErrors>
    <ignoredError sqref="AO220:AT220 AV220:AX232 AZ220:BS232 AO222:AT232 AQ221:AT221" formula="1"/>
  </ignoredErrors>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enableFormatConditionsCalculation="0">
    <tabColor theme="4" tint="0.59999389629810485"/>
  </sheetPr>
  <dimension ref="A1:CL124"/>
  <sheetViews>
    <sheetView showGridLines="0" zoomScaleNormal="100" workbookViewId="0">
      <pane xSplit="1" ySplit="5" topLeftCell="B6" activePane="bottomRight" state="frozen"/>
      <selection activeCell="AC362" sqref="AC362"/>
      <selection pane="topRight" activeCell="AC362" sqref="AC362"/>
      <selection pane="bottomLeft" activeCell="AC362" sqref="AC362"/>
      <selection pane="bottomRight"/>
    </sheetView>
  </sheetViews>
  <sheetFormatPr defaultColWidth="10.28515625" defaultRowHeight="11.25" outlineLevelRow="1" outlineLevelCol="1"/>
  <cols>
    <col min="1" max="1" width="34.140625" style="52" customWidth="1"/>
    <col min="2" max="33" width="10.7109375" style="52" hidden="1" customWidth="1" outlineLevel="1"/>
    <col min="34" max="34" width="10.7109375" style="52" hidden="1" customWidth="1" outlineLevel="1" collapsed="1"/>
    <col min="35" max="36" width="10.7109375" style="52" hidden="1" customWidth="1" outlineLevel="1"/>
    <col min="37" max="37" width="10.7109375" style="52" customWidth="1" collapsed="1"/>
    <col min="38" max="38" width="10.7109375" style="52" customWidth="1"/>
    <col min="39" max="40" width="10.7109375" style="106" customWidth="1"/>
    <col min="41" max="42" width="10.7109375" style="1401" customWidth="1"/>
    <col min="43" max="61" width="10.7109375" style="52" customWidth="1"/>
    <col min="62" max="77" width="10.7109375" style="1401" customWidth="1"/>
    <col min="78" max="16384" width="10.28515625" style="52"/>
  </cols>
  <sheetData>
    <row r="1" spans="1:90" s="106" customFormat="1" ht="18">
      <c r="A1" s="112" t="str">
        <f>Index!B1</f>
        <v>São Martinho</v>
      </c>
      <c r="B1" s="127"/>
      <c r="C1" s="127"/>
      <c r="D1" s="127"/>
      <c r="E1" s="127"/>
      <c r="F1" s="127"/>
      <c r="G1" s="666"/>
      <c r="H1" s="666"/>
      <c r="I1" s="666"/>
      <c r="J1" s="666"/>
      <c r="K1" s="666"/>
      <c r="L1" s="666"/>
      <c r="M1" s="666"/>
      <c r="N1" s="666"/>
      <c r="O1" s="666"/>
      <c r="P1" s="666"/>
      <c r="Q1" s="666"/>
      <c r="R1" s="666"/>
      <c r="S1" s="666"/>
      <c r="T1" s="666"/>
      <c r="U1" s="666"/>
      <c r="V1" s="666"/>
      <c r="W1" s="666"/>
      <c r="X1" s="666"/>
      <c r="Y1" s="666"/>
      <c r="Z1" s="666"/>
      <c r="AA1" s="666"/>
      <c r="AB1" s="666"/>
      <c r="AC1" s="666"/>
      <c r="AD1" s="666"/>
      <c r="AE1" s="666"/>
      <c r="AF1" s="666"/>
      <c r="AG1" s="666"/>
      <c r="AH1" s="666"/>
      <c r="AI1" s="666"/>
      <c r="AJ1" s="666"/>
      <c r="AK1" s="666"/>
      <c r="AL1" s="666"/>
      <c r="AM1" s="666"/>
      <c r="AN1" s="666"/>
      <c r="AO1" s="666"/>
      <c r="AP1" s="666"/>
      <c r="AQ1" s="666"/>
      <c r="AR1" s="666"/>
      <c r="AS1" s="666"/>
      <c r="AT1" s="666"/>
      <c r="AU1" s="666"/>
      <c r="AV1" s="666"/>
      <c r="AW1" s="666"/>
      <c r="AX1" s="666"/>
      <c r="AY1" s="666"/>
      <c r="AZ1" s="666"/>
      <c r="BA1" s="666"/>
      <c r="BB1" s="666"/>
      <c r="BC1" s="666"/>
      <c r="BD1" s="666"/>
      <c r="BE1" s="666"/>
      <c r="BF1" s="666"/>
      <c r="BG1" s="666"/>
      <c r="BH1" s="666"/>
      <c r="BI1" s="666"/>
      <c r="BJ1" s="666"/>
      <c r="BK1" s="666"/>
      <c r="BL1" s="666"/>
      <c r="BM1" s="666"/>
      <c r="BN1" s="666"/>
      <c r="BO1" s="666"/>
      <c r="BP1" s="666"/>
      <c r="BQ1" s="666"/>
      <c r="BR1" s="666"/>
      <c r="BS1" s="666"/>
      <c r="BT1" s="666"/>
      <c r="BU1" s="666"/>
      <c r="BV1" s="666"/>
      <c r="BW1" s="666"/>
      <c r="BX1" s="666"/>
      <c r="BY1" s="666"/>
    </row>
    <row r="2" spans="1:90" ht="12.75">
      <c r="A2" s="170" t="s">
        <v>770</v>
      </c>
      <c r="B2" s="666"/>
      <c r="C2" s="666"/>
      <c r="D2" s="666"/>
      <c r="E2" s="666"/>
      <c r="F2" s="666"/>
      <c r="G2" s="666"/>
      <c r="H2" s="666"/>
      <c r="I2" s="666"/>
      <c r="J2" s="666"/>
      <c r="K2" s="666"/>
      <c r="L2" s="666"/>
      <c r="M2" s="666"/>
      <c r="N2" s="666"/>
      <c r="O2" s="666"/>
      <c r="P2" s="666"/>
      <c r="Q2" s="666"/>
      <c r="R2" s="666"/>
      <c r="S2" s="666"/>
      <c r="T2" s="666"/>
      <c r="U2" s="666"/>
      <c r="V2" s="666"/>
      <c r="W2" s="666"/>
      <c r="X2" s="666"/>
      <c r="Y2" s="666"/>
      <c r="Z2" s="666"/>
      <c r="AA2" s="666"/>
      <c r="AB2" s="666"/>
      <c r="AC2" s="666"/>
      <c r="AD2" s="666"/>
      <c r="AE2" s="666"/>
      <c r="AF2" s="666"/>
      <c r="AG2" s="666"/>
      <c r="AH2" s="666"/>
      <c r="AI2" s="666"/>
      <c r="AJ2" s="666"/>
      <c r="AK2" s="431"/>
      <c r="AL2" s="2148"/>
      <c r="AM2" s="666"/>
      <c r="AN2" s="666"/>
      <c r="AO2" s="666"/>
      <c r="AP2" s="666"/>
      <c r="AQ2" s="666"/>
      <c r="AR2" s="666"/>
      <c r="AS2" s="666"/>
      <c r="AT2" s="666"/>
      <c r="AU2" s="666"/>
      <c r="AV2" s="666"/>
      <c r="AW2" s="666"/>
      <c r="AX2" s="666"/>
      <c r="AY2" s="666"/>
      <c r="AZ2" s="666"/>
      <c r="BA2" s="666"/>
      <c r="BB2" s="666"/>
      <c r="BC2" s="666"/>
      <c r="BD2" s="666"/>
      <c r="BE2" s="666"/>
      <c r="BF2" s="666"/>
      <c r="BG2" s="666"/>
      <c r="BH2" s="666"/>
      <c r="BI2" s="667" t="s">
        <v>27</v>
      </c>
      <c r="BJ2" s="667"/>
      <c r="BK2" s="667"/>
      <c r="BL2" s="667"/>
      <c r="BM2" s="667"/>
      <c r="BN2" s="667"/>
      <c r="BO2" s="667"/>
      <c r="BP2" s="667"/>
      <c r="BQ2" s="667"/>
      <c r="BR2" s="667"/>
      <c r="BS2" s="667"/>
      <c r="BT2" s="667"/>
      <c r="BU2" s="667"/>
      <c r="BV2" s="667"/>
      <c r="BW2" s="667"/>
      <c r="BX2" s="667"/>
      <c r="BY2" s="667"/>
    </row>
    <row r="3" spans="1:90">
      <c r="A3" s="349"/>
      <c r="B3" s="350"/>
      <c r="C3" s="350"/>
      <c r="D3" s="350"/>
      <c r="E3" s="619"/>
      <c r="F3" s="350"/>
      <c r="G3" s="350"/>
      <c r="H3" s="350"/>
      <c r="I3" s="350"/>
      <c r="J3" s="350"/>
      <c r="K3" s="350"/>
      <c r="L3" s="350"/>
      <c r="M3" s="350"/>
      <c r="N3" s="350"/>
      <c r="O3" s="350"/>
      <c r="P3" s="350"/>
      <c r="Q3" s="350"/>
      <c r="R3" s="350"/>
      <c r="S3" s="350"/>
      <c r="T3" s="350"/>
      <c r="U3" s="350"/>
      <c r="V3" s="350"/>
      <c r="W3" s="350"/>
      <c r="X3" s="350"/>
      <c r="Y3" s="350"/>
      <c r="Z3" s="993" t="s">
        <v>1154</v>
      </c>
      <c r="AA3" s="993" t="s">
        <v>1155</v>
      </c>
      <c r="AB3" s="993" t="s">
        <v>1156</v>
      </c>
      <c r="AC3" s="993" t="s">
        <v>1153</v>
      </c>
      <c r="AD3" s="993" t="s">
        <v>1152</v>
      </c>
      <c r="AE3" s="993" t="s">
        <v>1152</v>
      </c>
      <c r="AF3" s="993" t="s">
        <v>1152</v>
      </c>
      <c r="AG3" s="993" t="s">
        <v>1152</v>
      </c>
      <c r="AH3" s="993" t="s">
        <v>1152</v>
      </c>
      <c r="AI3" s="993" t="s">
        <v>1152</v>
      </c>
      <c r="AJ3" s="993" t="s">
        <v>1152</v>
      </c>
      <c r="AK3" s="993"/>
      <c r="AL3" s="993"/>
      <c r="AM3" s="993"/>
      <c r="AN3" s="993"/>
      <c r="AO3" s="2143"/>
      <c r="AP3" s="2143"/>
      <c r="AQ3" s="2143"/>
      <c r="AR3" s="2143"/>
      <c r="AS3" s="2143"/>
      <c r="AT3" s="2143"/>
      <c r="AU3" s="2143"/>
      <c r="AV3" s="350"/>
      <c r="AW3" s="350"/>
      <c r="AX3" s="350"/>
      <c r="AY3" s="350"/>
      <c r="AZ3" s="350"/>
      <c r="BA3" s="350"/>
      <c r="BB3" s="350"/>
      <c r="BC3" s="350"/>
      <c r="BD3" s="350"/>
      <c r="BE3" s="350"/>
      <c r="BF3" s="350"/>
      <c r="BG3" s="350"/>
      <c r="BH3" s="350"/>
      <c r="BI3" s="350"/>
      <c r="BJ3" s="750"/>
      <c r="BK3" s="750"/>
      <c r="BL3" s="750"/>
      <c r="BM3" s="750"/>
      <c r="BN3" s="750"/>
      <c r="BO3" s="750"/>
      <c r="BP3" s="750"/>
      <c r="BQ3" s="750"/>
      <c r="BR3" s="750"/>
      <c r="BS3" s="750"/>
      <c r="BT3" s="750"/>
      <c r="BU3" s="750"/>
      <c r="BV3" s="750"/>
      <c r="BW3" s="750"/>
      <c r="BX3" s="750"/>
      <c r="BY3" s="750"/>
    </row>
    <row r="4" spans="1:90" s="14" customFormat="1">
      <c r="A4" s="888"/>
      <c r="B4" s="888">
        <v>2007</v>
      </c>
      <c r="C4" s="888">
        <v>2007</v>
      </c>
      <c r="D4" s="888">
        <v>2007</v>
      </c>
      <c r="E4" s="888">
        <v>2007</v>
      </c>
      <c r="F4" s="888">
        <v>2008</v>
      </c>
      <c r="G4" s="888">
        <v>2008</v>
      </c>
      <c r="H4" s="888">
        <v>2008</v>
      </c>
      <c r="I4" s="888">
        <v>2008</v>
      </c>
      <c r="J4" s="888">
        <v>2009</v>
      </c>
      <c r="K4" s="888">
        <v>2009</v>
      </c>
      <c r="L4" s="888">
        <v>2009</v>
      </c>
      <c r="M4" s="888">
        <v>2009</v>
      </c>
      <c r="N4" s="888">
        <v>2010</v>
      </c>
      <c r="O4" s="888">
        <v>2010</v>
      </c>
      <c r="P4" s="888">
        <v>2010</v>
      </c>
      <c r="Q4" s="888">
        <v>2010</v>
      </c>
      <c r="R4" s="888">
        <v>2011</v>
      </c>
      <c r="S4" s="888">
        <v>2011</v>
      </c>
      <c r="T4" s="888">
        <v>2011</v>
      </c>
      <c r="U4" s="888">
        <v>2011</v>
      </c>
      <c r="V4" s="888">
        <v>2012</v>
      </c>
      <c r="W4" s="888">
        <v>2012</v>
      </c>
      <c r="X4" s="888">
        <v>2012</v>
      </c>
      <c r="Y4" s="888">
        <v>2012</v>
      </c>
      <c r="Z4" s="888">
        <v>2013</v>
      </c>
      <c r="AA4" s="888">
        <v>2013</v>
      </c>
      <c r="AB4" s="888">
        <v>2013</v>
      </c>
      <c r="AC4" s="888">
        <v>2013</v>
      </c>
      <c r="AD4" s="888">
        <v>2014</v>
      </c>
      <c r="AE4" s="888">
        <v>2014</v>
      </c>
      <c r="AF4" s="888">
        <v>2014</v>
      </c>
      <c r="AG4" s="888">
        <v>2014</v>
      </c>
      <c r="AH4" s="888">
        <v>2015</v>
      </c>
      <c r="AI4" s="888">
        <v>2015</v>
      </c>
      <c r="AJ4" s="888">
        <v>2015</v>
      </c>
      <c r="AK4" s="752">
        <v>2015</v>
      </c>
      <c r="AL4" s="752">
        <v>2016</v>
      </c>
      <c r="AM4" s="752">
        <v>2016</v>
      </c>
      <c r="AN4" s="752">
        <v>2016</v>
      </c>
      <c r="AO4" s="752">
        <v>2016</v>
      </c>
      <c r="AP4" s="752">
        <v>2017</v>
      </c>
      <c r="AQ4" s="752">
        <v>2017</v>
      </c>
      <c r="AR4" s="752">
        <v>2017</v>
      </c>
      <c r="AS4" s="752">
        <v>2017</v>
      </c>
      <c r="AT4" s="752">
        <v>2018</v>
      </c>
      <c r="AU4" s="889">
        <v>2018</v>
      </c>
      <c r="AV4" s="889">
        <v>2018</v>
      </c>
      <c r="AW4" s="889">
        <v>2018</v>
      </c>
      <c r="AX4" s="889">
        <v>2019</v>
      </c>
      <c r="AY4" s="889">
        <v>2019</v>
      </c>
      <c r="AZ4" s="889">
        <v>2019</v>
      </c>
      <c r="BA4" s="889">
        <v>2019</v>
      </c>
      <c r="BB4" s="889">
        <v>2020</v>
      </c>
      <c r="BC4" s="889">
        <v>2020</v>
      </c>
      <c r="BD4" s="889">
        <v>2020</v>
      </c>
      <c r="BE4" s="889">
        <v>2020</v>
      </c>
      <c r="BF4" s="889">
        <v>2021</v>
      </c>
      <c r="BG4" s="889">
        <v>2021</v>
      </c>
      <c r="BH4" s="889">
        <v>2021</v>
      </c>
      <c r="BI4" s="889">
        <v>2021</v>
      </c>
      <c r="BJ4" s="889">
        <v>2022</v>
      </c>
      <c r="BK4" s="889">
        <v>2022</v>
      </c>
      <c r="BL4" s="889">
        <v>2022</v>
      </c>
      <c r="BM4" s="889">
        <v>2022</v>
      </c>
      <c r="BN4" s="889">
        <v>2023</v>
      </c>
      <c r="BO4" s="889">
        <v>2023</v>
      </c>
      <c r="BP4" s="889">
        <v>2023</v>
      </c>
      <c r="BQ4" s="889">
        <v>2023</v>
      </c>
      <c r="BR4" s="889">
        <v>2024</v>
      </c>
      <c r="BS4" s="889">
        <v>2024</v>
      </c>
      <c r="BT4" s="889">
        <v>2024</v>
      </c>
      <c r="BU4" s="889">
        <v>2024</v>
      </c>
      <c r="BV4" s="889">
        <v>2025</v>
      </c>
      <c r="BW4" s="889">
        <v>2025</v>
      </c>
      <c r="BX4" s="889">
        <v>2025</v>
      </c>
      <c r="BY4" s="889">
        <v>2025</v>
      </c>
      <c r="CB4" s="52"/>
      <c r="CC4" s="52"/>
      <c r="CD4" s="52"/>
      <c r="CE4" s="52"/>
      <c r="CF4" s="52"/>
      <c r="CG4" s="52"/>
      <c r="CH4" s="52"/>
    </row>
    <row r="5" spans="1:90">
      <c r="B5" s="1452" t="s">
        <v>578</v>
      </c>
      <c r="C5" s="1452" t="s">
        <v>580</v>
      </c>
      <c r="D5" s="1452" t="s">
        <v>581</v>
      </c>
      <c r="E5" s="1452" t="s">
        <v>582</v>
      </c>
      <c r="F5" s="1452" t="s">
        <v>583</v>
      </c>
      <c r="G5" s="1452" t="s">
        <v>579</v>
      </c>
      <c r="H5" s="1452" t="s">
        <v>584</v>
      </c>
      <c r="I5" s="1452" t="s">
        <v>585</v>
      </c>
      <c r="J5" s="1452" t="s">
        <v>586</v>
      </c>
      <c r="K5" s="1452" t="s">
        <v>587</v>
      </c>
      <c r="L5" s="1452" t="s">
        <v>588</v>
      </c>
      <c r="M5" s="1452" t="s">
        <v>589</v>
      </c>
      <c r="N5" s="1452" t="s">
        <v>590</v>
      </c>
      <c r="O5" s="1452" t="s">
        <v>591</v>
      </c>
      <c r="P5" s="1452" t="s">
        <v>592</v>
      </c>
      <c r="Q5" s="1452" t="s">
        <v>593</v>
      </c>
      <c r="R5" s="1452" t="s">
        <v>594</v>
      </c>
      <c r="S5" s="1452" t="s">
        <v>595</v>
      </c>
      <c r="T5" s="1452" t="s">
        <v>517</v>
      </c>
      <c r="U5" s="1452" t="s">
        <v>518</v>
      </c>
      <c r="V5" s="1452" t="s">
        <v>519</v>
      </c>
      <c r="W5" s="1452" t="s">
        <v>520</v>
      </c>
      <c r="X5" s="1452" t="s">
        <v>521</v>
      </c>
      <c r="Y5" s="1452" t="s">
        <v>522</v>
      </c>
      <c r="Z5" s="1452" t="s">
        <v>523</v>
      </c>
      <c r="AA5" s="1452" t="s">
        <v>467</v>
      </c>
      <c r="AB5" s="1452" t="s">
        <v>524</v>
      </c>
      <c r="AC5" s="1452" t="s">
        <v>525</v>
      </c>
      <c r="AD5" s="1452" t="s">
        <v>526</v>
      </c>
      <c r="AE5" s="1452" t="s">
        <v>446</v>
      </c>
      <c r="AF5" s="1452" t="s">
        <v>596</v>
      </c>
      <c r="AG5" s="1452" t="s">
        <v>597</v>
      </c>
      <c r="AH5" s="1452" t="s">
        <v>650</v>
      </c>
      <c r="AI5" s="1452" t="s">
        <v>777</v>
      </c>
      <c r="AJ5" s="1452" t="s">
        <v>778</v>
      </c>
      <c r="AK5" s="1452" t="s">
        <v>779</v>
      </c>
      <c r="AL5" s="1452" t="s">
        <v>780</v>
      </c>
      <c r="AM5" s="1452" t="s">
        <v>781</v>
      </c>
      <c r="AN5" s="1452" t="s">
        <v>782</v>
      </c>
      <c r="AO5" s="1452" t="s">
        <v>783</v>
      </c>
      <c r="AP5" s="1452" t="s">
        <v>785</v>
      </c>
      <c r="AQ5" s="1452" t="s">
        <v>786</v>
      </c>
      <c r="AR5" s="1452" t="s">
        <v>787</v>
      </c>
      <c r="AS5" s="1452" t="s">
        <v>788</v>
      </c>
      <c r="AT5" s="1452" t="s">
        <v>789</v>
      </c>
      <c r="AU5" s="1344" t="s">
        <v>790</v>
      </c>
      <c r="AV5" s="1344" t="s">
        <v>791</v>
      </c>
      <c r="AW5" s="1344" t="s">
        <v>792</v>
      </c>
      <c r="AX5" s="1344" t="s">
        <v>793</v>
      </c>
      <c r="AY5" s="1344" t="s">
        <v>794</v>
      </c>
      <c r="AZ5" s="1344" t="s">
        <v>795</v>
      </c>
      <c r="BA5" s="1344" t="s">
        <v>796</v>
      </c>
      <c r="BB5" s="1344" t="s">
        <v>797</v>
      </c>
      <c r="BC5" s="1344" t="s">
        <v>798</v>
      </c>
      <c r="BD5" s="1344" t="s">
        <v>799</v>
      </c>
      <c r="BE5" s="1344" t="s">
        <v>800</v>
      </c>
      <c r="BF5" s="1344" t="s">
        <v>801</v>
      </c>
      <c r="BG5" s="1344" t="s">
        <v>802</v>
      </c>
      <c r="BH5" s="1344" t="s">
        <v>803</v>
      </c>
      <c r="BI5" s="1344" t="s">
        <v>804</v>
      </c>
      <c r="BJ5" s="1344" t="s">
        <v>805</v>
      </c>
      <c r="BK5" s="1344" t="s">
        <v>806</v>
      </c>
      <c r="BL5" s="1344" t="s">
        <v>807</v>
      </c>
      <c r="BM5" s="1344" t="s">
        <v>1401</v>
      </c>
      <c r="BN5" s="1344" t="s">
        <v>1402</v>
      </c>
      <c r="BO5" s="1344" t="s">
        <v>1403</v>
      </c>
      <c r="BP5" s="1344" t="s">
        <v>1404</v>
      </c>
      <c r="BQ5" s="1344" t="s">
        <v>1405</v>
      </c>
      <c r="BR5" s="1344" t="s">
        <v>1406</v>
      </c>
      <c r="BS5" s="1344" t="s">
        <v>1407</v>
      </c>
      <c r="BT5" s="1344" t="s">
        <v>1408</v>
      </c>
      <c r="BU5" s="1344" t="s">
        <v>1409</v>
      </c>
      <c r="BV5" s="1344" t="s">
        <v>1410</v>
      </c>
      <c r="BW5" s="1344" t="s">
        <v>1411</v>
      </c>
      <c r="BX5" s="1344" t="s">
        <v>1412</v>
      </c>
      <c r="BY5" s="1344" t="s">
        <v>1413</v>
      </c>
    </row>
    <row r="6" spans="1:90" ht="13.5" customHeight="1">
      <c r="A6" s="1587" t="s">
        <v>147</v>
      </c>
      <c r="B6" s="615">
        <v>38898</v>
      </c>
      <c r="C6" s="615">
        <v>38990</v>
      </c>
      <c r="D6" s="615">
        <v>39082</v>
      </c>
      <c r="E6" s="615">
        <v>39172</v>
      </c>
      <c r="F6" s="615">
        <v>39263</v>
      </c>
      <c r="G6" s="615">
        <v>39355</v>
      </c>
      <c r="H6" s="615">
        <v>39447</v>
      </c>
      <c r="I6" s="615">
        <v>39538</v>
      </c>
      <c r="J6" s="615">
        <v>39629</v>
      </c>
      <c r="K6" s="615">
        <v>39721</v>
      </c>
      <c r="L6" s="615">
        <v>39813</v>
      </c>
      <c r="M6" s="615">
        <v>39903</v>
      </c>
      <c r="N6" s="615">
        <v>39994</v>
      </c>
      <c r="O6" s="615">
        <v>40086</v>
      </c>
      <c r="P6" s="615">
        <v>40178</v>
      </c>
      <c r="Q6" s="615">
        <v>40268</v>
      </c>
      <c r="R6" s="615">
        <v>40359</v>
      </c>
      <c r="S6" s="615">
        <v>40451</v>
      </c>
      <c r="T6" s="615">
        <v>40543</v>
      </c>
      <c r="U6" s="615">
        <v>40633</v>
      </c>
      <c r="V6" s="615">
        <v>40724</v>
      </c>
      <c r="W6" s="615">
        <v>40816</v>
      </c>
      <c r="X6" s="615">
        <v>40908</v>
      </c>
      <c r="Y6" s="615">
        <v>40999</v>
      </c>
      <c r="Z6" s="615">
        <v>41090</v>
      </c>
      <c r="AA6" s="615">
        <v>41182</v>
      </c>
      <c r="AB6" s="615">
        <v>41274</v>
      </c>
      <c r="AC6" s="615">
        <v>41364</v>
      </c>
      <c r="AD6" s="615">
        <v>41455</v>
      </c>
      <c r="AE6" s="615">
        <v>41547</v>
      </c>
      <c r="AF6" s="615">
        <v>41639</v>
      </c>
      <c r="AG6" s="615">
        <v>41729</v>
      </c>
      <c r="AH6" s="615">
        <v>41820</v>
      </c>
      <c r="AI6" s="615">
        <v>41912</v>
      </c>
      <c r="AJ6" s="615">
        <v>42004</v>
      </c>
      <c r="AK6" s="1020">
        <v>42094</v>
      </c>
      <c r="AL6" s="1020">
        <v>42185</v>
      </c>
      <c r="AM6" s="1020">
        <v>42277</v>
      </c>
      <c r="AN6" s="1020">
        <v>42369</v>
      </c>
      <c r="AO6" s="1020">
        <v>42460</v>
      </c>
      <c r="AP6" s="1020">
        <v>42551</v>
      </c>
      <c r="AQ6" s="1020">
        <v>42643</v>
      </c>
      <c r="AR6" s="1020">
        <v>42735</v>
      </c>
      <c r="AS6" s="1020">
        <v>42825</v>
      </c>
      <c r="AT6" s="1020">
        <v>42916</v>
      </c>
      <c r="AU6" s="617">
        <v>43008</v>
      </c>
      <c r="AV6" s="617">
        <v>43100</v>
      </c>
      <c r="AW6" s="617">
        <v>43190</v>
      </c>
      <c r="AX6" s="617">
        <v>43281</v>
      </c>
      <c r="AY6" s="617">
        <v>43373</v>
      </c>
      <c r="AZ6" s="617">
        <v>43465</v>
      </c>
      <c r="BA6" s="617">
        <v>43555</v>
      </c>
      <c r="BB6" s="617">
        <v>43646</v>
      </c>
      <c r="BC6" s="617">
        <v>43738</v>
      </c>
      <c r="BD6" s="617">
        <v>43830</v>
      </c>
      <c r="BE6" s="617">
        <v>43921</v>
      </c>
      <c r="BF6" s="617">
        <v>44012</v>
      </c>
      <c r="BG6" s="617">
        <v>44104</v>
      </c>
      <c r="BH6" s="617">
        <v>44196</v>
      </c>
      <c r="BI6" s="617">
        <v>44286</v>
      </c>
      <c r="BJ6" s="617">
        <v>44377</v>
      </c>
      <c r="BK6" s="617">
        <v>44469</v>
      </c>
      <c r="BL6" s="617">
        <v>44561</v>
      </c>
      <c r="BM6" s="617">
        <v>44651</v>
      </c>
      <c r="BN6" s="617">
        <v>44742</v>
      </c>
      <c r="BO6" s="617">
        <v>44834</v>
      </c>
      <c r="BP6" s="617">
        <v>44926</v>
      </c>
      <c r="BQ6" s="617">
        <v>45016</v>
      </c>
      <c r="BR6" s="617">
        <v>45107</v>
      </c>
      <c r="BS6" s="617">
        <v>45199</v>
      </c>
      <c r="BT6" s="617">
        <v>45291</v>
      </c>
      <c r="BU6" s="617">
        <v>45382</v>
      </c>
      <c r="BV6" s="617">
        <v>45473</v>
      </c>
      <c r="BW6" s="617">
        <v>45565</v>
      </c>
      <c r="BX6" s="617">
        <v>45657</v>
      </c>
      <c r="BY6" s="617">
        <v>45747</v>
      </c>
      <c r="CB6" s="260"/>
      <c r="CC6" s="260"/>
      <c r="CD6" s="260"/>
      <c r="CE6" s="260"/>
      <c r="CF6" s="260"/>
      <c r="CG6" s="260"/>
      <c r="CH6" s="260"/>
      <c r="CI6" s="260"/>
      <c r="CJ6" s="260"/>
      <c r="CK6" s="260"/>
      <c r="CL6" s="260"/>
    </row>
    <row r="7" spans="1:90" s="106" customFormat="1" ht="13.5" customHeight="1">
      <c r="A7" s="626" t="s">
        <v>148</v>
      </c>
      <c r="B7" s="610">
        <f>'Quarterly historicals'!B148</f>
        <v>218.71</v>
      </c>
      <c r="C7" s="610">
        <f>'Quarterly historicals'!C148</f>
        <v>280.84399999999999</v>
      </c>
      <c r="D7" s="610">
        <f>'Quarterly historicals'!D148</f>
        <v>205.83799999999999</v>
      </c>
      <c r="E7" s="610">
        <f>'Quarterly historicals'!E148</f>
        <v>201.43299999999999</v>
      </c>
      <c r="F7" s="610">
        <f>'Quarterly historicals'!F148</f>
        <v>189.80500000000001</v>
      </c>
      <c r="G7" s="610">
        <f>'Quarterly historicals'!G148</f>
        <v>195.21899999999999</v>
      </c>
      <c r="H7" s="610">
        <f>'Quarterly historicals'!H148</f>
        <v>145.16399999999999</v>
      </c>
      <c r="I7" s="610">
        <f>'Quarterly historicals'!I148</f>
        <v>257.23599999999999</v>
      </c>
      <c r="J7" s="610">
        <f>'Quarterly historicals'!J148</f>
        <v>103.41</v>
      </c>
      <c r="K7" s="610">
        <f>'Quarterly historicals'!K148</f>
        <v>217.268</v>
      </c>
      <c r="L7" s="610">
        <f>'Quarterly historicals'!L148</f>
        <v>246.76599999999999</v>
      </c>
      <c r="M7" s="610">
        <f>'Quarterly historicals'!M148</f>
        <v>300.185</v>
      </c>
      <c r="N7" s="610">
        <f>'Quarterly historicals'!N148</f>
        <v>241.26499999999999</v>
      </c>
      <c r="O7" s="610">
        <f>'Quarterly historicals'!O148</f>
        <v>308.15199999999999</v>
      </c>
      <c r="P7" s="610">
        <f>'Quarterly historicals'!P148</f>
        <v>353.399</v>
      </c>
      <c r="Q7" s="610">
        <f>'Quarterly historicals'!Q148</f>
        <v>379.33300000000003</v>
      </c>
      <c r="R7" s="610">
        <f>'Quarterly historicals'!R148</f>
        <v>304.16399999999999</v>
      </c>
      <c r="S7" s="610">
        <f>'Quarterly historicals'!S148</f>
        <v>357.35399999999998</v>
      </c>
      <c r="T7" s="610">
        <f>'Quarterly historicals'!T148</f>
        <v>417.64499999999998</v>
      </c>
      <c r="U7" s="610">
        <f>'Quarterly historicals'!U148</f>
        <v>305.2</v>
      </c>
      <c r="V7" s="610">
        <f>'Quarterly historicals'!V148</f>
        <v>348.47</v>
      </c>
      <c r="W7" s="610">
        <f>'Quarterly historicals'!W148</f>
        <v>416.73899999999998</v>
      </c>
      <c r="X7" s="610">
        <f>'Quarterly historicals'!X148</f>
        <v>402.35599999999999</v>
      </c>
      <c r="Y7" s="610">
        <f>'Quarterly historicals'!Y148</f>
        <v>279.70100000000002</v>
      </c>
      <c r="Z7" s="610">
        <f>'Quarterly historicals'!Z148</f>
        <v>307.87200000000001</v>
      </c>
      <c r="AA7" s="610">
        <f>'Quarterly historicals'!AA148</f>
        <v>564.05399999999997</v>
      </c>
      <c r="AB7" s="610">
        <f>'Quarterly historicals'!AB148</f>
        <v>416.351</v>
      </c>
      <c r="AC7" s="610">
        <f>'Quarterly historicals'!AC148</f>
        <v>420.28899999999999</v>
      </c>
      <c r="AD7" s="610">
        <f>'Quarterly historicals'!AD148</f>
        <v>512.27700000000004</v>
      </c>
      <c r="AE7" s="610">
        <f>'Quarterly historicals'!AE148</f>
        <v>631.75900000000001</v>
      </c>
      <c r="AF7" s="610">
        <f>'Quarterly historicals'!AF148</f>
        <v>444.44499999999999</v>
      </c>
      <c r="AG7" s="610">
        <f>'Quarterly historicals'!AG148</f>
        <v>459.19400000000002</v>
      </c>
      <c r="AH7" s="610">
        <f>'Quarterly historicals'!AH148</f>
        <v>522.49300000000005</v>
      </c>
      <c r="AI7" s="610">
        <f>'Quarterly historicals'!AI148</f>
        <v>529.85599999999999</v>
      </c>
      <c r="AJ7" s="610">
        <f>'Quarterly historicals'!AJ148</f>
        <v>608.12099999999998</v>
      </c>
      <c r="AK7" s="610">
        <f>'Quarterly historicals'!AK148</f>
        <v>738.27</v>
      </c>
      <c r="AL7" s="610">
        <f>'Quarterly historicals'!AL148</f>
        <v>472.04399999999998</v>
      </c>
      <c r="AM7" s="610">
        <f>'Quarterly historicals'!AM148</f>
        <v>680.53399999999999</v>
      </c>
      <c r="AN7" s="610">
        <f>'Quarterly historicals'!AN148</f>
        <v>840.99599999999998</v>
      </c>
      <c r="AO7" s="610">
        <f>'Quarterly historicals'!AO148</f>
        <v>844.08900000000006</v>
      </c>
      <c r="AP7" s="610">
        <f>'Quarterly historicals'!AP148</f>
        <v>667.88900000000001</v>
      </c>
      <c r="AQ7" s="610">
        <f>'Quarterly historicals'!AQ148</f>
        <v>754.53800000000001</v>
      </c>
      <c r="AR7" s="610">
        <f>'Quarterly historicals'!AR148</f>
        <v>766.66300000000001</v>
      </c>
      <c r="AS7" s="610">
        <f>'Quarterly historicals'!AS148</f>
        <v>941.06700000000001</v>
      </c>
      <c r="AT7" s="628">
        <f>'Quarterly historicals'!AT148</f>
        <v>932.529</v>
      </c>
      <c r="AU7" s="611">
        <f t="shared" ref="AU7:BI7" si="0">AU10-AU9</f>
        <v>1052.3148068497242</v>
      </c>
      <c r="AV7" s="611">
        <f t="shared" si="0"/>
        <v>1018.9274659041116</v>
      </c>
      <c r="AW7" s="611">
        <f t="shared" si="0"/>
        <v>1193.9863399786234</v>
      </c>
      <c r="AX7" s="611">
        <f t="shared" si="0"/>
        <v>1359.9685605367397</v>
      </c>
      <c r="AY7" s="611">
        <f t="shared" si="0"/>
        <v>1087.0464011167194</v>
      </c>
      <c r="AZ7" s="611">
        <f t="shared" si="0"/>
        <v>1048.3957941959343</v>
      </c>
      <c r="BA7" s="611">
        <f t="shared" si="0"/>
        <v>846.22409521518102</v>
      </c>
      <c r="BB7" s="611">
        <f t="shared" si="0"/>
        <v>1458.5903524069097</v>
      </c>
      <c r="BC7" s="611">
        <f t="shared" si="0"/>
        <v>1177.2395909614656</v>
      </c>
      <c r="BD7" s="611">
        <f t="shared" si="0"/>
        <v>1133.8329270312261</v>
      </c>
      <c r="BE7" s="611">
        <f t="shared" si="0"/>
        <v>919.44218377207687</v>
      </c>
      <c r="BF7" s="611">
        <f t="shared" si="0"/>
        <v>1723.5572172971797</v>
      </c>
      <c r="BG7" s="611">
        <f t="shared" si="0"/>
        <v>1344.0083049784514</v>
      </c>
      <c r="BH7" s="611">
        <f t="shared" si="0"/>
        <v>1298.3202122173636</v>
      </c>
      <c r="BI7" s="611">
        <f t="shared" si="0"/>
        <v>1030.6969476113572</v>
      </c>
      <c r="BJ7" s="611">
        <f t="shared" ref="BJ7:BY7" si="1">BJ10-BJ9</f>
        <v>1857.3256454130856</v>
      </c>
      <c r="BK7" s="611">
        <f t="shared" si="1"/>
        <v>1436.5546583712915</v>
      </c>
      <c r="BL7" s="611">
        <f t="shared" si="1"/>
        <v>1387.3091710585145</v>
      </c>
      <c r="BM7" s="611">
        <f t="shared" si="1"/>
        <v>1094.3460796446354</v>
      </c>
      <c r="BN7" s="611">
        <f t="shared" si="1"/>
        <v>1701.3132964661352</v>
      </c>
      <c r="BO7" s="611">
        <f t="shared" si="1"/>
        <v>1385.4478816949254</v>
      </c>
      <c r="BP7" s="611">
        <f t="shared" si="1"/>
        <v>1329.6589890788971</v>
      </c>
      <c r="BQ7" s="611">
        <f t="shared" si="1"/>
        <v>1080.1166031918979</v>
      </c>
      <c r="BR7" s="611">
        <f t="shared" si="1"/>
        <v>1605.086384437961</v>
      </c>
      <c r="BS7" s="611">
        <f t="shared" si="1"/>
        <v>1364.2438552942001</v>
      </c>
      <c r="BT7" s="611">
        <f t="shared" si="1"/>
        <v>1303.096974248532</v>
      </c>
      <c r="BU7" s="611">
        <f t="shared" si="1"/>
        <v>1083.3661726669529</v>
      </c>
      <c r="BV7" s="611">
        <f t="shared" si="1"/>
        <v>1819.4406833535509</v>
      </c>
      <c r="BW7" s="611">
        <f t="shared" si="1"/>
        <v>1518.1420255600578</v>
      </c>
      <c r="BX7" s="611">
        <f t="shared" si="1"/>
        <v>1455.5100074820868</v>
      </c>
      <c r="BY7" s="611">
        <f t="shared" si="1"/>
        <v>1200.3791924526195</v>
      </c>
    </row>
    <row r="8" spans="1:90" s="939" customFormat="1" ht="13.5" customHeight="1">
      <c r="A8" s="1937" t="s">
        <v>1455</v>
      </c>
      <c r="B8" s="1982"/>
      <c r="C8" s="1983"/>
      <c r="D8" s="1983"/>
      <c r="E8" s="1983"/>
      <c r="F8" s="1983">
        <f t="shared" ref="F8:AN8" si="2">+F7/B7-1</f>
        <v>-0.13216130949659366</v>
      </c>
      <c r="G8" s="1983">
        <f t="shared" si="2"/>
        <v>-0.3048845622480808</v>
      </c>
      <c r="H8" s="1983">
        <f t="shared" si="2"/>
        <v>-0.29476578668661768</v>
      </c>
      <c r="I8" s="1983">
        <f t="shared" si="2"/>
        <v>0.27703007948052205</v>
      </c>
      <c r="J8" s="1983">
        <f t="shared" si="2"/>
        <v>-0.45517768235820977</v>
      </c>
      <c r="K8" s="1983">
        <f t="shared" si="2"/>
        <v>0.11294494900598817</v>
      </c>
      <c r="L8" s="1983">
        <f t="shared" si="2"/>
        <v>0.69991182386817674</v>
      </c>
      <c r="M8" s="1983">
        <f t="shared" si="2"/>
        <v>0.16696341103111556</v>
      </c>
      <c r="N8" s="1983">
        <f t="shared" si="2"/>
        <v>1.3330915772169036</v>
      </c>
      <c r="O8" s="1983">
        <f t="shared" si="2"/>
        <v>0.41830366183699397</v>
      </c>
      <c r="P8" s="1983">
        <f t="shared" si="2"/>
        <v>0.432121929277129</v>
      </c>
      <c r="Q8" s="1983">
        <f t="shared" si="2"/>
        <v>0.26366407382114376</v>
      </c>
      <c r="R8" s="1983">
        <f t="shared" si="2"/>
        <v>0.26070503388390365</v>
      </c>
      <c r="S8" s="1983">
        <f t="shared" si="2"/>
        <v>0.15966795607362605</v>
      </c>
      <c r="T8" s="1983">
        <f t="shared" si="2"/>
        <v>0.18179451554758219</v>
      </c>
      <c r="U8" s="1983">
        <f t="shared" si="2"/>
        <v>-0.19542987296122416</v>
      </c>
      <c r="V8" s="1983">
        <f t="shared" si="2"/>
        <v>0.14566483870543534</v>
      </c>
      <c r="W8" s="1983">
        <f t="shared" si="2"/>
        <v>0.16617975452912237</v>
      </c>
      <c r="X8" s="1983">
        <f t="shared" si="2"/>
        <v>-3.6607645248955434E-2</v>
      </c>
      <c r="Y8" s="1983">
        <f t="shared" si="2"/>
        <v>-8.3548492791611917E-2</v>
      </c>
      <c r="Z8" s="1983">
        <f t="shared" si="2"/>
        <v>-0.11650357276092638</v>
      </c>
      <c r="AA8" s="1983">
        <f t="shared" si="2"/>
        <v>0.35349463333165354</v>
      </c>
      <c r="AB8" s="1983">
        <f t="shared" si="2"/>
        <v>3.478263030748896E-2</v>
      </c>
      <c r="AC8" s="1983">
        <f t="shared" si="2"/>
        <v>0.50263674423759652</v>
      </c>
      <c r="AD8" s="1983">
        <f t="shared" si="2"/>
        <v>0.663928515746804</v>
      </c>
      <c r="AE8" s="1983">
        <f t="shared" si="2"/>
        <v>0.12003283373577722</v>
      </c>
      <c r="AF8" s="1983">
        <f t="shared" si="2"/>
        <v>6.7476720363347287E-2</v>
      </c>
      <c r="AG8" s="1983">
        <f t="shared" si="2"/>
        <v>9.2567257292006211E-2</v>
      </c>
      <c r="AH8" s="1983">
        <f t="shared" si="2"/>
        <v>1.9942335884687301E-2</v>
      </c>
      <c r="AI8" s="1983">
        <f t="shared" si="2"/>
        <v>-0.16130043260167248</v>
      </c>
      <c r="AJ8" s="1983">
        <f t="shared" si="2"/>
        <v>0.36827053966182532</v>
      </c>
      <c r="AK8" s="1983">
        <f t="shared" si="2"/>
        <v>0.60775184344743161</v>
      </c>
      <c r="AL8" s="1983">
        <f t="shared" si="2"/>
        <v>-9.6554403599665606E-2</v>
      </c>
      <c r="AM8" s="1983">
        <f t="shared" si="2"/>
        <v>0.28437537746104602</v>
      </c>
      <c r="AN8" s="1983">
        <f t="shared" si="2"/>
        <v>0.38294188163210952</v>
      </c>
      <c r="AO8" s="1983">
        <f t="shared" ref="AO8:AT8" si="3">+AO7/AK7-1</f>
        <v>0.14333373968873198</v>
      </c>
      <c r="AP8" s="1983">
        <f>+AP7/AL7-1</f>
        <v>0.41488717153485699</v>
      </c>
      <c r="AQ8" s="1983">
        <f>+AQ7/AM7-1</f>
        <v>0.10874401572882464</v>
      </c>
      <c r="AR8" s="1983">
        <f>+AR7/AN7-1</f>
        <v>-8.8386865098050382E-2</v>
      </c>
      <c r="AS8" s="1983">
        <f>+AS7/AO7-1</f>
        <v>0.11489072834736613</v>
      </c>
      <c r="AT8" s="1984">
        <f t="shared" si="3"/>
        <v>0.3962335058669928</v>
      </c>
      <c r="AU8" s="1985">
        <f t="shared" ref="AU8:BY8" si="4">+AU7/AQ7-1</f>
        <v>0.39464785981583983</v>
      </c>
      <c r="AV8" s="1985">
        <f t="shared" si="4"/>
        <v>0.32904218138101293</v>
      </c>
      <c r="AW8" s="1985">
        <f t="shared" si="4"/>
        <v>0.26875805864898394</v>
      </c>
      <c r="AX8" s="1985">
        <f t="shared" si="4"/>
        <v>0.45836597096362652</v>
      </c>
      <c r="AY8" s="1985">
        <f t="shared" si="4"/>
        <v>3.300494684757882E-2</v>
      </c>
      <c r="AZ8" s="1985">
        <f t="shared" si="4"/>
        <v>2.8920928405512081E-2</v>
      </c>
      <c r="BA8" s="1985">
        <f t="shared" si="4"/>
        <v>-0.29126149363624088</v>
      </c>
      <c r="BB8" s="1985">
        <f t="shared" si="4"/>
        <v>7.2517699843918981E-2</v>
      </c>
      <c r="BC8" s="1985">
        <f t="shared" si="4"/>
        <v>8.2970873876304641E-2</v>
      </c>
      <c r="BD8" s="1985">
        <f t="shared" si="4"/>
        <v>8.1493204482776083E-2</v>
      </c>
      <c r="BE8" s="1985">
        <f t="shared" si="4"/>
        <v>8.6523284991403715E-2</v>
      </c>
      <c r="BF8" s="1985">
        <f t="shared" si="4"/>
        <v>0.18165954851753408</v>
      </c>
      <c r="BG8" s="1985">
        <f t="shared" si="4"/>
        <v>0.14166080999771991</v>
      </c>
      <c r="BH8" s="1985">
        <f t="shared" si="4"/>
        <v>0.14507188957443962</v>
      </c>
      <c r="BI8" s="1985">
        <f t="shared" si="4"/>
        <v>0.12100245758014916</v>
      </c>
      <c r="BJ8" s="1985">
        <f t="shared" si="4"/>
        <v>7.7611829055304948E-2</v>
      </c>
      <c r="BK8" s="1985">
        <f t="shared" si="4"/>
        <v>6.8858468396386874E-2</v>
      </c>
      <c r="BL8" s="1985">
        <f t="shared" si="4"/>
        <v>6.8541610924449214E-2</v>
      </c>
      <c r="BM8" s="1985">
        <f t="shared" si="4"/>
        <v>6.1753488434001191E-2</v>
      </c>
      <c r="BN8" s="1985">
        <f t="shared" si="4"/>
        <v>-8.3998381938161337E-2</v>
      </c>
      <c r="BO8" s="1985">
        <f t="shared" si="4"/>
        <v>-3.5575936062404279E-2</v>
      </c>
      <c r="BP8" s="1985">
        <f t="shared" si="4"/>
        <v>-4.1555396001332845E-2</v>
      </c>
      <c r="BQ8" s="1985">
        <f t="shared" si="4"/>
        <v>-1.3002720727393946E-2</v>
      </c>
      <c r="BR8" s="1985">
        <f t="shared" si="4"/>
        <v>-5.6560371466002679E-2</v>
      </c>
      <c r="BS8" s="1985">
        <f t="shared" si="4"/>
        <v>-1.5304817078203414E-2</v>
      </c>
      <c r="BT8" s="1985">
        <f t="shared" si="4"/>
        <v>-1.9976561696292916E-2</v>
      </c>
      <c r="BU8" s="1985">
        <f t="shared" si="4"/>
        <v>3.008535805719692E-3</v>
      </c>
      <c r="BV8" s="1985">
        <f t="shared" si="4"/>
        <v>0.13354689254974184</v>
      </c>
      <c r="BW8" s="1985">
        <f t="shared" si="4"/>
        <v>0.11280840274165604</v>
      </c>
      <c r="BX8" s="1985">
        <f t="shared" si="4"/>
        <v>0.11696215726496351</v>
      </c>
      <c r="BY8" s="1985">
        <f t="shared" si="4"/>
        <v>0.10800874416967643</v>
      </c>
    </row>
    <row r="9" spans="1:90" s="106" customFormat="1" ht="13.5" customHeight="1">
      <c r="A9" s="1867" t="s">
        <v>149</v>
      </c>
      <c r="B9" s="202">
        <f>'Quarterly historicals'!B150</f>
        <v>-23.08</v>
      </c>
      <c r="C9" s="202">
        <f>'Quarterly historicals'!C150</f>
        <v>-21.303000000000001</v>
      </c>
      <c r="D9" s="202">
        <f>'Quarterly historicals'!D150</f>
        <v>-18.236999999999998</v>
      </c>
      <c r="E9" s="202">
        <f>'Quarterly historicals'!E150</f>
        <v>-17.667999999999999</v>
      </c>
      <c r="F9" s="202">
        <f>'Quarterly historicals'!F150</f>
        <v>-15.242000000000001</v>
      </c>
      <c r="G9" s="202">
        <f>'Quarterly historicals'!G150</f>
        <v>-16.148</v>
      </c>
      <c r="H9" s="202">
        <f>'Quarterly historicals'!H150</f>
        <v>-17.878</v>
      </c>
      <c r="I9" s="202">
        <f>'Quarterly historicals'!I150</f>
        <v>-25.736000000000001</v>
      </c>
      <c r="J9" s="202">
        <f>'Quarterly historicals'!J150</f>
        <v>-11.353999999999999</v>
      </c>
      <c r="K9" s="202">
        <f>'Quarterly historicals'!K150</f>
        <v>-22.954999999999998</v>
      </c>
      <c r="L9" s="202">
        <f>'Quarterly historicals'!L150</f>
        <v>-25.95</v>
      </c>
      <c r="M9" s="202">
        <f>'Quarterly historicals'!M150</f>
        <v>-32.927</v>
      </c>
      <c r="N9" s="202">
        <f>'Quarterly historicals'!N150</f>
        <v>-23.81</v>
      </c>
      <c r="O9" s="202">
        <f>'Quarterly historicals'!O150</f>
        <v>-21.855</v>
      </c>
      <c r="P9" s="202">
        <f>'Quarterly historicals'!P150</f>
        <v>-29.242000000000001</v>
      </c>
      <c r="Q9" s="202">
        <f>'Quarterly historicals'!Q150</f>
        <v>-23.956</v>
      </c>
      <c r="R9" s="202">
        <f>'Quarterly historicals'!R150</f>
        <v>-18.713000000000001</v>
      </c>
      <c r="S9" s="202">
        <f>'Quarterly historicals'!S150</f>
        <v>-18.602</v>
      </c>
      <c r="T9" s="202">
        <f>'Quarterly historicals'!T150</f>
        <v>-27.36</v>
      </c>
      <c r="U9" s="202">
        <f>'Quarterly historicals'!U150</f>
        <v>-24.66</v>
      </c>
      <c r="V9" s="202">
        <f>'Quarterly historicals'!V150</f>
        <v>-19.521999999999998</v>
      </c>
      <c r="W9" s="202">
        <f>'Quarterly historicals'!W150</f>
        <v>-18.617000000000001</v>
      </c>
      <c r="X9" s="202">
        <f>'Quarterly historicals'!X150</f>
        <v>-21.908000000000001</v>
      </c>
      <c r="Y9" s="202">
        <f>'Quarterly historicals'!Y150</f>
        <v>-20.228999999999999</v>
      </c>
      <c r="Z9" s="202">
        <f>'Quarterly historicals'!Z150</f>
        <v>-17.559000000000001</v>
      </c>
      <c r="AA9" s="202">
        <f>'Quarterly historicals'!AA150</f>
        <v>-17.140999999999998</v>
      </c>
      <c r="AB9" s="202">
        <f>'Quarterly historicals'!AB150</f>
        <v>-21.434999999999999</v>
      </c>
      <c r="AC9" s="202">
        <f>'Quarterly historicals'!AC150</f>
        <v>-16.475999999999999</v>
      </c>
      <c r="AD9" s="202">
        <f>'Quarterly historicals'!AD150</f>
        <v>-18.015999999999998</v>
      </c>
      <c r="AE9" s="202">
        <f>'Quarterly historicals'!AE150</f>
        <v>-17.265000000000001</v>
      </c>
      <c r="AF9" s="202">
        <f>'Quarterly historicals'!AF150</f>
        <v>-19.632999999999999</v>
      </c>
      <c r="AG9" s="202">
        <f>'Quarterly historicals'!AG150</f>
        <v>-21.071000000000002</v>
      </c>
      <c r="AH9" s="202">
        <f>'Quarterly historicals'!AH150</f>
        <v>-17.859000000000002</v>
      </c>
      <c r="AI9" s="202">
        <f>'Quarterly historicals'!AI150</f>
        <v>-22.349</v>
      </c>
      <c r="AJ9" s="202">
        <f>'Quarterly historicals'!AJ150</f>
        <v>-23.134</v>
      </c>
      <c r="AK9" s="202">
        <f>'Quarterly historicals'!AK150</f>
        <v>-41.415999999999997</v>
      </c>
      <c r="AL9" s="202">
        <f>'Quarterly historicals'!AL150</f>
        <v>-20.923999999999999</v>
      </c>
      <c r="AM9" s="202">
        <f>'Quarterly historicals'!AM150</f>
        <v>-19.777999999999999</v>
      </c>
      <c r="AN9" s="202">
        <f>'Quarterly historicals'!AN150</f>
        <v>-38.939</v>
      </c>
      <c r="AO9" s="202">
        <f>'Quarterly historicals'!AO150</f>
        <v>-30.603999999999999</v>
      </c>
      <c r="AP9" s="202">
        <f>'Quarterly historicals'!AP150</f>
        <v>-26.451000000000001</v>
      </c>
      <c r="AQ9" s="202">
        <f>'Quarterly historicals'!AQ150</f>
        <v>-30.091000000000001</v>
      </c>
      <c r="AR9" s="202">
        <f>'Quarterly historicals'!AR150</f>
        <v>-29.739000000000001</v>
      </c>
      <c r="AS9" s="202">
        <f>'Quarterly historicals'!AS150</f>
        <v>-40.994999999999997</v>
      </c>
      <c r="AT9" s="355">
        <f>'Quarterly historicals'!AT150</f>
        <v>-120.182</v>
      </c>
      <c r="AU9" s="614">
        <f t="shared" ref="AU9:BI9" si="5">AT9/AT10*AU10</f>
        <v>-135.61969452619013</v>
      </c>
      <c r="AV9" s="614">
        <f t="shared" si="5"/>
        <v>-131.31681771536108</v>
      </c>
      <c r="AW9" s="614">
        <f t="shared" si="5"/>
        <v>-153.87796659547416</v>
      </c>
      <c r="AX9" s="614">
        <f t="shared" si="5"/>
        <v>-175.26933912235057</v>
      </c>
      <c r="AY9" s="614">
        <f t="shared" si="5"/>
        <v>-140.0958153355119</v>
      </c>
      <c r="AZ9" s="614">
        <f t="shared" si="5"/>
        <v>-135.11462199894675</v>
      </c>
      <c r="BA9" s="614">
        <f t="shared" si="5"/>
        <v>-109.05924020716878</v>
      </c>
      <c r="BB9" s="614">
        <f t="shared" si="5"/>
        <v>-187.97946844866729</v>
      </c>
      <c r="BC9" s="614">
        <f t="shared" si="5"/>
        <v>-151.71968756031276</v>
      </c>
      <c r="BD9" s="614">
        <f t="shared" si="5"/>
        <v>-146.12554551811991</v>
      </c>
      <c r="BE9" s="614">
        <f t="shared" si="5"/>
        <v>-118.49540392855961</v>
      </c>
      <c r="BF9" s="614">
        <f t="shared" si="5"/>
        <v>-222.12773381761821</v>
      </c>
      <c r="BG9" s="614">
        <f t="shared" si="5"/>
        <v>-173.21242139270765</v>
      </c>
      <c r="BH9" s="614">
        <f t="shared" si="5"/>
        <v>-167.32425452152933</v>
      </c>
      <c r="BI9" s="614">
        <f t="shared" si="5"/>
        <v>-132.83363901586779</v>
      </c>
      <c r="BJ9" s="614">
        <f t="shared" ref="BJ9" si="6">BI9/BI10*BJ10</f>
        <v>-239.36747352311352</v>
      </c>
      <c r="BK9" s="614">
        <f t="shared" ref="BK9" si="7">BJ9/BJ10*BK10</f>
        <v>-185.13956343703907</v>
      </c>
      <c r="BL9" s="614">
        <f t="shared" ref="BL9" si="8">BK9/BK10*BL10</f>
        <v>-178.79292847316754</v>
      </c>
      <c r="BM9" s="614">
        <f t="shared" ref="BM9" si="9">BL9/BL10*BM10</f>
        <v>-141.03657960648044</v>
      </c>
      <c r="BN9" s="614">
        <f t="shared" ref="BN9" si="10">BM9/BM10*BN10</f>
        <v>-219.26099305854629</v>
      </c>
      <c r="BO9" s="614">
        <f t="shared" ref="BO9" si="11">BN9/BN10*BO10</f>
        <v>-178.55305016558154</v>
      </c>
      <c r="BP9" s="614">
        <f t="shared" ref="BP9" si="12">BO9/BO10*BP10</f>
        <v>-171.36311752822704</v>
      </c>
      <c r="BQ9" s="614">
        <f t="shared" ref="BQ9" si="13">BP9/BP10*BQ10</f>
        <v>-139.20272034951051</v>
      </c>
      <c r="BR9" s="614">
        <f t="shared" ref="BR9" si="14">BQ9/BQ10*BR10</f>
        <v>-206.85950984315025</v>
      </c>
      <c r="BS9" s="614">
        <f t="shared" ref="BS9" si="15">BR9/BR10*BS10</f>
        <v>-175.82032839404201</v>
      </c>
      <c r="BT9" s="614">
        <f t="shared" ref="BT9" si="16">BS9/BS10*BT10</f>
        <v>-167.93987163845534</v>
      </c>
      <c r="BU9" s="614">
        <f t="shared" ref="BU9" si="17">BT9/BT10*BU10</f>
        <v>-139.62151671793561</v>
      </c>
      <c r="BV9" s="614">
        <f t="shared" ref="BV9" si="18">BU9/BU10*BV10</f>
        <v>-234.48495457706565</v>
      </c>
      <c r="BW9" s="614">
        <f t="shared" ref="BW9" si="19">BV9/BV10*BW10</f>
        <v>-195.65433880968732</v>
      </c>
      <c r="BX9" s="614">
        <f t="shared" ref="BX9" si="20">BW9/BW10*BX10</f>
        <v>-187.58248131609011</v>
      </c>
      <c r="BY9" s="614">
        <f t="shared" ref="BY9" si="21">BX9/BX10*BY10</f>
        <v>-154.7018613977053</v>
      </c>
    </row>
    <row r="10" spans="1:90" s="106" customFormat="1" ht="13.5" customHeight="1">
      <c r="A10" s="626" t="s">
        <v>394</v>
      </c>
      <c r="B10" s="610">
        <f t="shared" ref="B10:AO10" si="22">B7+B9</f>
        <v>195.63</v>
      </c>
      <c r="C10" s="610">
        <f t="shared" si="22"/>
        <v>259.541</v>
      </c>
      <c r="D10" s="610">
        <f t="shared" si="22"/>
        <v>187.601</v>
      </c>
      <c r="E10" s="610">
        <f t="shared" si="22"/>
        <v>183.76499999999999</v>
      </c>
      <c r="F10" s="610">
        <f t="shared" si="22"/>
        <v>174.56300000000002</v>
      </c>
      <c r="G10" s="610">
        <f t="shared" si="22"/>
        <v>179.071</v>
      </c>
      <c r="H10" s="610">
        <f t="shared" si="22"/>
        <v>127.28599999999999</v>
      </c>
      <c r="I10" s="610">
        <f t="shared" si="22"/>
        <v>231.5</v>
      </c>
      <c r="J10" s="610">
        <f t="shared" si="22"/>
        <v>92.055999999999997</v>
      </c>
      <c r="K10" s="610">
        <f t="shared" si="22"/>
        <v>194.31299999999999</v>
      </c>
      <c r="L10" s="610">
        <f t="shared" si="22"/>
        <v>220.816</v>
      </c>
      <c r="M10" s="610">
        <f t="shared" si="22"/>
        <v>267.25799999999998</v>
      </c>
      <c r="N10" s="610">
        <f t="shared" si="22"/>
        <v>217.45499999999998</v>
      </c>
      <c r="O10" s="610">
        <f t="shared" si="22"/>
        <v>286.29699999999997</v>
      </c>
      <c r="P10" s="610">
        <f t="shared" si="22"/>
        <v>324.15699999999998</v>
      </c>
      <c r="Q10" s="610">
        <f t="shared" si="22"/>
        <v>355.37700000000001</v>
      </c>
      <c r="R10" s="610">
        <f t="shared" si="22"/>
        <v>285.45099999999996</v>
      </c>
      <c r="S10" s="610">
        <f t="shared" si="22"/>
        <v>338.75200000000001</v>
      </c>
      <c r="T10" s="610">
        <f t="shared" si="22"/>
        <v>390.28499999999997</v>
      </c>
      <c r="U10" s="610">
        <f t="shared" si="22"/>
        <v>280.53999999999996</v>
      </c>
      <c r="V10" s="610">
        <f t="shared" si="22"/>
        <v>328.94800000000004</v>
      </c>
      <c r="W10" s="610">
        <f t="shared" si="22"/>
        <v>398.12199999999996</v>
      </c>
      <c r="X10" s="610">
        <f t="shared" si="22"/>
        <v>380.44799999999998</v>
      </c>
      <c r="Y10" s="610">
        <f t="shared" si="22"/>
        <v>259.47200000000004</v>
      </c>
      <c r="Z10" s="610">
        <f t="shared" si="22"/>
        <v>290.31299999999999</v>
      </c>
      <c r="AA10" s="610">
        <f t="shared" si="22"/>
        <v>546.91300000000001</v>
      </c>
      <c r="AB10" s="610">
        <f t="shared" si="22"/>
        <v>394.916</v>
      </c>
      <c r="AC10" s="610">
        <f t="shared" si="22"/>
        <v>403.81299999999999</v>
      </c>
      <c r="AD10" s="610">
        <f t="shared" si="22"/>
        <v>494.26100000000002</v>
      </c>
      <c r="AE10" s="610">
        <f t="shared" si="22"/>
        <v>614.49400000000003</v>
      </c>
      <c r="AF10" s="610">
        <f t="shared" si="22"/>
        <v>424.81200000000001</v>
      </c>
      <c r="AG10" s="610">
        <f t="shared" si="22"/>
        <v>438.12299999999999</v>
      </c>
      <c r="AH10" s="610">
        <f t="shared" si="22"/>
        <v>504.63400000000007</v>
      </c>
      <c r="AI10" s="610">
        <f t="shared" si="22"/>
        <v>507.50700000000001</v>
      </c>
      <c r="AJ10" s="610">
        <f t="shared" si="22"/>
        <v>584.98699999999997</v>
      </c>
      <c r="AK10" s="612">
        <f t="shared" si="22"/>
        <v>696.85400000000004</v>
      </c>
      <c r="AL10" s="612">
        <f t="shared" si="22"/>
        <v>451.12</v>
      </c>
      <c r="AM10" s="612">
        <f t="shared" si="22"/>
        <v>660.75599999999997</v>
      </c>
      <c r="AN10" s="612">
        <f t="shared" si="22"/>
        <v>802.05700000000002</v>
      </c>
      <c r="AO10" s="612">
        <f t="shared" si="22"/>
        <v>813.48500000000001</v>
      </c>
      <c r="AP10" s="612">
        <f t="shared" ref="AP10:AQ10" si="23">AP7+AP9</f>
        <v>641.43799999999999</v>
      </c>
      <c r="AQ10" s="612">
        <f t="shared" si="23"/>
        <v>724.447</v>
      </c>
      <c r="AR10" s="612">
        <f t="shared" ref="AR10:AS10" si="24">AR7+AR9</f>
        <v>736.92399999999998</v>
      </c>
      <c r="AS10" s="612">
        <f t="shared" si="24"/>
        <v>900.072</v>
      </c>
      <c r="AT10" s="629">
        <f t="shared" ref="AT10" si="25">AT7+AT9</f>
        <v>812.34699999999998</v>
      </c>
      <c r="AU10" s="611">
        <f>Q_IS!BQ104</f>
        <v>916.69511232353398</v>
      </c>
      <c r="AV10" s="611">
        <f>Q_IS!BR104</f>
        <v>887.61064818875047</v>
      </c>
      <c r="AW10" s="611">
        <f>Q_IS!BS104</f>
        <v>1040.1083733831492</v>
      </c>
      <c r="AX10" s="611">
        <f>Q_IS!BT104</f>
        <v>1184.6992214143891</v>
      </c>
      <c r="AY10" s="611">
        <f>Q_IS!BU104</f>
        <v>946.95058578120745</v>
      </c>
      <c r="AZ10" s="611">
        <f>Q_IS!BV104</f>
        <v>913.28117219698765</v>
      </c>
      <c r="BA10" s="611">
        <f>Q_IS!BW104</f>
        <v>737.16485500801218</v>
      </c>
      <c r="BB10" s="611">
        <f>Q_IS!BX104</f>
        <v>1270.6108839582423</v>
      </c>
      <c r="BC10" s="611">
        <f>Q_IS!BY104</f>
        <v>1025.519903401153</v>
      </c>
      <c r="BD10" s="611">
        <f>Q_IS!BZ104</f>
        <v>987.70738151310616</v>
      </c>
      <c r="BE10" s="611">
        <f>Q_IS!CA104</f>
        <v>800.94677984351722</v>
      </c>
      <c r="BF10" s="611">
        <f>Q_IS!CB104</f>
        <v>1501.4294834795614</v>
      </c>
      <c r="BG10" s="611">
        <f>Q_IS!CC104</f>
        <v>1170.7958835857437</v>
      </c>
      <c r="BH10" s="611">
        <f>Q_IS!CD104</f>
        <v>1130.9959576958342</v>
      </c>
      <c r="BI10" s="611">
        <f>Q_IS!CE104</f>
        <v>897.86330859548946</v>
      </c>
      <c r="BJ10" s="611">
        <f>Q_IS!CF104</f>
        <v>1617.9581718899722</v>
      </c>
      <c r="BK10" s="611">
        <f>Q_IS!CG104</f>
        <v>1251.4150949342525</v>
      </c>
      <c r="BL10" s="611">
        <f>Q_IS!CH104</f>
        <v>1208.5162425853471</v>
      </c>
      <c r="BM10" s="611">
        <f>Q_IS!CI104</f>
        <v>953.30950003815497</v>
      </c>
      <c r="BN10" s="611">
        <f>Q_IS!CJ104</f>
        <v>1482.0523034075889</v>
      </c>
      <c r="BO10" s="611">
        <f>Q_IS!CK104</f>
        <v>1206.8948315293439</v>
      </c>
      <c r="BP10" s="611">
        <f>Q_IS!CL104</f>
        <v>1158.29587155067</v>
      </c>
      <c r="BQ10" s="611">
        <f>Q_IS!CM104</f>
        <v>940.91388284238724</v>
      </c>
      <c r="BR10" s="611">
        <f>Q_IS!CN104</f>
        <v>1398.2268745948106</v>
      </c>
      <c r="BS10" s="611">
        <f>Q_IS!CO104</f>
        <v>1188.4235269001581</v>
      </c>
      <c r="BT10" s="611">
        <f>Q_IS!CP104</f>
        <v>1135.1571026100767</v>
      </c>
      <c r="BU10" s="611">
        <f>Q_IS!CQ104</f>
        <v>943.74465594901744</v>
      </c>
      <c r="BV10" s="611">
        <f>Q_IS!CR104</f>
        <v>1584.9557287764851</v>
      </c>
      <c r="BW10" s="611">
        <f>Q_IS!CS104</f>
        <v>1322.4876867503706</v>
      </c>
      <c r="BX10" s="611">
        <f>Q_IS!CT104</f>
        <v>1267.9275261659968</v>
      </c>
      <c r="BY10" s="611">
        <f>Q_IS!CU104</f>
        <v>1045.6773310549142</v>
      </c>
      <c r="CE10" s="202"/>
      <c r="CF10" s="202"/>
      <c r="CG10" s="202"/>
      <c r="CH10" s="202"/>
    </row>
    <row r="11" spans="1:90" s="939" customFormat="1" ht="13.5" customHeight="1">
      <c r="A11" s="1937" t="s">
        <v>1455</v>
      </c>
      <c r="B11" s="1982"/>
      <c r="C11" s="1983"/>
      <c r="D11" s="1983"/>
      <c r="E11" s="1983"/>
      <c r="F11" s="1983">
        <f t="shared" ref="F11" si="26">+F10/B10-1</f>
        <v>-0.10768798241578481</v>
      </c>
      <c r="G11" s="1983">
        <f t="shared" ref="G11" si="27">+G10/C10-1</f>
        <v>-0.31004735282672102</v>
      </c>
      <c r="H11" s="1983">
        <f t="shared" ref="H11" si="28">+H10/D10-1</f>
        <v>-0.3215068149956557</v>
      </c>
      <c r="I11" s="1983">
        <f t="shared" ref="I11" si="29">+I10/E10-1</f>
        <v>0.25976110793676721</v>
      </c>
      <c r="J11" s="1983">
        <f t="shared" ref="J11" si="30">+J10/F10-1</f>
        <v>-0.47264884311108313</v>
      </c>
      <c r="K11" s="1983">
        <f t="shared" ref="K11" si="31">+K10/G10-1</f>
        <v>8.5117076466876274E-2</v>
      </c>
      <c r="L11" s="1983">
        <f t="shared" ref="L11" si="32">+L10/H10-1</f>
        <v>0.73480194208318306</v>
      </c>
      <c r="M11" s="1983">
        <f t="shared" ref="M11" si="33">+M10/I10-1</f>
        <v>0.15446220302375813</v>
      </c>
      <c r="N11" s="1983">
        <f t="shared" ref="N11" si="34">+N10/J10-1</f>
        <v>1.3622034413835058</v>
      </c>
      <c r="O11" s="1983">
        <f t="shared" ref="O11" si="35">+O10/K10-1</f>
        <v>0.4733805766984196</v>
      </c>
      <c r="P11" s="1983">
        <f t="shared" ref="P11" si="36">+P10/L10-1</f>
        <v>0.4679959785522787</v>
      </c>
      <c r="Q11" s="1983">
        <f t="shared" ref="Q11" si="37">+Q10/M10-1</f>
        <v>0.3297151067507802</v>
      </c>
      <c r="R11" s="1983">
        <f t="shared" ref="R11" si="38">+R10/N10-1</f>
        <v>0.31268998183532215</v>
      </c>
      <c r="S11" s="1983">
        <f t="shared" ref="S11" si="39">+S10/O10-1</f>
        <v>0.18321882520599253</v>
      </c>
      <c r="T11" s="1983">
        <f t="shared" ref="T11" si="40">+T10/P10-1</f>
        <v>0.2039999136221029</v>
      </c>
      <c r="U11" s="1983">
        <f t="shared" ref="U11" si="41">+U10/Q10-1</f>
        <v>-0.21058481556206521</v>
      </c>
      <c r="V11" s="1983">
        <f t="shared" ref="V11" si="42">+V10/R10-1</f>
        <v>0.15237991809452445</v>
      </c>
      <c r="W11" s="1983">
        <f t="shared" ref="W11" si="43">+W10/S10-1</f>
        <v>0.17526095786888329</v>
      </c>
      <c r="X11" s="1983">
        <f t="shared" ref="X11" si="44">+X10/T10-1</f>
        <v>-2.5204658134440172E-2</v>
      </c>
      <c r="Y11" s="1983">
        <f t="shared" ref="Y11" si="45">+Y10/U10-1</f>
        <v>-7.5098025237042565E-2</v>
      </c>
      <c r="Z11" s="1983">
        <f t="shared" ref="Z11" si="46">+Z10/V10-1</f>
        <v>-0.11745017449566508</v>
      </c>
      <c r="AA11" s="1983">
        <f t="shared" ref="AA11" si="47">+AA10/W10-1</f>
        <v>0.37373217255012303</v>
      </c>
      <c r="AB11" s="1983">
        <f t="shared" ref="AB11" si="48">+AB10/X10-1</f>
        <v>3.8028850197661779E-2</v>
      </c>
      <c r="AC11" s="1983">
        <f t="shared" ref="AC11" si="49">+AC10/Y10-1</f>
        <v>0.55628738360979191</v>
      </c>
      <c r="AD11" s="1983">
        <f t="shared" ref="AD11" si="50">+AD10/Z10-1</f>
        <v>0.70251073840992317</v>
      </c>
      <c r="AE11" s="1983">
        <f t="shared" ref="AE11" si="51">+AE10/AA10-1</f>
        <v>0.12356809949662928</v>
      </c>
      <c r="AF11" s="1983">
        <f t="shared" ref="AF11" si="52">+AF10/AB10-1</f>
        <v>7.5702174639670217E-2</v>
      </c>
      <c r="AG11" s="1983">
        <f t="shared" ref="AG11" si="53">+AG10/AC10-1</f>
        <v>8.4965070465784942E-2</v>
      </c>
      <c r="AH11" s="1983">
        <f t="shared" ref="AH11" si="54">+AH10/AD10-1</f>
        <v>2.0986887494663931E-2</v>
      </c>
      <c r="AI11" s="1983">
        <f t="shared" ref="AI11" si="55">+AI10/AE10-1</f>
        <v>-0.17410584969096532</v>
      </c>
      <c r="AJ11" s="1983">
        <f t="shared" ref="AJ11" si="56">+AJ10/AF10-1</f>
        <v>0.3770491417379922</v>
      </c>
      <c r="AK11" s="1983">
        <f t="shared" ref="AK11" si="57">+AK10/AG10-1</f>
        <v>0.59054420790508622</v>
      </c>
      <c r="AL11" s="1983">
        <f t="shared" ref="AL11" si="58">+AL10/AH10-1</f>
        <v>-0.1060451733335448</v>
      </c>
      <c r="AM11" s="1983">
        <f t="shared" ref="AM11" si="59">+AM10/AI10-1</f>
        <v>0.30196430788146755</v>
      </c>
      <c r="AN11" s="1983">
        <f t="shared" ref="AN11" si="60">+AN10/AJ10-1</f>
        <v>0.37106807501705186</v>
      </c>
      <c r="AO11" s="1983">
        <f t="shared" ref="AO11:AT11" si="61">+AO10/AK10-1</f>
        <v>0.16736791350842495</v>
      </c>
      <c r="AP11" s="1983">
        <f>+AP10/AL10-1</f>
        <v>0.42187887923390677</v>
      </c>
      <c r="AQ11" s="1983">
        <f>+AQ10/AM10-1</f>
        <v>9.6391103523842503E-2</v>
      </c>
      <c r="AR11" s="1983">
        <f>+AR10/AN10-1</f>
        <v>-8.1207445356128116E-2</v>
      </c>
      <c r="AS11" s="1983">
        <f>+AS10/AO10-1</f>
        <v>0.10643957786560287</v>
      </c>
      <c r="AT11" s="1984">
        <f t="shared" si="61"/>
        <v>0.26644664020528874</v>
      </c>
      <c r="AU11" s="1985">
        <f t="shared" ref="AU11" si="62">+AU10/AQ10-1</f>
        <v>0.26537222505377756</v>
      </c>
      <c r="AV11" s="1985">
        <f t="shared" ref="AV11" si="63">+AV10/AR10-1</f>
        <v>0.20448058170008099</v>
      </c>
      <c r="AW11" s="1985">
        <f t="shared" ref="AW11" si="64">+AW10/AS10-1</f>
        <v>0.15558352374382189</v>
      </c>
      <c r="AX11" s="1985">
        <f t="shared" ref="AX11" si="65">+AX10/AT10-1</f>
        <v>0.45836597096362652</v>
      </c>
      <c r="AY11" s="1985">
        <f t="shared" ref="AY11" si="66">+AY10/AU10-1</f>
        <v>3.300494684757882E-2</v>
      </c>
      <c r="AZ11" s="1985">
        <f t="shared" ref="AZ11" si="67">+AZ10/AV10-1</f>
        <v>2.8920928405512303E-2</v>
      </c>
      <c r="BA11" s="1985">
        <f t="shared" ref="BA11" si="68">+BA10/AW10-1</f>
        <v>-0.29126149363624099</v>
      </c>
      <c r="BB11" s="1985">
        <f t="shared" ref="BB11" si="69">+BB10/AX10-1</f>
        <v>7.2517699843918981E-2</v>
      </c>
      <c r="BC11" s="1985">
        <f t="shared" ref="BC11" si="70">+BC10/AY10-1</f>
        <v>8.2970873876304863E-2</v>
      </c>
      <c r="BD11" s="1985">
        <f t="shared" ref="BD11" si="71">+BD10/AZ10-1</f>
        <v>8.1493204482776083E-2</v>
      </c>
      <c r="BE11" s="1985">
        <f t="shared" ref="BE11" si="72">+BE10/BA10-1</f>
        <v>8.6523284991403715E-2</v>
      </c>
      <c r="BF11" s="1985">
        <f t="shared" ref="BF11" si="73">+BF10/BB10-1</f>
        <v>0.18165954851753408</v>
      </c>
      <c r="BG11" s="1985">
        <f t="shared" ref="BG11" si="74">+BG10/BC10-1</f>
        <v>0.14166080999771991</v>
      </c>
      <c r="BH11" s="1985">
        <f t="shared" ref="BH11" si="75">+BH10/BD10-1</f>
        <v>0.14507188957443939</v>
      </c>
      <c r="BI11" s="1985">
        <f t="shared" ref="BI11" si="76">+BI10/BE10-1</f>
        <v>0.12100245758014916</v>
      </c>
      <c r="BJ11" s="1985">
        <f t="shared" ref="BJ11" si="77">+BJ10/BF10-1</f>
        <v>7.761182905530517E-2</v>
      </c>
      <c r="BK11" s="1985">
        <f t="shared" ref="BK11" si="78">+BK10/BG10-1</f>
        <v>6.8858468396386874E-2</v>
      </c>
      <c r="BL11" s="1985">
        <f t="shared" ref="BL11" si="79">+BL10/BH10-1</f>
        <v>6.8541610924449436E-2</v>
      </c>
      <c r="BM11" s="1985">
        <f t="shared" ref="BM11" si="80">+BM10/BI10-1</f>
        <v>6.1753488434001191E-2</v>
      </c>
      <c r="BN11" s="1985">
        <f t="shared" ref="BN11" si="81">+BN10/BJ10-1</f>
        <v>-8.3998381938161448E-2</v>
      </c>
      <c r="BO11" s="1985">
        <f t="shared" ref="BO11" si="82">+BO10/BK10-1</f>
        <v>-3.5575936062404279E-2</v>
      </c>
      <c r="BP11" s="1985">
        <f t="shared" ref="BP11" si="83">+BP10/BL10-1</f>
        <v>-4.1555396001332956E-2</v>
      </c>
      <c r="BQ11" s="1985">
        <f t="shared" ref="BQ11" si="84">+BQ10/BM10-1</f>
        <v>-1.3002720727393946E-2</v>
      </c>
      <c r="BR11" s="1985">
        <f t="shared" ref="BR11" si="85">+BR10/BN10-1</f>
        <v>-5.656037146600279E-2</v>
      </c>
      <c r="BS11" s="1985">
        <f t="shared" ref="BS11" si="86">+BS10/BO10-1</f>
        <v>-1.5304817078203525E-2</v>
      </c>
      <c r="BT11" s="1985">
        <f t="shared" ref="BT11" si="87">+BT10/BP10-1</f>
        <v>-1.9976561696292916E-2</v>
      </c>
      <c r="BU11" s="1985">
        <f t="shared" ref="BU11" si="88">+BU10/BQ10-1</f>
        <v>3.0085358057199141E-3</v>
      </c>
      <c r="BV11" s="1985">
        <f t="shared" ref="BV11" si="89">+BV10/BR10-1</f>
        <v>0.13354689254974184</v>
      </c>
      <c r="BW11" s="1985">
        <f t="shared" ref="BW11" si="90">+BW10/BS10-1</f>
        <v>0.11280840274165627</v>
      </c>
      <c r="BX11" s="1985">
        <f t="shared" ref="BX11" si="91">+BX10/BT10-1</f>
        <v>0.11696215726496351</v>
      </c>
      <c r="BY11" s="1985">
        <f t="shared" ref="BY11" si="92">+BY10/BU10-1</f>
        <v>0.10800874416967643</v>
      </c>
    </row>
    <row r="12" spans="1:90" s="106" customFormat="1" ht="13.5" customHeight="1">
      <c r="A12" s="1867" t="s">
        <v>903</v>
      </c>
      <c r="B12" s="202">
        <f>'Quarterly historicals'!B154-B26</f>
        <v>-87.703000000000003</v>
      </c>
      <c r="C12" s="202">
        <f>'Quarterly historicals'!C154-C26</f>
        <v>-135.816</v>
      </c>
      <c r="D12" s="202">
        <f>'Quarterly historicals'!D154-D26</f>
        <v>-107.453</v>
      </c>
      <c r="E12" s="202">
        <f>'Quarterly historicals'!E154-E26</f>
        <v>-100.36599999999999</v>
      </c>
      <c r="F12" s="202">
        <f>'Quarterly historicals'!F154-F26</f>
        <v>-108.90199999999999</v>
      </c>
      <c r="G12" s="202">
        <f>'Quarterly historicals'!G154-G26</f>
        <v>-116.58099999999999</v>
      </c>
      <c r="H12" s="202">
        <f>'Quarterly historicals'!H154-H26</f>
        <v>-81.536999999999992</v>
      </c>
      <c r="I12" s="202">
        <f>'Quarterly historicals'!I154-I26</f>
        <v>-125.34899999999999</v>
      </c>
      <c r="J12" s="202">
        <f>'Quarterly historicals'!J154-J26</f>
        <v>-60.234999999999999</v>
      </c>
      <c r="K12" s="202">
        <f>'Quarterly historicals'!K154-K26</f>
        <v>-106.443</v>
      </c>
      <c r="L12" s="202">
        <f>'Quarterly historicals'!L154-L26</f>
        <v>-112.273</v>
      </c>
      <c r="M12" s="202">
        <f>'Quarterly historicals'!M154-M26</f>
        <v>-155.584</v>
      </c>
      <c r="N12" s="202">
        <f>'Quarterly historicals'!N154-N26</f>
        <v>-137.054</v>
      </c>
      <c r="O12" s="202">
        <f>'Quarterly historicals'!O154-O26</f>
        <v>-157.18599999999998</v>
      </c>
      <c r="P12" s="202">
        <f>'Quarterly historicals'!P154-P26</f>
        <v>-168.733</v>
      </c>
      <c r="Q12" s="202">
        <f>'Quarterly historicals'!Q154-Q26</f>
        <v>-164.78</v>
      </c>
      <c r="R12" s="202">
        <f>'Quarterly historicals'!R154-R26</f>
        <v>-124.80499999999999</v>
      </c>
      <c r="S12" s="202">
        <f>'Quarterly historicals'!S154-S26</f>
        <v>-140.256</v>
      </c>
      <c r="T12" s="202">
        <f>'Quarterly historicals'!T154-T26</f>
        <v>-167.553</v>
      </c>
      <c r="U12" s="202">
        <f>'Quarterly historicals'!U154-U26</f>
        <v>-132.72000000000003</v>
      </c>
      <c r="V12" s="202">
        <f>'Quarterly historicals'!V154-V26</f>
        <v>-145.73999999999998</v>
      </c>
      <c r="W12" s="202">
        <f>'Quarterly historicals'!W154-W26</f>
        <v>-156.80500000000001</v>
      </c>
      <c r="X12" s="202">
        <f>'Quarterly historicals'!X154-X26</f>
        <v>-186.005</v>
      </c>
      <c r="Y12" s="202">
        <f>'Quarterly historicals'!Y154-Y26</f>
        <v>-150.26100000000002</v>
      </c>
      <c r="Z12" s="202">
        <f>'Quarterly historicals'!Z154-Z26</f>
        <v>-130.755</v>
      </c>
      <c r="AA12" s="202">
        <f>'Quarterly historicals'!AA154-AA26</f>
        <v>-249.45400000000001</v>
      </c>
      <c r="AB12" s="202">
        <f>'Quarterly historicals'!AB154-AB26</f>
        <v>-193.82799999999997</v>
      </c>
      <c r="AC12" s="202">
        <f>'Quarterly historicals'!AC154-AC26</f>
        <v>-206.70800000000003</v>
      </c>
      <c r="AD12" s="202">
        <f>'Quarterly historicals'!AD154-AD26</f>
        <v>-225.14400000000001</v>
      </c>
      <c r="AE12" s="202">
        <f>'Quarterly historicals'!AE154-AE26</f>
        <v>-309.69</v>
      </c>
      <c r="AF12" s="202">
        <f>'Quarterly historicals'!AF154-AF26</f>
        <v>-215.05599999999998</v>
      </c>
      <c r="AG12" s="202">
        <f>'Quarterly historicals'!AG154-AG26</f>
        <v>-243.04300000000001</v>
      </c>
      <c r="AH12" s="202">
        <f>'Quarterly historicals'!AH154-AH26</f>
        <v>-227.00500000000002</v>
      </c>
      <c r="AI12" s="202">
        <f>'Quarterly historicals'!AI154-AI26</f>
        <v>-216.15699999999998</v>
      </c>
      <c r="AJ12" s="202">
        <f>'Quarterly historicals'!AJ154-AJ26</f>
        <v>-242.44799999999998</v>
      </c>
      <c r="AK12" s="327">
        <f>'Quarterly historicals'!AK154-AK26</f>
        <v>-358.41699999999992</v>
      </c>
      <c r="AL12" s="327">
        <f>'Quarterly historicals'!AL154-AL26</f>
        <v>-208.459</v>
      </c>
      <c r="AM12" s="327">
        <f>'Quarterly historicals'!AM154-AM26</f>
        <v>-255.69300000000004</v>
      </c>
      <c r="AN12" s="327">
        <f>'Quarterly historicals'!AN154-AN26</f>
        <v>-379.51900000000001</v>
      </c>
      <c r="AO12" s="327">
        <f>'Quarterly historicals'!AO154-AO26</f>
        <v>-393.94900000000007</v>
      </c>
      <c r="AP12" s="327">
        <f>'Quarterly historicals'!AP154-AP26</f>
        <v>-294.38099999999997</v>
      </c>
      <c r="AQ12" s="327">
        <f>'Quarterly historicals'!AQ154-AQ26</f>
        <v>-334.149</v>
      </c>
      <c r="AR12" s="327">
        <f>'Quarterly historicals'!AR154-AR26</f>
        <v>-354.64800000000002</v>
      </c>
      <c r="AS12" s="327">
        <f>'Quarterly historicals'!AS154-AS26</f>
        <v>-452.94399999999996</v>
      </c>
      <c r="AT12" s="358">
        <f>'Quarterly historicals'!AT154-AT26</f>
        <v>-334.84999999999997</v>
      </c>
      <c r="AU12" s="356">
        <f>Q_IS!BQ123</f>
        <v>-374.01843906602886</v>
      </c>
      <c r="AV12" s="356">
        <f>Q_IS!BR123</f>
        <v>-396.96330492651185</v>
      </c>
      <c r="AW12" s="356">
        <f>Q_IS!BS123</f>
        <v>-501.64309133057395</v>
      </c>
      <c r="AX12" s="356">
        <f>Q_IS!BT123</f>
        <v>-457.95270399610564</v>
      </c>
      <c r="AY12" s="356">
        <f>Q_IS!BU123</f>
        <v>-393.82789476467127</v>
      </c>
      <c r="AZ12" s="356">
        <f>Q_IS!BV123</f>
        <v>-417.9880090094573</v>
      </c>
      <c r="BA12" s="356">
        <f>Q_IS!BW123</f>
        <v>-422.8442801487156</v>
      </c>
      <c r="BB12" s="356">
        <f>Q_IS!BX123</f>
        <v>-488.53950993101552</v>
      </c>
      <c r="BC12" s="356">
        <f>Q_IS!BY123</f>
        <v>-420.13178441049706</v>
      </c>
      <c r="BD12" s="356">
        <f>Q_IS!BZ123</f>
        <v>-445.90556032672242</v>
      </c>
      <c r="BE12" s="356">
        <f>Q_IS!CA123</f>
        <v>-451.08618335124675</v>
      </c>
      <c r="BF12" s="356">
        <f>Q_IS!CB123</f>
        <v>-556.61101534615216</v>
      </c>
      <c r="BG12" s="356">
        <f>Q_IS!CC123</f>
        <v>-478.67157997710029</v>
      </c>
      <c r="BH12" s="356">
        <f>Q_IS!CD123</f>
        <v>-508.03658995154461</v>
      </c>
      <c r="BI12" s="356">
        <f>Q_IS!CE123</f>
        <v>-513.93906412853244</v>
      </c>
      <c r="BJ12" s="356">
        <f>Q_IS!CF123</f>
        <v>-597.81458601232407</v>
      </c>
      <c r="BK12" s="356">
        <f>Q_IS!CG123</f>
        <v>-514.10562229336495</v>
      </c>
      <c r="BL12" s="356">
        <f>Q_IS!CH123</f>
        <v>-545.64440035761686</v>
      </c>
      <c r="BM12" s="356">
        <f>Q_IS!CI123</f>
        <v>-551.98380985415747</v>
      </c>
      <c r="BN12" s="356">
        <f>Q_IS!CJ123</f>
        <v>-589.37734677594062</v>
      </c>
      <c r="BO12" s="356">
        <f>Q_IS!CK123</f>
        <v>-506.84980714674447</v>
      </c>
      <c r="BP12" s="356">
        <f>Q_IS!CL123</f>
        <v>-537.94346355960556</v>
      </c>
      <c r="BQ12" s="356">
        <f>Q_IS!CM123</f>
        <v>-544.19340197967631</v>
      </c>
      <c r="BR12" s="356">
        <f>Q_IS!CN123</f>
        <v>-587.62631896601067</v>
      </c>
      <c r="BS12" s="356">
        <f>Q_IS!CO123</f>
        <v>-505.34396693651843</v>
      </c>
      <c r="BT12" s="356">
        <f>Q_IS!CP123</f>
        <v>-536.34524474441753</v>
      </c>
      <c r="BU12" s="356">
        <f>Q_IS!CQ123</f>
        <v>-542.57661472774134</v>
      </c>
      <c r="BV12" s="356">
        <f>Q_IS!CR123</f>
        <v>-579.63357473491055</v>
      </c>
      <c r="BW12" s="356">
        <f>Q_IS!CS123</f>
        <v>-498.47040639967872</v>
      </c>
      <c r="BX12" s="356">
        <f>Q_IS!CT123</f>
        <v>-529.05001268545846</v>
      </c>
      <c r="BY12" s="356">
        <f>Q_IS!CU123</f>
        <v>-535.19662515388109</v>
      </c>
    </row>
    <row r="13" spans="1:90" s="106" customFormat="1" ht="13.5" customHeight="1">
      <c r="A13" s="1870" t="s">
        <v>216</v>
      </c>
      <c r="B13" s="390">
        <f t="shared" ref="B13:AG13" si="93">B10+B12</f>
        <v>107.92699999999999</v>
      </c>
      <c r="C13" s="390">
        <f t="shared" si="93"/>
        <v>123.72499999999999</v>
      </c>
      <c r="D13" s="390">
        <f t="shared" si="93"/>
        <v>80.147999999999996</v>
      </c>
      <c r="E13" s="390">
        <f t="shared" si="93"/>
        <v>83.399000000000001</v>
      </c>
      <c r="F13" s="390">
        <f t="shared" si="93"/>
        <v>65.66100000000003</v>
      </c>
      <c r="G13" s="390">
        <f t="shared" si="93"/>
        <v>62.490000000000009</v>
      </c>
      <c r="H13" s="390">
        <f t="shared" si="93"/>
        <v>45.748999999999995</v>
      </c>
      <c r="I13" s="390">
        <f t="shared" si="93"/>
        <v>106.15100000000001</v>
      </c>
      <c r="J13" s="390">
        <f t="shared" si="93"/>
        <v>31.820999999999998</v>
      </c>
      <c r="K13" s="390">
        <f t="shared" si="93"/>
        <v>87.86999999999999</v>
      </c>
      <c r="L13" s="390">
        <f t="shared" si="93"/>
        <v>108.54300000000001</v>
      </c>
      <c r="M13" s="390">
        <f t="shared" si="93"/>
        <v>111.67399999999998</v>
      </c>
      <c r="N13" s="390">
        <f t="shared" si="93"/>
        <v>80.400999999999982</v>
      </c>
      <c r="O13" s="390">
        <f t="shared" si="93"/>
        <v>129.11099999999999</v>
      </c>
      <c r="P13" s="390">
        <f t="shared" si="93"/>
        <v>155.42399999999998</v>
      </c>
      <c r="Q13" s="390">
        <f t="shared" si="93"/>
        <v>190.59700000000001</v>
      </c>
      <c r="R13" s="390">
        <f t="shared" si="93"/>
        <v>160.64599999999996</v>
      </c>
      <c r="S13" s="390">
        <f t="shared" si="93"/>
        <v>198.49600000000001</v>
      </c>
      <c r="T13" s="390">
        <f t="shared" si="93"/>
        <v>222.73199999999997</v>
      </c>
      <c r="U13" s="390">
        <f t="shared" si="93"/>
        <v>147.81999999999994</v>
      </c>
      <c r="V13" s="390">
        <f t="shared" si="93"/>
        <v>183.20800000000006</v>
      </c>
      <c r="W13" s="390">
        <f t="shared" si="93"/>
        <v>241.31699999999995</v>
      </c>
      <c r="X13" s="390">
        <f t="shared" si="93"/>
        <v>194.44299999999998</v>
      </c>
      <c r="Y13" s="390">
        <f t="shared" si="93"/>
        <v>109.21100000000001</v>
      </c>
      <c r="Z13" s="390">
        <f t="shared" si="93"/>
        <v>159.55799999999999</v>
      </c>
      <c r="AA13" s="390">
        <f t="shared" si="93"/>
        <v>297.459</v>
      </c>
      <c r="AB13" s="390">
        <f t="shared" si="93"/>
        <v>201.08800000000002</v>
      </c>
      <c r="AC13" s="390">
        <f t="shared" si="93"/>
        <v>197.10499999999996</v>
      </c>
      <c r="AD13" s="390">
        <f t="shared" si="93"/>
        <v>269.11700000000002</v>
      </c>
      <c r="AE13" s="390">
        <f t="shared" si="93"/>
        <v>304.80400000000003</v>
      </c>
      <c r="AF13" s="390">
        <f t="shared" si="93"/>
        <v>209.75600000000003</v>
      </c>
      <c r="AG13" s="390">
        <f t="shared" si="93"/>
        <v>195.07999999999998</v>
      </c>
      <c r="AH13" s="390">
        <f t="shared" ref="AH13:BI13" si="94">AH10+AH12</f>
        <v>277.62900000000002</v>
      </c>
      <c r="AI13" s="390">
        <f t="shared" si="94"/>
        <v>291.35000000000002</v>
      </c>
      <c r="AJ13" s="390">
        <f t="shared" si="94"/>
        <v>342.53899999999999</v>
      </c>
      <c r="AK13" s="475">
        <f t="shared" si="94"/>
        <v>338.43700000000013</v>
      </c>
      <c r="AL13" s="475">
        <f t="shared" si="94"/>
        <v>242.661</v>
      </c>
      <c r="AM13" s="475">
        <f t="shared" si="94"/>
        <v>405.06299999999993</v>
      </c>
      <c r="AN13" s="475">
        <f t="shared" si="94"/>
        <v>422.53800000000001</v>
      </c>
      <c r="AO13" s="475">
        <f t="shared" si="94"/>
        <v>419.53599999999994</v>
      </c>
      <c r="AP13" s="475">
        <f t="shared" ref="AP13:AQ13" si="95">AP10+AP12</f>
        <v>347.05700000000002</v>
      </c>
      <c r="AQ13" s="475">
        <f t="shared" si="95"/>
        <v>390.298</v>
      </c>
      <c r="AR13" s="475">
        <f t="shared" ref="AR13:AS13" si="96">AR10+AR12</f>
        <v>382.27599999999995</v>
      </c>
      <c r="AS13" s="475">
        <f t="shared" si="96"/>
        <v>447.12800000000004</v>
      </c>
      <c r="AT13" s="363">
        <f t="shared" ref="AT13" si="97">AT10+AT12</f>
        <v>477.49700000000001</v>
      </c>
      <c r="AU13" s="392">
        <f t="shared" si="94"/>
        <v>542.67667325750517</v>
      </c>
      <c r="AV13" s="392">
        <f t="shared" si="94"/>
        <v>490.64734326223862</v>
      </c>
      <c r="AW13" s="392">
        <f t="shared" si="94"/>
        <v>538.46528205257528</v>
      </c>
      <c r="AX13" s="392">
        <f t="shared" si="94"/>
        <v>726.74651741828347</v>
      </c>
      <c r="AY13" s="392">
        <f t="shared" si="94"/>
        <v>553.12269101653624</v>
      </c>
      <c r="AZ13" s="392">
        <f t="shared" si="94"/>
        <v>495.29316318753035</v>
      </c>
      <c r="BA13" s="392">
        <f t="shared" si="94"/>
        <v>314.32057485929658</v>
      </c>
      <c r="BB13" s="392">
        <f t="shared" si="94"/>
        <v>782.07137402722674</v>
      </c>
      <c r="BC13" s="392">
        <f t="shared" si="94"/>
        <v>605.38811899065593</v>
      </c>
      <c r="BD13" s="392">
        <f t="shared" si="94"/>
        <v>541.80182118638368</v>
      </c>
      <c r="BE13" s="392">
        <f t="shared" si="94"/>
        <v>349.86059649227047</v>
      </c>
      <c r="BF13" s="392">
        <f t="shared" si="94"/>
        <v>944.81846813340928</v>
      </c>
      <c r="BG13" s="392">
        <f t="shared" si="94"/>
        <v>692.12430360864346</v>
      </c>
      <c r="BH13" s="392">
        <f t="shared" si="94"/>
        <v>622.95936774428969</v>
      </c>
      <c r="BI13" s="392">
        <f t="shared" si="94"/>
        <v>383.92424446695702</v>
      </c>
      <c r="BJ13" s="392">
        <f t="shared" ref="BJ13:BY13" si="98">BJ10+BJ12</f>
        <v>1020.1435858776481</v>
      </c>
      <c r="BK13" s="392">
        <f t="shared" si="98"/>
        <v>737.30947264088752</v>
      </c>
      <c r="BL13" s="392">
        <f t="shared" si="98"/>
        <v>662.87184222773021</v>
      </c>
      <c r="BM13" s="392">
        <f t="shared" si="98"/>
        <v>401.32569018399749</v>
      </c>
      <c r="BN13" s="392">
        <f t="shared" si="98"/>
        <v>892.67495663164823</v>
      </c>
      <c r="BO13" s="392">
        <f t="shared" si="98"/>
        <v>700.04502438259942</v>
      </c>
      <c r="BP13" s="392">
        <f t="shared" si="98"/>
        <v>620.35240799106441</v>
      </c>
      <c r="BQ13" s="392">
        <f t="shared" si="98"/>
        <v>396.72048086271093</v>
      </c>
      <c r="BR13" s="392">
        <f t="shared" si="98"/>
        <v>810.60055562879995</v>
      </c>
      <c r="BS13" s="392">
        <f t="shared" si="98"/>
        <v>683.07955996363967</v>
      </c>
      <c r="BT13" s="392">
        <f t="shared" si="98"/>
        <v>598.81185786565914</v>
      </c>
      <c r="BU13" s="392">
        <f t="shared" si="98"/>
        <v>401.1680412212761</v>
      </c>
      <c r="BV13" s="392">
        <f t="shared" si="98"/>
        <v>1005.3221540415745</v>
      </c>
      <c r="BW13" s="392">
        <f t="shared" si="98"/>
        <v>824.01728035069186</v>
      </c>
      <c r="BX13" s="392">
        <f t="shared" si="98"/>
        <v>738.87751348053837</v>
      </c>
      <c r="BY13" s="392">
        <f t="shared" si="98"/>
        <v>510.48070590103316</v>
      </c>
    </row>
    <row r="14" spans="1:90" s="939" customFormat="1" ht="13.5" customHeight="1">
      <c r="A14" s="1937" t="s">
        <v>1455</v>
      </c>
      <c r="B14" s="1982"/>
      <c r="C14" s="1983"/>
      <c r="D14" s="1983"/>
      <c r="E14" s="1983"/>
      <c r="F14" s="1983">
        <f t="shared" ref="F14" si="99">+F13/B13-1</f>
        <v>-0.39161655563482689</v>
      </c>
      <c r="G14" s="1983">
        <f t="shared" ref="G14" si="100">+G13/C13-1</f>
        <v>-0.49492826833703774</v>
      </c>
      <c r="H14" s="1983">
        <f t="shared" ref="H14" si="101">+H13/D13-1</f>
        <v>-0.42919349203972657</v>
      </c>
      <c r="I14" s="1983">
        <f t="shared" ref="I14" si="102">+I13/E13-1</f>
        <v>0.27280902648712835</v>
      </c>
      <c r="J14" s="1983">
        <f t="shared" ref="J14" si="103">+J13/F13-1</f>
        <v>-0.51537442317357363</v>
      </c>
      <c r="K14" s="1983">
        <f t="shared" ref="K14" si="104">+K13/G13-1</f>
        <v>0.40614498319731118</v>
      </c>
      <c r="L14" s="1983">
        <f t="shared" ref="L14" si="105">+L13/H13-1</f>
        <v>1.3725764497584652</v>
      </c>
      <c r="M14" s="1983">
        <f t="shared" ref="M14" si="106">+M13/I13-1</f>
        <v>5.2029655867584568E-2</v>
      </c>
      <c r="N14" s="1983">
        <f t="shared" ref="N14" si="107">+N13/J13-1</f>
        <v>1.5266647811193863</v>
      </c>
      <c r="O14" s="1983">
        <f t="shared" ref="O14" si="108">+O13/K13-1</f>
        <v>0.46934107203823827</v>
      </c>
      <c r="P14" s="1983">
        <f t="shared" ref="P14" si="109">+P13/L13-1</f>
        <v>0.43191177689947735</v>
      </c>
      <c r="Q14" s="1983">
        <f t="shared" ref="Q14" si="110">+Q13/M13-1</f>
        <v>0.70672672242419932</v>
      </c>
      <c r="R14" s="1983">
        <f t="shared" ref="R14" si="111">+R13/N13-1</f>
        <v>0.99805972562530298</v>
      </c>
      <c r="S14" s="1983">
        <f t="shared" ref="S14" si="112">+S13/O13-1</f>
        <v>0.53740579811170242</v>
      </c>
      <c r="T14" s="1983">
        <f t="shared" ref="T14" si="113">+T13/P13-1</f>
        <v>0.43306053119209387</v>
      </c>
      <c r="U14" s="1983">
        <f t="shared" ref="U14" si="114">+U13/Q13-1</f>
        <v>-0.22443690089560731</v>
      </c>
      <c r="V14" s="1983">
        <f t="shared" ref="V14" si="115">+V13/R13-1</f>
        <v>0.14044545148961141</v>
      </c>
      <c r="W14" s="1983">
        <f t="shared" ref="W14" si="116">+W13/S13-1</f>
        <v>0.21572726906335604</v>
      </c>
      <c r="X14" s="1983">
        <f t="shared" ref="X14" si="117">+X13/T13-1</f>
        <v>-0.127009141030476</v>
      </c>
      <c r="Y14" s="1983">
        <f t="shared" ref="Y14" si="118">+Y13/U13-1</f>
        <v>-0.26118928426464583</v>
      </c>
      <c r="Z14" s="1983">
        <f t="shared" ref="Z14" si="119">+Z13/V13-1</f>
        <v>-0.12908824942142294</v>
      </c>
      <c r="AA14" s="1983">
        <f t="shared" ref="AA14" si="120">+AA13/W13-1</f>
        <v>0.23264834222205666</v>
      </c>
      <c r="AB14" s="1983">
        <f t="shared" ref="AB14" si="121">+AB13/X13-1</f>
        <v>3.4174539582294328E-2</v>
      </c>
      <c r="AC14" s="1983">
        <f t="shared" ref="AC14" si="122">+AC13/Y13-1</f>
        <v>0.80480903938247916</v>
      </c>
      <c r="AD14" s="1983">
        <f t="shared" ref="AD14" si="123">+AD13/Z13-1</f>
        <v>0.68664059464270055</v>
      </c>
      <c r="AE14" s="1983">
        <f t="shared" ref="AE14" si="124">+AE13/AA13-1</f>
        <v>2.4692478627306613E-2</v>
      </c>
      <c r="AF14" s="1983">
        <f t="shared" ref="AF14" si="125">+AF13/AB13-1</f>
        <v>4.3105506047103725E-2</v>
      </c>
      <c r="AG14" s="1983">
        <f t="shared" ref="AG14" si="126">+AG13/AC13-1</f>
        <v>-1.027371198092375E-2</v>
      </c>
      <c r="AH14" s="1983">
        <f t="shared" ref="AH14" si="127">+AH13/AD13-1</f>
        <v>3.162936566623431E-2</v>
      </c>
      <c r="AI14" s="1983">
        <f t="shared" ref="AI14" si="128">+AI13/AE13-1</f>
        <v>-4.4139840684505494E-2</v>
      </c>
      <c r="AJ14" s="1983">
        <f t="shared" ref="AJ14" si="129">+AJ13/AF13-1</f>
        <v>0.63303552699326815</v>
      </c>
      <c r="AK14" s="1983">
        <f t="shared" ref="AK14" si="130">+AK13/AG13-1</f>
        <v>0.73486262046340034</v>
      </c>
      <c r="AL14" s="1983">
        <f t="shared" ref="AL14" si="131">+AL13/AH13-1</f>
        <v>-0.12595226003047233</v>
      </c>
      <c r="AM14" s="1983">
        <f t="shared" ref="AM14" si="132">+AM13/AI13-1</f>
        <v>0.39029689377037902</v>
      </c>
      <c r="AN14" s="1983">
        <f t="shared" ref="AN14" si="133">+AN13/AJ13-1</f>
        <v>0.23354712894006235</v>
      </c>
      <c r="AO14" s="1983">
        <f t="shared" ref="AO14:AT14" si="134">+AO13/AK13-1</f>
        <v>0.23962805485215788</v>
      </c>
      <c r="AP14" s="1983">
        <f>+AP13/AL13-1</f>
        <v>0.43021334289399626</v>
      </c>
      <c r="AQ14" s="1983">
        <f>+AQ13/AM13-1</f>
        <v>-3.6451119949242328E-2</v>
      </c>
      <c r="AR14" s="1983">
        <f>+AR13/AN13-1</f>
        <v>-9.5286104445044151E-2</v>
      </c>
      <c r="AS14" s="1983">
        <f>+AS13/AO13-1</f>
        <v>6.5767895961252654E-2</v>
      </c>
      <c r="AT14" s="1984">
        <f t="shared" si="134"/>
        <v>0.3758460425809016</v>
      </c>
      <c r="AU14" s="1985">
        <f t="shared" ref="AU14" si="135">+AU13/AQ13-1</f>
        <v>0.39041622877264337</v>
      </c>
      <c r="AV14" s="1985">
        <f t="shared" ref="AV14" si="136">+AV13/AR13-1</f>
        <v>0.28348979078529313</v>
      </c>
      <c r="AW14" s="1985">
        <f t="shared" ref="AW14" si="137">+AW13/AS13-1</f>
        <v>0.20427546933445284</v>
      </c>
      <c r="AX14" s="1985">
        <f t="shared" ref="AX14" si="138">+AX13/AT13-1</f>
        <v>0.52199179768309212</v>
      </c>
      <c r="AY14" s="1985">
        <f t="shared" ref="AY14" si="139">+AY13/AU13-1</f>
        <v>1.9249063528614885E-2</v>
      </c>
      <c r="AZ14" s="1985">
        <f t="shared" ref="AZ14" si="140">+AZ13/AV13-1</f>
        <v>9.4687558978765463E-3</v>
      </c>
      <c r="BA14" s="1985">
        <f t="shared" ref="BA14" si="141">+BA13/AW13-1</f>
        <v>-0.41626584789062293</v>
      </c>
      <c r="BB14" s="1985">
        <f t="shared" ref="BB14" si="142">+BB13/AX13-1</f>
        <v>7.6126758481734447E-2</v>
      </c>
      <c r="BC14" s="1985">
        <f t="shared" ref="BC14" si="143">+BC13/AY13-1</f>
        <v>9.4491563667485012E-2</v>
      </c>
      <c r="BD14" s="1985">
        <f t="shared" ref="BD14" si="144">+BD13/AZ13-1</f>
        <v>9.3901271924571317E-2</v>
      </c>
      <c r="BE14" s="1985">
        <f t="shared" ref="BE14" si="145">+BE13/BA13-1</f>
        <v>0.11306934536144553</v>
      </c>
      <c r="BF14" s="1985">
        <f t="shared" ref="BF14" si="146">+BF13/BB13-1</f>
        <v>0.20809749533233357</v>
      </c>
      <c r="BG14" s="1985">
        <f t="shared" ref="BG14" si="147">+BG13/BC13-1</f>
        <v>0.14327368162196508</v>
      </c>
      <c r="BH14" s="1985">
        <f t="shared" ref="BH14" si="148">+BH13/BD13-1</f>
        <v>0.14979194123082729</v>
      </c>
      <c r="BI14" s="1985">
        <f t="shared" ref="BI14" si="149">+BI13/BE13-1</f>
        <v>9.7363487961237505E-2</v>
      </c>
      <c r="BJ14" s="1985">
        <f t="shared" ref="BJ14" si="150">+BJ13/BF13-1</f>
        <v>7.9724434147706358E-2</v>
      </c>
      <c r="BK14" s="1985">
        <f t="shared" ref="BK14" si="151">+BK13/BG13-1</f>
        <v>6.5284759972529027E-2</v>
      </c>
      <c r="BL14" s="1985">
        <f t="shared" ref="BL14" si="152">+BL13/BH13-1</f>
        <v>6.4069145677930761E-2</v>
      </c>
      <c r="BM14" s="1985">
        <f t="shared" ref="BM14" si="153">+BM13/BI13-1</f>
        <v>4.5325206646432914E-2</v>
      </c>
      <c r="BN14" s="1985">
        <f t="shared" ref="BN14" si="154">+BN13/BJ13-1</f>
        <v>-0.12495165485585669</v>
      </c>
      <c r="BO14" s="1985">
        <f t="shared" ref="BO14" si="155">+BO13/BK13-1</f>
        <v>-5.0541122338784938E-2</v>
      </c>
      <c r="BP14" s="1985">
        <f t="shared" ref="BP14" si="156">+BP13/BL13-1</f>
        <v>-6.4144275752865965E-2</v>
      </c>
      <c r="BQ14" s="1985">
        <f t="shared" ref="BQ14" si="157">+BQ13/BM13-1</f>
        <v>-1.1474992590619348E-2</v>
      </c>
      <c r="BR14" s="1985">
        <f t="shared" ref="BR14" si="158">+BR13/BN13-1</f>
        <v>-9.1942089775366331E-2</v>
      </c>
      <c r="BS14" s="1985">
        <f t="shared" ref="BS14" si="159">+BS13/BO13-1</f>
        <v>-2.4234818944570469E-2</v>
      </c>
      <c r="BT14" s="1985">
        <f t="shared" ref="BT14" si="160">+BT13/BP13-1</f>
        <v>-3.472308618122677E-2</v>
      </c>
      <c r="BU14" s="1985">
        <f t="shared" ref="BU14" si="161">+BU13/BQ13-1</f>
        <v>1.1210816111367539E-2</v>
      </c>
      <c r="BV14" s="1985">
        <f t="shared" ref="BV14" si="162">+BV13/BR13-1</f>
        <v>0.24021893034816011</v>
      </c>
      <c r="BW14" s="1985">
        <f t="shared" ref="BW14" si="163">+BW13/BS13-1</f>
        <v>0.20632694732448775</v>
      </c>
      <c r="BX14" s="1985">
        <f t="shared" ref="BX14" si="164">+BX13/BT13-1</f>
        <v>0.23390594854636682</v>
      </c>
      <c r="BY14" s="1985">
        <f t="shared" ref="BY14" si="165">+BY13/BU13-1</f>
        <v>0.27248597457309032</v>
      </c>
    </row>
    <row r="15" spans="1:90" s="939" customFormat="1" ht="13.5" customHeight="1">
      <c r="A15" s="1872" t="s">
        <v>1108</v>
      </c>
      <c r="B15" s="488">
        <f t="shared" ref="B15:AG15" si="166">B13/B10</f>
        <v>0.55168941368910696</v>
      </c>
      <c r="C15" s="488">
        <f t="shared" si="166"/>
        <v>0.47670695574109678</v>
      </c>
      <c r="D15" s="488">
        <f t="shared" si="166"/>
        <v>0.42722586766595061</v>
      </c>
      <c r="E15" s="488">
        <f t="shared" si="166"/>
        <v>0.45383506108344901</v>
      </c>
      <c r="F15" s="488">
        <f t="shared" si="166"/>
        <v>0.37614500209093576</v>
      </c>
      <c r="G15" s="488">
        <f t="shared" si="166"/>
        <v>0.34896772788447045</v>
      </c>
      <c r="H15" s="488">
        <f t="shared" si="166"/>
        <v>0.3594189463098848</v>
      </c>
      <c r="I15" s="1871">
        <f t="shared" si="166"/>
        <v>0.45853563714902812</v>
      </c>
      <c r="J15" s="488">
        <f t="shared" si="166"/>
        <v>0.34567002694012339</v>
      </c>
      <c r="K15" s="488">
        <f t="shared" si="166"/>
        <v>0.45220855012274008</v>
      </c>
      <c r="L15" s="488">
        <f t="shared" si="166"/>
        <v>0.49155405405405406</v>
      </c>
      <c r="M15" s="488">
        <f t="shared" si="166"/>
        <v>0.41785091559466875</v>
      </c>
      <c r="N15" s="488">
        <f t="shared" si="166"/>
        <v>0.36973626727368875</v>
      </c>
      <c r="O15" s="488">
        <f t="shared" si="166"/>
        <v>0.45096874923593333</v>
      </c>
      <c r="P15" s="488">
        <f t="shared" si="166"/>
        <v>0.4794713672695638</v>
      </c>
      <c r="Q15" s="488">
        <f t="shared" si="166"/>
        <v>0.53632339740613488</v>
      </c>
      <c r="R15" s="488">
        <f t="shared" si="166"/>
        <v>0.56277960140269245</v>
      </c>
      <c r="S15" s="488">
        <f t="shared" si="166"/>
        <v>0.58596259210277724</v>
      </c>
      <c r="T15" s="488">
        <f t="shared" si="166"/>
        <v>0.57069064914101231</v>
      </c>
      <c r="U15" s="488">
        <f t="shared" si="166"/>
        <v>0.52691238326085388</v>
      </c>
      <c r="V15" s="488">
        <f t="shared" si="166"/>
        <v>0.55695125065359885</v>
      </c>
      <c r="W15" s="488">
        <f t="shared" si="166"/>
        <v>0.60613831940962815</v>
      </c>
      <c r="X15" s="488">
        <f t="shared" si="166"/>
        <v>0.51108955757422825</v>
      </c>
      <c r="Y15" s="488">
        <f t="shared" si="166"/>
        <v>0.42089705247579701</v>
      </c>
      <c r="Z15" s="488">
        <f t="shared" si="166"/>
        <v>0.54960680369118853</v>
      </c>
      <c r="AA15" s="488">
        <f t="shared" si="166"/>
        <v>0.54388723617833179</v>
      </c>
      <c r="AB15" s="488">
        <f t="shared" si="166"/>
        <v>0.5091918281356036</v>
      </c>
      <c r="AC15" s="488">
        <f t="shared" si="166"/>
        <v>0.48810959528296505</v>
      </c>
      <c r="AD15" s="488">
        <f t="shared" si="166"/>
        <v>0.5444835825606309</v>
      </c>
      <c r="AE15" s="488">
        <f t="shared" si="166"/>
        <v>0.49602437127132243</v>
      </c>
      <c r="AF15" s="488">
        <f t="shared" si="166"/>
        <v>0.49376194646102284</v>
      </c>
      <c r="AG15" s="488">
        <f t="shared" si="166"/>
        <v>0.44526308821951821</v>
      </c>
      <c r="AH15" s="488">
        <f t="shared" ref="AH15:BI15" si="167">AH13/AH10</f>
        <v>0.55015912522739252</v>
      </c>
      <c r="AI15" s="488">
        <f t="shared" si="167"/>
        <v>0.5740807515955445</v>
      </c>
      <c r="AJ15" s="488">
        <f t="shared" si="167"/>
        <v>0.58554976435373773</v>
      </c>
      <c r="AK15" s="343">
        <f t="shared" si="167"/>
        <v>0.48566414198670038</v>
      </c>
      <c r="AL15" s="343">
        <f t="shared" si="167"/>
        <v>0.53790787373647808</v>
      </c>
      <c r="AM15" s="343">
        <f t="shared" si="167"/>
        <v>0.61302962061638477</v>
      </c>
      <c r="AN15" s="343">
        <f t="shared" si="167"/>
        <v>0.52681791942467926</v>
      </c>
      <c r="AO15" s="343">
        <f t="shared" si="167"/>
        <v>0.51572678045692288</v>
      </c>
      <c r="AP15" s="343">
        <f t="shared" ref="AP15:AQ15" si="168">AP13/AP10</f>
        <v>0.54106086636588424</v>
      </c>
      <c r="AQ15" s="343">
        <f t="shared" si="168"/>
        <v>0.53875300746638466</v>
      </c>
      <c r="AR15" s="343">
        <f t="shared" ref="AR15:AS15" si="169">AR13/AR10</f>
        <v>0.51874548800147635</v>
      </c>
      <c r="AS15" s="343">
        <f t="shared" si="169"/>
        <v>0.49676914735710037</v>
      </c>
      <c r="AT15" s="781">
        <f t="shared" ref="AT15" si="170">AT13/AT10</f>
        <v>0.58779930251481205</v>
      </c>
      <c r="AU15" s="1633">
        <f t="shared" si="167"/>
        <v>0.59199254578983229</v>
      </c>
      <c r="AV15" s="1633">
        <f t="shared" si="167"/>
        <v>0.55277316046562619</v>
      </c>
      <c r="AW15" s="1633">
        <f t="shared" si="167"/>
        <v>0.51770113175910226</v>
      </c>
      <c r="AX15" s="1633">
        <f t="shared" si="167"/>
        <v>0.61344390566124885</v>
      </c>
      <c r="AY15" s="1633">
        <f t="shared" si="167"/>
        <v>0.5841093498666835</v>
      </c>
      <c r="AZ15" s="1633">
        <f t="shared" si="167"/>
        <v>0.54232275696218935</v>
      </c>
      <c r="BA15" s="1633">
        <f t="shared" si="167"/>
        <v>0.42639115623042051</v>
      </c>
      <c r="BB15" s="1633">
        <f t="shared" si="167"/>
        <v>0.61550816532508856</v>
      </c>
      <c r="BC15" s="1633">
        <f t="shared" si="167"/>
        <v>0.59032312974411971</v>
      </c>
      <c r="BD15" s="1633">
        <f t="shared" si="167"/>
        <v>0.54854487404597208</v>
      </c>
      <c r="BE15" s="1633">
        <f t="shared" si="167"/>
        <v>0.43680879341399381</v>
      </c>
      <c r="BF15" s="1633">
        <f t="shared" si="167"/>
        <v>0.62927928253000154</v>
      </c>
      <c r="BG15" s="1633">
        <f t="shared" si="167"/>
        <v>0.59115710373776309</v>
      </c>
      <c r="BH15" s="1633">
        <f t="shared" si="167"/>
        <v>0.55080600731185458</v>
      </c>
      <c r="BI15" s="1633">
        <f t="shared" si="167"/>
        <v>0.42759765411009215</v>
      </c>
      <c r="BJ15" s="1633">
        <f t="shared" ref="BJ15:BY15" si="171">BJ13/BJ10</f>
        <v>0.63051295367295934</v>
      </c>
      <c r="BK15" s="1633">
        <f t="shared" si="171"/>
        <v>0.58918058094834203</v>
      </c>
      <c r="BL15" s="1633">
        <f t="shared" si="171"/>
        <v>0.54850056529622293</v>
      </c>
      <c r="BM15" s="1633">
        <f t="shared" si="171"/>
        <v>0.42098152821086432</v>
      </c>
      <c r="BN15" s="1633">
        <f t="shared" si="171"/>
        <v>0.60232351758381086</v>
      </c>
      <c r="BO15" s="1633">
        <f t="shared" si="171"/>
        <v>0.58003813264783111</v>
      </c>
      <c r="BP15" s="1633">
        <f t="shared" si="171"/>
        <v>0.53557335671115436</v>
      </c>
      <c r="BQ15" s="1633">
        <f t="shared" si="171"/>
        <v>0.42163314634519605</v>
      </c>
      <c r="BR15" s="1633">
        <f t="shared" si="171"/>
        <v>0.57973464132113917</v>
      </c>
      <c r="BS15" s="1633">
        <f t="shared" si="171"/>
        <v>0.5747778838957861</v>
      </c>
      <c r="BT15" s="1633">
        <f t="shared" si="171"/>
        <v>0.52751452331030291</v>
      </c>
      <c r="BU15" s="1633">
        <f t="shared" si="171"/>
        <v>0.42508112622674055</v>
      </c>
      <c r="BV15" s="1633">
        <f t="shared" si="171"/>
        <v>0.63429036899197067</v>
      </c>
      <c r="BW15" s="1633">
        <f t="shared" si="171"/>
        <v>0.62308124953168753</v>
      </c>
      <c r="BX15" s="1633">
        <f t="shared" si="171"/>
        <v>0.58274428012047486</v>
      </c>
      <c r="BY15" s="1633">
        <f t="shared" si="171"/>
        <v>0.48818186140273612</v>
      </c>
    </row>
    <row r="16" spans="1:90" s="123" customFormat="1" ht="13.5" customHeight="1">
      <c r="A16" s="1870" t="s">
        <v>913</v>
      </c>
      <c r="B16" s="390">
        <f>SUM(B17,B20:B21)</f>
        <v>-29.565999999999999</v>
      </c>
      <c r="C16" s="390">
        <f>SUM(C17,C20:C21)</f>
        <v>-40.691000000000003</v>
      </c>
      <c r="D16" s="390">
        <f>SUM(D17,D20:D21)</f>
        <v>-24.536000000000001</v>
      </c>
      <c r="E16" s="390">
        <f>SUM(E17,E20:E21)</f>
        <v>-44.17</v>
      </c>
      <c r="F16" s="390">
        <f t="shared" ref="F16:AI16" si="172">SUM(F17,F20:F21)</f>
        <v>-38.634999999999998</v>
      </c>
      <c r="G16" s="390">
        <f t="shared" si="172"/>
        <v>-57.341000000000001</v>
      </c>
      <c r="H16" s="390">
        <f t="shared" si="172"/>
        <v>-18.567</v>
      </c>
      <c r="I16" s="390">
        <f t="shared" si="172"/>
        <v>-37.135000000000005</v>
      </c>
      <c r="J16" s="390">
        <f t="shared" si="172"/>
        <v>-27.122000000000003</v>
      </c>
      <c r="K16" s="390">
        <f t="shared" si="172"/>
        <v>-45.468999999999994</v>
      </c>
      <c r="L16" s="390">
        <f t="shared" si="172"/>
        <v>-13.763999999999996</v>
      </c>
      <c r="M16" s="390">
        <f t="shared" si="172"/>
        <v>-10.373999999999992</v>
      </c>
      <c r="N16" s="390">
        <f t="shared" si="172"/>
        <v>-38.561999999999998</v>
      </c>
      <c r="O16" s="390">
        <f t="shared" si="172"/>
        <v>-43.19</v>
      </c>
      <c r="P16" s="390">
        <f t="shared" si="172"/>
        <v>-30.643999999999995</v>
      </c>
      <c r="Q16" s="390">
        <f t="shared" si="172"/>
        <v>-41.815000000000005</v>
      </c>
      <c r="R16" s="390">
        <f t="shared" si="172"/>
        <v>-33.206000000000003</v>
      </c>
      <c r="S16" s="390">
        <f t="shared" si="172"/>
        <v>-53.005000000000003</v>
      </c>
      <c r="T16" s="390">
        <f t="shared" si="172"/>
        <v>-28.914999999999999</v>
      </c>
      <c r="U16" s="390">
        <f t="shared" si="172"/>
        <v>-48.444000000000003</v>
      </c>
      <c r="V16" s="390">
        <f t="shared" si="172"/>
        <v>-36.099000000000004</v>
      </c>
      <c r="W16" s="390">
        <f t="shared" si="172"/>
        <v>-55.562999999999995</v>
      </c>
      <c r="X16" s="390">
        <f t="shared" si="172"/>
        <v>-15.093999999999998</v>
      </c>
      <c r="Y16" s="390">
        <f t="shared" si="172"/>
        <v>-38.787999999999997</v>
      </c>
      <c r="Z16" s="390">
        <f t="shared" si="172"/>
        <v>-40.164999999999999</v>
      </c>
      <c r="AA16" s="390">
        <f t="shared" si="172"/>
        <v>-64.670999999999992</v>
      </c>
      <c r="AB16" s="390">
        <f t="shared" si="172"/>
        <v>-44.592999999999996</v>
      </c>
      <c r="AC16" s="390">
        <f t="shared" si="172"/>
        <v>-54.021000000000001</v>
      </c>
      <c r="AD16" s="390">
        <f t="shared" si="172"/>
        <v>-56.203000000000003</v>
      </c>
      <c r="AE16" s="390">
        <f t="shared" si="172"/>
        <v>-66.308000000000021</v>
      </c>
      <c r="AF16" s="390">
        <f t="shared" si="172"/>
        <v>-46.39200000000001</v>
      </c>
      <c r="AG16" s="390">
        <f t="shared" si="172"/>
        <v>-58.651000000000003</v>
      </c>
      <c r="AH16" s="390">
        <f t="shared" si="172"/>
        <v>-53.392000000000003</v>
      </c>
      <c r="AI16" s="390">
        <f t="shared" si="172"/>
        <v>17.407000000000004</v>
      </c>
      <c r="AJ16" s="390">
        <f t="shared" ref="AJ16:AO16" si="173">SUM(AJ17,AJ20:AJ21)</f>
        <v>-63.76700000000001</v>
      </c>
      <c r="AK16" s="475">
        <f t="shared" si="173"/>
        <v>-49.667999999999999</v>
      </c>
      <c r="AL16" s="475">
        <f>SUM(AL17,AL20:AL21)</f>
        <v>-46.506999999999998</v>
      </c>
      <c r="AM16" s="475">
        <f t="shared" si="173"/>
        <v>-65.915999999999997</v>
      </c>
      <c r="AN16" s="475">
        <f t="shared" si="173"/>
        <v>-70.494</v>
      </c>
      <c r="AO16" s="475">
        <f t="shared" si="173"/>
        <v>-71.027999999999992</v>
      </c>
      <c r="AP16" s="475">
        <f t="shared" ref="AP16:AQ16" si="174">SUM(AP17,AP20:AP21)</f>
        <v>-69.284999999999997</v>
      </c>
      <c r="AQ16" s="475">
        <f t="shared" si="174"/>
        <v>-73.031000000000006</v>
      </c>
      <c r="AR16" s="475">
        <f t="shared" ref="AR16:AS16" si="175">SUM(AR17,AR20:AR21)</f>
        <v>-62.33</v>
      </c>
      <c r="AS16" s="475">
        <f t="shared" si="175"/>
        <v>82.284000000000006</v>
      </c>
      <c r="AT16" s="363">
        <f t="shared" ref="AT16" si="176">SUM(AT17,AT20:AT21)</f>
        <v>-74.852999999999994</v>
      </c>
      <c r="AU16" s="392">
        <f t="shared" ref="AU16:BI16" si="177">SUM(AU17,AU20:AU21)</f>
        <v>-67.453564508041325</v>
      </c>
      <c r="AV16" s="392">
        <f t="shared" si="177"/>
        <v>-71.591630517068253</v>
      </c>
      <c r="AW16" s="392">
        <f t="shared" si="177"/>
        <v>-76.366050743745944</v>
      </c>
      <c r="AX16" s="392">
        <f t="shared" si="177"/>
        <v>-83.692761412672141</v>
      </c>
      <c r="AY16" s="392">
        <f t="shared" si="177"/>
        <v>-71.973685812050306</v>
      </c>
      <c r="AZ16" s="392">
        <f t="shared" si="177"/>
        <v>-76.389047179168628</v>
      </c>
      <c r="BA16" s="392">
        <f t="shared" si="177"/>
        <v>-77.276550928500441</v>
      </c>
      <c r="BB16" s="392">
        <f t="shared" si="177"/>
        <v>-88.237890681359715</v>
      </c>
      <c r="BC16" s="392">
        <f t="shared" si="177"/>
        <v>-75.882383534983148</v>
      </c>
      <c r="BD16" s="392">
        <f t="shared" si="177"/>
        <v>-80.537531328583086</v>
      </c>
      <c r="BE16" s="392">
        <f t="shared" si="177"/>
        <v>-81.473233024775183</v>
      </c>
      <c r="BF16" s="392">
        <f t="shared" si="177"/>
        <v>-93.396404547669974</v>
      </c>
      <c r="BG16" s="392">
        <f t="shared" si="177"/>
        <v>-80.318576701560929</v>
      </c>
      <c r="BH16" s="392">
        <f t="shared" si="177"/>
        <v>-85.245871123526271</v>
      </c>
      <c r="BI16" s="392">
        <f t="shared" si="177"/>
        <v>-86.236275285260845</v>
      </c>
      <c r="BJ16" s="392">
        <f t="shared" ref="BJ16:BY16" si="178">SUM(BJ17,BJ20:BJ21)</f>
        <v>-111.84241851233027</v>
      </c>
      <c r="BK16" s="392">
        <f t="shared" si="178"/>
        <v>-80.318576701560914</v>
      </c>
      <c r="BL16" s="392">
        <f t="shared" si="178"/>
        <v>-85.2458711235263</v>
      </c>
      <c r="BM16" s="392">
        <f t="shared" si="178"/>
        <v>-86.236275285260859</v>
      </c>
      <c r="BN16" s="392">
        <f t="shared" si="178"/>
        <v>-131.27771540800742</v>
      </c>
      <c r="BO16" s="392">
        <f t="shared" si="178"/>
        <v>-80.318576701560914</v>
      </c>
      <c r="BP16" s="392">
        <f t="shared" si="178"/>
        <v>-85.2458711235263</v>
      </c>
      <c r="BQ16" s="392">
        <f t="shared" si="178"/>
        <v>-86.236275285260874</v>
      </c>
      <c r="BR16" s="392">
        <f t="shared" si="178"/>
        <v>-151.74660491529082</v>
      </c>
      <c r="BS16" s="392">
        <f t="shared" si="178"/>
        <v>-80.318576701560929</v>
      </c>
      <c r="BT16" s="392">
        <f t="shared" si="178"/>
        <v>-85.2458711235263</v>
      </c>
      <c r="BU16" s="392">
        <f t="shared" si="178"/>
        <v>-86.236275285260874</v>
      </c>
      <c r="BV16" s="392">
        <f t="shared" si="178"/>
        <v>-173.29906968367825</v>
      </c>
      <c r="BW16" s="392">
        <f t="shared" si="178"/>
        <v>-80.318576701560943</v>
      </c>
      <c r="BX16" s="392">
        <f t="shared" si="178"/>
        <v>-85.245871123526314</v>
      </c>
      <c r="BY16" s="392">
        <f t="shared" si="178"/>
        <v>-86.236275285260859</v>
      </c>
    </row>
    <row r="17" spans="1:77" s="123" customFormat="1" ht="13.5" customHeight="1">
      <c r="A17" s="399" t="s">
        <v>1647</v>
      </c>
      <c r="B17" s="390">
        <f>SUM(B18:B19)</f>
        <v>-27.901</v>
      </c>
      <c r="C17" s="390">
        <f>SUM(C18:C19)</f>
        <v>-38.959000000000003</v>
      </c>
      <c r="D17" s="390">
        <f>SUM(D18:D19)</f>
        <v>-34.856999999999999</v>
      </c>
      <c r="E17" s="390">
        <f>SUM(E18:E19)</f>
        <v>-28.044</v>
      </c>
      <c r="F17" s="390">
        <f t="shared" ref="F17:AG17" si="179">SUM(F18:F19)</f>
        <v>-36.563000000000002</v>
      </c>
      <c r="G17" s="390">
        <f t="shared" si="179"/>
        <v>-36.884999999999998</v>
      </c>
      <c r="H17" s="390">
        <f t="shared" si="179"/>
        <v>-26.439</v>
      </c>
      <c r="I17" s="390">
        <f t="shared" si="179"/>
        <v>-33.96</v>
      </c>
      <c r="J17" s="390">
        <f t="shared" si="179"/>
        <v>-25.344000000000001</v>
      </c>
      <c r="K17" s="390">
        <f t="shared" si="179"/>
        <v>-42.347999999999999</v>
      </c>
      <c r="L17" s="390">
        <f t="shared" si="179"/>
        <v>-31.823999999999998</v>
      </c>
      <c r="M17" s="390">
        <f t="shared" si="179"/>
        <v>-35.638999999999996</v>
      </c>
      <c r="N17" s="390">
        <f t="shared" si="179"/>
        <v>-36</v>
      </c>
      <c r="O17" s="390">
        <f t="shared" si="179"/>
        <v>-43.323999999999998</v>
      </c>
      <c r="P17" s="390">
        <f t="shared" si="179"/>
        <v>-31.918999999999997</v>
      </c>
      <c r="Q17" s="390">
        <f t="shared" si="179"/>
        <v>-43.148000000000003</v>
      </c>
      <c r="R17" s="390">
        <f t="shared" si="179"/>
        <v>-35.733000000000004</v>
      </c>
      <c r="S17" s="390">
        <f t="shared" si="179"/>
        <v>-52.78</v>
      </c>
      <c r="T17" s="390">
        <f t="shared" si="179"/>
        <v>-43.521000000000001</v>
      </c>
      <c r="U17" s="390">
        <f t="shared" si="179"/>
        <v>-27.292000000000002</v>
      </c>
      <c r="V17" s="390">
        <f t="shared" si="179"/>
        <v>-36.987000000000002</v>
      </c>
      <c r="W17" s="390">
        <f t="shared" si="179"/>
        <v>-53.132999999999996</v>
      </c>
      <c r="X17" s="390">
        <f t="shared" si="179"/>
        <v>-42.396999999999998</v>
      </c>
      <c r="Y17" s="390">
        <f t="shared" si="179"/>
        <v>-39.561999999999998</v>
      </c>
      <c r="Z17" s="390">
        <f t="shared" si="179"/>
        <v>-38.997</v>
      </c>
      <c r="AA17" s="390">
        <f t="shared" si="179"/>
        <v>-63.878999999999998</v>
      </c>
      <c r="AB17" s="390">
        <f t="shared" si="179"/>
        <v>-43.802999999999997</v>
      </c>
      <c r="AC17" s="390">
        <f t="shared" si="179"/>
        <v>-53.347999999999999</v>
      </c>
      <c r="AD17" s="390">
        <f t="shared" si="179"/>
        <v>-55.304000000000002</v>
      </c>
      <c r="AE17" s="390">
        <f t="shared" si="179"/>
        <v>-73.64500000000001</v>
      </c>
      <c r="AF17" s="390">
        <f t="shared" si="179"/>
        <v>-49.156000000000006</v>
      </c>
      <c r="AG17" s="390">
        <f t="shared" si="179"/>
        <v>-50.274000000000001</v>
      </c>
      <c r="AH17" s="390">
        <f t="shared" ref="AH17:AM17" si="180">SUM(AH18:AH19)</f>
        <v>-55.22</v>
      </c>
      <c r="AI17" s="390">
        <f t="shared" si="180"/>
        <v>-58.677999999999997</v>
      </c>
      <c r="AJ17" s="390">
        <f t="shared" si="180"/>
        <v>-70.905000000000001</v>
      </c>
      <c r="AK17" s="475">
        <f t="shared" si="180"/>
        <v>-73.081999999999994</v>
      </c>
      <c r="AL17" s="475">
        <f t="shared" si="180"/>
        <v>-48.082000000000001</v>
      </c>
      <c r="AM17" s="475">
        <f t="shared" si="180"/>
        <v>-69.11099999999999</v>
      </c>
      <c r="AN17" s="475">
        <f t="shared" ref="AN17" si="181">SUM(AN18:AN19)</f>
        <v>-70.622</v>
      </c>
      <c r="AO17" s="475">
        <f t="shared" ref="AO17:AP17" si="182">SUM(AO18:AO19)</f>
        <v>-77.312999999999988</v>
      </c>
      <c r="AP17" s="475">
        <f t="shared" si="182"/>
        <v>-70.075000000000003</v>
      </c>
      <c r="AQ17" s="475">
        <f t="shared" ref="AQ17:AR17" si="183">SUM(AQ18:AQ19)</f>
        <v>-75.33</v>
      </c>
      <c r="AR17" s="475">
        <f t="shared" si="183"/>
        <v>-62.72</v>
      </c>
      <c r="AS17" s="475">
        <f t="shared" ref="AS17:AT17" si="184">SUM(AS18:AS19)</f>
        <v>-62.933999999999997</v>
      </c>
      <c r="AT17" s="363">
        <f t="shared" si="184"/>
        <v>-74.587999999999994</v>
      </c>
      <c r="AU17" s="620">
        <f t="shared" ref="AU17:BI17" si="185">SUM(AU18:AU19)</f>
        <v>-67.599218758864026</v>
      </c>
      <c r="AV17" s="620">
        <f t="shared" si="185"/>
        <v>-71.746220202345683</v>
      </c>
      <c r="AW17" s="620">
        <f t="shared" si="185"/>
        <v>-76.59780680764581</v>
      </c>
      <c r="AX17" s="620">
        <f t="shared" si="185"/>
        <v>-83.862131736357924</v>
      </c>
      <c r="AY17" s="620">
        <f t="shared" si="185"/>
        <v>-72.119340062873007</v>
      </c>
      <c r="AZ17" s="620">
        <f t="shared" si="185"/>
        <v>-76.543636864446057</v>
      </c>
      <c r="BA17" s="620">
        <f t="shared" si="185"/>
        <v>-77.432936668714518</v>
      </c>
      <c r="BB17" s="620">
        <f t="shared" si="185"/>
        <v>-88.407261005045498</v>
      </c>
      <c r="BC17" s="620">
        <f t="shared" si="185"/>
        <v>-76.02803778580585</v>
      </c>
      <c r="BD17" s="620">
        <f t="shared" si="185"/>
        <v>-80.692121013860515</v>
      </c>
      <c r="BE17" s="620">
        <f t="shared" si="185"/>
        <v>-81.62961876498926</v>
      </c>
      <c r="BF17" s="620">
        <f t="shared" si="185"/>
        <v>-93.565774871355757</v>
      </c>
      <c r="BG17" s="620">
        <f t="shared" si="185"/>
        <v>-80.46423095238363</v>
      </c>
      <c r="BH17" s="620">
        <f t="shared" si="185"/>
        <v>-85.4004608088037</v>
      </c>
      <c r="BI17" s="620">
        <f t="shared" si="185"/>
        <v>-86.392661025474922</v>
      </c>
      <c r="BJ17" s="620">
        <f t="shared" ref="BJ17:BY17" si="186">SUM(BJ18:BJ19)</f>
        <v>-112.01178883601605</v>
      </c>
      <c r="BK17" s="620">
        <f t="shared" si="186"/>
        <v>-80.464230952383616</v>
      </c>
      <c r="BL17" s="620">
        <f t="shared" si="186"/>
        <v>-85.400460808803729</v>
      </c>
      <c r="BM17" s="620">
        <f t="shared" si="186"/>
        <v>-86.392661025474936</v>
      </c>
      <c r="BN17" s="620">
        <f t="shared" si="186"/>
        <v>-131.44708573169322</v>
      </c>
      <c r="BO17" s="620">
        <f t="shared" si="186"/>
        <v>-80.464230952383616</v>
      </c>
      <c r="BP17" s="620">
        <f t="shared" si="186"/>
        <v>-85.400460808803729</v>
      </c>
      <c r="BQ17" s="620">
        <f t="shared" si="186"/>
        <v>-86.392661025474951</v>
      </c>
      <c r="BR17" s="620">
        <f t="shared" si="186"/>
        <v>-151.91597523897661</v>
      </c>
      <c r="BS17" s="620">
        <f t="shared" si="186"/>
        <v>-80.46423095238363</v>
      </c>
      <c r="BT17" s="620">
        <f t="shared" si="186"/>
        <v>-85.400460808803729</v>
      </c>
      <c r="BU17" s="620">
        <f t="shared" si="186"/>
        <v>-86.392661025474951</v>
      </c>
      <c r="BV17" s="620">
        <f t="shared" si="186"/>
        <v>-173.46844000736405</v>
      </c>
      <c r="BW17" s="620">
        <f t="shared" si="186"/>
        <v>-80.464230952383645</v>
      </c>
      <c r="BX17" s="620">
        <f t="shared" si="186"/>
        <v>-85.400460808803743</v>
      </c>
      <c r="BY17" s="620">
        <f t="shared" si="186"/>
        <v>-86.392661025474936</v>
      </c>
    </row>
    <row r="18" spans="1:77" s="106" customFormat="1" ht="13.5" customHeight="1">
      <c r="A18" s="2369" t="s">
        <v>169</v>
      </c>
      <c r="B18" s="202">
        <f>'Quarterly historicals'!B157</f>
        <v>-9.3949999999999996</v>
      </c>
      <c r="C18" s="202">
        <f>'Quarterly historicals'!C157</f>
        <v>-18.834</v>
      </c>
      <c r="D18" s="202">
        <f>'Quarterly historicals'!D157</f>
        <v>-13.651999999999999</v>
      </c>
      <c r="E18" s="202">
        <f>'Quarterly historicals'!E157</f>
        <v>-12.968</v>
      </c>
      <c r="F18" s="202">
        <f>'Quarterly historicals'!F157</f>
        <v>-13.904</v>
      </c>
      <c r="G18" s="202">
        <f>'Quarterly historicals'!G157</f>
        <v>-12.289</v>
      </c>
      <c r="H18" s="202">
        <f>'Quarterly historicals'!H157</f>
        <v>-4.9489999999999998</v>
      </c>
      <c r="I18" s="202">
        <f>'Quarterly historicals'!I157</f>
        <v>-11.481999999999999</v>
      </c>
      <c r="J18" s="202">
        <f>'Quarterly historicals'!J157</f>
        <v>-2.87</v>
      </c>
      <c r="K18" s="202">
        <f>'Quarterly historicals'!K157</f>
        <v>-11.409000000000001</v>
      </c>
      <c r="L18" s="202">
        <f>'Quarterly historicals'!L157</f>
        <v>-10.706</v>
      </c>
      <c r="M18" s="202">
        <f>'Quarterly historicals'!M157</f>
        <v>-9.9939999999999998</v>
      </c>
      <c r="N18" s="202">
        <f>'Quarterly historicals'!N157</f>
        <v>-14.475</v>
      </c>
      <c r="O18" s="202">
        <f>'Quarterly historicals'!O157</f>
        <v>-19.484000000000002</v>
      </c>
      <c r="P18" s="202">
        <f>'Quarterly historicals'!P157</f>
        <v>-13.196</v>
      </c>
      <c r="Q18" s="202">
        <f>'Quarterly historicals'!Q157</f>
        <v>-14.298</v>
      </c>
      <c r="R18" s="202">
        <f>'Quarterly historicals'!R157</f>
        <v>-14.308</v>
      </c>
      <c r="S18" s="202">
        <f>'Quarterly historicals'!S157</f>
        <v>-18.446000000000002</v>
      </c>
      <c r="T18" s="202">
        <f>'Quarterly historicals'!T157</f>
        <v>-18.071999999999999</v>
      </c>
      <c r="U18" s="202">
        <f>'Quarterly historicals'!U157</f>
        <v>-7.37</v>
      </c>
      <c r="V18" s="202">
        <f>'Quarterly historicals'!V157</f>
        <v>-13.406000000000001</v>
      </c>
      <c r="W18" s="202">
        <f>'Quarterly historicals'!W157</f>
        <v>-18.710999999999999</v>
      </c>
      <c r="X18" s="202">
        <f>'Quarterly historicals'!X157</f>
        <v>-14.119</v>
      </c>
      <c r="Y18" s="202">
        <f>'Quarterly historicals'!Y157</f>
        <v>-7.5119999999999996</v>
      </c>
      <c r="Z18" s="202">
        <f>'Quarterly historicals'!Z157</f>
        <v>-8.9779999999999998</v>
      </c>
      <c r="AA18" s="202">
        <f>'Quarterly historicals'!AA157</f>
        <v>-28.195</v>
      </c>
      <c r="AB18" s="202">
        <f>'Quarterly historicals'!AB157</f>
        <v>-17.344999999999999</v>
      </c>
      <c r="AC18" s="202">
        <f>'Quarterly historicals'!AC157</f>
        <v>-17.948</v>
      </c>
      <c r="AD18" s="202">
        <f>'Quarterly historicals'!AD157</f>
        <v>-22.882000000000001</v>
      </c>
      <c r="AE18" s="202">
        <f>'Quarterly historicals'!AE157</f>
        <v>-33.225000000000001</v>
      </c>
      <c r="AF18" s="202">
        <f>'Quarterly historicals'!AF157</f>
        <v>-17.478000000000002</v>
      </c>
      <c r="AG18" s="202">
        <f>'Quarterly historicals'!AG157</f>
        <v>-16.744</v>
      </c>
      <c r="AH18" s="202">
        <f>'Quarterly historicals'!AH157</f>
        <v>-19.77</v>
      </c>
      <c r="AI18" s="202">
        <f>'Quarterly historicals'!AI157</f>
        <v>-23.202999999999999</v>
      </c>
      <c r="AJ18" s="202">
        <f>'Quarterly historicals'!AJ157</f>
        <v>-23.195</v>
      </c>
      <c r="AK18" s="327">
        <f>'Quarterly historicals'!AK157</f>
        <v>-28.05</v>
      </c>
      <c r="AL18" s="327">
        <f>'Quarterly historicals'!AL157</f>
        <v>-14.656000000000001</v>
      </c>
      <c r="AM18" s="327">
        <f>'Quarterly historicals'!AM157</f>
        <v>-27.9</v>
      </c>
      <c r="AN18" s="327">
        <f>'Quarterly historicals'!AN157</f>
        <v>-32.923000000000002</v>
      </c>
      <c r="AO18" s="327">
        <f>'Quarterly historicals'!AO157</f>
        <v>-33.665999999999997</v>
      </c>
      <c r="AP18" s="327">
        <f>'Quarterly historicals'!AP157</f>
        <v>-27.132000000000001</v>
      </c>
      <c r="AQ18" s="327">
        <f>'Quarterly historicals'!AQ157</f>
        <v>-29.850999999999999</v>
      </c>
      <c r="AR18" s="327">
        <f>'Quarterly historicals'!AR157</f>
        <v>-21.079000000000001</v>
      </c>
      <c r="AS18" s="327">
        <f>'Quarterly historicals'!AS157</f>
        <v>-28.757999999999999</v>
      </c>
      <c r="AT18" s="358">
        <f>'Quarterly historicals'!AT157</f>
        <v>-29.013999999999999</v>
      </c>
      <c r="AU18" s="356">
        <f>Q_IS!BQ153</f>
        <v>-28.006546693717397</v>
      </c>
      <c r="AV18" s="356">
        <f>Q_IS!BR153</f>
        <v>-29.724661069862506</v>
      </c>
      <c r="AW18" s="356">
        <f>Q_IS!BS153</f>
        <v>-33.622705505275633</v>
      </c>
      <c r="AX18" s="356">
        <f>Q_IS!BT153</f>
        <v>-35.93222753274091</v>
      </c>
      <c r="AY18" s="356">
        <f>Q_IS!BU153</f>
        <v>-30.900818796224094</v>
      </c>
      <c r="AZ18" s="356">
        <f>Q_IS!BV153</f>
        <v>-32.796487747810957</v>
      </c>
      <c r="BA18" s="356">
        <f>Q_IS!BW153</f>
        <v>-33.177524125615577</v>
      </c>
      <c r="BB18" s="356">
        <f>Q_IS!BX153</f>
        <v>-38.503594205816633</v>
      </c>
      <c r="BC18" s="356">
        <f>Q_IS!BY153</f>
        <v>-33.11212995278855</v>
      </c>
      <c r="BD18" s="356">
        <f>Q_IS!BZ153</f>
        <v>-35.143455953770783</v>
      </c>
      <c r="BE18" s="356">
        <f>Q_IS!CA153</f>
        <v>-35.551759893605173</v>
      </c>
      <c r="BF18" s="356">
        <f>Q_IS!CB153</f>
        <v>-41.601499922308122</v>
      </c>
      <c r="BG18" s="356">
        <f>Q_IS!CC153</f>
        <v>-35.776251544077724</v>
      </c>
      <c r="BH18" s="356">
        <f>Q_IS!CD153</f>
        <v>-37.97101310374736</v>
      </c>
      <c r="BI18" s="356">
        <f>Q_IS!CE153</f>
        <v>-38.412168187361132</v>
      </c>
      <c r="BJ18" s="356">
        <f>Q_IS!CF153</f>
        <v>-52.096309311345408</v>
      </c>
      <c r="BK18" s="356">
        <f>Q_IS!CG153</f>
        <v>-35.776251544077716</v>
      </c>
      <c r="BL18" s="356">
        <f>Q_IS!CH153</f>
        <v>-37.971013103747353</v>
      </c>
      <c r="BM18" s="356">
        <f>Q_IS!CI153</f>
        <v>-38.412168187361146</v>
      </c>
      <c r="BN18" s="356">
        <f>Q_IS!CJ153</f>
        <v>-63.230548630072114</v>
      </c>
      <c r="BO18" s="356">
        <f>Q_IS!CK153</f>
        <v>-35.776251544077709</v>
      </c>
      <c r="BP18" s="356">
        <f>Q_IS!CL153</f>
        <v>-37.971013103747339</v>
      </c>
      <c r="BQ18" s="356">
        <f>Q_IS!CM153</f>
        <v>-38.412168187361168</v>
      </c>
      <c r="BR18" s="356">
        <f>Q_IS!CN153</f>
        <v>-75.033134027019244</v>
      </c>
      <c r="BS18" s="356">
        <f>Q_IS!CO153</f>
        <v>-35.776251544077724</v>
      </c>
      <c r="BT18" s="356">
        <f>Q_IS!CP153</f>
        <v>-37.971013103747332</v>
      </c>
      <c r="BU18" s="356">
        <f>Q_IS!CQ153</f>
        <v>-38.412168187361161</v>
      </c>
      <c r="BV18" s="356">
        <f>Q_IS!CR153</f>
        <v>-87.537977304215616</v>
      </c>
      <c r="BW18" s="356">
        <f>Q_IS!CS153</f>
        <v>-35.776251544077716</v>
      </c>
      <c r="BX18" s="356">
        <f>Q_IS!CT153</f>
        <v>-37.971013103747325</v>
      </c>
      <c r="BY18" s="356">
        <f>Q_IS!CU153</f>
        <v>-38.412168187361146</v>
      </c>
    </row>
    <row r="19" spans="1:77" s="106" customFormat="1" ht="13.5" customHeight="1">
      <c r="A19" s="2369" t="s">
        <v>170</v>
      </c>
      <c r="B19" s="202">
        <f>'Quarterly historicals'!B158</f>
        <v>-18.506</v>
      </c>
      <c r="C19" s="202">
        <f>'Quarterly historicals'!C158</f>
        <v>-20.125</v>
      </c>
      <c r="D19" s="202">
        <f>'Quarterly historicals'!D158</f>
        <v>-21.204999999999998</v>
      </c>
      <c r="E19" s="202">
        <f>'Quarterly historicals'!E158</f>
        <v>-15.076000000000001</v>
      </c>
      <c r="F19" s="202">
        <f>'Quarterly historicals'!F158</f>
        <v>-22.658999999999999</v>
      </c>
      <c r="G19" s="202">
        <f>'Quarterly historicals'!G158</f>
        <v>-24.596</v>
      </c>
      <c r="H19" s="202">
        <f>'Quarterly historicals'!H158</f>
        <v>-21.49</v>
      </c>
      <c r="I19" s="202">
        <f>'Quarterly historicals'!I158</f>
        <v>-22.478000000000002</v>
      </c>
      <c r="J19" s="202">
        <f>'Quarterly historicals'!J158</f>
        <v>-22.474</v>
      </c>
      <c r="K19" s="202">
        <f>'Quarterly historicals'!K158</f>
        <v>-30.939</v>
      </c>
      <c r="L19" s="202">
        <f>'Quarterly historicals'!L158</f>
        <v>-21.117999999999999</v>
      </c>
      <c r="M19" s="202">
        <f>'Quarterly historicals'!M158</f>
        <v>-25.645</v>
      </c>
      <c r="N19" s="202">
        <f>'Quarterly historicals'!N158</f>
        <v>-21.524999999999999</v>
      </c>
      <c r="O19" s="202">
        <f>'Quarterly historicals'!O158</f>
        <v>-23.84</v>
      </c>
      <c r="P19" s="202">
        <f>'Quarterly historicals'!P158</f>
        <v>-18.722999999999999</v>
      </c>
      <c r="Q19" s="202">
        <f>'Quarterly historicals'!Q158</f>
        <v>-28.85</v>
      </c>
      <c r="R19" s="202">
        <f>'Quarterly historicals'!R158</f>
        <v>-21.425000000000001</v>
      </c>
      <c r="S19" s="202">
        <f>'Quarterly historicals'!S158</f>
        <v>-34.334000000000003</v>
      </c>
      <c r="T19" s="202">
        <f>'Quarterly historicals'!T158</f>
        <v>-25.449000000000002</v>
      </c>
      <c r="U19" s="202">
        <f>'Quarterly historicals'!U158</f>
        <v>-19.922000000000001</v>
      </c>
      <c r="V19" s="202">
        <f>'Quarterly historicals'!V158</f>
        <v>-23.581</v>
      </c>
      <c r="W19" s="202">
        <f>'Quarterly historicals'!W158</f>
        <v>-34.421999999999997</v>
      </c>
      <c r="X19" s="202">
        <f>'Quarterly historicals'!X158</f>
        <v>-28.277999999999999</v>
      </c>
      <c r="Y19" s="202">
        <f>'Quarterly historicals'!Y158</f>
        <v>-32.049999999999997</v>
      </c>
      <c r="Z19" s="202">
        <f>'Quarterly historicals'!Z158</f>
        <v>-30.018999999999998</v>
      </c>
      <c r="AA19" s="202">
        <f>'Quarterly historicals'!AA158</f>
        <v>-35.683999999999997</v>
      </c>
      <c r="AB19" s="202">
        <f>'Quarterly historicals'!AB158</f>
        <v>-26.457999999999998</v>
      </c>
      <c r="AC19" s="202">
        <f>'Quarterly historicals'!AC158</f>
        <v>-35.4</v>
      </c>
      <c r="AD19" s="202">
        <f>'Quarterly historicals'!AD158</f>
        <v>-32.421999999999997</v>
      </c>
      <c r="AE19" s="202">
        <f>'Quarterly historicals'!AE158</f>
        <v>-40.42</v>
      </c>
      <c r="AF19" s="202">
        <f>'Quarterly historicals'!AF158</f>
        <v>-31.678000000000001</v>
      </c>
      <c r="AG19" s="202">
        <f>'Quarterly historicals'!AG158</f>
        <v>-33.53</v>
      </c>
      <c r="AH19" s="202">
        <f>'Quarterly historicals'!AH158</f>
        <v>-35.450000000000003</v>
      </c>
      <c r="AI19" s="202">
        <f>'Quarterly historicals'!AI158</f>
        <v>-35.475000000000001</v>
      </c>
      <c r="AJ19" s="202">
        <f>'Quarterly historicals'!AJ158</f>
        <v>-47.71</v>
      </c>
      <c r="AK19" s="327">
        <f>'Quarterly historicals'!AK158</f>
        <v>-45.031999999999996</v>
      </c>
      <c r="AL19" s="327">
        <f>'Quarterly historicals'!AL158</f>
        <v>-33.426000000000002</v>
      </c>
      <c r="AM19" s="327">
        <f>'Quarterly historicals'!AM158</f>
        <v>-41.210999999999999</v>
      </c>
      <c r="AN19" s="327">
        <f>'Quarterly historicals'!AN158</f>
        <v>-37.698999999999998</v>
      </c>
      <c r="AO19" s="327">
        <f>'Quarterly historicals'!AO158</f>
        <v>-43.646999999999998</v>
      </c>
      <c r="AP19" s="327">
        <f>'Quarterly historicals'!AP158</f>
        <v>-42.942999999999998</v>
      </c>
      <c r="AQ19" s="327">
        <f>'Quarterly historicals'!AQ158</f>
        <v>-45.478999999999999</v>
      </c>
      <c r="AR19" s="327">
        <f>'Quarterly historicals'!AR158</f>
        <v>-41.640999999999998</v>
      </c>
      <c r="AS19" s="327">
        <f>'Quarterly historicals'!AS158</f>
        <v>-34.176000000000002</v>
      </c>
      <c r="AT19" s="358">
        <f>'Quarterly historicals'!AT158</f>
        <v>-45.573999999999998</v>
      </c>
      <c r="AU19" s="356">
        <f>Q_IS!BQ165</f>
        <v>-39.59267206514663</v>
      </c>
      <c r="AV19" s="356">
        <f>Q_IS!BR165</f>
        <v>-42.021559132483176</v>
      </c>
      <c r="AW19" s="356">
        <f>Q_IS!BS165</f>
        <v>-42.975101302370177</v>
      </c>
      <c r="AX19" s="356">
        <f>Q_IS!BT165</f>
        <v>-47.929904203617014</v>
      </c>
      <c r="AY19" s="356">
        <f>Q_IS!BU165</f>
        <v>-41.218521266648914</v>
      </c>
      <c r="AZ19" s="356">
        <f>Q_IS!BV165</f>
        <v>-43.747149116635107</v>
      </c>
      <c r="BA19" s="356">
        <f>Q_IS!BW165</f>
        <v>-44.255412543098942</v>
      </c>
      <c r="BB19" s="356">
        <f>Q_IS!BX165</f>
        <v>-49.903666799228866</v>
      </c>
      <c r="BC19" s="356">
        <f>Q_IS!BY165</f>
        <v>-42.9159078330173</v>
      </c>
      <c r="BD19" s="356">
        <f>Q_IS!BZ165</f>
        <v>-45.548665060089725</v>
      </c>
      <c r="BE19" s="356">
        <f>Q_IS!CA165</f>
        <v>-46.077858871384088</v>
      </c>
      <c r="BF19" s="356">
        <f>Q_IS!CB165</f>
        <v>-51.964274949047642</v>
      </c>
      <c r="BG19" s="356">
        <f>Q_IS!CC165</f>
        <v>-44.687979408305907</v>
      </c>
      <c r="BH19" s="356">
        <f>Q_IS!CD165</f>
        <v>-47.429447705056347</v>
      </c>
      <c r="BI19" s="356">
        <f>Q_IS!CE165</f>
        <v>-47.980492838113797</v>
      </c>
      <c r="BJ19" s="356">
        <f>Q_IS!CF165</f>
        <v>-59.915479524670644</v>
      </c>
      <c r="BK19" s="356">
        <f>Q_IS!CG165</f>
        <v>-44.687979408305907</v>
      </c>
      <c r="BL19" s="356">
        <f>Q_IS!CH165</f>
        <v>-47.429447705056369</v>
      </c>
      <c r="BM19" s="356">
        <f>Q_IS!CI165</f>
        <v>-47.98049283811379</v>
      </c>
      <c r="BN19" s="356">
        <f>Q_IS!CJ165</f>
        <v>-68.216537101621114</v>
      </c>
      <c r="BO19" s="356">
        <f>Q_IS!CK165</f>
        <v>-44.6879794083059</v>
      </c>
      <c r="BP19" s="356">
        <f>Q_IS!CL165</f>
        <v>-47.42944770505639</v>
      </c>
      <c r="BQ19" s="356">
        <f>Q_IS!CM165</f>
        <v>-47.98049283811379</v>
      </c>
      <c r="BR19" s="356">
        <f>Q_IS!CN165</f>
        <v>-76.882841211957384</v>
      </c>
      <c r="BS19" s="356">
        <f>Q_IS!CO165</f>
        <v>-44.687979408305907</v>
      </c>
      <c r="BT19" s="356">
        <f>Q_IS!CP165</f>
        <v>-47.429447705056404</v>
      </c>
      <c r="BU19" s="356">
        <f>Q_IS!CQ165</f>
        <v>-47.98049283811379</v>
      </c>
      <c r="BV19" s="356">
        <f>Q_IS!CR165</f>
        <v>-85.930462703148422</v>
      </c>
      <c r="BW19" s="356">
        <f>Q_IS!CS165</f>
        <v>-44.687979408305921</v>
      </c>
      <c r="BX19" s="356">
        <f>Q_IS!CT165</f>
        <v>-47.429447705056418</v>
      </c>
      <c r="BY19" s="356">
        <f>Q_IS!CU165</f>
        <v>-47.98049283811379</v>
      </c>
    </row>
    <row r="20" spans="1:77" s="106" customFormat="1" ht="13.5" customHeight="1">
      <c r="A20" s="396" t="s">
        <v>175</v>
      </c>
      <c r="B20" s="374">
        <f>'Quarterly historicals'!B159</f>
        <v>-1.663</v>
      </c>
      <c r="C20" s="374">
        <f>'Quarterly historicals'!C159</f>
        <v>-1.766</v>
      </c>
      <c r="D20" s="374">
        <f>'Quarterly historicals'!D159</f>
        <v>-2.3439999999999999</v>
      </c>
      <c r="E20" s="374">
        <f>'Quarterly historicals'!E159</f>
        <v>-1.9019999999999999</v>
      </c>
      <c r="F20" s="374">
        <f>'Quarterly historicals'!F159</f>
        <v>-1.903</v>
      </c>
      <c r="G20" s="374">
        <f>'Quarterly historicals'!G159</f>
        <v>-2.6789999999999998</v>
      </c>
      <c r="H20" s="374">
        <f>'Quarterly historicals'!H159</f>
        <v>-1.7949999999999999</v>
      </c>
      <c r="I20" s="374">
        <f>'Quarterly historicals'!I159</f>
        <v>-1.7949999999999999</v>
      </c>
      <c r="J20" s="374">
        <f>'Quarterly historicals'!J159</f>
        <v>-1.7949999999999999</v>
      </c>
      <c r="K20" s="374">
        <f>'Quarterly historicals'!K159</f>
        <v>-3.117</v>
      </c>
      <c r="L20" s="374">
        <f>'Quarterly historicals'!L159</f>
        <v>-1.766</v>
      </c>
      <c r="M20" s="374">
        <f>'Quarterly historicals'!M159</f>
        <v>-1.794</v>
      </c>
      <c r="N20" s="374">
        <f>'Quarterly historicals'!N159</f>
        <v>-1.869</v>
      </c>
      <c r="O20" s="374">
        <f>'Quarterly historicals'!O159</f>
        <v>-1.903</v>
      </c>
      <c r="P20" s="374">
        <f>'Quarterly historicals'!P159</f>
        <v>-1.903</v>
      </c>
      <c r="Q20" s="374">
        <f>'Quarterly historicals'!Q159</f>
        <v>0</v>
      </c>
      <c r="R20" s="374">
        <f>'Quarterly historicals'!R159</f>
        <v>0</v>
      </c>
      <c r="S20" s="374">
        <f>'Quarterly historicals'!S159</f>
        <v>0</v>
      </c>
      <c r="T20" s="374">
        <f>'Quarterly historicals'!T159</f>
        <v>0</v>
      </c>
      <c r="U20" s="374">
        <f>'Quarterly historicals'!U159</f>
        <v>0</v>
      </c>
      <c r="V20" s="374">
        <f>'Quarterly historicals'!V159</f>
        <v>0</v>
      </c>
      <c r="W20" s="374">
        <f>'Quarterly historicals'!W159</f>
        <v>-2.7829999999999999</v>
      </c>
      <c r="X20" s="374">
        <f>'Quarterly historicals'!X159</f>
        <v>2.3650000000000002</v>
      </c>
      <c r="Y20" s="374">
        <f>'Quarterly historicals'!Y159</f>
        <v>-3.3000000000000002E-2</v>
      </c>
      <c r="Z20" s="374">
        <f>'Quarterly historicals'!Z159</f>
        <v>-1.9490000000000001</v>
      </c>
      <c r="AA20" s="374">
        <f>'Quarterly historicals'!AA159</f>
        <v>-1.23</v>
      </c>
      <c r="AB20" s="374">
        <f>'Quarterly historicals'!AB159</f>
        <v>-2.0150000000000001</v>
      </c>
      <c r="AC20" s="374">
        <f>'Quarterly historicals'!AC159</f>
        <v>1.579</v>
      </c>
      <c r="AD20" s="374">
        <f>'Quarterly historicals'!AD159</f>
        <v>0.18</v>
      </c>
      <c r="AE20" s="374">
        <f>'Quarterly historicals'!AE159</f>
        <v>0.65400000000000003</v>
      </c>
      <c r="AF20" s="374">
        <f>'Quarterly historicals'!AF159</f>
        <v>-0.03</v>
      </c>
      <c r="AG20" s="374">
        <f>'Quarterly historicals'!AG159</f>
        <v>5.6000000000000001E-2</v>
      </c>
      <c r="AH20" s="374">
        <f>'Quarterly historicals'!AH159</f>
        <v>0.51300000000000001</v>
      </c>
      <c r="AI20" s="374">
        <f>'Quarterly historicals'!AI159</f>
        <v>0.1</v>
      </c>
      <c r="AJ20" s="374">
        <f>'Quarterly historicals'!AJ159</f>
        <v>-2.1999999999999999E-2</v>
      </c>
      <c r="AK20" s="375">
        <f>'Quarterly historicals'!AK159</f>
        <v>-4.5999999999999999E-2</v>
      </c>
      <c r="AL20" s="375">
        <f>'Quarterly historicals'!AL159</f>
        <v>2.4E-2</v>
      </c>
      <c r="AM20" s="375">
        <f>'Quarterly historicals'!AM159</f>
        <v>0.16600000000000001</v>
      </c>
      <c r="AN20" s="375">
        <f>'Quarterly historicals'!AN159</f>
        <v>-0.17100000000000001</v>
      </c>
      <c r="AO20" s="375">
        <f>'Quarterly historicals'!AO159</f>
        <v>0.437</v>
      </c>
      <c r="AP20" s="375">
        <f>'Quarterly historicals'!AP159</f>
        <v>0.17399999999999999</v>
      </c>
      <c r="AQ20" s="375">
        <f>'Quarterly historicals'!AQ159</f>
        <v>0.32900000000000001</v>
      </c>
      <c r="AR20" s="375">
        <f>'Quarterly historicals'!AR159</f>
        <v>0.46600000000000003</v>
      </c>
      <c r="AS20" s="375">
        <f>'Quarterly historicals'!AS159</f>
        <v>-0.34300000000000003</v>
      </c>
      <c r="AT20" s="358">
        <f>'Quarterly historicals'!AT159</f>
        <v>9.4E-2</v>
      </c>
      <c r="AU20" s="614">
        <f>+Q_IS!BQ174</f>
        <v>0.14565425082270173</v>
      </c>
      <c r="AV20" s="614">
        <f>+Q_IS!BR174</f>
        <v>0.15458968527743469</v>
      </c>
      <c r="AW20" s="614">
        <f>+Q_IS!BS174</f>
        <v>0.23175606389986372</v>
      </c>
      <c r="AX20" s="614">
        <f>+Q_IS!BT174</f>
        <v>0.169370323685784</v>
      </c>
      <c r="AY20" s="614">
        <f>+Q_IS!BU174</f>
        <v>0.14565425082270173</v>
      </c>
      <c r="AZ20" s="614">
        <f>+Q_IS!BV174</f>
        <v>0.15458968527743469</v>
      </c>
      <c r="BA20" s="614">
        <f>+Q_IS!BW174</f>
        <v>0.15638574021407972</v>
      </c>
      <c r="BB20" s="614">
        <f>+Q_IS!BX174</f>
        <v>0.169370323685784</v>
      </c>
      <c r="BC20" s="614">
        <f>+Q_IS!BY174</f>
        <v>0.14565425082270173</v>
      </c>
      <c r="BD20" s="614">
        <f>+Q_IS!BZ174</f>
        <v>0.15458968527743469</v>
      </c>
      <c r="BE20" s="614">
        <f>+Q_IS!CA174</f>
        <v>0.15638574021407972</v>
      </c>
      <c r="BF20" s="614">
        <f>+Q_IS!CB174</f>
        <v>0.169370323685784</v>
      </c>
      <c r="BG20" s="614">
        <f>+Q_IS!CC174</f>
        <v>0.14565425082270173</v>
      </c>
      <c r="BH20" s="614">
        <f>+Q_IS!CD174</f>
        <v>0.15458968527743469</v>
      </c>
      <c r="BI20" s="614">
        <f>+Q_IS!CE174</f>
        <v>0.15638574021407972</v>
      </c>
      <c r="BJ20" s="614">
        <f>+Q_IS!CF174</f>
        <v>0.16937032368578403</v>
      </c>
      <c r="BK20" s="614">
        <f>+Q_IS!CG174</f>
        <v>0.14565425082270164</v>
      </c>
      <c r="BL20" s="614">
        <f>+Q_IS!CH174</f>
        <v>0.15458968527743469</v>
      </c>
      <c r="BM20" s="614">
        <f>+Q_IS!CI174</f>
        <v>0.15638574021407975</v>
      </c>
      <c r="BN20" s="614">
        <f>+Q_IS!CJ174</f>
        <v>0.169370323685784</v>
      </c>
      <c r="BO20" s="614">
        <f>+Q_IS!CK174</f>
        <v>0.1456542508227017</v>
      </c>
      <c r="BP20" s="614">
        <f>+Q_IS!CL174</f>
        <v>0.15458968527743472</v>
      </c>
      <c r="BQ20" s="614">
        <f>+Q_IS!CM174</f>
        <v>0.15638574021407967</v>
      </c>
      <c r="BR20" s="614">
        <f>+Q_IS!CN174</f>
        <v>0.169370323685784</v>
      </c>
      <c r="BS20" s="614">
        <f>+Q_IS!CO174</f>
        <v>0.14565425082270173</v>
      </c>
      <c r="BT20" s="614">
        <f>+Q_IS!CP174</f>
        <v>0.15458968527743469</v>
      </c>
      <c r="BU20" s="614">
        <f>+Q_IS!CQ174</f>
        <v>0.15638574021407972</v>
      </c>
      <c r="BV20" s="614">
        <f>+Q_IS!CR174</f>
        <v>0.16937032368578403</v>
      </c>
      <c r="BW20" s="614">
        <f>+Q_IS!CS174</f>
        <v>0.14565425082270164</v>
      </c>
      <c r="BX20" s="614">
        <f>+Q_IS!CT174</f>
        <v>0.15458968527743469</v>
      </c>
      <c r="BY20" s="614">
        <f>+Q_IS!CU174</f>
        <v>0.15638574021407975</v>
      </c>
    </row>
    <row r="21" spans="1:77" s="106" customFormat="1" ht="13.5" customHeight="1">
      <c r="A21" s="396" t="s">
        <v>821</v>
      </c>
      <c r="B21" s="374">
        <f>'Quarterly historicals'!B160</f>
        <v>-2E-3</v>
      </c>
      <c r="C21" s="374">
        <f>'Quarterly historicals'!C160</f>
        <v>3.4000000000000002E-2</v>
      </c>
      <c r="D21" s="374">
        <f>'Quarterly historicals'!D160</f>
        <v>12.664999999999999</v>
      </c>
      <c r="E21" s="374">
        <f>'Quarterly historicals'!E160</f>
        <v>-14.224</v>
      </c>
      <c r="F21" s="374">
        <f>'Quarterly historicals'!F160</f>
        <v>-0.16900000000000001</v>
      </c>
      <c r="G21" s="374">
        <f>'Quarterly historicals'!G160</f>
        <v>-17.777000000000001</v>
      </c>
      <c r="H21" s="374">
        <f>'Quarterly historicals'!H160</f>
        <v>9.6669999999999998</v>
      </c>
      <c r="I21" s="374">
        <f>'Quarterly historicals'!I160</f>
        <v>-1.38</v>
      </c>
      <c r="J21" s="374">
        <f>'Quarterly historicals'!J160</f>
        <v>1.7000000000000001E-2</v>
      </c>
      <c r="K21" s="374">
        <f>'Quarterly historicals'!K160</f>
        <v>-4.0000000000000001E-3</v>
      </c>
      <c r="L21" s="374">
        <f>'Quarterly historicals'!L160</f>
        <v>19.826000000000001</v>
      </c>
      <c r="M21" s="374">
        <f>'Quarterly historicals'!M160</f>
        <v>27.059000000000001</v>
      </c>
      <c r="N21" s="374">
        <f>'Quarterly historicals'!N160</f>
        <v>-0.69299999999999995</v>
      </c>
      <c r="O21" s="374">
        <f>'Quarterly historicals'!O160</f>
        <v>2.0369999999999999</v>
      </c>
      <c r="P21" s="374">
        <f>'Quarterly historicals'!P160</f>
        <v>3.1779999999999999</v>
      </c>
      <c r="Q21" s="374">
        <f>'Quarterly historicals'!Q160</f>
        <v>1.333</v>
      </c>
      <c r="R21" s="374">
        <f>'Quarterly historicals'!R160</f>
        <v>2.5270000000000001</v>
      </c>
      <c r="S21" s="374">
        <f>'Quarterly historicals'!S160</f>
        <v>-0.22500000000000001</v>
      </c>
      <c r="T21" s="374">
        <f>'Quarterly historicals'!T160</f>
        <v>14.606</v>
      </c>
      <c r="U21" s="374">
        <f>'Quarterly historicals'!U160</f>
        <v>-21.152000000000001</v>
      </c>
      <c r="V21" s="374">
        <f>'Quarterly historicals'!V160</f>
        <v>0.88800000000000001</v>
      </c>
      <c r="W21" s="374">
        <f>'Quarterly historicals'!W160</f>
        <v>0.35299999999999998</v>
      </c>
      <c r="X21" s="374">
        <f>'Quarterly historicals'!X160</f>
        <v>24.937999999999999</v>
      </c>
      <c r="Y21" s="374">
        <f>'Quarterly historicals'!Y160</f>
        <v>0.80700000000000005</v>
      </c>
      <c r="Z21" s="374">
        <f>'Quarterly historicals'!Z160</f>
        <v>0.78100000000000003</v>
      </c>
      <c r="AA21" s="374">
        <f>'Quarterly historicals'!AA160</f>
        <v>0.438</v>
      </c>
      <c r="AB21" s="374">
        <f>'Quarterly historicals'!AB160</f>
        <v>1.2250000000000001</v>
      </c>
      <c r="AC21" s="374">
        <f>'Quarterly historicals'!AC160</f>
        <v>-2.2519999999999998</v>
      </c>
      <c r="AD21" s="374">
        <f>'Quarterly historicals'!AD160</f>
        <v>-1.079</v>
      </c>
      <c r="AE21" s="374">
        <f>'Quarterly historicals'!AE160</f>
        <v>6.6829999999999998</v>
      </c>
      <c r="AF21" s="374">
        <f>'Quarterly historicals'!AF160</f>
        <v>2.794</v>
      </c>
      <c r="AG21" s="374">
        <f>'Quarterly historicals'!AG160</f>
        <v>-8.4329999999999998</v>
      </c>
      <c r="AH21" s="374">
        <f>'Quarterly historicals'!AH160</f>
        <v>1.3149999999999999</v>
      </c>
      <c r="AI21" s="374">
        <f>'Quarterly historicals'!AI160</f>
        <v>75.984999999999999</v>
      </c>
      <c r="AJ21" s="374">
        <f>'Quarterly historicals'!AJ160</f>
        <v>7.16</v>
      </c>
      <c r="AK21" s="375">
        <f>'Quarterly historicals'!AK160</f>
        <v>23.46</v>
      </c>
      <c r="AL21" s="375">
        <f>'Quarterly historicals'!AL160</f>
        <v>1.5509999999999999</v>
      </c>
      <c r="AM21" s="375">
        <f>'Quarterly historicals'!AM160</f>
        <v>3.0289999999999999</v>
      </c>
      <c r="AN21" s="375">
        <f>'Quarterly historicals'!AN160</f>
        <v>0.29899999999999999</v>
      </c>
      <c r="AO21" s="375">
        <f>'Quarterly historicals'!AO160</f>
        <v>5.8479999999999999</v>
      </c>
      <c r="AP21" s="375">
        <f>'Quarterly historicals'!AP160</f>
        <v>0.61599999999999999</v>
      </c>
      <c r="AQ21" s="375">
        <f>'Quarterly historicals'!AQ160</f>
        <v>1.97</v>
      </c>
      <c r="AR21" s="375">
        <f>'Quarterly historicals'!AR160</f>
        <v>-7.5999999999999998E-2</v>
      </c>
      <c r="AS21" s="375">
        <f>'Quarterly historicals'!AS160</f>
        <v>145.56100000000001</v>
      </c>
      <c r="AT21" s="2394">
        <f>'Quarterly historicals'!AT160</f>
        <v>-0.35899999999999999</v>
      </c>
      <c r="AU21" s="614">
        <v>0</v>
      </c>
      <c r="AV21" s="614">
        <f t="shared" ref="AV21:AW21" si="187">AU21</f>
        <v>0</v>
      </c>
      <c r="AW21" s="614">
        <f t="shared" si="187"/>
        <v>0</v>
      </c>
      <c r="AX21" s="416">
        <f>Q_IS!O175/4</f>
        <v>0</v>
      </c>
      <c r="AY21" s="416">
        <f t="shared" ref="AY21:BA21" si="188">AX21</f>
        <v>0</v>
      </c>
      <c r="AZ21" s="416">
        <f t="shared" si="188"/>
        <v>0</v>
      </c>
      <c r="BA21" s="416">
        <f t="shared" si="188"/>
        <v>0</v>
      </c>
      <c r="BB21" s="416">
        <f>Q_IS!P175/4</f>
        <v>0</v>
      </c>
      <c r="BC21" s="416">
        <f t="shared" ref="BC21:BE21" si="189">BB21</f>
        <v>0</v>
      </c>
      <c r="BD21" s="416">
        <f t="shared" si="189"/>
        <v>0</v>
      </c>
      <c r="BE21" s="416">
        <f t="shared" si="189"/>
        <v>0</v>
      </c>
      <c r="BF21" s="416">
        <f>Q_IS!Q175/4</f>
        <v>0</v>
      </c>
      <c r="BG21" s="416">
        <f t="shared" ref="BG21:BI21" si="190">BF21</f>
        <v>0</v>
      </c>
      <c r="BH21" s="416">
        <f t="shared" si="190"/>
        <v>0</v>
      </c>
      <c r="BI21" s="416">
        <f t="shared" si="190"/>
        <v>0</v>
      </c>
      <c r="BJ21" s="416">
        <f t="shared" ref="BJ21" si="191">BI21</f>
        <v>0</v>
      </c>
      <c r="BK21" s="416">
        <f t="shared" ref="BK21" si="192">BJ21</f>
        <v>0</v>
      </c>
      <c r="BL21" s="416">
        <f t="shared" ref="BL21" si="193">BK21</f>
        <v>0</v>
      </c>
      <c r="BM21" s="416">
        <f t="shared" ref="BM21" si="194">BL21</f>
        <v>0</v>
      </c>
      <c r="BN21" s="416">
        <f t="shared" ref="BN21" si="195">BM21</f>
        <v>0</v>
      </c>
      <c r="BO21" s="416">
        <f t="shared" ref="BO21" si="196">BN21</f>
        <v>0</v>
      </c>
      <c r="BP21" s="416">
        <f t="shared" ref="BP21" si="197">BO21</f>
        <v>0</v>
      </c>
      <c r="BQ21" s="416">
        <f t="shared" ref="BQ21" si="198">BP21</f>
        <v>0</v>
      </c>
      <c r="BR21" s="416">
        <f t="shared" ref="BR21" si="199">BQ21</f>
        <v>0</v>
      </c>
      <c r="BS21" s="416">
        <f t="shared" ref="BS21" si="200">BR21</f>
        <v>0</v>
      </c>
      <c r="BT21" s="416">
        <f t="shared" ref="BT21" si="201">BS21</f>
        <v>0</v>
      </c>
      <c r="BU21" s="416">
        <f t="shared" ref="BU21" si="202">BT21</f>
        <v>0</v>
      </c>
      <c r="BV21" s="416">
        <f t="shared" ref="BV21" si="203">BU21</f>
        <v>0</v>
      </c>
      <c r="BW21" s="416">
        <f t="shared" ref="BW21" si="204">BV21</f>
        <v>0</v>
      </c>
      <c r="BX21" s="416">
        <f t="shared" ref="BX21" si="205">BW21</f>
        <v>0</v>
      </c>
      <c r="BY21" s="416">
        <f t="shared" ref="BY21" si="206">BX21</f>
        <v>0</v>
      </c>
    </row>
    <row r="22" spans="1:77" s="106" customFormat="1" ht="13.5" customHeight="1">
      <c r="A22" s="1870" t="s">
        <v>681</v>
      </c>
      <c r="B22" s="390">
        <f ca="1">E287/SUM(Q_Financials!B22:E22)</f>
        <v>0</v>
      </c>
      <c r="C22" s="390">
        <f>'Quarterly historicals'!C184</f>
        <v>87.436999999999998</v>
      </c>
      <c r="D22" s="390">
        <f>'Quarterly historicals'!D184</f>
        <v>44.695</v>
      </c>
      <c r="E22" s="390">
        <f>'Quarterly historicals'!E184</f>
        <v>56.302</v>
      </c>
      <c r="F22" s="390">
        <f>'Quarterly historicals'!F184</f>
        <v>31.251000000000001</v>
      </c>
      <c r="G22" s="390">
        <f>'Quarterly historicals'!G184</f>
        <v>23.786999999999999</v>
      </c>
      <c r="H22" s="390">
        <f>'Quarterly historicals'!H184</f>
        <v>22.843</v>
      </c>
      <c r="I22" s="390">
        <f>'Quarterly historicals'!I184</f>
        <v>54.725999999999999</v>
      </c>
      <c r="J22" s="390">
        <f>'Quarterly historicals'!J184</f>
        <v>13.382999999999999</v>
      </c>
      <c r="K22" s="390">
        <f>'Quarterly historicals'!K184</f>
        <v>34.973999999999997</v>
      </c>
      <c r="L22" s="390">
        <f>'Quarterly historicals'!L184</f>
        <v>64.412000000000006</v>
      </c>
      <c r="M22" s="390">
        <f>'Quarterly historicals'!M184</f>
        <v>77.022999999999996</v>
      </c>
      <c r="N22" s="390">
        <f>'Quarterly historicals'!N184</f>
        <v>44.195</v>
      </c>
      <c r="O22" s="390">
        <f>'Quarterly historicals'!O184</f>
        <v>76.501999999999995</v>
      </c>
      <c r="P22" s="390">
        <f>'Quarterly historicals'!P184</f>
        <v>122.78700000000001</v>
      </c>
      <c r="Q22" s="390">
        <f>'Quarterly historicals'!Q184</f>
        <v>208.88899999999998</v>
      </c>
      <c r="R22" s="390">
        <f>'Quarterly historicals'!R184</f>
        <v>139.49</v>
      </c>
      <c r="S22" s="390">
        <f>'Quarterly historicals'!S184</f>
        <v>150.91499999999999</v>
      </c>
      <c r="T22" s="390">
        <f>'Quarterly historicals'!T184</f>
        <v>191.52199999999999</v>
      </c>
      <c r="U22" s="390">
        <f>'Quarterly historicals'!U184</f>
        <v>130.655</v>
      </c>
      <c r="V22" s="390">
        <f>'Quarterly historicals'!V184</f>
        <v>147.09399999999999</v>
      </c>
      <c r="W22" s="390">
        <f>'Quarterly historicals'!W184</f>
        <v>163.07499999999999</v>
      </c>
      <c r="X22" s="390">
        <f>'Quarterly historicals'!X184</f>
        <v>154.21299999999999</v>
      </c>
      <c r="Y22" s="390">
        <f>'Quarterly historicals'!Y184</f>
        <v>68.637</v>
      </c>
      <c r="Z22" s="390">
        <f>'Quarterly historicals'!Z184</f>
        <v>108.07599999999999</v>
      </c>
      <c r="AA22" s="390">
        <f>'Quarterly historicals'!AA184</f>
        <v>238.27099999999999</v>
      </c>
      <c r="AB22" s="390">
        <f>'Quarterly historicals'!AB184</f>
        <v>161.054</v>
      </c>
      <c r="AC22" s="390">
        <f>'Quarterly historicals'!AC184</f>
        <v>144.41999999999999</v>
      </c>
      <c r="AD22" s="390">
        <f>'Quarterly historicals'!AD184</f>
        <v>211.63900000000001</v>
      </c>
      <c r="AE22" s="390">
        <f>'Quarterly historicals'!AE184</f>
        <v>238.66900000000001</v>
      </c>
      <c r="AF22" s="390">
        <f>'Quarterly historicals'!AF184</f>
        <v>168.42599999999999</v>
      </c>
      <c r="AG22" s="390">
        <f>'Quarterly historicals'!AG184</f>
        <v>147.506</v>
      </c>
      <c r="AH22" s="390">
        <f>'Quarterly historicals'!AH184</f>
        <v>227.04599999999999</v>
      </c>
      <c r="AI22" s="390">
        <f>'Quarterly historicals'!AI184</f>
        <v>256.91800000000001</v>
      </c>
      <c r="AJ22" s="390">
        <f>'Quarterly historicals'!AJ184</f>
        <v>287.68299999999999</v>
      </c>
      <c r="AK22" s="475">
        <f>'Quarterly historicals'!AK184</f>
        <v>319.87799999999999</v>
      </c>
      <c r="AL22" s="475">
        <f>'Quarterly historicals'!AL184</f>
        <v>225.10400000000001</v>
      </c>
      <c r="AM22" s="475">
        <f>'Quarterly historicals'!AM184</f>
        <v>318.90300000000002</v>
      </c>
      <c r="AN22" s="475">
        <f>'Quarterly historicals'!AN184</f>
        <v>411.90899999999999</v>
      </c>
      <c r="AO22" s="475">
        <f>'Quarterly historicals'!AO184</f>
        <v>346.29700000000003</v>
      </c>
      <c r="AP22" s="475">
        <f>'Quarterly historicals'!AP184</f>
        <v>333.755</v>
      </c>
      <c r="AQ22" s="475">
        <f>'Quarterly historicals'!AQ184</f>
        <v>368.70400000000001</v>
      </c>
      <c r="AR22" s="475">
        <f>'Quarterly historicals'!AR184</f>
        <v>341.63799999999998</v>
      </c>
      <c r="AS22" s="475">
        <f>'Quarterly historicals'!AS184</f>
        <v>400.99099999999999</v>
      </c>
      <c r="AT22" s="363">
        <f>'Quarterly historicals'!AT184</f>
        <v>475.34</v>
      </c>
      <c r="AU22" s="392">
        <f>+Q_IS!BQ177</f>
        <v>426.62830950827345</v>
      </c>
      <c r="AV22" s="392">
        <f>+Q_IS!BR177</f>
        <v>410.96010694466736</v>
      </c>
      <c r="AW22" s="392">
        <f>+Q_IS!BS177</f>
        <v>446.78163635052249</v>
      </c>
      <c r="AX22" s="392">
        <f>+Q_IS!BT177</f>
        <v>688.25503776013807</v>
      </c>
      <c r="AY22" s="392">
        <f>+Q_IS!BU177</f>
        <v>452.96872545509723</v>
      </c>
      <c r="AZ22" s="392">
        <f>+Q_IS!BV177</f>
        <v>438.03519282187938</v>
      </c>
      <c r="BA22" s="392">
        <f>+Q_IS!BW177</f>
        <v>201.58194511213972</v>
      </c>
      <c r="BB22" s="392">
        <f>+Q_IS!BX177</f>
        <v>740.47490448669623</v>
      </c>
      <c r="BC22" s="392">
        <f>+Q_IS!BY177</f>
        <v>498.23882229617652</v>
      </c>
      <c r="BD22" s="392">
        <f>+Q_IS!BZ177</f>
        <v>484.0612469015864</v>
      </c>
      <c r="BE22" s="392">
        <f>+Q_IS!CA177</f>
        <v>230.90589844237599</v>
      </c>
      <c r="BF22" s="620">
        <f>+Q_IS!CB177</f>
        <v>944.60117728509249</v>
      </c>
      <c r="BG22" s="392">
        <f>+Q_IS!CC177</f>
        <v>581.7402768034467</v>
      </c>
      <c r="BH22" s="392">
        <f>+Q_IS!CD177</f>
        <v>551.70837049043007</v>
      </c>
      <c r="BI22" s="392">
        <f>+Q_IS!CE177</f>
        <v>221.26943171631211</v>
      </c>
      <c r="BJ22" s="392">
        <f>+Q_IS!CF177</f>
        <v>1030.9090213578879</v>
      </c>
      <c r="BK22" s="392">
        <f>+Q_IS!CG177</f>
        <v>622.00186484681672</v>
      </c>
      <c r="BL22" s="392">
        <f>+Q_IS!CH177</f>
        <v>584.57790129923478</v>
      </c>
      <c r="BM22" s="392">
        <f>+Q_IS!CI177</f>
        <v>221.20866180364504</v>
      </c>
      <c r="BN22" s="392">
        <f>+Q_IS!CJ177</f>
        <v>832.23111910670093</v>
      </c>
      <c r="BO22" s="392">
        <f>+Q_IS!CK177</f>
        <v>572.88211084458203</v>
      </c>
      <c r="BP22" s="392">
        <f>+Q_IS!CL177</f>
        <v>554.03400590175067</v>
      </c>
      <c r="BQ22" s="392">
        <f>+Q_IS!CM177</f>
        <v>268.25719549663347</v>
      </c>
      <c r="BR22" s="392">
        <f>+Q_IS!CN177</f>
        <v>695.93656133335662</v>
      </c>
      <c r="BS22" s="392">
        <f>+Q_IS!CO177</f>
        <v>545.26000510930692</v>
      </c>
      <c r="BT22" s="392">
        <f>+Q_IS!CP177</f>
        <v>540.6225220748463</v>
      </c>
      <c r="BU22" s="392">
        <f>+Q_IS!CQ177</f>
        <v>308.98359813622528</v>
      </c>
      <c r="BV22" s="392">
        <f>+Q_IS!CR177</f>
        <v>934.74609050495212</v>
      </c>
      <c r="BW22" s="392">
        <f>+Q_IS!CS177</f>
        <v>681.54758190767427</v>
      </c>
      <c r="BX22" s="392">
        <f>+Q_IS!CT177</f>
        <v>675.16361756790172</v>
      </c>
      <c r="BY22" s="392">
        <f>+Q_IS!CU177</f>
        <v>362.83057099928249</v>
      </c>
    </row>
    <row r="23" spans="1:77" s="939" customFormat="1" ht="13.5" customHeight="1">
      <c r="A23" s="1872" t="s">
        <v>1425</v>
      </c>
      <c r="B23" s="488">
        <f t="shared" ref="B23:AG23" ca="1" si="207">B22/B10</f>
        <v>0</v>
      </c>
      <c r="C23" s="488">
        <f t="shared" si="207"/>
        <v>0.33689089585075188</v>
      </c>
      <c r="D23" s="488">
        <f t="shared" si="207"/>
        <v>0.23824499869403681</v>
      </c>
      <c r="E23" s="488">
        <f t="shared" si="207"/>
        <v>0.30638043152939898</v>
      </c>
      <c r="F23" s="488">
        <f t="shared" si="207"/>
        <v>0.1790241918390495</v>
      </c>
      <c r="G23" s="488">
        <f t="shared" si="207"/>
        <v>0.13283557918367575</v>
      </c>
      <c r="H23" s="488">
        <f t="shared" si="207"/>
        <v>0.1794619989629653</v>
      </c>
      <c r="I23" s="488">
        <f t="shared" si="207"/>
        <v>0.2363974082073434</v>
      </c>
      <c r="J23" s="488">
        <f t="shared" si="207"/>
        <v>0.14537889980012167</v>
      </c>
      <c r="K23" s="488">
        <f t="shared" si="207"/>
        <v>0.17998795757360547</v>
      </c>
      <c r="L23" s="488">
        <f t="shared" si="207"/>
        <v>0.29169987682052029</v>
      </c>
      <c r="M23" s="488">
        <f t="shared" si="207"/>
        <v>0.28819717276938389</v>
      </c>
      <c r="N23" s="488">
        <f t="shared" si="207"/>
        <v>0.203237451426732</v>
      </c>
      <c r="O23" s="488">
        <f t="shared" si="207"/>
        <v>0.26721202108300124</v>
      </c>
      <c r="P23" s="488">
        <f t="shared" si="207"/>
        <v>0.37878867338974637</v>
      </c>
      <c r="Q23" s="488">
        <f t="shared" si="207"/>
        <v>0.58779549605067283</v>
      </c>
      <c r="R23" s="488">
        <f t="shared" si="207"/>
        <v>0.48866530507863004</v>
      </c>
      <c r="S23" s="488">
        <f t="shared" si="207"/>
        <v>0.44550290477989796</v>
      </c>
      <c r="T23" s="488">
        <f t="shared" si="207"/>
        <v>0.49072344568712611</v>
      </c>
      <c r="U23" s="488">
        <f t="shared" si="207"/>
        <v>0.46572681257574683</v>
      </c>
      <c r="V23" s="488">
        <f t="shared" si="207"/>
        <v>0.44716490144338916</v>
      </c>
      <c r="W23" s="488">
        <f t="shared" si="207"/>
        <v>0.40961062186967817</v>
      </c>
      <c r="X23" s="488">
        <f t="shared" si="207"/>
        <v>0.40534580284296406</v>
      </c>
      <c r="Y23" s="488">
        <f t="shared" si="207"/>
        <v>0.26452565209348211</v>
      </c>
      <c r="Z23" s="488">
        <f t="shared" si="207"/>
        <v>0.37227406282185088</v>
      </c>
      <c r="AA23" s="488">
        <f t="shared" si="207"/>
        <v>0.43566527034464347</v>
      </c>
      <c r="AB23" s="488">
        <f t="shared" si="207"/>
        <v>0.40781837150178774</v>
      </c>
      <c r="AC23" s="488">
        <f t="shared" si="207"/>
        <v>0.35764078917716863</v>
      </c>
      <c r="AD23" s="488">
        <f t="shared" si="207"/>
        <v>0.42819279692308315</v>
      </c>
      <c r="AE23" s="488">
        <f t="shared" si="207"/>
        <v>0.38839923579400287</v>
      </c>
      <c r="AF23" s="488">
        <f t="shared" si="207"/>
        <v>0.39647185107765315</v>
      </c>
      <c r="AG23" s="488">
        <f t="shared" si="207"/>
        <v>0.33667714317668784</v>
      </c>
      <c r="AH23" s="488">
        <f t="shared" ref="AH23:BI23" si="208">AH22/AH10</f>
        <v>0.44992212177538565</v>
      </c>
      <c r="AI23" s="488">
        <f t="shared" si="208"/>
        <v>0.50623538197502693</v>
      </c>
      <c r="AJ23" s="488">
        <f t="shared" si="208"/>
        <v>0.49177674033781948</v>
      </c>
      <c r="AK23" s="343">
        <f t="shared" si="208"/>
        <v>0.45903159054837883</v>
      </c>
      <c r="AL23" s="343">
        <f t="shared" si="208"/>
        <v>0.49898918247916302</v>
      </c>
      <c r="AM23" s="343">
        <f t="shared" si="208"/>
        <v>0.48263352886693428</v>
      </c>
      <c r="AN23" s="343">
        <f t="shared" si="208"/>
        <v>0.5135657440805329</v>
      </c>
      <c r="AO23" s="343">
        <f t="shared" si="208"/>
        <v>0.4256956182351242</v>
      </c>
      <c r="AP23" s="343">
        <f t="shared" ref="AP23:AQ23" si="209">AP22/AP10</f>
        <v>0.52032308656487458</v>
      </c>
      <c r="AQ23" s="343">
        <f t="shared" si="209"/>
        <v>0.5089454439041089</v>
      </c>
      <c r="AR23" s="343">
        <f t="shared" ref="AR23:AS23" si="210">AR22/AR10</f>
        <v>0.46360004559493245</v>
      </c>
      <c r="AS23" s="343">
        <f t="shared" si="210"/>
        <v>0.44550991476237456</v>
      </c>
      <c r="AT23" s="781">
        <f t="shared" ref="AT23" si="211">AT22/AT10</f>
        <v>0.58514403327642006</v>
      </c>
      <c r="AU23" s="1633">
        <f t="shared" si="208"/>
        <v>0.46539825921718375</v>
      </c>
      <c r="AV23" s="1633">
        <f t="shared" si="208"/>
        <v>0.46299591806753165</v>
      </c>
      <c r="AW23" s="1633">
        <f t="shared" si="208"/>
        <v>0.42955296561768913</v>
      </c>
      <c r="AX23" s="1633">
        <f t="shared" si="208"/>
        <v>0.58095339755389042</v>
      </c>
      <c r="AY23" s="1633">
        <f t="shared" si="208"/>
        <v>0.47834462775204983</v>
      </c>
      <c r="AZ23" s="1633">
        <f t="shared" si="208"/>
        <v>0.47962796798727675</v>
      </c>
      <c r="BA23" s="1633">
        <f t="shared" si="208"/>
        <v>0.27345571854473277</v>
      </c>
      <c r="BB23" s="1633">
        <f t="shared" si="208"/>
        <v>0.58277078674153038</v>
      </c>
      <c r="BC23" s="1633">
        <f t="shared" si="208"/>
        <v>0.48584022664383164</v>
      </c>
      <c r="BD23" s="1633">
        <f t="shared" si="208"/>
        <v>0.4900856832314392</v>
      </c>
      <c r="BE23" s="1633">
        <f t="shared" si="208"/>
        <v>0.2882911876960022</v>
      </c>
      <c r="BF23" s="1633">
        <f t="shared" si="208"/>
        <v>0.62913455988354516</v>
      </c>
      <c r="BG23" s="1633">
        <f t="shared" si="208"/>
        <v>0.49687591574184309</v>
      </c>
      <c r="BH23" s="1633">
        <f t="shared" si="208"/>
        <v>0.48780755292390215</v>
      </c>
      <c r="BI23" s="1633">
        <f t="shared" si="208"/>
        <v>0.24643999771239086</v>
      </c>
      <c r="BJ23" s="1633">
        <f t="shared" ref="BJ23:BY23" si="212">BJ22/BJ10</f>
        <v>0.63716667047928732</v>
      </c>
      <c r="BK23" s="1633">
        <f t="shared" si="212"/>
        <v>0.49703880620002894</v>
      </c>
      <c r="BL23" s="1633">
        <f t="shared" si="212"/>
        <v>0.48371538643838385</v>
      </c>
      <c r="BM23" s="1633">
        <f t="shared" si="212"/>
        <v>0.23204285889817677</v>
      </c>
      <c r="BN23" s="1633">
        <f t="shared" si="212"/>
        <v>0.56153964147770274</v>
      </c>
      <c r="BO23" s="1633">
        <f t="shared" si="212"/>
        <v>0.47467442554099065</v>
      </c>
      <c r="BP23" s="1633">
        <f t="shared" si="212"/>
        <v>0.47831820824849958</v>
      </c>
      <c r="BQ23" s="1633">
        <f t="shared" si="212"/>
        <v>0.28510281375194602</v>
      </c>
      <c r="BR23" s="1633">
        <f t="shared" si="212"/>
        <v>0.49772792525893245</v>
      </c>
      <c r="BS23" s="1633">
        <f t="shared" si="212"/>
        <v>0.45880950079433702</v>
      </c>
      <c r="BT23" s="1633">
        <f t="shared" si="212"/>
        <v>0.47625348141837653</v>
      </c>
      <c r="BU23" s="1633">
        <f t="shared" si="212"/>
        <v>0.32740169301993594</v>
      </c>
      <c r="BV23" s="1633">
        <f t="shared" si="212"/>
        <v>0.58976164036236789</v>
      </c>
      <c r="BW23" s="1633">
        <f t="shared" si="212"/>
        <v>0.51535268625629294</v>
      </c>
      <c r="BX23" s="1633">
        <f t="shared" si="212"/>
        <v>0.53249385602463006</v>
      </c>
      <c r="BY23" s="1633">
        <f t="shared" si="212"/>
        <v>0.34698138730161326</v>
      </c>
    </row>
    <row r="24" spans="1:77" s="210" customFormat="1" ht="13.5" customHeight="1">
      <c r="A24" s="1873" t="s">
        <v>219</v>
      </c>
      <c r="B24" s="475">
        <f t="shared" ref="B24:AG24" si="213">B13+B16</f>
        <v>78.36099999999999</v>
      </c>
      <c r="C24" s="475">
        <f t="shared" si="213"/>
        <v>83.033999999999992</v>
      </c>
      <c r="D24" s="475">
        <f t="shared" si="213"/>
        <v>55.611999999999995</v>
      </c>
      <c r="E24" s="475">
        <f t="shared" si="213"/>
        <v>39.228999999999999</v>
      </c>
      <c r="F24" s="475">
        <f t="shared" si="213"/>
        <v>27.026000000000032</v>
      </c>
      <c r="G24" s="475">
        <f t="shared" si="213"/>
        <v>5.149000000000008</v>
      </c>
      <c r="H24" s="475">
        <f t="shared" si="213"/>
        <v>27.181999999999995</v>
      </c>
      <c r="I24" s="475">
        <f t="shared" si="213"/>
        <v>69.016000000000005</v>
      </c>
      <c r="J24" s="475">
        <f t="shared" si="213"/>
        <v>4.6989999999999945</v>
      </c>
      <c r="K24" s="475">
        <f t="shared" si="213"/>
        <v>42.400999999999996</v>
      </c>
      <c r="L24" s="475">
        <f t="shared" si="213"/>
        <v>94.779000000000011</v>
      </c>
      <c r="M24" s="475">
        <f t="shared" si="213"/>
        <v>101.29999999999998</v>
      </c>
      <c r="N24" s="475">
        <f t="shared" si="213"/>
        <v>41.838999999999984</v>
      </c>
      <c r="O24" s="475">
        <f t="shared" si="213"/>
        <v>85.920999999999992</v>
      </c>
      <c r="P24" s="475">
        <f t="shared" si="213"/>
        <v>124.77999999999999</v>
      </c>
      <c r="Q24" s="475">
        <f t="shared" si="213"/>
        <v>148.78200000000001</v>
      </c>
      <c r="R24" s="475">
        <f t="shared" si="213"/>
        <v>127.43999999999996</v>
      </c>
      <c r="S24" s="475">
        <f t="shared" si="213"/>
        <v>145.49100000000001</v>
      </c>
      <c r="T24" s="475">
        <f t="shared" si="213"/>
        <v>193.81699999999998</v>
      </c>
      <c r="U24" s="475">
        <f t="shared" si="213"/>
        <v>99.375999999999934</v>
      </c>
      <c r="V24" s="475">
        <f t="shared" si="213"/>
        <v>147.10900000000004</v>
      </c>
      <c r="W24" s="475">
        <f t="shared" si="213"/>
        <v>185.75399999999996</v>
      </c>
      <c r="X24" s="475">
        <f t="shared" si="213"/>
        <v>179.34899999999999</v>
      </c>
      <c r="Y24" s="475">
        <f t="shared" si="213"/>
        <v>70.423000000000016</v>
      </c>
      <c r="Z24" s="475">
        <f t="shared" si="213"/>
        <v>119.393</v>
      </c>
      <c r="AA24" s="475">
        <f t="shared" si="213"/>
        <v>232.78800000000001</v>
      </c>
      <c r="AB24" s="475">
        <f t="shared" si="213"/>
        <v>156.49500000000003</v>
      </c>
      <c r="AC24" s="475">
        <f t="shared" si="213"/>
        <v>143.08399999999995</v>
      </c>
      <c r="AD24" s="475">
        <f t="shared" si="213"/>
        <v>212.91400000000002</v>
      </c>
      <c r="AE24" s="475">
        <f t="shared" si="213"/>
        <v>238.49600000000001</v>
      </c>
      <c r="AF24" s="475">
        <f t="shared" si="213"/>
        <v>163.36400000000003</v>
      </c>
      <c r="AG24" s="475">
        <f t="shared" si="213"/>
        <v>136.42899999999997</v>
      </c>
      <c r="AH24" s="475">
        <f t="shared" ref="AH24:BI24" si="214">AH13+AH16</f>
        <v>224.23700000000002</v>
      </c>
      <c r="AI24" s="475">
        <f t="shared" si="214"/>
        <v>308.75700000000001</v>
      </c>
      <c r="AJ24" s="475">
        <f t="shared" si="214"/>
        <v>278.77199999999999</v>
      </c>
      <c r="AK24" s="475">
        <f t="shared" si="214"/>
        <v>288.76900000000012</v>
      </c>
      <c r="AL24" s="475">
        <f>AL13+AL16</f>
        <v>196.154</v>
      </c>
      <c r="AM24" s="475">
        <f t="shared" si="214"/>
        <v>339.14699999999993</v>
      </c>
      <c r="AN24" s="475">
        <f t="shared" si="214"/>
        <v>352.04399999999998</v>
      </c>
      <c r="AO24" s="475">
        <f t="shared" si="214"/>
        <v>348.50799999999992</v>
      </c>
      <c r="AP24" s="475">
        <f t="shared" ref="AP24:AQ24" si="215">AP13+AP16</f>
        <v>277.77200000000005</v>
      </c>
      <c r="AQ24" s="475">
        <f t="shared" si="215"/>
        <v>317.267</v>
      </c>
      <c r="AR24" s="475">
        <f t="shared" ref="AR24:AS24" si="216">AR13+AR16</f>
        <v>319.94599999999997</v>
      </c>
      <c r="AS24" s="475">
        <f t="shared" si="216"/>
        <v>529.41200000000003</v>
      </c>
      <c r="AT24" s="363">
        <f t="shared" ref="AT24" si="217">AT13+AT16</f>
        <v>402.64400000000001</v>
      </c>
      <c r="AU24" s="620">
        <f t="shared" si="214"/>
        <v>475.22310874946385</v>
      </c>
      <c r="AV24" s="620">
        <f t="shared" si="214"/>
        <v>419.05571274517035</v>
      </c>
      <c r="AW24" s="620">
        <f t="shared" si="214"/>
        <v>462.0992313088293</v>
      </c>
      <c r="AX24" s="620">
        <f t="shared" si="214"/>
        <v>643.05375600561138</v>
      </c>
      <c r="AY24" s="620">
        <f t="shared" si="214"/>
        <v>481.14900520448595</v>
      </c>
      <c r="AZ24" s="620">
        <f t="shared" si="214"/>
        <v>418.90411600836171</v>
      </c>
      <c r="BA24" s="620">
        <f t="shared" si="214"/>
        <v>237.04402393079613</v>
      </c>
      <c r="BB24" s="620">
        <f t="shared" si="214"/>
        <v>693.83348334586708</v>
      </c>
      <c r="BC24" s="620">
        <f t="shared" si="214"/>
        <v>529.50573545567272</v>
      </c>
      <c r="BD24" s="620">
        <f t="shared" si="214"/>
        <v>461.26428985780058</v>
      </c>
      <c r="BE24" s="620">
        <f t="shared" si="214"/>
        <v>268.38736346749528</v>
      </c>
      <c r="BF24" s="620">
        <f t="shared" si="214"/>
        <v>851.42206358573935</v>
      </c>
      <c r="BG24" s="620">
        <f t="shared" si="214"/>
        <v>611.80572690708254</v>
      </c>
      <c r="BH24" s="620">
        <f t="shared" si="214"/>
        <v>537.71349662076341</v>
      </c>
      <c r="BI24" s="620">
        <f t="shared" si="214"/>
        <v>297.68796918169619</v>
      </c>
      <c r="BJ24" s="620">
        <f t="shared" ref="BJ24:BY24" si="218">BJ13+BJ16</f>
        <v>908.30116736531784</v>
      </c>
      <c r="BK24" s="620">
        <f t="shared" si="218"/>
        <v>656.99089593932661</v>
      </c>
      <c r="BL24" s="620">
        <f t="shared" si="218"/>
        <v>577.62597110420393</v>
      </c>
      <c r="BM24" s="620">
        <f t="shared" si="218"/>
        <v>315.08941489873666</v>
      </c>
      <c r="BN24" s="620">
        <f t="shared" si="218"/>
        <v>761.39724122364078</v>
      </c>
      <c r="BO24" s="620">
        <f t="shared" si="218"/>
        <v>619.72644768103851</v>
      </c>
      <c r="BP24" s="620">
        <f t="shared" si="218"/>
        <v>535.10653686753813</v>
      </c>
      <c r="BQ24" s="620">
        <f t="shared" si="218"/>
        <v>310.48420557745004</v>
      </c>
      <c r="BR24" s="620">
        <f t="shared" si="218"/>
        <v>658.85395071350911</v>
      </c>
      <c r="BS24" s="620">
        <f t="shared" si="218"/>
        <v>602.76098326207875</v>
      </c>
      <c r="BT24" s="620">
        <f t="shared" si="218"/>
        <v>513.56598674213285</v>
      </c>
      <c r="BU24" s="620">
        <f t="shared" si="218"/>
        <v>314.93176593601521</v>
      </c>
      <c r="BV24" s="620">
        <f t="shared" si="218"/>
        <v>832.02308435789632</v>
      </c>
      <c r="BW24" s="620">
        <f t="shared" si="218"/>
        <v>743.69870364913095</v>
      </c>
      <c r="BX24" s="620">
        <f t="shared" si="218"/>
        <v>653.63164235701208</v>
      </c>
      <c r="BY24" s="620">
        <f t="shared" si="218"/>
        <v>424.24443061577233</v>
      </c>
    </row>
    <row r="25" spans="1:77" s="571" customFormat="1" ht="13.5" customHeight="1">
      <c r="A25" s="1874" t="s">
        <v>1426</v>
      </c>
      <c r="B25" s="343">
        <f t="shared" ref="B25:AG25" si="219">B24/B10</f>
        <v>0.4005571742575269</v>
      </c>
      <c r="C25" s="343">
        <f t="shared" si="219"/>
        <v>0.31992633148519883</v>
      </c>
      <c r="D25" s="343">
        <f t="shared" si="219"/>
        <v>0.29643765225132057</v>
      </c>
      <c r="E25" s="343">
        <f t="shared" si="219"/>
        <v>0.21347373003564335</v>
      </c>
      <c r="F25" s="343">
        <f t="shared" si="219"/>
        <v>0.15482089560788959</v>
      </c>
      <c r="G25" s="343">
        <f t="shared" si="219"/>
        <v>2.8753957927302624E-2</v>
      </c>
      <c r="H25" s="343">
        <f t="shared" si="219"/>
        <v>0.21355058686736952</v>
      </c>
      <c r="I25" s="343">
        <f t="shared" si="219"/>
        <v>0.29812526997840177</v>
      </c>
      <c r="J25" s="343">
        <f t="shared" si="219"/>
        <v>5.1045016077170359E-2</v>
      </c>
      <c r="K25" s="343">
        <f t="shared" si="219"/>
        <v>0.21820979553606809</v>
      </c>
      <c r="L25" s="343">
        <f t="shared" si="219"/>
        <v>0.42922161437576989</v>
      </c>
      <c r="M25" s="343">
        <f t="shared" si="219"/>
        <v>0.37903449101617159</v>
      </c>
      <c r="N25" s="343">
        <f t="shared" si="219"/>
        <v>0.19240302591340733</v>
      </c>
      <c r="O25" s="343">
        <f t="shared" si="219"/>
        <v>0.30011142275329467</v>
      </c>
      <c r="P25" s="343">
        <f t="shared" si="219"/>
        <v>0.38493692871047053</v>
      </c>
      <c r="Q25" s="343">
        <f t="shared" si="219"/>
        <v>0.41865962062823425</v>
      </c>
      <c r="R25" s="343">
        <f t="shared" si="219"/>
        <v>0.44645140496967944</v>
      </c>
      <c r="S25" s="343">
        <f t="shared" si="219"/>
        <v>0.42949119119591916</v>
      </c>
      <c r="T25" s="343">
        <f t="shared" si="219"/>
        <v>0.49660376391611255</v>
      </c>
      <c r="U25" s="343">
        <f t="shared" si="219"/>
        <v>0.35423112568617648</v>
      </c>
      <c r="V25" s="343">
        <f t="shared" si="219"/>
        <v>0.44721050135583745</v>
      </c>
      <c r="W25" s="343">
        <f t="shared" si="219"/>
        <v>0.4665755723120048</v>
      </c>
      <c r="X25" s="343">
        <f t="shared" si="219"/>
        <v>0.47141527882916984</v>
      </c>
      <c r="Y25" s="343">
        <f t="shared" si="219"/>
        <v>0.27140886107171491</v>
      </c>
      <c r="Z25" s="343">
        <f t="shared" si="219"/>
        <v>0.41125612700774683</v>
      </c>
      <c r="AA25" s="343">
        <f t="shared" si="219"/>
        <v>0.42563990982112332</v>
      </c>
      <c r="AB25" s="343">
        <f t="shared" si="219"/>
        <v>0.39627414437500641</v>
      </c>
      <c r="AC25" s="343">
        <f t="shared" si="219"/>
        <v>0.35433232709199541</v>
      </c>
      <c r="AD25" s="343">
        <f t="shared" si="219"/>
        <v>0.43077240567230674</v>
      </c>
      <c r="AE25" s="343">
        <f t="shared" si="219"/>
        <v>0.38811770334616774</v>
      </c>
      <c r="AF25" s="343">
        <f t="shared" si="219"/>
        <v>0.38455599182697292</v>
      </c>
      <c r="AG25" s="343">
        <f t="shared" si="219"/>
        <v>0.31139428881843678</v>
      </c>
      <c r="AH25" s="343">
        <f t="shared" ref="AH25:BI25" si="220">AH24/AH10</f>
        <v>0.44435571126796847</v>
      </c>
      <c r="AI25" s="343">
        <f t="shared" si="220"/>
        <v>0.60837978589457875</v>
      </c>
      <c r="AJ25" s="343">
        <f t="shared" si="220"/>
        <v>0.47654392319829331</v>
      </c>
      <c r="AK25" s="343">
        <f t="shared" si="220"/>
        <v>0.41438952779204841</v>
      </c>
      <c r="AL25" s="343">
        <f t="shared" si="220"/>
        <v>0.43481557013654903</v>
      </c>
      <c r="AM25" s="343">
        <f t="shared" si="220"/>
        <v>0.51327116212338586</v>
      </c>
      <c r="AN25" s="343">
        <f t="shared" si="220"/>
        <v>0.43892641046708647</v>
      </c>
      <c r="AO25" s="343">
        <f t="shared" si="220"/>
        <v>0.42841355402988368</v>
      </c>
      <c r="AP25" s="343">
        <f t="shared" ref="AP25:AQ25" si="221">AP24/AP10</f>
        <v>0.43304575032972797</v>
      </c>
      <c r="AQ25" s="343">
        <f t="shared" si="221"/>
        <v>0.43794370050535097</v>
      </c>
      <c r="AR25" s="343">
        <f t="shared" ref="AR25:AS25" si="222">AR24/AR10</f>
        <v>0.43416417432462501</v>
      </c>
      <c r="AS25" s="343">
        <f t="shared" si="222"/>
        <v>0.58818850047551752</v>
      </c>
      <c r="AT25" s="781">
        <f t="shared" ref="AT25" si="223">AT24/AT10</f>
        <v>0.49565518183731833</v>
      </c>
      <c r="AU25" s="782">
        <f t="shared" si="220"/>
        <v>0.51840912246703552</v>
      </c>
      <c r="AV25" s="782">
        <f t="shared" si="220"/>
        <v>0.47211659030937869</v>
      </c>
      <c r="AW25" s="782">
        <f t="shared" si="220"/>
        <v>0.44427988768686105</v>
      </c>
      <c r="AX25" s="782">
        <f t="shared" si="220"/>
        <v>0.54279917162255087</v>
      </c>
      <c r="AY25" s="782">
        <f t="shared" si="220"/>
        <v>0.50810360374565022</v>
      </c>
      <c r="AZ25" s="782">
        <f t="shared" si="220"/>
        <v>0.45868033718536722</v>
      </c>
      <c r="BA25" s="782">
        <f t="shared" si="220"/>
        <v>0.32156175422690181</v>
      </c>
      <c r="BB25" s="782">
        <f t="shared" si="220"/>
        <v>0.54606291517385541</v>
      </c>
      <c r="BC25" s="782">
        <f t="shared" si="220"/>
        <v>0.51632906752912211</v>
      </c>
      <c r="BD25" s="782">
        <f t="shared" si="220"/>
        <v>0.46700500420597491</v>
      </c>
      <c r="BE25" s="782">
        <f t="shared" si="220"/>
        <v>0.33508763655923646</v>
      </c>
      <c r="BF25" s="782">
        <f t="shared" si="220"/>
        <v>0.56707429350099714</v>
      </c>
      <c r="BG25" s="782">
        <f t="shared" si="220"/>
        <v>0.52255541335978462</v>
      </c>
      <c r="BH25" s="782">
        <f t="shared" si="220"/>
        <v>0.47543361491427544</v>
      </c>
      <c r="BI25" s="782">
        <f t="shared" si="220"/>
        <v>0.33155154724761371</v>
      </c>
      <c r="BJ25" s="782">
        <f t="shared" ref="BJ25:BY25" si="224">BJ24/BJ10</f>
        <v>0.56138729860013092</v>
      </c>
      <c r="BK25" s="782">
        <f t="shared" si="224"/>
        <v>0.52499837871449362</v>
      </c>
      <c r="BL25" s="782">
        <f t="shared" si="224"/>
        <v>0.47796293566440107</v>
      </c>
      <c r="BM25" s="782">
        <f t="shared" si="224"/>
        <v>0.3305216352990562</v>
      </c>
      <c r="BN25" s="782">
        <f t="shared" si="224"/>
        <v>0.51374518933846558</v>
      </c>
      <c r="BO25" s="782">
        <f t="shared" si="224"/>
        <v>0.51348835995572062</v>
      </c>
      <c r="BP25" s="782">
        <f t="shared" si="224"/>
        <v>0.46197741873254161</v>
      </c>
      <c r="BQ25" s="782">
        <f t="shared" si="224"/>
        <v>0.32998153310217376</v>
      </c>
      <c r="BR25" s="782">
        <f t="shared" si="224"/>
        <v>0.47120675670351214</v>
      </c>
      <c r="BS25" s="782">
        <f t="shared" si="224"/>
        <v>0.50719374837209696</v>
      </c>
      <c r="BT25" s="782">
        <f t="shared" si="224"/>
        <v>0.45241842345987715</v>
      </c>
      <c r="BU25" s="782">
        <f t="shared" si="224"/>
        <v>0.333704423066983</v>
      </c>
      <c r="BV25" s="782">
        <f t="shared" si="224"/>
        <v>0.52495036249383498</v>
      </c>
      <c r="BW25" s="782">
        <f t="shared" si="224"/>
        <v>0.56234830093318644</v>
      </c>
      <c r="BX25" s="782">
        <f t="shared" si="224"/>
        <v>0.51551183239430576</v>
      </c>
      <c r="BY25" s="782">
        <f t="shared" si="224"/>
        <v>0.40571256353791313</v>
      </c>
    </row>
    <row r="26" spans="1:77" s="210" customFormat="1" ht="13.5" customHeight="1">
      <c r="A26" s="625" t="s">
        <v>398</v>
      </c>
      <c r="B26" s="327">
        <f>'Quarterly historicals'!B164</f>
        <v>-36.875999999999998</v>
      </c>
      <c r="C26" s="327">
        <f>'Quarterly historicals'!C164</f>
        <v>-33.395000000000003</v>
      </c>
      <c r="D26" s="327">
        <f>'Quarterly historicals'!D164</f>
        <v>-34.646999999999998</v>
      </c>
      <c r="E26" s="327">
        <f>'Quarterly historicals'!E164</f>
        <v>-35.173000000000002</v>
      </c>
      <c r="F26" s="327">
        <f>'Quarterly historicals'!F164</f>
        <v>-49.524000000000001</v>
      </c>
      <c r="G26" s="327">
        <f>'Quarterly historicals'!G164</f>
        <v>-48.811</v>
      </c>
      <c r="H26" s="327">
        <f>'Quarterly historicals'!H164</f>
        <v>-32.914000000000001</v>
      </c>
      <c r="I26" s="327">
        <f>'Quarterly historicals'!I164</f>
        <v>-59.965000000000003</v>
      </c>
      <c r="J26" s="327">
        <f>'Quarterly historicals'!J164</f>
        <v>-33.156999999999996</v>
      </c>
      <c r="K26" s="327">
        <f>'Quarterly historicals'!K164</f>
        <v>-48.759</v>
      </c>
      <c r="L26" s="327">
        <f>'Quarterly historicals'!L164</f>
        <v>-56.369</v>
      </c>
      <c r="M26" s="327">
        <f>'Quarterly historicals'!M164</f>
        <v>-64.221000000000004</v>
      </c>
      <c r="N26" s="327">
        <f>'Quarterly historicals'!N164</f>
        <v>-54.76</v>
      </c>
      <c r="O26" s="327">
        <f>'Quarterly historicals'!O164</f>
        <v>-65.674999999999997</v>
      </c>
      <c r="P26" s="327">
        <f>'Quarterly historicals'!P164</f>
        <v>-72.046000000000006</v>
      </c>
      <c r="Q26" s="327">
        <f>'Quarterly historicals'!Q164</f>
        <v>-84.534999999999997</v>
      </c>
      <c r="R26" s="327">
        <f>'Quarterly historicals'!R164</f>
        <v>-81.212000000000003</v>
      </c>
      <c r="S26" s="327">
        <f>'Quarterly historicals'!S164</f>
        <v>-80.536000000000001</v>
      </c>
      <c r="T26" s="327">
        <f>'Quarterly historicals'!T164</f>
        <v>-97.027000000000001</v>
      </c>
      <c r="U26" s="327">
        <f>'Quarterly historicals'!U164</f>
        <v>-71.58</v>
      </c>
      <c r="V26" s="327">
        <f>'Quarterly historicals'!V164</f>
        <v>-86.269000000000005</v>
      </c>
      <c r="W26" s="327">
        <f>'Quarterly historicals'!W164</f>
        <v>-87.844999999999999</v>
      </c>
      <c r="X26" s="327">
        <f>'Quarterly historicals'!X164</f>
        <v>-96.82</v>
      </c>
      <c r="Y26" s="327">
        <f>'Quarterly historicals'!Y164</f>
        <v>-80.692999999999998</v>
      </c>
      <c r="Z26" s="327">
        <f>'Quarterly historicals'!Z164</f>
        <v>-87.414000000000001</v>
      </c>
      <c r="AA26" s="327">
        <f>'Quarterly historicals'!AA164</f>
        <v>-137.59199999999998</v>
      </c>
      <c r="AB26" s="327">
        <f>'Quarterly historicals'!AB164</f>
        <v>-119.05400000000002</v>
      </c>
      <c r="AC26" s="327">
        <f>'Quarterly historicals'!AC164</f>
        <v>-108.89</v>
      </c>
      <c r="AD26" s="327">
        <f>'Quarterly historicals'!AD164</f>
        <v>-147.09800000000001</v>
      </c>
      <c r="AE26" s="327">
        <f>'Quarterly historicals'!AE164</f>
        <v>-123.21</v>
      </c>
      <c r="AF26" s="327">
        <f>'Quarterly historicals'!AF164</f>
        <v>-102.03400000000001</v>
      </c>
      <c r="AG26" s="327">
        <f>'Quarterly historicals'!AG164</f>
        <v>-75.942999999999998</v>
      </c>
      <c r="AH26" s="327">
        <f>'Quarterly historicals'!AH164</f>
        <v>-125.886</v>
      </c>
      <c r="AI26" s="327">
        <f>'Quarterly historicals'!AI164</f>
        <v>-128.53399999999999</v>
      </c>
      <c r="AJ26" s="327">
        <f>'Quarterly historicals'!AJ164</f>
        <v>-164.096</v>
      </c>
      <c r="AK26" s="327">
        <f>'Quarterly historicals'!AK164</f>
        <v>-180.51300000000001</v>
      </c>
      <c r="AL26" s="327">
        <f>'Quarterly historicals'!AL164</f>
        <v>-124.09399999999999</v>
      </c>
      <c r="AM26" s="327">
        <f>'Quarterly historicals'!AM164</f>
        <v>-206.25099999999998</v>
      </c>
      <c r="AN26" s="327">
        <f>'Quarterly historicals'!AN164</f>
        <v>-194.732</v>
      </c>
      <c r="AO26" s="327">
        <f>'Quarterly historicals'!AO164</f>
        <v>-198.684</v>
      </c>
      <c r="AP26" s="327">
        <f>'Quarterly historicals'!AP164</f>
        <v>-157.048</v>
      </c>
      <c r="AQ26" s="327">
        <f>'Quarterly historicals'!AQ164</f>
        <v>-176.28200000000001</v>
      </c>
      <c r="AR26" s="327">
        <f>'Quarterly historicals'!AR164</f>
        <v>-185.822</v>
      </c>
      <c r="AS26" s="327">
        <f>'Quarterly historicals'!AS164</f>
        <v>-218.75899999999999</v>
      </c>
      <c r="AT26" s="358">
        <f>'Quarterly historicals'!AT164</f>
        <v>-202.14699999999999</v>
      </c>
      <c r="AU26" s="614">
        <f>Q_IS!BQ197</f>
        <v>-228.22490033873407</v>
      </c>
      <c r="AV26" s="614">
        <f>Q_IS!BR197</f>
        <v>-240.57593759285828</v>
      </c>
      <c r="AW26" s="614">
        <f>Q_IS!BS197</f>
        <v>-266.07512580867888</v>
      </c>
      <c r="AX26" s="614">
        <f>Q_IS!BT197</f>
        <v>-270.68132536481119</v>
      </c>
      <c r="AY26" s="614">
        <f>Q_IS!BU197</f>
        <v>-236.04725965737632</v>
      </c>
      <c r="AZ26" s="614">
        <f>Q_IS!BV197</f>
        <v>-248.82162605400995</v>
      </c>
      <c r="BA26" s="614">
        <f>Q_IS!BW197</f>
        <v>-213.58901299025479</v>
      </c>
      <c r="BB26" s="614">
        <f>Q_IS!BX197</f>
        <v>-292.34452329099071</v>
      </c>
      <c r="BC26" s="614">
        <f>Q_IS!BY197</f>
        <v>-254.93862018621317</v>
      </c>
      <c r="BD26" s="614">
        <f>Q_IS!BZ197</f>
        <v>-268.73534609456726</v>
      </c>
      <c r="BE26" s="614">
        <f>Q_IS!CA197</f>
        <v>-230.68299262490132</v>
      </c>
      <c r="BF26" s="614">
        <f>Q_IS!CB197</f>
        <v>-336.45255829716194</v>
      </c>
      <c r="BG26" s="614">
        <f>Q_IS!CC197</f>
        <v>-293.40296854140951</v>
      </c>
      <c r="BH26" s="614">
        <f>Q_IS!CD197</f>
        <v>-309.28130166609071</v>
      </c>
      <c r="BI26" s="614">
        <f>Q_IS!CE197</f>
        <v>-265.48772711927609</v>
      </c>
      <c r="BJ26" s="614">
        <f>Q_IS!CF197</f>
        <v>-360.07855847134255</v>
      </c>
      <c r="BK26" s="614">
        <f>Q_IS!CG197</f>
        <v>-314.00598794167223</v>
      </c>
      <c r="BL26" s="614">
        <f>Q_IS!CH197</f>
        <v>-330.99931184861424</v>
      </c>
      <c r="BM26" s="614">
        <f>Q_IS!CI197</f>
        <v>-284.1305132490902</v>
      </c>
      <c r="BN26" s="614">
        <f>Q_IS!CJ197</f>
        <v>-342.6842442938518</v>
      </c>
      <c r="BO26" s="614">
        <f>Q_IS!CK197</f>
        <v>-298.83730133323172</v>
      </c>
      <c r="BP26" s="614">
        <f>Q_IS!CL197</f>
        <v>-315.00972877743493</v>
      </c>
      <c r="BQ26" s="614">
        <f>Q_IS!CM197</f>
        <v>-270.40502113468074</v>
      </c>
      <c r="BR26" s="614">
        <f>Q_IS!CN197</f>
        <v>-333.90952993718582</v>
      </c>
      <c r="BS26" s="614">
        <f>Q_IS!CO197</f>
        <v>-291.18532432530287</v>
      </c>
      <c r="BT26" s="614">
        <f>Q_IS!CP197</f>
        <v>-306.94364334859159</v>
      </c>
      <c r="BU26" s="614">
        <f>Q_IS!CQ197</f>
        <v>-263.48107624788145</v>
      </c>
      <c r="BV26" s="614">
        <f>Q_IS!CR197</f>
        <v>-373.6659059262048</v>
      </c>
      <c r="BW26" s="614">
        <f>Q_IS!CS197</f>
        <v>-325.85481470654145</v>
      </c>
      <c r="BX26" s="614">
        <f>Q_IS!CT197</f>
        <v>-343.48937145255297</v>
      </c>
      <c r="BY26" s="614">
        <f>Q_IS!CU197</f>
        <v>-294.85200697655137</v>
      </c>
    </row>
    <row r="27" spans="1:77" s="210" customFormat="1" ht="13.5" customHeight="1">
      <c r="A27" s="1875" t="s">
        <v>220</v>
      </c>
      <c r="B27" s="612">
        <f t="shared" ref="B27:AG27" si="225">B24+B26</f>
        <v>41.484999999999992</v>
      </c>
      <c r="C27" s="612">
        <f t="shared" si="225"/>
        <v>49.638999999999989</v>
      </c>
      <c r="D27" s="612">
        <f t="shared" si="225"/>
        <v>20.964999999999996</v>
      </c>
      <c r="E27" s="612">
        <f t="shared" si="225"/>
        <v>4.0559999999999974</v>
      </c>
      <c r="F27" s="612">
        <f t="shared" si="225"/>
        <v>-22.497999999999969</v>
      </c>
      <c r="G27" s="612">
        <f t="shared" si="225"/>
        <v>-43.661999999999992</v>
      </c>
      <c r="H27" s="612">
        <f t="shared" si="225"/>
        <v>-5.7320000000000064</v>
      </c>
      <c r="I27" s="612">
        <f t="shared" si="225"/>
        <v>9.0510000000000019</v>
      </c>
      <c r="J27" s="612">
        <f t="shared" si="225"/>
        <v>-28.458000000000002</v>
      </c>
      <c r="K27" s="612">
        <f t="shared" si="225"/>
        <v>-6.3580000000000041</v>
      </c>
      <c r="L27" s="612">
        <f t="shared" si="225"/>
        <v>38.410000000000011</v>
      </c>
      <c r="M27" s="612">
        <f t="shared" si="225"/>
        <v>37.078999999999979</v>
      </c>
      <c r="N27" s="612">
        <f t="shared" si="225"/>
        <v>-12.921000000000014</v>
      </c>
      <c r="O27" s="612">
        <f t="shared" si="225"/>
        <v>20.245999999999995</v>
      </c>
      <c r="P27" s="612">
        <f t="shared" si="225"/>
        <v>52.73399999999998</v>
      </c>
      <c r="Q27" s="612">
        <f t="shared" si="225"/>
        <v>64.247000000000014</v>
      </c>
      <c r="R27" s="612">
        <f t="shared" si="225"/>
        <v>46.227999999999952</v>
      </c>
      <c r="S27" s="612">
        <f t="shared" si="225"/>
        <v>64.955000000000013</v>
      </c>
      <c r="T27" s="612">
        <f t="shared" si="225"/>
        <v>96.789999999999978</v>
      </c>
      <c r="U27" s="612">
        <f t="shared" si="225"/>
        <v>27.795999999999935</v>
      </c>
      <c r="V27" s="612">
        <f t="shared" si="225"/>
        <v>60.840000000000032</v>
      </c>
      <c r="W27" s="612">
        <f t="shared" si="225"/>
        <v>97.908999999999963</v>
      </c>
      <c r="X27" s="612">
        <f t="shared" si="225"/>
        <v>82.528999999999996</v>
      </c>
      <c r="Y27" s="612">
        <f t="shared" si="225"/>
        <v>-10.269999999999982</v>
      </c>
      <c r="Z27" s="612">
        <f t="shared" si="225"/>
        <v>31.978999999999999</v>
      </c>
      <c r="AA27" s="612">
        <f t="shared" si="225"/>
        <v>95.196000000000026</v>
      </c>
      <c r="AB27" s="612">
        <f t="shared" si="225"/>
        <v>37.441000000000017</v>
      </c>
      <c r="AC27" s="612">
        <f t="shared" si="225"/>
        <v>34.193999999999946</v>
      </c>
      <c r="AD27" s="612">
        <f t="shared" si="225"/>
        <v>65.816000000000003</v>
      </c>
      <c r="AE27" s="612">
        <f t="shared" si="225"/>
        <v>115.28600000000002</v>
      </c>
      <c r="AF27" s="612">
        <f t="shared" si="225"/>
        <v>61.330000000000027</v>
      </c>
      <c r="AG27" s="612">
        <f t="shared" si="225"/>
        <v>60.485999999999976</v>
      </c>
      <c r="AH27" s="612">
        <f t="shared" ref="AH27:BI27" si="226">AH24+AH26</f>
        <v>98.351000000000028</v>
      </c>
      <c r="AI27" s="612">
        <f t="shared" si="226"/>
        <v>180.22300000000001</v>
      </c>
      <c r="AJ27" s="612">
        <f t="shared" si="226"/>
        <v>114.67599999999999</v>
      </c>
      <c r="AK27" s="612">
        <f t="shared" si="226"/>
        <v>108.25600000000011</v>
      </c>
      <c r="AL27" s="612">
        <f t="shared" si="226"/>
        <v>72.06</v>
      </c>
      <c r="AM27" s="612">
        <f t="shared" si="226"/>
        <v>132.89599999999996</v>
      </c>
      <c r="AN27" s="612">
        <f t="shared" si="226"/>
        <v>157.31199999999998</v>
      </c>
      <c r="AO27" s="612">
        <f t="shared" si="226"/>
        <v>149.82399999999993</v>
      </c>
      <c r="AP27" s="612">
        <f t="shared" ref="AP27:AQ27" si="227">AP24+AP26</f>
        <v>120.72400000000005</v>
      </c>
      <c r="AQ27" s="612">
        <f t="shared" si="227"/>
        <v>140.98499999999999</v>
      </c>
      <c r="AR27" s="612">
        <f t="shared" ref="AR27:AS27" si="228">AR24+AR26</f>
        <v>134.12399999999997</v>
      </c>
      <c r="AS27" s="612">
        <f t="shared" si="228"/>
        <v>310.65300000000002</v>
      </c>
      <c r="AT27" s="629">
        <f t="shared" ref="AT27" si="229">AT24+AT26</f>
        <v>200.49700000000001</v>
      </c>
      <c r="AU27" s="621">
        <f t="shared" si="226"/>
        <v>246.99820841072977</v>
      </c>
      <c r="AV27" s="2396">
        <f t="shared" si="226"/>
        <v>178.47977515231207</v>
      </c>
      <c r="AW27" s="2396">
        <f t="shared" si="226"/>
        <v>196.02410550015043</v>
      </c>
      <c r="AX27" s="621">
        <f t="shared" si="226"/>
        <v>372.37243064080019</v>
      </c>
      <c r="AY27" s="621">
        <f t="shared" si="226"/>
        <v>245.10174554710963</v>
      </c>
      <c r="AZ27" s="621">
        <f t="shared" si="226"/>
        <v>170.08248995435176</v>
      </c>
      <c r="BA27" s="621">
        <f t="shared" si="226"/>
        <v>23.455010940541342</v>
      </c>
      <c r="BB27" s="621">
        <f t="shared" si="226"/>
        <v>401.48896005487637</v>
      </c>
      <c r="BC27" s="621">
        <f t="shared" si="226"/>
        <v>274.56711526945958</v>
      </c>
      <c r="BD27" s="621">
        <f t="shared" si="226"/>
        <v>192.52894376323331</v>
      </c>
      <c r="BE27" s="621">
        <f t="shared" si="226"/>
        <v>37.70437084259396</v>
      </c>
      <c r="BF27" s="621">
        <f t="shared" si="226"/>
        <v>514.96950528857747</v>
      </c>
      <c r="BG27" s="621">
        <f t="shared" si="226"/>
        <v>318.40275836567304</v>
      </c>
      <c r="BH27" s="621">
        <f t="shared" si="226"/>
        <v>228.4321949546727</v>
      </c>
      <c r="BI27" s="621">
        <f t="shared" si="226"/>
        <v>32.200242062420102</v>
      </c>
      <c r="BJ27" s="621">
        <f t="shared" ref="BJ27:BY27" si="230">BJ24+BJ26</f>
        <v>548.22260889397535</v>
      </c>
      <c r="BK27" s="621">
        <f t="shared" si="230"/>
        <v>342.98490799765437</v>
      </c>
      <c r="BL27" s="621">
        <f t="shared" si="230"/>
        <v>246.62665925558969</v>
      </c>
      <c r="BM27" s="621">
        <f t="shared" si="230"/>
        <v>30.958901649646464</v>
      </c>
      <c r="BN27" s="621">
        <f t="shared" si="230"/>
        <v>418.71299692978897</v>
      </c>
      <c r="BO27" s="621">
        <f t="shared" si="230"/>
        <v>320.88914634780679</v>
      </c>
      <c r="BP27" s="621">
        <f t="shared" si="230"/>
        <v>220.0968080901032</v>
      </c>
      <c r="BQ27" s="621">
        <f t="shared" si="230"/>
        <v>40.079184442769304</v>
      </c>
      <c r="BR27" s="621">
        <f t="shared" si="230"/>
        <v>324.94442077632328</v>
      </c>
      <c r="BS27" s="621">
        <f t="shared" si="230"/>
        <v>311.57565893677588</v>
      </c>
      <c r="BT27" s="621">
        <f t="shared" si="230"/>
        <v>206.62234339354126</v>
      </c>
      <c r="BU27" s="621">
        <f t="shared" si="230"/>
        <v>51.450689688133764</v>
      </c>
      <c r="BV27" s="621">
        <f t="shared" si="230"/>
        <v>458.35717843169152</v>
      </c>
      <c r="BW27" s="621">
        <f t="shared" si="230"/>
        <v>417.8438889425895</v>
      </c>
      <c r="BX27" s="621">
        <f t="shared" si="230"/>
        <v>310.14227090445911</v>
      </c>
      <c r="BY27" s="621">
        <f t="shared" si="230"/>
        <v>129.39242363922097</v>
      </c>
    </row>
    <row r="28" spans="1:77" s="571" customFormat="1" ht="13.5" customHeight="1">
      <c r="A28" s="1874" t="s">
        <v>1424</v>
      </c>
      <c r="B28" s="1876">
        <f t="shared" ref="B28:I28" si="231">B27/B$10</f>
        <v>0.21205847773858813</v>
      </c>
      <c r="C28" s="1876">
        <f t="shared" si="231"/>
        <v>0.19125687270989936</v>
      </c>
      <c r="D28" s="1876">
        <f t="shared" si="231"/>
        <v>0.11175313564426627</v>
      </c>
      <c r="E28" s="1876">
        <f t="shared" si="231"/>
        <v>2.2071667618969868E-2</v>
      </c>
      <c r="F28" s="1876">
        <f t="shared" si="231"/>
        <v>-0.12888183635707434</v>
      </c>
      <c r="G28" s="1876">
        <f t="shared" si="231"/>
        <v>-0.24382507497026315</v>
      </c>
      <c r="H28" s="1876">
        <f t="shared" si="231"/>
        <v>-4.5032446616281502E-2</v>
      </c>
      <c r="I28" s="1876">
        <f t="shared" si="231"/>
        <v>3.9097192224622039E-2</v>
      </c>
      <c r="J28" s="1876">
        <f t="shared" ref="J28:X28" si="232">J27/J$10</f>
        <v>-0.30913791605109936</v>
      </c>
      <c r="K28" s="1876">
        <f t="shared" si="232"/>
        <v>-3.2720404707868259E-2</v>
      </c>
      <c r="L28" s="1876">
        <f t="shared" si="232"/>
        <v>0.1739457285703935</v>
      </c>
      <c r="M28" s="1876">
        <f t="shared" si="232"/>
        <v>0.13873859716079587</v>
      </c>
      <c r="N28" s="1876">
        <f t="shared" si="232"/>
        <v>-5.9419190177278126E-2</v>
      </c>
      <c r="O28" s="1876">
        <f t="shared" si="232"/>
        <v>7.0716773141178552E-2</v>
      </c>
      <c r="P28" s="1876">
        <f t="shared" si="232"/>
        <v>0.16268042954494269</v>
      </c>
      <c r="Q28" s="1876">
        <f t="shared" si="232"/>
        <v>0.18078547570608119</v>
      </c>
      <c r="R28" s="1876">
        <f t="shared" si="232"/>
        <v>0.16194723437647779</v>
      </c>
      <c r="S28" s="1876">
        <f t="shared" si="232"/>
        <v>0.1917479453995844</v>
      </c>
      <c r="T28" s="1876">
        <f t="shared" si="232"/>
        <v>0.24799825768348768</v>
      </c>
      <c r="U28" s="1876">
        <f t="shared" si="232"/>
        <v>9.9080345048834173E-2</v>
      </c>
      <c r="V28" s="1876">
        <f t="shared" si="232"/>
        <v>0.18495324488976989</v>
      </c>
      <c r="W28" s="1876">
        <f t="shared" si="232"/>
        <v>0.24592712786532764</v>
      </c>
      <c r="X28" s="1876">
        <f t="shared" si="232"/>
        <v>0.21692583480528219</v>
      </c>
      <c r="Y28" s="1876">
        <f t="shared" ref="Y28:AG28" si="233">Y27/Y$10</f>
        <v>-3.958037861503353E-2</v>
      </c>
      <c r="Z28" s="1876">
        <f t="shared" si="233"/>
        <v>0.11015352395517941</v>
      </c>
      <c r="AA28" s="1876">
        <f t="shared" si="233"/>
        <v>0.17406059098979185</v>
      </c>
      <c r="AB28" s="1876">
        <f t="shared" si="233"/>
        <v>9.4807503367804843E-2</v>
      </c>
      <c r="AC28" s="1876">
        <f t="shared" si="233"/>
        <v>8.4677808787730818E-2</v>
      </c>
      <c r="AD28" s="1876">
        <f t="shared" si="233"/>
        <v>0.13316041524619585</v>
      </c>
      <c r="AE28" s="1876">
        <f t="shared" si="233"/>
        <v>0.18761127041110248</v>
      </c>
      <c r="AF28" s="1876">
        <f t="shared" si="233"/>
        <v>0.14436974473414127</v>
      </c>
      <c r="AG28" s="1876">
        <f t="shared" si="233"/>
        <v>0.13805712094548786</v>
      </c>
      <c r="AH28" s="1876">
        <f t="shared" ref="AH28" si="234">AH27/AH$10</f>
        <v>0.19489570659131175</v>
      </c>
      <c r="AI28" s="1876">
        <f t="shared" ref="AI28:AJ28" si="235">AI27/AI$10</f>
        <v>0.35511431369419538</v>
      </c>
      <c r="AJ28" s="1876">
        <f t="shared" si="235"/>
        <v>0.19603170668749903</v>
      </c>
      <c r="AK28" s="1876">
        <f t="shared" ref="AK28:AL28" si="236">AK27/AK$10</f>
        <v>0.15534961412290108</v>
      </c>
      <c r="AL28" s="1876">
        <f t="shared" si="236"/>
        <v>0.15973576875332507</v>
      </c>
      <c r="AM28" s="1876">
        <f t="shared" ref="AM28" si="237">AM27/AM$10</f>
        <v>0.20112719369933829</v>
      </c>
      <c r="AN28" s="1876">
        <f t="shared" ref="AN28" si="238">AN27/AN$10</f>
        <v>0.19613568611707147</v>
      </c>
      <c r="AO28" s="1876">
        <f t="shared" ref="AO28:AP28" si="239">AO27/AO$10</f>
        <v>0.18417549186524634</v>
      </c>
      <c r="AP28" s="1876">
        <f t="shared" si="239"/>
        <v>0.18820836932018378</v>
      </c>
      <c r="AQ28" s="1876">
        <f t="shared" ref="AQ28:AR28" si="240">AQ27/AQ$10</f>
        <v>0.19461050980955127</v>
      </c>
      <c r="AR28" s="1876">
        <f t="shared" si="240"/>
        <v>0.18200519999348641</v>
      </c>
      <c r="AS28" s="1876">
        <f t="shared" ref="AS28:AT28" si="241">AS27/AS$10</f>
        <v>0.34514238860891133</v>
      </c>
      <c r="AT28" s="1877">
        <f t="shared" si="241"/>
        <v>0.24681201506252873</v>
      </c>
      <c r="AU28" s="1607">
        <f t="shared" ref="AU28:BI28" si="242">AU27/AU$10</f>
        <v>0.26944422970104742</v>
      </c>
      <c r="AV28" s="1607">
        <f t="shared" si="242"/>
        <v>0.20107890268837597</v>
      </c>
      <c r="AW28" s="1607">
        <f t="shared" si="242"/>
        <v>0.18846507779044691</v>
      </c>
      <c r="AX28" s="1607">
        <f t="shared" si="242"/>
        <v>0.31431811881857413</v>
      </c>
      <c r="AY28" s="1607">
        <f t="shared" si="242"/>
        <v>0.25883266690722578</v>
      </c>
      <c r="AZ28" s="1607">
        <f t="shared" si="242"/>
        <v>0.186232340195081</v>
      </c>
      <c r="BA28" s="1607">
        <f t="shared" si="242"/>
        <v>3.1817863780668726E-2</v>
      </c>
      <c r="BB28" s="1607">
        <f t="shared" si="242"/>
        <v>0.31598104905582647</v>
      </c>
      <c r="BC28" s="1607">
        <f t="shared" si="242"/>
        <v>0.2677345552815244</v>
      </c>
      <c r="BD28" s="1607">
        <f t="shared" si="242"/>
        <v>0.19492508344758036</v>
      </c>
      <c r="BE28" s="1607">
        <f t="shared" si="242"/>
        <v>4.7074751770598729E-2</v>
      </c>
      <c r="BF28" s="1607">
        <f t="shared" si="242"/>
        <v>0.34298614151037993</v>
      </c>
      <c r="BG28" s="1607">
        <f t="shared" si="242"/>
        <v>0.27195411499954653</v>
      </c>
      <c r="BH28" s="1607">
        <f t="shared" si="242"/>
        <v>0.20197436905084534</v>
      </c>
      <c r="BI28" s="1607">
        <f t="shared" si="242"/>
        <v>3.5863189590395812E-2</v>
      </c>
      <c r="BJ28" s="1607">
        <f t="shared" ref="BJ28:BY28" si="243">BJ27/BJ$10</f>
        <v>0.33883608267424153</v>
      </c>
      <c r="BK28" s="1607">
        <f t="shared" si="243"/>
        <v>0.2740776496831967</v>
      </c>
      <c r="BL28" s="1607">
        <f t="shared" si="243"/>
        <v>0.20407393013435032</v>
      </c>
      <c r="BM28" s="1607">
        <f t="shared" si="243"/>
        <v>3.2475184238075223E-2</v>
      </c>
      <c r="BN28" s="1607">
        <f t="shared" si="243"/>
        <v>0.28252241568470204</v>
      </c>
      <c r="BO28" s="1607">
        <f t="shared" si="243"/>
        <v>0.2658799573623038</v>
      </c>
      <c r="BP28" s="1607">
        <f t="shared" si="243"/>
        <v>0.19001777826890492</v>
      </c>
      <c r="BQ28" s="1607">
        <f t="shared" si="243"/>
        <v>4.2596017737239596E-2</v>
      </c>
      <c r="BR28" s="1607">
        <f t="shared" si="243"/>
        <v>0.23239749333990473</v>
      </c>
      <c r="BS28" s="1607">
        <f t="shared" si="243"/>
        <v>0.26217560649399024</v>
      </c>
      <c r="BT28" s="1607">
        <f t="shared" si="243"/>
        <v>0.18202092284711313</v>
      </c>
      <c r="BU28" s="1607">
        <f t="shared" si="243"/>
        <v>5.4517595796498168E-2</v>
      </c>
      <c r="BV28" s="1607">
        <f t="shared" si="243"/>
        <v>0.28919241724532124</v>
      </c>
      <c r="BW28" s="1607">
        <f t="shared" si="243"/>
        <v>0.3159529522496497</v>
      </c>
      <c r="BX28" s="1607">
        <f t="shared" si="243"/>
        <v>0.24460567698398192</v>
      </c>
      <c r="BY28" s="1607">
        <f t="shared" si="243"/>
        <v>0.12374029712271334</v>
      </c>
    </row>
    <row r="29" spans="1:77" s="210" customFormat="1" ht="13.5" customHeight="1">
      <c r="A29" s="625" t="s">
        <v>173</v>
      </c>
      <c r="B29" s="327">
        <f>'Quarterly historicals'!B169</f>
        <v>24.166</v>
      </c>
      <c r="C29" s="327">
        <f>'Quarterly historicals'!C169</f>
        <v>17.184999999999999</v>
      </c>
      <c r="D29" s="327">
        <f>'Quarterly historicals'!D169</f>
        <v>11.119</v>
      </c>
      <c r="E29" s="327">
        <f>'Quarterly historicals'!E169</f>
        <v>15.977</v>
      </c>
      <c r="F29" s="327">
        <f>'Quarterly historicals'!F169</f>
        <v>25.681000000000001</v>
      </c>
      <c r="G29" s="327">
        <f>'Quarterly historicals'!G169</f>
        <v>16.376999999999999</v>
      </c>
      <c r="H29" s="327">
        <f>'Quarterly historicals'!H169</f>
        <v>20.34</v>
      </c>
      <c r="I29" s="327">
        <f>'Quarterly historicals'!I169</f>
        <v>16.279</v>
      </c>
      <c r="J29" s="327">
        <f>'Quarterly historicals'!J169</f>
        <v>4.0519999999999996</v>
      </c>
      <c r="K29" s="327">
        <f>'Quarterly historicals'!K169</f>
        <v>17.943999999999999</v>
      </c>
      <c r="L29" s="327">
        <f>'Quarterly historicals'!L169</f>
        <v>13.459</v>
      </c>
      <c r="M29" s="327">
        <f>'Quarterly historicals'!M169</f>
        <v>16.975999999999999</v>
      </c>
      <c r="N29" s="327">
        <f>'Quarterly historicals'!N169</f>
        <v>23.597999999999999</v>
      </c>
      <c r="O29" s="327">
        <f>'Quarterly historicals'!O169</f>
        <v>17.087</v>
      </c>
      <c r="P29" s="327">
        <f>'Quarterly historicals'!P169</f>
        <v>12.111000000000001</v>
      </c>
      <c r="Q29" s="327">
        <f>'Quarterly historicals'!Q169</f>
        <v>51.832999999999998</v>
      </c>
      <c r="R29" s="327">
        <f>'Quarterly historicals'!R169</f>
        <v>3.6720000000000002</v>
      </c>
      <c r="S29" s="327">
        <f>'Quarterly historicals'!S169</f>
        <v>7.7149999999999999</v>
      </c>
      <c r="T29" s="327">
        <f>'Quarterly historicals'!T169</f>
        <v>11.03</v>
      </c>
      <c r="U29" s="327">
        <f>'Quarterly historicals'!U169</f>
        <v>17.05</v>
      </c>
      <c r="V29" s="327">
        <f>'Quarterly historicals'!V169</f>
        <v>13.35</v>
      </c>
      <c r="W29" s="327">
        <f>'Quarterly historicals'!W169</f>
        <v>27.103000000000002</v>
      </c>
      <c r="X29" s="327">
        <f>'Quarterly historicals'!X169</f>
        <v>18.166</v>
      </c>
      <c r="Y29" s="327">
        <f>'Quarterly historicals'!Y169</f>
        <v>17.073</v>
      </c>
      <c r="Z29" s="327">
        <f>'Quarterly historicals'!Z169</f>
        <v>25.135000000000002</v>
      </c>
      <c r="AA29" s="327">
        <f>'Quarterly historicals'!AA169</f>
        <v>29.582999999999998</v>
      </c>
      <c r="AB29" s="327">
        <f>'Quarterly historicals'!AB169</f>
        <v>28.16</v>
      </c>
      <c r="AC29" s="327">
        <f>'Quarterly historicals'!AC169</f>
        <v>8.4049999999999994</v>
      </c>
      <c r="AD29" s="327">
        <f>'Quarterly historicals'!AD169</f>
        <v>9.5839999999999996</v>
      </c>
      <c r="AE29" s="327">
        <f>'Quarterly historicals'!AE169</f>
        <v>9.0239999999999991</v>
      </c>
      <c r="AF29" s="327">
        <f>'Quarterly historicals'!AF169</f>
        <v>10.170999999999999</v>
      </c>
      <c r="AG29" s="327">
        <f>'Quarterly historicals'!AG169</f>
        <v>14.984999999999999</v>
      </c>
      <c r="AH29" s="327">
        <f>'Quarterly historicals'!AH169</f>
        <v>16.126999999999999</v>
      </c>
      <c r="AI29" s="327">
        <f>'Quarterly historicals'!AI169</f>
        <v>26.972000000000001</v>
      </c>
      <c r="AJ29" s="327">
        <f>'Quarterly historicals'!AJ169</f>
        <v>26.643000000000001</v>
      </c>
      <c r="AK29" s="327">
        <f>'Quarterly historicals'!AK169</f>
        <v>27.803999999999998</v>
      </c>
      <c r="AL29" s="327">
        <f>'Quarterly historicals'!AL169</f>
        <v>36.47</v>
      </c>
      <c r="AM29" s="327">
        <f>'Quarterly historicals'!AM169</f>
        <v>26.434000000000001</v>
      </c>
      <c r="AN29" s="327">
        <f>'Quarterly historicals'!AN169</f>
        <v>27.085999999999999</v>
      </c>
      <c r="AO29" s="327">
        <f>'Quarterly historicals'!AO169</f>
        <v>30.234999999999999</v>
      </c>
      <c r="AP29" s="327">
        <f>'Quarterly historicals'!AP169</f>
        <v>36.89</v>
      </c>
      <c r="AQ29" s="327">
        <f>'Quarterly historicals'!AQ169</f>
        <v>33.872999999999998</v>
      </c>
      <c r="AR29" s="327">
        <f>'Quarterly historicals'!AR169</f>
        <v>30.809000000000001</v>
      </c>
      <c r="AS29" s="327">
        <f>'Quarterly historicals'!AS169</f>
        <v>30.981000000000002</v>
      </c>
      <c r="AT29" s="358">
        <f>'Quarterly historicals'!AT169</f>
        <v>44.817</v>
      </c>
      <c r="AU29" s="614">
        <f>Q_IS!BQ207</f>
        <v>29.199945343321296</v>
      </c>
      <c r="AV29" s="614">
        <f>Q_IS!BR207</f>
        <v>24.268585841448314</v>
      </c>
      <c r="AW29" s="614">
        <f>Q_IS!BS207</f>
        <v>28.660495837003513</v>
      </c>
      <c r="AX29" s="614">
        <f>Q_IS!BT207</f>
        <v>27.065465493712157</v>
      </c>
      <c r="AY29" s="614">
        <f>Q_IS!BU207</f>
        <v>24.551803723919768</v>
      </c>
      <c r="AZ29" s="614">
        <f>Q_IS!BV207</f>
        <v>27.103996196492659</v>
      </c>
      <c r="BA29" s="614">
        <f>Q_IS!BW207</f>
        <v>26.422891561781611</v>
      </c>
      <c r="BB29" s="614">
        <f>Q_IS!BX207</f>
        <v>29.81007158156067</v>
      </c>
      <c r="BC29" s="614">
        <f>Q_IS!BY207</f>
        <v>27.06525773204233</v>
      </c>
      <c r="BD29" s="614">
        <f>Q_IS!BZ207</f>
        <v>27.070711875565195</v>
      </c>
      <c r="BE29" s="614">
        <f>Q_IS!CA207</f>
        <v>30.758934913671951</v>
      </c>
      <c r="BF29" s="614">
        <f>Q_IS!CB207</f>
        <v>31.106513639642213</v>
      </c>
      <c r="BG29" s="614">
        <f>Q_IS!CC207</f>
        <v>28.777487389112689</v>
      </c>
      <c r="BH29" s="614">
        <f>Q_IS!CD207</f>
        <v>29.585638950166235</v>
      </c>
      <c r="BI29" s="614">
        <f>Q_IS!CE207</f>
        <v>34.491428891296927</v>
      </c>
      <c r="BJ29" s="614">
        <f>Q_IS!CF207</f>
        <v>33.831163749544459</v>
      </c>
      <c r="BK29" s="614">
        <f>Q_IS!CG207</f>
        <v>30.852812205929617</v>
      </c>
      <c r="BL29" s="614">
        <f>Q_IS!CH207</f>
        <v>32.175853486534365</v>
      </c>
      <c r="BM29" s="614">
        <f>Q_IS!CI207</f>
        <v>37.575250179477031</v>
      </c>
      <c r="BN29" s="614">
        <f>Q_IS!CJ207</f>
        <v>37.589205315354803</v>
      </c>
      <c r="BO29" s="614">
        <f>Q_IS!CK207</f>
        <v>32.476040495587128</v>
      </c>
      <c r="BP29" s="614">
        <f>Q_IS!CL207</f>
        <v>33.481792387805974</v>
      </c>
      <c r="BQ29" s="614">
        <f>Q_IS!CM207</f>
        <v>38.372109153135071</v>
      </c>
      <c r="BR29" s="614">
        <f>Q_IS!CN207</f>
        <v>36.350900720651651</v>
      </c>
      <c r="BS29" s="614">
        <f>Q_IS!CO207</f>
        <v>27.760746833736956</v>
      </c>
      <c r="BT29" s="614">
        <f>Q_IS!CP207</f>
        <v>27.327665288619034</v>
      </c>
      <c r="BU29" s="614">
        <f>Q_IS!CQ207</f>
        <v>31.134318305451</v>
      </c>
      <c r="BV29" s="614">
        <f>Q_IS!CR207</f>
        <v>31.403072634000164</v>
      </c>
      <c r="BW29" s="614">
        <f>Q_IS!CS207</f>
        <v>23.343976665250842</v>
      </c>
      <c r="BX29" s="614">
        <f>Q_IS!CT207</f>
        <v>24.72501991183308</v>
      </c>
      <c r="BY29" s="614">
        <f>Q_IS!CU207</f>
        <v>28.829627590017154</v>
      </c>
    </row>
    <row r="30" spans="1:77" s="210" customFormat="1" ht="13.5" customHeight="1">
      <c r="A30" s="625" t="s">
        <v>174</v>
      </c>
      <c r="B30" s="327">
        <f>'Quarterly historicals'!B170</f>
        <v>-29.288</v>
      </c>
      <c r="C30" s="327">
        <f>'Quarterly historicals'!C170</f>
        <v>-21.326000000000001</v>
      </c>
      <c r="D30" s="327">
        <f>'Quarterly historicals'!D170</f>
        <v>-20.212</v>
      </c>
      <c r="E30" s="327">
        <f>'Quarterly historicals'!E170</f>
        <v>-20.288</v>
      </c>
      <c r="F30" s="327">
        <f>'Quarterly historicals'!F170</f>
        <v>-21.295000000000002</v>
      </c>
      <c r="G30" s="327">
        <f>'Quarterly historicals'!G170</f>
        <v>-20.623000000000001</v>
      </c>
      <c r="H30" s="327">
        <f>'Quarterly historicals'!H170</f>
        <v>-21.885999999999999</v>
      </c>
      <c r="I30" s="327">
        <f>'Quarterly historicals'!I170</f>
        <v>-24.28</v>
      </c>
      <c r="J30" s="327">
        <f>'Quarterly historicals'!J170</f>
        <v>-16.494</v>
      </c>
      <c r="K30" s="327">
        <f>'Quarterly historicals'!K170</f>
        <v>-49.43</v>
      </c>
      <c r="L30" s="327">
        <f>'Quarterly historicals'!L170</f>
        <v>-56.776000000000003</v>
      </c>
      <c r="M30" s="327">
        <f>'Quarterly historicals'!M170</f>
        <v>-32.048000000000002</v>
      </c>
      <c r="N30" s="327">
        <f>'Quarterly historicals'!N170</f>
        <v>-20.452999999999999</v>
      </c>
      <c r="O30" s="327">
        <f>'Quarterly historicals'!O170</f>
        <v>-36.241999999999997</v>
      </c>
      <c r="P30" s="327">
        <f>'Quarterly historicals'!P170</f>
        <v>-62.904000000000003</v>
      </c>
      <c r="Q30" s="327">
        <f>'Quarterly historicals'!Q170</f>
        <v>-61.189</v>
      </c>
      <c r="R30" s="327">
        <f>'Quarterly historicals'!R170</f>
        <v>-19.841999999999999</v>
      </c>
      <c r="S30" s="327">
        <f>'Quarterly historicals'!S170</f>
        <v>-30.963000000000001</v>
      </c>
      <c r="T30" s="327">
        <f>'Quarterly historicals'!T170</f>
        <v>-26.02</v>
      </c>
      <c r="U30" s="327">
        <f>'Quarterly historicals'!U170</f>
        <v>-24.782</v>
      </c>
      <c r="V30" s="327">
        <f>'Quarterly historicals'!V170</f>
        <v>-24.064</v>
      </c>
      <c r="W30" s="327">
        <f>'Quarterly historicals'!W170</f>
        <v>-39.552999999999997</v>
      </c>
      <c r="X30" s="327">
        <f>'Quarterly historicals'!X170</f>
        <v>-21.98</v>
      </c>
      <c r="Y30" s="327">
        <f>'Quarterly historicals'!Y170</f>
        <v>-32.576999999999998</v>
      </c>
      <c r="Z30" s="327">
        <f>'Quarterly historicals'!Z170</f>
        <v>-36.927</v>
      </c>
      <c r="AA30" s="327">
        <f>'Quarterly historicals'!AA170</f>
        <v>-50.607999999999997</v>
      </c>
      <c r="AB30" s="327">
        <f>'Quarterly historicals'!AB170</f>
        <v>-59.787999999999997</v>
      </c>
      <c r="AC30" s="327">
        <f>'Quarterly historicals'!AC170</f>
        <v>-28.841999999999999</v>
      </c>
      <c r="AD30" s="327">
        <f>'Quarterly historicals'!AD170</f>
        <v>-36.819000000000003</v>
      </c>
      <c r="AE30" s="327">
        <f>'Quarterly historicals'!AE170</f>
        <v>-39.802999999999997</v>
      </c>
      <c r="AF30" s="327">
        <f>'Quarterly historicals'!AF170</f>
        <v>-39.734000000000002</v>
      </c>
      <c r="AG30" s="327">
        <f>'Quarterly historicals'!AG170</f>
        <v>-42.094000000000001</v>
      </c>
      <c r="AH30" s="327">
        <f>'Quarterly historicals'!AH170</f>
        <v>-41.64</v>
      </c>
      <c r="AI30" s="327">
        <f>'Quarterly historicals'!AI170</f>
        <v>-73.721999999999994</v>
      </c>
      <c r="AJ30" s="327">
        <f>'Quarterly historicals'!AJ170</f>
        <v>-78.248000000000005</v>
      </c>
      <c r="AK30" s="327">
        <f>'Quarterly historicals'!AK170</f>
        <v>-72.495000000000005</v>
      </c>
      <c r="AL30" s="327">
        <f>'Quarterly historicals'!AL170</f>
        <v>-75.272999999999996</v>
      </c>
      <c r="AM30" s="327">
        <f>'Quarterly historicals'!AM170</f>
        <v>-72.352999999999994</v>
      </c>
      <c r="AN30" s="327">
        <f>'Quarterly historicals'!AN170</f>
        <v>-85.32</v>
      </c>
      <c r="AO30" s="327">
        <f>'Quarterly historicals'!AO170</f>
        <v>-78.325999999999993</v>
      </c>
      <c r="AP30" s="327">
        <f>'Quarterly historicals'!AP170</f>
        <v>-76.846999999999994</v>
      </c>
      <c r="AQ30" s="327">
        <f>'Quarterly historicals'!AQ170</f>
        <v>-86.971999999999994</v>
      </c>
      <c r="AR30" s="327">
        <f>'Quarterly historicals'!AR170</f>
        <v>-91.927000000000007</v>
      </c>
      <c r="AS30" s="327">
        <f>'Quarterly historicals'!AS170</f>
        <v>-87.822999999999993</v>
      </c>
      <c r="AT30" s="358">
        <f>'Quarterly historicals'!AT170</f>
        <v>-95.293999999999997</v>
      </c>
      <c r="AU30" s="614">
        <f>Q_IS!BQ210</f>
        <v>-73.81633795325115</v>
      </c>
      <c r="AV30" s="614">
        <f>Q_IS!BR210</f>
        <v>-72.465342874639674</v>
      </c>
      <c r="AW30" s="614">
        <f>Q_IS!BS210</f>
        <v>-68.278487525155072</v>
      </c>
      <c r="AX30" s="614">
        <f>Q_IS!BT210</f>
        <v>-64.091632175670469</v>
      </c>
      <c r="AY30" s="614">
        <f>Q_IS!BU210</f>
        <v>-64.091632175670469</v>
      </c>
      <c r="AZ30" s="614">
        <f>Q_IS!BV210</f>
        <v>-68.864022794648349</v>
      </c>
      <c r="BA30" s="614">
        <f>Q_IS!BW210</f>
        <v>-60.499815163531174</v>
      </c>
      <c r="BB30" s="614">
        <f>Q_IS!BX210</f>
        <v>-60.499815163531174</v>
      </c>
      <c r="BC30" s="614">
        <f>Q_IS!BY210</f>
        <v>-60.499815163531174</v>
      </c>
      <c r="BD30" s="614">
        <f>Q_IS!BZ210</f>
        <v>-60.499815163531174</v>
      </c>
      <c r="BE30" s="614">
        <f>Q_IS!CA210</f>
        <v>-60.499815163531174</v>
      </c>
      <c r="BF30" s="614">
        <f>Q_IS!CB210</f>
        <v>-60.499815163531174</v>
      </c>
      <c r="BG30" s="614">
        <f>Q_IS!CC210</f>
        <v>-60.499815163531174</v>
      </c>
      <c r="BH30" s="614">
        <f>Q_IS!CD210</f>
        <v>-60.499815163531174</v>
      </c>
      <c r="BI30" s="614">
        <f>Q_IS!CE210</f>
        <v>-60.499815163531174</v>
      </c>
      <c r="BJ30" s="614">
        <f>Q_IS!CF210</f>
        <v>-60.499815163531174</v>
      </c>
      <c r="BK30" s="614">
        <f>Q_IS!CG210</f>
        <v>-60.499815163531174</v>
      </c>
      <c r="BL30" s="614">
        <f>Q_IS!CH210</f>
        <v>-60.499815163531174</v>
      </c>
      <c r="BM30" s="614">
        <f>Q_IS!CI210</f>
        <v>-60.499815163531174</v>
      </c>
      <c r="BN30" s="614">
        <f>Q_IS!CJ210</f>
        <v>-60.499815163531174</v>
      </c>
      <c r="BO30" s="614">
        <f>Q_IS!CK210</f>
        <v>-60.499815163531174</v>
      </c>
      <c r="BP30" s="614">
        <f>Q_IS!CL210</f>
        <v>-60.499815163531174</v>
      </c>
      <c r="BQ30" s="614">
        <f>Q_IS!CM210</f>
        <v>-60.499815163531174</v>
      </c>
      <c r="BR30" s="614">
        <f>Q_IS!CN210</f>
        <v>-60.499815163531174</v>
      </c>
      <c r="BS30" s="614">
        <f>Q_IS!CO210</f>
        <v>-60.499815163531174</v>
      </c>
      <c r="BT30" s="614">
        <f>Q_IS!CP210</f>
        <v>-60.499815163531174</v>
      </c>
      <c r="BU30" s="614">
        <f>Q_IS!CQ210</f>
        <v>-60.499815163531174</v>
      </c>
      <c r="BV30" s="614">
        <f>Q_IS!CR210</f>
        <v>-60.499815163531174</v>
      </c>
      <c r="BW30" s="614">
        <f>Q_IS!CS210</f>
        <v>-60.499815163531174</v>
      </c>
      <c r="BX30" s="614">
        <f>Q_IS!CT210</f>
        <v>-60.499815163531174</v>
      </c>
      <c r="BY30" s="614">
        <f>Q_IS!CU210</f>
        <v>-60.499815163531174</v>
      </c>
    </row>
    <row r="31" spans="1:77" s="210" customFormat="1" ht="13.5" customHeight="1">
      <c r="A31" s="625" t="s">
        <v>83</v>
      </c>
      <c r="B31" s="327">
        <f>'Quarterly historicals'!B171+'Quarterly historicals'!B173</f>
        <v>-4.8279999999999994</v>
      </c>
      <c r="C31" s="327">
        <f>'Quarterly historicals'!C171+'Quarterly historicals'!C173</f>
        <v>1.0439999999999998</v>
      </c>
      <c r="D31" s="327">
        <f>'Quarterly historicals'!D171+'Quarterly historicals'!D173</f>
        <v>10.79</v>
      </c>
      <c r="E31" s="327">
        <f>'Quarterly historicals'!E171+'Quarterly historicals'!E173</f>
        <v>0.33900000000000019</v>
      </c>
      <c r="F31" s="327">
        <f>'Quarterly historicals'!F171+'Quarterly historicals'!F173</f>
        <v>0.89100000000000024</v>
      </c>
      <c r="G31" s="327">
        <f>'Quarterly historicals'!G171+'Quarterly historicals'!G173</f>
        <v>-0.2769999999999998</v>
      </c>
      <c r="H31" s="327">
        <f>'Quarterly historicals'!H171+'Quarterly historicals'!H173</f>
        <v>0.20999999999999996</v>
      </c>
      <c r="I31" s="327">
        <f>'Quarterly historicals'!I171+'Quarterly historicals'!I173</f>
        <v>0.15300000000000002</v>
      </c>
      <c r="J31" s="327">
        <f>'Quarterly historicals'!J171+'Quarterly historicals'!J173</f>
        <v>1.2909999999999999</v>
      </c>
      <c r="K31" s="327">
        <f>'Quarterly historicals'!K171+'Quarterly historicals'!K173</f>
        <v>-27.213999999999999</v>
      </c>
      <c r="L31" s="327">
        <f>'Quarterly historicals'!L171+'Quarterly historicals'!L173</f>
        <v>-47.475999999999999</v>
      </c>
      <c r="M31" s="327">
        <f>'Quarterly historicals'!M171+'Quarterly historicals'!M173</f>
        <v>3.2269999999999999</v>
      </c>
      <c r="N31" s="327">
        <f>'Quarterly historicals'!N171+'Quarterly historicals'!N173</f>
        <v>53.960999999999999</v>
      </c>
      <c r="O31" s="327">
        <f>'Quarterly historicals'!O171+'Quarterly historicals'!O173</f>
        <v>32.145000000000003</v>
      </c>
      <c r="P31" s="327">
        <f>'Quarterly historicals'!P171+'Quarterly historicals'!P173</f>
        <v>16.056999999999999</v>
      </c>
      <c r="Q31" s="327">
        <f>'Quarterly historicals'!Q171+'Quarterly historicals'!Q173</f>
        <v>-9.2870000000000008</v>
      </c>
      <c r="R31" s="327">
        <f>'Quarterly historicals'!R171+'Quarterly historicals'!R173</f>
        <v>-2.7869999999999999</v>
      </c>
      <c r="S31" s="327">
        <f>'Quarterly historicals'!S171+'Quarterly historicals'!S173</f>
        <v>21.109000000000002</v>
      </c>
      <c r="T31" s="327">
        <f>'Quarterly historicals'!T171+'Quarterly historicals'!T173</f>
        <v>3.5790000000000002</v>
      </c>
      <c r="U31" s="327">
        <f>'Quarterly historicals'!U171+'Quarterly historicals'!U173</f>
        <v>1.5640000000000001</v>
      </c>
      <c r="V31" s="327">
        <f>'Quarterly historicals'!V171+'Quarterly historicals'!V173</f>
        <v>1.5740000000000001</v>
      </c>
      <c r="W31" s="327">
        <f>'Quarterly historicals'!W171+'Quarterly historicals'!W173</f>
        <v>-13.029</v>
      </c>
      <c r="X31" s="327">
        <f>'Quarterly historicals'!X171+'Quarterly historicals'!X173</f>
        <v>-12.622999999999999</v>
      </c>
      <c r="Y31" s="327">
        <f>'Quarterly historicals'!Y171+'Quarterly historicals'!Y173</f>
        <v>1.7549999999999999</v>
      </c>
      <c r="Z31" s="327">
        <f>'Quarterly historicals'!Z171+'Quarterly historicals'!Z173</f>
        <v>-17.238</v>
      </c>
      <c r="AA31" s="327">
        <f>'Quarterly historicals'!AA171+'Quarterly historicals'!AA173</f>
        <v>-2.298</v>
      </c>
      <c r="AB31" s="327">
        <f>'Quarterly historicals'!AB171+'Quarterly historicals'!AB173</f>
        <v>-2.2090000000000001</v>
      </c>
      <c r="AC31" s="327">
        <f>'Quarterly historicals'!AC171+'Quarterly historicals'!AC173</f>
        <v>5.976</v>
      </c>
      <c r="AD31" s="327">
        <f>'Quarterly historicals'!AD171+'Quarterly historicals'!AD173</f>
        <v>10.488</v>
      </c>
      <c r="AE31" s="327">
        <f>'Quarterly historicals'!AE171+'Quarterly historicals'!AE173</f>
        <v>3.129</v>
      </c>
      <c r="AF31" s="327">
        <f>'Quarterly historicals'!AF171+'Quarterly historicals'!AF173</f>
        <v>7.4740000000000002</v>
      </c>
      <c r="AG31" s="327">
        <f>'Quarterly historicals'!AG171+'Quarterly historicals'!AG173</f>
        <v>-13.602000000000002</v>
      </c>
      <c r="AH31" s="327">
        <f>'Quarterly historicals'!AH171+'Quarterly historicals'!AH173</f>
        <v>-0.95700000000000007</v>
      </c>
      <c r="AI31" s="327">
        <f>'Quarterly historicals'!AI171+'Quarterly historicals'!AI173</f>
        <v>6.4390000000000001</v>
      </c>
      <c r="AJ31" s="327">
        <f>'Quarterly historicals'!AJ171+'Quarterly historicals'!AJ173</f>
        <v>-15.787000000000001</v>
      </c>
      <c r="AK31" s="327">
        <f>'Quarterly historicals'!AK171+'Quarterly historicals'!AK173</f>
        <v>-2.2570000000000006</v>
      </c>
      <c r="AL31" s="327">
        <f>'Quarterly historicals'!AL171+'Quarterly historicals'!AL173</f>
        <v>-19.766999999999999</v>
      </c>
      <c r="AM31" s="327">
        <f>'Quarterly historicals'!AM171+'Quarterly historicals'!AM173</f>
        <v>-73.495000000000005</v>
      </c>
      <c r="AN31" s="327">
        <f>'Quarterly historicals'!AN171+'Quarterly historicals'!AN173</f>
        <v>-17.87</v>
      </c>
      <c r="AO31" s="327">
        <f>'Quarterly historicals'!AO171+'Quarterly historicals'!AO173</f>
        <v>-18.053000000000001</v>
      </c>
      <c r="AP31" s="327">
        <f>'Quarterly historicals'!AP171+'Quarterly historicals'!AP173</f>
        <v>-34.215000000000003</v>
      </c>
      <c r="AQ31" s="327">
        <f>'Quarterly historicals'!AQ171+'Quarterly historicals'!AQ173</f>
        <v>-4.3439999999999994</v>
      </c>
      <c r="AR31" s="327">
        <f>'Quarterly historicals'!AR171+'Quarterly historicals'!AR173</f>
        <v>-6.2110000000000003</v>
      </c>
      <c r="AS31" s="327">
        <f>'Quarterly historicals'!AS171+'Quarterly historicals'!AS173</f>
        <v>-5.1279999999999992</v>
      </c>
      <c r="AT31" s="358">
        <f>'Quarterly historicals'!AT171+'Quarterly historicals'!AT173</f>
        <v>10.859</v>
      </c>
      <c r="AU31" s="758">
        <v>0</v>
      </c>
      <c r="AV31" s="758">
        <v>0</v>
      </c>
      <c r="AW31" s="758">
        <v>0</v>
      </c>
      <c r="AX31" s="758">
        <v>0</v>
      </c>
      <c r="AY31" s="758">
        <v>0</v>
      </c>
      <c r="AZ31" s="758">
        <v>0</v>
      </c>
      <c r="BA31" s="758">
        <v>0</v>
      </c>
      <c r="BB31" s="758">
        <v>0</v>
      </c>
      <c r="BC31" s="758">
        <v>0</v>
      </c>
      <c r="BD31" s="758">
        <v>0</v>
      </c>
      <c r="BE31" s="758">
        <v>0</v>
      </c>
      <c r="BF31" s="758">
        <v>0</v>
      </c>
      <c r="BG31" s="758">
        <v>0</v>
      </c>
      <c r="BH31" s="758">
        <v>0</v>
      </c>
      <c r="BI31" s="758">
        <v>0</v>
      </c>
      <c r="BJ31" s="758">
        <v>0</v>
      </c>
      <c r="BK31" s="758">
        <v>0</v>
      </c>
      <c r="BL31" s="758">
        <v>0</v>
      </c>
      <c r="BM31" s="758">
        <v>0</v>
      </c>
      <c r="BN31" s="758">
        <v>0</v>
      </c>
      <c r="BO31" s="758">
        <v>0</v>
      </c>
      <c r="BP31" s="758">
        <v>0</v>
      </c>
      <c r="BQ31" s="758">
        <v>0</v>
      </c>
      <c r="BR31" s="758">
        <v>0</v>
      </c>
      <c r="BS31" s="758">
        <v>0</v>
      </c>
      <c r="BT31" s="758">
        <v>0</v>
      </c>
      <c r="BU31" s="758">
        <v>0</v>
      </c>
      <c r="BV31" s="758">
        <v>0</v>
      </c>
      <c r="BW31" s="758">
        <v>0</v>
      </c>
      <c r="BX31" s="758">
        <v>0</v>
      </c>
      <c r="BY31" s="758">
        <v>0</v>
      </c>
    </row>
    <row r="32" spans="1:77" s="210" customFormat="1" ht="13.5" customHeight="1">
      <c r="A32" s="623" t="s">
        <v>400</v>
      </c>
      <c r="B32" s="475">
        <f t="shared" ref="B32:AG32" si="244">SUM(B29:B31,B27)</f>
        <v>31.534999999999993</v>
      </c>
      <c r="C32" s="475">
        <f t="shared" si="244"/>
        <v>46.541999999999987</v>
      </c>
      <c r="D32" s="475">
        <f t="shared" si="244"/>
        <v>22.661999999999995</v>
      </c>
      <c r="E32" s="475">
        <f t="shared" si="244"/>
        <v>8.3999999999997854E-2</v>
      </c>
      <c r="F32" s="475">
        <f t="shared" si="244"/>
        <v>-17.220999999999968</v>
      </c>
      <c r="G32" s="475">
        <f t="shared" si="244"/>
        <v>-48.184999999999995</v>
      </c>
      <c r="H32" s="475">
        <f t="shared" si="244"/>
        <v>-7.0680000000000058</v>
      </c>
      <c r="I32" s="475">
        <f t="shared" si="244"/>
        <v>1.2030000000000012</v>
      </c>
      <c r="J32" s="475">
        <f t="shared" si="244"/>
        <v>-39.609000000000002</v>
      </c>
      <c r="K32" s="475">
        <f t="shared" si="244"/>
        <v>-65.058000000000007</v>
      </c>
      <c r="L32" s="475">
        <f t="shared" si="244"/>
        <v>-52.382999999999996</v>
      </c>
      <c r="M32" s="475">
        <f t="shared" si="244"/>
        <v>25.233999999999977</v>
      </c>
      <c r="N32" s="475">
        <f t="shared" si="244"/>
        <v>44.184999999999981</v>
      </c>
      <c r="O32" s="475">
        <f t="shared" si="244"/>
        <v>33.236000000000004</v>
      </c>
      <c r="P32" s="475">
        <f t="shared" si="244"/>
        <v>17.997999999999976</v>
      </c>
      <c r="Q32" s="475">
        <f t="shared" si="244"/>
        <v>45.604000000000013</v>
      </c>
      <c r="R32" s="475">
        <f t="shared" si="244"/>
        <v>27.270999999999955</v>
      </c>
      <c r="S32" s="475">
        <f t="shared" si="244"/>
        <v>62.816000000000017</v>
      </c>
      <c r="T32" s="475">
        <f t="shared" si="244"/>
        <v>85.378999999999976</v>
      </c>
      <c r="U32" s="475">
        <f t="shared" si="244"/>
        <v>21.627999999999936</v>
      </c>
      <c r="V32" s="475">
        <f t="shared" si="244"/>
        <v>51.700000000000031</v>
      </c>
      <c r="W32" s="475">
        <f t="shared" si="244"/>
        <v>72.429999999999964</v>
      </c>
      <c r="X32" s="475">
        <f t="shared" si="244"/>
        <v>66.091999999999999</v>
      </c>
      <c r="Y32" s="475">
        <f t="shared" si="244"/>
        <v>-24.018999999999981</v>
      </c>
      <c r="Z32" s="475">
        <f t="shared" si="244"/>
        <v>2.9490000000000016</v>
      </c>
      <c r="AA32" s="475">
        <f t="shared" si="244"/>
        <v>71.873000000000019</v>
      </c>
      <c r="AB32" s="475">
        <f t="shared" si="244"/>
        <v>3.6040000000000205</v>
      </c>
      <c r="AC32" s="475">
        <f t="shared" si="244"/>
        <v>19.732999999999947</v>
      </c>
      <c r="AD32" s="475">
        <f t="shared" si="244"/>
        <v>49.069000000000003</v>
      </c>
      <c r="AE32" s="475">
        <f t="shared" si="244"/>
        <v>87.636000000000024</v>
      </c>
      <c r="AF32" s="475">
        <f t="shared" si="244"/>
        <v>39.241000000000028</v>
      </c>
      <c r="AG32" s="475">
        <f t="shared" si="244"/>
        <v>19.77499999999997</v>
      </c>
      <c r="AH32" s="475">
        <f t="shared" ref="AH32:BI32" si="245">SUM(AH29:AH31,AH27)</f>
        <v>71.881000000000029</v>
      </c>
      <c r="AI32" s="475">
        <f t="shared" si="245"/>
        <v>139.91200000000003</v>
      </c>
      <c r="AJ32" s="475">
        <f t="shared" si="245"/>
        <v>47.283999999999978</v>
      </c>
      <c r="AK32" s="475">
        <f t="shared" si="245"/>
        <v>61.308000000000114</v>
      </c>
      <c r="AL32" s="475">
        <f t="shared" si="245"/>
        <v>13.490000000000009</v>
      </c>
      <c r="AM32" s="475">
        <f t="shared" si="245"/>
        <v>13.481999999999957</v>
      </c>
      <c r="AN32" s="475">
        <f t="shared" si="245"/>
        <v>81.207999999999984</v>
      </c>
      <c r="AO32" s="475">
        <f t="shared" si="245"/>
        <v>83.679999999999936</v>
      </c>
      <c r="AP32" s="475">
        <f t="shared" ref="AP32:AQ32" si="246">SUM(AP29:AP31,AP27)</f>
        <v>46.552000000000049</v>
      </c>
      <c r="AQ32" s="475">
        <f t="shared" si="246"/>
        <v>83.541999999999987</v>
      </c>
      <c r="AR32" s="475">
        <f t="shared" ref="AR32:AS32" si="247">SUM(AR29:AR31,AR27)</f>
        <v>66.794999999999959</v>
      </c>
      <c r="AS32" s="475">
        <f t="shared" si="247"/>
        <v>248.68300000000002</v>
      </c>
      <c r="AT32" s="363">
        <f t="shared" ref="AT32" si="248">SUM(AT29:AT31,AT27)</f>
        <v>160.87900000000002</v>
      </c>
      <c r="AU32" s="620">
        <f t="shared" si="245"/>
        <v>202.38181580079993</v>
      </c>
      <c r="AV32" s="620">
        <f t="shared" si="245"/>
        <v>130.2830181191207</v>
      </c>
      <c r="AW32" s="620">
        <f t="shared" si="245"/>
        <v>156.40611381199886</v>
      </c>
      <c r="AX32" s="620">
        <f t="shared" si="245"/>
        <v>335.34626395884186</v>
      </c>
      <c r="AY32" s="620">
        <f t="shared" si="245"/>
        <v>205.56191709535892</v>
      </c>
      <c r="AZ32" s="620">
        <f t="shared" si="245"/>
        <v>128.32246335619607</v>
      </c>
      <c r="BA32" s="620">
        <f t="shared" si="245"/>
        <v>-10.621912661208221</v>
      </c>
      <c r="BB32" s="620">
        <f t="shared" si="245"/>
        <v>370.79921647290587</v>
      </c>
      <c r="BC32" s="620">
        <f t="shared" si="245"/>
        <v>241.13255783797075</v>
      </c>
      <c r="BD32" s="620">
        <f t="shared" si="245"/>
        <v>159.09984047526734</v>
      </c>
      <c r="BE32" s="620">
        <f t="shared" si="245"/>
        <v>7.9634905927347361</v>
      </c>
      <c r="BF32" s="620">
        <f t="shared" si="245"/>
        <v>485.5762037646885</v>
      </c>
      <c r="BG32" s="620">
        <f t="shared" si="245"/>
        <v>286.68043059125455</v>
      </c>
      <c r="BH32" s="620">
        <f t="shared" si="245"/>
        <v>197.51801874130774</v>
      </c>
      <c r="BI32" s="620">
        <f t="shared" si="245"/>
        <v>6.1918557901858549</v>
      </c>
      <c r="BJ32" s="620">
        <f t="shared" ref="BJ32:BY32" si="249">SUM(BJ29:BJ31,BJ27)</f>
        <v>521.55395747998864</v>
      </c>
      <c r="BK32" s="620">
        <f t="shared" si="249"/>
        <v>313.33790504005282</v>
      </c>
      <c r="BL32" s="620">
        <f t="shared" si="249"/>
        <v>218.30269757859287</v>
      </c>
      <c r="BM32" s="620">
        <f t="shared" si="249"/>
        <v>8.0343366655923205</v>
      </c>
      <c r="BN32" s="620">
        <f t="shared" si="249"/>
        <v>395.80238708161261</v>
      </c>
      <c r="BO32" s="620">
        <f t="shared" si="249"/>
        <v>292.86537167986273</v>
      </c>
      <c r="BP32" s="620">
        <f t="shared" si="249"/>
        <v>193.078785314378</v>
      </c>
      <c r="BQ32" s="620">
        <f t="shared" si="249"/>
        <v>17.9514784323732</v>
      </c>
      <c r="BR32" s="620">
        <f t="shared" si="249"/>
        <v>300.79550633344377</v>
      </c>
      <c r="BS32" s="620">
        <f t="shared" si="249"/>
        <v>278.83659060698164</v>
      </c>
      <c r="BT32" s="620">
        <f t="shared" si="249"/>
        <v>173.45019351862913</v>
      </c>
      <c r="BU32" s="620">
        <f t="shared" si="249"/>
        <v>22.08519283005359</v>
      </c>
      <c r="BV32" s="620">
        <f t="shared" si="249"/>
        <v>429.26043590216051</v>
      </c>
      <c r="BW32" s="620">
        <f t="shared" si="249"/>
        <v>380.68805044430917</v>
      </c>
      <c r="BX32" s="620">
        <f t="shared" si="249"/>
        <v>274.36747565276102</v>
      </c>
      <c r="BY32" s="620">
        <f t="shared" si="249"/>
        <v>97.722236065706937</v>
      </c>
    </row>
    <row r="33" spans="1:82" s="210" customFormat="1" ht="13.5" customHeight="1">
      <c r="A33" s="625" t="s">
        <v>401</v>
      </c>
      <c r="B33" s="327">
        <f>'Quarterly historicals'!B178+'Quarterly historicals'!B179</f>
        <v>-12.786000000000001</v>
      </c>
      <c r="C33" s="327">
        <f>'Quarterly historicals'!C178+'Quarterly historicals'!C179</f>
        <v>-15.8</v>
      </c>
      <c r="D33" s="327">
        <f>'Quarterly historicals'!D178+'Quarterly historicals'!D179</f>
        <v>-7.0090000000000003</v>
      </c>
      <c r="E33" s="327">
        <f>'Quarterly historicals'!E178+'Quarterly historicals'!E179</f>
        <v>-0.70199999999999996</v>
      </c>
      <c r="F33" s="327">
        <f>'Quarterly historicals'!F178+'Quarterly historicals'!F179</f>
        <v>5.6289999999999996</v>
      </c>
      <c r="G33" s="327">
        <f>'Quarterly historicals'!G178+'Quarterly historicals'!G179</f>
        <v>16.045000000000002</v>
      </c>
      <c r="H33" s="327">
        <f>'Quarterly historicals'!H178+'Quarterly historicals'!H179</f>
        <v>1.2910000000000001</v>
      </c>
      <c r="I33" s="327">
        <f>'Quarterly historicals'!I178+'Quarterly historicals'!I179</f>
        <v>-0.48800000000000004</v>
      </c>
      <c r="J33" s="327">
        <f>'Quarterly historicals'!J178+'Quarterly historicals'!J179</f>
        <v>13.379</v>
      </c>
      <c r="K33" s="327">
        <f>'Quarterly historicals'!K178+'Quarterly historicals'!K179</f>
        <v>20.623999999999999</v>
      </c>
      <c r="L33" s="327">
        <f>'Quarterly historicals'!L178+'Quarterly historicals'!L179</f>
        <v>12.237</v>
      </c>
      <c r="M33" s="327">
        <f>'Quarterly historicals'!M178+'Quarterly historicals'!M179</f>
        <v>7.3159999999999998</v>
      </c>
      <c r="N33" s="327">
        <f>'Quarterly historicals'!N178+'Quarterly historicals'!N179</f>
        <v>-13.583</v>
      </c>
      <c r="O33" s="327">
        <f>'Quarterly historicals'!O178+'Quarterly historicals'!O179</f>
        <v>-11.912000000000001</v>
      </c>
      <c r="P33" s="327">
        <f>'Quarterly historicals'!P178+'Quarterly historicals'!P179</f>
        <v>5.4580000000000002</v>
      </c>
      <c r="Q33" s="327">
        <f>'Quarterly historicals'!Q178+'Quarterly historicals'!Q179</f>
        <v>-19.827999999999999</v>
      </c>
      <c r="R33" s="327">
        <f>'Quarterly historicals'!R178+'Quarterly historicals'!R179</f>
        <v>-8.1989999999999998</v>
      </c>
      <c r="S33" s="327">
        <f>'Quarterly historicals'!S178+'Quarterly historicals'!S179</f>
        <v>-21.14</v>
      </c>
      <c r="T33" s="327">
        <f>'Quarterly historicals'!T178+'Quarterly historicals'!T179</f>
        <v>-15.713999999999999</v>
      </c>
      <c r="U33" s="327">
        <f>'Quarterly historicals'!U178+'Quarterly historicals'!U179</f>
        <v>-9.75</v>
      </c>
      <c r="V33" s="327">
        <f>'Quarterly historicals'!V178+'Quarterly historicals'!V179</f>
        <v>-13.735999999999999</v>
      </c>
      <c r="W33" s="327">
        <f>'Quarterly historicals'!W178+'Quarterly historicals'!W179</f>
        <v>-23.763000000000002</v>
      </c>
      <c r="X33" s="327">
        <f>'Quarterly historicals'!X178+'Quarterly historicals'!X179</f>
        <v>-10.636000000000001</v>
      </c>
      <c r="Y33" s="327">
        <f>'Quarterly historicals'!Y178+'Quarterly historicals'!Y179</f>
        <v>8.5429999999999993</v>
      </c>
      <c r="Z33" s="327">
        <f>'Quarterly historicals'!Z178+'Quarterly historicals'!Z179</f>
        <v>-0.57099999999999995</v>
      </c>
      <c r="AA33" s="327">
        <f>'Quarterly historicals'!AA178+'Quarterly historicals'!AA179</f>
        <v>-21.35</v>
      </c>
      <c r="AB33" s="327">
        <f>'Quarterly historicals'!AB178+'Quarterly historicals'!AB179</f>
        <v>3.706</v>
      </c>
      <c r="AC33" s="327">
        <f>'Quarterly historicals'!AC178+'Quarterly historicals'!AC179</f>
        <v>-6.9939999999999998</v>
      </c>
      <c r="AD33" s="327">
        <f>'Quarterly historicals'!AD178+'Quarterly historicals'!AD179</f>
        <v>-14.34</v>
      </c>
      <c r="AE33" s="327">
        <f>'Quarterly historicals'!AE178+'Quarterly historicals'!AE179</f>
        <v>-26.749000000000002</v>
      </c>
      <c r="AF33" s="327">
        <f>'Quarterly historicals'!AF178+'Quarterly historicals'!AF179</f>
        <v>-6.2829999999999977</v>
      </c>
      <c r="AG33" s="327">
        <f>'Quarterly historicals'!AG178+'Quarterly historicals'!AG179</f>
        <v>-13.347000000000001</v>
      </c>
      <c r="AH33" s="327">
        <f>'Quarterly historicals'!AH178+'Quarterly historicals'!AH179</f>
        <v>-11.155000000000001</v>
      </c>
      <c r="AI33" s="327">
        <f>'Quarterly historicals'!AI178+'Quarterly historicals'!AI179</f>
        <v>-23.4</v>
      </c>
      <c r="AJ33" s="327">
        <f>'Quarterly historicals'!AJ178+'Quarterly historicals'!AJ179</f>
        <v>7.2250000000000005</v>
      </c>
      <c r="AK33" s="327">
        <f>'Quarterly historicals'!AK178+'Quarterly historicals'!AK179</f>
        <v>-4.7379999999999995</v>
      </c>
      <c r="AL33" s="327">
        <f>'Quarterly historicals'!AL178+'Quarterly historicals'!AL179</f>
        <v>19.582999999999998</v>
      </c>
      <c r="AM33" s="327">
        <f>'Quarterly historicals'!AM178+'Quarterly historicals'!AM179</f>
        <v>7.5720000000000001</v>
      </c>
      <c r="AN33" s="327">
        <f>'Quarterly historicals'!AN178+'Quarterly historicals'!AN179</f>
        <v>-5.1879999999999988</v>
      </c>
      <c r="AO33" s="327">
        <f>'Quarterly historicals'!AO178+'Quarterly historicals'!AO179</f>
        <v>-14.354000000000001</v>
      </c>
      <c r="AP33" s="327">
        <f>'Quarterly historicals'!AP178+'Quarterly historicals'!AP179</f>
        <v>-6.8830000000000009</v>
      </c>
      <c r="AQ33" s="327">
        <f>'Quarterly historicals'!AQ178+'Quarterly historicals'!AQ179</f>
        <v>-14.629</v>
      </c>
      <c r="AR33" s="327">
        <f>'Quarterly historicals'!AR178+'Quarterly historicals'!AR179</f>
        <v>-10.930999999999999</v>
      </c>
      <c r="AS33" s="327">
        <f>'Quarterly historicals'!AS178+'Quarterly historicals'!AS179</f>
        <v>-129.24199999999999</v>
      </c>
      <c r="AT33" s="358">
        <f>'Quarterly historicals'!AT178+'Quarterly historicals'!AT179</f>
        <v>-44.006</v>
      </c>
      <c r="AU33" s="614">
        <f t="shared" ref="AU33:BY33" si="250">-AU32*AU34</f>
        <v>-34.40490868613599</v>
      </c>
      <c r="AV33" s="614">
        <f t="shared" si="250"/>
        <v>-22.148113080250521</v>
      </c>
      <c r="AW33" s="614">
        <f t="shared" si="250"/>
        <v>-26.589039348039808</v>
      </c>
      <c r="AX33" s="614">
        <f t="shared" si="250"/>
        <v>-43.59501431464944</v>
      </c>
      <c r="AY33" s="614">
        <f t="shared" si="250"/>
        <v>-26.723049222396661</v>
      </c>
      <c r="AZ33" s="614">
        <f t="shared" si="250"/>
        <v>-16.681920236305491</v>
      </c>
      <c r="BA33" s="614">
        <f t="shared" si="250"/>
        <v>1.3808486459570688</v>
      </c>
      <c r="BB33" s="614">
        <f t="shared" si="250"/>
        <v>-48.203898141477765</v>
      </c>
      <c r="BC33" s="614">
        <f t="shared" si="250"/>
        <v>-31.347232518936199</v>
      </c>
      <c r="BD33" s="614">
        <f t="shared" si="250"/>
        <v>-20.682979261784755</v>
      </c>
      <c r="BE33" s="614">
        <f t="shared" si="250"/>
        <v>-1.0352537770555157</v>
      </c>
      <c r="BF33" s="614">
        <f t="shared" si="250"/>
        <v>-82.547954639997045</v>
      </c>
      <c r="BG33" s="614">
        <f t="shared" si="250"/>
        <v>-48.735673200513276</v>
      </c>
      <c r="BH33" s="614">
        <f t="shared" si="250"/>
        <v>-33.57806318602232</v>
      </c>
      <c r="BI33" s="614">
        <f t="shared" si="250"/>
        <v>-1.0526154843315954</v>
      </c>
      <c r="BJ33" s="614">
        <f t="shared" si="250"/>
        <v>-99.095251921197843</v>
      </c>
      <c r="BK33" s="614">
        <f t="shared" si="250"/>
        <v>-59.534201957610037</v>
      </c>
      <c r="BL33" s="614">
        <f t="shared" si="250"/>
        <v>-41.477512539932647</v>
      </c>
      <c r="BM33" s="614">
        <f t="shared" si="250"/>
        <v>-1.526523966462541</v>
      </c>
      <c r="BN33" s="614">
        <f t="shared" si="250"/>
        <v>-83.118501287138642</v>
      </c>
      <c r="BO33" s="614">
        <f t="shared" si="250"/>
        <v>-61.50172805277117</v>
      </c>
      <c r="BP33" s="614">
        <f t="shared" si="250"/>
        <v>-40.546544916019378</v>
      </c>
      <c r="BQ33" s="614">
        <f t="shared" si="250"/>
        <v>-3.7698104707983719</v>
      </c>
      <c r="BR33" s="614">
        <f t="shared" si="250"/>
        <v>-69.182966456692057</v>
      </c>
      <c r="BS33" s="614">
        <f t="shared" si="250"/>
        <v>-64.13241583960577</v>
      </c>
      <c r="BT33" s="614">
        <f t="shared" si="250"/>
        <v>-39.893544509284695</v>
      </c>
      <c r="BU33" s="614">
        <f t="shared" si="250"/>
        <v>-5.0795943509123251</v>
      </c>
      <c r="BV33" s="614">
        <f t="shared" si="250"/>
        <v>-145.94854820673459</v>
      </c>
      <c r="BW33" s="614">
        <f t="shared" si="250"/>
        <v>-129.43393715106512</v>
      </c>
      <c r="BX33" s="614">
        <f t="shared" si="250"/>
        <v>-93.28494172193875</v>
      </c>
      <c r="BY33" s="614">
        <f t="shared" si="250"/>
        <v>-33.225560262340359</v>
      </c>
    </row>
    <row r="34" spans="1:82" s="571" customFormat="1" ht="13.5" customHeight="1">
      <c r="A34" s="692" t="s">
        <v>226</v>
      </c>
      <c r="B34" s="343">
        <f>-B33/B32</f>
        <v>0.40545425717456807</v>
      </c>
      <c r="C34" s="343">
        <f t="shared" ref="C34:M34" si="251">-C33/C32</f>
        <v>0.33947832065661132</v>
      </c>
      <c r="D34" s="343">
        <f t="shared" si="251"/>
        <v>0.30928426440737805</v>
      </c>
      <c r="E34" s="343">
        <f t="shared" si="251"/>
        <v>8.3571428571430708</v>
      </c>
      <c r="F34" s="343">
        <f t="shared" si="251"/>
        <v>0.32686835839962897</v>
      </c>
      <c r="G34" s="343">
        <f t="shared" si="251"/>
        <v>0.3329874442253814</v>
      </c>
      <c r="H34" s="343">
        <f t="shared" si="251"/>
        <v>0.18265421618562522</v>
      </c>
      <c r="I34" s="343">
        <f t="shared" si="251"/>
        <v>0.40565253532834544</v>
      </c>
      <c r="J34" s="343">
        <f t="shared" si="251"/>
        <v>0.33777676790628391</v>
      </c>
      <c r="K34" s="343">
        <f t="shared" si="251"/>
        <v>0.3170094377324848</v>
      </c>
      <c r="L34" s="343">
        <f t="shared" si="251"/>
        <v>0.23360632266193232</v>
      </c>
      <c r="M34" s="343">
        <f t="shared" si="251"/>
        <v>-0.28992628992629016</v>
      </c>
      <c r="N34" s="343">
        <f t="shared" ref="N34" si="252">-N33/N32</f>
        <v>0.30741201765304982</v>
      </c>
      <c r="O34" s="343">
        <f t="shared" ref="O34" si="253">-O33/O32</f>
        <v>0.3584065471175833</v>
      </c>
      <c r="P34" s="343">
        <f t="shared" ref="P34" si="254">-P33/P32</f>
        <v>-0.30325591732414753</v>
      </c>
      <c r="Q34" s="343">
        <f t="shared" ref="Q34" si="255">-Q33/Q32</f>
        <v>0.43478642224366271</v>
      </c>
      <c r="R34" s="343">
        <f t="shared" ref="R34" si="256">-R33/R32</f>
        <v>0.30064904110593721</v>
      </c>
      <c r="S34" s="343">
        <f t="shared" ref="S34" si="257">-S33/S32</f>
        <v>0.33653846153846145</v>
      </c>
      <c r="T34" s="343">
        <f t="shared" ref="T34" si="258">-T33/T32</f>
        <v>0.18404994202321417</v>
      </c>
      <c r="U34" s="343">
        <f t="shared" ref="U34" si="259">-U33/U32</f>
        <v>0.45080451266876403</v>
      </c>
      <c r="V34" s="343">
        <f t="shared" ref="V34" si="260">-V33/V32</f>
        <v>0.26568665377175998</v>
      </c>
      <c r="W34" s="343">
        <f t="shared" ref="W34" si="261">-W33/W32</f>
        <v>0.32808228634543718</v>
      </c>
      <c r="X34" s="343">
        <f t="shared" ref="X34" si="262">-X33/X32</f>
        <v>0.16092719239847486</v>
      </c>
      <c r="Y34" s="343">
        <f t="shared" ref="Y34" si="263">-Y33/Y32</f>
        <v>0.35567675590157816</v>
      </c>
      <c r="Z34" s="343">
        <f t="shared" ref="Z34" si="264">-Z33/Z32</f>
        <v>0.19362495761274995</v>
      </c>
      <c r="AA34" s="343">
        <f t="shared" ref="AA34" si="265">-AA33/AA32</f>
        <v>0.29705174404852996</v>
      </c>
      <c r="AB34" s="343">
        <f t="shared" ref="AB34" si="266">-AB33/AB32</f>
        <v>-1.0283018867924469</v>
      </c>
      <c r="AC34" s="343">
        <f t="shared" ref="AC34" si="267">-AC33/AC32</f>
        <v>0.35443166269700593</v>
      </c>
      <c r="AD34" s="343">
        <f t="shared" ref="AD34" si="268">-AD33/AD32</f>
        <v>0.29224153742688863</v>
      </c>
      <c r="AE34" s="343">
        <f t="shared" ref="AE34" si="269">-AE33/AE32</f>
        <v>0.30522844493130669</v>
      </c>
      <c r="AF34" s="343">
        <f t="shared" ref="AF34" si="270">-AF33/AF32</f>
        <v>0.16011314696363479</v>
      </c>
      <c r="AG34" s="343">
        <f t="shared" ref="AG34" si="271">-AG33/AG32</f>
        <v>0.67494310998735885</v>
      </c>
      <c r="AH34" s="343">
        <f t="shared" ref="AH34" si="272">-AH33/AH32</f>
        <v>0.15518704525535254</v>
      </c>
      <c r="AI34" s="343">
        <f t="shared" ref="AI34" si="273">-AI33/AI32</f>
        <v>0.16724798444736685</v>
      </c>
      <c r="AJ34" s="343">
        <f t="shared" ref="AJ34:AK34" si="274">-AJ33/AJ32</f>
        <v>-0.15280010151425438</v>
      </c>
      <c r="AK34" s="343">
        <f t="shared" si="274"/>
        <v>7.7281920793371026E-2</v>
      </c>
      <c r="AL34" s="343">
        <f t="shared" ref="AL34:AM34" si="275">-AL33/AL32</f>
        <v>-1.4516679021497394</v>
      </c>
      <c r="AM34" s="343">
        <f t="shared" si="275"/>
        <v>-0.56163773920783444</v>
      </c>
      <c r="AN34" s="343">
        <f t="shared" ref="AN34" si="276">-AN33/AN32</f>
        <v>6.3885331494434039E-2</v>
      </c>
      <c r="AO34" s="343">
        <f t="shared" ref="AO34:AP34" si="277">-AO33/AO32</f>
        <v>0.17153441682600395</v>
      </c>
      <c r="AP34" s="343">
        <f t="shared" si="277"/>
        <v>0.14785616085237999</v>
      </c>
      <c r="AQ34" s="343">
        <f t="shared" ref="AQ34:AR34" si="278">-AQ33/AQ32</f>
        <v>0.17510952574752822</v>
      </c>
      <c r="AR34" s="343">
        <f t="shared" si="278"/>
        <v>0.16364997380043425</v>
      </c>
      <c r="AS34" s="343">
        <f t="shared" ref="AS34:AT34" si="279">-AS33/AS32</f>
        <v>0.51970581020817663</v>
      </c>
      <c r="AT34" s="781">
        <f t="shared" si="279"/>
        <v>0.27353476836628765</v>
      </c>
      <c r="AU34" s="1002">
        <f>Inputs!$P139</f>
        <v>0.17</v>
      </c>
      <c r="AV34" s="1002">
        <f>Inputs!$P139</f>
        <v>0.17</v>
      </c>
      <c r="AW34" s="1002">
        <f>Inputs!$P139</f>
        <v>0.17</v>
      </c>
      <c r="AX34" s="1002">
        <f>Inputs!$Q139</f>
        <v>0.13</v>
      </c>
      <c r="AY34" s="1002">
        <f>Inputs!$Q139</f>
        <v>0.13</v>
      </c>
      <c r="AZ34" s="1002">
        <f>Inputs!$Q139</f>
        <v>0.13</v>
      </c>
      <c r="BA34" s="1002">
        <f>Inputs!$Q139</f>
        <v>0.13</v>
      </c>
      <c r="BB34" s="1002">
        <f>Inputs!$R139</f>
        <v>0.13</v>
      </c>
      <c r="BC34" s="1002">
        <f>Inputs!$R139</f>
        <v>0.13</v>
      </c>
      <c r="BD34" s="1002">
        <f>Inputs!$R139</f>
        <v>0.13</v>
      </c>
      <c r="BE34" s="1002">
        <f>Inputs!$R139</f>
        <v>0.13</v>
      </c>
      <c r="BF34" s="1002">
        <f>Inputs!$S139</f>
        <v>0.17</v>
      </c>
      <c r="BG34" s="1002">
        <f>Inputs!$S139</f>
        <v>0.17</v>
      </c>
      <c r="BH34" s="1002">
        <f>Inputs!$S139</f>
        <v>0.17</v>
      </c>
      <c r="BI34" s="1002">
        <f>Inputs!$S139</f>
        <v>0.17</v>
      </c>
      <c r="BJ34" s="1002">
        <f>Inputs!$T139</f>
        <v>0.19</v>
      </c>
      <c r="BK34" s="1002">
        <f>Inputs!$T139</f>
        <v>0.19</v>
      </c>
      <c r="BL34" s="1002">
        <f>Inputs!$T139</f>
        <v>0.19</v>
      </c>
      <c r="BM34" s="1002">
        <f>Inputs!$T139</f>
        <v>0.19</v>
      </c>
      <c r="BN34" s="1696">
        <f>Inputs!$U139</f>
        <v>0.21</v>
      </c>
      <c r="BO34" s="1696">
        <f>Inputs!$U139</f>
        <v>0.21</v>
      </c>
      <c r="BP34" s="1696">
        <f>Inputs!$U139</f>
        <v>0.21</v>
      </c>
      <c r="BQ34" s="1696">
        <f>Inputs!$U139</f>
        <v>0.21</v>
      </c>
      <c r="BR34" s="1696">
        <f>Inputs!$V139</f>
        <v>0.22999999999999998</v>
      </c>
      <c r="BS34" s="1696">
        <f>Inputs!$V139</f>
        <v>0.22999999999999998</v>
      </c>
      <c r="BT34" s="1696">
        <f>Inputs!$V139</f>
        <v>0.22999999999999998</v>
      </c>
      <c r="BU34" s="1696">
        <f>Inputs!$V139</f>
        <v>0.22999999999999998</v>
      </c>
      <c r="BV34" s="1696">
        <f>Inputs!$W139</f>
        <v>0.34</v>
      </c>
      <c r="BW34" s="1696">
        <f>Inputs!$W139</f>
        <v>0.34</v>
      </c>
      <c r="BX34" s="1696">
        <f>Inputs!$W139</f>
        <v>0.34</v>
      </c>
      <c r="BY34" s="1696">
        <f>Inputs!$W139</f>
        <v>0.34</v>
      </c>
    </row>
    <row r="35" spans="1:82" s="210" customFormat="1" ht="13.5" customHeight="1">
      <c r="A35" s="14" t="s">
        <v>354</v>
      </c>
      <c r="B35" s="475">
        <f>B32+B33</f>
        <v>18.748999999999992</v>
      </c>
      <c r="C35" s="475">
        <f t="shared" ref="C35:AJ35" si="280">C32+C33</f>
        <v>30.741999999999987</v>
      </c>
      <c r="D35" s="475">
        <f t="shared" si="280"/>
        <v>15.652999999999995</v>
      </c>
      <c r="E35" s="475">
        <f t="shared" si="280"/>
        <v>-0.6180000000000021</v>
      </c>
      <c r="F35" s="475">
        <f t="shared" si="280"/>
        <v>-11.591999999999969</v>
      </c>
      <c r="G35" s="475">
        <f t="shared" si="280"/>
        <v>-32.139999999999993</v>
      </c>
      <c r="H35" s="475">
        <f t="shared" si="280"/>
        <v>-5.7770000000000055</v>
      </c>
      <c r="I35" s="475">
        <f t="shared" si="280"/>
        <v>0.71500000000000119</v>
      </c>
      <c r="J35" s="475">
        <f t="shared" si="280"/>
        <v>-26.230000000000004</v>
      </c>
      <c r="K35" s="475">
        <f t="shared" si="280"/>
        <v>-44.434000000000012</v>
      </c>
      <c r="L35" s="475">
        <f t="shared" si="280"/>
        <v>-40.145999999999994</v>
      </c>
      <c r="M35" s="475">
        <f t="shared" si="280"/>
        <v>32.549999999999976</v>
      </c>
      <c r="N35" s="475">
        <f t="shared" si="280"/>
        <v>30.601999999999983</v>
      </c>
      <c r="O35" s="475">
        <f t="shared" si="280"/>
        <v>21.324000000000005</v>
      </c>
      <c r="P35" s="475">
        <f t="shared" si="280"/>
        <v>23.455999999999975</v>
      </c>
      <c r="Q35" s="475">
        <f t="shared" si="280"/>
        <v>25.776000000000014</v>
      </c>
      <c r="R35" s="475">
        <f t="shared" si="280"/>
        <v>19.071999999999953</v>
      </c>
      <c r="S35" s="475">
        <f t="shared" si="280"/>
        <v>41.676000000000016</v>
      </c>
      <c r="T35" s="475">
        <f t="shared" si="280"/>
        <v>69.664999999999978</v>
      </c>
      <c r="U35" s="475">
        <f t="shared" si="280"/>
        <v>11.877999999999936</v>
      </c>
      <c r="V35" s="475">
        <f t="shared" si="280"/>
        <v>37.964000000000034</v>
      </c>
      <c r="W35" s="475">
        <f t="shared" si="280"/>
        <v>48.666999999999959</v>
      </c>
      <c r="X35" s="475">
        <f t="shared" si="280"/>
        <v>55.455999999999996</v>
      </c>
      <c r="Y35" s="475">
        <f t="shared" si="280"/>
        <v>-15.475999999999981</v>
      </c>
      <c r="Z35" s="475">
        <f t="shared" si="280"/>
        <v>2.3780000000000019</v>
      </c>
      <c r="AA35" s="475">
        <f t="shared" si="280"/>
        <v>50.523000000000017</v>
      </c>
      <c r="AB35" s="475">
        <f t="shared" si="280"/>
        <v>7.31000000000002</v>
      </c>
      <c r="AC35" s="475">
        <f t="shared" si="280"/>
        <v>12.738999999999947</v>
      </c>
      <c r="AD35" s="475">
        <f t="shared" si="280"/>
        <v>34.728999999999999</v>
      </c>
      <c r="AE35" s="475">
        <f t="shared" si="280"/>
        <v>60.887000000000022</v>
      </c>
      <c r="AF35" s="475">
        <f t="shared" si="280"/>
        <v>32.958000000000027</v>
      </c>
      <c r="AG35" s="475">
        <f t="shared" si="280"/>
        <v>6.4279999999999688</v>
      </c>
      <c r="AH35" s="475">
        <f t="shared" si="280"/>
        <v>60.726000000000028</v>
      </c>
      <c r="AI35" s="475">
        <f t="shared" si="280"/>
        <v>116.51200000000003</v>
      </c>
      <c r="AJ35" s="475">
        <f t="shared" si="280"/>
        <v>54.508999999999979</v>
      </c>
      <c r="AK35" s="475">
        <f t="shared" ref="AK35:AL35" si="281">AK32+AK33</f>
        <v>56.570000000000114</v>
      </c>
      <c r="AL35" s="475">
        <f t="shared" si="281"/>
        <v>33.073000000000008</v>
      </c>
      <c r="AM35" s="475">
        <f t="shared" ref="AM35" si="282">AM32+AM33</f>
        <v>21.053999999999956</v>
      </c>
      <c r="AN35" s="475">
        <f t="shared" ref="AN35" si="283">AN32+AN33</f>
        <v>76.019999999999982</v>
      </c>
      <c r="AO35" s="475">
        <f t="shared" ref="AO35:AP35" si="284">AO32+AO33</f>
        <v>69.325999999999937</v>
      </c>
      <c r="AP35" s="475">
        <f t="shared" si="284"/>
        <v>39.669000000000047</v>
      </c>
      <c r="AQ35" s="475">
        <f t="shared" ref="AQ35:AR35" si="285">AQ32+AQ33</f>
        <v>68.912999999999982</v>
      </c>
      <c r="AR35" s="475">
        <f t="shared" si="285"/>
        <v>55.863999999999962</v>
      </c>
      <c r="AS35" s="475">
        <f t="shared" ref="AS35:AT35" si="286">AS32+AS33</f>
        <v>119.44100000000003</v>
      </c>
      <c r="AT35" s="363">
        <f t="shared" si="286"/>
        <v>116.87300000000002</v>
      </c>
      <c r="AU35" s="620">
        <f t="shared" ref="AU35:BI35" si="287">AU32+AU33</f>
        <v>167.97690711466393</v>
      </c>
      <c r="AV35" s="620">
        <f t="shared" si="287"/>
        <v>108.13490503887017</v>
      </c>
      <c r="AW35" s="620">
        <f t="shared" si="287"/>
        <v>129.81707446395905</v>
      </c>
      <c r="AX35" s="620">
        <f t="shared" si="287"/>
        <v>291.7512496441924</v>
      </c>
      <c r="AY35" s="620">
        <f t="shared" si="287"/>
        <v>178.83886787296225</v>
      </c>
      <c r="AZ35" s="620">
        <f t="shared" si="287"/>
        <v>111.64054311989058</v>
      </c>
      <c r="BA35" s="620">
        <f t="shared" si="287"/>
        <v>-9.2410640152511512</v>
      </c>
      <c r="BB35" s="620">
        <f t="shared" si="287"/>
        <v>322.59531833142807</v>
      </c>
      <c r="BC35" s="620">
        <f t="shared" si="287"/>
        <v>209.78532531903454</v>
      </c>
      <c r="BD35" s="620">
        <f t="shared" si="287"/>
        <v>138.41686121348258</v>
      </c>
      <c r="BE35" s="620">
        <f t="shared" si="287"/>
        <v>6.9282368156792202</v>
      </c>
      <c r="BF35" s="620">
        <f t="shared" si="287"/>
        <v>403.02824912469146</v>
      </c>
      <c r="BG35" s="620">
        <f t="shared" si="287"/>
        <v>237.94475739074127</v>
      </c>
      <c r="BH35" s="620">
        <f t="shared" si="287"/>
        <v>163.93995555528542</v>
      </c>
      <c r="BI35" s="620">
        <f t="shared" si="287"/>
        <v>5.1392403058542593</v>
      </c>
      <c r="BJ35" s="620">
        <f t="shared" ref="BJ35:BX35" si="288">BJ32+BJ33</f>
        <v>422.45870555879083</v>
      </c>
      <c r="BK35" s="620">
        <f t="shared" si="288"/>
        <v>253.80370308244278</v>
      </c>
      <c r="BL35" s="620">
        <f t="shared" si="288"/>
        <v>176.82518503866021</v>
      </c>
      <c r="BM35" s="620">
        <f t="shared" si="288"/>
        <v>6.5078126991297793</v>
      </c>
      <c r="BN35" s="620">
        <f t="shared" si="288"/>
        <v>312.68388579447395</v>
      </c>
      <c r="BO35" s="620">
        <f t="shared" si="288"/>
        <v>231.36364362709156</v>
      </c>
      <c r="BP35" s="620">
        <f t="shared" si="288"/>
        <v>152.53224039835862</v>
      </c>
      <c r="BQ35" s="620">
        <f t="shared" si="288"/>
        <v>14.181667961574828</v>
      </c>
      <c r="BR35" s="620">
        <f t="shared" si="288"/>
        <v>231.61253987675173</v>
      </c>
      <c r="BS35" s="620">
        <f t="shared" si="288"/>
        <v>214.70417476737589</v>
      </c>
      <c r="BT35" s="620">
        <f t="shared" si="288"/>
        <v>133.55664900934443</v>
      </c>
      <c r="BU35" s="620">
        <f t="shared" si="288"/>
        <v>17.005598479141263</v>
      </c>
      <c r="BV35" s="620">
        <f t="shared" si="288"/>
        <v>283.31188769542592</v>
      </c>
      <c r="BW35" s="620">
        <f t="shared" si="288"/>
        <v>251.25411329324405</v>
      </c>
      <c r="BX35" s="620">
        <f t="shared" si="288"/>
        <v>181.08253393082225</v>
      </c>
      <c r="BY35" s="620">
        <f t="shared" ref="BY35" si="289">BY32+BY33</f>
        <v>64.496675803366571</v>
      </c>
    </row>
    <row r="36" spans="1:82" s="210" customFormat="1" ht="13.5" customHeight="1">
      <c r="A36" s="213" t="s">
        <v>376</v>
      </c>
      <c r="B36" s="327">
        <f>'Quarterly historicals'!B180</f>
        <v>0</v>
      </c>
      <c r="C36" s="327">
        <f>'Quarterly historicals'!C180</f>
        <v>0</v>
      </c>
      <c r="D36" s="327">
        <f>'Quarterly historicals'!D180</f>
        <v>0</v>
      </c>
      <c r="E36" s="327">
        <f>'Quarterly historicals'!E180</f>
        <v>0</v>
      </c>
      <c r="F36" s="327">
        <f>'Quarterly historicals'!F180</f>
        <v>0</v>
      </c>
      <c r="G36" s="327">
        <f>'Quarterly historicals'!G180</f>
        <v>0</v>
      </c>
      <c r="H36" s="327">
        <f>'Quarterly historicals'!H180</f>
        <v>0</v>
      </c>
      <c r="I36" s="327">
        <f>'Quarterly historicals'!I180</f>
        <v>0</v>
      </c>
      <c r="J36" s="327">
        <f>'Quarterly historicals'!J180</f>
        <v>0</v>
      </c>
      <c r="K36" s="327">
        <f>'Quarterly historicals'!K180</f>
        <v>2.0059999999999998</v>
      </c>
      <c r="L36" s="327">
        <f>'Quarterly historicals'!L180</f>
        <v>3.7850000000000001</v>
      </c>
      <c r="M36" s="327">
        <f>'Quarterly historicals'!M180</f>
        <v>0.60399999999999998</v>
      </c>
      <c r="N36" s="327">
        <f>'Quarterly historicals'!N180</f>
        <v>-1.6950000000000001</v>
      </c>
      <c r="O36" s="327">
        <f>'Quarterly historicals'!O180</f>
        <v>-1.075</v>
      </c>
      <c r="P36" s="327">
        <f>'Quarterly historicals'!P180</f>
        <v>-0.316</v>
      </c>
      <c r="Q36" s="327">
        <f>'Quarterly historicals'!Q180</f>
        <v>0</v>
      </c>
      <c r="R36" s="327">
        <f>'Quarterly historicals'!R180</f>
        <v>0</v>
      </c>
      <c r="S36" s="327">
        <f>'Quarterly historicals'!S180</f>
        <v>0</v>
      </c>
      <c r="T36" s="327">
        <f>'Quarterly historicals'!T180</f>
        <v>0</v>
      </c>
      <c r="U36" s="327">
        <f>'Quarterly historicals'!U180</f>
        <v>0</v>
      </c>
      <c r="V36" s="327">
        <f>'Quarterly historicals'!V180</f>
        <v>0</v>
      </c>
      <c r="W36" s="327">
        <f>'Quarterly historicals'!W180</f>
        <v>0</v>
      </c>
      <c r="X36" s="327">
        <f>'Quarterly historicals'!X180</f>
        <v>0</v>
      </c>
      <c r="Y36" s="327">
        <f>'Quarterly historicals'!Y180</f>
        <v>0</v>
      </c>
      <c r="Z36" s="327">
        <f>'Quarterly historicals'!Z180</f>
        <v>0</v>
      </c>
      <c r="AA36" s="327">
        <f>'Quarterly historicals'!AA180</f>
        <v>0</v>
      </c>
      <c r="AB36" s="327">
        <f>'Quarterly historicals'!AB180</f>
        <v>0</v>
      </c>
      <c r="AC36" s="327">
        <f>'Quarterly historicals'!AC180</f>
        <v>0</v>
      </c>
      <c r="AD36" s="327">
        <f>'Quarterly historicals'!AD180</f>
        <v>0</v>
      </c>
      <c r="AE36" s="327">
        <f>'Quarterly historicals'!AE180</f>
        <v>0</v>
      </c>
      <c r="AF36" s="327">
        <f>'Quarterly historicals'!AF180</f>
        <v>0</v>
      </c>
      <c r="AG36" s="327">
        <f>'Quarterly historicals'!AG180</f>
        <v>0</v>
      </c>
      <c r="AH36" s="327">
        <f>'Quarterly historicals'!AH180</f>
        <v>0</v>
      </c>
      <c r="AI36" s="327">
        <f>'Quarterly historicals'!AI180</f>
        <v>-1.29</v>
      </c>
      <c r="AJ36" s="327">
        <f>'Quarterly historicals'!AJ180</f>
        <v>-0.96899999999999997</v>
      </c>
      <c r="AK36" s="327">
        <f>'Quarterly historicals'!AK180</f>
        <v>0</v>
      </c>
      <c r="AL36" s="327">
        <f>'Quarterly historicals'!AL180</f>
        <v>0</v>
      </c>
      <c r="AM36" s="327">
        <f>'Quarterly historicals'!AM180</f>
        <v>0</v>
      </c>
      <c r="AN36" s="327">
        <f>'Quarterly historicals'!AN180</f>
        <v>0</v>
      </c>
      <c r="AO36" s="327">
        <f>'Quarterly historicals'!AO180</f>
        <v>0</v>
      </c>
      <c r="AP36" s="327">
        <f>'Quarterly historicals'!AP180</f>
        <v>0</v>
      </c>
      <c r="AQ36" s="327">
        <f>'Quarterly historicals'!AQ180</f>
        <v>0</v>
      </c>
      <c r="AR36" s="327">
        <f>'Quarterly historicals'!AR180</f>
        <v>0</v>
      </c>
      <c r="AS36" s="327">
        <f>'Quarterly historicals'!AS180</f>
        <v>0</v>
      </c>
      <c r="AT36" s="358">
        <f>'Quarterly historicals'!AT180</f>
        <v>0</v>
      </c>
      <c r="AU36" s="614">
        <f>AT36</f>
        <v>0</v>
      </c>
      <c r="AV36" s="614">
        <f>AU36</f>
        <v>0</v>
      </c>
      <c r="AW36" s="614">
        <f>AV36</f>
        <v>0</v>
      </c>
      <c r="AX36" s="614">
        <f t="shared" ref="AX36:BY36" si="290">AW36</f>
        <v>0</v>
      </c>
      <c r="AY36" s="614">
        <f t="shared" si="290"/>
        <v>0</v>
      </c>
      <c r="AZ36" s="614">
        <f t="shared" si="290"/>
        <v>0</v>
      </c>
      <c r="BA36" s="614">
        <f t="shared" si="290"/>
        <v>0</v>
      </c>
      <c r="BB36" s="614">
        <f t="shared" si="290"/>
        <v>0</v>
      </c>
      <c r="BC36" s="614">
        <f t="shared" si="290"/>
        <v>0</v>
      </c>
      <c r="BD36" s="614">
        <f t="shared" si="290"/>
        <v>0</v>
      </c>
      <c r="BE36" s="614">
        <f t="shared" si="290"/>
        <v>0</v>
      </c>
      <c r="BF36" s="614">
        <f t="shared" si="290"/>
        <v>0</v>
      </c>
      <c r="BG36" s="614">
        <f t="shared" si="290"/>
        <v>0</v>
      </c>
      <c r="BH36" s="614">
        <f t="shared" si="290"/>
        <v>0</v>
      </c>
      <c r="BI36" s="614">
        <f t="shared" si="290"/>
        <v>0</v>
      </c>
      <c r="BJ36" s="614">
        <f t="shared" si="290"/>
        <v>0</v>
      </c>
      <c r="BK36" s="614">
        <f t="shared" si="290"/>
        <v>0</v>
      </c>
      <c r="BL36" s="614">
        <f t="shared" si="290"/>
        <v>0</v>
      </c>
      <c r="BM36" s="614">
        <f t="shared" si="290"/>
        <v>0</v>
      </c>
      <c r="BN36" s="614">
        <f t="shared" si="290"/>
        <v>0</v>
      </c>
      <c r="BO36" s="614">
        <f t="shared" si="290"/>
        <v>0</v>
      </c>
      <c r="BP36" s="614">
        <f t="shared" si="290"/>
        <v>0</v>
      </c>
      <c r="BQ36" s="614">
        <f t="shared" si="290"/>
        <v>0</v>
      </c>
      <c r="BR36" s="614">
        <f t="shared" si="290"/>
        <v>0</v>
      </c>
      <c r="BS36" s="614">
        <f t="shared" si="290"/>
        <v>0</v>
      </c>
      <c r="BT36" s="614">
        <f t="shared" si="290"/>
        <v>0</v>
      </c>
      <c r="BU36" s="614">
        <f t="shared" si="290"/>
        <v>0</v>
      </c>
      <c r="BV36" s="614">
        <f t="shared" si="290"/>
        <v>0</v>
      </c>
      <c r="BW36" s="614">
        <f t="shared" si="290"/>
        <v>0</v>
      </c>
      <c r="BX36" s="614">
        <f t="shared" si="290"/>
        <v>0</v>
      </c>
      <c r="BY36" s="614">
        <f t="shared" si="290"/>
        <v>0</v>
      </c>
    </row>
    <row r="37" spans="1:82" s="210" customFormat="1" ht="13.5" customHeight="1">
      <c r="A37" s="624" t="s">
        <v>402</v>
      </c>
      <c r="B37" s="612">
        <f t="shared" ref="B37:AG37" si="291">SUM(B35:B36)</f>
        <v>18.748999999999992</v>
      </c>
      <c r="C37" s="612">
        <f t="shared" si="291"/>
        <v>30.741999999999987</v>
      </c>
      <c r="D37" s="612">
        <f t="shared" si="291"/>
        <v>15.652999999999995</v>
      </c>
      <c r="E37" s="612">
        <f t="shared" si="291"/>
        <v>-0.6180000000000021</v>
      </c>
      <c r="F37" s="612">
        <f t="shared" si="291"/>
        <v>-11.591999999999969</v>
      </c>
      <c r="G37" s="612">
        <f t="shared" si="291"/>
        <v>-32.139999999999993</v>
      </c>
      <c r="H37" s="612">
        <f t="shared" si="291"/>
        <v>-5.7770000000000055</v>
      </c>
      <c r="I37" s="612">
        <f t="shared" si="291"/>
        <v>0.71500000000000119</v>
      </c>
      <c r="J37" s="612">
        <f t="shared" si="291"/>
        <v>-26.230000000000004</v>
      </c>
      <c r="K37" s="612">
        <f t="shared" si="291"/>
        <v>-42.428000000000011</v>
      </c>
      <c r="L37" s="612">
        <f t="shared" si="291"/>
        <v>-36.36099999999999</v>
      </c>
      <c r="M37" s="612">
        <f t="shared" si="291"/>
        <v>33.153999999999975</v>
      </c>
      <c r="N37" s="612">
        <f t="shared" si="291"/>
        <v>28.906999999999982</v>
      </c>
      <c r="O37" s="612">
        <f t="shared" si="291"/>
        <v>20.249000000000006</v>
      </c>
      <c r="P37" s="612">
        <f t="shared" si="291"/>
        <v>23.139999999999976</v>
      </c>
      <c r="Q37" s="612">
        <f t="shared" si="291"/>
        <v>25.776000000000014</v>
      </c>
      <c r="R37" s="612">
        <f t="shared" si="291"/>
        <v>19.071999999999953</v>
      </c>
      <c r="S37" s="612">
        <f t="shared" si="291"/>
        <v>41.676000000000016</v>
      </c>
      <c r="T37" s="612">
        <f t="shared" si="291"/>
        <v>69.664999999999978</v>
      </c>
      <c r="U37" s="612">
        <f t="shared" si="291"/>
        <v>11.877999999999936</v>
      </c>
      <c r="V37" s="612">
        <f t="shared" si="291"/>
        <v>37.964000000000034</v>
      </c>
      <c r="W37" s="612">
        <f t="shared" si="291"/>
        <v>48.666999999999959</v>
      </c>
      <c r="X37" s="612">
        <f t="shared" si="291"/>
        <v>55.455999999999996</v>
      </c>
      <c r="Y37" s="612">
        <f t="shared" si="291"/>
        <v>-15.475999999999981</v>
      </c>
      <c r="Z37" s="612">
        <f t="shared" si="291"/>
        <v>2.3780000000000019</v>
      </c>
      <c r="AA37" s="612">
        <f t="shared" si="291"/>
        <v>50.523000000000017</v>
      </c>
      <c r="AB37" s="612">
        <f t="shared" si="291"/>
        <v>7.31000000000002</v>
      </c>
      <c r="AC37" s="612">
        <f t="shared" si="291"/>
        <v>12.738999999999947</v>
      </c>
      <c r="AD37" s="612">
        <f t="shared" si="291"/>
        <v>34.728999999999999</v>
      </c>
      <c r="AE37" s="612">
        <f t="shared" si="291"/>
        <v>60.887000000000022</v>
      </c>
      <c r="AF37" s="612">
        <f t="shared" si="291"/>
        <v>32.958000000000027</v>
      </c>
      <c r="AG37" s="612">
        <f t="shared" si="291"/>
        <v>6.4279999999999688</v>
      </c>
      <c r="AH37" s="612">
        <f t="shared" ref="AH37:AO37" si="292">SUM(AH35:AH36)</f>
        <v>60.726000000000028</v>
      </c>
      <c r="AI37" s="612">
        <f t="shared" si="292"/>
        <v>115.22200000000002</v>
      </c>
      <c r="AJ37" s="612">
        <f t="shared" si="292"/>
        <v>53.539999999999978</v>
      </c>
      <c r="AK37" s="612">
        <f t="shared" si="292"/>
        <v>56.570000000000114</v>
      </c>
      <c r="AL37" s="612">
        <f t="shared" si="292"/>
        <v>33.073000000000008</v>
      </c>
      <c r="AM37" s="612">
        <f t="shared" si="292"/>
        <v>21.053999999999956</v>
      </c>
      <c r="AN37" s="612">
        <f t="shared" si="292"/>
        <v>76.019999999999982</v>
      </c>
      <c r="AO37" s="612">
        <f t="shared" si="292"/>
        <v>69.325999999999937</v>
      </c>
      <c r="AP37" s="612">
        <f t="shared" ref="AP37:AQ37" si="293">SUM(AP35:AP36)</f>
        <v>39.669000000000047</v>
      </c>
      <c r="AQ37" s="612">
        <f t="shared" si="293"/>
        <v>68.912999999999982</v>
      </c>
      <c r="AR37" s="612">
        <f t="shared" ref="AR37:AS37" si="294">SUM(AR35:AR36)</f>
        <v>55.863999999999962</v>
      </c>
      <c r="AS37" s="612">
        <f t="shared" si="294"/>
        <v>119.44100000000003</v>
      </c>
      <c r="AT37" s="629">
        <f t="shared" ref="AT37:BY37" si="295">SUM(AT35:AT36)</f>
        <v>116.87300000000002</v>
      </c>
      <c r="AU37" s="621">
        <f t="shared" si="295"/>
        <v>167.97690711466393</v>
      </c>
      <c r="AV37" s="621">
        <f t="shared" si="295"/>
        <v>108.13490503887017</v>
      </c>
      <c r="AW37" s="621">
        <f t="shared" si="295"/>
        <v>129.81707446395905</v>
      </c>
      <c r="AX37" s="621">
        <f t="shared" si="295"/>
        <v>291.7512496441924</v>
      </c>
      <c r="AY37" s="621">
        <f t="shared" si="295"/>
        <v>178.83886787296225</v>
      </c>
      <c r="AZ37" s="621">
        <f t="shared" si="295"/>
        <v>111.64054311989058</v>
      </c>
      <c r="BA37" s="621">
        <f t="shared" si="295"/>
        <v>-9.2410640152511512</v>
      </c>
      <c r="BB37" s="621">
        <f t="shared" si="295"/>
        <v>322.59531833142807</v>
      </c>
      <c r="BC37" s="621">
        <f t="shared" si="295"/>
        <v>209.78532531903454</v>
      </c>
      <c r="BD37" s="621">
        <f t="shared" si="295"/>
        <v>138.41686121348258</v>
      </c>
      <c r="BE37" s="621">
        <f t="shared" si="295"/>
        <v>6.9282368156792202</v>
      </c>
      <c r="BF37" s="621">
        <f t="shared" si="295"/>
        <v>403.02824912469146</v>
      </c>
      <c r="BG37" s="621">
        <f t="shared" si="295"/>
        <v>237.94475739074127</v>
      </c>
      <c r="BH37" s="621">
        <f t="shared" si="295"/>
        <v>163.93995555528542</v>
      </c>
      <c r="BI37" s="621">
        <f t="shared" si="295"/>
        <v>5.1392403058542593</v>
      </c>
      <c r="BJ37" s="621">
        <f t="shared" si="295"/>
        <v>422.45870555879083</v>
      </c>
      <c r="BK37" s="621">
        <f t="shared" si="295"/>
        <v>253.80370308244278</v>
      </c>
      <c r="BL37" s="621">
        <f t="shared" si="295"/>
        <v>176.82518503866021</v>
      </c>
      <c r="BM37" s="621">
        <f t="shared" si="295"/>
        <v>6.5078126991297793</v>
      </c>
      <c r="BN37" s="621">
        <f t="shared" si="295"/>
        <v>312.68388579447395</v>
      </c>
      <c r="BO37" s="621">
        <f t="shared" si="295"/>
        <v>231.36364362709156</v>
      </c>
      <c r="BP37" s="621">
        <f t="shared" si="295"/>
        <v>152.53224039835862</v>
      </c>
      <c r="BQ37" s="621">
        <f t="shared" si="295"/>
        <v>14.181667961574828</v>
      </c>
      <c r="BR37" s="621">
        <f t="shared" si="295"/>
        <v>231.61253987675173</v>
      </c>
      <c r="BS37" s="621">
        <f t="shared" si="295"/>
        <v>214.70417476737589</v>
      </c>
      <c r="BT37" s="621">
        <f t="shared" si="295"/>
        <v>133.55664900934443</v>
      </c>
      <c r="BU37" s="621">
        <f t="shared" si="295"/>
        <v>17.005598479141263</v>
      </c>
      <c r="BV37" s="621">
        <f t="shared" si="295"/>
        <v>283.31188769542592</v>
      </c>
      <c r="BW37" s="621">
        <f t="shared" si="295"/>
        <v>251.25411329324405</v>
      </c>
      <c r="BX37" s="621">
        <f t="shared" si="295"/>
        <v>181.08253393082225</v>
      </c>
      <c r="BY37" s="621">
        <f t="shared" si="295"/>
        <v>64.496675803366571</v>
      </c>
    </row>
    <row r="38" spans="1:82" s="210" customFormat="1" ht="13.5" customHeight="1">
      <c r="A38" s="625" t="s">
        <v>84</v>
      </c>
      <c r="B38" s="327">
        <f t="shared" ref="B38:Q38" si="296">B39-B37</f>
        <v>-18.748999999999992</v>
      </c>
      <c r="C38" s="327">
        <f t="shared" si="296"/>
        <v>7.8170000000000108</v>
      </c>
      <c r="D38" s="327">
        <f t="shared" si="296"/>
        <v>8.7310000000000052</v>
      </c>
      <c r="E38" s="327">
        <f t="shared" si="296"/>
        <v>-123.31</v>
      </c>
      <c r="F38" s="327">
        <f t="shared" si="296"/>
        <v>13.189999999999969</v>
      </c>
      <c r="G38" s="327">
        <f t="shared" si="296"/>
        <v>13.083999999999996</v>
      </c>
      <c r="H38" s="327">
        <f t="shared" si="296"/>
        <v>7.6100000000000039</v>
      </c>
      <c r="I38" s="327">
        <f t="shared" si="296"/>
        <v>14.909999999999998</v>
      </c>
      <c r="J38" s="327">
        <f t="shared" si="296"/>
        <v>33.800000000000004</v>
      </c>
      <c r="K38" s="327">
        <f t="shared" si="296"/>
        <v>13.06600000000001</v>
      </c>
      <c r="L38" s="327">
        <f t="shared" si="296"/>
        <v>7.7839999999999918</v>
      </c>
      <c r="M38" s="327">
        <f t="shared" si="296"/>
        <v>17.215000000000025</v>
      </c>
      <c r="N38" s="327">
        <f t="shared" si="296"/>
        <v>9.2300000000000182</v>
      </c>
      <c r="O38" s="327">
        <f t="shared" si="296"/>
        <v>12.694999999999997</v>
      </c>
      <c r="P38" s="327">
        <f t="shared" si="296"/>
        <v>-6.1249999999999751</v>
      </c>
      <c r="Q38" s="327">
        <f t="shared" si="296"/>
        <v>104.75899999999999</v>
      </c>
      <c r="R38" s="327">
        <f>'Quarterly historicals'!R253</f>
        <v>0</v>
      </c>
      <c r="S38" s="327">
        <f>'Quarterly historicals'!S253</f>
        <v>0</v>
      </c>
      <c r="T38" s="327">
        <f>'Quarterly historicals'!T253</f>
        <v>0</v>
      </c>
      <c r="U38" s="327">
        <f>'Quarterly historicals'!U253</f>
        <v>-34.865000000000002</v>
      </c>
      <c r="V38" s="327">
        <f>'Quarterly historicals'!V253</f>
        <v>0</v>
      </c>
      <c r="W38" s="327">
        <f>'Quarterly historicals'!W253</f>
        <v>0</v>
      </c>
      <c r="X38" s="327">
        <f>'Quarterly historicals'!X253</f>
        <v>0</v>
      </c>
      <c r="Y38" s="327">
        <f>'Quarterly historicals'!Y253</f>
        <v>-30.242000000000001</v>
      </c>
      <c r="Z38" s="327">
        <f>'Quarterly historicals'!Z253</f>
        <v>0</v>
      </c>
      <c r="AA38" s="327">
        <f>'Quarterly historicals'!AA253</f>
        <v>0</v>
      </c>
      <c r="AB38" s="327">
        <f>'Quarterly historicals'!AB253</f>
        <v>0</v>
      </c>
      <c r="AC38" s="327">
        <f>'Quarterly historicals'!AC253</f>
        <v>-36.084000000000003</v>
      </c>
      <c r="AD38" s="327">
        <f>'Quarterly historicals'!AD253</f>
        <v>0</v>
      </c>
      <c r="AE38" s="327">
        <f>'Quarterly historicals'!AE253</f>
        <v>0</v>
      </c>
      <c r="AF38" s="327">
        <f>'Quarterly historicals'!AF253</f>
        <v>0</v>
      </c>
      <c r="AG38" s="327">
        <f>'Quarterly historicals'!AG253</f>
        <v>-30</v>
      </c>
      <c r="AH38" s="327">
        <f>'Quarterly historicals'!AH253</f>
        <v>0</v>
      </c>
      <c r="AI38" s="327">
        <f>'Quarterly historicals'!AI253</f>
        <v>0</v>
      </c>
      <c r="AJ38" s="327">
        <f>'Quarterly historicals'!AJ253</f>
        <v>0</v>
      </c>
      <c r="AK38" s="890" t="str">
        <f>'Quarterly historicals'!AK253</f>
        <v>ND</v>
      </c>
      <c r="AL38" s="890">
        <f>'Quarterly historicals'!AL253</f>
        <v>0</v>
      </c>
      <c r="AM38" s="890">
        <f>'Quarterly historicals'!AM253</f>
        <v>0</v>
      </c>
      <c r="AN38" s="890">
        <f>'Quarterly historicals'!AN253</f>
        <v>0</v>
      </c>
      <c r="AO38" s="890">
        <f>'Quarterly historicals'!AO253</f>
        <v>0</v>
      </c>
      <c r="AP38" s="890">
        <f>'Quarterly historicals'!AP253</f>
        <v>0</v>
      </c>
      <c r="AQ38" s="890">
        <f>'Quarterly historicals'!AQ253</f>
        <v>0</v>
      </c>
      <c r="AR38" s="890">
        <f>'Quarterly historicals'!AR253</f>
        <v>0</v>
      </c>
      <c r="AS38" s="890">
        <f>'Quarterly historicals'!AS253</f>
        <v>0</v>
      </c>
      <c r="AT38" s="974">
        <f>'Quarterly historicals'!AT253</f>
        <v>0</v>
      </c>
      <c r="AU38" s="614">
        <v>0</v>
      </c>
      <c r="AV38" s="614">
        <v>0</v>
      </c>
      <c r="AW38" s="485">
        <f>-SUM(AT37:AW37)*Inputs!P182-SUM(AT38:AV38)</f>
        <v>-209.12075464699728</v>
      </c>
      <c r="AX38" s="614">
        <v>0</v>
      </c>
      <c r="AY38" s="614">
        <v>0</v>
      </c>
      <c r="AZ38" s="614">
        <v>0</v>
      </c>
      <c r="BA38" s="485">
        <f>-SUM(AX37:BA37)*Inputs!Q182-SUM(AX38:AZ38)</f>
        <v>-286.49479831089707</v>
      </c>
      <c r="BB38" s="614">
        <v>0</v>
      </c>
      <c r="BC38" s="614">
        <v>0</v>
      </c>
      <c r="BD38" s="614">
        <v>0</v>
      </c>
      <c r="BE38" s="485">
        <f>-SUM(BB37:BE37)*Inputs!R182-SUM(BB38:BD38)</f>
        <v>-474.40801917573708</v>
      </c>
      <c r="BF38" s="614">
        <v>0</v>
      </c>
      <c r="BG38" s="614">
        <v>0</v>
      </c>
      <c r="BH38" s="614">
        <v>0</v>
      </c>
      <c r="BI38" s="485">
        <f>-SUM(BF37:BI37)*Inputs!S182-SUM(BF38:BH38)</f>
        <v>-567.0365416636007</v>
      </c>
      <c r="BJ38" s="614">
        <v>0</v>
      </c>
      <c r="BK38" s="614">
        <v>0</v>
      </c>
      <c r="BL38" s="614">
        <v>0</v>
      </c>
      <c r="BM38" s="485">
        <f>-SUM(BJ37:BM37)*Inputs!T182-SUM(BJ38:BL38)</f>
        <v>-601.71678446531655</v>
      </c>
      <c r="BN38" s="614">
        <v>0</v>
      </c>
      <c r="BO38" s="614">
        <v>0</v>
      </c>
      <c r="BP38" s="614">
        <v>0</v>
      </c>
      <c r="BQ38" s="485">
        <f>-SUM(BN37:BQ37)*Inputs!U182-SUM(BN38:BP38)</f>
        <v>-710.76143778149901</v>
      </c>
      <c r="BR38" s="614">
        <v>0</v>
      </c>
      <c r="BS38" s="614">
        <v>0</v>
      </c>
      <c r="BT38" s="614">
        <v>0</v>
      </c>
      <c r="BU38" s="485">
        <f>-SUM(BR37:BU37)*Inputs!V182-SUM(BR38:BT38)</f>
        <v>-596.87896213261331</v>
      </c>
      <c r="BV38" s="614">
        <v>0</v>
      </c>
      <c r="BW38" s="614">
        <v>0</v>
      </c>
      <c r="BX38" s="614">
        <v>0</v>
      </c>
      <c r="BY38" s="485">
        <f>-SUM(BV37:BY37)*Inputs!W182-SUM(BV38:BX38)</f>
        <v>-780.14521072285879</v>
      </c>
    </row>
    <row r="39" spans="1:82" s="210" customFormat="1" ht="13.5" customHeight="1">
      <c r="A39" s="625" t="s">
        <v>255</v>
      </c>
      <c r="B39" s="327"/>
      <c r="C39" s="327">
        <f>+C88-B88</f>
        <v>38.558999999999997</v>
      </c>
      <c r="D39" s="327">
        <f>+D88-C88</f>
        <v>24.384</v>
      </c>
      <c r="E39" s="327">
        <f>+E88-D88</f>
        <v>-123.928</v>
      </c>
      <c r="F39" s="327">
        <f>+F88-E88</f>
        <v>1.5980000000000001</v>
      </c>
      <c r="G39" s="327">
        <f t="shared" ref="G39:T39" si="297">+G88-F88</f>
        <v>-19.055999999999997</v>
      </c>
      <c r="H39" s="327">
        <f t="shared" si="297"/>
        <v>1.8329999999999984</v>
      </c>
      <c r="I39" s="327">
        <f t="shared" si="297"/>
        <v>15.625</v>
      </c>
      <c r="J39" s="327">
        <f t="shared" si="297"/>
        <v>7.57</v>
      </c>
      <c r="K39" s="327">
        <f t="shared" si="297"/>
        <v>-29.362000000000002</v>
      </c>
      <c r="L39" s="327">
        <f t="shared" si="297"/>
        <v>-28.576999999999998</v>
      </c>
      <c r="M39" s="327">
        <f t="shared" si="297"/>
        <v>50.369</v>
      </c>
      <c r="N39" s="327">
        <f t="shared" si="297"/>
        <v>38.137</v>
      </c>
      <c r="O39" s="327">
        <f t="shared" si="297"/>
        <v>32.944000000000003</v>
      </c>
      <c r="P39" s="327">
        <f t="shared" si="297"/>
        <v>17.015000000000001</v>
      </c>
      <c r="Q39" s="327">
        <f t="shared" si="297"/>
        <v>130.535</v>
      </c>
      <c r="R39" s="327">
        <f t="shared" si="297"/>
        <v>31.843000000000018</v>
      </c>
      <c r="S39" s="327">
        <f t="shared" si="297"/>
        <v>-49.367000000000019</v>
      </c>
      <c r="T39" s="327">
        <f t="shared" si="297"/>
        <v>45.457000000000022</v>
      </c>
      <c r="U39" s="327">
        <f t="shared" ref="U39:AZ39" si="298">SUM(U37,U38)</f>
        <v>-22.987000000000066</v>
      </c>
      <c r="V39" s="327">
        <f t="shared" si="298"/>
        <v>37.964000000000034</v>
      </c>
      <c r="W39" s="327">
        <f t="shared" si="298"/>
        <v>48.666999999999959</v>
      </c>
      <c r="X39" s="327">
        <f t="shared" si="298"/>
        <v>55.455999999999996</v>
      </c>
      <c r="Y39" s="327">
        <f t="shared" si="298"/>
        <v>-45.717999999999982</v>
      </c>
      <c r="Z39" s="327">
        <f t="shared" si="298"/>
        <v>2.3780000000000019</v>
      </c>
      <c r="AA39" s="327">
        <f t="shared" si="298"/>
        <v>50.523000000000017</v>
      </c>
      <c r="AB39" s="327">
        <f t="shared" si="298"/>
        <v>7.31000000000002</v>
      </c>
      <c r="AC39" s="327">
        <f t="shared" si="298"/>
        <v>-23.345000000000056</v>
      </c>
      <c r="AD39" s="327">
        <f t="shared" si="298"/>
        <v>34.728999999999999</v>
      </c>
      <c r="AE39" s="327">
        <f t="shared" si="298"/>
        <v>60.887000000000022</v>
      </c>
      <c r="AF39" s="327">
        <f t="shared" si="298"/>
        <v>32.958000000000027</v>
      </c>
      <c r="AG39" s="327">
        <f t="shared" si="298"/>
        <v>-23.572000000000031</v>
      </c>
      <c r="AH39" s="327">
        <f t="shared" si="298"/>
        <v>60.726000000000028</v>
      </c>
      <c r="AI39" s="327">
        <f t="shared" si="298"/>
        <v>115.22200000000002</v>
      </c>
      <c r="AJ39" s="327">
        <f t="shared" si="298"/>
        <v>53.539999999999978</v>
      </c>
      <c r="AK39" s="327">
        <f t="shared" si="298"/>
        <v>56.570000000000114</v>
      </c>
      <c r="AL39" s="327">
        <f t="shared" si="298"/>
        <v>33.073000000000008</v>
      </c>
      <c r="AM39" s="327">
        <f t="shared" si="298"/>
        <v>21.053999999999956</v>
      </c>
      <c r="AN39" s="327">
        <f t="shared" si="298"/>
        <v>76.019999999999982</v>
      </c>
      <c r="AO39" s="327">
        <f t="shared" si="298"/>
        <v>69.325999999999937</v>
      </c>
      <c r="AP39" s="327">
        <f t="shared" ref="AP39:AQ39" si="299">SUM(AP37,AP38)</f>
        <v>39.669000000000047</v>
      </c>
      <c r="AQ39" s="327">
        <f t="shared" si="299"/>
        <v>68.912999999999982</v>
      </c>
      <c r="AR39" s="327">
        <f t="shared" ref="AR39:AS39" si="300">SUM(AR37,AR38)</f>
        <v>55.863999999999962</v>
      </c>
      <c r="AS39" s="327">
        <f t="shared" si="300"/>
        <v>119.44100000000003</v>
      </c>
      <c r="AT39" s="358">
        <f t="shared" ref="AT39" si="301">SUM(AT37,AT38)</f>
        <v>116.87300000000002</v>
      </c>
      <c r="AU39" s="614">
        <f t="shared" si="298"/>
        <v>167.97690711466393</v>
      </c>
      <c r="AV39" s="614">
        <f t="shared" si="298"/>
        <v>108.13490503887017</v>
      </c>
      <c r="AW39" s="614">
        <f t="shared" si="298"/>
        <v>-79.303680183038239</v>
      </c>
      <c r="AX39" s="614">
        <f t="shared" si="298"/>
        <v>291.7512496441924</v>
      </c>
      <c r="AY39" s="614">
        <f t="shared" si="298"/>
        <v>178.83886787296225</v>
      </c>
      <c r="AZ39" s="614">
        <f t="shared" si="298"/>
        <v>111.64054311989058</v>
      </c>
      <c r="BA39" s="614">
        <f t="shared" ref="BA39:BY39" si="302">SUM(BA37,BA38)</f>
        <v>-295.73586232614821</v>
      </c>
      <c r="BB39" s="614">
        <f t="shared" si="302"/>
        <v>322.59531833142807</v>
      </c>
      <c r="BC39" s="614">
        <f t="shared" si="302"/>
        <v>209.78532531903454</v>
      </c>
      <c r="BD39" s="614">
        <f t="shared" si="302"/>
        <v>138.41686121348258</v>
      </c>
      <c r="BE39" s="614">
        <f t="shared" si="302"/>
        <v>-467.47978236005787</v>
      </c>
      <c r="BF39" s="614">
        <f t="shared" si="302"/>
        <v>403.02824912469146</v>
      </c>
      <c r="BG39" s="614">
        <f t="shared" si="302"/>
        <v>237.94475739074127</v>
      </c>
      <c r="BH39" s="614">
        <f t="shared" si="302"/>
        <v>163.93995555528542</v>
      </c>
      <c r="BI39" s="614">
        <f t="shared" si="302"/>
        <v>-561.89730135774641</v>
      </c>
      <c r="BJ39" s="614">
        <f t="shared" si="302"/>
        <v>422.45870555879083</v>
      </c>
      <c r="BK39" s="614">
        <f t="shared" si="302"/>
        <v>253.80370308244278</v>
      </c>
      <c r="BL39" s="614">
        <f t="shared" si="302"/>
        <v>176.82518503866021</v>
      </c>
      <c r="BM39" s="614">
        <f t="shared" si="302"/>
        <v>-595.20897176618678</v>
      </c>
      <c r="BN39" s="614">
        <f t="shared" si="302"/>
        <v>312.68388579447395</v>
      </c>
      <c r="BO39" s="614">
        <f t="shared" si="302"/>
        <v>231.36364362709156</v>
      </c>
      <c r="BP39" s="614">
        <f t="shared" si="302"/>
        <v>152.53224039835862</v>
      </c>
      <c r="BQ39" s="614">
        <f t="shared" si="302"/>
        <v>-696.57976981992419</v>
      </c>
      <c r="BR39" s="614">
        <f t="shared" si="302"/>
        <v>231.61253987675173</v>
      </c>
      <c r="BS39" s="614">
        <f t="shared" si="302"/>
        <v>214.70417476737589</v>
      </c>
      <c r="BT39" s="614">
        <f t="shared" si="302"/>
        <v>133.55664900934443</v>
      </c>
      <c r="BU39" s="614">
        <f t="shared" si="302"/>
        <v>-579.8733636534721</v>
      </c>
      <c r="BV39" s="614">
        <f t="shared" si="302"/>
        <v>283.31188769542592</v>
      </c>
      <c r="BW39" s="614">
        <f t="shared" si="302"/>
        <v>251.25411329324405</v>
      </c>
      <c r="BX39" s="614">
        <f t="shared" si="302"/>
        <v>181.08253393082225</v>
      </c>
      <c r="BY39" s="614">
        <f t="shared" si="302"/>
        <v>-715.64853491949225</v>
      </c>
    </row>
    <row r="40" spans="1:82" s="210" customFormat="1" ht="13.5" customHeight="1">
      <c r="A40" s="414"/>
      <c r="B40" s="327"/>
      <c r="C40" s="327"/>
      <c r="D40" s="327"/>
      <c r="E40" s="327"/>
      <c r="F40" s="327"/>
      <c r="G40" s="327"/>
      <c r="H40" s="327"/>
      <c r="I40" s="327"/>
      <c r="J40" s="327"/>
      <c r="K40" s="327"/>
      <c r="L40" s="327"/>
      <c r="M40" s="327"/>
      <c r="N40" s="327"/>
      <c r="O40" s="327"/>
      <c r="P40" s="327"/>
      <c r="Q40" s="327"/>
      <c r="R40" s="327"/>
      <c r="S40" s="327"/>
      <c r="T40" s="327"/>
      <c r="U40" s="327"/>
      <c r="V40" s="327"/>
      <c r="W40" s="327"/>
      <c r="X40" s="327"/>
      <c r="Y40" s="327"/>
      <c r="Z40" s="327"/>
      <c r="AA40" s="327"/>
      <c r="AB40" s="327"/>
      <c r="AC40" s="327"/>
      <c r="AD40" s="327"/>
      <c r="AE40" s="327"/>
      <c r="AF40" s="327"/>
      <c r="AG40" s="327"/>
      <c r="AH40" s="327"/>
      <c r="AI40" s="327"/>
      <c r="AJ40" s="327"/>
      <c r="AK40" s="327"/>
      <c r="AL40" s="327"/>
      <c r="AM40" s="327"/>
      <c r="AN40" s="327"/>
      <c r="AO40" s="327"/>
      <c r="AP40" s="327"/>
      <c r="AQ40" s="327"/>
      <c r="AR40" s="327"/>
      <c r="AS40" s="327"/>
      <c r="AT40" s="358"/>
      <c r="AU40" s="614"/>
      <c r="AV40" s="614"/>
      <c r="AW40" s="614"/>
      <c r="AX40" s="614"/>
      <c r="AY40" s="614"/>
      <c r="AZ40" s="614"/>
      <c r="BA40" s="614"/>
      <c r="BB40" s="614"/>
      <c r="BC40" s="614"/>
      <c r="BD40" s="614"/>
      <c r="BE40" s="614"/>
      <c r="BF40" s="614"/>
      <c r="BG40" s="614"/>
      <c r="BH40" s="614"/>
      <c r="BI40" s="614"/>
      <c r="BJ40" s="614"/>
      <c r="BK40" s="614"/>
      <c r="BL40" s="614"/>
      <c r="BM40" s="614"/>
      <c r="BN40" s="614"/>
      <c r="BO40" s="614"/>
      <c r="BP40" s="614"/>
      <c r="BQ40" s="614"/>
      <c r="BR40" s="614"/>
      <c r="BS40" s="614"/>
      <c r="BT40" s="614"/>
      <c r="BU40" s="614"/>
      <c r="BV40" s="614"/>
      <c r="BW40" s="614"/>
      <c r="BX40" s="614"/>
      <c r="BY40" s="614"/>
    </row>
    <row r="41" spans="1:82" s="210" customFormat="1" ht="13.5" customHeight="1">
      <c r="A41" s="1084" t="s">
        <v>85</v>
      </c>
      <c r="B41" s="890" t="str">
        <f>'Quarterly historicals'!B256</f>
        <v>ND</v>
      </c>
      <c r="C41" s="890" t="str">
        <f>'Quarterly historicals'!C256</f>
        <v>ND</v>
      </c>
      <c r="D41" s="890" t="str">
        <f>'Quarterly historicals'!D256</f>
        <v>ND</v>
      </c>
      <c r="E41" s="890" t="str">
        <f>'Quarterly historicals'!E256</f>
        <v>ND</v>
      </c>
      <c r="F41" s="890" t="str">
        <f>'Quarterly historicals'!F256</f>
        <v>ND</v>
      </c>
      <c r="G41" s="890" t="str">
        <f>'Quarterly historicals'!G256</f>
        <v>ND</v>
      </c>
      <c r="H41" s="890" t="str">
        <f>'Quarterly historicals'!H256</f>
        <v>ND</v>
      </c>
      <c r="I41" s="890" t="str">
        <f>'Quarterly historicals'!I256</f>
        <v>ND</v>
      </c>
      <c r="J41" s="890" t="str">
        <f>'Quarterly historicals'!J256</f>
        <v>ND</v>
      </c>
      <c r="K41" s="890" t="str">
        <f>'Quarterly historicals'!K256</f>
        <v>ND</v>
      </c>
      <c r="L41" s="890" t="str">
        <f>'Quarterly historicals'!L256</f>
        <v>ND</v>
      </c>
      <c r="M41" s="890" t="str">
        <f>'Quarterly historicals'!M256</f>
        <v>ND</v>
      </c>
      <c r="N41" s="327">
        <f>'Quarterly historicals'!N256</f>
        <v>112.861</v>
      </c>
      <c r="O41" s="327">
        <f>'Quarterly historicals'!O256</f>
        <v>112.861</v>
      </c>
      <c r="P41" s="327">
        <f>'Quarterly historicals'!P256</f>
        <v>112.861</v>
      </c>
      <c r="Q41" s="327">
        <f>'Quarterly historicals'!Q256</f>
        <v>112.861</v>
      </c>
      <c r="R41" s="327">
        <f>'Quarterly historicals'!R256</f>
        <v>112.861</v>
      </c>
      <c r="S41" s="327">
        <f>'Quarterly historicals'!S256</f>
        <v>112.861</v>
      </c>
      <c r="T41" s="327">
        <f>'Quarterly historicals'!T256</f>
        <v>112.861</v>
      </c>
      <c r="U41" s="327">
        <f>'Quarterly historicals'!U256</f>
        <v>112.861</v>
      </c>
      <c r="V41" s="327">
        <f>'Quarterly historicals'!V256</f>
        <v>112.861</v>
      </c>
      <c r="W41" s="327">
        <f>'Quarterly historicals'!W256</f>
        <v>112.861</v>
      </c>
      <c r="X41" s="327">
        <f>'Quarterly historicals'!X256</f>
        <v>112.834</v>
      </c>
      <c r="Y41" s="327">
        <f>'Quarterly historicals'!Y256</f>
        <v>112.721</v>
      </c>
      <c r="Z41" s="327">
        <f>'Quarterly historicals'!Z256</f>
        <v>112.249</v>
      </c>
      <c r="AA41" s="327">
        <f>'Quarterly historicals'!AA256</f>
        <v>112.221</v>
      </c>
      <c r="AB41" s="327">
        <f>'Quarterly historicals'!AB256</f>
        <v>112.21299999999999</v>
      </c>
      <c r="AC41" s="327">
        <f>'Quarterly historicals'!AC256</f>
        <v>112.217</v>
      </c>
      <c r="AD41" s="327">
        <f>'Quarterly historicals'!AD256</f>
        <v>112.233</v>
      </c>
      <c r="AE41" s="327">
        <f>'Quarterly historicals'!AE256</f>
        <v>112.233</v>
      </c>
      <c r="AF41" s="327">
        <f>'Quarterly historicals'!AF256</f>
        <v>112.23</v>
      </c>
      <c r="AG41" s="327">
        <f>'Quarterly historicals'!AG256</f>
        <v>112.24299999999999</v>
      </c>
      <c r="AH41" s="327">
        <f>'Quarterly historicals'!AH256</f>
        <v>112.35899999999999</v>
      </c>
      <c r="AI41" s="327">
        <f>'Quarterly historicals'!AI256</f>
        <v>112.387</v>
      </c>
      <c r="AJ41" s="327">
        <f>'Quarterly historicals'!AJ256</f>
        <v>112.63500000000001</v>
      </c>
      <c r="AK41" s="890">
        <f>'Quarterly historicals'!AK256</f>
        <v>337.71</v>
      </c>
      <c r="AL41" s="890">
        <f>'Quarterly historicals'!AL256</f>
        <v>112.93300000000001</v>
      </c>
      <c r="AM41" s="890">
        <f>'Quarterly historicals'!AM257</f>
        <v>113.15600000000001</v>
      </c>
      <c r="AN41" s="890">
        <f>'Quarterly historicals'!AN257</f>
        <v>113.199</v>
      </c>
      <c r="AO41" s="890">
        <f>'Quarterly historicals'!AO257</f>
        <v>339.60599999999999</v>
      </c>
      <c r="AP41" s="890">
        <f>'Quarterly historicals'!AP257</f>
        <v>338.76600000000002</v>
      </c>
      <c r="AQ41" s="890">
        <f>'Quarterly historicals'!AQ257</f>
        <v>112.81</v>
      </c>
      <c r="AR41" s="890">
        <f>'Quarterly historicals'!AR257</f>
        <v>338.33100000000002</v>
      </c>
      <c r="AS41" s="890">
        <f>'Quarterly historicals'!AS257</f>
        <v>338.05900000000003</v>
      </c>
      <c r="AT41" s="974">
        <f>'Quarterly historicals'!AT257</f>
        <v>335.42500000000001</v>
      </c>
      <c r="AU41" s="614">
        <f t="shared" ref="AU41:BI41" si="303">AT41</f>
        <v>335.42500000000001</v>
      </c>
      <c r="AV41" s="614">
        <f t="shared" si="303"/>
        <v>335.42500000000001</v>
      </c>
      <c r="AW41" s="614">
        <f t="shared" si="303"/>
        <v>335.42500000000001</v>
      </c>
      <c r="AX41" s="614">
        <f t="shared" si="303"/>
        <v>335.42500000000001</v>
      </c>
      <c r="AY41" s="614">
        <f t="shared" si="303"/>
        <v>335.42500000000001</v>
      </c>
      <c r="AZ41" s="614">
        <f t="shared" si="303"/>
        <v>335.42500000000001</v>
      </c>
      <c r="BA41" s="614">
        <f t="shared" si="303"/>
        <v>335.42500000000001</v>
      </c>
      <c r="BB41" s="614">
        <f t="shared" si="303"/>
        <v>335.42500000000001</v>
      </c>
      <c r="BC41" s="614">
        <f t="shared" si="303"/>
        <v>335.42500000000001</v>
      </c>
      <c r="BD41" s="614">
        <f t="shared" si="303"/>
        <v>335.42500000000001</v>
      </c>
      <c r="BE41" s="614">
        <f t="shared" si="303"/>
        <v>335.42500000000001</v>
      </c>
      <c r="BF41" s="614">
        <f t="shared" si="303"/>
        <v>335.42500000000001</v>
      </c>
      <c r="BG41" s="614">
        <f t="shared" si="303"/>
        <v>335.42500000000001</v>
      </c>
      <c r="BH41" s="614">
        <f t="shared" si="303"/>
        <v>335.42500000000001</v>
      </c>
      <c r="BI41" s="614">
        <f t="shared" si="303"/>
        <v>335.42500000000001</v>
      </c>
      <c r="BJ41" s="614">
        <f t="shared" ref="BJ41" si="304">BI41</f>
        <v>335.42500000000001</v>
      </c>
      <c r="BK41" s="614">
        <f t="shared" ref="BK41" si="305">BJ41</f>
        <v>335.42500000000001</v>
      </c>
      <c r="BL41" s="614">
        <f t="shared" ref="BL41" si="306">BK41</f>
        <v>335.42500000000001</v>
      </c>
      <c r="BM41" s="614">
        <f t="shared" ref="BM41" si="307">BL41</f>
        <v>335.42500000000001</v>
      </c>
      <c r="BN41" s="614">
        <f t="shared" ref="BN41" si="308">BM41</f>
        <v>335.42500000000001</v>
      </c>
      <c r="BO41" s="614">
        <f t="shared" ref="BO41" si="309">BN41</f>
        <v>335.42500000000001</v>
      </c>
      <c r="BP41" s="614">
        <f t="shared" ref="BP41" si="310">BO41</f>
        <v>335.42500000000001</v>
      </c>
      <c r="BQ41" s="614">
        <f t="shared" ref="BQ41" si="311">BP41</f>
        <v>335.42500000000001</v>
      </c>
      <c r="BR41" s="614">
        <f t="shared" ref="BR41" si="312">BQ41</f>
        <v>335.42500000000001</v>
      </c>
      <c r="BS41" s="614">
        <f t="shared" ref="BS41" si="313">BR41</f>
        <v>335.42500000000001</v>
      </c>
      <c r="BT41" s="614">
        <f t="shared" ref="BT41" si="314">BS41</f>
        <v>335.42500000000001</v>
      </c>
      <c r="BU41" s="614">
        <f t="shared" ref="BU41" si="315">BT41</f>
        <v>335.42500000000001</v>
      </c>
      <c r="BV41" s="614">
        <f t="shared" ref="BV41" si="316">BU41</f>
        <v>335.42500000000001</v>
      </c>
      <c r="BW41" s="614">
        <f t="shared" ref="BW41" si="317">BV41</f>
        <v>335.42500000000001</v>
      </c>
      <c r="BX41" s="614">
        <f t="shared" ref="BX41" si="318">BW41</f>
        <v>335.42500000000001</v>
      </c>
      <c r="BY41" s="614">
        <f t="shared" ref="BY41" si="319">BX41</f>
        <v>335.42500000000001</v>
      </c>
    </row>
    <row r="42" spans="1:82" s="210" customFormat="1" ht="13.5" customHeight="1">
      <c r="A42" s="1879" t="s">
        <v>86</v>
      </c>
      <c r="B42" s="890" t="str">
        <f>IF(ISERROR(AVERAGE(B41:B41)),"NM",AVERAGE(B41:B41))</f>
        <v>NM</v>
      </c>
      <c r="C42" s="890" t="str">
        <f t="shared" ref="C42:M42" si="320">IF(ISERROR(AVERAGE(B41:C41)),"NM",AVERAGE(B41:C41))</f>
        <v>NM</v>
      </c>
      <c r="D42" s="890" t="str">
        <f t="shared" si="320"/>
        <v>NM</v>
      </c>
      <c r="E42" s="890" t="str">
        <f t="shared" si="320"/>
        <v>NM</v>
      </c>
      <c r="F42" s="890" t="str">
        <f t="shared" si="320"/>
        <v>NM</v>
      </c>
      <c r="G42" s="890" t="str">
        <f t="shared" si="320"/>
        <v>NM</v>
      </c>
      <c r="H42" s="890" t="str">
        <f t="shared" si="320"/>
        <v>NM</v>
      </c>
      <c r="I42" s="890" t="str">
        <f t="shared" si="320"/>
        <v>NM</v>
      </c>
      <c r="J42" s="890" t="str">
        <f t="shared" si="320"/>
        <v>NM</v>
      </c>
      <c r="K42" s="890" t="str">
        <f t="shared" si="320"/>
        <v>NM</v>
      </c>
      <c r="L42" s="890" t="str">
        <f t="shared" si="320"/>
        <v>NM</v>
      </c>
      <c r="M42" s="890" t="str">
        <f t="shared" si="320"/>
        <v>NM</v>
      </c>
      <c r="N42" s="327">
        <f t="shared" ref="N42:AJ42" si="321">AVERAGE(M41:N41)</f>
        <v>112.861</v>
      </c>
      <c r="O42" s="327">
        <f t="shared" si="321"/>
        <v>112.861</v>
      </c>
      <c r="P42" s="327">
        <f t="shared" si="321"/>
        <v>112.861</v>
      </c>
      <c r="Q42" s="327">
        <f t="shared" si="321"/>
        <v>112.861</v>
      </c>
      <c r="R42" s="327">
        <f t="shared" si="321"/>
        <v>112.861</v>
      </c>
      <c r="S42" s="327">
        <f t="shared" si="321"/>
        <v>112.861</v>
      </c>
      <c r="T42" s="327">
        <f t="shared" si="321"/>
        <v>112.861</v>
      </c>
      <c r="U42" s="327">
        <f t="shared" si="321"/>
        <v>112.861</v>
      </c>
      <c r="V42" s="327">
        <f t="shared" si="321"/>
        <v>112.861</v>
      </c>
      <c r="W42" s="327">
        <f t="shared" si="321"/>
        <v>112.861</v>
      </c>
      <c r="X42" s="327">
        <f t="shared" si="321"/>
        <v>112.8475</v>
      </c>
      <c r="Y42" s="327">
        <f t="shared" si="321"/>
        <v>112.7775</v>
      </c>
      <c r="Z42" s="327">
        <f t="shared" si="321"/>
        <v>112.485</v>
      </c>
      <c r="AA42" s="327">
        <f t="shared" si="321"/>
        <v>112.235</v>
      </c>
      <c r="AB42" s="327">
        <f t="shared" si="321"/>
        <v>112.217</v>
      </c>
      <c r="AC42" s="327">
        <f t="shared" si="321"/>
        <v>112.215</v>
      </c>
      <c r="AD42" s="327">
        <f t="shared" si="321"/>
        <v>112.22499999999999</v>
      </c>
      <c r="AE42" s="327">
        <f t="shared" si="321"/>
        <v>112.233</v>
      </c>
      <c r="AF42" s="327">
        <f t="shared" si="321"/>
        <v>112.23150000000001</v>
      </c>
      <c r="AG42" s="327">
        <f t="shared" si="321"/>
        <v>112.23650000000001</v>
      </c>
      <c r="AH42" s="327">
        <f t="shared" si="321"/>
        <v>112.30099999999999</v>
      </c>
      <c r="AI42" s="327">
        <f t="shared" si="321"/>
        <v>112.37299999999999</v>
      </c>
      <c r="AJ42" s="327">
        <f t="shared" si="321"/>
        <v>112.511</v>
      </c>
      <c r="AK42" s="327">
        <f t="shared" ref="AK42:AT42" si="322">AVERAGE(AJ41:AK41)</f>
        <v>225.17249999999999</v>
      </c>
      <c r="AL42" s="327">
        <f t="shared" si="322"/>
        <v>225.32149999999999</v>
      </c>
      <c r="AM42" s="327">
        <f t="shared" si="322"/>
        <v>113.0445</v>
      </c>
      <c r="AN42" s="327">
        <f t="shared" si="322"/>
        <v>113.17750000000001</v>
      </c>
      <c r="AO42" s="327">
        <f t="shared" si="322"/>
        <v>226.4025</v>
      </c>
      <c r="AP42" s="327">
        <f>AVERAGE(AO41:AP41)</f>
        <v>339.18600000000004</v>
      </c>
      <c r="AQ42" s="327">
        <f t="shared" si="322"/>
        <v>225.78800000000001</v>
      </c>
      <c r="AR42" s="327">
        <f t="shared" si="322"/>
        <v>225.57050000000001</v>
      </c>
      <c r="AS42" s="327">
        <f t="shared" si="322"/>
        <v>338.19500000000005</v>
      </c>
      <c r="AT42" s="358">
        <f t="shared" si="322"/>
        <v>336.74200000000002</v>
      </c>
      <c r="AU42" s="614">
        <f t="shared" ref="AU42:BI42" si="323">AVERAGE(AT41:AU41)</f>
        <v>335.42500000000001</v>
      </c>
      <c r="AV42" s="614">
        <f t="shared" si="323"/>
        <v>335.42500000000001</v>
      </c>
      <c r="AW42" s="614">
        <f t="shared" si="323"/>
        <v>335.42500000000001</v>
      </c>
      <c r="AX42" s="614">
        <f t="shared" si="323"/>
        <v>335.42500000000001</v>
      </c>
      <c r="AY42" s="614">
        <f t="shared" si="323"/>
        <v>335.42500000000001</v>
      </c>
      <c r="AZ42" s="614">
        <f t="shared" si="323"/>
        <v>335.42500000000001</v>
      </c>
      <c r="BA42" s="614">
        <f t="shared" si="323"/>
        <v>335.42500000000001</v>
      </c>
      <c r="BB42" s="614">
        <f t="shared" si="323"/>
        <v>335.42500000000001</v>
      </c>
      <c r="BC42" s="614">
        <f t="shared" si="323"/>
        <v>335.42500000000001</v>
      </c>
      <c r="BD42" s="614">
        <f t="shared" si="323"/>
        <v>335.42500000000001</v>
      </c>
      <c r="BE42" s="614">
        <f t="shared" si="323"/>
        <v>335.42500000000001</v>
      </c>
      <c r="BF42" s="614">
        <f t="shared" si="323"/>
        <v>335.42500000000001</v>
      </c>
      <c r="BG42" s="614">
        <f t="shared" si="323"/>
        <v>335.42500000000001</v>
      </c>
      <c r="BH42" s="614">
        <f t="shared" si="323"/>
        <v>335.42500000000001</v>
      </c>
      <c r="BI42" s="614">
        <f t="shared" si="323"/>
        <v>335.42500000000001</v>
      </c>
      <c r="BJ42" s="614">
        <f t="shared" ref="BJ42" si="324">AVERAGE(BI41:BJ41)</f>
        <v>335.42500000000001</v>
      </c>
      <c r="BK42" s="614">
        <f t="shared" ref="BK42" si="325">AVERAGE(BJ41:BK41)</f>
        <v>335.42500000000001</v>
      </c>
      <c r="BL42" s="614">
        <f t="shared" ref="BL42" si="326">AVERAGE(BK41:BL41)</f>
        <v>335.42500000000001</v>
      </c>
      <c r="BM42" s="614">
        <f t="shared" ref="BM42" si="327">AVERAGE(BL41:BM41)</f>
        <v>335.42500000000001</v>
      </c>
      <c r="BN42" s="614">
        <f t="shared" ref="BN42" si="328">AVERAGE(BM41:BN41)</f>
        <v>335.42500000000001</v>
      </c>
      <c r="BO42" s="614">
        <f t="shared" ref="BO42" si="329">AVERAGE(BN41:BO41)</f>
        <v>335.42500000000001</v>
      </c>
      <c r="BP42" s="614">
        <f t="shared" ref="BP42" si="330">AVERAGE(BO41:BP41)</f>
        <v>335.42500000000001</v>
      </c>
      <c r="BQ42" s="614">
        <f t="shared" ref="BQ42" si="331">AVERAGE(BP41:BQ41)</f>
        <v>335.42500000000001</v>
      </c>
      <c r="BR42" s="614">
        <f t="shared" ref="BR42" si="332">AVERAGE(BQ41:BR41)</f>
        <v>335.42500000000001</v>
      </c>
      <c r="BS42" s="614">
        <f t="shared" ref="BS42" si="333">AVERAGE(BR41:BS41)</f>
        <v>335.42500000000001</v>
      </c>
      <c r="BT42" s="614">
        <f t="shared" ref="BT42" si="334">AVERAGE(BS41:BT41)</f>
        <v>335.42500000000001</v>
      </c>
      <c r="BU42" s="614">
        <f t="shared" ref="BU42" si="335">AVERAGE(BT41:BU41)</f>
        <v>335.42500000000001</v>
      </c>
      <c r="BV42" s="614">
        <f t="shared" ref="BV42" si="336">AVERAGE(BU41:BV41)</f>
        <v>335.42500000000001</v>
      </c>
      <c r="BW42" s="614">
        <f t="shared" ref="BW42" si="337">AVERAGE(BV41:BW41)</f>
        <v>335.42500000000001</v>
      </c>
      <c r="BX42" s="614">
        <f t="shared" ref="BX42" si="338">AVERAGE(BW41:BX41)</f>
        <v>335.42500000000001</v>
      </c>
      <c r="BY42" s="614">
        <f t="shared" ref="BY42" si="339">AVERAGE(BX41:BY41)</f>
        <v>335.42500000000001</v>
      </c>
    </row>
    <row r="43" spans="1:82" s="482" customFormat="1" ht="13.5" customHeight="1">
      <c r="A43" s="1878" t="s">
        <v>87</v>
      </c>
      <c r="B43" s="1415" t="str">
        <f t="shared" ref="B43:M43" si="340">IF(ISERROR(+B37/B42),"NM",+B37/B42)</f>
        <v>NM</v>
      </c>
      <c r="C43" s="1415" t="str">
        <f t="shared" si="340"/>
        <v>NM</v>
      </c>
      <c r="D43" s="1415" t="str">
        <f t="shared" si="340"/>
        <v>NM</v>
      </c>
      <c r="E43" s="1415" t="str">
        <f t="shared" si="340"/>
        <v>NM</v>
      </c>
      <c r="F43" s="1415" t="str">
        <f t="shared" si="340"/>
        <v>NM</v>
      </c>
      <c r="G43" s="1415" t="str">
        <f t="shared" si="340"/>
        <v>NM</v>
      </c>
      <c r="H43" s="1415" t="str">
        <f t="shared" si="340"/>
        <v>NM</v>
      </c>
      <c r="I43" s="1415" t="str">
        <f t="shared" si="340"/>
        <v>NM</v>
      </c>
      <c r="J43" s="1415" t="str">
        <f t="shared" si="340"/>
        <v>NM</v>
      </c>
      <c r="K43" s="1415" t="str">
        <f t="shared" si="340"/>
        <v>NM</v>
      </c>
      <c r="L43" s="1415" t="str">
        <f t="shared" si="340"/>
        <v>NM</v>
      </c>
      <c r="M43" s="1415" t="str">
        <f t="shared" si="340"/>
        <v>NM</v>
      </c>
      <c r="N43" s="996">
        <f t="shared" ref="N43:AO43" si="341">+N37/N42</f>
        <v>0.25612922090004503</v>
      </c>
      <c r="O43" s="996">
        <f t="shared" si="341"/>
        <v>0.17941538706904958</v>
      </c>
      <c r="P43" s="996">
        <f t="shared" si="341"/>
        <v>0.20503096729605422</v>
      </c>
      <c r="Q43" s="996">
        <f t="shared" si="341"/>
        <v>0.22838713107273562</v>
      </c>
      <c r="R43" s="996">
        <f t="shared" si="341"/>
        <v>0.16898662957088767</v>
      </c>
      <c r="S43" s="996">
        <f t="shared" si="341"/>
        <v>0.36926839209292861</v>
      </c>
      <c r="T43" s="996">
        <f t="shared" si="341"/>
        <v>0.61726371377180755</v>
      </c>
      <c r="U43" s="996">
        <f t="shared" si="341"/>
        <v>0.10524450430175114</v>
      </c>
      <c r="V43" s="996">
        <f t="shared" si="341"/>
        <v>0.33637837694154787</v>
      </c>
      <c r="W43" s="996">
        <f t="shared" si="341"/>
        <v>0.43121184465847334</v>
      </c>
      <c r="X43" s="996">
        <f t="shared" si="341"/>
        <v>0.4914242672633421</v>
      </c>
      <c r="Y43" s="996">
        <f t="shared" si="341"/>
        <v>-0.13722595375850663</v>
      </c>
      <c r="Z43" s="996">
        <f t="shared" si="341"/>
        <v>2.1140596523980992E-2</v>
      </c>
      <c r="AA43" s="996">
        <f t="shared" si="341"/>
        <v>0.45015369537131927</v>
      </c>
      <c r="AB43" s="996">
        <f t="shared" si="341"/>
        <v>6.5141645205272103E-2</v>
      </c>
      <c r="AC43" s="996">
        <f t="shared" si="341"/>
        <v>0.11352314752929597</v>
      </c>
      <c r="AD43" s="996">
        <f t="shared" si="341"/>
        <v>0.3094586767654266</v>
      </c>
      <c r="AE43" s="996">
        <f t="shared" si="341"/>
        <v>0.54250532374613547</v>
      </c>
      <c r="AF43" s="996">
        <f t="shared" si="341"/>
        <v>0.29366087061119228</v>
      </c>
      <c r="AG43" s="996">
        <f t="shared" si="341"/>
        <v>5.7271921344660325E-2</v>
      </c>
      <c r="AH43" s="996">
        <f t="shared" si="341"/>
        <v>0.54074318127176102</v>
      </c>
      <c r="AI43" s="996">
        <f t="shared" si="341"/>
        <v>1.0253530652380913</v>
      </c>
      <c r="AJ43" s="996">
        <f t="shared" si="341"/>
        <v>0.47586458212974714</v>
      </c>
      <c r="AK43" s="996">
        <f t="shared" si="341"/>
        <v>0.25122961285236928</v>
      </c>
      <c r="AL43" s="996">
        <f t="shared" si="341"/>
        <v>0.14678137683265916</v>
      </c>
      <c r="AM43" s="996">
        <f t="shared" si="341"/>
        <v>0.18624523970648688</v>
      </c>
      <c r="AN43" s="2147">
        <f t="shared" si="341"/>
        <v>0.67168827726359015</v>
      </c>
      <c r="AO43" s="996">
        <f t="shared" si="341"/>
        <v>0.30620686609025932</v>
      </c>
      <c r="AP43" s="996">
        <f t="shared" ref="AP43:AQ43" si="342">+AP37/AP42</f>
        <v>0.11695352992163605</v>
      </c>
      <c r="AQ43" s="996">
        <f t="shared" si="342"/>
        <v>0.30521108296277916</v>
      </c>
      <c r="AR43" s="996">
        <f t="shared" ref="AR43:AS43" si="343">+AR37/AR42</f>
        <v>0.2476564976359939</v>
      </c>
      <c r="AS43" s="996">
        <f t="shared" si="343"/>
        <v>0.35317198657579213</v>
      </c>
      <c r="AT43" s="997">
        <f t="shared" ref="AT43" si="344">+AT37/AT42</f>
        <v>0.34706986357508124</v>
      </c>
      <c r="AU43" s="998">
        <f t="shared" ref="AU43:BY43" si="345">+AU37/AU42</f>
        <v>0.50078827491887579</v>
      </c>
      <c r="AV43" s="998">
        <f t="shared" si="345"/>
        <v>0.32238176951291697</v>
      </c>
      <c r="AW43" s="998">
        <f t="shared" si="345"/>
        <v>0.38702265622407106</v>
      </c>
      <c r="AX43" s="998">
        <f t="shared" si="345"/>
        <v>0.86979578041050132</v>
      </c>
      <c r="AY43" s="998">
        <f t="shared" si="345"/>
        <v>0.53317095587079744</v>
      </c>
      <c r="AZ43" s="998">
        <f t="shared" si="345"/>
        <v>0.33283310164683783</v>
      </c>
      <c r="BA43" s="998">
        <f t="shared" si="345"/>
        <v>-2.7550313826492215E-2</v>
      </c>
      <c r="BB43" s="998">
        <f t="shared" si="345"/>
        <v>0.96175096767214152</v>
      </c>
      <c r="BC43" s="998">
        <f t="shared" si="345"/>
        <v>0.62543139396000458</v>
      </c>
      <c r="BD43" s="998">
        <f t="shared" si="345"/>
        <v>0.41266113501820845</v>
      </c>
      <c r="BE43" s="998">
        <f t="shared" si="345"/>
        <v>2.0655099696442483E-2</v>
      </c>
      <c r="BF43" s="998">
        <f t="shared" si="345"/>
        <v>1.2015450521716968</v>
      </c>
      <c r="BG43" s="998">
        <f t="shared" si="345"/>
        <v>0.70938289450917869</v>
      </c>
      <c r="BH43" s="998">
        <f t="shared" si="345"/>
        <v>0.48875294195508806</v>
      </c>
      <c r="BI43" s="998">
        <f t="shared" si="345"/>
        <v>1.5321578015515418E-2</v>
      </c>
      <c r="BJ43" s="998">
        <f t="shared" si="345"/>
        <v>1.2594729240777844</v>
      </c>
      <c r="BK43" s="998">
        <f t="shared" si="345"/>
        <v>0.75666304861725509</v>
      </c>
      <c r="BL43" s="998">
        <f t="shared" si="345"/>
        <v>0.52716757856051344</v>
      </c>
      <c r="BM43" s="998">
        <f t="shared" si="345"/>
        <v>1.9401692477095563E-2</v>
      </c>
      <c r="BN43" s="998">
        <f t="shared" si="345"/>
        <v>0.93220208927323234</v>
      </c>
      <c r="BO43" s="998">
        <f t="shared" si="345"/>
        <v>0.6897626701262326</v>
      </c>
      <c r="BP43" s="998">
        <f t="shared" si="345"/>
        <v>0.45474320756758924</v>
      </c>
      <c r="BQ43" s="998">
        <f t="shared" si="345"/>
        <v>4.227969877491191E-2</v>
      </c>
      <c r="BR43" s="998">
        <f t="shared" si="345"/>
        <v>0.69050470262130648</v>
      </c>
      <c r="BS43" s="998">
        <f t="shared" si="345"/>
        <v>0.64009592238913582</v>
      </c>
      <c r="BT43" s="998">
        <f t="shared" si="345"/>
        <v>0.39817142135900552</v>
      </c>
      <c r="BU43" s="998">
        <f t="shared" si="345"/>
        <v>5.069866133753078E-2</v>
      </c>
      <c r="BV43" s="998">
        <f t="shared" si="345"/>
        <v>0.84463557485406848</v>
      </c>
      <c r="BW43" s="998">
        <f t="shared" si="345"/>
        <v>0.74906197598045476</v>
      </c>
      <c r="BX43" s="998">
        <f t="shared" si="345"/>
        <v>0.53985998041536032</v>
      </c>
      <c r="BY43" s="998">
        <f t="shared" si="345"/>
        <v>0.19228344876907377</v>
      </c>
    </row>
    <row r="44" spans="1:82" s="482" customFormat="1" ht="13.5" customHeight="1">
      <c r="A44" s="995"/>
      <c r="B44" s="1415"/>
      <c r="C44" s="1415"/>
      <c r="D44" s="1415"/>
      <c r="E44" s="1415"/>
      <c r="F44" s="1415"/>
      <c r="G44" s="1415"/>
      <c r="H44" s="1415"/>
      <c r="I44" s="1415"/>
      <c r="J44" s="1415"/>
      <c r="K44" s="1415"/>
      <c r="L44" s="1415"/>
      <c r="M44" s="1415"/>
      <c r="N44" s="996"/>
      <c r="O44" s="996"/>
      <c r="P44" s="996"/>
      <c r="Q44" s="996"/>
      <c r="R44" s="996"/>
      <c r="S44" s="996"/>
      <c r="T44" s="996"/>
      <c r="U44" s="996"/>
      <c r="V44" s="996"/>
      <c r="W44" s="996"/>
      <c r="X44" s="996"/>
      <c r="Y44" s="996"/>
      <c r="Z44" s="996"/>
      <c r="AA44" s="996"/>
      <c r="AB44" s="996"/>
      <c r="AC44" s="996"/>
      <c r="AD44" s="996"/>
      <c r="AE44" s="996"/>
      <c r="AF44" s="996"/>
      <c r="AG44" s="996"/>
      <c r="AH44" s="996"/>
      <c r="AI44" s="996"/>
      <c r="AJ44" s="996"/>
      <c r="AK44" s="996"/>
      <c r="AL44" s="996"/>
      <c r="AM44" s="996"/>
      <c r="AN44" s="996"/>
      <c r="AO44" s="996"/>
      <c r="AP44" s="996"/>
      <c r="AQ44" s="996"/>
      <c r="AR44" s="996"/>
      <c r="AS44" s="996"/>
      <c r="AT44" s="997"/>
      <c r="AU44" s="998"/>
      <c r="AV44" s="998"/>
      <c r="AW44" s="998"/>
      <c r="AX44" s="998"/>
      <c r="AY44" s="998"/>
      <c r="AZ44" s="998"/>
      <c r="BA44" s="998"/>
      <c r="BB44" s="998"/>
      <c r="BC44" s="998"/>
      <c r="BD44" s="998"/>
      <c r="BE44" s="998"/>
      <c r="BF44" s="998"/>
      <c r="BG44" s="998"/>
      <c r="BH44" s="998"/>
      <c r="BI44" s="998"/>
      <c r="BJ44" s="998"/>
      <c r="BK44" s="998"/>
      <c r="BL44" s="998"/>
      <c r="BM44" s="998"/>
      <c r="BN44" s="998"/>
      <c r="BO44" s="998"/>
      <c r="BP44" s="998"/>
      <c r="BQ44" s="998"/>
      <c r="BR44" s="998"/>
      <c r="BS44" s="998"/>
      <c r="BT44" s="998"/>
      <c r="BU44" s="998"/>
      <c r="BV44" s="998"/>
      <c r="BW44" s="998"/>
      <c r="BX44" s="998"/>
      <c r="BY44" s="998"/>
    </row>
    <row r="45" spans="1:82">
      <c r="A45" s="1587" t="s">
        <v>89</v>
      </c>
      <c r="B45" s="615">
        <v>38898</v>
      </c>
      <c r="C45" s="615">
        <v>38990</v>
      </c>
      <c r="D45" s="615">
        <v>39082</v>
      </c>
      <c r="E45" s="615">
        <v>39172</v>
      </c>
      <c r="F45" s="615">
        <v>39263</v>
      </c>
      <c r="G45" s="615">
        <v>39355</v>
      </c>
      <c r="H45" s="615">
        <v>39447</v>
      </c>
      <c r="I45" s="615">
        <v>39538</v>
      </c>
      <c r="J45" s="615">
        <v>39629</v>
      </c>
      <c r="K45" s="615">
        <v>39721</v>
      </c>
      <c r="L45" s="615">
        <v>39813</v>
      </c>
      <c r="M45" s="615">
        <v>39903</v>
      </c>
      <c r="N45" s="615">
        <v>39994</v>
      </c>
      <c r="O45" s="615">
        <v>40086</v>
      </c>
      <c r="P45" s="615">
        <v>40178</v>
      </c>
      <c r="Q45" s="615">
        <v>40268</v>
      </c>
      <c r="R45" s="615">
        <v>40359</v>
      </c>
      <c r="S45" s="615">
        <v>40451</v>
      </c>
      <c r="T45" s="615">
        <v>40543</v>
      </c>
      <c r="U45" s="615">
        <v>40633</v>
      </c>
      <c r="V45" s="615">
        <v>40724</v>
      </c>
      <c r="W45" s="615">
        <v>40816</v>
      </c>
      <c r="X45" s="615">
        <v>40908</v>
      </c>
      <c r="Y45" s="615">
        <v>40999</v>
      </c>
      <c r="Z45" s="615">
        <v>41090</v>
      </c>
      <c r="AA45" s="615">
        <v>41182</v>
      </c>
      <c r="AB45" s="615">
        <v>41274</v>
      </c>
      <c r="AC45" s="615">
        <v>41364</v>
      </c>
      <c r="AD45" s="615">
        <v>41455</v>
      </c>
      <c r="AE45" s="615">
        <v>41547</v>
      </c>
      <c r="AF45" s="615">
        <v>41639</v>
      </c>
      <c r="AG45" s="615">
        <v>41729</v>
      </c>
      <c r="AH45" s="615">
        <v>41820</v>
      </c>
      <c r="AI45" s="615">
        <v>41912</v>
      </c>
      <c r="AJ45" s="615">
        <v>42004</v>
      </c>
      <c r="AK45" s="1020">
        <v>42094</v>
      </c>
      <c r="AL45" s="1020">
        <v>42185</v>
      </c>
      <c r="AM45" s="1020">
        <v>42185</v>
      </c>
      <c r="AN45" s="1020">
        <v>42369</v>
      </c>
      <c r="AO45" s="1020">
        <v>42460</v>
      </c>
      <c r="AP45" s="1020" t="s">
        <v>1534</v>
      </c>
      <c r="AQ45" s="1020" t="s">
        <v>1535</v>
      </c>
      <c r="AR45" s="1020" t="s">
        <v>1535</v>
      </c>
      <c r="AS45" s="1020">
        <f>+AS6</f>
        <v>42825</v>
      </c>
      <c r="AT45" s="616">
        <f>+AT6</f>
        <v>42916</v>
      </c>
      <c r="AU45" s="617">
        <v>43008</v>
      </c>
      <c r="AV45" s="617">
        <v>43100</v>
      </c>
      <c r="AW45" s="617">
        <v>43190</v>
      </c>
      <c r="AX45" s="617">
        <v>43281</v>
      </c>
      <c r="AY45" s="617">
        <v>43373</v>
      </c>
      <c r="AZ45" s="617">
        <v>43465</v>
      </c>
      <c r="BA45" s="617">
        <v>43555</v>
      </c>
      <c r="BB45" s="617">
        <v>43646</v>
      </c>
      <c r="BC45" s="617">
        <v>43738</v>
      </c>
      <c r="BD45" s="617">
        <v>43830</v>
      </c>
      <c r="BE45" s="617">
        <v>43921</v>
      </c>
      <c r="BF45" s="617">
        <v>44012</v>
      </c>
      <c r="BG45" s="617">
        <v>44104</v>
      </c>
      <c r="BH45" s="617">
        <v>44196</v>
      </c>
      <c r="BI45" s="617">
        <f>+BI6</f>
        <v>44286</v>
      </c>
      <c r="BJ45" s="617">
        <f>+BJ$6</f>
        <v>44377</v>
      </c>
      <c r="BK45" s="617">
        <f t="shared" ref="BK45:BY45" si="346">+BK$6</f>
        <v>44469</v>
      </c>
      <c r="BL45" s="617">
        <f t="shared" si="346"/>
        <v>44561</v>
      </c>
      <c r="BM45" s="617">
        <f t="shared" si="346"/>
        <v>44651</v>
      </c>
      <c r="BN45" s="617">
        <f t="shared" si="346"/>
        <v>44742</v>
      </c>
      <c r="BO45" s="617">
        <f t="shared" si="346"/>
        <v>44834</v>
      </c>
      <c r="BP45" s="617">
        <f t="shared" si="346"/>
        <v>44926</v>
      </c>
      <c r="BQ45" s="617">
        <f t="shared" si="346"/>
        <v>45016</v>
      </c>
      <c r="BR45" s="617">
        <f t="shared" si="346"/>
        <v>45107</v>
      </c>
      <c r="BS45" s="617">
        <f t="shared" si="346"/>
        <v>45199</v>
      </c>
      <c r="BT45" s="617">
        <f t="shared" si="346"/>
        <v>45291</v>
      </c>
      <c r="BU45" s="617">
        <f t="shared" si="346"/>
        <v>45382</v>
      </c>
      <c r="BV45" s="617">
        <f t="shared" si="346"/>
        <v>45473</v>
      </c>
      <c r="BW45" s="617">
        <f t="shared" si="346"/>
        <v>45565</v>
      </c>
      <c r="BX45" s="617">
        <f t="shared" si="346"/>
        <v>45657</v>
      </c>
      <c r="BY45" s="617">
        <f t="shared" si="346"/>
        <v>45747</v>
      </c>
    </row>
    <row r="46" spans="1:82">
      <c r="A46" s="1880" t="s">
        <v>90</v>
      </c>
      <c r="B46" s="373"/>
      <c r="C46" s="373"/>
      <c r="D46" s="373"/>
      <c r="E46" s="373"/>
      <c r="F46" s="373"/>
      <c r="G46" s="373"/>
      <c r="H46" s="373"/>
      <c r="I46" s="373"/>
      <c r="J46" s="373"/>
      <c r="K46" s="373"/>
      <c r="L46" s="373"/>
      <c r="M46" s="373"/>
      <c r="N46" s="373"/>
      <c r="O46" s="373"/>
      <c r="P46" s="373"/>
      <c r="Q46" s="373"/>
      <c r="R46" s="373"/>
      <c r="S46" s="373"/>
      <c r="T46" s="373"/>
      <c r="U46" s="373"/>
      <c r="V46" s="373"/>
      <c r="W46" s="373"/>
      <c r="X46" s="373"/>
      <c r="Y46" s="373"/>
      <c r="Z46" s="373"/>
      <c r="AA46" s="373"/>
      <c r="AB46" s="373"/>
      <c r="AC46" s="373"/>
      <c r="AD46" s="373"/>
      <c r="AE46" s="373"/>
      <c r="AF46" s="373"/>
      <c r="AG46" s="373"/>
      <c r="AH46" s="373"/>
      <c r="AI46" s="373"/>
      <c r="AJ46" s="373"/>
      <c r="AK46" s="373"/>
      <c r="AL46" s="373"/>
      <c r="AM46" s="373"/>
      <c r="AN46" s="373"/>
      <c r="AO46" s="373"/>
      <c r="AP46" s="373"/>
      <c r="AQ46" s="373"/>
      <c r="AR46" s="373"/>
      <c r="AS46" s="373"/>
      <c r="AT46" s="1865"/>
      <c r="AU46" s="373"/>
      <c r="AV46" s="373"/>
      <c r="AW46" s="373"/>
      <c r="AX46" s="373"/>
      <c r="AY46" s="373"/>
      <c r="AZ46" s="373"/>
      <c r="BA46" s="373"/>
      <c r="BB46" s="373"/>
      <c r="BC46" s="373"/>
      <c r="BD46" s="373"/>
      <c r="BE46" s="373"/>
      <c r="BF46" s="373"/>
      <c r="BG46" s="373"/>
      <c r="BH46" s="373"/>
      <c r="BI46" s="373"/>
      <c r="BJ46" s="373"/>
      <c r="BK46" s="373"/>
      <c r="BL46" s="373"/>
      <c r="BM46" s="373"/>
      <c r="BN46" s="373"/>
      <c r="BO46" s="373"/>
      <c r="BP46" s="373"/>
      <c r="BQ46" s="373"/>
      <c r="BR46" s="373"/>
      <c r="BS46" s="373"/>
      <c r="BT46" s="373"/>
      <c r="BU46" s="373"/>
      <c r="BV46" s="373"/>
      <c r="BW46" s="373"/>
      <c r="BX46" s="373"/>
      <c r="BY46" s="373"/>
      <c r="BZ46" s="106"/>
      <c r="CA46" s="106"/>
      <c r="CB46" s="106"/>
      <c r="CC46" s="106"/>
      <c r="CD46" s="106"/>
    </row>
    <row r="47" spans="1:82">
      <c r="A47" s="1868" t="s">
        <v>403</v>
      </c>
      <c r="B47" s="373"/>
      <c r="C47" s="373"/>
      <c r="D47" s="373"/>
      <c r="E47" s="373"/>
      <c r="F47" s="373"/>
      <c r="G47" s="373"/>
      <c r="H47" s="373"/>
      <c r="I47" s="373"/>
      <c r="J47" s="373"/>
      <c r="K47" s="373"/>
      <c r="L47" s="373"/>
      <c r="M47" s="373"/>
      <c r="N47" s="373"/>
      <c r="O47" s="373"/>
      <c r="P47" s="373"/>
      <c r="Q47" s="373"/>
      <c r="R47" s="373"/>
      <c r="S47" s="373"/>
      <c r="T47" s="373"/>
      <c r="U47" s="373"/>
      <c r="V47" s="373"/>
      <c r="W47" s="373"/>
      <c r="X47" s="373"/>
      <c r="Y47" s="202"/>
      <c r="Z47" s="202"/>
      <c r="AA47" s="202"/>
      <c r="AB47" s="348"/>
      <c r="AC47" s="348"/>
      <c r="AD47" s="348"/>
      <c r="AE47" s="348"/>
      <c r="AF47" s="348"/>
      <c r="AG47" s="348"/>
      <c r="AH47" s="348"/>
      <c r="AI47" s="746"/>
      <c r="AJ47" s="746"/>
      <c r="AK47" s="746"/>
      <c r="AL47" s="746"/>
      <c r="AM47" s="746"/>
      <c r="AN47" s="746"/>
      <c r="AO47" s="746"/>
      <c r="AP47" s="746"/>
      <c r="AQ47" s="746"/>
      <c r="AR47" s="746"/>
      <c r="AS47" s="746"/>
      <c r="AT47" s="749"/>
      <c r="AU47" s="348"/>
      <c r="AV47" s="348"/>
      <c r="AW47" s="348"/>
      <c r="AX47" s="348"/>
      <c r="AY47" s="348"/>
      <c r="AZ47" s="348"/>
      <c r="BA47" s="348"/>
      <c r="BB47" s="348"/>
      <c r="BC47" s="348"/>
      <c r="BD47" s="348"/>
      <c r="BE47" s="348"/>
      <c r="BF47" s="348"/>
      <c r="BG47" s="348"/>
      <c r="BH47" s="348"/>
      <c r="BI47" s="348"/>
      <c r="BJ47" s="746"/>
      <c r="BK47" s="746"/>
      <c r="BL47" s="746"/>
      <c r="BM47" s="746"/>
      <c r="BN47" s="746"/>
      <c r="BO47" s="746"/>
      <c r="BP47" s="746"/>
      <c r="BQ47" s="746"/>
      <c r="BR47" s="746"/>
      <c r="BS47" s="746"/>
      <c r="BT47" s="746"/>
      <c r="BU47" s="746"/>
      <c r="BV47" s="746"/>
      <c r="BW47" s="746"/>
      <c r="BX47" s="746"/>
      <c r="BY47" s="746"/>
    </row>
    <row r="48" spans="1:82">
      <c r="A48" s="206" t="s">
        <v>404</v>
      </c>
      <c r="B48" s="196">
        <f>Q_BS!$B$15*B10</f>
        <v>9.7815000000000012</v>
      </c>
      <c r="C48" s="196">
        <f>Q_BS!$B$15*C10</f>
        <v>12.97705</v>
      </c>
      <c r="D48" s="196">
        <f>Q_BS!$B$15*D10</f>
        <v>9.3800500000000007</v>
      </c>
      <c r="E48" s="196">
        <f>Q_BS!$B$15*E10</f>
        <v>9.18825</v>
      </c>
      <c r="F48" s="196">
        <f>Q_BS!$B$15*F10</f>
        <v>8.7281500000000012</v>
      </c>
      <c r="G48" s="196">
        <f>Q_BS!$B$15*G10</f>
        <v>8.9535499999999999</v>
      </c>
      <c r="H48" s="196">
        <f>Q_BS!B14</f>
        <v>6.3643000000000001</v>
      </c>
      <c r="I48" s="196">
        <f>Q_BS!C14</f>
        <v>11.575000000000001</v>
      </c>
      <c r="J48" s="196">
        <f>Q_BS!D14</f>
        <v>4.6028000000000002</v>
      </c>
      <c r="K48" s="196">
        <f>Q_BS!E14</f>
        <v>9.7156500000000001</v>
      </c>
      <c r="L48" s="196">
        <f>Q_BS!F14</f>
        <v>11.040800000000001</v>
      </c>
      <c r="M48" s="196">
        <f>Q_BS!G14</f>
        <v>13.3629</v>
      </c>
      <c r="N48" s="196">
        <f>Q_BS!H14</f>
        <v>10.87275</v>
      </c>
      <c r="O48" s="196">
        <f>Q_BS!I14</f>
        <v>14.31485</v>
      </c>
      <c r="P48" s="196">
        <f>Q_BS!J14</f>
        <v>16.207850000000001</v>
      </c>
      <c r="Q48" s="196">
        <f>Q_BS!K14</f>
        <v>17.76885</v>
      </c>
      <c r="R48" s="196">
        <f>Q_BS!L14</f>
        <v>14.272549999999999</v>
      </c>
      <c r="S48" s="196">
        <f>Q_BS!M14</f>
        <v>16.9376</v>
      </c>
      <c r="T48" s="196">
        <f>Q_BS!N14</f>
        <v>19.514250000000001</v>
      </c>
      <c r="U48" s="196">
        <f>Q_BS!O14</f>
        <v>14.026999999999999</v>
      </c>
      <c r="V48" s="196">
        <f>Q_BS!P14</f>
        <v>16.447400000000002</v>
      </c>
      <c r="W48" s="196">
        <f>Q_BS!Q14</f>
        <v>19.906099999999999</v>
      </c>
      <c r="X48" s="196">
        <f>Q_BS!R14</f>
        <v>19.022400000000001</v>
      </c>
      <c r="Y48" s="196">
        <f>Q_BS!S14</f>
        <v>68.349500000000006</v>
      </c>
      <c r="Z48" s="196">
        <f>Q_BS!T14</f>
        <v>66.417749999999998</v>
      </c>
      <c r="AA48" s="196">
        <f>Q_BS!U14</f>
        <v>73.857300000000009</v>
      </c>
      <c r="AB48" s="196">
        <f>Q_BS!V14</f>
        <v>74.580700000000007</v>
      </c>
      <c r="AC48" s="196">
        <f>Q_BS!W14</f>
        <v>81.797750000000008</v>
      </c>
      <c r="AD48" s="196">
        <f>Q_BS!X14</f>
        <v>91.995149999999995</v>
      </c>
      <c r="AE48" s="196">
        <f>Q_BS!Y14</f>
        <v>95.374200000000002</v>
      </c>
      <c r="AF48" s="196">
        <f>Q_BS!Z14</f>
        <v>96.869000000000014</v>
      </c>
      <c r="AG48" s="196">
        <f>Q_BS!AA14</f>
        <v>98.584500000000006</v>
      </c>
      <c r="AH48" s="196">
        <f>Q_BS!AB14</f>
        <v>99.103150000000014</v>
      </c>
      <c r="AI48" s="196">
        <f>Q_BS!AC14</f>
        <v>93.753800000000012</v>
      </c>
      <c r="AJ48" s="196">
        <f>Q_BS!AD14</f>
        <v>101.76255000000002</v>
      </c>
      <c r="AK48" s="202">
        <f>Q_BS!AE14</f>
        <v>114.6991</v>
      </c>
      <c r="AL48" s="202">
        <f>Q_BS!AF14</f>
        <v>112.0234</v>
      </c>
      <c r="AM48" s="202">
        <f>Q_BS!AG14</f>
        <v>119.68584999999999</v>
      </c>
      <c r="AN48" s="202">
        <f>Q_BS!AH14</f>
        <v>130.53935000000001</v>
      </c>
      <c r="AO48" s="202">
        <f>Q_BS!AI14</f>
        <v>136.37090000000001</v>
      </c>
      <c r="AP48" s="202">
        <f>Q_BS!AJ14</f>
        <v>145.88680000000002</v>
      </c>
      <c r="AQ48" s="202">
        <f>Q_BS!AK14</f>
        <v>149.07135000000002</v>
      </c>
      <c r="AR48" s="202">
        <f>Q_BS!AL14</f>
        <v>145.81469999999999</v>
      </c>
      <c r="AS48" s="202">
        <f>Q_BS!AM14</f>
        <v>150.14405000000002</v>
      </c>
      <c r="AT48" s="355">
        <f>Q_BS!AN14</f>
        <v>158.68950000000001</v>
      </c>
      <c r="AU48" s="357">
        <f>Q_BS!AO14</f>
        <v>168.3019056161767</v>
      </c>
      <c r="AV48" s="357">
        <f>Q_BS!AP14</f>
        <v>175.83623802561422</v>
      </c>
      <c r="AW48" s="357">
        <f>Q_BS!AQ14</f>
        <v>182.83805669477169</v>
      </c>
      <c r="AX48" s="357">
        <f>Q_BS!AR14</f>
        <v>201.45566776549114</v>
      </c>
      <c r="AY48" s="357">
        <f>Q_BS!AS14</f>
        <v>202.96844143837481</v>
      </c>
      <c r="AZ48" s="357">
        <f>Q_BS!AT14</f>
        <v>204.25196763878668</v>
      </c>
      <c r="BA48" s="357">
        <f>Q_BS!AU14</f>
        <v>189.10479172002982</v>
      </c>
      <c r="BB48" s="357">
        <f>Q_BS!AV14</f>
        <v>193.40037484722248</v>
      </c>
      <c r="BC48" s="357">
        <f>Q_BS!AW14</f>
        <v>197.32884072821977</v>
      </c>
      <c r="BD48" s="357">
        <f>Q_BS!AX14</f>
        <v>201.05015119402572</v>
      </c>
      <c r="BE48" s="357">
        <f>Q_BS!AY14</f>
        <v>204.23924743580093</v>
      </c>
      <c r="BF48" s="357">
        <f>Q_BS!AZ14</f>
        <v>215.78017741186687</v>
      </c>
      <c r="BG48" s="357">
        <f>Q_BS!BA14</f>
        <v>223.04397642109643</v>
      </c>
      <c r="BH48" s="357">
        <f>Q_BS!BB14</f>
        <v>230.20840523023287</v>
      </c>
      <c r="BI48" s="357">
        <f>Q_BS!BC14</f>
        <v>235.05423166783149</v>
      </c>
      <c r="BJ48" s="357">
        <f>Q_BS!BD14</f>
        <v>240.88066608835197</v>
      </c>
      <c r="BK48" s="357">
        <f>Q_BS!BE14</f>
        <v>244.91162665577741</v>
      </c>
      <c r="BL48" s="357">
        <f>Q_BS!BF14</f>
        <v>248.78764090025308</v>
      </c>
      <c r="BM48" s="357">
        <f>Q_BS!BG14</f>
        <v>251.5599504723863</v>
      </c>
      <c r="BN48" s="357">
        <f>Q_BS!BH14</f>
        <v>244.7646570482672</v>
      </c>
      <c r="BO48" s="357">
        <f>Q_BS!BI14</f>
        <v>242.53864387802173</v>
      </c>
      <c r="BP48" s="357">
        <f>Q_BS!BJ14</f>
        <v>240.0276253262879</v>
      </c>
      <c r="BQ48" s="357">
        <f>Q_BS!BK14</f>
        <v>239.40784446649951</v>
      </c>
      <c r="BR48" s="357">
        <f>Q_BS!BL14</f>
        <v>235.21657302586061</v>
      </c>
      <c r="BS48" s="357">
        <f>Q_BS!BM14</f>
        <v>234.29300779440132</v>
      </c>
      <c r="BT48" s="357">
        <f>Q_BS!BN14</f>
        <v>233.13606934737163</v>
      </c>
      <c r="BU48" s="357">
        <f>Q_BS!BO14</f>
        <v>233.27760800270312</v>
      </c>
      <c r="BV48" s="357">
        <f>Q_BS!BP14</f>
        <v>242.61405071178689</v>
      </c>
      <c r="BW48" s="357">
        <f>Q_BS!BQ14</f>
        <v>249.3172587042975</v>
      </c>
      <c r="BX48" s="357">
        <f>Q_BS!BR14</f>
        <v>255.95577988209354</v>
      </c>
      <c r="BY48" s="357">
        <f>Q_BS!BS14</f>
        <v>261.05241363738833</v>
      </c>
      <c r="BZ48" s="198"/>
    </row>
    <row r="49" spans="1:80">
      <c r="A49" s="206" t="s">
        <v>405</v>
      </c>
      <c r="B49" s="196">
        <f>'Quarterly historicals'!B195-Q_Financials!B48</f>
        <v>20.9375</v>
      </c>
      <c r="C49" s="196">
        <f>'Quarterly historicals'!C195-Q_Financials!C48</f>
        <v>57.379950000000001</v>
      </c>
      <c r="D49" s="196">
        <f>'Quarterly historicals'!D195-Q_Financials!D48</f>
        <v>54.612949999999998</v>
      </c>
      <c r="E49" s="196">
        <f>'Quarterly historicals'!E195-Q_Financials!E48</f>
        <v>357.77575000000002</v>
      </c>
      <c r="F49" s="196">
        <f>'Quarterly historicals'!F195-Q_Financials!F48</f>
        <v>245.24084999999999</v>
      </c>
      <c r="G49" s="196">
        <f>'Quarterly historicals'!G195-Q_Financials!G48</f>
        <v>177.03844999999998</v>
      </c>
      <c r="H49" s="196">
        <f>'Quarterly historicals'!H195-Q_Financials!H48</f>
        <v>142.33170000000001</v>
      </c>
      <c r="I49" s="196">
        <f>'Quarterly historicals'!I195-Q_Financials!I48</f>
        <v>60.959000000000003</v>
      </c>
      <c r="J49" s="196">
        <f>'Quarterly historicals'!J195-Q_Financials!J48</f>
        <v>52.574199999999998</v>
      </c>
      <c r="K49" s="196">
        <f>'Quarterly historicals'!K195-Q_Financials!K48</f>
        <v>218.51935</v>
      </c>
      <c r="L49" s="196">
        <f>'Quarterly historicals'!L195-Q_Financials!L48</f>
        <v>139.53720000000001</v>
      </c>
      <c r="M49" s="196">
        <f>'Quarterly historicals'!M195-Q_Financials!M48</f>
        <v>182.81010000000001</v>
      </c>
      <c r="N49" s="196">
        <f>'Quarterly historicals'!N195-Q_Financials!N48</f>
        <v>114.29725000000001</v>
      </c>
      <c r="O49" s="196">
        <f>'Quarterly historicals'!O195-Q_Financials!O48</f>
        <v>121.78915000000001</v>
      </c>
      <c r="P49" s="196">
        <f>'Quarterly historicals'!P195-Q_Financials!P48</f>
        <v>133.84815</v>
      </c>
      <c r="Q49" s="196">
        <f>'Quarterly historicals'!Q195-Q_Financials!Q48</f>
        <v>171.26914999999997</v>
      </c>
      <c r="R49" s="196">
        <f>'Quarterly historicals'!R195-Q_Financials!R48</f>
        <v>234.24345000000002</v>
      </c>
      <c r="S49" s="196">
        <f>'Quarterly historicals'!S195-Q_Financials!S48</f>
        <v>216.0104</v>
      </c>
      <c r="T49" s="196">
        <f>'Quarterly historicals'!T195-Q_Financials!T48</f>
        <v>230.14075</v>
      </c>
      <c r="U49" s="196">
        <f>'Quarterly historicals'!U195-Q_Financials!U48</f>
        <v>208.19200000000001</v>
      </c>
      <c r="V49" s="196">
        <f>'Quarterly historicals'!V195-Q_Financials!V48</f>
        <v>322.62759999999997</v>
      </c>
      <c r="W49" s="196">
        <f>'Quarterly historicals'!W195-Q_Financials!W48</f>
        <v>254.71989999999997</v>
      </c>
      <c r="X49" s="196">
        <f>'Quarterly historicals'!X195-Q_Financials!X48</f>
        <v>445.07959999999997</v>
      </c>
      <c r="Y49" s="196">
        <f>'Quarterly historicals'!Y195-Q_Financials!Y48</f>
        <v>342.21749999999997</v>
      </c>
      <c r="Z49" s="196">
        <f>'Quarterly historicals'!Z195-Q_Financials!Z48</f>
        <v>726.64625000000001</v>
      </c>
      <c r="AA49" s="196">
        <f>'Quarterly historicals'!AA195-Q_Financials!AA48</f>
        <v>637.4787</v>
      </c>
      <c r="AB49" s="196">
        <f>'Quarterly historicals'!AB195-Q_Financials!AB48</f>
        <v>499.43230000000005</v>
      </c>
      <c r="AC49" s="196">
        <f>'Quarterly historicals'!AC195-Q_Financials!AC48</f>
        <v>552.49225000000001</v>
      </c>
      <c r="AD49" s="196">
        <f>'Quarterly historicals'!AD195-Q_Financials!AD48</f>
        <v>484.86185</v>
      </c>
      <c r="AE49" s="196">
        <f>'Quarterly historicals'!AE195-Q_Financials!AE48</f>
        <v>483.54880000000003</v>
      </c>
      <c r="AF49" s="196">
        <f>'Quarterly historicals'!AF195-Q_Financials!AF48</f>
        <v>436.71899999999994</v>
      </c>
      <c r="AG49" s="196">
        <f>'Quarterly historicals'!AG195-Q_Financials!AG48</f>
        <v>572.15649999999994</v>
      </c>
      <c r="AH49" s="196">
        <f>'Quarterly historicals'!AH195-Q_Financials!AH48</f>
        <v>774.25985000000003</v>
      </c>
      <c r="AI49" s="196">
        <f>'Quarterly historicals'!AI195-Q_Financials!AI48</f>
        <v>557.70920000000001</v>
      </c>
      <c r="AJ49" s="196">
        <f>'Quarterly historicals'!AJ195-Q_Financials!AJ48</f>
        <v>545.94144999999992</v>
      </c>
      <c r="AK49" s="202">
        <f>'Quarterly historicals'!AK195-Q_Financials!AK48</f>
        <v>1011.8179</v>
      </c>
      <c r="AL49" s="202">
        <f>'Quarterly historicals'!AL195-Q_Financials!AL48</f>
        <v>961.11359999999991</v>
      </c>
      <c r="AM49" s="202">
        <f>'Quarterly historicals'!AM195+'Quarterly historicals'!AM196-Q_Financials!AM48</f>
        <v>792.71915000000001</v>
      </c>
      <c r="AN49" s="202">
        <f>'Quarterly historicals'!AN195+'Quarterly historicals'!AN196-Q_Financials!AN48</f>
        <v>625.33564999999999</v>
      </c>
      <c r="AO49" s="202">
        <f>'Quarterly historicals'!AO195+'Quarterly historicals'!AO196-Q_Financials!AO48</f>
        <v>970.0711</v>
      </c>
      <c r="AP49" s="202">
        <f>'Quarterly historicals'!AP195+'Quarterly historicals'!AP196-Q_Financials!AP48</f>
        <v>470.32720000000006</v>
      </c>
      <c r="AQ49" s="202">
        <f>'Quarterly historicals'!AQ195+'Quarterly historicals'!AQ196-Q_Financials!AQ48</f>
        <v>765.01464999999996</v>
      </c>
      <c r="AR49" s="202">
        <f>'Quarterly historicals'!AR195+'Quarterly historicals'!AR196-Q_Financials!AR48</f>
        <v>734.09029999999996</v>
      </c>
      <c r="AS49" s="202">
        <f>'Quarterly historicals'!AS195+'Quarterly historicals'!AS196-Q_Financials!AS48</f>
        <v>1021.97095</v>
      </c>
      <c r="AT49" s="355">
        <f>'Quarterly historicals'!AT195+'Quarterly historicals'!AT196-Q_Financials!AT48</f>
        <v>1182.0995</v>
      </c>
      <c r="AU49" s="357">
        <f>AU112-AU48</f>
        <v>976.8859678725247</v>
      </c>
      <c r="AV49" s="357">
        <f t="shared" ref="AV49:BY49" si="347">AV112-AV48</f>
        <v>1176.5974181890688</v>
      </c>
      <c r="AW49" s="357">
        <f>AW112-AW48</f>
        <v>1094.3291864327459</v>
      </c>
      <c r="AX49" s="357">
        <f>AX112-AX48</f>
        <v>957.09671269038267</v>
      </c>
      <c r="AY49" s="357">
        <f t="shared" si="347"/>
        <v>948.85848672577072</v>
      </c>
      <c r="AZ49" s="357">
        <f t="shared" si="347"/>
        <v>1155.8915352978295</v>
      </c>
      <c r="BA49" s="357">
        <f t="shared" si="347"/>
        <v>1345.3970279968323</v>
      </c>
      <c r="BB49" s="357">
        <f t="shared" si="347"/>
        <v>1199.809538362603</v>
      </c>
      <c r="BC49" s="357">
        <f t="shared" si="347"/>
        <v>1196.1618297128634</v>
      </c>
      <c r="BD49" s="357">
        <f t="shared" si="347"/>
        <v>1382.2953120479333</v>
      </c>
      <c r="BE49" s="357">
        <f t="shared" si="347"/>
        <v>1396.9981616888424</v>
      </c>
      <c r="BF49" s="357">
        <f t="shared" si="347"/>
        <v>1265.5683877753281</v>
      </c>
      <c r="BG49" s="357">
        <f t="shared" si="347"/>
        <v>1299.9049598906943</v>
      </c>
      <c r="BH49" s="357">
        <f t="shared" si="347"/>
        <v>1545.2707395789507</v>
      </c>
      <c r="BI49" s="357">
        <f t="shared" si="347"/>
        <v>1506.4371362672609</v>
      </c>
      <c r="BJ49" s="357">
        <f t="shared" si="347"/>
        <v>1347.2972201622315</v>
      </c>
      <c r="BK49" s="357">
        <f t="shared" si="347"/>
        <v>1411.371069309665</v>
      </c>
      <c r="BL49" s="357">
        <f t="shared" si="347"/>
        <v>1685.4341411228941</v>
      </c>
      <c r="BM49" s="357">
        <f t="shared" si="347"/>
        <v>1683.3801854581054</v>
      </c>
      <c r="BN49" s="357">
        <f t="shared" si="347"/>
        <v>1426.9704510452882</v>
      </c>
      <c r="BO49" s="357">
        <f t="shared" si="347"/>
        <v>1480.9685005412746</v>
      </c>
      <c r="BP49" s="357">
        <f t="shared" si="347"/>
        <v>1735.2132311325051</v>
      </c>
      <c r="BQ49" s="357">
        <f t="shared" si="347"/>
        <v>1631.7893833419228</v>
      </c>
      <c r="BR49" s="357">
        <f t="shared" si="347"/>
        <v>1193.7943039362221</v>
      </c>
      <c r="BS49" s="357">
        <f t="shared" si="347"/>
        <v>1172.4245842538569</v>
      </c>
      <c r="BT49" s="357">
        <f t="shared" si="347"/>
        <v>1369.5326114252941</v>
      </c>
      <c r="BU49" s="357">
        <f t="shared" si="347"/>
        <v>1383.2254577390538</v>
      </c>
      <c r="BV49" s="357">
        <f t="shared" si="347"/>
        <v>959.03937619286603</v>
      </c>
      <c r="BW49" s="357">
        <f t="shared" si="347"/>
        <v>1023.4266843431944</v>
      </c>
      <c r="BX49" s="357">
        <f t="shared" si="347"/>
        <v>1228.0767517943934</v>
      </c>
      <c r="BY49" s="357">
        <f t="shared" si="347"/>
        <v>1079.7299607307696</v>
      </c>
      <c r="BZ49" s="198"/>
    </row>
    <row r="50" spans="1:80">
      <c r="A50" s="206" t="s">
        <v>91</v>
      </c>
      <c r="B50" s="196">
        <f>'Quarterly historicals'!B197</f>
        <v>25.184000000000001</v>
      </c>
      <c r="C50" s="196">
        <f>'Quarterly historicals'!C197</f>
        <v>54.017000000000003</v>
      </c>
      <c r="D50" s="196">
        <f>'Quarterly historicals'!D197</f>
        <v>42.670999999999999</v>
      </c>
      <c r="E50" s="196">
        <f>'Quarterly historicals'!E197</f>
        <v>22.707999999999998</v>
      </c>
      <c r="F50" s="196">
        <f>'Quarterly historicals'!F197</f>
        <v>41.273000000000003</v>
      </c>
      <c r="G50" s="196">
        <f>'Quarterly historicals'!G197</f>
        <v>34.21</v>
      </c>
      <c r="H50" s="196">
        <f>'Quarterly historicals'!H197</f>
        <v>26.902000000000001</v>
      </c>
      <c r="I50" s="196">
        <f>'Quarterly historicals'!I197</f>
        <v>94.224999999999994</v>
      </c>
      <c r="J50" s="196">
        <f>'Quarterly historicals'!J197</f>
        <v>41.875999999999998</v>
      </c>
      <c r="K50" s="196">
        <f>'Quarterly historicals'!K197</f>
        <v>48.982999999999997</v>
      </c>
      <c r="L50" s="196">
        <f>'Quarterly historicals'!L197</f>
        <v>35.475999999999999</v>
      </c>
      <c r="M50" s="196">
        <f>'Quarterly historicals'!M197</f>
        <v>45.543999999999997</v>
      </c>
      <c r="N50" s="196">
        <f>'Quarterly historicals'!N197</f>
        <v>27.882999999999999</v>
      </c>
      <c r="O50" s="196">
        <f>'Quarterly historicals'!O197</f>
        <v>71.97</v>
      </c>
      <c r="P50" s="196">
        <f>'Quarterly historicals'!P197</f>
        <v>62.804000000000002</v>
      </c>
      <c r="Q50" s="196">
        <f>'Quarterly historicals'!Q197</f>
        <v>41.628</v>
      </c>
      <c r="R50" s="196">
        <f>'Quarterly historicals'!R197</f>
        <v>59.459000000000003</v>
      </c>
      <c r="S50" s="196">
        <f>'Quarterly historicals'!S197</f>
        <v>72.236000000000004</v>
      </c>
      <c r="T50" s="196">
        <f>'Quarterly historicals'!T197</f>
        <v>77.081999999999994</v>
      </c>
      <c r="U50" s="196">
        <f>'Quarterly historicals'!U197</f>
        <v>59.673000000000002</v>
      </c>
      <c r="V50" s="196">
        <f>'Quarterly historicals'!V197</f>
        <v>55.308999999999997</v>
      </c>
      <c r="W50" s="196">
        <f>'Quarterly historicals'!W197</f>
        <v>62.49</v>
      </c>
      <c r="X50" s="196">
        <f>'Quarterly historicals'!X197</f>
        <v>63.686</v>
      </c>
      <c r="Y50" s="196">
        <f>'Quarterly historicals'!Y197</f>
        <v>38.399000000000001</v>
      </c>
      <c r="Z50" s="196">
        <f>'Quarterly historicals'!Z197</f>
        <v>64.602000000000004</v>
      </c>
      <c r="AA50" s="196">
        <f>'Quarterly historicals'!AA197</f>
        <v>128.899</v>
      </c>
      <c r="AB50" s="196">
        <f>'Quarterly historicals'!AB197</f>
        <v>117.80500000000001</v>
      </c>
      <c r="AC50" s="196">
        <f>'Quarterly historicals'!AC197</f>
        <v>62.667000000000002</v>
      </c>
      <c r="AD50" s="196">
        <f>'Quarterly historicals'!AD197</f>
        <v>115.60299999999999</v>
      </c>
      <c r="AE50" s="196">
        <f>'Quarterly historicals'!AE197</f>
        <v>163.821</v>
      </c>
      <c r="AF50" s="195">
        <f>'Quarterly historicals'!AF197</f>
        <v>154.02600000000001</v>
      </c>
      <c r="AG50" s="195">
        <f>'Quarterly historicals'!AG197</f>
        <v>95.051000000000002</v>
      </c>
      <c r="AH50" s="195">
        <f>'Quarterly historicals'!AH197</f>
        <v>172.19300000000001</v>
      </c>
      <c r="AI50" s="195">
        <f>'Quarterly historicals'!AI197</f>
        <v>170.078</v>
      </c>
      <c r="AJ50" s="195">
        <f>'Quarterly historicals'!AJ197</f>
        <v>231.72200000000001</v>
      </c>
      <c r="AK50" s="202">
        <f>'Quarterly historicals'!AK197</f>
        <v>168.03100000000001</v>
      </c>
      <c r="AL50" s="202">
        <f>'Quarterly historicals'!AL197</f>
        <v>155.40199999999999</v>
      </c>
      <c r="AM50" s="202">
        <f>'Quarterly historicals'!AM197</f>
        <v>218.637</v>
      </c>
      <c r="AN50" s="202">
        <f>'Quarterly historicals'!AN197</f>
        <v>249.09399999999999</v>
      </c>
      <c r="AO50" s="202">
        <f>'Quarterly historicals'!AO197</f>
        <v>116.965</v>
      </c>
      <c r="AP50" s="202">
        <f>'Quarterly historicals'!AP197</f>
        <v>160.38</v>
      </c>
      <c r="AQ50" s="202">
        <f>'Quarterly historicals'!AQ197</f>
        <v>144.90899999999999</v>
      </c>
      <c r="AR50" s="202">
        <f>'Quarterly historicals'!AR197</f>
        <v>249.25700000000001</v>
      </c>
      <c r="AS50" s="202">
        <f>'Quarterly historicals'!AS197</f>
        <v>169.12899999999999</v>
      </c>
      <c r="AT50" s="355">
        <f>'Quarterly historicals'!AT197</f>
        <v>303.72300000000001</v>
      </c>
      <c r="AU50" s="357">
        <f>Q_BS!AO17</f>
        <v>264.63174672128207</v>
      </c>
      <c r="AV50" s="357">
        <f>Q_BS!AP17</f>
        <v>309.1617414935609</v>
      </c>
      <c r="AW50" s="357">
        <f>Q_BS!AQ17</f>
        <v>199.15102765726729</v>
      </c>
      <c r="AX50" s="357">
        <f>Q_BS!AR17</f>
        <v>382.41920742544266</v>
      </c>
      <c r="AY50" s="357">
        <f>Q_BS!AS17</f>
        <v>304.2447269053871</v>
      </c>
      <c r="AZ50" s="357">
        <f>Q_BS!AT17</f>
        <v>347.88389387405186</v>
      </c>
      <c r="BA50" s="357">
        <f>Q_BS!AU17</f>
        <v>165.71816371621969</v>
      </c>
      <c r="BB50" s="357">
        <f>Q_BS!AV17</f>
        <v>452.0396396237926</v>
      </c>
      <c r="BC50" s="357">
        <f>Q_BS!AW17</f>
        <v>362.92904418423973</v>
      </c>
      <c r="BD50" s="357">
        <f>Q_BS!AX17</f>
        <v>408.44191657096087</v>
      </c>
      <c r="BE50" s="357">
        <f>Q_BS!AY17</f>
        <v>204.48283808420524</v>
      </c>
      <c r="BF50" s="357">
        <f>Q_BS!AZ17</f>
        <v>583.65463174942556</v>
      </c>
      <c r="BG50" s="357">
        <f>Q_BS!BA17</f>
        <v>452.51999319374295</v>
      </c>
      <c r="BH50" s="357">
        <f>Q_BS!BB17</f>
        <v>504.57566015765815</v>
      </c>
      <c r="BI50" s="357">
        <f>Q_BS!BC17</f>
        <v>261.70149391215585</v>
      </c>
      <c r="BJ50" s="357">
        <f>Q_BS!BD17</f>
        <v>682.29241564807614</v>
      </c>
      <c r="BK50" s="357">
        <f>Q_BS!BE17</f>
        <v>524.4868408090548</v>
      </c>
      <c r="BL50" s="357">
        <f>Q_BS!BF17</f>
        <v>578.56822708330583</v>
      </c>
      <c r="BM50" s="357">
        <f>Q_BS!BG17</f>
        <v>309.63945742422618</v>
      </c>
      <c r="BN50" s="357">
        <f>Q_BS!BH17</f>
        <v>673.83982387026322</v>
      </c>
      <c r="BO50" s="357">
        <f>Q_BS!BI17</f>
        <v>545.18299674038155</v>
      </c>
      <c r="BP50" s="357">
        <f>Q_BS!BJ17</f>
        <v>592.29611284363523</v>
      </c>
      <c r="BQ50" s="357">
        <f>Q_BS!BK17</f>
        <v>336.97709812790339</v>
      </c>
      <c r="BR50" s="357">
        <f>Q_BS!BL17</f>
        <v>681.82258459373395</v>
      </c>
      <c r="BS50" s="357">
        <f>Q_BS!BM17</f>
        <v>575.59201179569368</v>
      </c>
      <c r="BT50" s="357">
        <f>Q_BS!BN17</f>
        <v>617.48006547935552</v>
      </c>
      <c r="BU50" s="357">
        <f>Q_BS!BO17</f>
        <v>365.3891812005125</v>
      </c>
      <c r="BV50" s="357">
        <f>Q_BS!BP17</f>
        <v>825.12915979832269</v>
      </c>
      <c r="BW50" s="357">
        <f>Q_BS!BQ17</f>
        <v>683.64822575821267</v>
      </c>
      <c r="BX50" s="357">
        <f>Q_BS!BR17</f>
        <v>731.04732881569259</v>
      </c>
      <c r="BY50" s="357">
        <f>Q_BS!BS17</f>
        <v>444.20870113916521</v>
      </c>
      <c r="BZ50" s="198"/>
    </row>
    <row r="51" spans="1:80">
      <c r="A51" s="206" t="s">
        <v>406</v>
      </c>
      <c r="B51" s="196">
        <f>'Quarterly historicals'!B198</f>
        <v>98.257999999999996</v>
      </c>
      <c r="C51" s="196">
        <f>'Quarterly historicals'!C198</f>
        <v>355.16500000000002</v>
      </c>
      <c r="D51" s="196">
        <f>'Quarterly historicals'!D198</f>
        <v>251.108</v>
      </c>
      <c r="E51" s="196">
        <f>'Quarterly historicals'!E198</f>
        <v>168.89</v>
      </c>
      <c r="F51" s="196">
        <f>'Quarterly historicals'!F198</f>
        <v>215.65700000000001</v>
      </c>
      <c r="G51" s="196">
        <f>'Quarterly historicals'!G198</f>
        <v>316.80399999999997</v>
      </c>
      <c r="H51" s="196">
        <f>'Quarterly historicals'!H198</f>
        <v>313.15100000000001</v>
      </c>
      <c r="I51" s="196">
        <f>'Quarterly historicals'!I198</f>
        <v>173.625</v>
      </c>
      <c r="J51" s="196">
        <f>'Quarterly historicals'!J198</f>
        <v>261.125</v>
      </c>
      <c r="K51" s="196">
        <f>'Quarterly historicals'!K198</f>
        <v>405.11200000000002</v>
      </c>
      <c r="L51" s="196">
        <f>'Quarterly historicals'!L198</f>
        <v>467.77600000000001</v>
      </c>
      <c r="M51" s="196">
        <f>'Quarterly historicals'!M198</f>
        <v>296.404</v>
      </c>
      <c r="N51" s="196">
        <f>'Quarterly historicals'!N198</f>
        <v>353.05</v>
      </c>
      <c r="O51" s="196">
        <f>'Quarterly historicals'!O198</f>
        <v>430.43</v>
      </c>
      <c r="P51" s="196">
        <f>'Quarterly historicals'!P198</f>
        <v>447.58100000000002</v>
      </c>
      <c r="Q51" s="196">
        <f>'Quarterly historicals'!Q198</f>
        <v>105.069</v>
      </c>
      <c r="R51" s="196">
        <f>'Quarterly historicals'!R198</f>
        <v>340.30599999999998</v>
      </c>
      <c r="S51" s="196">
        <f>'Quarterly historicals'!S198</f>
        <v>510.65699999999998</v>
      </c>
      <c r="T51" s="196">
        <f>'Quarterly historicals'!T198</f>
        <v>456.43400000000003</v>
      </c>
      <c r="U51" s="196">
        <f>'Quarterly historicals'!U198</f>
        <v>139.10599999999999</v>
      </c>
      <c r="V51" s="196">
        <f>'Quarterly historicals'!V198</f>
        <v>216.392</v>
      </c>
      <c r="W51" s="196">
        <f>'Quarterly historicals'!W198</f>
        <v>443.851</v>
      </c>
      <c r="X51" s="196">
        <f>'Quarterly historicals'!X198</f>
        <v>384.00599999999997</v>
      </c>
      <c r="Y51" s="196">
        <f>'Quarterly historicals'!Y198</f>
        <v>137.375</v>
      </c>
      <c r="Z51" s="196">
        <f>'Quarterly historicals'!Z198</f>
        <v>199.28899999999999</v>
      </c>
      <c r="AA51" s="196">
        <f>'Quarterly historicals'!AA198</f>
        <v>390.80200000000002</v>
      </c>
      <c r="AB51" s="196">
        <f>'Quarterly historicals'!AB198</f>
        <v>478.63</v>
      </c>
      <c r="AC51" s="196">
        <f>'Quarterly historicals'!AC198</f>
        <v>148.661</v>
      </c>
      <c r="AD51" s="196">
        <f>'Quarterly historicals'!AD198</f>
        <v>205.24700000000001</v>
      </c>
      <c r="AE51" s="196">
        <f>'Quarterly historicals'!AE198</f>
        <v>374.17399999999998</v>
      </c>
      <c r="AF51" s="195">
        <f>'Quarterly historicals'!AF198</f>
        <v>422.709</v>
      </c>
      <c r="AG51" s="195">
        <f>'Quarterly historicals'!AG198</f>
        <v>145.02799999999999</v>
      </c>
      <c r="AH51" s="195">
        <f>'Quarterly historicals'!AH198</f>
        <v>328.06200000000001</v>
      </c>
      <c r="AI51" s="195">
        <f>'Quarterly historicals'!AI198</f>
        <v>740.68399999999997</v>
      </c>
      <c r="AJ51" s="195">
        <f>'Quarterly historicals'!AJ198</f>
        <v>690.79200000000003</v>
      </c>
      <c r="AK51" s="202">
        <f>'Quarterly historicals'!AK198</f>
        <v>212.97499999999999</v>
      </c>
      <c r="AL51" s="202">
        <f>'Quarterly historicals'!AL198</f>
        <v>550.15899999999999</v>
      </c>
      <c r="AM51" s="202">
        <f>'Quarterly historicals'!AM198</f>
        <v>797.13900000000001</v>
      </c>
      <c r="AN51" s="202">
        <f>'Quarterly historicals'!AN198</f>
        <v>759.49900000000002</v>
      </c>
      <c r="AO51" s="202">
        <f>'Quarterly historicals'!AO198</f>
        <v>270.35199999999998</v>
      </c>
      <c r="AP51" s="202">
        <f>'Quarterly historicals'!AP198</f>
        <v>556.52700000000004</v>
      </c>
      <c r="AQ51" s="202">
        <f>'Quarterly historicals'!AQ198</f>
        <v>889.82399999999996</v>
      </c>
      <c r="AR51" s="202">
        <f>'Quarterly historicals'!AR198</f>
        <v>784.94600000000003</v>
      </c>
      <c r="AS51" s="202">
        <f>'Quarterly historicals'!AS198</f>
        <v>256.57400000000001</v>
      </c>
      <c r="AT51" s="355">
        <f>'Quarterly historicals'!AT198</f>
        <v>590.60400000000004</v>
      </c>
      <c r="AU51" s="357">
        <f>Q_BS!AO20</f>
        <v>1147.8776208561933</v>
      </c>
      <c r="AV51" s="357">
        <f>Q_BS!AP20</f>
        <v>934.68484489120999</v>
      </c>
      <c r="AW51" s="357">
        <f>Q_BS!AQ20</f>
        <v>310.10826607176898</v>
      </c>
      <c r="AX51" s="357">
        <f>Q_BS!AR20</f>
        <v>960.70189411542674</v>
      </c>
      <c r="AY51" s="357">
        <f>Q_BS!AS20</f>
        <v>1221.5158504738433</v>
      </c>
      <c r="AZ51" s="357">
        <f>Q_BS!AT20</f>
        <v>997.81939457291458</v>
      </c>
      <c r="BA51" s="357">
        <f>Q_BS!AU20</f>
        <v>275.49082734678495</v>
      </c>
      <c r="BB51" s="357">
        <f>Q_BS!AV20</f>
        <v>1040.9731755906291</v>
      </c>
      <c r="BC51" s="357">
        <f>Q_BS!AW20</f>
        <v>1316.8012299429436</v>
      </c>
      <c r="BD51" s="357">
        <f>Q_BS!AX20</f>
        <v>1079.0044662193993</v>
      </c>
      <c r="BE51" s="357">
        <f>Q_BS!AY20</f>
        <v>305.53234906692978</v>
      </c>
      <c r="BF51" s="357">
        <f>Q_BS!AZ20</f>
        <v>1204.3688038362816</v>
      </c>
      <c r="BG51" s="357">
        <f>Q_BS!BA20</f>
        <v>1515.8888838057603</v>
      </c>
      <c r="BH51" s="357">
        <f>Q_BS!BB20</f>
        <v>1245.9158475817374</v>
      </c>
      <c r="BI51" s="357">
        <f>Q_BS!BC20</f>
        <v>369.1033592046997</v>
      </c>
      <c r="BJ51" s="357">
        <f>Q_BS!BD20</f>
        <v>1313.2313303089943</v>
      </c>
      <c r="BK51" s="357">
        <f>Q_BS!BE20</f>
        <v>1644.8680712022806</v>
      </c>
      <c r="BL51" s="357">
        <f>Q_BS!BF20</f>
        <v>1355.9385058499502</v>
      </c>
      <c r="BM51" s="357">
        <f>Q_BS!BG20</f>
        <v>414.82598764304885</v>
      </c>
      <c r="BN51" s="357">
        <f>Q_BS!BH20</f>
        <v>1314.12709952562</v>
      </c>
      <c r="BO51" s="357">
        <f>Q_BS!BI20</f>
        <v>1638.1809833459115</v>
      </c>
      <c r="BP51" s="357">
        <f>Q_BS!BJ20</f>
        <v>1354.3431408136662</v>
      </c>
      <c r="BQ51" s="357">
        <f>Q_BS!BK20</f>
        <v>427.11113287558578</v>
      </c>
      <c r="BR51" s="357">
        <f>Q_BS!BL20</f>
        <v>1329.5951515395052</v>
      </c>
      <c r="BS51" s="357">
        <f>Q_BS!BM20</f>
        <v>1649.7925894146902</v>
      </c>
      <c r="BT51" s="357">
        <f>Q_BS!BN20</f>
        <v>1367.8089344280218</v>
      </c>
      <c r="BU51" s="357">
        <f>Q_BS!BO20</f>
        <v>439.04975119300758</v>
      </c>
      <c r="BV51" s="357">
        <f>Q_BS!BP20</f>
        <v>1330.619134499131</v>
      </c>
      <c r="BW51" s="357">
        <f>Q_BS!BQ20</f>
        <v>1643.6069985991371</v>
      </c>
      <c r="BX51" s="357">
        <f>Q_BS!BR20</f>
        <v>1366.4559748810987</v>
      </c>
      <c r="BY51" s="357">
        <f>Q_BS!BS20</f>
        <v>455.72977203172456</v>
      </c>
      <c r="BZ51" s="198"/>
    </row>
    <row r="52" spans="1:80">
      <c r="A52" s="206" t="s">
        <v>92</v>
      </c>
      <c r="B52" s="196">
        <f>'Quarterly historicals'!B199</f>
        <v>16.896000000000001</v>
      </c>
      <c r="C52" s="196">
        <f>'Quarterly historicals'!C199</f>
        <v>31.49</v>
      </c>
      <c r="D52" s="196">
        <f>'Quarterly historicals'!D199</f>
        <v>35.686999999999998</v>
      </c>
      <c r="E52" s="196">
        <f>'Quarterly historicals'!E199</f>
        <v>42.869</v>
      </c>
      <c r="F52" s="196">
        <f>'Quarterly historicals'!F199</f>
        <v>51.101999999999997</v>
      </c>
      <c r="G52" s="196">
        <f>'Quarterly historicals'!G199</f>
        <v>60.512999999999998</v>
      </c>
      <c r="H52" s="196">
        <f>'Quarterly historicals'!H199</f>
        <v>65.265000000000001</v>
      </c>
      <c r="I52" s="196">
        <f>'Quarterly historicals'!I199</f>
        <v>57.356000000000002</v>
      </c>
      <c r="J52" s="196">
        <f>'Quarterly historicals'!J199</f>
        <v>51.18</v>
      </c>
      <c r="K52" s="196">
        <f>'Quarterly historicals'!K199</f>
        <v>62.878999999999998</v>
      </c>
      <c r="L52" s="196">
        <f>'Quarterly historicals'!L199</f>
        <v>58.069000000000003</v>
      </c>
      <c r="M52" s="196">
        <f>'Quarterly historicals'!M199</f>
        <v>63.872</v>
      </c>
      <c r="N52" s="196">
        <f>'Quarterly historicals'!N199</f>
        <v>73.995000000000005</v>
      </c>
      <c r="O52" s="196">
        <f>'Quarterly historicals'!O199</f>
        <v>11.359</v>
      </c>
      <c r="P52" s="196">
        <f>'Quarterly historicals'!P199</f>
        <v>10.537000000000001</v>
      </c>
      <c r="Q52" s="196">
        <f>'Quarterly historicals'!Q199</f>
        <v>6.0860000000000003</v>
      </c>
      <c r="R52" s="196">
        <f>'Quarterly historicals'!R199</f>
        <v>11.579000000000001</v>
      </c>
      <c r="S52" s="196">
        <f>'Quarterly historicals'!S199</f>
        <v>13.789</v>
      </c>
      <c r="T52" s="196">
        <f>'Quarterly historicals'!T199</f>
        <v>8.2870000000000008</v>
      </c>
      <c r="U52" s="196">
        <f>'Quarterly historicals'!U199</f>
        <v>11.658999999999999</v>
      </c>
      <c r="V52" s="196">
        <f>'Quarterly historicals'!V199</f>
        <v>36.234999999999999</v>
      </c>
      <c r="W52" s="196">
        <f>'Quarterly historicals'!W199</f>
        <v>5.8010000000000002</v>
      </c>
      <c r="X52" s="196">
        <f>'Quarterly historicals'!X199</f>
        <v>44.436999999999998</v>
      </c>
      <c r="Y52" s="196">
        <f>'Quarterly historicals'!Y199</f>
        <v>16.614000000000001</v>
      </c>
      <c r="Z52" s="196">
        <f>'Quarterly historicals'!Z199</f>
        <v>62.588999999999999</v>
      </c>
      <c r="AA52" s="196">
        <f>'Quarterly historicals'!AA199</f>
        <v>32.545000000000002</v>
      </c>
      <c r="AB52" s="196">
        <f>'Quarterly historicals'!AB199</f>
        <v>55.722999999999999</v>
      </c>
      <c r="AC52" s="196">
        <f>'Quarterly historicals'!AC199</f>
        <v>84.998000000000005</v>
      </c>
      <c r="AD52" s="196">
        <f>'Quarterly historicals'!AD199</f>
        <v>85.873999999999995</v>
      </c>
      <c r="AE52" s="196">
        <f>'Quarterly historicals'!AE199</f>
        <v>21.672999999999998</v>
      </c>
      <c r="AF52" s="195">
        <f>'Quarterly historicals'!AF199</f>
        <v>20.228000000000002</v>
      </c>
      <c r="AG52" s="195">
        <f>'Quarterly historicals'!AG199</f>
        <v>37.466999999999999</v>
      </c>
      <c r="AH52" s="195">
        <f>'Quarterly historicals'!AH199</f>
        <v>30.155000000000001</v>
      </c>
      <c r="AI52" s="195">
        <f>'Quarterly historicals'!AI199</f>
        <v>25.247</v>
      </c>
      <c r="AJ52" s="195">
        <f>'Quarterly historicals'!AJ199</f>
        <v>20.696000000000002</v>
      </c>
      <c r="AK52" s="202">
        <f>'Quarterly historicals'!AK199</f>
        <v>68.718000000000004</v>
      </c>
      <c r="AL52" s="202">
        <f>'Quarterly historicals'!AL199</f>
        <v>83.635999999999996</v>
      </c>
      <c r="AM52" s="202">
        <f>'Quarterly historicals'!AM199</f>
        <v>94.132999999999996</v>
      </c>
      <c r="AN52" s="202">
        <f>'Quarterly historicals'!AN199</f>
        <v>89.763000000000005</v>
      </c>
      <c r="AO52" s="202">
        <f>'Quarterly historicals'!AO199</f>
        <v>119.78100000000001</v>
      </c>
      <c r="AP52" s="202">
        <f>'Quarterly historicals'!AP199</f>
        <v>121.256</v>
      </c>
      <c r="AQ52" s="202">
        <f>'Quarterly historicals'!AQ199</f>
        <v>123.762</v>
      </c>
      <c r="AR52" s="202">
        <f>'Quarterly historicals'!AR199</f>
        <v>7.9000000000000001E-2</v>
      </c>
      <c r="AS52" s="202">
        <f>'Quarterly historicals'!AS199</f>
        <v>11.231999999999999</v>
      </c>
      <c r="AT52" s="355">
        <f>'Quarterly historicals'!AT199</f>
        <v>4.8849999999999998</v>
      </c>
      <c r="AU52" s="357">
        <f>Q_BS!AO23</f>
        <v>138.52883011976652</v>
      </c>
      <c r="AV52" s="357">
        <f>Q_BS!AP23</f>
        <v>8.8425991657063996E-2</v>
      </c>
      <c r="AW52" s="357">
        <f>Q_BS!AQ23</f>
        <v>12.439628744005896</v>
      </c>
      <c r="AX52" s="357">
        <f>Q_BS!AR23</f>
        <v>6.6808987875794426</v>
      </c>
      <c r="AY52" s="357">
        <f>Q_BS!AS23</f>
        <v>145.86585000064414</v>
      </c>
      <c r="AZ52" s="357">
        <f>Q_BS!AT23</f>
        <v>9.3109372424903344E-2</v>
      </c>
      <c r="BA52" s="357">
        <f>Q_BS!AU23</f>
        <v>10.485594145480178</v>
      </c>
      <c r="BB52" s="357">
        <f>Q_BS!AV23</f>
        <v>7.1271181305450533</v>
      </c>
      <c r="BC52" s="357">
        <f>Q_BS!AW23</f>
        <v>155.60827625464071</v>
      </c>
      <c r="BD52" s="357">
        <f>Q_BS!AX23</f>
        <v>9.9328176856519887E-2</v>
      </c>
      <c r="BE52" s="357">
        <f>Q_BS!AY23</f>
        <v>11.063007983766187</v>
      </c>
      <c r="BF52" s="357">
        <f>Q_BS!AZ23</f>
        <v>8.1201875764251259</v>
      </c>
      <c r="BG52" s="357">
        <f>Q_BS!BA23</f>
        <v>177.29022705776731</v>
      </c>
      <c r="BH52" s="357">
        <f>Q_BS!BB23</f>
        <v>0.11316824176696899</v>
      </c>
      <c r="BI52" s="357">
        <f>Q_BS!BC23</f>
        <v>12.744541418567584</v>
      </c>
      <c r="BJ52" s="357">
        <f>Q_BS!BD23</f>
        <v>8.7212908844861978</v>
      </c>
      <c r="BK52" s="357">
        <f>Q_BS!BE23</f>
        <v>190.41427634459905</v>
      </c>
      <c r="BL52" s="357">
        <f>Q_BS!BF23</f>
        <v>0.12154561037494001</v>
      </c>
      <c r="BM52" s="357">
        <f>Q_BS!BG23</f>
        <v>13.687966177456588</v>
      </c>
      <c r="BN52" s="357">
        <f>Q_BS!BH23</f>
        <v>8.5982031924756459</v>
      </c>
      <c r="BO52" s="357">
        <f>Q_BS!BI23</f>
        <v>187.72686984577356</v>
      </c>
      <c r="BP52" s="357">
        <f>Q_BS!BJ23</f>
        <v>0.1198301798437009</v>
      </c>
      <c r="BQ52" s="357">
        <f>Q_BS!BK23</f>
        <v>13.494781454298376</v>
      </c>
      <c r="BR52" s="357">
        <f>Q_BS!BL23</f>
        <v>8.5726581100461772</v>
      </c>
      <c r="BS52" s="357">
        <f>Q_BS!BM23</f>
        <v>187.16913722919236</v>
      </c>
      <c r="BT52" s="357">
        <f>Q_BS!BN23</f>
        <v>0.11947416687760534</v>
      </c>
      <c r="BU52" s="357">
        <f>Q_BS!BO23</f>
        <v>13.306835017520037</v>
      </c>
      <c r="BV52" s="357">
        <f>Q_BS!BP23</f>
        <v>8.4560549875467768</v>
      </c>
      <c r="BW52" s="357">
        <f>Q_BS!BQ23</f>
        <v>184.62331007076796</v>
      </c>
      <c r="BX52" s="357">
        <f>Q_BS!BR23</f>
        <v>0.11784910954566559</v>
      </c>
      <c r="BY52" s="357">
        <f>Q_BS!BS23</f>
        <v>13.271681474372974</v>
      </c>
      <c r="BZ52" s="198"/>
      <c r="CA52" s="198"/>
      <c r="CB52" s="198"/>
    </row>
    <row r="53" spans="1:80">
      <c r="A53" s="206" t="s">
        <v>93</v>
      </c>
      <c r="B53" s="196">
        <f>'Quarterly historicals'!B200</f>
        <v>0</v>
      </c>
      <c r="C53" s="196">
        <f>'Quarterly historicals'!C200</f>
        <v>0</v>
      </c>
      <c r="D53" s="196">
        <f>'Quarterly historicals'!D200</f>
        <v>1.7999999999999999E-2</v>
      </c>
      <c r="E53" s="196">
        <f>'Quarterly historicals'!E200</f>
        <v>0</v>
      </c>
      <c r="F53" s="196">
        <f>'Quarterly historicals'!F200</f>
        <v>0</v>
      </c>
      <c r="G53" s="196">
        <f>'Quarterly historicals'!G200</f>
        <v>0</v>
      </c>
      <c r="H53" s="196">
        <f>'Quarterly historicals'!H200</f>
        <v>0</v>
      </c>
      <c r="I53" s="196">
        <f>'Quarterly historicals'!I200</f>
        <v>0</v>
      </c>
      <c r="J53" s="196">
        <f>'Quarterly historicals'!J200</f>
        <v>0</v>
      </c>
      <c r="K53" s="196">
        <f>'Quarterly historicals'!K200</f>
        <v>0</v>
      </c>
      <c r="L53" s="196">
        <f>'Quarterly historicals'!L200</f>
        <v>0</v>
      </c>
      <c r="M53" s="196">
        <f>'Quarterly historicals'!M200</f>
        <v>0</v>
      </c>
      <c r="N53" s="196">
        <f>'Quarterly historicals'!N200</f>
        <v>0</v>
      </c>
      <c r="O53" s="196">
        <f>'Quarterly historicals'!O200</f>
        <v>56.883000000000003</v>
      </c>
      <c r="P53" s="196">
        <f>'Quarterly historicals'!P200</f>
        <v>74.941999999999993</v>
      </c>
      <c r="Q53" s="196">
        <f>'Quarterly historicals'!Q200</f>
        <v>71.774000000000001</v>
      </c>
      <c r="R53" s="196">
        <f>'Quarterly historicals'!R200</f>
        <v>77.320999999999998</v>
      </c>
      <c r="S53" s="196">
        <f>'Quarterly historicals'!S200</f>
        <v>81.855999999999995</v>
      </c>
      <c r="T53" s="196">
        <f>'Quarterly historicals'!T200</f>
        <v>44.314999999999998</v>
      </c>
      <c r="U53" s="196">
        <f>'Quarterly historicals'!U200</f>
        <v>231.93320799999998</v>
      </c>
      <c r="V53" s="196">
        <f>'Quarterly historicals'!V200</f>
        <v>214.47930399999998</v>
      </c>
      <c r="W53" s="196">
        <f>'Quarterly historicals'!W200</f>
        <v>269.90098</v>
      </c>
      <c r="X53" s="196">
        <f>'Quarterly historicals'!X200</f>
        <v>300.92961200000002</v>
      </c>
      <c r="Y53" s="196">
        <f>'Quarterly historicals'!Y200</f>
        <v>341.26037599999995</v>
      </c>
      <c r="Z53" s="196">
        <f>'Quarterly historicals'!Z200</f>
        <v>353.87330800000001</v>
      </c>
      <c r="AA53" s="196">
        <f>'Quarterly historicals'!AA200</f>
        <v>360.45095600000002</v>
      </c>
      <c r="AB53" s="196">
        <f>'Quarterly historicals'!AB200</f>
        <v>368.80911600000002</v>
      </c>
      <c r="AC53" s="196">
        <f>'Quarterly historicals'!AC200</f>
        <v>455.39559999999994</v>
      </c>
      <c r="AD53" s="196">
        <f>'Quarterly historicals'!AD200</f>
        <v>457.75214400000004</v>
      </c>
      <c r="AE53" s="196">
        <f>'Quarterly historicals'!AE200</f>
        <v>463.99347999999998</v>
      </c>
      <c r="AF53" s="195">
        <f>'Quarterly historicals'!AF200</f>
        <v>468.087896</v>
      </c>
      <c r="AG53" s="195">
        <f>'Quarterly historicals'!AG200</f>
        <v>511.362392</v>
      </c>
      <c r="AH53" s="195">
        <f>'Quarterly historicals'!AH200</f>
        <v>538.95201199999997</v>
      </c>
      <c r="AI53" s="195">
        <f>'Quarterly historicals'!AI200</f>
        <v>621.66435200000001</v>
      </c>
      <c r="AJ53" s="195">
        <f>'Quarterly historicals'!AJ200</f>
        <v>713.59413200000017</v>
      </c>
      <c r="AK53" s="202">
        <f>'Quarterly historicals'!AK200</f>
        <v>842.10165199999983</v>
      </c>
      <c r="AL53" s="202">
        <f>'Quarterly historicals'!AL200</f>
        <v>747.13275199999998</v>
      </c>
      <c r="AM53" s="202">
        <f>'Quarterly historicals'!AM200</f>
        <v>731.50003600000014</v>
      </c>
      <c r="AN53" s="202">
        <f>'Quarterly historicals'!AN200</f>
        <v>684.43890799999986</v>
      </c>
      <c r="AO53" s="202">
        <f>'Quarterly historicals'!AO200</f>
        <v>781.22699999999986</v>
      </c>
      <c r="AP53" s="202">
        <f>'Quarterly historicals'!AP200</f>
        <v>830.95299999999975</v>
      </c>
      <c r="AQ53" s="202">
        <f>'Quarterly historicals'!AQ200</f>
        <v>668.71299999999974</v>
      </c>
      <c r="AR53" s="202">
        <f>'Quarterly historicals'!AR200</f>
        <v>774.02199999999971</v>
      </c>
      <c r="AS53" s="202">
        <f>'Quarterly historicals'!AS200</f>
        <v>873.94600000000014</v>
      </c>
      <c r="AT53" s="355">
        <f>'Quarterly historicals'!AT200</f>
        <v>858.87899999999991</v>
      </c>
      <c r="AU53" s="758">
        <f>+AT53+Q_Financials!AU33</f>
        <v>824.47409131386394</v>
      </c>
      <c r="AV53" s="758">
        <f>+AU53+Q_Financials!AV33</f>
        <v>802.32597823361345</v>
      </c>
      <c r="AW53" s="758">
        <f>+AV53+Q_Financials!AW33</f>
        <v>775.73693888557364</v>
      </c>
      <c r="AX53" s="758">
        <f>+AW53+Q_Financials!AX33</f>
        <v>732.14192457092417</v>
      </c>
      <c r="AY53" s="758">
        <f>+AX53+Q_Financials!AY33</f>
        <v>705.41887534852754</v>
      </c>
      <c r="AZ53" s="758">
        <f>+AY53+Q_Financials!AZ33</f>
        <v>688.73695511222206</v>
      </c>
      <c r="BA53" s="758">
        <f>+AZ53+Q_Financials!BA33</f>
        <v>690.11780375817909</v>
      </c>
      <c r="BB53" s="758">
        <f>+BA53+Q_Financials!BB33</f>
        <v>641.9139056167013</v>
      </c>
      <c r="BC53" s="758">
        <f>+BB53+Q_Financials!BC33</f>
        <v>610.56667309776515</v>
      </c>
      <c r="BD53" s="758">
        <f>+BC53+Q_Financials!BD33</f>
        <v>589.88369383598035</v>
      </c>
      <c r="BE53" s="758">
        <f>+BD53+Q_Financials!BE33</f>
        <v>588.84844005892489</v>
      </c>
      <c r="BF53" s="758">
        <f>+BE53+Q_Financials!BF33</f>
        <v>506.30048541892785</v>
      </c>
      <c r="BG53" s="758">
        <f>+BF53+Q_Financials!BG33</f>
        <v>457.56481221841454</v>
      </c>
      <c r="BH53" s="758">
        <f>+BG53+Q_Financials!BH33</f>
        <v>423.98674903239225</v>
      </c>
      <c r="BI53" s="758">
        <f>+BH53+Q_Financials!BI33</f>
        <v>422.93413354806069</v>
      </c>
      <c r="BJ53" s="758">
        <f>+BI53+Q_Financials!BJ33</f>
        <v>323.83888162686287</v>
      </c>
      <c r="BK53" s="758">
        <f>+BJ53+Q_Financials!BK33</f>
        <v>264.30467966925283</v>
      </c>
      <c r="BL53" s="758">
        <f>+BK53+Q_Financials!BL33</f>
        <v>222.82716712932017</v>
      </c>
      <c r="BM53" s="758">
        <f>+BL53+Q_Financials!BM33</f>
        <v>221.30064316285763</v>
      </c>
      <c r="BN53" s="758">
        <f>+BM53+Q_Financials!BN33</f>
        <v>138.18214187571897</v>
      </c>
      <c r="BO53" s="758">
        <f>+BN53+Q_Financials!BO33</f>
        <v>76.680413822947799</v>
      </c>
      <c r="BP53" s="758">
        <f>+BO53+Q_Financials!BP33</f>
        <v>36.13386890692842</v>
      </c>
      <c r="BQ53" s="357">
        <f t="shared" ref="BQ53" si="348">BP53</f>
        <v>36.13386890692842</v>
      </c>
      <c r="BR53" s="357">
        <f t="shared" ref="BR53" si="349">BQ53</f>
        <v>36.13386890692842</v>
      </c>
      <c r="BS53" s="357">
        <f t="shared" ref="BS53" si="350">BR53</f>
        <v>36.13386890692842</v>
      </c>
      <c r="BT53" s="357">
        <f t="shared" ref="BT53" si="351">BS53</f>
        <v>36.13386890692842</v>
      </c>
      <c r="BU53" s="357">
        <f t="shared" ref="BU53" si="352">BT53</f>
        <v>36.13386890692842</v>
      </c>
      <c r="BV53" s="357">
        <f t="shared" ref="BV53" si="353">BU53</f>
        <v>36.13386890692842</v>
      </c>
      <c r="BW53" s="357">
        <f t="shared" ref="BW53" si="354">BV53</f>
        <v>36.13386890692842</v>
      </c>
      <c r="BX53" s="357">
        <f t="shared" ref="BX53" si="355">BW53</f>
        <v>36.13386890692842</v>
      </c>
      <c r="BY53" s="357">
        <f t="shared" ref="BY53" si="356">BX53</f>
        <v>36.13386890692842</v>
      </c>
      <c r="BZ53" s="198"/>
    </row>
    <row r="54" spans="1:80" s="106" customFormat="1" ht="12" customHeight="1">
      <c r="A54" s="609" t="s">
        <v>407</v>
      </c>
      <c r="B54" s="610">
        <f t="shared" ref="B54:AG54" si="357">SUM(B48:B53)</f>
        <v>171.05700000000002</v>
      </c>
      <c r="C54" s="610">
        <f t="shared" si="357"/>
        <v>511.029</v>
      </c>
      <c r="D54" s="610">
        <f t="shared" si="357"/>
        <v>393.47699999999998</v>
      </c>
      <c r="E54" s="610">
        <f t="shared" si="357"/>
        <v>601.43100000000004</v>
      </c>
      <c r="F54" s="610">
        <f t="shared" si="357"/>
        <v>562.00099999999998</v>
      </c>
      <c r="G54" s="610">
        <f t="shared" si="357"/>
        <v>597.51900000000001</v>
      </c>
      <c r="H54" s="610">
        <f t="shared" si="357"/>
        <v>554.01400000000001</v>
      </c>
      <c r="I54" s="610">
        <f t="shared" si="357"/>
        <v>397.74</v>
      </c>
      <c r="J54" s="610">
        <f t="shared" si="357"/>
        <v>411.358</v>
      </c>
      <c r="K54" s="610">
        <f t="shared" si="357"/>
        <v>745.20900000000006</v>
      </c>
      <c r="L54" s="610">
        <f t="shared" si="357"/>
        <v>711.899</v>
      </c>
      <c r="M54" s="610">
        <f t="shared" si="357"/>
        <v>601.99299999999994</v>
      </c>
      <c r="N54" s="610">
        <f t="shared" si="357"/>
        <v>580.09799999999996</v>
      </c>
      <c r="O54" s="610">
        <f t="shared" si="357"/>
        <v>706.74600000000009</v>
      </c>
      <c r="P54" s="610">
        <f t="shared" si="357"/>
        <v>745.92000000000007</v>
      </c>
      <c r="Q54" s="610">
        <f t="shared" si="357"/>
        <v>413.59499999999997</v>
      </c>
      <c r="R54" s="610">
        <f t="shared" si="357"/>
        <v>737.18099999999993</v>
      </c>
      <c r="S54" s="610">
        <f t="shared" si="357"/>
        <v>911.48599999999999</v>
      </c>
      <c r="T54" s="610">
        <f t="shared" si="357"/>
        <v>835.77300000000014</v>
      </c>
      <c r="U54" s="610">
        <f t="shared" si="357"/>
        <v>664.59020799999996</v>
      </c>
      <c r="V54" s="610">
        <f t="shared" si="357"/>
        <v>861.49030400000004</v>
      </c>
      <c r="W54" s="610">
        <f t="shared" si="357"/>
        <v>1056.6689799999999</v>
      </c>
      <c r="X54" s="610">
        <f t="shared" si="357"/>
        <v>1257.1606120000001</v>
      </c>
      <c r="Y54" s="610">
        <f t="shared" si="357"/>
        <v>944.21537599999999</v>
      </c>
      <c r="Z54" s="610">
        <f t="shared" si="357"/>
        <v>1473.4173079999998</v>
      </c>
      <c r="AA54" s="610">
        <f t="shared" si="357"/>
        <v>1624.032956</v>
      </c>
      <c r="AB54" s="610">
        <f t="shared" si="357"/>
        <v>1594.9801159999997</v>
      </c>
      <c r="AC54" s="610">
        <f t="shared" si="357"/>
        <v>1386.0115999999998</v>
      </c>
      <c r="AD54" s="610">
        <f t="shared" si="357"/>
        <v>1441.3331439999999</v>
      </c>
      <c r="AE54" s="610">
        <f t="shared" si="357"/>
        <v>1602.58448</v>
      </c>
      <c r="AF54" s="612">
        <f t="shared" si="357"/>
        <v>1598.6388960000002</v>
      </c>
      <c r="AG54" s="612">
        <f t="shared" si="357"/>
        <v>1459.649392</v>
      </c>
      <c r="AH54" s="612">
        <f t="shared" ref="AH54:BM54" si="358">SUM(AH48:AH53)</f>
        <v>1942.7250119999999</v>
      </c>
      <c r="AI54" s="612">
        <f t="shared" si="358"/>
        <v>2209.136352</v>
      </c>
      <c r="AJ54" s="612">
        <f t="shared" si="358"/>
        <v>2304.5081319999999</v>
      </c>
      <c r="AK54" s="610">
        <f t="shared" si="358"/>
        <v>2418.3426519999998</v>
      </c>
      <c r="AL54" s="610">
        <f t="shared" si="358"/>
        <v>2609.4667519999998</v>
      </c>
      <c r="AM54" s="610">
        <f t="shared" si="358"/>
        <v>2753.8140360000002</v>
      </c>
      <c r="AN54" s="610">
        <f t="shared" si="358"/>
        <v>2538.6699079999999</v>
      </c>
      <c r="AO54" s="610">
        <f t="shared" si="358"/>
        <v>2394.7669999999998</v>
      </c>
      <c r="AP54" s="610">
        <f t="shared" ref="AP54:AQ54" si="359">SUM(AP48:AP53)</f>
        <v>2285.33</v>
      </c>
      <c r="AQ54" s="610">
        <f t="shared" si="359"/>
        <v>2741.2939999999999</v>
      </c>
      <c r="AR54" s="610">
        <f t="shared" ref="AR54:AS54" si="360">SUM(AR48:AR53)</f>
        <v>2688.2089999999998</v>
      </c>
      <c r="AS54" s="610">
        <f t="shared" si="360"/>
        <v>2482.9960000000001</v>
      </c>
      <c r="AT54" s="628">
        <f t="shared" ref="AT54" si="361">SUM(AT48:AT53)</f>
        <v>3098.88</v>
      </c>
      <c r="AU54" s="611">
        <f t="shared" si="358"/>
        <v>3520.700162499807</v>
      </c>
      <c r="AV54" s="611">
        <f t="shared" si="358"/>
        <v>3398.6946468247243</v>
      </c>
      <c r="AW54" s="611">
        <f t="shared" si="358"/>
        <v>2574.6031044861334</v>
      </c>
      <c r="AX54" s="611">
        <f t="shared" si="358"/>
        <v>3240.4963053552465</v>
      </c>
      <c r="AY54" s="611">
        <f t="shared" si="358"/>
        <v>3528.872230892548</v>
      </c>
      <c r="AZ54" s="611">
        <f t="shared" si="358"/>
        <v>3394.6768558682293</v>
      </c>
      <c r="BA54" s="611">
        <f t="shared" si="358"/>
        <v>2676.314208683526</v>
      </c>
      <c r="BB54" s="611">
        <f t="shared" si="358"/>
        <v>3535.2637521714937</v>
      </c>
      <c r="BC54" s="611">
        <f t="shared" si="358"/>
        <v>3839.3958939206723</v>
      </c>
      <c r="BD54" s="611">
        <f t="shared" si="358"/>
        <v>3660.7748680451559</v>
      </c>
      <c r="BE54" s="611">
        <f t="shared" si="358"/>
        <v>2711.1640443184692</v>
      </c>
      <c r="BF54" s="611">
        <f t="shared" si="358"/>
        <v>3783.7926737682551</v>
      </c>
      <c r="BG54" s="611">
        <f t="shared" si="358"/>
        <v>4126.2128525874759</v>
      </c>
      <c r="BH54" s="611">
        <f t="shared" si="358"/>
        <v>3950.070569822738</v>
      </c>
      <c r="BI54" s="611">
        <f t="shared" si="358"/>
        <v>2807.9748960185766</v>
      </c>
      <c r="BJ54" s="611">
        <f t="shared" si="358"/>
        <v>3916.2618047190035</v>
      </c>
      <c r="BK54" s="611">
        <f t="shared" si="358"/>
        <v>4280.3565639906292</v>
      </c>
      <c r="BL54" s="611">
        <f t="shared" si="358"/>
        <v>4091.6772276960983</v>
      </c>
      <c r="BM54" s="611">
        <f t="shared" si="358"/>
        <v>2894.394190338081</v>
      </c>
      <c r="BN54" s="611">
        <f t="shared" ref="BN54:BY54" si="362">SUM(BN48:BN53)</f>
        <v>3806.4823765576334</v>
      </c>
      <c r="BO54" s="611">
        <f t="shared" si="362"/>
        <v>4171.2784081743112</v>
      </c>
      <c r="BP54" s="611">
        <f t="shared" si="362"/>
        <v>3958.1338092028668</v>
      </c>
      <c r="BQ54" s="611">
        <f t="shared" si="362"/>
        <v>2684.9141091731385</v>
      </c>
      <c r="BR54" s="611">
        <f t="shared" si="362"/>
        <v>3485.135140112297</v>
      </c>
      <c r="BS54" s="611">
        <f t="shared" si="362"/>
        <v>3855.4051993947628</v>
      </c>
      <c r="BT54" s="611">
        <f t="shared" si="362"/>
        <v>3624.2110237538495</v>
      </c>
      <c r="BU54" s="611">
        <f t="shared" si="362"/>
        <v>2470.3827020597255</v>
      </c>
      <c r="BV54" s="611">
        <f t="shared" si="362"/>
        <v>3401.9916450965816</v>
      </c>
      <c r="BW54" s="611">
        <f t="shared" si="362"/>
        <v>3820.7563463825377</v>
      </c>
      <c r="BX54" s="611">
        <f t="shared" si="362"/>
        <v>3617.7875533897522</v>
      </c>
      <c r="BY54" s="611">
        <f t="shared" si="362"/>
        <v>2290.1263979203491</v>
      </c>
      <c r="BZ54" s="198"/>
    </row>
    <row r="55" spans="1:80" s="106" customFormat="1">
      <c r="A55" s="627" t="s">
        <v>94</v>
      </c>
      <c r="B55" s="202">
        <f>'Quarterly historicals'!B203+'Quarterly historicals'!B204</f>
        <v>37.786999999999999</v>
      </c>
      <c r="C55" s="202">
        <f>'Quarterly historicals'!C203+'Quarterly historicals'!C204</f>
        <v>77.716999999999999</v>
      </c>
      <c r="D55" s="202">
        <f>'Quarterly historicals'!D203+'Quarterly historicals'!D204</f>
        <v>77.69</v>
      </c>
      <c r="E55" s="202">
        <f>'Quarterly historicals'!E203+'Quarterly historicals'!E204</f>
        <v>94.786000000000001</v>
      </c>
      <c r="F55" s="202">
        <f>'Quarterly historicals'!F203+'Quarterly historicals'!F204</f>
        <v>94.23</v>
      </c>
      <c r="G55" s="202">
        <f>'Quarterly historicals'!G203+'Quarterly historicals'!G204</f>
        <v>98.944999999999993</v>
      </c>
      <c r="H55" s="202">
        <f>'Quarterly historicals'!H203+'Quarterly historicals'!H204</f>
        <v>164.22300000000001</v>
      </c>
      <c r="I55" s="202">
        <f>'Quarterly historicals'!I203+'Quarterly historicals'!I204</f>
        <v>120.767</v>
      </c>
      <c r="J55" s="202">
        <f>'Quarterly historicals'!J203+'Quarterly historicals'!J204</f>
        <v>131.25200000000001</v>
      </c>
      <c r="K55" s="202">
        <f>'Quarterly historicals'!K203+'Quarterly historicals'!K204</f>
        <v>149.00299999999999</v>
      </c>
      <c r="L55" s="202">
        <f>'Quarterly historicals'!L203+'Quarterly historicals'!L204</f>
        <v>219.24800000000002</v>
      </c>
      <c r="M55" s="202">
        <f>'Quarterly historicals'!M203+'Quarterly historicals'!M204</f>
        <v>24.091999999999999</v>
      </c>
      <c r="N55" s="202">
        <f>'Quarterly historicals'!N203+'Quarterly historicals'!N204</f>
        <v>3.911</v>
      </c>
      <c r="O55" s="202">
        <f>'Quarterly historicals'!O203+'Quarterly historicals'!O204</f>
        <v>3.948</v>
      </c>
      <c r="P55" s="202">
        <f>'Quarterly historicals'!P203+'Quarterly historicals'!P204</f>
        <v>3.948</v>
      </c>
      <c r="Q55" s="202">
        <f>'Quarterly historicals'!Q203+'Quarterly historicals'!Q204</f>
        <v>4.0199999999999996</v>
      </c>
      <c r="R55" s="202">
        <f>'Quarterly historicals'!R203+'Quarterly historicals'!R204</f>
        <v>4.0590000000000002</v>
      </c>
      <c r="S55" s="202">
        <f>'Quarterly historicals'!S203+'Quarterly historicals'!S204</f>
        <v>4.1040000000000001</v>
      </c>
      <c r="T55" s="202">
        <f>'Quarterly historicals'!T203+'Quarterly historicals'!T204</f>
        <v>4.149</v>
      </c>
      <c r="U55" s="202">
        <f>'Quarterly historicals'!U203+'Quarterly historicals'!U204</f>
        <v>9.9390000000000001</v>
      </c>
      <c r="V55" s="202">
        <f>'Quarterly historicals'!V203+'Quarterly historicals'!V204</f>
        <v>6.056</v>
      </c>
      <c r="W55" s="202">
        <f>'Quarterly historicals'!W203+'Quarterly historicals'!W204</f>
        <v>6.9020000000000001</v>
      </c>
      <c r="X55" s="202">
        <f>'Quarterly historicals'!X203+'Quarterly historicals'!X204</f>
        <v>8.1539999999999999</v>
      </c>
      <c r="Y55" s="202">
        <f>'Quarterly historicals'!Y203+'Quarterly historicals'!Y204</f>
        <v>1.7370000000000001</v>
      </c>
      <c r="Z55" s="202">
        <f>'Quarterly historicals'!Z203+'Quarterly historicals'!Z204</f>
        <v>1.3979999999999999</v>
      </c>
      <c r="AA55" s="202">
        <f>'Quarterly historicals'!AA203+'Quarterly historicals'!AA204</f>
        <v>1.6830000000000001</v>
      </c>
      <c r="AB55" s="202">
        <f>'Quarterly historicals'!AB203+'Quarterly historicals'!AB204</f>
        <v>1.3979999999999999</v>
      </c>
      <c r="AC55" s="202">
        <f>'Quarterly historicals'!AC203+'Quarterly historicals'!AC204</f>
        <v>0</v>
      </c>
      <c r="AD55" s="202">
        <f>'Quarterly historicals'!AD203+'Quarterly historicals'!AD204</f>
        <v>0</v>
      </c>
      <c r="AE55" s="202">
        <f>'Quarterly historicals'!AE203+'Quarterly historicals'!AE204</f>
        <v>0</v>
      </c>
      <c r="AF55" s="327">
        <f>'Quarterly historicals'!AF203+'Quarterly historicals'!AF204</f>
        <v>0</v>
      </c>
      <c r="AG55" s="327">
        <f>'Quarterly historicals'!AG203+'Quarterly historicals'!AG204</f>
        <v>0</v>
      </c>
      <c r="AH55" s="327">
        <f>'Quarterly historicals'!AH203+'Quarterly historicals'!AH204</f>
        <v>0</v>
      </c>
      <c r="AI55" s="327">
        <f>'Quarterly historicals'!AI203+'Quarterly historicals'!AI204</f>
        <v>0</v>
      </c>
      <c r="AJ55" s="327">
        <f>'Quarterly historicals'!AJ203+'Quarterly historicals'!AJ204</f>
        <v>62.044999999999995</v>
      </c>
      <c r="AK55" s="202">
        <f>'Quarterly historicals'!AK203+'Quarterly historicals'!AK204</f>
        <v>0</v>
      </c>
      <c r="AL55" s="202">
        <f>'Quarterly historicals'!AL203+'Quarterly historicals'!AL204</f>
        <v>0</v>
      </c>
      <c r="AM55" s="202">
        <f>'Quarterly historicals'!AM203+'Quarterly historicals'!AM204</f>
        <v>0</v>
      </c>
      <c r="AN55" s="202">
        <f>'Quarterly historicals'!AN203+'Quarterly historicals'!AN204</f>
        <v>0</v>
      </c>
      <c r="AO55" s="202">
        <f>'Quarterly historicals'!AO203+'Quarterly historicals'!AO204</f>
        <v>0</v>
      </c>
      <c r="AP55" s="202">
        <f>'Quarterly historicals'!AP203+'Quarterly historicals'!AP204</f>
        <v>0</v>
      </c>
      <c r="AQ55" s="202">
        <f>'Quarterly historicals'!AQ203+'Quarterly historicals'!AQ204</f>
        <v>0</v>
      </c>
      <c r="AR55" s="202">
        <f>'Quarterly historicals'!AR203+'Quarterly historicals'!AR204</f>
        <v>0</v>
      </c>
      <c r="AS55" s="202">
        <f>'Quarterly historicals'!AS203+'Quarterly historicals'!AS204</f>
        <v>0</v>
      </c>
      <c r="AT55" s="355">
        <f>'Quarterly historicals'!AT203+'Quarterly historicals'!AT204</f>
        <v>0</v>
      </c>
      <c r="AU55" s="356">
        <f t="shared" ref="AU55:BY56" si="363">AT55</f>
        <v>0</v>
      </c>
      <c r="AV55" s="356">
        <f t="shared" si="363"/>
        <v>0</v>
      </c>
      <c r="AW55" s="356">
        <f t="shared" si="363"/>
        <v>0</v>
      </c>
      <c r="AX55" s="356">
        <f t="shared" si="363"/>
        <v>0</v>
      </c>
      <c r="AY55" s="356">
        <f t="shared" si="363"/>
        <v>0</v>
      </c>
      <c r="AZ55" s="356">
        <f t="shared" si="363"/>
        <v>0</v>
      </c>
      <c r="BA55" s="356">
        <f t="shared" si="363"/>
        <v>0</v>
      </c>
      <c r="BB55" s="356">
        <f t="shared" si="363"/>
        <v>0</v>
      </c>
      <c r="BC55" s="356">
        <f t="shared" si="363"/>
        <v>0</v>
      </c>
      <c r="BD55" s="356">
        <f t="shared" si="363"/>
        <v>0</v>
      </c>
      <c r="BE55" s="356">
        <f t="shared" si="363"/>
        <v>0</v>
      </c>
      <c r="BF55" s="356">
        <f t="shared" si="363"/>
        <v>0</v>
      </c>
      <c r="BG55" s="356">
        <f t="shared" si="363"/>
        <v>0</v>
      </c>
      <c r="BH55" s="356">
        <f t="shared" si="363"/>
        <v>0</v>
      </c>
      <c r="BI55" s="356">
        <f t="shared" si="363"/>
        <v>0</v>
      </c>
      <c r="BJ55" s="356">
        <f t="shared" si="363"/>
        <v>0</v>
      </c>
      <c r="BK55" s="356">
        <f t="shared" si="363"/>
        <v>0</v>
      </c>
      <c r="BL55" s="356">
        <f t="shared" si="363"/>
        <v>0</v>
      </c>
      <c r="BM55" s="356">
        <f t="shared" si="363"/>
        <v>0</v>
      </c>
      <c r="BN55" s="356">
        <f t="shared" si="363"/>
        <v>0</v>
      </c>
      <c r="BO55" s="356">
        <f t="shared" si="363"/>
        <v>0</v>
      </c>
      <c r="BP55" s="356">
        <f t="shared" si="363"/>
        <v>0</v>
      </c>
      <c r="BQ55" s="356">
        <f t="shared" si="363"/>
        <v>0</v>
      </c>
      <c r="BR55" s="356">
        <f t="shared" si="363"/>
        <v>0</v>
      </c>
      <c r="BS55" s="356">
        <f t="shared" si="363"/>
        <v>0</v>
      </c>
      <c r="BT55" s="356">
        <f t="shared" si="363"/>
        <v>0</v>
      </c>
      <c r="BU55" s="356">
        <f t="shared" si="363"/>
        <v>0</v>
      </c>
      <c r="BV55" s="356">
        <f t="shared" si="363"/>
        <v>0</v>
      </c>
      <c r="BW55" s="356">
        <f t="shared" si="363"/>
        <v>0</v>
      </c>
      <c r="BX55" s="356">
        <f t="shared" si="363"/>
        <v>0</v>
      </c>
      <c r="BY55" s="356">
        <f t="shared" si="363"/>
        <v>0</v>
      </c>
      <c r="BZ55" s="198"/>
    </row>
    <row r="56" spans="1:80" s="106" customFormat="1">
      <c r="A56" s="627" t="s">
        <v>95</v>
      </c>
      <c r="B56" s="202">
        <f>'Quarterly historicals'!B205</f>
        <v>0</v>
      </c>
      <c r="C56" s="202">
        <f>'Quarterly historicals'!C205</f>
        <v>0</v>
      </c>
      <c r="D56" s="202">
        <f>'Quarterly historicals'!D205</f>
        <v>9.5000000000000001E-2</v>
      </c>
      <c r="E56" s="202">
        <f>'Quarterly historicals'!E205</f>
        <v>0</v>
      </c>
      <c r="F56" s="202">
        <f>'Quarterly historicals'!F205</f>
        <v>0</v>
      </c>
      <c r="G56" s="202">
        <f>'Quarterly historicals'!G205</f>
        <v>0</v>
      </c>
      <c r="H56" s="202">
        <f>'Quarterly historicals'!H205</f>
        <v>0</v>
      </c>
      <c r="I56" s="202">
        <f>'Quarterly historicals'!I205</f>
        <v>31.649000000000001</v>
      </c>
      <c r="J56" s="202">
        <f>'Quarterly historicals'!J205</f>
        <v>28.875</v>
      </c>
      <c r="K56" s="202">
        <f>'Quarterly historicals'!K205</f>
        <v>26.581</v>
      </c>
      <c r="L56" s="202">
        <f>'Quarterly historicals'!L205</f>
        <v>16.117000000000001</v>
      </c>
      <c r="M56" s="202">
        <f>'Quarterly historicals'!M205</f>
        <v>202.81400000000002</v>
      </c>
      <c r="N56" s="202">
        <f>'Quarterly historicals'!N205</f>
        <v>190.08799999999999</v>
      </c>
      <c r="O56" s="202">
        <f>'Quarterly historicals'!O205</f>
        <v>189.06900000000002</v>
      </c>
      <c r="P56" s="202">
        <f>'Quarterly historicals'!P205</f>
        <v>155.46199999999999</v>
      </c>
      <c r="Q56" s="202">
        <f>'Quarterly historicals'!Q205</f>
        <v>227.95</v>
      </c>
      <c r="R56" s="202">
        <f>'Quarterly historicals'!R205</f>
        <v>148.13099999999997</v>
      </c>
      <c r="S56" s="202">
        <f>'Quarterly historicals'!S205</f>
        <v>148.31200000000001</v>
      </c>
      <c r="T56" s="202">
        <f>'Quarterly historicals'!T205</f>
        <v>148.459</v>
      </c>
      <c r="U56" s="202">
        <f>'Quarterly historicals'!U205</f>
        <v>123.48599999999999</v>
      </c>
      <c r="V56" s="202">
        <f>'Quarterly historicals'!V205</f>
        <v>201.25800000000001</v>
      </c>
      <c r="W56" s="202">
        <f>'Quarterly historicals'!W205</f>
        <v>202.857</v>
      </c>
      <c r="X56" s="202">
        <f>'Quarterly historicals'!X205</f>
        <v>124.57800000000002</v>
      </c>
      <c r="Y56" s="202">
        <f>'Quarterly historicals'!Y205</f>
        <v>167.381</v>
      </c>
      <c r="Z56" s="202">
        <f>'Quarterly historicals'!Z205</f>
        <v>212.39099999999999</v>
      </c>
      <c r="AA56" s="202">
        <f>'Quarterly historicals'!AA205</f>
        <v>219.62</v>
      </c>
      <c r="AB56" s="202">
        <f>'Quarterly historicals'!AB205</f>
        <v>196.75200000000004</v>
      </c>
      <c r="AC56" s="202">
        <f>'Quarterly historicals'!AC205</f>
        <v>209.41500000000002</v>
      </c>
      <c r="AD56" s="202">
        <f>'Quarterly historicals'!AD205</f>
        <v>245.03909999999999</v>
      </c>
      <c r="AE56" s="202">
        <f>'Quarterly historicals'!AE205</f>
        <v>210.47799999999998</v>
      </c>
      <c r="AF56" s="327">
        <f>'Quarterly historicals'!AF205</f>
        <v>242.65899999999999</v>
      </c>
      <c r="AG56" s="327">
        <f>'Quarterly historicals'!AG205</f>
        <v>241.04600000000002</v>
      </c>
      <c r="AH56" s="327">
        <f>'Quarterly historicals'!AH205</f>
        <v>227.51499999999999</v>
      </c>
      <c r="AI56" s="327">
        <f>'Quarterly historicals'!AI205</f>
        <v>254.506</v>
      </c>
      <c r="AJ56" s="327">
        <f>'Quarterly historicals'!AJ205</f>
        <v>215.054</v>
      </c>
      <c r="AK56" s="202">
        <f>'Quarterly historicals'!AK205</f>
        <v>261.40499999999997</v>
      </c>
      <c r="AL56" s="202">
        <f>'Quarterly historicals'!AL205</f>
        <v>277.91399999999999</v>
      </c>
      <c r="AM56" s="202">
        <f>'Quarterly historicals'!AM205</f>
        <v>248.357</v>
      </c>
      <c r="AN56" s="202">
        <f>'Quarterly historicals'!AN205</f>
        <v>261.88099999999997</v>
      </c>
      <c r="AO56" s="202">
        <f>'Quarterly historicals'!AO205</f>
        <v>353.09300000000002</v>
      </c>
      <c r="AP56" s="202">
        <f>'Quarterly historicals'!AP205</f>
        <v>332.86799999999999</v>
      </c>
      <c r="AQ56" s="202">
        <f>'Quarterly historicals'!AQ205</f>
        <v>318.85599999999999</v>
      </c>
      <c r="AR56" s="202">
        <f>'Quarterly historicals'!AR205</f>
        <v>413.44499999999999</v>
      </c>
      <c r="AS56" s="202">
        <f>'Quarterly historicals'!AS205</f>
        <v>413.50900000000001</v>
      </c>
      <c r="AT56" s="355">
        <f>'Quarterly historicals'!AT205</f>
        <v>433.22899999999998</v>
      </c>
      <c r="AU56" s="356">
        <f t="shared" si="363"/>
        <v>433.22899999999998</v>
      </c>
      <c r="AV56" s="356">
        <f t="shared" si="363"/>
        <v>433.22899999999998</v>
      </c>
      <c r="AW56" s="356">
        <f t="shared" si="363"/>
        <v>433.22899999999998</v>
      </c>
      <c r="AX56" s="356">
        <f t="shared" si="363"/>
        <v>433.22899999999998</v>
      </c>
      <c r="AY56" s="356">
        <f t="shared" si="363"/>
        <v>433.22899999999998</v>
      </c>
      <c r="AZ56" s="356">
        <f t="shared" si="363"/>
        <v>433.22899999999998</v>
      </c>
      <c r="BA56" s="356">
        <f t="shared" si="363"/>
        <v>433.22899999999998</v>
      </c>
      <c r="BB56" s="356">
        <f t="shared" si="363"/>
        <v>433.22899999999998</v>
      </c>
      <c r="BC56" s="356">
        <f t="shared" si="363"/>
        <v>433.22899999999998</v>
      </c>
      <c r="BD56" s="356">
        <f t="shared" si="363"/>
        <v>433.22899999999998</v>
      </c>
      <c r="BE56" s="356">
        <f t="shared" si="363"/>
        <v>433.22899999999998</v>
      </c>
      <c r="BF56" s="356">
        <f t="shared" si="363"/>
        <v>433.22899999999998</v>
      </c>
      <c r="BG56" s="356">
        <f t="shared" si="363"/>
        <v>433.22899999999998</v>
      </c>
      <c r="BH56" s="356">
        <f t="shared" si="363"/>
        <v>433.22899999999998</v>
      </c>
      <c r="BI56" s="356">
        <f t="shared" si="363"/>
        <v>433.22899999999998</v>
      </c>
      <c r="BJ56" s="356">
        <f t="shared" si="363"/>
        <v>433.22899999999998</v>
      </c>
      <c r="BK56" s="356">
        <f t="shared" si="363"/>
        <v>433.22899999999998</v>
      </c>
      <c r="BL56" s="356">
        <f t="shared" si="363"/>
        <v>433.22899999999998</v>
      </c>
      <c r="BM56" s="356">
        <f t="shared" si="363"/>
        <v>433.22899999999998</v>
      </c>
      <c r="BN56" s="356">
        <f t="shared" si="363"/>
        <v>433.22899999999998</v>
      </c>
      <c r="BO56" s="356">
        <f t="shared" si="363"/>
        <v>433.22899999999998</v>
      </c>
      <c r="BP56" s="356">
        <f t="shared" si="363"/>
        <v>433.22899999999998</v>
      </c>
      <c r="BQ56" s="356">
        <f t="shared" si="363"/>
        <v>433.22899999999998</v>
      </c>
      <c r="BR56" s="356">
        <f t="shared" si="363"/>
        <v>433.22899999999998</v>
      </c>
      <c r="BS56" s="356">
        <f t="shared" si="363"/>
        <v>433.22899999999998</v>
      </c>
      <c r="BT56" s="356">
        <f t="shared" si="363"/>
        <v>433.22899999999998</v>
      </c>
      <c r="BU56" s="356">
        <f t="shared" si="363"/>
        <v>433.22899999999998</v>
      </c>
      <c r="BV56" s="356">
        <f t="shared" si="363"/>
        <v>433.22899999999998</v>
      </c>
      <c r="BW56" s="356">
        <f t="shared" si="363"/>
        <v>433.22899999999998</v>
      </c>
      <c r="BX56" s="356">
        <f t="shared" si="363"/>
        <v>433.22899999999998</v>
      </c>
      <c r="BY56" s="356">
        <f t="shared" si="363"/>
        <v>433.22899999999998</v>
      </c>
      <c r="BZ56" s="198"/>
    </row>
    <row r="57" spans="1:80" s="106" customFormat="1" ht="15" customHeight="1">
      <c r="A57" s="626" t="s">
        <v>96</v>
      </c>
      <c r="B57" s="610">
        <f t="shared" ref="B57:J57" si="364">SUM(B55:B56)</f>
        <v>37.786999999999999</v>
      </c>
      <c r="C57" s="610">
        <f t="shared" si="364"/>
        <v>77.716999999999999</v>
      </c>
      <c r="D57" s="610">
        <f t="shared" si="364"/>
        <v>77.784999999999997</v>
      </c>
      <c r="E57" s="610">
        <f t="shared" si="364"/>
        <v>94.786000000000001</v>
      </c>
      <c r="F57" s="610">
        <f t="shared" si="364"/>
        <v>94.23</v>
      </c>
      <c r="G57" s="610">
        <f t="shared" si="364"/>
        <v>98.944999999999993</v>
      </c>
      <c r="H57" s="610">
        <f t="shared" si="364"/>
        <v>164.22300000000001</v>
      </c>
      <c r="I57" s="610">
        <f t="shared" si="364"/>
        <v>152.416</v>
      </c>
      <c r="J57" s="610">
        <f t="shared" si="364"/>
        <v>160.12700000000001</v>
      </c>
      <c r="K57" s="610">
        <f t="shared" ref="K57:AG57" si="365">SUM(K55:K56)</f>
        <v>175.58399999999997</v>
      </c>
      <c r="L57" s="610">
        <f t="shared" si="365"/>
        <v>235.36500000000001</v>
      </c>
      <c r="M57" s="610">
        <f t="shared" si="365"/>
        <v>226.90600000000001</v>
      </c>
      <c r="N57" s="610">
        <f t="shared" si="365"/>
        <v>193.999</v>
      </c>
      <c r="O57" s="610">
        <f t="shared" si="365"/>
        <v>193.01700000000002</v>
      </c>
      <c r="P57" s="610">
        <f t="shared" si="365"/>
        <v>159.41</v>
      </c>
      <c r="Q57" s="610">
        <f t="shared" si="365"/>
        <v>231.97</v>
      </c>
      <c r="R57" s="610">
        <f t="shared" si="365"/>
        <v>152.18999999999997</v>
      </c>
      <c r="S57" s="610">
        <f t="shared" si="365"/>
        <v>152.41600000000003</v>
      </c>
      <c r="T57" s="610">
        <f t="shared" si="365"/>
        <v>152.608</v>
      </c>
      <c r="U57" s="610">
        <f t="shared" si="365"/>
        <v>133.42499999999998</v>
      </c>
      <c r="V57" s="610">
        <f t="shared" si="365"/>
        <v>207.31400000000002</v>
      </c>
      <c r="W57" s="610">
        <f t="shared" si="365"/>
        <v>209.75899999999999</v>
      </c>
      <c r="X57" s="610">
        <f t="shared" si="365"/>
        <v>132.73200000000003</v>
      </c>
      <c r="Y57" s="610">
        <f t="shared" si="365"/>
        <v>169.11799999999999</v>
      </c>
      <c r="Z57" s="610">
        <f t="shared" si="365"/>
        <v>213.78899999999999</v>
      </c>
      <c r="AA57" s="610">
        <f t="shared" si="365"/>
        <v>221.303</v>
      </c>
      <c r="AB57" s="610">
        <f t="shared" si="365"/>
        <v>198.15000000000003</v>
      </c>
      <c r="AC57" s="610">
        <f t="shared" si="365"/>
        <v>209.41500000000002</v>
      </c>
      <c r="AD57" s="610">
        <f t="shared" si="365"/>
        <v>245.03909999999999</v>
      </c>
      <c r="AE57" s="610">
        <f t="shared" si="365"/>
        <v>210.47799999999998</v>
      </c>
      <c r="AF57" s="612">
        <f t="shared" si="365"/>
        <v>242.65899999999999</v>
      </c>
      <c r="AG57" s="612">
        <f t="shared" si="365"/>
        <v>241.04600000000002</v>
      </c>
      <c r="AH57" s="612">
        <f t="shared" ref="AH57:AM57" si="366">SUM(AH55:AH56)</f>
        <v>227.51499999999999</v>
      </c>
      <c r="AI57" s="612">
        <f t="shared" si="366"/>
        <v>254.506</v>
      </c>
      <c r="AJ57" s="612">
        <f t="shared" si="366"/>
        <v>277.09899999999999</v>
      </c>
      <c r="AK57" s="610">
        <f t="shared" si="366"/>
        <v>261.40499999999997</v>
      </c>
      <c r="AL57" s="610">
        <f t="shared" si="366"/>
        <v>277.91399999999999</v>
      </c>
      <c r="AM57" s="610">
        <f t="shared" si="366"/>
        <v>248.357</v>
      </c>
      <c r="AN57" s="610">
        <f t="shared" ref="AN57" si="367">SUM(AN55:AN56)</f>
        <v>261.88099999999997</v>
      </c>
      <c r="AO57" s="610">
        <f t="shared" ref="AO57:AP57" si="368">SUM(AO55:AO56)</f>
        <v>353.09300000000002</v>
      </c>
      <c r="AP57" s="610">
        <f t="shared" si="368"/>
        <v>332.86799999999999</v>
      </c>
      <c r="AQ57" s="610">
        <f t="shared" ref="AQ57:AR57" si="369">SUM(AQ55:AQ56)</f>
        <v>318.85599999999999</v>
      </c>
      <c r="AR57" s="610">
        <f t="shared" si="369"/>
        <v>413.44499999999999</v>
      </c>
      <c r="AS57" s="610">
        <f t="shared" ref="AS57:AT57" si="370">SUM(AS55:AS56)</f>
        <v>413.50900000000001</v>
      </c>
      <c r="AT57" s="628">
        <f t="shared" si="370"/>
        <v>433.22899999999998</v>
      </c>
      <c r="AU57" s="611">
        <f t="shared" ref="AU57:BI57" si="371">SUM(AU55:AU56)</f>
        <v>433.22899999999998</v>
      </c>
      <c r="AV57" s="611">
        <f t="shared" si="371"/>
        <v>433.22899999999998</v>
      </c>
      <c r="AW57" s="611">
        <f t="shared" si="371"/>
        <v>433.22899999999998</v>
      </c>
      <c r="AX57" s="611">
        <f t="shared" si="371"/>
        <v>433.22899999999998</v>
      </c>
      <c r="AY57" s="611">
        <f t="shared" si="371"/>
        <v>433.22899999999998</v>
      </c>
      <c r="AZ57" s="611">
        <f t="shared" si="371"/>
        <v>433.22899999999998</v>
      </c>
      <c r="BA57" s="611">
        <f t="shared" si="371"/>
        <v>433.22899999999998</v>
      </c>
      <c r="BB57" s="611">
        <f t="shared" si="371"/>
        <v>433.22899999999998</v>
      </c>
      <c r="BC57" s="611">
        <f t="shared" si="371"/>
        <v>433.22899999999998</v>
      </c>
      <c r="BD57" s="611">
        <f t="shared" si="371"/>
        <v>433.22899999999998</v>
      </c>
      <c r="BE57" s="611">
        <f t="shared" si="371"/>
        <v>433.22899999999998</v>
      </c>
      <c r="BF57" s="611">
        <f t="shared" si="371"/>
        <v>433.22899999999998</v>
      </c>
      <c r="BG57" s="611">
        <f t="shared" si="371"/>
        <v>433.22899999999998</v>
      </c>
      <c r="BH57" s="611">
        <f t="shared" si="371"/>
        <v>433.22899999999998</v>
      </c>
      <c r="BI57" s="611">
        <f t="shared" si="371"/>
        <v>433.22899999999998</v>
      </c>
      <c r="BJ57" s="611">
        <f t="shared" ref="BJ57:BY57" si="372">SUM(BJ55:BJ56)</f>
        <v>433.22899999999998</v>
      </c>
      <c r="BK57" s="611">
        <f t="shared" si="372"/>
        <v>433.22899999999998</v>
      </c>
      <c r="BL57" s="611">
        <f t="shared" si="372"/>
        <v>433.22899999999998</v>
      </c>
      <c r="BM57" s="611">
        <f t="shared" si="372"/>
        <v>433.22899999999998</v>
      </c>
      <c r="BN57" s="611">
        <f t="shared" si="372"/>
        <v>433.22899999999998</v>
      </c>
      <c r="BO57" s="611">
        <f t="shared" si="372"/>
        <v>433.22899999999998</v>
      </c>
      <c r="BP57" s="611">
        <f t="shared" si="372"/>
        <v>433.22899999999998</v>
      </c>
      <c r="BQ57" s="611">
        <f t="shared" si="372"/>
        <v>433.22899999999998</v>
      </c>
      <c r="BR57" s="611">
        <f t="shared" si="372"/>
        <v>433.22899999999998</v>
      </c>
      <c r="BS57" s="611">
        <f t="shared" si="372"/>
        <v>433.22899999999998</v>
      </c>
      <c r="BT57" s="611">
        <f t="shared" si="372"/>
        <v>433.22899999999998</v>
      </c>
      <c r="BU57" s="611">
        <f t="shared" si="372"/>
        <v>433.22899999999998</v>
      </c>
      <c r="BV57" s="611">
        <f t="shared" si="372"/>
        <v>433.22899999999998</v>
      </c>
      <c r="BW57" s="611">
        <f t="shared" si="372"/>
        <v>433.22899999999998</v>
      </c>
      <c r="BX57" s="611">
        <f t="shared" si="372"/>
        <v>433.22899999999998</v>
      </c>
      <c r="BY57" s="611">
        <f t="shared" si="372"/>
        <v>433.22899999999998</v>
      </c>
      <c r="BZ57" s="198"/>
    </row>
    <row r="58" spans="1:80" s="106" customFormat="1">
      <c r="A58" s="218" t="s">
        <v>97</v>
      </c>
      <c r="B58" s="202"/>
      <c r="C58" s="202"/>
      <c r="D58" s="202"/>
      <c r="E58" s="202"/>
      <c r="F58" s="202"/>
      <c r="G58" s="202"/>
      <c r="H58" s="202"/>
      <c r="I58" s="1933"/>
      <c r="J58" s="202"/>
      <c r="K58" s="202"/>
      <c r="L58" s="202"/>
      <c r="M58" s="202"/>
      <c r="N58" s="202"/>
      <c r="O58" s="202"/>
      <c r="P58" s="202"/>
      <c r="Q58" s="202"/>
      <c r="R58" s="202"/>
      <c r="S58" s="202"/>
      <c r="T58" s="202"/>
      <c r="U58" s="202"/>
      <c r="V58" s="202"/>
      <c r="W58" s="202"/>
      <c r="X58" s="202"/>
      <c r="Y58" s="202"/>
      <c r="Z58" s="202"/>
      <c r="AA58" s="202"/>
      <c r="AB58" s="202"/>
      <c r="AC58" s="202"/>
      <c r="AD58" s="202"/>
      <c r="AE58" s="202"/>
      <c r="AF58" s="327"/>
      <c r="AG58" s="327"/>
      <c r="AH58" s="327"/>
      <c r="AI58" s="327"/>
      <c r="AJ58" s="327"/>
      <c r="AK58" s="202"/>
      <c r="AL58" s="202"/>
      <c r="AM58" s="202"/>
      <c r="AN58" s="202"/>
      <c r="AO58" s="202"/>
      <c r="AP58" s="202"/>
      <c r="AQ58" s="202"/>
      <c r="AR58" s="202"/>
      <c r="AS58" s="202"/>
      <c r="AT58" s="355"/>
      <c r="AU58" s="356"/>
      <c r="AV58" s="356"/>
      <c r="AW58" s="356"/>
      <c r="AX58" s="356"/>
      <c r="AY58" s="356"/>
      <c r="AZ58" s="356"/>
      <c r="BA58" s="356"/>
      <c r="BB58" s="356"/>
      <c r="BC58" s="356"/>
      <c r="BD58" s="356"/>
      <c r="BE58" s="356"/>
      <c r="BF58" s="356"/>
      <c r="BG58" s="356"/>
      <c r="BH58" s="356"/>
      <c r="BI58" s="356"/>
      <c r="BJ58" s="356"/>
      <c r="BK58" s="356"/>
      <c r="BL58" s="356"/>
      <c r="BM58" s="356"/>
      <c r="BN58" s="356"/>
      <c r="BO58" s="356"/>
      <c r="BP58" s="356"/>
      <c r="BQ58" s="356"/>
      <c r="BR58" s="356"/>
      <c r="BS58" s="356"/>
      <c r="BT58" s="356"/>
      <c r="BU58" s="356"/>
      <c r="BV58" s="356"/>
      <c r="BW58" s="356"/>
      <c r="BX58" s="356"/>
      <c r="BY58" s="356"/>
      <c r="BZ58" s="198"/>
    </row>
    <row r="59" spans="1:80" s="106" customFormat="1">
      <c r="A59" s="613" t="s">
        <v>241</v>
      </c>
      <c r="B59" s="202">
        <f>'Quarterly historicals'!B209</f>
        <v>0.06</v>
      </c>
      <c r="C59" s="202">
        <f>'Quarterly historicals'!C209</f>
        <v>0.14399999999999999</v>
      </c>
      <c r="D59" s="202">
        <f>'Quarterly historicals'!D209</f>
        <v>0.14199999999999999</v>
      </c>
      <c r="E59" s="202">
        <f>'Quarterly historicals'!E209</f>
        <v>0.14199999999999999</v>
      </c>
      <c r="F59" s="202">
        <f>'Quarterly historicals'!F209</f>
        <v>50.872</v>
      </c>
      <c r="G59" s="202">
        <f>'Quarterly historicals'!G209</f>
        <v>49.101999999999997</v>
      </c>
      <c r="H59" s="202">
        <f>'Quarterly historicals'!H209</f>
        <v>38.628999999999998</v>
      </c>
      <c r="I59" s="202">
        <f>'Quarterly historicals'!I209</f>
        <v>0.16700000000000001</v>
      </c>
      <c r="J59" s="202">
        <f>'Quarterly historicals'!J209</f>
        <v>3.5470000000000002</v>
      </c>
      <c r="K59" s="202">
        <f>'Quarterly historicals'!K209</f>
        <v>3.5470000000000002</v>
      </c>
      <c r="L59" s="202">
        <f>'Quarterly historicals'!L209</f>
        <v>3.5470000000000002</v>
      </c>
      <c r="M59" s="202">
        <f>'Quarterly historicals'!M209</f>
        <v>3.4820000000000002</v>
      </c>
      <c r="N59" s="202">
        <f>'Quarterly historicals'!N209</f>
        <v>3.54</v>
      </c>
      <c r="O59" s="202">
        <f>'Quarterly historicals'!O209</f>
        <v>3.54</v>
      </c>
      <c r="P59" s="202">
        <f>'Quarterly historicals'!P209</f>
        <v>3.54</v>
      </c>
      <c r="Q59" s="202">
        <f>'Quarterly historicals'!Q209</f>
        <v>461.952</v>
      </c>
      <c r="R59" s="202">
        <f>'Quarterly historicals'!R209</f>
        <v>3.54</v>
      </c>
      <c r="S59" s="202">
        <f>'Quarterly historicals'!S209</f>
        <v>3.54</v>
      </c>
      <c r="T59" s="202">
        <f>'Quarterly historicals'!T209</f>
        <v>3.54</v>
      </c>
      <c r="U59" s="202">
        <f>'Quarterly historicals'!U209</f>
        <v>0</v>
      </c>
      <c r="V59" s="202">
        <f>'Quarterly historicals'!V209</f>
        <v>0</v>
      </c>
      <c r="W59" s="202">
        <f>'Quarterly historicals'!W209</f>
        <v>2.532</v>
      </c>
      <c r="X59" s="202">
        <f>'Quarterly historicals'!X209</f>
        <v>2.8730000000000002</v>
      </c>
      <c r="Y59" s="202">
        <f>'Quarterly historicals'!Y209</f>
        <v>8.2620000000000005</v>
      </c>
      <c r="Z59" s="202">
        <f>'Quarterly historicals'!Z209</f>
        <v>12.138</v>
      </c>
      <c r="AA59" s="202">
        <f>'Quarterly historicals'!AA209</f>
        <v>12.518000000000001</v>
      </c>
      <c r="AB59" s="202">
        <f>'Quarterly historicals'!AB209</f>
        <v>12.143000000000001</v>
      </c>
      <c r="AC59" s="202">
        <f>'Quarterly historicals'!AC209</f>
        <v>11.488</v>
      </c>
      <c r="AD59" s="202">
        <f>'Quarterly historicals'!AD209</f>
        <v>10.409000000000001</v>
      </c>
      <c r="AE59" s="202">
        <f>'Quarterly historicals'!AE209</f>
        <v>10.564</v>
      </c>
      <c r="AF59" s="327">
        <f>'Quarterly historicals'!AF209</f>
        <v>10.534000000000001</v>
      </c>
      <c r="AG59" s="327">
        <f>'Quarterly historicals'!AG209</f>
        <v>10.589</v>
      </c>
      <c r="AH59" s="327">
        <f>'Quarterly historicals'!AH209</f>
        <v>22.803999999999998</v>
      </c>
      <c r="AI59" s="327">
        <f>'Quarterly historicals'!AI209</f>
        <v>20.79</v>
      </c>
      <c r="AJ59" s="327">
        <f>'Quarterly historicals'!AJ209</f>
        <v>20.948</v>
      </c>
      <c r="AK59" s="202">
        <f>'Quarterly historicals'!AK209</f>
        <v>20.902000000000001</v>
      </c>
      <c r="AL59" s="202">
        <f>'Quarterly historicals'!AL209</f>
        <v>20.94</v>
      </c>
      <c r="AM59" s="202">
        <f>'Quarterly historicals'!AM209</f>
        <v>21.106000000000002</v>
      </c>
      <c r="AN59" s="202">
        <f>'Quarterly historicals'!AN209</f>
        <v>20.934999999999999</v>
      </c>
      <c r="AO59" s="202">
        <f>'Quarterly historicals'!AO209</f>
        <v>25.629000000000001</v>
      </c>
      <c r="AP59" s="202">
        <f>'Quarterly historicals'!AP209</f>
        <v>25.895</v>
      </c>
      <c r="AQ59" s="202">
        <f>'Quarterly historicals'!AQ209</f>
        <v>26.233000000000001</v>
      </c>
      <c r="AR59" s="202">
        <f>'Quarterly historicals'!AR209</f>
        <v>26.669</v>
      </c>
      <c r="AS59" s="202">
        <f>'Quarterly historicals'!AS209</f>
        <v>31.184000000000001</v>
      </c>
      <c r="AT59" s="355">
        <f>'Quarterly historicals'!AT209</f>
        <v>31.277999999999999</v>
      </c>
      <c r="AU59" s="356">
        <f t="shared" ref="AU59:BI59" si="373">AT59</f>
        <v>31.277999999999999</v>
      </c>
      <c r="AV59" s="356">
        <f t="shared" si="373"/>
        <v>31.277999999999999</v>
      </c>
      <c r="AW59" s="356">
        <f t="shared" si="373"/>
        <v>31.277999999999999</v>
      </c>
      <c r="AX59" s="356">
        <f t="shared" si="373"/>
        <v>31.277999999999999</v>
      </c>
      <c r="AY59" s="356">
        <f t="shared" si="373"/>
        <v>31.277999999999999</v>
      </c>
      <c r="AZ59" s="356">
        <f t="shared" si="373"/>
        <v>31.277999999999999</v>
      </c>
      <c r="BA59" s="356">
        <f t="shared" si="373"/>
        <v>31.277999999999999</v>
      </c>
      <c r="BB59" s="356">
        <f t="shared" si="373"/>
        <v>31.277999999999999</v>
      </c>
      <c r="BC59" s="356">
        <f t="shared" si="373"/>
        <v>31.277999999999999</v>
      </c>
      <c r="BD59" s="356">
        <f t="shared" si="373"/>
        <v>31.277999999999999</v>
      </c>
      <c r="BE59" s="356">
        <f t="shared" si="373"/>
        <v>31.277999999999999</v>
      </c>
      <c r="BF59" s="356">
        <f t="shared" si="373"/>
        <v>31.277999999999999</v>
      </c>
      <c r="BG59" s="356">
        <f t="shared" si="373"/>
        <v>31.277999999999999</v>
      </c>
      <c r="BH59" s="356">
        <f t="shared" si="373"/>
        <v>31.277999999999999</v>
      </c>
      <c r="BI59" s="356">
        <f t="shared" si="373"/>
        <v>31.277999999999999</v>
      </c>
      <c r="BJ59" s="356">
        <f t="shared" ref="BJ59" si="374">BI59</f>
        <v>31.277999999999999</v>
      </c>
      <c r="BK59" s="356">
        <f t="shared" ref="BK59" si="375">BJ59</f>
        <v>31.277999999999999</v>
      </c>
      <c r="BL59" s="356">
        <f t="shared" ref="BL59" si="376">BK59</f>
        <v>31.277999999999999</v>
      </c>
      <c r="BM59" s="356">
        <f t="shared" ref="BM59" si="377">BL59</f>
        <v>31.277999999999999</v>
      </c>
      <c r="BN59" s="356">
        <f t="shared" ref="BN59" si="378">BM59</f>
        <v>31.277999999999999</v>
      </c>
      <c r="BO59" s="356">
        <f t="shared" ref="BO59" si="379">BN59</f>
        <v>31.277999999999999</v>
      </c>
      <c r="BP59" s="356">
        <f t="shared" ref="BP59" si="380">BO59</f>
        <v>31.277999999999999</v>
      </c>
      <c r="BQ59" s="356">
        <f t="shared" ref="BQ59" si="381">BP59</f>
        <v>31.277999999999999</v>
      </c>
      <c r="BR59" s="356">
        <f t="shared" ref="BR59" si="382">BQ59</f>
        <v>31.277999999999999</v>
      </c>
      <c r="BS59" s="356">
        <f t="shared" ref="BS59" si="383">BR59</f>
        <v>31.277999999999999</v>
      </c>
      <c r="BT59" s="356">
        <f t="shared" ref="BT59" si="384">BS59</f>
        <v>31.277999999999999</v>
      </c>
      <c r="BU59" s="356">
        <f t="shared" ref="BU59" si="385">BT59</f>
        <v>31.277999999999999</v>
      </c>
      <c r="BV59" s="356">
        <f t="shared" ref="BV59" si="386">BU59</f>
        <v>31.277999999999999</v>
      </c>
      <c r="BW59" s="356">
        <f t="shared" ref="BW59" si="387">BV59</f>
        <v>31.277999999999999</v>
      </c>
      <c r="BX59" s="356">
        <f t="shared" ref="BX59" si="388">BW59</f>
        <v>31.277999999999999</v>
      </c>
      <c r="BY59" s="356">
        <f t="shared" ref="BY59" si="389">BX59</f>
        <v>31.277999999999999</v>
      </c>
      <c r="BZ59" s="198"/>
    </row>
    <row r="60" spans="1:80" s="106" customFormat="1">
      <c r="A60" s="613" t="s">
        <v>98</v>
      </c>
      <c r="B60" s="202">
        <f>'Quarterly historicals'!B210</f>
        <v>482.51299999999998</v>
      </c>
      <c r="C60" s="202">
        <f>'Quarterly historicals'!C210</f>
        <v>1214.3030000000001</v>
      </c>
      <c r="D60" s="202">
        <f>'Quarterly historicals'!D210</f>
        <v>1297.836</v>
      </c>
      <c r="E60" s="202">
        <f>'Quarterly historicals'!E210</f>
        <v>1938.9169999999999</v>
      </c>
      <c r="F60" s="202">
        <f>'Quarterly historicals'!F210</f>
        <v>2037.7929999999999</v>
      </c>
      <c r="G60" s="202">
        <f>'Quarterly historicals'!G210</f>
        <v>2072.2130000000002</v>
      </c>
      <c r="H60" s="202">
        <f>'Quarterly historicals'!H210</f>
        <v>2132.1109999999999</v>
      </c>
      <c r="I60" s="202">
        <f>'Quarterly historicals'!I210</f>
        <v>2292.1579999999999</v>
      </c>
      <c r="J60" s="202">
        <f>'Quarterly historicals'!J210</f>
        <v>2394.8110000000001</v>
      </c>
      <c r="K60" s="202">
        <f>'Quarterly historicals'!K210</f>
        <v>2384.5709999999999</v>
      </c>
      <c r="L60" s="202">
        <f>'Quarterly historicals'!L210</f>
        <v>2358.8000000000002</v>
      </c>
      <c r="M60" s="202">
        <f>'Quarterly historicals'!M210</f>
        <v>2481.605</v>
      </c>
      <c r="N60" s="202">
        <f>'Quarterly historicals'!N210</f>
        <v>2481.7139999999999</v>
      </c>
      <c r="O60" s="202">
        <f>'Quarterly historicals'!O210</f>
        <v>2443.5210000000002</v>
      </c>
      <c r="P60" s="202">
        <f>'Quarterly historicals'!P210</f>
        <v>2429.328</v>
      </c>
      <c r="Q60" s="202">
        <f>'Quarterly historicals'!Q210</f>
        <v>3042.759</v>
      </c>
      <c r="R60" s="202">
        <f>'Quarterly historicals'!R210</f>
        <v>2499.1909999999998</v>
      </c>
      <c r="S60" s="202">
        <f>'Quarterly historicals'!S210</f>
        <v>2473.913</v>
      </c>
      <c r="T60" s="202">
        <f>'Quarterly historicals'!T210</f>
        <v>2234.6280000000002</v>
      </c>
      <c r="U60" s="202">
        <f>'Quarterly historicals'!U210</f>
        <v>3106.916792</v>
      </c>
      <c r="V60" s="202">
        <f>'Quarterly historicals'!V210</f>
        <v>3105.9486960000004</v>
      </c>
      <c r="W60" s="202">
        <f>'Quarterly historicals'!W210</f>
        <v>3102.9720200000002</v>
      </c>
      <c r="X60" s="202">
        <f>'Quarterly historicals'!X210</f>
        <v>3357.851388</v>
      </c>
      <c r="Y60" s="202">
        <f>'Quarterly historicals'!Y210</f>
        <v>3596.1616239999998</v>
      </c>
      <c r="Z60" s="202">
        <f>'Quarterly historicals'!Z210</f>
        <v>3624.7286919999997</v>
      </c>
      <c r="AA60" s="202">
        <f>'Quarterly historicals'!AA210</f>
        <v>3567.889044</v>
      </c>
      <c r="AB60" s="202">
        <f>'Quarterly historicals'!AB210</f>
        <v>3557.5578840000003</v>
      </c>
      <c r="AC60" s="202">
        <f>'Quarterly historicals'!AC210</f>
        <v>3783.2404000000001</v>
      </c>
      <c r="AD60" s="202">
        <f>'Quarterly historicals'!AD210</f>
        <v>3738.1738559999999</v>
      </c>
      <c r="AE60" s="202">
        <f>'Quarterly historicals'!AE210</f>
        <v>3688.22552</v>
      </c>
      <c r="AF60" s="327">
        <f>'Quarterly historicals'!AF210</f>
        <v>3720.5891040000001</v>
      </c>
      <c r="AG60" s="327">
        <f>'Quarterly historicals'!AG210</f>
        <v>3912.1806080000001</v>
      </c>
      <c r="AH60" s="327">
        <f>'Quarterly historicals'!AH210</f>
        <v>3882.0739880000001</v>
      </c>
      <c r="AI60" s="327">
        <f>'Quarterly historicals'!AI210</f>
        <v>4017.9696479999998</v>
      </c>
      <c r="AJ60" s="327">
        <f>'Quarterly historicals'!AJ210</f>
        <v>4159.620868</v>
      </c>
      <c r="AK60" s="202">
        <f>'Quarterly historicals'!AK210</f>
        <v>4417.7063479999997</v>
      </c>
      <c r="AL60" s="202">
        <f>'Quarterly historicals'!AL210</f>
        <v>4357.5492480000003</v>
      </c>
      <c r="AM60" s="202">
        <f>'Quarterly historicals'!AM210</f>
        <v>4282.0159640000002</v>
      </c>
      <c r="AN60" s="202">
        <f>'Quarterly historicals'!AN210</f>
        <v>4275.4010920000001</v>
      </c>
      <c r="AO60" s="202">
        <f>'Quarterly historicals'!AO210</f>
        <v>4492.4620000000004</v>
      </c>
      <c r="AP60" s="202">
        <f>'Quarterly historicals'!AP210</f>
        <v>4426.0079999999998</v>
      </c>
      <c r="AQ60" s="202">
        <f>'Quarterly historicals'!AQ210</f>
        <v>4362.6779999999999</v>
      </c>
      <c r="AR60" s="202">
        <f>'Quarterly historicals'!AR210</f>
        <v>4429.7280000000001</v>
      </c>
      <c r="AS60" s="202">
        <f>'Quarterly historicals'!AS210</f>
        <v>5289.8940000000002</v>
      </c>
      <c r="AT60" s="358">
        <f>'Quarterly historicals'!AT210</f>
        <v>5143.7690000000002</v>
      </c>
      <c r="AU60" s="356">
        <f>AT60-Q_BS!AO43+Q_IS!BQ197</f>
        <v>5109.1288457496057</v>
      </c>
      <c r="AV60" s="356">
        <f>AU60-Q_BS!AP43+Q_IS!BR197</f>
        <v>5151.0297844867755</v>
      </c>
      <c r="AW60" s="356">
        <f>AV60-Q_BS!AQ43+Q_IS!BS197</f>
        <v>5285.3193197335859</v>
      </c>
      <c r="AX60" s="356">
        <f>AW60-Q_BS!AR43+Q_IS!BT197</f>
        <v>5192.117346862663</v>
      </c>
      <c r="AY60" s="356">
        <f>AX60-Q_BS!AS43+Q_IS!BU197</f>
        <v>5160.000596983703</v>
      </c>
      <c r="AZ60" s="356">
        <f>AY60-Q_BS!AT43+Q_IS!BV197</f>
        <v>5207.10368550356</v>
      </c>
      <c r="BA60" s="356">
        <f>AZ60-Q_BS!AU43+Q_IS!BW197</f>
        <v>5338.4260542672819</v>
      </c>
      <c r="BB60" s="356">
        <f>BA60-Q_BS!AV43+Q_IS!BX197</f>
        <v>5251.8441283506017</v>
      </c>
      <c r="BC60" s="356">
        <f>BB60-Q_BS!AW43+Q_IS!BY197</f>
        <v>5248.3213757812864</v>
      </c>
      <c r="BD60" s="356">
        <f>BC60-Q_BS!AX43+Q_IS!BZ197</f>
        <v>5350.2816551907054</v>
      </c>
      <c r="BE60" s="356">
        <f>BD60-Q_BS!AY43+Q_IS!CA197</f>
        <v>5515.5304172496144</v>
      </c>
      <c r="BF60" s="356">
        <f>BE60-Q_BS!AZ43+Q_IS!CB197</f>
        <v>5399.4618713320879</v>
      </c>
      <c r="BG60" s="356">
        <f>BF60-Q_BS!BA43+Q_IS!CC197</f>
        <v>5382.8767990353836</v>
      </c>
      <c r="BH60" s="356">
        <f>BG60-Q_BS!BB43+Q_IS!CD197</f>
        <v>5478.2256369095012</v>
      </c>
      <c r="BI60" s="356">
        <f>BH60-Q_BS!BC43+Q_IS!CE197</f>
        <v>5694.3256827168343</v>
      </c>
      <c r="BJ60" s="356">
        <f>BI60-Q_BS!BD43+Q_IS!CF197</f>
        <v>5580.0528343851647</v>
      </c>
      <c r="BK60" s="356">
        <f>BJ60-Q_BS!BE43+Q_IS!CG197</f>
        <v>5562.8592766128631</v>
      </c>
      <c r="BL60" s="356">
        <f>BK60-Q_BS!BF43+Q_IS!CH197</f>
        <v>5665.95896357322</v>
      </c>
      <c r="BM60" s="356">
        <f>BL60-Q_BS!BG43+Q_IS!CI197</f>
        <v>5876.8424994811339</v>
      </c>
      <c r="BN60" s="356">
        <f>BM60-Q_BS!BH43+Q_IS!CJ197</f>
        <v>5767.7072380372947</v>
      </c>
      <c r="BO60" s="356">
        <f>BN60-Q_BS!BI43+Q_IS!CK197</f>
        <v>5755.6771616247561</v>
      </c>
      <c r="BP60" s="356">
        <f>BO60-Q_BS!BJ43+Q_IS!CL197</f>
        <v>5861.2105507708156</v>
      </c>
      <c r="BQ60" s="356">
        <f>BP60-Q_BS!BK43+Q_IS!CM197</f>
        <v>6066.9140773676954</v>
      </c>
      <c r="BR60" s="356">
        <f>BQ60-Q_BS!BL43+Q_IS!CN197</f>
        <v>5961.001607876562</v>
      </c>
      <c r="BS60" s="356">
        <f>BR60-Q_BS!BM43+Q_IS!CO197</f>
        <v>5950.2867420547791</v>
      </c>
      <c r="BT60" s="356">
        <f>BS60-Q_BS!BN43+Q_IS!CP197</f>
        <v>6053.8183529214466</v>
      </c>
      <c r="BU60" s="356">
        <f>BT60-Q_BS!BO43+Q_IS!CQ197</f>
        <v>6264.0540472636167</v>
      </c>
      <c r="BV60" s="356">
        <f>BU60-Q_BS!BP43+Q_IS!CR197</f>
        <v>6144.4588496588194</v>
      </c>
      <c r="BW60" s="356">
        <f>BV60-Q_BS!BQ43+Q_IS!CS197</f>
        <v>6129.0318403792207</v>
      </c>
      <c r="BX60" s="356">
        <f>BW60-Q_BS!BR43+Q_IS!CT197</f>
        <v>6240.0461388617287</v>
      </c>
      <c r="BY60" s="356">
        <f>BX60-Q_BS!BS43+Q_IS!CU197</f>
        <v>6464.3056982946964</v>
      </c>
      <c r="BZ60" s="198"/>
    </row>
    <row r="61" spans="1:80" s="106" customFormat="1">
      <c r="A61" s="613" t="s">
        <v>99</v>
      </c>
      <c r="B61" s="202">
        <f>'Quarterly historicals'!B211</f>
        <v>0</v>
      </c>
      <c r="C61" s="202">
        <f>'Quarterly historicals'!C211</f>
        <v>0</v>
      </c>
      <c r="D61" s="202">
        <f>'Quarterly historicals'!D211</f>
        <v>0</v>
      </c>
      <c r="E61" s="202">
        <f>'Quarterly historicals'!E211</f>
        <v>0</v>
      </c>
      <c r="F61" s="327">
        <f>'Quarterly historicals'!F211</f>
        <v>0</v>
      </c>
      <c r="G61" s="202">
        <f>'Quarterly historicals'!G211</f>
        <v>0</v>
      </c>
      <c r="H61" s="202">
        <f>'Quarterly historicals'!H211</f>
        <v>0</v>
      </c>
      <c r="I61" s="327">
        <f>'Quarterly historicals'!I211</f>
        <v>39.006</v>
      </c>
      <c r="J61" s="202">
        <f>'Quarterly historicals'!J211</f>
        <v>37.890999999999998</v>
      </c>
      <c r="K61" s="202">
        <f>'Quarterly historicals'!K211</f>
        <v>36.997999999999998</v>
      </c>
      <c r="L61" s="202">
        <f>'Quarterly historicals'!L211</f>
        <v>35.762</v>
      </c>
      <c r="M61" s="202">
        <f>'Quarterly historicals'!M211</f>
        <v>37.887</v>
      </c>
      <c r="N61" s="202">
        <f>'Quarterly historicals'!N211</f>
        <v>40.706000000000003</v>
      </c>
      <c r="O61" s="202">
        <f>'Quarterly historicals'!O211</f>
        <v>40.521999999999998</v>
      </c>
      <c r="P61" s="202">
        <f>'Quarterly historicals'!P211</f>
        <v>40.335000000000001</v>
      </c>
      <c r="Q61" s="202">
        <f>'Quarterly historicals'!Q211</f>
        <v>37.167000000000002</v>
      </c>
      <c r="R61" s="202">
        <f>'Quarterly historicals'!R211</f>
        <v>36.984000000000002</v>
      </c>
      <c r="S61" s="202">
        <f>'Quarterly historicals'!S211</f>
        <v>36.805999999999997</v>
      </c>
      <c r="T61" s="202">
        <f>'Quarterly historicals'!T211</f>
        <v>36.137999999999998</v>
      </c>
      <c r="U61" s="202">
        <f>'Quarterly historicals'!U211</f>
        <v>36.725999999999999</v>
      </c>
      <c r="V61" s="202">
        <f>'Quarterly historicals'!V211</f>
        <v>36.546999999999997</v>
      </c>
      <c r="W61" s="202">
        <f>'Quarterly historicals'!W211</f>
        <v>37.817999999999998</v>
      </c>
      <c r="X61" s="202">
        <f>'Quarterly historicals'!X211</f>
        <v>83.798000000000002</v>
      </c>
      <c r="Y61" s="202">
        <f>'Quarterly historicals'!Y211</f>
        <v>69.41</v>
      </c>
      <c r="Z61" s="202">
        <f>'Quarterly historicals'!Z211</f>
        <v>68.906000000000006</v>
      </c>
      <c r="AA61" s="202">
        <f>'Quarterly historicals'!AA211</f>
        <v>87.95</v>
      </c>
      <c r="AB61" s="202">
        <f>'Quarterly historicals'!AB211</f>
        <v>86.527000000000001</v>
      </c>
      <c r="AC61" s="202">
        <f>'Quarterly historicals'!AC211</f>
        <v>242.946</v>
      </c>
      <c r="AD61" s="202">
        <f>'Quarterly historicals'!AD211</f>
        <v>241.49299999999999</v>
      </c>
      <c r="AE61" s="202">
        <f>'Quarterly historicals'!AE211</f>
        <v>240.005</v>
      </c>
      <c r="AF61" s="327">
        <f>'Quarterly historicals'!AF211</f>
        <v>201.602</v>
      </c>
      <c r="AG61" s="327">
        <f>'Quarterly historicals'!AG211</f>
        <v>202.48599999999999</v>
      </c>
      <c r="AH61" s="327">
        <f>'Quarterly historicals'!AH211</f>
        <v>190.96100000000001</v>
      </c>
      <c r="AI61" s="327">
        <f>'Quarterly historicals'!AI211</f>
        <v>510.964</v>
      </c>
      <c r="AJ61" s="327">
        <f>'Quarterly historicals'!AJ211</f>
        <v>488.38799999999998</v>
      </c>
      <c r="AK61" s="202">
        <f>'Quarterly historicals'!AK211</f>
        <v>500.67599999999999</v>
      </c>
      <c r="AL61" s="202">
        <f>'Quarterly historicals'!AL211</f>
        <v>494.76100000000002</v>
      </c>
      <c r="AM61" s="202">
        <f>'Quarterly historicals'!AM211</f>
        <v>491.51900000000001</v>
      </c>
      <c r="AN61" s="202">
        <f>'Quarterly historicals'!AN211</f>
        <v>488.37400000000002</v>
      </c>
      <c r="AO61" s="202">
        <f>'Quarterly historicals'!AO211</f>
        <v>489.63900000000001</v>
      </c>
      <c r="AP61" s="202">
        <f>'Quarterly historicals'!AP211</f>
        <v>483.81400000000002</v>
      </c>
      <c r="AQ61" s="202">
        <f>'Quarterly historicals'!AQ211</f>
        <v>476.435</v>
      </c>
      <c r="AR61" s="202">
        <f>'Quarterly historicals'!AR211</f>
        <v>473.79300000000001</v>
      </c>
      <c r="AS61" s="202">
        <f>'Quarterly historicals'!AS211</f>
        <v>473.94200000000001</v>
      </c>
      <c r="AT61" s="355">
        <f>'Quarterly historicals'!AT211</f>
        <v>468.40600000000001</v>
      </c>
      <c r="AU61" s="356">
        <f t="shared" ref="AU61:BI61" si="390">AT61</f>
        <v>468.40600000000001</v>
      </c>
      <c r="AV61" s="356">
        <f t="shared" si="390"/>
        <v>468.40600000000001</v>
      </c>
      <c r="AW61" s="356">
        <f t="shared" si="390"/>
        <v>468.40600000000001</v>
      </c>
      <c r="AX61" s="356">
        <f t="shared" si="390"/>
        <v>468.40600000000001</v>
      </c>
      <c r="AY61" s="356">
        <f t="shared" si="390"/>
        <v>468.40600000000001</v>
      </c>
      <c r="AZ61" s="356">
        <f t="shared" si="390"/>
        <v>468.40600000000001</v>
      </c>
      <c r="BA61" s="356">
        <f t="shared" si="390"/>
        <v>468.40600000000001</v>
      </c>
      <c r="BB61" s="356">
        <f t="shared" si="390"/>
        <v>468.40600000000001</v>
      </c>
      <c r="BC61" s="356">
        <f t="shared" si="390"/>
        <v>468.40600000000001</v>
      </c>
      <c r="BD61" s="356">
        <f t="shared" si="390"/>
        <v>468.40600000000001</v>
      </c>
      <c r="BE61" s="356">
        <f t="shared" si="390"/>
        <v>468.40600000000001</v>
      </c>
      <c r="BF61" s="356">
        <f t="shared" si="390"/>
        <v>468.40600000000001</v>
      </c>
      <c r="BG61" s="356">
        <f t="shared" si="390"/>
        <v>468.40600000000001</v>
      </c>
      <c r="BH61" s="356">
        <f t="shared" si="390"/>
        <v>468.40600000000001</v>
      </c>
      <c r="BI61" s="356">
        <f t="shared" si="390"/>
        <v>468.40600000000001</v>
      </c>
      <c r="BJ61" s="356">
        <f t="shared" ref="BJ61:BJ62" si="391">BI61</f>
        <v>468.40600000000001</v>
      </c>
      <c r="BK61" s="356">
        <f t="shared" ref="BK61:BK62" si="392">BJ61</f>
        <v>468.40600000000001</v>
      </c>
      <c r="BL61" s="356">
        <f t="shared" ref="BL61:BL62" si="393">BK61</f>
        <v>468.40600000000001</v>
      </c>
      <c r="BM61" s="356">
        <f t="shared" ref="BM61:BM62" si="394">BL61</f>
        <v>468.40600000000001</v>
      </c>
      <c r="BN61" s="356">
        <f t="shared" ref="BN61:BN62" si="395">BM61</f>
        <v>468.40600000000001</v>
      </c>
      <c r="BO61" s="356">
        <f t="shared" ref="BO61:BO62" si="396">BN61</f>
        <v>468.40600000000001</v>
      </c>
      <c r="BP61" s="356">
        <f t="shared" ref="BP61:BP62" si="397">BO61</f>
        <v>468.40600000000001</v>
      </c>
      <c r="BQ61" s="356">
        <f t="shared" ref="BQ61:BQ62" si="398">BP61</f>
        <v>468.40600000000001</v>
      </c>
      <c r="BR61" s="356">
        <f t="shared" ref="BR61:BR62" si="399">BQ61</f>
        <v>468.40600000000001</v>
      </c>
      <c r="BS61" s="356">
        <f t="shared" ref="BS61:BS62" si="400">BR61</f>
        <v>468.40600000000001</v>
      </c>
      <c r="BT61" s="356">
        <f t="shared" ref="BT61:BT62" si="401">BS61</f>
        <v>468.40600000000001</v>
      </c>
      <c r="BU61" s="356">
        <f t="shared" ref="BU61:BU62" si="402">BT61</f>
        <v>468.40600000000001</v>
      </c>
      <c r="BV61" s="356">
        <f t="shared" ref="BV61:BV62" si="403">BU61</f>
        <v>468.40600000000001</v>
      </c>
      <c r="BW61" s="356">
        <f t="shared" ref="BW61:BW62" si="404">BV61</f>
        <v>468.40600000000001</v>
      </c>
      <c r="BX61" s="356">
        <f t="shared" ref="BX61:BX62" si="405">BW61</f>
        <v>468.40600000000001</v>
      </c>
      <c r="BY61" s="356">
        <f t="shared" ref="BY61:BY62" si="406">BX61</f>
        <v>468.40600000000001</v>
      </c>
      <c r="BZ61" s="198"/>
    </row>
    <row r="62" spans="1:80" s="106" customFormat="1">
      <c r="A62" s="613" t="s">
        <v>100</v>
      </c>
      <c r="B62" s="202">
        <f>'Quarterly historicals'!B212</f>
        <v>0.40899999999999997</v>
      </c>
      <c r="C62" s="202">
        <f>'Quarterly historicals'!C212</f>
        <v>2.452</v>
      </c>
      <c r="D62" s="202">
        <f>'Quarterly historicals'!D212</f>
        <v>4.6159999999999997</v>
      </c>
      <c r="E62" s="202">
        <f>'Quarterly historicals'!E212</f>
        <v>7.65</v>
      </c>
      <c r="F62" s="202">
        <f>'Quarterly historicals'!F212</f>
        <v>11.273</v>
      </c>
      <c r="G62" s="202">
        <f>'Quarterly historicals'!G212</f>
        <v>17.295999999999999</v>
      </c>
      <c r="H62" s="202">
        <f>'Quarterly historicals'!H212</f>
        <v>26.149000000000001</v>
      </c>
      <c r="I62" s="202">
        <f>'Quarterly historicals'!I212</f>
        <v>35.136000000000003</v>
      </c>
      <c r="J62" s="202">
        <f>'Quarterly historicals'!J212</f>
        <v>36.701999999999998</v>
      </c>
      <c r="K62" s="202">
        <f>'Quarterly historicals'!K212</f>
        <v>44.936</v>
      </c>
      <c r="L62" s="202">
        <f>'Quarterly historicals'!L212</f>
        <v>44.454000000000001</v>
      </c>
      <c r="M62" s="202">
        <f>'Quarterly historicals'!M212</f>
        <v>42.819000000000003</v>
      </c>
      <c r="N62" s="202">
        <f>'Quarterly historicals'!N212</f>
        <v>39.124000000000002</v>
      </c>
      <c r="O62" s="202">
        <f>'Quarterly historicals'!O212</f>
        <v>38.463999999999999</v>
      </c>
      <c r="P62" s="202">
        <f>'Quarterly historicals'!P212</f>
        <v>37.802999999999997</v>
      </c>
      <c r="Q62" s="202">
        <f>'Quarterly historicals'!Q212</f>
        <v>0</v>
      </c>
      <c r="R62" s="202">
        <f>'Quarterly historicals'!R212</f>
        <v>39.012</v>
      </c>
      <c r="S62" s="202">
        <f>'Quarterly historicals'!S212</f>
        <v>37.847999999999999</v>
      </c>
      <c r="T62" s="202">
        <f>'Quarterly historicals'!T212</f>
        <v>22.393000000000001</v>
      </c>
      <c r="U62" s="202">
        <f>'Quarterly historicals'!U212</f>
        <v>0</v>
      </c>
      <c r="V62" s="202">
        <f>'Quarterly historicals'!V212</f>
        <v>0</v>
      </c>
      <c r="W62" s="202">
        <f>'Quarterly historicals'!W212</f>
        <v>0</v>
      </c>
      <c r="X62" s="202">
        <f>'Quarterly historicals'!X212</f>
        <v>0</v>
      </c>
      <c r="Y62" s="202">
        <f>'Quarterly historicals'!Y212</f>
        <v>0</v>
      </c>
      <c r="Z62" s="202">
        <f>'Quarterly historicals'!Z212</f>
        <v>0</v>
      </c>
      <c r="AA62" s="202">
        <f>'Quarterly historicals'!AA212</f>
        <v>0</v>
      </c>
      <c r="AB62" s="202">
        <f>'Quarterly historicals'!AB212</f>
        <v>0</v>
      </c>
      <c r="AC62" s="202">
        <f>'Quarterly historicals'!AC212</f>
        <v>0</v>
      </c>
      <c r="AD62" s="202">
        <f>'Quarterly historicals'!AD212</f>
        <v>0</v>
      </c>
      <c r="AE62" s="202">
        <f>'Quarterly historicals'!AE212</f>
        <v>0</v>
      </c>
      <c r="AF62" s="327">
        <f>'Quarterly historicals'!AF212</f>
        <v>0</v>
      </c>
      <c r="AG62" s="327">
        <f>'Quarterly historicals'!AG212</f>
        <v>0</v>
      </c>
      <c r="AH62" s="327">
        <f>'Quarterly historicals'!AH212</f>
        <v>0</v>
      </c>
      <c r="AI62" s="327">
        <f>'Quarterly historicals'!AI212</f>
        <v>0</v>
      </c>
      <c r="AJ62" s="327">
        <f>'Quarterly historicals'!AJ212</f>
        <v>0</v>
      </c>
      <c r="AK62" s="202">
        <f>'Quarterly historicals'!AK212</f>
        <v>0</v>
      </c>
      <c r="AL62" s="202">
        <f>'Quarterly historicals'!AL212</f>
        <v>0</v>
      </c>
      <c r="AM62" s="202">
        <f>'Quarterly historicals'!AM212</f>
        <v>0</v>
      </c>
      <c r="AN62" s="202">
        <f>'Quarterly historicals'!AN212</f>
        <v>0</v>
      </c>
      <c r="AO62" s="202">
        <f>'Quarterly historicals'!AO212</f>
        <v>0</v>
      </c>
      <c r="AP62" s="202">
        <f>'Quarterly historicals'!AP212</f>
        <v>0</v>
      </c>
      <c r="AQ62" s="202">
        <f>'Quarterly historicals'!AQ212</f>
        <v>0</v>
      </c>
      <c r="AR62" s="202">
        <f>'Quarterly historicals'!AR212</f>
        <v>0</v>
      </c>
      <c r="AS62" s="202">
        <f>'Quarterly historicals'!AS212</f>
        <v>0</v>
      </c>
      <c r="AT62" s="355">
        <f>'Quarterly historicals'!AT212</f>
        <v>0</v>
      </c>
      <c r="AU62" s="356">
        <f t="shared" ref="AU62:BI62" si="407">AT62</f>
        <v>0</v>
      </c>
      <c r="AV62" s="356">
        <f t="shared" si="407"/>
        <v>0</v>
      </c>
      <c r="AW62" s="356">
        <f t="shared" si="407"/>
        <v>0</v>
      </c>
      <c r="AX62" s="356">
        <f t="shared" si="407"/>
        <v>0</v>
      </c>
      <c r="AY62" s="356">
        <f t="shared" si="407"/>
        <v>0</v>
      </c>
      <c r="AZ62" s="356">
        <f t="shared" si="407"/>
        <v>0</v>
      </c>
      <c r="BA62" s="356">
        <f t="shared" si="407"/>
        <v>0</v>
      </c>
      <c r="BB62" s="356">
        <f t="shared" si="407"/>
        <v>0</v>
      </c>
      <c r="BC62" s="356">
        <f t="shared" si="407"/>
        <v>0</v>
      </c>
      <c r="BD62" s="356">
        <f t="shared" si="407"/>
        <v>0</v>
      </c>
      <c r="BE62" s="356">
        <f t="shared" si="407"/>
        <v>0</v>
      </c>
      <c r="BF62" s="356">
        <f t="shared" si="407"/>
        <v>0</v>
      </c>
      <c r="BG62" s="356">
        <f t="shared" si="407"/>
        <v>0</v>
      </c>
      <c r="BH62" s="356">
        <f t="shared" si="407"/>
        <v>0</v>
      </c>
      <c r="BI62" s="356">
        <f t="shared" si="407"/>
        <v>0</v>
      </c>
      <c r="BJ62" s="356">
        <f t="shared" si="391"/>
        <v>0</v>
      </c>
      <c r="BK62" s="356">
        <f t="shared" si="392"/>
        <v>0</v>
      </c>
      <c r="BL62" s="356">
        <f t="shared" si="393"/>
        <v>0</v>
      </c>
      <c r="BM62" s="356">
        <f t="shared" si="394"/>
        <v>0</v>
      </c>
      <c r="BN62" s="356">
        <f t="shared" si="395"/>
        <v>0</v>
      </c>
      <c r="BO62" s="356">
        <f t="shared" si="396"/>
        <v>0</v>
      </c>
      <c r="BP62" s="356">
        <f t="shared" si="397"/>
        <v>0</v>
      </c>
      <c r="BQ62" s="356">
        <f t="shared" si="398"/>
        <v>0</v>
      </c>
      <c r="BR62" s="356">
        <f t="shared" si="399"/>
        <v>0</v>
      </c>
      <c r="BS62" s="356">
        <f t="shared" si="400"/>
        <v>0</v>
      </c>
      <c r="BT62" s="356">
        <f t="shared" si="401"/>
        <v>0</v>
      </c>
      <c r="BU62" s="356">
        <f t="shared" si="402"/>
        <v>0</v>
      </c>
      <c r="BV62" s="356">
        <f t="shared" si="403"/>
        <v>0</v>
      </c>
      <c r="BW62" s="356">
        <f t="shared" si="404"/>
        <v>0</v>
      </c>
      <c r="BX62" s="356">
        <f t="shared" si="405"/>
        <v>0</v>
      </c>
      <c r="BY62" s="356">
        <f t="shared" si="406"/>
        <v>0</v>
      </c>
      <c r="BZ62" s="198"/>
    </row>
    <row r="63" spans="1:80" s="106" customFormat="1" ht="15" customHeight="1">
      <c r="A63" s="609" t="s">
        <v>242</v>
      </c>
      <c r="B63" s="610">
        <f t="shared" ref="B63:AG63" si="408">SUM(B59:B62)</f>
        <v>482.98199999999997</v>
      </c>
      <c r="C63" s="610">
        <f t="shared" si="408"/>
        <v>1216.8990000000001</v>
      </c>
      <c r="D63" s="610">
        <f t="shared" si="408"/>
        <v>1302.5940000000001</v>
      </c>
      <c r="E63" s="610">
        <f t="shared" si="408"/>
        <v>1946.7090000000001</v>
      </c>
      <c r="F63" s="610">
        <f t="shared" si="408"/>
        <v>2099.9380000000001</v>
      </c>
      <c r="G63" s="610">
        <f t="shared" si="408"/>
        <v>2138.6109999999999</v>
      </c>
      <c r="H63" s="610">
        <f t="shared" si="408"/>
        <v>2196.8889999999997</v>
      </c>
      <c r="I63" s="610">
        <f t="shared" si="408"/>
        <v>2366.4669999999996</v>
      </c>
      <c r="J63" s="610">
        <f t="shared" si="408"/>
        <v>2472.951</v>
      </c>
      <c r="K63" s="610">
        <f t="shared" si="408"/>
        <v>2470.0520000000001</v>
      </c>
      <c r="L63" s="610">
        <f t="shared" si="408"/>
        <v>2442.5630000000006</v>
      </c>
      <c r="M63" s="610">
        <f t="shared" si="408"/>
        <v>2565.7930000000001</v>
      </c>
      <c r="N63" s="610">
        <f t="shared" si="408"/>
        <v>2565.0839999999998</v>
      </c>
      <c r="O63" s="610">
        <f t="shared" si="408"/>
        <v>2526.047</v>
      </c>
      <c r="P63" s="610">
        <f t="shared" si="408"/>
        <v>2511.0059999999999</v>
      </c>
      <c r="Q63" s="610">
        <f t="shared" si="408"/>
        <v>3541.8780000000002</v>
      </c>
      <c r="R63" s="610">
        <f t="shared" si="408"/>
        <v>2578.7269999999999</v>
      </c>
      <c r="S63" s="610">
        <f t="shared" si="408"/>
        <v>2552.107</v>
      </c>
      <c r="T63" s="610">
        <f t="shared" si="408"/>
        <v>2296.6990000000001</v>
      </c>
      <c r="U63" s="610">
        <f t="shared" si="408"/>
        <v>3143.6427920000001</v>
      </c>
      <c r="V63" s="610">
        <f t="shared" si="408"/>
        <v>3142.4956960000004</v>
      </c>
      <c r="W63" s="610">
        <f t="shared" si="408"/>
        <v>3143.3220200000005</v>
      </c>
      <c r="X63" s="610">
        <f t="shared" si="408"/>
        <v>3444.5223880000003</v>
      </c>
      <c r="Y63" s="610">
        <f t="shared" si="408"/>
        <v>3673.8336239999999</v>
      </c>
      <c r="Z63" s="610">
        <f t="shared" si="408"/>
        <v>3705.7726919999996</v>
      </c>
      <c r="AA63" s="610">
        <f t="shared" si="408"/>
        <v>3668.3570439999999</v>
      </c>
      <c r="AB63" s="610">
        <f t="shared" si="408"/>
        <v>3656.2278840000004</v>
      </c>
      <c r="AC63" s="610">
        <f t="shared" si="408"/>
        <v>4037.6743999999999</v>
      </c>
      <c r="AD63" s="610">
        <f t="shared" si="408"/>
        <v>3990.0758559999999</v>
      </c>
      <c r="AE63" s="610">
        <f t="shared" si="408"/>
        <v>3938.7945199999999</v>
      </c>
      <c r="AF63" s="612">
        <f t="shared" si="408"/>
        <v>3932.7251040000001</v>
      </c>
      <c r="AG63" s="612">
        <f t="shared" si="408"/>
        <v>4125.2556080000004</v>
      </c>
      <c r="AH63" s="612">
        <f t="shared" ref="AH63:BM63" si="409">SUM(AH59:AH62)</f>
        <v>4095.8389880000004</v>
      </c>
      <c r="AI63" s="612">
        <f t="shared" si="409"/>
        <v>4549.7236480000001</v>
      </c>
      <c r="AJ63" s="612">
        <f t="shared" si="409"/>
        <v>4668.9568680000002</v>
      </c>
      <c r="AK63" s="610">
        <f t="shared" si="409"/>
        <v>4939.2843480000001</v>
      </c>
      <c r="AL63" s="610">
        <f t="shared" si="409"/>
        <v>4873.2502480000003</v>
      </c>
      <c r="AM63" s="610">
        <f t="shared" si="409"/>
        <v>4794.6409640000002</v>
      </c>
      <c r="AN63" s="610">
        <f t="shared" si="409"/>
        <v>4784.7100920000003</v>
      </c>
      <c r="AO63" s="610">
        <f t="shared" si="409"/>
        <v>5007.7300000000005</v>
      </c>
      <c r="AP63" s="610">
        <f t="shared" ref="AP63:AQ63" si="410">SUM(AP59:AP62)</f>
        <v>4935.7170000000006</v>
      </c>
      <c r="AQ63" s="610">
        <f t="shared" si="410"/>
        <v>4865.3460000000005</v>
      </c>
      <c r="AR63" s="610">
        <f t="shared" ref="AR63:AS63" si="411">SUM(AR59:AR62)</f>
        <v>4930.1899999999996</v>
      </c>
      <c r="AS63" s="610">
        <f t="shared" si="411"/>
        <v>5795.02</v>
      </c>
      <c r="AT63" s="628">
        <f t="shared" ref="AT63" si="412">SUM(AT59:AT62)</f>
        <v>5643.4530000000004</v>
      </c>
      <c r="AU63" s="611">
        <f t="shared" si="409"/>
        <v>5608.8128457496059</v>
      </c>
      <c r="AV63" s="611">
        <f t="shared" si="409"/>
        <v>5650.7137844867757</v>
      </c>
      <c r="AW63" s="611">
        <f t="shared" si="409"/>
        <v>5785.0033197335861</v>
      </c>
      <c r="AX63" s="611">
        <f t="shared" si="409"/>
        <v>5691.8013468626632</v>
      </c>
      <c r="AY63" s="611">
        <f t="shared" si="409"/>
        <v>5659.6845969837032</v>
      </c>
      <c r="AZ63" s="611">
        <f t="shared" si="409"/>
        <v>5706.7876855035602</v>
      </c>
      <c r="BA63" s="611">
        <f t="shared" si="409"/>
        <v>5838.1100542672821</v>
      </c>
      <c r="BB63" s="611">
        <f t="shared" si="409"/>
        <v>5751.5281283506019</v>
      </c>
      <c r="BC63" s="611">
        <f t="shared" si="409"/>
        <v>5748.0053757812866</v>
      </c>
      <c r="BD63" s="611">
        <f t="shared" si="409"/>
        <v>5849.9656551907055</v>
      </c>
      <c r="BE63" s="611">
        <f t="shared" si="409"/>
        <v>6015.2144172496146</v>
      </c>
      <c r="BF63" s="611">
        <f t="shared" si="409"/>
        <v>5899.1458713320881</v>
      </c>
      <c r="BG63" s="611">
        <f t="shared" si="409"/>
        <v>5882.5607990353838</v>
      </c>
      <c r="BH63" s="611">
        <f t="shared" si="409"/>
        <v>5977.9096369095014</v>
      </c>
      <c r="BI63" s="611">
        <f t="shared" si="409"/>
        <v>6194.0096827168345</v>
      </c>
      <c r="BJ63" s="611">
        <f t="shared" si="409"/>
        <v>6079.7368343851649</v>
      </c>
      <c r="BK63" s="611">
        <f t="shared" si="409"/>
        <v>6062.5432766128633</v>
      </c>
      <c r="BL63" s="611">
        <f t="shared" si="409"/>
        <v>6165.6429635732202</v>
      </c>
      <c r="BM63" s="611">
        <f t="shared" si="409"/>
        <v>6376.5264994811341</v>
      </c>
      <c r="BN63" s="611">
        <f t="shared" ref="BN63:BY63" si="413">SUM(BN59:BN62)</f>
        <v>6267.3912380372949</v>
      </c>
      <c r="BO63" s="611">
        <f t="shared" si="413"/>
        <v>6255.3611616247563</v>
      </c>
      <c r="BP63" s="611">
        <f t="shared" si="413"/>
        <v>6360.8945507708158</v>
      </c>
      <c r="BQ63" s="611">
        <f t="shared" si="413"/>
        <v>6566.5980773676956</v>
      </c>
      <c r="BR63" s="611">
        <f t="shared" si="413"/>
        <v>6460.6856078765622</v>
      </c>
      <c r="BS63" s="611">
        <f t="shared" si="413"/>
        <v>6449.9707420547793</v>
      </c>
      <c r="BT63" s="611">
        <f t="shared" si="413"/>
        <v>6553.5023529214468</v>
      </c>
      <c r="BU63" s="611">
        <f t="shared" si="413"/>
        <v>6763.7380472636169</v>
      </c>
      <c r="BV63" s="611">
        <f t="shared" si="413"/>
        <v>6644.1428496588196</v>
      </c>
      <c r="BW63" s="611">
        <f t="shared" si="413"/>
        <v>6628.7158403792209</v>
      </c>
      <c r="BX63" s="611">
        <f t="shared" si="413"/>
        <v>6739.7301388617288</v>
      </c>
      <c r="BY63" s="611">
        <f t="shared" si="413"/>
        <v>6963.9896982946966</v>
      </c>
      <c r="BZ63" s="198"/>
    </row>
    <row r="64" spans="1:80" s="106" customFormat="1" ht="15" customHeight="1">
      <c r="A64" s="626" t="s">
        <v>243</v>
      </c>
      <c r="B64" s="610">
        <f t="shared" ref="B64:AG64" si="414">SUM(B63,B57,B54)</f>
        <v>691.82600000000002</v>
      </c>
      <c r="C64" s="610">
        <f t="shared" si="414"/>
        <v>1805.6450000000002</v>
      </c>
      <c r="D64" s="610">
        <f t="shared" si="414"/>
        <v>1773.8560000000002</v>
      </c>
      <c r="E64" s="610">
        <f t="shared" si="414"/>
        <v>2642.9260000000004</v>
      </c>
      <c r="F64" s="610">
        <f t="shared" si="414"/>
        <v>2756.1689999999999</v>
      </c>
      <c r="G64" s="610">
        <f t="shared" si="414"/>
        <v>2835.0749999999998</v>
      </c>
      <c r="H64" s="610">
        <f t="shared" si="414"/>
        <v>2915.1259999999997</v>
      </c>
      <c r="I64" s="610">
        <f t="shared" si="414"/>
        <v>2916.6229999999996</v>
      </c>
      <c r="J64" s="610">
        <f t="shared" si="414"/>
        <v>3044.4360000000001</v>
      </c>
      <c r="K64" s="610">
        <f t="shared" si="414"/>
        <v>3390.8450000000003</v>
      </c>
      <c r="L64" s="610">
        <f t="shared" si="414"/>
        <v>3389.8270000000007</v>
      </c>
      <c r="M64" s="610">
        <f t="shared" si="414"/>
        <v>3394.692</v>
      </c>
      <c r="N64" s="610">
        <f t="shared" si="414"/>
        <v>3339.1809999999996</v>
      </c>
      <c r="O64" s="610">
        <f t="shared" si="414"/>
        <v>3425.81</v>
      </c>
      <c r="P64" s="610">
        <f t="shared" si="414"/>
        <v>3416.3359999999998</v>
      </c>
      <c r="Q64" s="610">
        <f t="shared" si="414"/>
        <v>4187.4430000000002</v>
      </c>
      <c r="R64" s="610">
        <f t="shared" si="414"/>
        <v>3468.098</v>
      </c>
      <c r="S64" s="610">
        <f t="shared" si="414"/>
        <v>3616.009</v>
      </c>
      <c r="T64" s="610">
        <f t="shared" si="414"/>
        <v>3285.0800000000004</v>
      </c>
      <c r="U64" s="610">
        <f t="shared" si="414"/>
        <v>3941.6580000000004</v>
      </c>
      <c r="V64" s="610">
        <f t="shared" si="414"/>
        <v>4211.3</v>
      </c>
      <c r="W64" s="610">
        <f t="shared" si="414"/>
        <v>4409.75</v>
      </c>
      <c r="X64" s="610">
        <f t="shared" si="414"/>
        <v>4834.4150000000009</v>
      </c>
      <c r="Y64" s="610">
        <f t="shared" si="414"/>
        <v>4787.1669999999995</v>
      </c>
      <c r="Z64" s="610">
        <f t="shared" si="414"/>
        <v>5392.9789999999994</v>
      </c>
      <c r="AA64" s="610">
        <f t="shared" si="414"/>
        <v>5513.6929999999993</v>
      </c>
      <c r="AB64" s="610">
        <f t="shared" si="414"/>
        <v>5449.3580000000002</v>
      </c>
      <c r="AC64" s="610">
        <f t="shared" si="414"/>
        <v>5633.1009999999997</v>
      </c>
      <c r="AD64" s="610">
        <f t="shared" si="414"/>
        <v>5676.4481000000005</v>
      </c>
      <c r="AE64" s="610">
        <f t="shared" si="414"/>
        <v>5751.857</v>
      </c>
      <c r="AF64" s="612">
        <f t="shared" si="414"/>
        <v>5774.0230000000001</v>
      </c>
      <c r="AG64" s="612">
        <f t="shared" si="414"/>
        <v>5825.9510000000009</v>
      </c>
      <c r="AH64" s="612">
        <f t="shared" ref="AH64:BM64" si="415">SUM(AH63,AH57,AH54)</f>
        <v>6266.0790000000006</v>
      </c>
      <c r="AI64" s="612">
        <f t="shared" si="415"/>
        <v>7013.366</v>
      </c>
      <c r="AJ64" s="612">
        <f t="shared" si="415"/>
        <v>7250.5640000000003</v>
      </c>
      <c r="AK64" s="610">
        <f t="shared" si="415"/>
        <v>7619.0319999999992</v>
      </c>
      <c r="AL64" s="610">
        <f t="shared" si="415"/>
        <v>7760.6309999999994</v>
      </c>
      <c r="AM64" s="610">
        <f t="shared" si="415"/>
        <v>7796.8119999999999</v>
      </c>
      <c r="AN64" s="610">
        <f t="shared" si="415"/>
        <v>7585.2610000000004</v>
      </c>
      <c r="AO64" s="610">
        <f t="shared" si="415"/>
        <v>7755.59</v>
      </c>
      <c r="AP64" s="610">
        <f t="shared" ref="AP64:AQ64" si="416">SUM(AP63,AP57,AP54)</f>
        <v>7553.9150000000009</v>
      </c>
      <c r="AQ64" s="610">
        <f t="shared" si="416"/>
        <v>7925.4960000000001</v>
      </c>
      <c r="AR64" s="610">
        <f t="shared" ref="AR64:AS64" si="417">SUM(AR63,AR57,AR54)</f>
        <v>8031.8439999999991</v>
      </c>
      <c r="AS64" s="610">
        <f t="shared" si="417"/>
        <v>8691.5250000000015</v>
      </c>
      <c r="AT64" s="628">
        <f t="shared" ref="AT64" si="418">SUM(AT63,AT57,AT54)</f>
        <v>9175.5620000000017</v>
      </c>
      <c r="AU64" s="611">
        <f t="shared" si="415"/>
        <v>9562.7420082494136</v>
      </c>
      <c r="AV64" s="611">
        <f t="shared" si="415"/>
        <v>9482.6374313115011</v>
      </c>
      <c r="AW64" s="611">
        <f t="shared" si="415"/>
        <v>8792.8354242197202</v>
      </c>
      <c r="AX64" s="611">
        <f t="shared" si="415"/>
        <v>9365.5266522179099</v>
      </c>
      <c r="AY64" s="611">
        <f t="shared" si="415"/>
        <v>9621.7858278762506</v>
      </c>
      <c r="AZ64" s="611">
        <f t="shared" si="415"/>
        <v>9534.6935413717893</v>
      </c>
      <c r="BA64" s="611">
        <f t="shared" si="415"/>
        <v>8947.6532629508074</v>
      </c>
      <c r="BB64" s="611">
        <f t="shared" si="415"/>
        <v>9720.0208805220955</v>
      </c>
      <c r="BC64" s="611">
        <f t="shared" si="415"/>
        <v>10020.63026970196</v>
      </c>
      <c r="BD64" s="611">
        <f t="shared" si="415"/>
        <v>9943.9695232358608</v>
      </c>
      <c r="BE64" s="611">
        <f t="shared" si="415"/>
        <v>9159.6074615680845</v>
      </c>
      <c r="BF64" s="611">
        <f t="shared" si="415"/>
        <v>10116.167545100343</v>
      </c>
      <c r="BG64" s="611">
        <f t="shared" si="415"/>
        <v>10442.002651622861</v>
      </c>
      <c r="BH64" s="611">
        <f t="shared" si="415"/>
        <v>10361.209206732239</v>
      </c>
      <c r="BI64" s="611">
        <f t="shared" si="415"/>
        <v>9435.2135787354109</v>
      </c>
      <c r="BJ64" s="611">
        <f t="shared" si="415"/>
        <v>10429.227639104169</v>
      </c>
      <c r="BK64" s="611">
        <f t="shared" si="415"/>
        <v>10776.128840603493</v>
      </c>
      <c r="BL64" s="611">
        <f t="shared" si="415"/>
        <v>10690.549191269318</v>
      </c>
      <c r="BM64" s="611">
        <f t="shared" si="415"/>
        <v>9704.1496898192163</v>
      </c>
      <c r="BN64" s="611">
        <f t="shared" ref="BN64:BY64" si="419">SUM(BN63,BN57,BN54)</f>
        <v>10507.102614594929</v>
      </c>
      <c r="BO64" s="611">
        <f t="shared" si="419"/>
        <v>10859.868569799068</v>
      </c>
      <c r="BP64" s="611">
        <f t="shared" si="419"/>
        <v>10752.257359973682</v>
      </c>
      <c r="BQ64" s="611">
        <f t="shared" si="419"/>
        <v>9684.741186540834</v>
      </c>
      <c r="BR64" s="611">
        <f t="shared" si="419"/>
        <v>10379.04974798886</v>
      </c>
      <c r="BS64" s="611">
        <f t="shared" si="419"/>
        <v>10738.604941449543</v>
      </c>
      <c r="BT64" s="611">
        <f t="shared" si="419"/>
        <v>10610.942376675297</v>
      </c>
      <c r="BU64" s="611">
        <f t="shared" si="419"/>
        <v>9667.3497493233426</v>
      </c>
      <c r="BV64" s="611">
        <f t="shared" si="419"/>
        <v>10479.363494755402</v>
      </c>
      <c r="BW64" s="611">
        <f t="shared" si="419"/>
        <v>10882.701186761758</v>
      </c>
      <c r="BX64" s="611">
        <f t="shared" si="419"/>
        <v>10790.746692251481</v>
      </c>
      <c r="BY64" s="611">
        <f t="shared" si="419"/>
        <v>9687.3450962150455</v>
      </c>
      <c r="BZ64" s="198"/>
    </row>
    <row r="65" spans="1:83">
      <c r="A65" s="203"/>
      <c r="B65" s="374"/>
      <c r="C65" s="374"/>
      <c r="D65" s="374"/>
      <c r="E65" s="374"/>
      <c r="F65" s="374"/>
      <c r="G65" s="374"/>
      <c r="H65" s="374"/>
      <c r="I65" s="374"/>
      <c r="J65" s="374"/>
      <c r="K65" s="374"/>
      <c r="L65" s="374"/>
      <c r="M65" s="374"/>
      <c r="N65" s="374"/>
      <c r="O65" s="374"/>
      <c r="P65" s="374"/>
      <c r="Q65" s="374"/>
      <c r="R65" s="374"/>
      <c r="S65" s="374"/>
      <c r="T65" s="374"/>
      <c r="U65" s="374"/>
      <c r="V65" s="374"/>
      <c r="W65" s="374"/>
      <c r="X65" s="374"/>
      <c r="Y65" s="374"/>
      <c r="Z65" s="374"/>
      <c r="AA65" s="374"/>
      <c r="AB65" s="374"/>
      <c r="AC65" s="374"/>
      <c r="AD65" s="374"/>
      <c r="AE65" s="374"/>
      <c r="AF65" s="375"/>
      <c r="AG65" s="375"/>
      <c r="AH65" s="375"/>
      <c r="AI65" s="375"/>
      <c r="AJ65" s="375"/>
      <c r="AK65" s="374"/>
      <c r="AL65" s="374"/>
      <c r="AM65" s="376"/>
      <c r="AN65" s="376"/>
      <c r="AO65" s="376"/>
      <c r="AP65" s="376"/>
      <c r="AQ65" s="376"/>
      <c r="AR65" s="376"/>
      <c r="AS65" s="376"/>
      <c r="AT65" s="1442"/>
      <c r="AU65" s="376"/>
      <c r="AV65" s="376"/>
      <c r="AW65" s="376"/>
      <c r="AX65" s="376"/>
      <c r="AY65" s="376"/>
      <c r="AZ65" s="376"/>
      <c r="BA65" s="376"/>
      <c r="BB65" s="376"/>
      <c r="BC65" s="376"/>
      <c r="BD65" s="376"/>
      <c r="BE65" s="376"/>
      <c r="BF65" s="376"/>
      <c r="BG65" s="376"/>
      <c r="BH65" s="376"/>
      <c r="BI65" s="376"/>
      <c r="BJ65" s="376"/>
      <c r="BK65" s="376"/>
      <c r="BL65" s="376"/>
      <c r="BM65" s="376"/>
      <c r="BN65" s="376"/>
      <c r="BO65" s="376"/>
      <c r="BP65" s="376"/>
      <c r="BQ65" s="376"/>
      <c r="BR65" s="376"/>
      <c r="BS65" s="376"/>
      <c r="BT65" s="376"/>
      <c r="BU65" s="376"/>
      <c r="BV65" s="376"/>
      <c r="BW65" s="376"/>
      <c r="BX65" s="376"/>
      <c r="BY65" s="376"/>
      <c r="BZ65" s="934"/>
      <c r="CA65" s="106"/>
      <c r="CB65" s="106"/>
      <c r="CC65" s="106"/>
      <c r="CD65" s="106"/>
      <c r="CE65" s="106"/>
    </row>
    <row r="66" spans="1:83">
      <c r="A66" s="1880" t="s">
        <v>244</v>
      </c>
      <c r="B66" s="374"/>
      <c r="C66" s="374"/>
      <c r="D66" s="374"/>
      <c r="E66" s="374"/>
      <c r="F66" s="374"/>
      <c r="G66" s="374"/>
      <c r="H66" s="374"/>
      <c r="I66" s="374"/>
      <c r="J66" s="374"/>
      <c r="K66" s="374"/>
      <c r="L66" s="374"/>
      <c r="M66" s="374"/>
      <c r="N66" s="374"/>
      <c r="O66" s="374"/>
      <c r="P66" s="374"/>
      <c r="Q66" s="374"/>
      <c r="R66" s="374"/>
      <c r="S66" s="374"/>
      <c r="T66" s="374"/>
      <c r="U66" s="374"/>
      <c r="V66" s="374"/>
      <c r="W66" s="374"/>
      <c r="X66" s="374"/>
      <c r="Y66" s="374"/>
      <c r="Z66" s="374"/>
      <c r="AA66" s="374"/>
      <c r="AB66" s="374"/>
      <c r="AC66" s="374"/>
      <c r="AD66" s="374"/>
      <c r="AE66" s="374"/>
      <c r="AF66" s="375"/>
      <c r="AG66" s="375"/>
      <c r="AH66" s="375"/>
      <c r="AI66" s="375"/>
      <c r="AJ66" s="375"/>
      <c r="AK66" s="374"/>
      <c r="AL66" s="374"/>
      <c r="AM66" s="374"/>
      <c r="AN66" s="374"/>
      <c r="AO66" s="374"/>
      <c r="AP66" s="374"/>
      <c r="AQ66" s="374"/>
      <c r="AR66" s="374"/>
      <c r="AS66" s="374"/>
      <c r="AT66" s="367"/>
      <c r="AU66" s="376"/>
      <c r="AV66" s="376"/>
      <c r="AW66" s="376"/>
      <c r="AX66" s="376"/>
      <c r="AY66" s="376"/>
      <c r="AZ66" s="376"/>
      <c r="BA66" s="376"/>
      <c r="BB66" s="376"/>
      <c r="BC66" s="376"/>
      <c r="BD66" s="376"/>
      <c r="BE66" s="376"/>
      <c r="BF66" s="376"/>
      <c r="BG66" s="376"/>
      <c r="BH66" s="376"/>
      <c r="BI66" s="376"/>
      <c r="BJ66" s="376"/>
      <c r="BK66" s="376"/>
      <c r="BL66" s="376"/>
      <c r="BM66" s="376"/>
      <c r="BN66" s="376"/>
      <c r="BO66" s="376"/>
      <c r="BP66" s="376"/>
      <c r="BQ66" s="376"/>
      <c r="BR66" s="376"/>
      <c r="BS66" s="376"/>
      <c r="BT66" s="376"/>
      <c r="BU66" s="376"/>
      <c r="BV66" s="376"/>
      <c r="BW66" s="376"/>
      <c r="BX66" s="376"/>
      <c r="BY66" s="376"/>
      <c r="BZ66" s="934"/>
      <c r="CA66" s="106"/>
      <c r="CB66" s="106"/>
      <c r="CC66" s="106"/>
      <c r="CD66" s="106"/>
      <c r="CE66" s="106"/>
    </row>
    <row r="67" spans="1:83">
      <c r="A67" s="1866" t="s">
        <v>245</v>
      </c>
      <c r="B67" s="374"/>
      <c r="C67" s="374"/>
      <c r="D67" s="374"/>
      <c r="E67" s="374"/>
      <c r="F67" s="374"/>
      <c r="G67" s="374"/>
      <c r="H67" s="374"/>
      <c r="I67" s="374"/>
      <c r="J67" s="374"/>
      <c r="K67" s="374"/>
      <c r="L67" s="374"/>
      <c r="M67" s="374"/>
      <c r="N67" s="374"/>
      <c r="O67" s="374"/>
      <c r="P67" s="374"/>
      <c r="Q67" s="374"/>
      <c r="R67" s="374"/>
      <c r="S67" s="374"/>
      <c r="T67" s="374"/>
      <c r="U67" s="374"/>
      <c r="V67" s="374"/>
      <c r="W67" s="374"/>
      <c r="X67" s="374"/>
      <c r="Y67" s="374"/>
      <c r="Z67" s="374"/>
      <c r="AA67" s="374"/>
      <c r="AB67" s="374"/>
      <c r="AC67" s="374"/>
      <c r="AD67" s="374"/>
      <c r="AE67" s="374"/>
      <c r="AF67" s="375"/>
      <c r="AG67" s="375"/>
      <c r="AH67" s="375"/>
      <c r="AI67" s="375"/>
      <c r="AJ67" s="375"/>
      <c r="AK67" s="374"/>
      <c r="AL67" s="374"/>
      <c r="AM67" s="376"/>
      <c r="AN67" s="376"/>
      <c r="AO67" s="376"/>
      <c r="AP67" s="376"/>
      <c r="AQ67" s="376"/>
      <c r="AR67" s="376"/>
      <c r="AS67" s="376"/>
      <c r="AT67" s="1442"/>
      <c r="AU67" s="376"/>
      <c r="AV67" s="376"/>
      <c r="AW67" s="376"/>
      <c r="AX67" s="376"/>
      <c r="AY67" s="376"/>
      <c r="AZ67" s="376"/>
      <c r="BA67" s="376"/>
      <c r="BB67" s="376"/>
      <c r="BC67" s="376"/>
      <c r="BD67" s="376"/>
      <c r="BE67" s="376"/>
      <c r="BF67" s="376"/>
      <c r="BG67" s="376"/>
      <c r="BH67" s="376"/>
      <c r="BI67" s="376"/>
      <c r="BJ67" s="376"/>
      <c r="BK67" s="376"/>
      <c r="BL67" s="376"/>
      <c r="BM67" s="376"/>
      <c r="BN67" s="376"/>
      <c r="BO67" s="376"/>
      <c r="BP67" s="376"/>
      <c r="BQ67" s="376"/>
      <c r="BR67" s="376"/>
      <c r="BS67" s="376"/>
      <c r="BT67" s="376"/>
      <c r="BU67" s="376"/>
      <c r="BV67" s="376"/>
      <c r="BW67" s="376"/>
      <c r="BX67" s="376"/>
      <c r="BY67" s="376"/>
      <c r="BZ67" s="198"/>
    </row>
    <row r="68" spans="1:83">
      <c r="A68" s="206" t="s">
        <v>101</v>
      </c>
      <c r="B68" s="196">
        <f>'Quarterly historicals'!B217</f>
        <v>49.929000000000002</v>
      </c>
      <c r="C68" s="196">
        <f>'Quarterly historicals'!C217</f>
        <v>102.059</v>
      </c>
      <c r="D68" s="196">
        <f>'Quarterly historicals'!D217</f>
        <v>100.12</v>
      </c>
      <c r="E68" s="196">
        <f>'Quarterly historicals'!E217</f>
        <v>110.148</v>
      </c>
      <c r="F68" s="196">
        <f>'Quarterly historicals'!F217</f>
        <v>110.267</v>
      </c>
      <c r="G68" s="196">
        <f>'Quarterly historicals'!G217</f>
        <v>119.828</v>
      </c>
      <c r="H68" s="196">
        <f>'Quarterly historicals'!H217</f>
        <v>151.99199999999999</v>
      </c>
      <c r="I68" s="196">
        <f>'Quarterly historicals'!I217</f>
        <v>144.761</v>
      </c>
      <c r="J68" s="196">
        <f>'Quarterly historicals'!J217</f>
        <v>358.32499999999999</v>
      </c>
      <c r="K68" s="196">
        <f>'Quarterly historicals'!K217</f>
        <v>365.59800000000001</v>
      </c>
      <c r="L68" s="196">
        <f>'Quarterly historicals'!L217</f>
        <v>420.21100000000001</v>
      </c>
      <c r="M68" s="196">
        <f>'Quarterly historicals'!M217</f>
        <v>407.38400000000001</v>
      </c>
      <c r="N68" s="196">
        <f>'Quarterly historicals'!N217</f>
        <v>368.46000000000004</v>
      </c>
      <c r="O68" s="196">
        <f>'Quarterly historicals'!O217</f>
        <v>464.92200000000003</v>
      </c>
      <c r="P68" s="196">
        <f>'Quarterly historicals'!P217</f>
        <v>491.01799999999997</v>
      </c>
      <c r="Q68" s="196">
        <f>'Quarterly historicals'!Q217</f>
        <v>326.74599999999998</v>
      </c>
      <c r="R68" s="196">
        <f>'Quarterly historicals'!R217</f>
        <v>365.59300000000002</v>
      </c>
      <c r="S68" s="196">
        <f>'Quarterly historicals'!S217</f>
        <v>431.95800000000003</v>
      </c>
      <c r="T68" s="196">
        <f>'Quarterly historicals'!T217</f>
        <v>270.82400000000001</v>
      </c>
      <c r="U68" s="196">
        <f>'Quarterly historicals'!U217</f>
        <v>166.89</v>
      </c>
      <c r="V68" s="196">
        <f>'Quarterly historicals'!V217</f>
        <v>169.29300000000001</v>
      </c>
      <c r="W68" s="196">
        <f>'Quarterly historicals'!W217</f>
        <v>233.01300000000001</v>
      </c>
      <c r="X68" s="196">
        <f>'Quarterly historicals'!X217</f>
        <v>341.19</v>
      </c>
      <c r="Y68" s="196">
        <f>'Quarterly historicals'!Y217</f>
        <v>261.77299999999997</v>
      </c>
      <c r="Z68" s="196">
        <f>'Quarterly historicals'!Z217</f>
        <v>424.49599999999998</v>
      </c>
      <c r="AA68" s="196">
        <f>'Quarterly historicals'!AA217</f>
        <v>422.02699999999999</v>
      </c>
      <c r="AB68" s="196">
        <f>'Quarterly historicals'!AB217</f>
        <v>468.339</v>
      </c>
      <c r="AC68" s="196">
        <f>'Quarterly historicals'!AC217</f>
        <v>363.529</v>
      </c>
      <c r="AD68" s="196">
        <f>'Quarterly historicals'!AD217</f>
        <v>405.46800000000002</v>
      </c>
      <c r="AE68" s="196">
        <f>'Quarterly historicals'!AE217</f>
        <v>515.29499999999996</v>
      </c>
      <c r="AF68" s="195">
        <f>'Quarterly historicals'!AF217</f>
        <v>665.95399999999995</v>
      </c>
      <c r="AG68" s="195">
        <f>'Quarterly historicals'!AG217</f>
        <v>592.29399999999998</v>
      </c>
      <c r="AH68" s="195">
        <f>'Quarterly historicals'!AH217</f>
        <v>606.41</v>
      </c>
      <c r="AI68" s="195">
        <f>'Quarterly historicals'!AI217</f>
        <v>1080.7570000000001</v>
      </c>
      <c r="AJ68" s="195">
        <f>'Quarterly historicals'!AJ217</f>
        <v>1011.942</v>
      </c>
      <c r="AK68" s="202">
        <f>'Quarterly historicals'!AK217</f>
        <v>978.82799999999997</v>
      </c>
      <c r="AL68" s="202">
        <f>'Quarterly historicals'!AL217</f>
        <v>834.68899999999996</v>
      </c>
      <c r="AM68" s="202">
        <f>'Quarterly historicals'!AM217</f>
        <v>956.17899999999997</v>
      </c>
      <c r="AN68" s="327">
        <f>'Quarterly historicals'!AN217</f>
        <v>856.24</v>
      </c>
      <c r="AO68" s="327">
        <f>'Quarterly historicals'!AO217</f>
        <v>776.53200000000004</v>
      </c>
      <c r="AP68" s="202">
        <f>'Quarterly historicals'!AP217</f>
        <v>1185.0329999999999</v>
      </c>
      <c r="AQ68" s="202">
        <f>'Quarterly historicals'!AQ217</f>
        <v>1053.971</v>
      </c>
      <c r="AR68" s="202">
        <f>'Quarterly historicals'!AR217</f>
        <v>1038.7428</v>
      </c>
      <c r="AS68" s="202">
        <f>'Quarterly historicals'!AS217</f>
        <v>1499.6489999999999</v>
      </c>
      <c r="AT68" s="355">
        <f>'Quarterly historicals'!AT217</f>
        <v>1115.54</v>
      </c>
      <c r="AU68" s="357">
        <f>+Q_BS!AO56</f>
        <v>1115.54</v>
      </c>
      <c r="AV68" s="357">
        <f>+Q_BS!AP56</f>
        <v>1115.54</v>
      </c>
      <c r="AW68" s="357">
        <f>+Q_BS!AQ56</f>
        <v>654.63380000000006</v>
      </c>
      <c r="AX68" s="357">
        <f>+Q_BS!AR56</f>
        <v>654.63380000000006</v>
      </c>
      <c r="AY68" s="357">
        <f>+Q_BS!AS56</f>
        <v>654.63380000000006</v>
      </c>
      <c r="AZ68" s="357">
        <f>+Q_BS!AT56</f>
        <v>654.63380000000006</v>
      </c>
      <c r="BA68" s="357">
        <f>+Q_BS!AU56</f>
        <v>654.63380000000006</v>
      </c>
      <c r="BB68" s="357">
        <f>+Q_BS!AV56</f>
        <v>654.63380000000006</v>
      </c>
      <c r="BC68" s="357">
        <f>+Q_BS!AW56</f>
        <v>654.63380000000006</v>
      </c>
      <c r="BD68" s="357">
        <f>+Q_BS!AX56</f>
        <v>654.63380000000006</v>
      </c>
      <c r="BE68" s="357">
        <f>+Q_BS!AY56</f>
        <v>654.63380000000006</v>
      </c>
      <c r="BF68" s="357">
        <f>+Q_BS!AZ56</f>
        <v>654.63380000000006</v>
      </c>
      <c r="BG68" s="357">
        <f>+Q_BS!BA56</f>
        <v>654.63380000000006</v>
      </c>
      <c r="BH68" s="357">
        <f>+Q_BS!BB56</f>
        <v>654.63380000000006</v>
      </c>
      <c r="BI68" s="357">
        <f>+Q_BS!BC56</f>
        <v>654.63380000000006</v>
      </c>
      <c r="BJ68" s="357">
        <f>+Q_BS!BD56</f>
        <v>654.63380000000006</v>
      </c>
      <c r="BK68" s="357">
        <f>+Q_BS!BE56</f>
        <v>654.63380000000006</v>
      </c>
      <c r="BL68" s="357">
        <f>+Q_BS!BF56</f>
        <v>654.63380000000006</v>
      </c>
      <c r="BM68" s="357">
        <f>+Q_BS!BG56</f>
        <v>654.63380000000006</v>
      </c>
      <c r="BN68" s="357">
        <f>+Q_BS!BH56</f>
        <v>654.63380000000006</v>
      </c>
      <c r="BO68" s="357">
        <f>+Q_BS!BI56</f>
        <v>654.63380000000006</v>
      </c>
      <c r="BP68" s="357">
        <f>+Q_BS!BJ56</f>
        <v>654.63380000000006</v>
      </c>
      <c r="BQ68" s="357">
        <f>+Q_BS!BK56</f>
        <v>654.63380000000006</v>
      </c>
      <c r="BR68" s="357">
        <f>+Q_BS!BL56</f>
        <v>654.63380000000006</v>
      </c>
      <c r="BS68" s="357">
        <f>+Q_BS!BM56</f>
        <v>654.63380000000006</v>
      </c>
      <c r="BT68" s="357">
        <f>+Q_BS!BN56</f>
        <v>654.63380000000006</v>
      </c>
      <c r="BU68" s="357">
        <f>+Q_BS!BO56</f>
        <v>654.63380000000006</v>
      </c>
      <c r="BV68" s="357">
        <f>+Q_BS!BP56</f>
        <v>654.63380000000006</v>
      </c>
      <c r="BW68" s="357">
        <f>+Q_BS!BQ56</f>
        <v>654.63380000000006</v>
      </c>
      <c r="BX68" s="357">
        <f>+Q_BS!BR56</f>
        <v>654.63380000000006</v>
      </c>
      <c r="BY68" s="357">
        <f>+Q_BS!BS56</f>
        <v>654.63380000000006</v>
      </c>
      <c r="BZ68" s="198"/>
    </row>
    <row r="69" spans="1:83">
      <c r="A69" s="206" t="s">
        <v>102</v>
      </c>
      <c r="B69" s="196">
        <f>'Quarterly historicals'!B218</f>
        <v>29.925000000000001</v>
      </c>
      <c r="C69" s="196">
        <f>'Quarterly historicals'!C218</f>
        <v>71.373999999999995</v>
      </c>
      <c r="D69" s="196">
        <f>'Quarterly historicals'!D218</f>
        <v>49.872999999999998</v>
      </c>
      <c r="E69" s="196">
        <f>'Quarterly historicals'!E218</f>
        <v>57.701000000000001</v>
      </c>
      <c r="F69" s="196">
        <f>'Quarterly historicals'!F218</f>
        <v>111.166</v>
      </c>
      <c r="G69" s="196">
        <f>'Quarterly historicals'!G218</f>
        <v>128.44800000000001</v>
      </c>
      <c r="H69" s="196">
        <f>'Quarterly historicals'!H218</f>
        <v>150.46799999999999</v>
      </c>
      <c r="I69" s="196">
        <f>'Quarterly historicals'!I218</f>
        <v>133.15100000000001</v>
      </c>
      <c r="J69" s="196">
        <f>'Quarterly historicals'!J218</f>
        <v>80.41</v>
      </c>
      <c r="K69" s="196">
        <f>'Quarterly historicals'!K218</f>
        <v>97.385999999999996</v>
      </c>
      <c r="L69" s="196">
        <f>'Quarterly historicals'!L218</f>
        <v>90.543999999999997</v>
      </c>
      <c r="M69" s="196">
        <f>'Quarterly historicals'!M218</f>
        <v>78.353000000000009</v>
      </c>
      <c r="N69" s="196">
        <f>'Quarterly historicals'!N218</f>
        <v>90.831000000000003</v>
      </c>
      <c r="O69" s="196">
        <f>'Quarterly historicals'!O218</f>
        <v>104.47499999999999</v>
      </c>
      <c r="P69" s="196">
        <f>'Quarterly historicals'!P218</f>
        <v>109.211</v>
      </c>
      <c r="Q69" s="196">
        <f>'Quarterly historicals'!Q218</f>
        <v>76.375</v>
      </c>
      <c r="R69" s="196">
        <f>'Quarterly historicals'!R218</f>
        <v>99.15</v>
      </c>
      <c r="S69" s="196">
        <f>'Quarterly historicals'!S218</f>
        <v>138.077</v>
      </c>
      <c r="T69" s="196">
        <f>'Quarterly historicals'!T218</f>
        <v>133.88400000000001</v>
      </c>
      <c r="U69" s="196">
        <f>'Quarterly historicals'!U218</f>
        <v>63.298999999999999</v>
      </c>
      <c r="V69" s="196">
        <f>'Quarterly historicals'!V218</f>
        <v>106.333</v>
      </c>
      <c r="W69" s="196">
        <f>'Quarterly historicals'!W218</f>
        <v>170.25700000000001</v>
      </c>
      <c r="X69" s="196">
        <f>'Quarterly historicals'!X218</f>
        <v>124.729</v>
      </c>
      <c r="Y69" s="196">
        <f>'Quarterly historicals'!Y218</f>
        <v>79.010999999999996</v>
      </c>
      <c r="Z69" s="196">
        <f>'Quarterly historicals'!Z218</f>
        <v>104.29100000000001</v>
      </c>
      <c r="AA69" s="196">
        <f>'Quarterly historicals'!AA218</f>
        <v>173.13899999999998</v>
      </c>
      <c r="AB69" s="196">
        <f>'Quarterly historicals'!AB218</f>
        <v>148.86699999999999</v>
      </c>
      <c r="AC69" s="196">
        <f>'Quarterly historicals'!AC218</f>
        <v>98.234999999999999</v>
      </c>
      <c r="AD69" s="196">
        <f>'Quarterly historicals'!AD218</f>
        <v>130.571</v>
      </c>
      <c r="AE69" s="196">
        <f>'Quarterly historicals'!AE218</f>
        <v>187.70400000000001</v>
      </c>
      <c r="AF69" s="195">
        <f>'Quarterly historicals'!AF218</f>
        <v>166.047</v>
      </c>
      <c r="AG69" s="195">
        <f>'Quarterly historicals'!AG218</f>
        <v>90.602000000000004</v>
      </c>
      <c r="AH69" s="195">
        <f>'Quarterly historicals'!AH218</f>
        <v>149.02799999999999</v>
      </c>
      <c r="AI69" s="195">
        <f>'Quarterly historicals'!AI218</f>
        <v>223.256</v>
      </c>
      <c r="AJ69" s="195">
        <f>'Quarterly historicals'!AJ218</f>
        <v>151.96199999999999</v>
      </c>
      <c r="AK69" s="202">
        <f>'Quarterly historicals'!AK218</f>
        <v>115.727</v>
      </c>
      <c r="AL69" s="202">
        <f>'Quarterly historicals'!AL218</f>
        <v>176.12100000000001</v>
      </c>
      <c r="AM69" s="202">
        <f>'Quarterly historicals'!AM218</f>
        <v>189.797</v>
      </c>
      <c r="AN69" s="202">
        <f>'Quarterly historicals'!AN218</f>
        <v>191.78200000000001</v>
      </c>
      <c r="AO69" s="202">
        <f>'Quarterly historicals'!AO218</f>
        <v>137.71100000000001</v>
      </c>
      <c r="AP69" s="202">
        <f>'Quarterly historicals'!AP218</f>
        <v>186.65799999999999</v>
      </c>
      <c r="AQ69" s="202">
        <f>'Quarterly historicals'!AQ218</f>
        <v>265.904</v>
      </c>
      <c r="AR69" s="202">
        <f>'Quarterly historicals'!AR218</f>
        <v>208.661</v>
      </c>
      <c r="AS69" s="202">
        <f>'Quarterly historicals'!AS218</f>
        <v>138.93899999999999</v>
      </c>
      <c r="AT69" s="355">
        <f>'Quarterly historicals'!AT218</f>
        <v>224.49799999999999</v>
      </c>
      <c r="AU69" s="357">
        <f>Q_BS!AO26</f>
        <v>320.52025360651277</v>
      </c>
      <c r="AV69" s="357">
        <f>Q_BS!AP26</f>
        <v>227.65472298309444</v>
      </c>
      <c r="AW69" s="357">
        <f>Q_BS!AQ26</f>
        <v>164.38506733799198</v>
      </c>
      <c r="AX69" s="357">
        <f>Q_BS!AR26</f>
        <v>328.10542171168919</v>
      </c>
      <c r="AY69" s="357">
        <f>Q_BS!AS26</f>
        <v>324.65402559067252</v>
      </c>
      <c r="AZ69" s="357">
        <f>Q_BS!AT26</f>
        <v>226.08214932076041</v>
      </c>
      <c r="BA69" s="357">
        <f>Q_BS!AU26</f>
        <v>124.46841751959911</v>
      </c>
      <c r="BB69" s="357">
        <f>Q_BS!AV26</f>
        <v>333.91398846690868</v>
      </c>
      <c r="BC69" s="357">
        <f>Q_BS!AW26</f>
        <v>332.63782114535627</v>
      </c>
      <c r="BD69" s="357">
        <f>Q_BS!AX26</f>
        <v>226.64184886975394</v>
      </c>
      <c r="BE69" s="357">
        <f>Q_BS!AY26</f>
        <v>116.45158982557402</v>
      </c>
      <c r="BF69" s="357">
        <f>Q_BS!AZ26</f>
        <v>362.09066324043295</v>
      </c>
      <c r="BG69" s="357">
        <f>Q_BS!BA26</f>
        <v>363.37763674135482</v>
      </c>
      <c r="BH69" s="357">
        <f>Q_BS!BB26</f>
        <v>241.65497596814316</v>
      </c>
      <c r="BI69" s="357">
        <f>Q_BS!BC26</f>
        <v>117.02046851715049</v>
      </c>
      <c r="BJ69" s="357">
        <f>Q_BS!BD26</f>
        <v>369.18653781957534</v>
      </c>
      <c r="BK69" s="357">
        <f>Q_BS!BE26</f>
        <v>373.51263994664879</v>
      </c>
      <c r="BL69" s="357">
        <f>Q_BS!BF26</f>
        <v>241.75092451721591</v>
      </c>
      <c r="BM69" s="357">
        <f>Q_BS!BG26</f>
        <v>107.28354092877612</v>
      </c>
      <c r="BN69" s="357">
        <f>Q_BS!BH26</f>
        <v>344.54601164803256</v>
      </c>
      <c r="BO69" s="357">
        <f>Q_BS!BI26</f>
        <v>351.71336877377519</v>
      </c>
      <c r="BP69" s="357">
        <f>Q_BS!BJ26</f>
        <v>220.79734500638395</v>
      </c>
      <c r="BQ69" s="357">
        <f>Q_BS!BK26</f>
        <v>87.629617644936758</v>
      </c>
      <c r="BR69" s="357">
        <f>Q_BS!BL26</f>
        <v>324.15007640087418</v>
      </c>
      <c r="BS69" s="357">
        <f>Q_BS!BM26</f>
        <v>334.18982807017494</v>
      </c>
      <c r="BT69" s="357">
        <f>Q_BS!BN26</f>
        <v>202.65184184719251</v>
      </c>
      <c r="BU69" s="357">
        <f>Q_BS!BO26</f>
        <v>68.522028844178536</v>
      </c>
      <c r="BV69" s="357">
        <f>Q_BS!BP26</f>
        <v>300.63227006453479</v>
      </c>
      <c r="BW69" s="357">
        <f>Q_BS!BQ26</f>
        <v>313.38979296982421</v>
      </c>
      <c r="BX69" s="357">
        <f>Q_BS!BR26</f>
        <v>182.64379201688081</v>
      </c>
      <c r="BY69" s="357">
        <f>Q_BS!BS26</f>
        <v>50.501122179021507</v>
      </c>
      <c r="BZ69" s="198"/>
    </row>
    <row r="70" spans="1:83">
      <c r="A70" s="206" t="s">
        <v>103</v>
      </c>
      <c r="B70" s="196">
        <f>'Quarterly historicals'!B219</f>
        <v>4.4770000000000003</v>
      </c>
      <c r="C70" s="196">
        <f>'Quarterly historicals'!C219</f>
        <v>5.9710000000000001</v>
      </c>
      <c r="D70" s="196">
        <f>'Quarterly historicals'!D219</f>
        <v>5.0469999999999997</v>
      </c>
      <c r="E70" s="196">
        <f>'Quarterly historicals'!E219</f>
        <v>6.883</v>
      </c>
      <c r="F70" s="196">
        <f>'Quarterly historicals'!F219</f>
        <v>7.1539999999999999</v>
      </c>
      <c r="G70" s="196">
        <f>'Quarterly historicals'!G219</f>
        <v>8.3550000000000004</v>
      </c>
      <c r="H70" s="196">
        <f>'Quarterly historicals'!H219</f>
        <v>6.5229999999999997</v>
      </c>
      <c r="I70" s="196">
        <f>'Quarterly historicals'!I219</f>
        <v>9.9700000000000006</v>
      </c>
      <c r="J70" s="196">
        <f>'Quarterly historicals'!J219</f>
        <v>9.1519999999999992</v>
      </c>
      <c r="K70" s="196">
        <f>'Quarterly historicals'!K219</f>
        <v>9.6289999999999996</v>
      </c>
      <c r="L70" s="196">
        <f>'Quarterly historicals'!L219</f>
        <v>9.1029999999999998</v>
      </c>
      <c r="M70" s="196">
        <f>'Quarterly historicals'!M219</f>
        <v>9.7040000000000006</v>
      </c>
      <c r="N70" s="196">
        <f>'Quarterly historicals'!N219</f>
        <v>12.061999999999999</v>
      </c>
      <c r="O70" s="196">
        <f>'Quarterly historicals'!O219</f>
        <v>12.260999999999999</v>
      </c>
      <c r="P70" s="196">
        <f>'Quarterly historicals'!P219</f>
        <v>12.364000000000001</v>
      </c>
      <c r="Q70" s="196">
        <f>'Quarterly historicals'!Q219</f>
        <v>16.602</v>
      </c>
      <c r="R70" s="196">
        <f>'Quarterly historicals'!R219</f>
        <v>14.747</v>
      </c>
      <c r="S70" s="196">
        <f>'Quarterly historicals'!S219</f>
        <v>27.561</v>
      </c>
      <c r="T70" s="196">
        <f>'Quarterly historicals'!T219</f>
        <v>19.652000000000001</v>
      </c>
      <c r="U70" s="196">
        <f>'Quarterly historicals'!U219</f>
        <v>64.343000000000004</v>
      </c>
      <c r="V70" s="196">
        <f>'Quarterly historicals'!V219</f>
        <v>15.81</v>
      </c>
      <c r="W70" s="196">
        <f>'Quarterly historicals'!W219</f>
        <v>23.901</v>
      </c>
      <c r="X70" s="196">
        <f>'Quarterly historicals'!X219</f>
        <v>14.074999999999999</v>
      </c>
      <c r="Y70" s="196">
        <f>'Quarterly historicals'!Y219</f>
        <v>12.199</v>
      </c>
      <c r="Z70" s="196">
        <f>'Quarterly historicals'!Z219</f>
        <v>12.513999999999999</v>
      </c>
      <c r="AA70" s="196">
        <f>'Quarterly historicals'!AA219</f>
        <v>15.37</v>
      </c>
      <c r="AB70" s="196">
        <f>'Quarterly historicals'!AB219</f>
        <v>13.515000000000001</v>
      </c>
      <c r="AC70" s="196">
        <f>'Quarterly historicals'!AC219</f>
        <v>12.484999999999999</v>
      </c>
      <c r="AD70" s="196">
        <f>'Quarterly historicals'!AD219</f>
        <v>12.907999999999999</v>
      </c>
      <c r="AE70" s="196">
        <f>'Quarterly historicals'!AE219</f>
        <v>14.691000000000001</v>
      </c>
      <c r="AF70" s="195">
        <f>'Quarterly historicals'!AF219</f>
        <v>15.965999999999999</v>
      </c>
      <c r="AG70" s="195">
        <f>'Quarterly historicals'!AG219</f>
        <v>13.749000000000001</v>
      </c>
      <c r="AH70" s="195">
        <f>'Quarterly historicals'!AH219</f>
        <v>14.471</v>
      </c>
      <c r="AI70" s="195">
        <f>'Quarterly historicals'!AI219</f>
        <v>19.382999999999999</v>
      </c>
      <c r="AJ70" s="195">
        <f>'Quarterly historicals'!AJ219</f>
        <v>11.967000000000001</v>
      </c>
      <c r="AK70" s="202">
        <f>'Quarterly historicals'!AK219</f>
        <v>14.531000000000001</v>
      </c>
      <c r="AL70" s="202">
        <f>'Quarterly historicals'!AL219</f>
        <v>15.038</v>
      </c>
      <c r="AM70" s="202">
        <f>'Quarterly historicals'!AM219</f>
        <v>18.995000000000001</v>
      </c>
      <c r="AN70" s="202">
        <f>'Quarterly historicals'!AN219</f>
        <v>17.611999999999998</v>
      </c>
      <c r="AO70" s="202">
        <f>'Quarterly historicals'!AO219</f>
        <v>19.614999999999998</v>
      </c>
      <c r="AP70" s="202">
        <f>'Quarterly historicals'!AP219</f>
        <v>16.477</v>
      </c>
      <c r="AQ70" s="202">
        <f>'Quarterly historicals'!AQ219</f>
        <v>11.164</v>
      </c>
      <c r="AR70" s="202">
        <f>'Quarterly historicals'!AR219</f>
        <v>15.59</v>
      </c>
      <c r="AS70" s="202">
        <f>'Quarterly historicals'!AS219</f>
        <v>20.481000000000002</v>
      </c>
      <c r="AT70" s="355">
        <f>'Quarterly historicals'!AT219</f>
        <v>20.404</v>
      </c>
      <c r="AU70" s="357">
        <f>Q_BS!AO29</f>
        <v>14.126615520500373</v>
      </c>
      <c r="AV70" s="357">
        <f>Q_BS!AP29</f>
        <v>18.777852268704262</v>
      </c>
      <c r="AW70" s="357">
        <f>Q_BS!AQ29</f>
        <v>23.667506149797219</v>
      </c>
      <c r="AX70" s="357">
        <f>Q_BS!AR29</f>
        <v>29.756499271541834</v>
      </c>
      <c r="AY70" s="357">
        <f>Q_BS!AS29</f>
        <v>14.592863714890669</v>
      </c>
      <c r="AZ70" s="357">
        <f>Q_BS!AT29</f>
        <v>19.320925189776744</v>
      </c>
      <c r="BA70" s="357">
        <f>Q_BS!AU29</f>
        <v>16.77407295796236</v>
      </c>
      <c r="BB70" s="357">
        <f>Q_BS!AV29</f>
        <v>31.914372154121299</v>
      </c>
      <c r="BC70" s="357">
        <f>Q_BS!AW29</f>
        <v>15.803646369672968</v>
      </c>
      <c r="BD70" s="357">
        <f>Q_BS!AX29</f>
        <v>20.895449297063642</v>
      </c>
      <c r="BE70" s="357">
        <f>Q_BS!AY29</f>
        <v>18.025141502938094</v>
      </c>
      <c r="BF70" s="357">
        <f>Q_BS!AZ29</f>
        <v>37.711922590859537</v>
      </c>
      <c r="BG70" s="357">
        <f>Q_BS!BA29</f>
        <v>18.042403715318365</v>
      </c>
      <c r="BH70" s="357">
        <f>Q_BS!BB29</f>
        <v>23.926791610095556</v>
      </c>
      <c r="BI70" s="357">
        <f>Q_BS!BC29</f>
        <v>20.430741566612696</v>
      </c>
      <c r="BJ70" s="357">
        <f>Q_BS!BD29</f>
        <v>40.638813880328229</v>
      </c>
      <c r="BK70" s="357">
        <f>Q_BS!BE29</f>
        <v>19.284776001344465</v>
      </c>
      <c r="BL70" s="357">
        <f>Q_BS!BF29</f>
        <v>25.566772451305102</v>
      </c>
      <c r="BM70" s="357">
        <f>Q_BS!BG29</f>
        <v>21.692411129644579</v>
      </c>
      <c r="BN70" s="357">
        <f>Q_BS!BH29</f>
        <v>37.225219270494556</v>
      </c>
      <c r="BO70" s="357">
        <f>Q_BS!BI29</f>
        <v>18.598702043342847</v>
      </c>
      <c r="BP70" s="357">
        <f>Q_BS!BJ29</f>
        <v>24.504335097615151</v>
      </c>
      <c r="BQ70" s="357">
        <f>Q_BS!BK29</f>
        <v>21.410350765821995</v>
      </c>
      <c r="BR70" s="357">
        <f>Q_BS!BL29</f>
        <v>35.119747040651987</v>
      </c>
      <c r="BS70" s="357">
        <f>Q_BS!BM29</f>
        <v>18.314052310677475</v>
      </c>
      <c r="BT70" s="357">
        <f>Q_BS!BN29</f>
        <v>24.014822735711007</v>
      </c>
      <c r="BU70" s="357">
        <f>Q_BS!BO29</f>
        <v>21.238778148838012</v>
      </c>
      <c r="BV70" s="357">
        <f>Q_BS!BP29</f>
        <v>39.809880125064041</v>
      </c>
      <c r="BW70" s="357">
        <f>Q_BS!BQ29</f>
        <v>20.380031299572138</v>
      </c>
      <c r="BX70" s="357">
        <f>Q_BS!BR29</f>
        <v>26.823648209215456</v>
      </c>
      <c r="BY70" s="357">
        <f>Q_BS!BS29</f>
        <v>23.794226925552291</v>
      </c>
      <c r="BZ70" s="198"/>
    </row>
    <row r="71" spans="1:83">
      <c r="A71" s="206" t="s">
        <v>246</v>
      </c>
      <c r="B71" s="196">
        <f>'Quarterly historicals'!B221</f>
        <v>1.2529999999999999</v>
      </c>
      <c r="C71" s="196">
        <f>'Quarterly historicals'!C221</f>
        <v>14.893000000000001</v>
      </c>
      <c r="D71" s="196">
        <f>'Quarterly historicals'!D221</f>
        <v>0</v>
      </c>
      <c r="E71" s="196">
        <f>'Quarterly historicals'!E221</f>
        <v>20</v>
      </c>
      <c r="F71" s="196">
        <f>'Quarterly historicals'!F221</f>
        <v>20</v>
      </c>
      <c r="G71" s="196">
        <f>'Quarterly historicals'!G221</f>
        <v>1E-3</v>
      </c>
      <c r="H71" s="196">
        <f>'Quarterly historicals'!H221</f>
        <v>1E-3</v>
      </c>
      <c r="I71" s="196">
        <f>'Quarterly historicals'!I221</f>
        <v>0</v>
      </c>
      <c r="J71" s="196">
        <f>'Quarterly historicals'!J221</f>
        <v>0</v>
      </c>
      <c r="K71" s="196">
        <f>'Quarterly historicals'!K221</f>
        <v>0</v>
      </c>
      <c r="L71" s="196">
        <f>'Quarterly historicals'!L221</f>
        <v>0</v>
      </c>
      <c r="M71" s="196">
        <f>'Quarterly historicals'!M221</f>
        <v>0</v>
      </c>
      <c r="N71" s="196">
        <f>'Quarterly historicals'!N221</f>
        <v>0</v>
      </c>
      <c r="O71" s="196">
        <f>'Quarterly historicals'!O221</f>
        <v>0</v>
      </c>
      <c r="P71" s="196">
        <f>'Quarterly historicals'!P221</f>
        <v>0</v>
      </c>
      <c r="Q71" s="196">
        <f>'Quarterly historicals'!Q221</f>
        <v>0</v>
      </c>
      <c r="R71" s="196">
        <f>'Quarterly historicals'!R221</f>
        <v>0</v>
      </c>
      <c r="S71" s="196">
        <f>'Quarterly historicals'!S221</f>
        <v>0</v>
      </c>
      <c r="T71" s="196">
        <f>'Quarterly historicals'!T221</f>
        <v>0</v>
      </c>
      <c r="U71" s="196">
        <f>'Quarterly historicals'!U221</f>
        <v>9.18</v>
      </c>
      <c r="V71" s="196">
        <f>'Quarterly historicals'!V221</f>
        <v>9.18</v>
      </c>
      <c r="W71" s="196">
        <f>'Quarterly historicals'!W221</f>
        <v>0</v>
      </c>
      <c r="X71" s="196">
        <f>'Quarterly historicals'!X221</f>
        <v>0</v>
      </c>
      <c r="Y71" s="196">
        <f>'Quarterly historicals'!Y221</f>
        <v>30.07</v>
      </c>
      <c r="Z71" s="196">
        <f>'Quarterly historicals'!Z221</f>
        <v>30.07</v>
      </c>
      <c r="AA71" s="196">
        <f>'Quarterly historicals'!AA221</f>
        <v>0</v>
      </c>
      <c r="AB71" s="196">
        <f>'Quarterly historicals'!AB221</f>
        <v>0</v>
      </c>
      <c r="AC71" s="196">
        <f>'Quarterly historicals'!AC221</f>
        <v>17.326000000000001</v>
      </c>
      <c r="AD71" s="196">
        <f>'Quarterly historicals'!AD221</f>
        <v>17.326000000000001</v>
      </c>
      <c r="AE71" s="196">
        <f>'Quarterly historicals'!AE221</f>
        <v>0</v>
      </c>
      <c r="AF71" s="195">
        <f>'Quarterly historicals'!AF221</f>
        <v>0</v>
      </c>
      <c r="AG71" s="195">
        <f>'Quarterly historicals'!AG221</f>
        <v>32.482999999999997</v>
      </c>
      <c r="AH71" s="195">
        <f>'Quarterly historicals'!AH221</f>
        <v>0</v>
      </c>
      <c r="AI71" s="195">
        <f>'Quarterly historicals'!AI221</f>
        <v>0</v>
      </c>
      <c r="AJ71" s="195">
        <f>'Quarterly historicals'!AJ221</f>
        <v>0</v>
      </c>
      <c r="AK71" s="202">
        <f>'Quarterly historicals'!AK221</f>
        <v>67.938999999999993</v>
      </c>
      <c r="AL71" s="202">
        <f>'Quarterly historicals'!AL221</f>
        <v>67.938999999999993</v>
      </c>
      <c r="AM71" s="202">
        <f>'Quarterly historicals'!AM221</f>
        <v>1E-3</v>
      </c>
      <c r="AN71" s="202">
        <f>'Quarterly historicals'!AN221</f>
        <v>0.01</v>
      </c>
      <c r="AO71" s="202">
        <f>'Quarterly historicals'!AO221</f>
        <v>53.164000000000001</v>
      </c>
      <c r="AP71" s="202">
        <f>'Quarterly historicals'!AP221</f>
        <v>55.384999999999998</v>
      </c>
      <c r="AQ71" s="202">
        <f>'Quarterly historicals'!AQ221</f>
        <v>1E-3</v>
      </c>
      <c r="AR71" s="202">
        <f>'Quarterly historicals'!AR221</f>
        <v>1E-3</v>
      </c>
      <c r="AS71" s="202">
        <f>'Quarterly historicals'!AS221</f>
        <v>74.242999999999995</v>
      </c>
      <c r="AT71" s="355">
        <f>'Quarterly historicals'!AT221</f>
        <v>74.242999999999995</v>
      </c>
      <c r="AU71" s="357">
        <v>0</v>
      </c>
      <c r="AV71" s="357">
        <v>0</v>
      </c>
      <c r="AW71" s="357">
        <v>0</v>
      </c>
      <c r="AX71" s="357">
        <v>0</v>
      </c>
      <c r="AY71" s="357">
        <v>0</v>
      </c>
      <c r="AZ71" s="357">
        <v>0</v>
      </c>
      <c r="BA71" s="357">
        <v>0</v>
      </c>
      <c r="BB71" s="357">
        <v>0</v>
      </c>
      <c r="BC71" s="357">
        <v>0</v>
      </c>
      <c r="BD71" s="357">
        <v>0</v>
      </c>
      <c r="BE71" s="357">
        <v>0</v>
      </c>
      <c r="BF71" s="357">
        <v>0</v>
      </c>
      <c r="BG71" s="357">
        <v>0</v>
      </c>
      <c r="BH71" s="357">
        <v>0</v>
      </c>
      <c r="BI71" s="357">
        <v>0</v>
      </c>
      <c r="BJ71" s="357">
        <v>0</v>
      </c>
      <c r="BK71" s="357">
        <v>0</v>
      </c>
      <c r="BL71" s="357">
        <v>0</v>
      </c>
      <c r="BM71" s="357">
        <v>0</v>
      </c>
      <c r="BN71" s="357">
        <v>0</v>
      </c>
      <c r="BO71" s="357">
        <v>0</v>
      </c>
      <c r="BP71" s="357">
        <v>0</v>
      </c>
      <c r="BQ71" s="357">
        <v>0</v>
      </c>
      <c r="BR71" s="357">
        <v>0</v>
      </c>
      <c r="BS71" s="357">
        <v>0</v>
      </c>
      <c r="BT71" s="357">
        <v>0</v>
      </c>
      <c r="BU71" s="357">
        <v>0</v>
      </c>
      <c r="BV71" s="357">
        <v>0</v>
      </c>
      <c r="BW71" s="357">
        <v>0</v>
      </c>
      <c r="BX71" s="357">
        <v>0</v>
      </c>
      <c r="BY71" s="357">
        <v>0</v>
      </c>
      <c r="BZ71" s="198"/>
    </row>
    <row r="72" spans="1:83">
      <c r="A72" s="206" t="s">
        <v>104</v>
      </c>
      <c r="B72" s="196">
        <f>'Quarterly historicals'!B220</f>
        <v>6.7290000000000001</v>
      </c>
      <c r="C72" s="196">
        <f>'Quarterly historicals'!C220</f>
        <v>11.1</v>
      </c>
      <c r="D72" s="196">
        <f>'Quarterly historicals'!D220</f>
        <v>0</v>
      </c>
      <c r="E72" s="196">
        <f>'Quarterly historicals'!E220</f>
        <v>0</v>
      </c>
      <c r="F72" s="196">
        <f>'Quarterly historicals'!F220</f>
        <v>0</v>
      </c>
      <c r="G72" s="196">
        <f>'Quarterly historicals'!G220</f>
        <v>0</v>
      </c>
      <c r="H72" s="196">
        <f>'Quarterly historicals'!H220</f>
        <v>0</v>
      </c>
      <c r="I72" s="196">
        <f>'Quarterly historicals'!I220</f>
        <v>0</v>
      </c>
      <c r="J72" s="196">
        <f>'Quarterly historicals'!J220</f>
        <v>0</v>
      </c>
      <c r="K72" s="196">
        <f>'Quarterly historicals'!K220</f>
        <v>17.276</v>
      </c>
      <c r="L72" s="196">
        <f>'Quarterly historicals'!L220</f>
        <v>0</v>
      </c>
      <c r="M72" s="196">
        <f>'Quarterly historicals'!M220</f>
        <v>0</v>
      </c>
      <c r="N72" s="196">
        <f>'Quarterly historicals'!N220</f>
        <v>0</v>
      </c>
      <c r="O72" s="196">
        <f>'Quarterly historicals'!O220</f>
        <v>0</v>
      </c>
      <c r="P72" s="196">
        <f>'Quarterly historicals'!P220</f>
        <v>0</v>
      </c>
      <c r="Q72" s="196">
        <f>'Quarterly historicals'!Q220</f>
        <v>0</v>
      </c>
      <c r="R72" s="196">
        <f>'Quarterly historicals'!R220</f>
        <v>0</v>
      </c>
      <c r="S72" s="196">
        <f>'Quarterly historicals'!S220</f>
        <v>0</v>
      </c>
      <c r="T72" s="196">
        <f>'Quarterly historicals'!T220</f>
        <v>0</v>
      </c>
      <c r="U72" s="196">
        <f>'Quarterly historicals'!U220</f>
        <v>14.475</v>
      </c>
      <c r="V72" s="196">
        <f>'Quarterly historicals'!V220</f>
        <v>5.2690000000000001</v>
      </c>
      <c r="W72" s="196">
        <f>'Quarterly historicals'!W220</f>
        <v>2.9239999999999999</v>
      </c>
      <c r="X72" s="196">
        <f>'Quarterly historicals'!X220</f>
        <v>11.05</v>
      </c>
      <c r="Y72" s="196">
        <f>'Quarterly historicals'!Y220</f>
        <v>8.4179999999999993</v>
      </c>
      <c r="Z72" s="196">
        <f>'Quarterly historicals'!Z220</f>
        <v>0.95099999999999996</v>
      </c>
      <c r="AA72" s="196">
        <f>'Quarterly historicals'!AA220</f>
        <v>1.0369999999999999</v>
      </c>
      <c r="AB72" s="196">
        <f>'Quarterly historicals'!AB220</f>
        <v>3.6579999999999999</v>
      </c>
      <c r="AC72" s="196">
        <f>'Quarterly historicals'!AC220</f>
        <v>3.3410000000000002</v>
      </c>
      <c r="AD72" s="196">
        <f>'Quarterly historicals'!AD220</f>
        <v>7.7</v>
      </c>
      <c r="AE72" s="196">
        <f>'Quarterly historicals'!AE220</f>
        <v>1.92</v>
      </c>
      <c r="AF72" s="195">
        <f>'Quarterly historicals'!AF220</f>
        <v>3.8730000000000002</v>
      </c>
      <c r="AG72" s="195">
        <f>'Quarterly historicals'!AG220</f>
        <v>3.1429999999999998</v>
      </c>
      <c r="AH72" s="195">
        <f>'Quarterly historicals'!AH220</f>
        <v>7.6840000000000002</v>
      </c>
      <c r="AI72" s="195">
        <f>'Quarterly historicals'!AI220</f>
        <v>5.1349999999999998</v>
      </c>
      <c r="AJ72" s="195">
        <f>'Quarterly historicals'!AJ220</f>
        <v>2.9510000000000001</v>
      </c>
      <c r="AK72" s="202">
        <f>'Quarterly historicals'!AK220</f>
        <v>4.3209999999999997</v>
      </c>
      <c r="AL72" s="202">
        <f>'Quarterly historicals'!AL220</f>
        <v>4.9000000000000004</v>
      </c>
      <c r="AM72" s="202">
        <f>'Quarterly historicals'!AM220</f>
        <v>4.4980000000000002</v>
      </c>
      <c r="AN72" s="202">
        <f>'Quarterly historicals'!AN220</f>
        <v>13.430999999999999</v>
      </c>
      <c r="AO72" s="202">
        <f>'Quarterly historicals'!AO220</f>
        <v>1.6060000000000001</v>
      </c>
      <c r="AP72" s="202">
        <f>'Quarterly historicals'!AP220</f>
        <v>13.331</v>
      </c>
      <c r="AQ72" s="202">
        <f>'Quarterly historicals'!AQ220</f>
        <v>16.408000000000001</v>
      </c>
      <c r="AR72" s="202">
        <f>'Quarterly historicals'!AR220</f>
        <v>1.2669999999999999</v>
      </c>
      <c r="AS72" s="202">
        <f>'Quarterly historicals'!AS220</f>
        <v>4.1740000000000004</v>
      </c>
      <c r="AT72" s="355">
        <f>'Quarterly historicals'!AT220</f>
        <v>2.9140000000000001</v>
      </c>
      <c r="AU72" s="357">
        <v>0</v>
      </c>
      <c r="AV72" s="357">
        <v>0</v>
      </c>
      <c r="AW72" s="357">
        <v>0</v>
      </c>
      <c r="AX72" s="357">
        <v>0</v>
      </c>
      <c r="AY72" s="357">
        <v>0</v>
      </c>
      <c r="AZ72" s="357">
        <v>0</v>
      </c>
      <c r="BA72" s="357">
        <v>0</v>
      </c>
      <c r="BB72" s="357">
        <v>0</v>
      </c>
      <c r="BC72" s="357">
        <v>0</v>
      </c>
      <c r="BD72" s="357">
        <v>0</v>
      </c>
      <c r="BE72" s="357">
        <v>0</v>
      </c>
      <c r="BF72" s="357">
        <v>0</v>
      </c>
      <c r="BG72" s="357">
        <v>0</v>
      </c>
      <c r="BH72" s="357">
        <v>0</v>
      </c>
      <c r="BI72" s="357">
        <v>0</v>
      </c>
      <c r="BJ72" s="357">
        <v>1</v>
      </c>
      <c r="BK72" s="357">
        <v>2</v>
      </c>
      <c r="BL72" s="357">
        <v>3</v>
      </c>
      <c r="BM72" s="357">
        <v>4</v>
      </c>
      <c r="BN72" s="357">
        <v>5</v>
      </c>
      <c r="BO72" s="357">
        <v>6</v>
      </c>
      <c r="BP72" s="357">
        <v>7</v>
      </c>
      <c r="BQ72" s="357">
        <v>8</v>
      </c>
      <c r="BR72" s="357">
        <v>9</v>
      </c>
      <c r="BS72" s="357">
        <v>10</v>
      </c>
      <c r="BT72" s="357">
        <v>11</v>
      </c>
      <c r="BU72" s="357">
        <v>12</v>
      </c>
      <c r="BV72" s="357">
        <v>13</v>
      </c>
      <c r="BW72" s="357">
        <v>14</v>
      </c>
      <c r="BX72" s="357">
        <v>15</v>
      </c>
      <c r="BY72" s="357">
        <v>16</v>
      </c>
      <c r="BZ72" s="198"/>
    </row>
    <row r="73" spans="1:83">
      <c r="A73" s="206" t="s">
        <v>105</v>
      </c>
      <c r="B73" s="196">
        <f>'Quarterly historicals'!B222</f>
        <v>18</v>
      </c>
      <c r="C73" s="196">
        <f>'Quarterly historicals'!C222</f>
        <v>32.344999999999999</v>
      </c>
      <c r="D73" s="196">
        <f>'Quarterly historicals'!D222</f>
        <v>17.178000000000001</v>
      </c>
      <c r="E73" s="196">
        <f>'Quarterly historicals'!E222</f>
        <v>23.123999999999999</v>
      </c>
      <c r="F73" s="196">
        <f>'Quarterly historicals'!F222</f>
        <v>33.706000000000003</v>
      </c>
      <c r="G73" s="196">
        <f>'Quarterly historicals'!G222</f>
        <v>38</v>
      </c>
      <c r="H73" s="196">
        <f>'Quarterly historicals'!H222</f>
        <v>22.745000000000001</v>
      </c>
      <c r="I73" s="196">
        <f>'Quarterly historicals'!I222</f>
        <v>24.931000000000001</v>
      </c>
      <c r="J73" s="196">
        <f>'Quarterly historicals'!J222</f>
        <v>40.122</v>
      </c>
      <c r="K73" s="196">
        <f>'Quarterly historicals'!K222</f>
        <v>40.447000000000003</v>
      </c>
      <c r="L73" s="196">
        <f>'Quarterly historicals'!L222</f>
        <v>34.814999999999998</v>
      </c>
      <c r="M73" s="196">
        <f>'Quarterly historicals'!M222</f>
        <v>60.790000000000006</v>
      </c>
      <c r="N73" s="196">
        <f>'Quarterly historicals'!N222</f>
        <v>70.429000000000002</v>
      </c>
      <c r="O73" s="196">
        <f>'Quarterly historicals'!O222</f>
        <v>65.414000000000001</v>
      </c>
      <c r="P73" s="196">
        <f>'Quarterly historicals'!P222</f>
        <v>55.869</v>
      </c>
      <c r="Q73" s="196">
        <f>'Quarterly historicals'!Q222</f>
        <v>61.368000000000002</v>
      </c>
      <c r="R73" s="196">
        <f>'Quarterly historicals'!R222</f>
        <v>74.169999999999987</v>
      </c>
      <c r="S73" s="196">
        <f>'Quarterly historicals'!S222</f>
        <v>89.322000000000003</v>
      </c>
      <c r="T73" s="196">
        <f>'Quarterly historicals'!T222</f>
        <v>66.677000000000007</v>
      </c>
      <c r="U73" s="196">
        <f>'Quarterly historicals'!U222</f>
        <v>1.5339999999999998</v>
      </c>
      <c r="V73" s="196">
        <f>'Quarterly historicals'!V222</f>
        <v>63.085999999999999</v>
      </c>
      <c r="W73" s="196">
        <f>'Quarterly historicals'!W222</f>
        <v>53.698</v>
      </c>
      <c r="X73" s="196">
        <f>'Quarterly historicals'!X222</f>
        <v>59.777000000000001</v>
      </c>
      <c r="Y73" s="196">
        <f>'Quarterly historicals'!Y222</f>
        <v>125.41800000000001</v>
      </c>
      <c r="Z73" s="196">
        <f>'Quarterly historicals'!Z222</f>
        <v>143.77199999999999</v>
      </c>
      <c r="AA73" s="196">
        <f>'Quarterly historicals'!AA222</f>
        <v>165.45</v>
      </c>
      <c r="AB73" s="196">
        <f>'Quarterly historicals'!AB222</f>
        <v>123.20699999999999</v>
      </c>
      <c r="AC73" s="196">
        <f>'Quarterly historicals'!AC222</f>
        <v>169.03</v>
      </c>
      <c r="AD73" s="196">
        <f>'Quarterly historicals'!AD222</f>
        <v>273.97700000000003</v>
      </c>
      <c r="AE73" s="196">
        <f>'Quarterly historicals'!AE222</f>
        <v>265.41699999999997</v>
      </c>
      <c r="AF73" s="195">
        <f>'Quarterly historicals'!AF222</f>
        <v>184.17500000000001</v>
      </c>
      <c r="AG73" s="195">
        <f>'Quarterly historicals'!AG222</f>
        <v>169.06</v>
      </c>
      <c r="AH73" s="195">
        <f>'Quarterly historicals'!AH222</f>
        <v>224.96599999999998</v>
      </c>
      <c r="AI73" s="195">
        <f>'Quarterly historicals'!AI222</f>
        <v>226.96199999999976</v>
      </c>
      <c r="AJ73" s="195">
        <f>'Quarterly historicals'!AJ222</f>
        <v>205.99499999999989</v>
      </c>
      <c r="AK73" s="202">
        <f>'Quarterly historicals'!AK222</f>
        <v>384.08999999999992</v>
      </c>
      <c r="AL73" s="202">
        <f>'Quarterly historicals'!AL222</f>
        <v>299.06399999999985</v>
      </c>
      <c r="AM73" s="202">
        <f>'Quarterly historicals'!AM222</f>
        <v>454.80200000000013</v>
      </c>
      <c r="AN73" s="202">
        <f>'Quarterly historicals'!AN222</f>
        <v>347.24599999999987</v>
      </c>
      <c r="AO73" s="202">
        <f>'Quarterly historicals'!AO222</f>
        <v>381.63</v>
      </c>
      <c r="AP73" s="202">
        <f>'Quarterly historicals'!AP222</f>
        <v>459.66300000000024</v>
      </c>
      <c r="AQ73" s="202">
        <f>'Quarterly historicals'!AQ222</f>
        <v>381.40100000000007</v>
      </c>
      <c r="AR73" s="202">
        <f>'Quarterly historicals'!AR222</f>
        <v>317.6382000000001</v>
      </c>
      <c r="AS73" s="202">
        <f>'Quarterly historicals'!AS222</f>
        <v>252.14700000000016</v>
      </c>
      <c r="AT73" s="355">
        <f>'Quarterly historicals'!AT222</f>
        <v>275.99900000000002</v>
      </c>
      <c r="AU73" s="357">
        <f>Q_BS!AO32</f>
        <v>482.61423200773584</v>
      </c>
      <c r="AV73" s="357">
        <f>Q_BS!AP32</f>
        <v>382.58904390616675</v>
      </c>
      <c r="AW73" s="357">
        <f>Q_BS!AQ32</f>
        <v>291.37691876143367</v>
      </c>
      <c r="AX73" s="357">
        <f>Q_BS!AR32</f>
        <v>402.50754961998996</v>
      </c>
      <c r="AY73" s="357">
        <f>Q_BS!AS32</f>
        <v>498.54288908303624</v>
      </c>
      <c r="AZ73" s="357">
        <f>Q_BS!AT32</f>
        <v>393.65387425371034</v>
      </c>
      <c r="BA73" s="357">
        <f>Q_BS!AU32</f>
        <v>206.51004219185282</v>
      </c>
      <c r="BB73" s="357">
        <f>Q_BS!AV32</f>
        <v>431.69647128824374</v>
      </c>
      <c r="BC73" s="357">
        <f>Q_BS!AW32</f>
        <v>539.90742825507346</v>
      </c>
      <c r="BD73" s="357">
        <f>Q_BS!AX32</f>
        <v>425.73398992370505</v>
      </c>
      <c r="BE73" s="357">
        <f>Q_BS!AY32</f>
        <v>221.912277454291</v>
      </c>
      <c r="BF73" s="357">
        <f>Q_BS!AZ32</f>
        <v>510.11825735907871</v>
      </c>
      <c r="BG73" s="357">
        <f>Q_BS!BA32</f>
        <v>616.39115186547292</v>
      </c>
      <c r="BH73" s="357">
        <f>Q_BS!BB32</f>
        <v>487.49602429800228</v>
      </c>
      <c r="BI73" s="357">
        <f>Q_BS!BC32</f>
        <v>251.52825515339555</v>
      </c>
      <c r="BJ73" s="357">
        <f>Q_BS!BD32</f>
        <v>549.70946834722167</v>
      </c>
      <c r="BK73" s="357">
        <f>Q_BS!BE32</f>
        <v>658.83490251601404</v>
      </c>
      <c r="BL73" s="357">
        <f>Q_BS!BF32</f>
        <v>520.90978712265178</v>
      </c>
      <c r="BM73" s="357">
        <f>Q_BS!BG32</f>
        <v>267.06100234883525</v>
      </c>
      <c r="BN73" s="357">
        <f>Q_BS!BH32</f>
        <v>503.53476246996803</v>
      </c>
      <c r="BO73" s="357">
        <f>Q_BS!BI32</f>
        <v>635.39623414842401</v>
      </c>
      <c r="BP73" s="357">
        <f>Q_BS!BJ32</f>
        <v>499.26317463779998</v>
      </c>
      <c r="BQ73" s="357">
        <f>Q_BS!BK32</f>
        <v>263.58848271811542</v>
      </c>
      <c r="BR73" s="357">
        <f>Q_BS!BL32</f>
        <v>475.05464925862123</v>
      </c>
      <c r="BS73" s="357">
        <f>Q_BS!BM32</f>
        <v>625.67161101260308</v>
      </c>
      <c r="BT73" s="357">
        <f>Q_BS!BN32</f>
        <v>489.28961302696092</v>
      </c>
      <c r="BU73" s="357">
        <f>Q_BS!BO32</f>
        <v>261.47620691836636</v>
      </c>
      <c r="BV73" s="357">
        <f>Q_BS!BP32</f>
        <v>538.49672145841748</v>
      </c>
      <c r="BW73" s="357">
        <f>Q_BS!BQ32</f>
        <v>696.25262609173353</v>
      </c>
      <c r="BX73" s="357">
        <f>Q_BS!BR32</f>
        <v>546.51798169393339</v>
      </c>
      <c r="BY73" s="357">
        <f>Q_BS!BS32</f>
        <v>292.93701169851261</v>
      </c>
      <c r="BZ73" s="198"/>
    </row>
    <row r="74" spans="1:83">
      <c r="A74" s="206" t="s">
        <v>106</v>
      </c>
      <c r="B74" s="196">
        <f>'Quarterly historicals'!B223</f>
        <v>0</v>
      </c>
      <c r="C74" s="196">
        <f>'Quarterly historicals'!C223</f>
        <v>0</v>
      </c>
      <c r="D74" s="196">
        <f>'Quarterly historicals'!D223</f>
        <v>0</v>
      </c>
      <c r="E74" s="196">
        <f>'Quarterly historicals'!E223</f>
        <v>0</v>
      </c>
      <c r="F74" s="196">
        <f>'Quarterly historicals'!F223</f>
        <v>0</v>
      </c>
      <c r="G74" s="196">
        <f>'Quarterly historicals'!G223</f>
        <v>0</v>
      </c>
      <c r="H74" s="196">
        <f>'Quarterly historicals'!H223</f>
        <v>0</v>
      </c>
      <c r="I74" s="196">
        <f>'Quarterly historicals'!I223</f>
        <v>0</v>
      </c>
      <c r="J74" s="196">
        <f>'Quarterly historicals'!J223</f>
        <v>0</v>
      </c>
      <c r="K74" s="196">
        <f>'Quarterly historicals'!K223</f>
        <v>0</v>
      </c>
      <c r="L74" s="196">
        <f>'Quarterly historicals'!L223</f>
        <v>0</v>
      </c>
      <c r="M74" s="196">
        <f>'Quarterly historicals'!M223</f>
        <v>3.2770000000000001</v>
      </c>
      <c r="N74" s="196">
        <f>'Quarterly historicals'!N223</f>
        <v>2.9009999999999998</v>
      </c>
      <c r="O74" s="196">
        <f>'Quarterly historicals'!O223</f>
        <v>2.2029999999999998</v>
      </c>
      <c r="P74" s="196">
        <f>'Quarterly historicals'!P223</f>
        <v>2.3069999999999999</v>
      </c>
      <c r="Q74" s="196">
        <f>'Quarterly historicals'!Q223</f>
        <v>0.123</v>
      </c>
      <c r="R74" s="196">
        <f>'Quarterly historicals'!R223</f>
        <v>0.121</v>
      </c>
      <c r="S74" s="196">
        <f>'Quarterly historicals'!S223</f>
        <v>8.8999999999999996E-2</v>
      </c>
      <c r="T74" s="196">
        <f>'Quarterly historicals'!T223</f>
        <v>0.19900000000000001</v>
      </c>
      <c r="U74" s="196">
        <f>'Quarterly historicals'!U223</f>
        <v>21.137</v>
      </c>
      <c r="V74" s="196">
        <f>'Quarterly historicals'!V223</f>
        <v>15.023999999999999</v>
      </c>
      <c r="W74" s="196">
        <f>'Quarterly historicals'!W223</f>
        <v>73.78</v>
      </c>
      <c r="X74" s="196">
        <f>'Quarterly historicals'!X223</f>
        <v>77.069999999999993</v>
      </c>
      <c r="Y74" s="196">
        <f>'Quarterly historicals'!Y223</f>
        <v>0.46399999999999997</v>
      </c>
      <c r="Z74" s="196">
        <f>'Quarterly historicals'!Z223</f>
        <v>0.58799999999999997</v>
      </c>
      <c r="AA74" s="196">
        <f>'Quarterly historicals'!AA223</f>
        <v>8.4</v>
      </c>
      <c r="AB74" s="196">
        <f>'Quarterly historicals'!AB223</f>
        <v>5.2839999999999998</v>
      </c>
      <c r="AC74" s="196">
        <f>'Quarterly historicals'!AC223</f>
        <v>0</v>
      </c>
      <c r="AD74" s="196">
        <f>'Quarterly historicals'!AD223</f>
        <v>0</v>
      </c>
      <c r="AE74" s="196">
        <f>'Quarterly historicals'!AE223</f>
        <v>0</v>
      </c>
      <c r="AF74" s="195">
        <f>'Quarterly historicals'!AF223</f>
        <v>0</v>
      </c>
      <c r="AG74" s="195">
        <f>'Quarterly historicals'!AG223</f>
        <v>0</v>
      </c>
      <c r="AH74" s="195">
        <f>'Quarterly historicals'!AH223</f>
        <v>0</v>
      </c>
      <c r="AI74" s="195">
        <f>'Quarterly historicals'!AI223</f>
        <v>0</v>
      </c>
      <c r="AJ74" s="195">
        <f>'Quarterly historicals'!AJ223</f>
        <v>0</v>
      </c>
      <c r="AK74" s="202">
        <f>'Quarterly historicals'!AK223</f>
        <v>0</v>
      </c>
      <c r="AL74" s="202">
        <f>'Quarterly historicals'!AL223</f>
        <v>0</v>
      </c>
      <c r="AM74" s="202">
        <f>'Quarterly historicals'!AM223</f>
        <v>0</v>
      </c>
      <c r="AN74" s="202">
        <f>'Quarterly historicals'!AN223</f>
        <v>0</v>
      </c>
      <c r="AO74" s="202">
        <f>'Quarterly historicals'!AO223</f>
        <v>0</v>
      </c>
      <c r="AP74" s="202">
        <f>'Quarterly historicals'!AP223</f>
        <v>0</v>
      </c>
      <c r="AQ74" s="202">
        <f>'Quarterly historicals'!AQ223</f>
        <v>0</v>
      </c>
      <c r="AR74" s="202">
        <f>'Quarterly historicals'!AR223</f>
        <v>0</v>
      </c>
      <c r="AS74" s="202">
        <f>'Quarterly historicals'!AS223</f>
        <v>0</v>
      </c>
      <c r="AT74" s="355">
        <f>'Quarterly historicals'!AT223</f>
        <v>0</v>
      </c>
      <c r="AU74" s="357">
        <f t="shared" ref="AU74:BI74" si="420">AT74</f>
        <v>0</v>
      </c>
      <c r="AV74" s="357">
        <f t="shared" si="420"/>
        <v>0</v>
      </c>
      <c r="AW74" s="357">
        <f t="shared" si="420"/>
        <v>0</v>
      </c>
      <c r="AX74" s="357">
        <f t="shared" si="420"/>
        <v>0</v>
      </c>
      <c r="AY74" s="357">
        <f t="shared" si="420"/>
        <v>0</v>
      </c>
      <c r="AZ74" s="357">
        <f t="shared" si="420"/>
        <v>0</v>
      </c>
      <c r="BA74" s="357">
        <f t="shared" si="420"/>
        <v>0</v>
      </c>
      <c r="BB74" s="357">
        <f t="shared" si="420"/>
        <v>0</v>
      </c>
      <c r="BC74" s="357">
        <f t="shared" si="420"/>
        <v>0</v>
      </c>
      <c r="BD74" s="357">
        <f t="shared" si="420"/>
        <v>0</v>
      </c>
      <c r="BE74" s="357">
        <f t="shared" si="420"/>
        <v>0</v>
      </c>
      <c r="BF74" s="357">
        <f t="shared" si="420"/>
        <v>0</v>
      </c>
      <c r="BG74" s="357">
        <f t="shared" si="420"/>
        <v>0</v>
      </c>
      <c r="BH74" s="357">
        <f t="shared" si="420"/>
        <v>0</v>
      </c>
      <c r="BI74" s="357">
        <f t="shared" si="420"/>
        <v>0</v>
      </c>
      <c r="BJ74" s="357">
        <f t="shared" ref="BJ74" si="421">BI74</f>
        <v>0</v>
      </c>
      <c r="BK74" s="357">
        <f t="shared" ref="BK74" si="422">BJ74</f>
        <v>0</v>
      </c>
      <c r="BL74" s="357">
        <f t="shared" ref="BL74" si="423">BK74</f>
        <v>0</v>
      </c>
      <c r="BM74" s="357">
        <f t="shared" ref="BM74" si="424">BL74</f>
        <v>0</v>
      </c>
      <c r="BN74" s="357">
        <f t="shared" ref="BN74" si="425">BM74</f>
        <v>0</v>
      </c>
      <c r="BO74" s="357">
        <f t="shared" ref="BO74" si="426">BN74</f>
        <v>0</v>
      </c>
      <c r="BP74" s="357">
        <f t="shared" ref="BP74" si="427">BO74</f>
        <v>0</v>
      </c>
      <c r="BQ74" s="357">
        <f t="shared" ref="BQ74" si="428">BP74</f>
        <v>0</v>
      </c>
      <c r="BR74" s="357">
        <f t="shared" ref="BR74" si="429">BQ74</f>
        <v>0</v>
      </c>
      <c r="BS74" s="357">
        <f t="shared" ref="BS74" si="430">BR74</f>
        <v>0</v>
      </c>
      <c r="BT74" s="357">
        <f t="shared" ref="BT74" si="431">BS74</f>
        <v>0</v>
      </c>
      <c r="BU74" s="357">
        <f t="shared" ref="BU74" si="432">BT74</f>
        <v>0</v>
      </c>
      <c r="BV74" s="357">
        <f t="shared" ref="BV74" si="433">BU74</f>
        <v>0</v>
      </c>
      <c r="BW74" s="357">
        <f t="shared" ref="BW74" si="434">BV74</f>
        <v>0</v>
      </c>
      <c r="BX74" s="357">
        <f t="shared" ref="BX74" si="435">BW74</f>
        <v>0</v>
      </c>
      <c r="BY74" s="357">
        <f t="shared" ref="BY74" si="436">BX74</f>
        <v>0</v>
      </c>
      <c r="BZ74" s="198"/>
    </row>
    <row r="75" spans="1:83" s="106" customFormat="1" ht="15" customHeight="1">
      <c r="A75" s="1869" t="s">
        <v>247</v>
      </c>
      <c r="B75" s="610">
        <f t="shared" ref="B75:AG75" si="437">SUM(B68:B74)</f>
        <v>110.313</v>
      </c>
      <c r="C75" s="610">
        <f t="shared" si="437"/>
        <v>237.74199999999999</v>
      </c>
      <c r="D75" s="610">
        <f t="shared" si="437"/>
        <v>172.21799999999999</v>
      </c>
      <c r="E75" s="610">
        <f t="shared" si="437"/>
        <v>217.85599999999999</v>
      </c>
      <c r="F75" s="610">
        <f t="shared" si="437"/>
        <v>282.29300000000001</v>
      </c>
      <c r="G75" s="610">
        <f t="shared" si="437"/>
        <v>294.63200000000001</v>
      </c>
      <c r="H75" s="610">
        <f t="shared" si="437"/>
        <v>331.72899999999998</v>
      </c>
      <c r="I75" s="610">
        <f t="shared" si="437"/>
        <v>312.81300000000005</v>
      </c>
      <c r="J75" s="610">
        <f t="shared" si="437"/>
        <v>488.00900000000001</v>
      </c>
      <c r="K75" s="610">
        <f t="shared" si="437"/>
        <v>530.33600000000001</v>
      </c>
      <c r="L75" s="610">
        <f t="shared" si="437"/>
        <v>554.673</v>
      </c>
      <c r="M75" s="610">
        <f t="shared" si="437"/>
        <v>559.50800000000004</v>
      </c>
      <c r="N75" s="610">
        <f t="shared" si="437"/>
        <v>544.68299999999999</v>
      </c>
      <c r="O75" s="610">
        <f t="shared" si="437"/>
        <v>649.27499999999998</v>
      </c>
      <c r="P75" s="610">
        <f t="shared" si="437"/>
        <v>670.76900000000001</v>
      </c>
      <c r="Q75" s="610">
        <f t="shared" si="437"/>
        <v>481.21399999999994</v>
      </c>
      <c r="R75" s="610">
        <f t="shared" si="437"/>
        <v>553.78100000000006</v>
      </c>
      <c r="S75" s="610">
        <f t="shared" si="437"/>
        <v>687.00700000000018</v>
      </c>
      <c r="T75" s="610">
        <f t="shared" si="437"/>
        <v>491.23600000000005</v>
      </c>
      <c r="U75" s="610">
        <f t="shared" si="437"/>
        <v>340.858</v>
      </c>
      <c r="V75" s="610">
        <f t="shared" si="437"/>
        <v>383.995</v>
      </c>
      <c r="W75" s="610">
        <f t="shared" si="437"/>
        <v>557.57299999999998</v>
      </c>
      <c r="X75" s="610">
        <f t="shared" si="437"/>
        <v>627.89100000000008</v>
      </c>
      <c r="Y75" s="610">
        <f t="shared" si="437"/>
        <v>517.35300000000007</v>
      </c>
      <c r="Z75" s="610">
        <f t="shared" si="437"/>
        <v>716.68200000000002</v>
      </c>
      <c r="AA75" s="610">
        <f t="shared" si="437"/>
        <v>785.42299999999989</v>
      </c>
      <c r="AB75" s="610">
        <f t="shared" si="437"/>
        <v>762.87</v>
      </c>
      <c r="AC75" s="610">
        <f t="shared" si="437"/>
        <v>663.94600000000003</v>
      </c>
      <c r="AD75" s="610">
        <f t="shared" si="437"/>
        <v>847.95</v>
      </c>
      <c r="AE75" s="610">
        <f t="shared" si="437"/>
        <v>985.02700000000004</v>
      </c>
      <c r="AF75" s="612">
        <f t="shared" si="437"/>
        <v>1036.0150000000001</v>
      </c>
      <c r="AG75" s="612">
        <f t="shared" si="437"/>
        <v>901.3309999999999</v>
      </c>
      <c r="AH75" s="612">
        <f t="shared" ref="AH75:BM75" si="438">SUM(AH68:AH74)</f>
        <v>1002.559</v>
      </c>
      <c r="AI75" s="612">
        <f t="shared" si="438"/>
        <v>1555.4929999999999</v>
      </c>
      <c r="AJ75" s="612">
        <f t="shared" si="438"/>
        <v>1384.817</v>
      </c>
      <c r="AK75" s="610">
        <f t="shared" si="438"/>
        <v>1565.4359999999999</v>
      </c>
      <c r="AL75" s="610">
        <f t="shared" si="438"/>
        <v>1397.751</v>
      </c>
      <c r="AM75" s="610">
        <f t="shared" si="438"/>
        <v>1624.2719999999999</v>
      </c>
      <c r="AN75" s="612">
        <f t="shared" si="438"/>
        <v>1426.3209999999999</v>
      </c>
      <c r="AO75" s="612">
        <f t="shared" si="438"/>
        <v>1370.258</v>
      </c>
      <c r="AP75" s="610">
        <f t="shared" ref="AP75:AQ75" si="439">SUM(AP68:AP74)</f>
        <v>1916.547</v>
      </c>
      <c r="AQ75" s="610">
        <f t="shared" si="439"/>
        <v>1728.8489999999999</v>
      </c>
      <c r="AR75" s="610">
        <f t="shared" ref="AR75:AS75" si="440">SUM(AR68:AR74)</f>
        <v>1581.9</v>
      </c>
      <c r="AS75" s="610">
        <f t="shared" si="440"/>
        <v>1989.633</v>
      </c>
      <c r="AT75" s="628">
        <f t="shared" ref="AT75" si="441">SUM(AT68:AT74)</f>
        <v>1713.598</v>
      </c>
      <c r="AU75" s="611">
        <f t="shared" si="438"/>
        <v>1932.8011011347489</v>
      </c>
      <c r="AV75" s="611">
        <f t="shared" si="438"/>
        <v>1744.5616191579654</v>
      </c>
      <c r="AW75" s="611">
        <f t="shared" si="438"/>
        <v>1134.063292249223</v>
      </c>
      <c r="AX75" s="611">
        <f t="shared" si="438"/>
        <v>1415.0032706032212</v>
      </c>
      <c r="AY75" s="611">
        <f t="shared" si="438"/>
        <v>1492.4235783885995</v>
      </c>
      <c r="AZ75" s="611">
        <f t="shared" si="438"/>
        <v>1293.6907487642475</v>
      </c>
      <c r="BA75" s="611">
        <f t="shared" si="438"/>
        <v>1002.3863326694144</v>
      </c>
      <c r="BB75" s="611">
        <f t="shared" si="438"/>
        <v>1452.1586319092739</v>
      </c>
      <c r="BC75" s="611">
        <f t="shared" si="438"/>
        <v>1542.9826957701027</v>
      </c>
      <c r="BD75" s="611">
        <f t="shared" si="438"/>
        <v>1327.9050880905229</v>
      </c>
      <c r="BE75" s="611">
        <f t="shared" si="438"/>
        <v>1011.0228087828033</v>
      </c>
      <c r="BF75" s="611">
        <f t="shared" si="438"/>
        <v>1564.5546431903713</v>
      </c>
      <c r="BG75" s="611">
        <f t="shared" si="438"/>
        <v>1652.4449923221462</v>
      </c>
      <c r="BH75" s="611">
        <f t="shared" si="438"/>
        <v>1407.7115918762411</v>
      </c>
      <c r="BI75" s="611">
        <f t="shared" si="438"/>
        <v>1043.6132652371589</v>
      </c>
      <c r="BJ75" s="611">
        <f t="shared" si="438"/>
        <v>1615.1686200471252</v>
      </c>
      <c r="BK75" s="611">
        <f t="shared" si="438"/>
        <v>1708.2661184640074</v>
      </c>
      <c r="BL75" s="611">
        <f t="shared" si="438"/>
        <v>1445.8612840911728</v>
      </c>
      <c r="BM75" s="611">
        <f t="shared" si="438"/>
        <v>1054.670754407256</v>
      </c>
      <c r="BN75" s="611">
        <f t="shared" ref="BN75:BY75" si="442">SUM(BN68:BN74)</f>
        <v>1544.9397933884952</v>
      </c>
      <c r="BO75" s="611">
        <f t="shared" si="442"/>
        <v>1666.3421049655421</v>
      </c>
      <c r="BP75" s="611">
        <f t="shared" si="442"/>
        <v>1406.1986547417991</v>
      </c>
      <c r="BQ75" s="611">
        <f t="shared" si="442"/>
        <v>1035.2622511288741</v>
      </c>
      <c r="BR75" s="611">
        <f t="shared" si="442"/>
        <v>1497.9582727001475</v>
      </c>
      <c r="BS75" s="611">
        <f t="shared" si="442"/>
        <v>1642.8092913934556</v>
      </c>
      <c r="BT75" s="611">
        <f t="shared" si="442"/>
        <v>1381.5900776098645</v>
      </c>
      <c r="BU75" s="611">
        <f t="shared" si="442"/>
        <v>1017.870813911383</v>
      </c>
      <c r="BV75" s="611">
        <f t="shared" si="442"/>
        <v>1546.5726716480165</v>
      </c>
      <c r="BW75" s="611">
        <f t="shared" si="442"/>
        <v>1698.6562503611299</v>
      </c>
      <c r="BX75" s="611">
        <f t="shared" si="442"/>
        <v>1425.6192219200298</v>
      </c>
      <c r="BY75" s="611">
        <f t="shared" si="442"/>
        <v>1037.8661608030866</v>
      </c>
      <c r="BZ75" s="198"/>
    </row>
    <row r="76" spans="1:83" s="106" customFormat="1">
      <c r="A76" s="218" t="s">
        <v>248</v>
      </c>
      <c r="B76" s="202"/>
      <c r="C76" s="202"/>
      <c r="D76" s="202"/>
      <c r="E76" s="202"/>
      <c r="F76" s="202"/>
      <c r="G76" s="202"/>
      <c r="H76" s="202"/>
      <c r="I76" s="202"/>
      <c r="J76" s="202"/>
      <c r="K76" s="202"/>
      <c r="L76" s="202"/>
      <c r="M76" s="202"/>
      <c r="N76" s="202"/>
      <c r="O76" s="202"/>
      <c r="P76" s="202"/>
      <c r="Q76" s="202"/>
      <c r="R76" s="202"/>
      <c r="S76" s="202"/>
      <c r="T76" s="202"/>
      <c r="U76" s="202"/>
      <c r="V76" s="202"/>
      <c r="W76" s="202"/>
      <c r="X76" s="202"/>
      <c r="Y76" s="202"/>
      <c r="Z76" s="202"/>
      <c r="AA76" s="202"/>
      <c r="AB76" s="202"/>
      <c r="AC76" s="202"/>
      <c r="AD76" s="202"/>
      <c r="AE76" s="202"/>
      <c r="AF76" s="327"/>
      <c r="AG76" s="327"/>
      <c r="AH76" s="327"/>
      <c r="AI76" s="327"/>
      <c r="AJ76" s="327"/>
      <c r="AK76" s="202"/>
      <c r="AL76" s="202"/>
      <c r="AM76" s="202"/>
      <c r="AN76" s="202"/>
      <c r="AO76" s="202"/>
      <c r="AP76" s="202"/>
      <c r="AQ76" s="202"/>
      <c r="AR76" s="202"/>
      <c r="AS76" s="202"/>
      <c r="AT76" s="355"/>
      <c r="AU76" s="356"/>
      <c r="AV76" s="356"/>
      <c r="AW76" s="356"/>
      <c r="AX76" s="356"/>
      <c r="AY76" s="356"/>
      <c r="AZ76" s="356"/>
      <c r="BA76" s="356"/>
      <c r="BB76" s="356"/>
      <c r="BC76" s="356"/>
      <c r="BD76" s="356"/>
      <c r="BE76" s="356"/>
      <c r="BF76" s="356"/>
      <c r="BG76" s="356"/>
      <c r="BH76" s="356"/>
      <c r="BI76" s="356"/>
      <c r="BJ76" s="356"/>
      <c r="BK76" s="356"/>
      <c r="BL76" s="356"/>
      <c r="BM76" s="356"/>
      <c r="BN76" s="356"/>
      <c r="BO76" s="356"/>
      <c r="BP76" s="356"/>
      <c r="BQ76" s="356"/>
      <c r="BR76" s="356"/>
      <c r="BS76" s="356"/>
      <c r="BT76" s="356"/>
      <c r="BU76" s="356"/>
      <c r="BV76" s="356"/>
      <c r="BW76" s="356"/>
      <c r="BX76" s="356"/>
      <c r="BY76" s="356"/>
      <c r="BZ76" s="198"/>
    </row>
    <row r="77" spans="1:83" s="106" customFormat="1">
      <c r="A77" s="627" t="s">
        <v>249</v>
      </c>
      <c r="B77" s="202">
        <f>'Quarterly historicals'!B226</f>
        <v>77.158000000000001</v>
      </c>
      <c r="C77" s="202">
        <f>'Quarterly historicals'!C226</f>
        <v>194.11500000000001</v>
      </c>
      <c r="D77" s="202">
        <f>'Quarterly historicals'!D226</f>
        <v>199.27799999999999</v>
      </c>
      <c r="E77" s="202">
        <f>'Quarterly historicals'!E226</f>
        <v>212.655</v>
      </c>
      <c r="F77" s="202">
        <f>'Quarterly historicals'!F226</f>
        <v>271.65100000000001</v>
      </c>
      <c r="G77" s="202">
        <f>'Quarterly historicals'!G226</f>
        <v>356.59800000000001</v>
      </c>
      <c r="H77" s="202">
        <f>'Quarterly historicals'!H226</f>
        <v>418.00599999999997</v>
      </c>
      <c r="I77" s="202">
        <f>'Quarterly historicals'!I226</f>
        <v>446.58300000000003</v>
      </c>
      <c r="J77" s="202">
        <f>'Quarterly historicals'!J226</f>
        <v>389.29599999999999</v>
      </c>
      <c r="K77" s="202">
        <f>'Quarterly historicals'!K226</f>
        <v>717.00300000000004</v>
      </c>
      <c r="L77" s="202">
        <f>'Quarterly historicals'!L226</f>
        <v>740.30600000000004</v>
      </c>
      <c r="M77" s="202">
        <f>'Quarterly historicals'!M226</f>
        <v>730.48599999999999</v>
      </c>
      <c r="N77" s="202">
        <f>'Quarterly historicals'!N226</f>
        <v>679.447</v>
      </c>
      <c r="O77" s="202">
        <f>'Quarterly historicals'!O226</f>
        <v>636.03499999999997</v>
      </c>
      <c r="P77" s="202">
        <f>'Quarterly historicals'!P226</f>
        <v>626.32500000000005</v>
      </c>
      <c r="Q77" s="202">
        <f>'Quarterly historicals'!Q226</f>
        <v>628.39300000000003</v>
      </c>
      <c r="R77" s="202">
        <f>'Quarterly historicals'!R226</f>
        <v>689.51</v>
      </c>
      <c r="S77" s="202">
        <f>'Quarterly historicals'!S226</f>
        <v>727.87699999999995</v>
      </c>
      <c r="T77" s="202">
        <f>'Quarterly historicals'!T226</f>
        <v>609.08399999999995</v>
      </c>
      <c r="U77" s="202">
        <f>'Quarterly historicals'!U226</f>
        <v>570.71100000000001</v>
      </c>
      <c r="V77" s="202">
        <f>'Quarterly historicals'!V226</f>
        <v>666.28200000000004</v>
      </c>
      <c r="W77" s="202">
        <f>'Quarterly historicals'!W226</f>
        <v>707.85400000000004</v>
      </c>
      <c r="X77" s="202">
        <f>'Quarterly historicals'!X226</f>
        <v>958.01900000000001</v>
      </c>
      <c r="Y77" s="202">
        <f>'Quarterly historicals'!Y226</f>
        <v>984.86500000000001</v>
      </c>
      <c r="Z77" s="202">
        <f>'Quarterly historicals'!Z226</f>
        <v>1437.192</v>
      </c>
      <c r="AA77" s="202">
        <f>'Quarterly historicals'!AA226</f>
        <v>1429.9770000000001</v>
      </c>
      <c r="AB77" s="202">
        <f>'Quarterly historicals'!AB226</f>
        <v>1423.123</v>
      </c>
      <c r="AC77" s="202">
        <f>'Quarterly historicals'!AC226</f>
        <v>1618.3969999999999</v>
      </c>
      <c r="AD77" s="202">
        <f>'Quarterly historicals'!AD226</f>
        <v>1583.461</v>
      </c>
      <c r="AE77" s="202">
        <f>'Quarterly historicals'!AE226</f>
        <v>1485.627</v>
      </c>
      <c r="AF77" s="327">
        <f>'Quarterly historicals'!AF226</f>
        <v>1450.5060000000001</v>
      </c>
      <c r="AG77" s="327">
        <f>'Quarterly historicals'!AG226</f>
        <v>1616.9280000000001</v>
      </c>
      <c r="AH77" s="327">
        <f>'Quarterly historicals'!AH226</f>
        <v>1835.261</v>
      </c>
      <c r="AI77" s="327">
        <f>'Quarterly historicals'!AI226</f>
        <v>1869.2360000000001</v>
      </c>
      <c r="AJ77" s="327">
        <f>'Quarterly historicals'!AJ226</f>
        <v>2228.723</v>
      </c>
      <c r="AK77" s="202">
        <f>'Quarterly historicals'!AK226</f>
        <v>2634.7730000000001</v>
      </c>
      <c r="AL77" s="202">
        <f>'Quarterly historicals'!AL226</f>
        <v>2828.4090000000001</v>
      </c>
      <c r="AM77" s="202">
        <f>'Quarterly historicals'!AM226</f>
        <v>3110.201</v>
      </c>
      <c r="AN77" s="202">
        <f>'Quarterly historicals'!AN226</f>
        <v>3091.4180000000001</v>
      </c>
      <c r="AO77" s="202">
        <f>'Quarterly historicals'!AO226</f>
        <v>3048.9479999999999</v>
      </c>
      <c r="AP77" s="202">
        <f>'Quarterly historicals'!AP226</f>
        <v>2117.614</v>
      </c>
      <c r="AQ77" s="202">
        <f>'Quarterly historicals'!AQ226</f>
        <v>2642.7159999999999</v>
      </c>
      <c r="AR77" s="202">
        <f>'Quarterly historicals'!AR226</f>
        <v>2685.8</v>
      </c>
      <c r="AS77" s="202">
        <f>'Quarterly historicals'!AS226</f>
        <v>2219.5940000000001</v>
      </c>
      <c r="AT77" s="355">
        <f>'Quarterly historicals'!AT226</f>
        <v>2873.1010000000001</v>
      </c>
      <c r="AU77" s="357">
        <f>+Q_BS!AO62</f>
        <v>2873.1010000000001</v>
      </c>
      <c r="AV77" s="357">
        <f>+Q_BS!AP62</f>
        <v>2873.1010000000001</v>
      </c>
      <c r="AW77" s="357">
        <f>+Q_BS!AQ62</f>
        <v>2873.1010000000001</v>
      </c>
      <c r="AX77" s="357">
        <f>+Q_BS!AR62</f>
        <v>2873.1010000000001</v>
      </c>
      <c r="AY77" s="357">
        <f>+Q_BS!AS62</f>
        <v>2873.1010000000001</v>
      </c>
      <c r="AZ77" s="357">
        <f>+Q_BS!AT62</f>
        <v>2873.1010000000001</v>
      </c>
      <c r="BA77" s="357">
        <f>+Q_BS!AU62</f>
        <v>2873.1010000000001</v>
      </c>
      <c r="BB77" s="357">
        <f>+Q_BS!AV62</f>
        <v>2873.1010000000001</v>
      </c>
      <c r="BC77" s="357">
        <f>+Q_BS!AW62</f>
        <v>2873.1010000000001</v>
      </c>
      <c r="BD77" s="357">
        <f>+Q_BS!AX62</f>
        <v>2873.1010000000001</v>
      </c>
      <c r="BE77" s="357">
        <f>+Q_BS!AY62</f>
        <v>2873.1010000000001</v>
      </c>
      <c r="BF77" s="357">
        <f>+Q_BS!AZ62</f>
        <v>2873.1010000000001</v>
      </c>
      <c r="BG77" s="357">
        <f>+Q_BS!BA62</f>
        <v>2873.1010000000001</v>
      </c>
      <c r="BH77" s="357">
        <f>+Q_BS!BB62</f>
        <v>2873.1010000000001</v>
      </c>
      <c r="BI77" s="357">
        <f>+Q_BS!BC62</f>
        <v>2873.1010000000001</v>
      </c>
      <c r="BJ77" s="357">
        <f>+Q_BS!BD62</f>
        <v>2873.1010000000001</v>
      </c>
      <c r="BK77" s="357">
        <f>+Q_BS!BE62</f>
        <v>2873.1010000000001</v>
      </c>
      <c r="BL77" s="357">
        <f>+Q_BS!BF62</f>
        <v>2873.1010000000001</v>
      </c>
      <c r="BM77" s="357">
        <f>+Q_BS!BG62</f>
        <v>2873.1010000000001</v>
      </c>
      <c r="BN77" s="357">
        <f>+Q_BS!BH62</f>
        <v>2873.1010000000001</v>
      </c>
      <c r="BO77" s="357">
        <f>+Q_BS!BI62</f>
        <v>2873.1010000000001</v>
      </c>
      <c r="BP77" s="357">
        <f>+Q_BS!BJ62</f>
        <v>2873.1010000000001</v>
      </c>
      <c r="BQ77" s="357">
        <f>+Q_BS!BK62</f>
        <v>2873.1010000000001</v>
      </c>
      <c r="BR77" s="357">
        <f>+Q_BS!BL62</f>
        <v>2873.1010000000001</v>
      </c>
      <c r="BS77" s="357">
        <f>+Q_BS!BM62</f>
        <v>2873.1010000000001</v>
      </c>
      <c r="BT77" s="357">
        <f>+Q_BS!BN62</f>
        <v>2873.1010000000001</v>
      </c>
      <c r="BU77" s="357">
        <f>+Q_BS!BO62</f>
        <v>2873.1010000000001</v>
      </c>
      <c r="BV77" s="357">
        <f>+Q_BS!BP62</f>
        <v>2873.1010000000001</v>
      </c>
      <c r="BW77" s="357">
        <f>+Q_BS!BQ62</f>
        <v>2873.1010000000001</v>
      </c>
      <c r="BX77" s="357">
        <f>+Q_BS!BR62</f>
        <v>2873.1010000000001</v>
      </c>
      <c r="BY77" s="357">
        <f>+Q_BS!BS62</f>
        <v>2873.1010000000001</v>
      </c>
      <c r="BZ77" s="198"/>
    </row>
    <row r="78" spans="1:83" s="106" customFormat="1">
      <c r="A78" s="627" t="s">
        <v>107</v>
      </c>
      <c r="B78" s="202">
        <f>'Quarterly historicals'!B227</f>
        <v>133.07300000000001</v>
      </c>
      <c r="C78" s="202">
        <f>'Quarterly historicals'!C227</f>
        <v>392.85599999999999</v>
      </c>
      <c r="D78" s="202">
        <f>'Quarterly historicals'!D227</f>
        <v>402.83800000000002</v>
      </c>
      <c r="E78" s="202">
        <f>'Quarterly historicals'!E227</f>
        <v>533.32399999999996</v>
      </c>
      <c r="F78" s="202">
        <f>'Quarterly historicals'!F227</f>
        <v>533.56299999999999</v>
      </c>
      <c r="G78" s="202">
        <f>'Quarterly historicals'!G227</f>
        <v>547.23400000000004</v>
      </c>
      <c r="H78" s="202">
        <f>'Quarterly historicals'!H227</f>
        <v>535.51900000000001</v>
      </c>
      <c r="I78" s="202">
        <f>'Quarterly historicals'!I227</f>
        <v>525.03499999999997</v>
      </c>
      <c r="J78" s="202">
        <f>'Quarterly historicals'!J227</f>
        <v>536.78499999999997</v>
      </c>
      <c r="K78" s="202">
        <f>'Quarterly historicals'!K227</f>
        <v>538.82600000000002</v>
      </c>
      <c r="L78" s="202">
        <f>'Quarterly historicals'!L227</f>
        <v>533.87599999999998</v>
      </c>
      <c r="M78" s="202">
        <f>'Quarterly historicals'!M227</f>
        <v>302.77699999999999</v>
      </c>
      <c r="N78" s="202">
        <f>'Quarterly historicals'!N227</f>
        <v>282.14999999999998</v>
      </c>
      <c r="O78" s="202">
        <f>'Quarterly historicals'!O227</f>
        <v>197.43299999999999</v>
      </c>
      <c r="P78" s="202">
        <f>'Quarterly historicals'!P227</f>
        <v>209.221</v>
      </c>
      <c r="Q78" s="202">
        <f>'Quarterly historicals'!Q227</f>
        <v>324.68299999999999</v>
      </c>
      <c r="R78" s="202">
        <f>'Quarterly historicals'!R227</f>
        <v>296.202</v>
      </c>
      <c r="S78" s="202">
        <f>'Quarterly historicals'!S227</f>
        <v>292.16900000000004</v>
      </c>
      <c r="T78" s="202">
        <f>'Quarterly historicals'!T227</f>
        <v>288.57899999999995</v>
      </c>
      <c r="U78" s="202">
        <f>'Quarterly historicals'!U227</f>
        <v>348.233</v>
      </c>
      <c r="V78" s="202">
        <f>'Quarterly historicals'!V227</f>
        <v>341.44900000000001</v>
      </c>
      <c r="W78" s="202">
        <f>'Quarterly historicals'!W227</f>
        <v>344.98599999999999</v>
      </c>
      <c r="X78" s="202">
        <f>'Quarterly historicals'!X227</f>
        <v>369.286</v>
      </c>
      <c r="Y78" s="202">
        <f>'Quarterly historicals'!Y227</f>
        <v>360.95800000000003</v>
      </c>
      <c r="Z78" s="202">
        <f>'Quarterly historicals'!Z227</f>
        <v>360.99599999999998</v>
      </c>
      <c r="AA78" s="202">
        <f>'Quarterly historicals'!AA227</f>
        <v>358.68699999999995</v>
      </c>
      <c r="AB78" s="202">
        <f>'Quarterly historicals'!AB227</f>
        <v>340.99</v>
      </c>
      <c r="AC78" s="202">
        <f>'Quarterly historicals'!AC227</f>
        <v>215.47800000000001</v>
      </c>
      <c r="AD78" s="202">
        <f>'Quarterly historicals'!AD227</f>
        <v>215.12700000000001</v>
      </c>
      <c r="AE78" s="202">
        <f>'Quarterly historicals'!AE227</f>
        <v>215.02099999999999</v>
      </c>
      <c r="AF78" s="327">
        <f>'Quarterly historicals'!AF227</f>
        <v>220.30500000000001</v>
      </c>
      <c r="AG78" s="327">
        <f>'Quarterly historicals'!AG227</f>
        <v>230.25399999999999</v>
      </c>
      <c r="AH78" s="327">
        <f>'Quarterly historicals'!AH227</f>
        <v>232.749</v>
      </c>
      <c r="AI78" s="327">
        <f>'Quarterly historicals'!AI227</f>
        <v>283.27300000000002</v>
      </c>
      <c r="AJ78" s="327">
        <f>'Quarterly historicals'!AJ227</f>
        <v>291.36399999999998</v>
      </c>
      <c r="AK78" s="202">
        <f>'Quarterly historicals'!AK227</f>
        <v>292.94499999999999</v>
      </c>
      <c r="AL78" s="202">
        <f>'Quarterly historicals'!AL227</f>
        <v>293.17500000000001</v>
      </c>
      <c r="AM78" s="202">
        <f>'Quarterly historicals'!AM227</f>
        <v>247.31200000000001</v>
      </c>
      <c r="AN78" s="202">
        <f>'Quarterly historicals'!AN227</f>
        <v>247.55600000000001</v>
      </c>
      <c r="AO78" s="202">
        <f>'Quarterly historicals'!AO227</f>
        <v>247.86199999999999</v>
      </c>
      <c r="AP78" s="202">
        <f>'Quarterly historicals'!AP227</f>
        <v>247.93899999999999</v>
      </c>
      <c r="AQ78" s="202">
        <f>'Quarterly historicals'!AQ227</f>
        <v>248.81200000000001</v>
      </c>
      <c r="AR78" s="202">
        <f>'Quarterly historicals'!AR227</f>
        <v>149.435</v>
      </c>
      <c r="AS78" s="202">
        <f>'Quarterly historicals'!AS227</f>
        <v>248.36</v>
      </c>
      <c r="AT78" s="355">
        <f>'Quarterly historicals'!AT227</f>
        <v>246.73699999999999</v>
      </c>
      <c r="AU78" s="356">
        <f t="shared" ref="AU78:BY78" si="443">AT78</f>
        <v>246.73699999999999</v>
      </c>
      <c r="AV78" s="356">
        <f t="shared" si="443"/>
        <v>246.73699999999999</v>
      </c>
      <c r="AW78" s="356">
        <f t="shared" si="443"/>
        <v>246.73699999999999</v>
      </c>
      <c r="AX78" s="356">
        <f t="shared" si="443"/>
        <v>246.73699999999999</v>
      </c>
      <c r="AY78" s="356">
        <f t="shared" si="443"/>
        <v>246.73699999999999</v>
      </c>
      <c r="AZ78" s="356">
        <f t="shared" si="443"/>
        <v>246.73699999999999</v>
      </c>
      <c r="BA78" s="356">
        <f t="shared" si="443"/>
        <v>246.73699999999999</v>
      </c>
      <c r="BB78" s="356">
        <f t="shared" si="443"/>
        <v>246.73699999999999</v>
      </c>
      <c r="BC78" s="356">
        <f t="shared" si="443"/>
        <v>246.73699999999999</v>
      </c>
      <c r="BD78" s="356">
        <f t="shared" si="443"/>
        <v>246.73699999999999</v>
      </c>
      <c r="BE78" s="356">
        <f t="shared" si="443"/>
        <v>246.73699999999999</v>
      </c>
      <c r="BF78" s="356">
        <f t="shared" si="443"/>
        <v>246.73699999999999</v>
      </c>
      <c r="BG78" s="356">
        <f t="shared" si="443"/>
        <v>246.73699999999999</v>
      </c>
      <c r="BH78" s="356">
        <f t="shared" si="443"/>
        <v>246.73699999999999</v>
      </c>
      <c r="BI78" s="356">
        <f t="shared" si="443"/>
        <v>246.73699999999999</v>
      </c>
      <c r="BJ78" s="356">
        <f t="shared" si="443"/>
        <v>246.73699999999999</v>
      </c>
      <c r="BK78" s="356">
        <f t="shared" si="443"/>
        <v>246.73699999999999</v>
      </c>
      <c r="BL78" s="356">
        <f t="shared" si="443"/>
        <v>246.73699999999999</v>
      </c>
      <c r="BM78" s="356">
        <f t="shared" si="443"/>
        <v>246.73699999999999</v>
      </c>
      <c r="BN78" s="356">
        <f t="shared" si="443"/>
        <v>246.73699999999999</v>
      </c>
      <c r="BO78" s="356">
        <f t="shared" si="443"/>
        <v>246.73699999999999</v>
      </c>
      <c r="BP78" s="356">
        <f t="shared" si="443"/>
        <v>246.73699999999999</v>
      </c>
      <c r="BQ78" s="356">
        <f t="shared" si="443"/>
        <v>246.73699999999999</v>
      </c>
      <c r="BR78" s="356">
        <f t="shared" si="443"/>
        <v>246.73699999999999</v>
      </c>
      <c r="BS78" s="356">
        <f t="shared" si="443"/>
        <v>246.73699999999999</v>
      </c>
      <c r="BT78" s="356">
        <f t="shared" si="443"/>
        <v>246.73699999999999</v>
      </c>
      <c r="BU78" s="356">
        <f t="shared" si="443"/>
        <v>246.73699999999999</v>
      </c>
      <c r="BV78" s="356">
        <f t="shared" si="443"/>
        <v>246.73699999999999</v>
      </c>
      <c r="BW78" s="356">
        <f t="shared" si="443"/>
        <v>246.73699999999999</v>
      </c>
      <c r="BX78" s="356">
        <f t="shared" si="443"/>
        <v>246.73699999999999</v>
      </c>
      <c r="BY78" s="356">
        <f t="shared" si="443"/>
        <v>246.73699999999999</v>
      </c>
      <c r="BZ78" s="198"/>
    </row>
    <row r="79" spans="1:83" s="106" customFormat="1">
      <c r="A79" s="627" t="s">
        <v>108</v>
      </c>
      <c r="B79" s="202">
        <f>'Quarterly historicals'!B228</f>
        <v>0</v>
      </c>
      <c r="C79" s="202">
        <f>'Quarterly historicals'!C228</f>
        <v>0</v>
      </c>
      <c r="D79" s="202">
        <f>'Quarterly historicals'!D228</f>
        <v>0</v>
      </c>
      <c r="E79" s="202">
        <f>'Quarterly historicals'!E228</f>
        <v>0</v>
      </c>
      <c r="F79" s="202">
        <f>'Quarterly historicals'!F228</f>
        <v>0</v>
      </c>
      <c r="G79" s="202">
        <f>'Quarterly historicals'!G228</f>
        <v>0</v>
      </c>
      <c r="H79" s="202">
        <f>'Quarterly historicals'!H228</f>
        <v>0</v>
      </c>
      <c r="I79" s="202">
        <f>'Quarterly historicals'!I228</f>
        <v>0</v>
      </c>
      <c r="J79" s="202">
        <f>'Quarterly historicals'!J228</f>
        <v>0</v>
      </c>
      <c r="K79" s="202">
        <f>'Quarterly historicals'!K228</f>
        <v>0</v>
      </c>
      <c r="L79" s="202">
        <f>'Quarterly historicals'!L228</f>
        <v>0</v>
      </c>
      <c r="M79" s="202">
        <f>'Quarterly historicals'!M228</f>
        <v>208.477</v>
      </c>
      <c r="N79" s="202">
        <f>'Quarterly historicals'!N228</f>
        <v>208.85499999999999</v>
      </c>
      <c r="O79" s="202">
        <f>'Quarterly historicals'!O228</f>
        <v>297.697</v>
      </c>
      <c r="P79" s="202">
        <f>'Quarterly historicals'!P228</f>
        <v>280.85699999999997</v>
      </c>
      <c r="Q79" s="202">
        <f>'Quarterly historicals'!Q228</f>
        <v>843.76199999999994</v>
      </c>
      <c r="R79" s="202">
        <f>'Quarterly historicals'!R228</f>
        <v>219.108</v>
      </c>
      <c r="S79" s="202">
        <f>'Quarterly historicals'!S228</f>
        <v>202.52600000000001</v>
      </c>
      <c r="T79" s="202">
        <f>'Quarterly historicals'!T228</f>
        <v>196.23</v>
      </c>
      <c r="U79" s="202">
        <f>'Quarterly historicals'!U228</f>
        <v>728.36800000000005</v>
      </c>
      <c r="V79" s="202">
        <f>'Quarterly historicals'!V228</f>
        <v>814.81600000000003</v>
      </c>
      <c r="W79" s="202">
        <f>'Quarterly historicals'!W228</f>
        <v>810.27</v>
      </c>
      <c r="X79" s="202">
        <f>'Quarterly historicals'!X228</f>
        <v>822.53300000000002</v>
      </c>
      <c r="Y79" s="202">
        <f>'Quarterly historicals'!Y228</f>
        <v>899.31299999999999</v>
      </c>
      <c r="Z79" s="202">
        <f>'Quarterly historicals'!Z228</f>
        <v>890.41699999999992</v>
      </c>
      <c r="AA79" s="202">
        <f>'Quarterly historicals'!AA228</f>
        <v>905.94100000000003</v>
      </c>
      <c r="AB79" s="202">
        <f>'Quarterly historicals'!AB228</f>
        <v>859.90899999999999</v>
      </c>
      <c r="AC79" s="202">
        <f>'Quarterly historicals'!AC228</f>
        <v>1034.672</v>
      </c>
      <c r="AD79" s="202">
        <f>'Quarterly historicals'!AD228</f>
        <v>991.28899999999999</v>
      </c>
      <c r="AE79" s="202">
        <f>'Quarterly historicals'!AE228</f>
        <v>990.76300000000003</v>
      </c>
      <c r="AF79" s="327">
        <f>'Quarterly historicals'!AF228</f>
        <v>988.01300000000003</v>
      </c>
      <c r="AG79" s="327">
        <f>'Quarterly historicals'!AG228</f>
        <v>1001.4860000000001</v>
      </c>
      <c r="AH79" s="327">
        <f>'Quarterly historicals'!AH228</f>
        <v>1017.1560000000001</v>
      </c>
      <c r="AI79" s="327">
        <f>'Quarterly historicals'!AI228</f>
        <v>1067.7049999999999</v>
      </c>
      <c r="AJ79" s="327">
        <f>'Quarterly historicals'!AJ228</f>
        <v>1098.9749999999999</v>
      </c>
      <c r="AK79" s="202">
        <f>'Quarterly historicals'!AK228</f>
        <v>509.79299999999967</v>
      </c>
      <c r="AL79" s="202">
        <f>'Quarterly historicals'!AL228</f>
        <v>524.49399999999969</v>
      </c>
      <c r="AM79" s="202">
        <f>'Quarterly historicals'!AM228</f>
        <v>369.87899999999991</v>
      </c>
      <c r="AN79" s="202">
        <f>'Quarterly historicals'!AN228</f>
        <v>334.17099999999982</v>
      </c>
      <c r="AO79" s="202">
        <f>'Quarterly historicals'!AO228</f>
        <v>441.92500000000018</v>
      </c>
      <c r="AP79" s="202">
        <f>'Quarterly historicals'!AP228</f>
        <v>469.01700000000028</v>
      </c>
      <c r="AQ79" s="202">
        <f>'Quarterly historicals'!AQ228</f>
        <v>447.41300000000001</v>
      </c>
      <c r="AR79" s="202">
        <f>'Quarterly historicals'!AR228</f>
        <v>593.83199999999988</v>
      </c>
      <c r="AS79" s="202">
        <f>'Quarterly historicals'!AS228</f>
        <v>830.61799999999994</v>
      </c>
      <c r="AT79" s="355">
        <f>'Quarterly historicals'!AT228</f>
        <v>1127.5160000000001</v>
      </c>
      <c r="AU79" s="356">
        <f t="shared" ref="AU79:BI79" si="444">AT79</f>
        <v>1127.5160000000001</v>
      </c>
      <c r="AV79" s="356">
        <f t="shared" si="444"/>
        <v>1127.5160000000001</v>
      </c>
      <c r="AW79" s="356">
        <f t="shared" si="444"/>
        <v>1127.5160000000001</v>
      </c>
      <c r="AX79" s="356">
        <f t="shared" si="444"/>
        <v>1127.5160000000001</v>
      </c>
      <c r="AY79" s="356">
        <f t="shared" si="444"/>
        <v>1127.5160000000001</v>
      </c>
      <c r="AZ79" s="356">
        <f t="shared" si="444"/>
        <v>1127.5160000000001</v>
      </c>
      <c r="BA79" s="356">
        <f t="shared" si="444"/>
        <v>1127.5160000000001</v>
      </c>
      <c r="BB79" s="356">
        <f t="shared" si="444"/>
        <v>1127.5160000000001</v>
      </c>
      <c r="BC79" s="356">
        <f t="shared" si="444"/>
        <v>1127.5160000000001</v>
      </c>
      <c r="BD79" s="356">
        <f t="shared" si="444"/>
        <v>1127.5160000000001</v>
      </c>
      <c r="BE79" s="356">
        <f t="shared" si="444"/>
        <v>1127.5160000000001</v>
      </c>
      <c r="BF79" s="356">
        <f t="shared" si="444"/>
        <v>1127.5160000000001</v>
      </c>
      <c r="BG79" s="356">
        <f t="shared" si="444"/>
        <v>1127.5160000000001</v>
      </c>
      <c r="BH79" s="356">
        <f t="shared" si="444"/>
        <v>1127.5160000000001</v>
      </c>
      <c r="BI79" s="356">
        <f t="shared" si="444"/>
        <v>1127.5160000000001</v>
      </c>
      <c r="BJ79" s="356">
        <f t="shared" ref="BJ79" si="445">BI79</f>
        <v>1127.5160000000001</v>
      </c>
      <c r="BK79" s="356">
        <f t="shared" ref="BK79" si="446">BJ79</f>
        <v>1127.5160000000001</v>
      </c>
      <c r="BL79" s="356">
        <f t="shared" ref="BL79" si="447">BK79</f>
        <v>1127.5160000000001</v>
      </c>
      <c r="BM79" s="356">
        <f t="shared" ref="BM79" si="448">BL79</f>
        <v>1127.5160000000001</v>
      </c>
      <c r="BN79" s="356">
        <f t="shared" ref="BN79" si="449">BM79</f>
        <v>1127.5160000000001</v>
      </c>
      <c r="BO79" s="356">
        <f t="shared" ref="BO79" si="450">BN79</f>
        <v>1127.5160000000001</v>
      </c>
      <c r="BP79" s="356">
        <f t="shared" ref="BP79" si="451">BO79</f>
        <v>1127.5160000000001</v>
      </c>
      <c r="BQ79" s="356">
        <f t="shared" ref="BQ79" si="452">BP79</f>
        <v>1127.5160000000001</v>
      </c>
      <c r="BR79" s="356">
        <f t="shared" ref="BR79" si="453">BQ79</f>
        <v>1127.5160000000001</v>
      </c>
      <c r="BS79" s="356">
        <f t="shared" ref="BS79" si="454">BR79</f>
        <v>1127.5160000000001</v>
      </c>
      <c r="BT79" s="356">
        <f t="shared" ref="BT79" si="455">BS79</f>
        <v>1127.5160000000001</v>
      </c>
      <c r="BU79" s="356">
        <f t="shared" ref="BU79" si="456">BT79</f>
        <v>1127.5160000000001</v>
      </c>
      <c r="BV79" s="356">
        <f t="shared" ref="BV79" si="457">BU79</f>
        <v>1127.5160000000001</v>
      </c>
      <c r="BW79" s="356">
        <f t="shared" ref="BW79" si="458">BV79</f>
        <v>1127.5160000000001</v>
      </c>
      <c r="BX79" s="356">
        <f t="shared" ref="BX79" si="459">BW79</f>
        <v>1127.5160000000001</v>
      </c>
      <c r="BY79" s="356">
        <f t="shared" ref="BY79" si="460">BX79</f>
        <v>1127.5160000000001</v>
      </c>
      <c r="BZ79" s="198"/>
    </row>
    <row r="80" spans="1:83" s="106" customFormat="1" ht="15" customHeight="1">
      <c r="A80" s="609" t="s">
        <v>250</v>
      </c>
      <c r="B80" s="610">
        <f t="shared" ref="B80:AG80" si="461">B77+SUM(B78:B79)</f>
        <v>210.23099999999999</v>
      </c>
      <c r="C80" s="610">
        <f t="shared" si="461"/>
        <v>586.971</v>
      </c>
      <c r="D80" s="610">
        <f t="shared" si="461"/>
        <v>602.11599999999999</v>
      </c>
      <c r="E80" s="610">
        <f t="shared" si="461"/>
        <v>745.97899999999993</v>
      </c>
      <c r="F80" s="610">
        <f t="shared" si="461"/>
        <v>805.21399999999994</v>
      </c>
      <c r="G80" s="610">
        <f t="shared" si="461"/>
        <v>903.83200000000011</v>
      </c>
      <c r="H80" s="610">
        <f t="shared" si="461"/>
        <v>953.52499999999998</v>
      </c>
      <c r="I80" s="610">
        <f t="shared" si="461"/>
        <v>971.61799999999994</v>
      </c>
      <c r="J80" s="610">
        <f t="shared" si="461"/>
        <v>926.0809999999999</v>
      </c>
      <c r="K80" s="610">
        <f t="shared" si="461"/>
        <v>1255.8290000000002</v>
      </c>
      <c r="L80" s="610">
        <f t="shared" si="461"/>
        <v>1274.182</v>
      </c>
      <c r="M80" s="610">
        <f t="shared" si="461"/>
        <v>1241.74</v>
      </c>
      <c r="N80" s="610">
        <f t="shared" si="461"/>
        <v>1170.452</v>
      </c>
      <c r="O80" s="610">
        <f t="shared" si="461"/>
        <v>1131.165</v>
      </c>
      <c r="P80" s="610">
        <f t="shared" si="461"/>
        <v>1116.403</v>
      </c>
      <c r="Q80" s="610">
        <f t="shared" si="461"/>
        <v>1796.838</v>
      </c>
      <c r="R80" s="610">
        <f t="shared" si="461"/>
        <v>1204.82</v>
      </c>
      <c r="S80" s="610">
        <f t="shared" si="461"/>
        <v>1222.5720000000001</v>
      </c>
      <c r="T80" s="610">
        <f t="shared" si="461"/>
        <v>1093.893</v>
      </c>
      <c r="U80" s="610">
        <f t="shared" si="461"/>
        <v>1647.3120000000001</v>
      </c>
      <c r="V80" s="610">
        <f t="shared" si="461"/>
        <v>1822.547</v>
      </c>
      <c r="W80" s="610">
        <f t="shared" si="461"/>
        <v>1863.11</v>
      </c>
      <c r="X80" s="610">
        <f t="shared" si="461"/>
        <v>2149.8379999999997</v>
      </c>
      <c r="Y80" s="610">
        <f t="shared" si="461"/>
        <v>2245.136</v>
      </c>
      <c r="Z80" s="610">
        <f t="shared" si="461"/>
        <v>2688.605</v>
      </c>
      <c r="AA80" s="610">
        <f t="shared" si="461"/>
        <v>2694.605</v>
      </c>
      <c r="AB80" s="610">
        <f t="shared" si="461"/>
        <v>2624.0219999999999</v>
      </c>
      <c r="AC80" s="610">
        <f t="shared" si="461"/>
        <v>2868.547</v>
      </c>
      <c r="AD80" s="610">
        <f t="shared" si="461"/>
        <v>2789.877</v>
      </c>
      <c r="AE80" s="610">
        <f t="shared" si="461"/>
        <v>2691.4110000000001</v>
      </c>
      <c r="AF80" s="612">
        <f t="shared" si="461"/>
        <v>2658.8240000000001</v>
      </c>
      <c r="AG80" s="612">
        <f t="shared" si="461"/>
        <v>2848.6680000000001</v>
      </c>
      <c r="AH80" s="612">
        <f t="shared" ref="AH80:BM80" si="462">AH77+SUM(AH78:AH79)</f>
        <v>3085.1660000000002</v>
      </c>
      <c r="AI80" s="612">
        <f t="shared" si="462"/>
        <v>3220.2139999999999</v>
      </c>
      <c r="AJ80" s="612">
        <f t="shared" si="462"/>
        <v>3619.0619999999999</v>
      </c>
      <c r="AK80" s="610">
        <f t="shared" si="462"/>
        <v>3437.5109999999995</v>
      </c>
      <c r="AL80" s="610">
        <f t="shared" si="462"/>
        <v>3646.0779999999995</v>
      </c>
      <c r="AM80" s="610">
        <f t="shared" si="462"/>
        <v>3727.3919999999998</v>
      </c>
      <c r="AN80" s="610">
        <f t="shared" si="462"/>
        <v>3673.145</v>
      </c>
      <c r="AO80" s="610">
        <f t="shared" si="462"/>
        <v>3738.7350000000001</v>
      </c>
      <c r="AP80" s="610">
        <f t="shared" ref="AP80:AQ80" si="463">AP77+SUM(AP78:AP79)</f>
        <v>2834.57</v>
      </c>
      <c r="AQ80" s="610">
        <f t="shared" si="463"/>
        <v>3338.9409999999998</v>
      </c>
      <c r="AR80" s="610">
        <f t="shared" ref="AR80:AS80" si="464">AR77+SUM(AR78:AR79)</f>
        <v>3429.067</v>
      </c>
      <c r="AS80" s="610">
        <f t="shared" si="464"/>
        <v>3298.5720000000001</v>
      </c>
      <c r="AT80" s="628">
        <f t="shared" ref="AT80" si="465">AT77+SUM(AT78:AT79)</f>
        <v>4247.3540000000003</v>
      </c>
      <c r="AU80" s="611">
        <f t="shared" si="462"/>
        <v>4247.3540000000003</v>
      </c>
      <c r="AV80" s="611">
        <f t="shared" si="462"/>
        <v>4247.3540000000003</v>
      </c>
      <c r="AW80" s="611">
        <f t="shared" si="462"/>
        <v>4247.3540000000003</v>
      </c>
      <c r="AX80" s="611">
        <f t="shared" si="462"/>
        <v>4247.3540000000003</v>
      </c>
      <c r="AY80" s="611">
        <f t="shared" si="462"/>
        <v>4247.3540000000003</v>
      </c>
      <c r="AZ80" s="611">
        <f t="shared" si="462"/>
        <v>4247.3540000000003</v>
      </c>
      <c r="BA80" s="611">
        <f t="shared" si="462"/>
        <v>4247.3540000000003</v>
      </c>
      <c r="BB80" s="611">
        <f t="shared" si="462"/>
        <v>4247.3540000000003</v>
      </c>
      <c r="BC80" s="611">
        <f t="shared" si="462"/>
        <v>4247.3540000000003</v>
      </c>
      <c r="BD80" s="611">
        <f t="shared" si="462"/>
        <v>4247.3540000000003</v>
      </c>
      <c r="BE80" s="611">
        <f t="shared" si="462"/>
        <v>4247.3540000000003</v>
      </c>
      <c r="BF80" s="611">
        <f t="shared" si="462"/>
        <v>4247.3540000000003</v>
      </c>
      <c r="BG80" s="611">
        <f t="shared" si="462"/>
        <v>4247.3540000000003</v>
      </c>
      <c r="BH80" s="611">
        <f t="shared" si="462"/>
        <v>4247.3540000000003</v>
      </c>
      <c r="BI80" s="611">
        <f t="shared" si="462"/>
        <v>4247.3540000000003</v>
      </c>
      <c r="BJ80" s="611">
        <f t="shared" si="462"/>
        <v>4247.3540000000003</v>
      </c>
      <c r="BK80" s="611">
        <f t="shared" si="462"/>
        <v>4247.3540000000003</v>
      </c>
      <c r="BL80" s="611">
        <f t="shared" si="462"/>
        <v>4247.3540000000003</v>
      </c>
      <c r="BM80" s="611">
        <f t="shared" si="462"/>
        <v>4247.3540000000003</v>
      </c>
      <c r="BN80" s="611">
        <f t="shared" ref="BN80:BY80" si="466">BN77+SUM(BN78:BN79)</f>
        <v>4247.3540000000003</v>
      </c>
      <c r="BO80" s="611">
        <f t="shared" si="466"/>
        <v>4247.3540000000003</v>
      </c>
      <c r="BP80" s="611">
        <f t="shared" si="466"/>
        <v>4247.3540000000003</v>
      </c>
      <c r="BQ80" s="611">
        <f t="shared" si="466"/>
        <v>4247.3540000000003</v>
      </c>
      <c r="BR80" s="611">
        <f t="shared" si="466"/>
        <v>4247.3540000000003</v>
      </c>
      <c r="BS80" s="611">
        <f t="shared" si="466"/>
        <v>4247.3540000000003</v>
      </c>
      <c r="BT80" s="611">
        <f t="shared" si="466"/>
        <v>4247.3540000000003</v>
      </c>
      <c r="BU80" s="611">
        <f t="shared" si="466"/>
        <v>4247.3540000000003</v>
      </c>
      <c r="BV80" s="611">
        <f t="shared" si="466"/>
        <v>4247.3540000000003</v>
      </c>
      <c r="BW80" s="611">
        <f t="shared" si="466"/>
        <v>4247.3540000000003</v>
      </c>
      <c r="BX80" s="611">
        <f t="shared" si="466"/>
        <v>4247.3540000000003</v>
      </c>
      <c r="BY80" s="611">
        <f t="shared" si="466"/>
        <v>4247.3540000000003</v>
      </c>
      <c r="BZ80" s="198"/>
    </row>
    <row r="81" spans="1:79" s="106" customFormat="1">
      <c r="A81" s="627" t="s">
        <v>251</v>
      </c>
      <c r="B81" s="202">
        <v>0</v>
      </c>
      <c r="C81" s="202">
        <v>0</v>
      </c>
      <c r="D81" s="202">
        <v>0</v>
      </c>
      <c r="E81" s="202">
        <v>0</v>
      </c>
      <c r="F81" s="202">
        <v>0</v>
      </c>
      <c r="G81" s="202">
        <v>0</v>
      </c>
      <c r="H81" s="202">
        <v>0</v>
      </c>
      <c r="I81" s="202">
        <v>0</v>
      </c>
      <c r="J81" s="202">
        <v>0</v>
      </c>
      <c r="K81" s="202">
        <v>0</v>
      </c>
      <c r="L81" s="202">
        <v>0</v>
      </c>
      <c r="M81" s="202">
        <v>0</v>
      </c>
      <c r="N81" s="202">
        <v>0</v>
      </c>
      <c r="O81" s="202">
        <v>0</v>
      </c>
      <c r="P81" s="202">
        <v>0</v>
      </c>
      <c r="Q81" s="202">
        <v>0</v>
      </c>
      <c r="R81" s="202">
        <v>0</v>
      </c>
      <c r="S81" s="202">
        <v>0</v>
      </c>
      <c r="T81" s="202">
        <v>0</v>
      </c>
      <c r="U81" s="202">
        <v>0</v>
      </c>
      <c r="V81" s="202">
        <v>0</v>
      </c>
      <c r="W81" s="202">
        <v>0</v>
      </c>
      <c r="X81" s="202">
        <v>0</v>
      </c>
      <c r="Y81" s="202">
        <v>0</v>
      </c>
      <c r="Z81" s="202">
        <v>0</v>
      </c>
      <c r="AA81" s="202">
        <v>0</v>
      </c>
      <c r="AB81" s="202">
        <v>0</v>
      </c>
      <c r="AC81" s="202">
        <v>0</v>
      </c>
      <c r="AD81" s="202">
        <v>0</v>
      </c>
      <c r="AE81" s="202">
        <v>0</v>
      </c>
      <c r="AF81" s="327">
        <v>0</v>
      </c>
      <c r="AG81" s="327">
        <v>0</v>
      </c>
      <c r="AH81" s="327">
        <v>0</v>
      </c>
      <c r="AI81" s="327">
        <v>0</v>
      </c>
      <c r="AJ81" s="327">
        <v>0</v>
      </c>
      <c r="AK81" s="202">
        <v>0</v>
      </c>
      <c r="AL81" s="202">
        <v>0</v>
      </c>
      <c r="AM81" s="202">
        <v>0</v>
      </c>
      <c r="AN81" s="202">
        <v>0</v>
      </c>
      <c r="AO81" s="202">
        <v>0</v>
      </c>
      <c r="AP81" s="202">
        <v>0</v>
      </c>
      <c r="AQ81" s="202">
        <v>0</v>
      </c>
      <c r="AR81" s="202">
        <v>0</v>
      </c>
      <c r="AS81" s="202">
        <v>0</v>
      </c>
      <c r="AT81" s="355">
        <v>0</v>
      </c>
      <c r="AU81" s="356">
        <f t="shared" ref="AU81:BI81" si="467">AT81</f>
        <v>0</v>
      </c>
      <c r="AV81" s="356">
        <f t="shared" si="467"/>
        <v>0</v>
      </c>
      <c r="AW81" s="356">
        <f t="shared" si="467"/>
        <v>0</v>
      </c>
      <c r="AX81" s="356">
        <f t="shared" si="467"/>
        <v>0</v>
      </c>
      <c r="AY81" s="356">
        <f t="shared" si="467"/>
        <v>0</v>
      </c>
      <c r="AZ81" s="356">
        <f t="shared" si="467"/>
        <v>0</v>
      </c>
      <c r="BA81" s="356">
        <f t="shared" si="467"/>
        <v>0</v>
      </c>
      <c r="BB81" s="356">
        <f t="shared" si="467"/>
        <v>0</v>
      </c>
      <c r="BC81" s="356">
        <f t="shared" si="467"/>
        <v>0</v>
      </c>
      <c r="BD81" s="356">
        <f t="shared" si="467"/>
        <v>0</v>
      </c>
      <c r="BE81" s="356">
        <f t="shared" si="467"/>
        <v>0</v>
      </c>
      <c r="BF81" s="356">
        <f t="shared" si="467"/>
        <v>0</v>
      </c>
      <c r="BG81" s="356">
        <f t="shared" si="467"/>
        <v>0</v>
      </c>
      <c r="BH81" s="356">
        <f t="shared" si="467"/>
        <v>0</v>
      </c>
      <c r="BI81" s="356">
        <f t="shared" si="467"/>
        <v>0</v>
      </c>
      <c r="BJ81" s="356">
        <f t="shared" ref="BJ81" si="468">BI81</f>
        <v>0</v>
      </c>
      <c r="BK81" s="356">
        <f t="shared" ref="BK81" si="469">BJ81</f>
        <v>0</v>
      </c>
      <c r="BL81" s="356">
        <f t="shared" ref="BL81" si="470">BK81</f>
        <v>0</v>
      </c>
      <c r="BM81" s="356">
        <f t="shared" ref="BM81" si="471">BL81</f>
        <v>0</v>
      </c>
      <c r="BN81" s="356">
        <f t="shared" ref="BN81" si="472">BM81</f>
        <v>0</v>
      </c>
      <c r="BO81" s="356">
        <f t="shared" ref="BO81" si="473">BN81</f>
        <v>0</v>
      </c>
      <c r="BP81" s="356">
        <f t="shared" ref="BP81" si="474">BO81</f>
        <v>0</v>
      </c>
      <c r="BQ81" s="356">
        <f t="shared" ref="BQ81" si="475">BP81</f>
        <v>0</v>
      </c>
      <c r="BR81" s="356">
        <f t="shared" ref="BR81" si="476">BQ81</f>
        <v>0</v>
      </c>
      <c r="BS81" s="356">
        <f t="shared" ref="BS81" si="477">BR81</f>
        <v>0</v>
      </c>
      <c r="BT81" s="356">
        <f t="shared" ref="BT81" si="478">BS81</f>
        <v>0</v>
      </c>
      <c r="BU81" s="356">
        <f t="shared" ref="BU81" si="479">BT81</f>
        <v>0</v>
      </c>
      <c r="BV81" s="356">
        <f t="shared" ref="BV81" si="480">BU81</f>
        <v>0</v>
      </c>
      <c r="BW81" s="356">
        <f t="shared" ref="BW81" si="481">BV81</f>
        <v>0</v>
      </c>
      <c r="BX81" s="356">
        <f t="shared" ref="BX81" si="482">BW81</f>
        <v>0</v>
      </c>
      <c r="BY81" s="356">
        <f t="shared" ref="BY81" si="483">BX81</f>
        <v>0</v>
      </c>
      <c r="BZ81" s="198"/>
    </row>
    <row r="82" spans="1:79" s="106" customFormat="1">
      <c r="A82" s="627" t="s">
        <v>252</v>
      </c>
      <c r="B82" s="202">
        <f>'Quarterly historicals'!B229</f>
        <v>0</v>
      </c>
      <c r="C82" s="202">
        <f>'Quarterly historicals'!C229</f>
        <v>0</v>
      </c>
      <c r="D82" s="202">
        <f>'Quarterly historicals'!D229</f>
        <v>0</v>
      </c>
      <c r="E82" s="202">
        <f>'Quarterly historicals'!E229</f>
        <v>7.6109999999999998</v>
      </c>
      <c r="F82" s="202">
        <f>'Quarterly historicals'!F229</f>
        <v>7.6109999999999998</v>
      </c>
      <c r="G82" s="202">
        <f>'Quarterly historicals'!G229</f>
        <v>7.6109999999999998</v>
      </c>
      <c r="H82" s="202">
        <f>'Quarterly historicals'!H229</f>
        <v>7.6109999999999998</v>
      </c>
      <c r="I82" s="202">
        <f>'Quarterly historicals'!I229</f>
        <v>7.6109999999999998</v>
      </c>
      <c r="J82" s="202">
        <f>'Quarterly historicals'!J229</f>
        <v>7.6109999999999998</v>
      </c>
      <c r="K82" s="202">
        <f>'Quarterly historicals'!K229</f>
        <v>22.632000000000001</v>
      </c>
      <c r="L82" s="202">
        <f>'Quarterly historicals'!L229</f>
        <v>18.847000000000001</v>
      </c>
      <c r="M82" s="202">
        <f>'Quarterly historicals'!M229</f>
        <v>18.242999999999999</v>
      </c>
      <c r="N82" s="202">
        <f>'Quarterly historicals'!N229</f>
        <v>19.937999999999999</v>
      </c>
      <c r="O82" s="202">
        <f>'Quarterly historicals'!O229</f>
        <v>21.013000000000002</v>
      </c>
      <c r="P82" s="202">
        <f>'Quarterly historicals'!P229</f>
        <v>0</v>
      </c>
      <c r="Q82" s="202">
        <f>'Quarterly historicals'!Q229</f>
        <v>0</v>
      </c>
      <c r="R82" s="202">
        <f>'Quarterly historicals'!R229</f>
        <v>0</v>
      </c>
      <c r="S82" s="202">
        <f>'Quarterly historicals'!S229</f>
        <v>0</v>
      </c>
      <c r="T82" s="202">
        <f>'Quarterly historicals'!T229</f>
        <v>0</v>
      </c>
      <c r="U82" s="202">
        <f>'Quarterly historicals'!U229</f>
        <v>0</v>
      </c>
      <c r="V82" s="202">
        <f>'Quarterly historicals'!V229</f>
        <v>0</v>
      </c>
      <c r="W82" s="202">
        <f>'Quarterly historicals'!W229</f>
        <v>0</v>
      </c>
      <c r="X82" s="202">
        <f>'Quarterly historicals'!X229</f>
        <v>0</v>
      </c>
      <c r="Y82" s="202">
        <f>'Quarterly historicals'!Y229</f>
        <v>0</v>
      </c>
      <c r="Z82" s="202">
        <f>'Quarterly historicals'!Z229</f>
        <v>0</v>
      </c>
      <c r="AA82" s="202">
        <f>'Quarterly historicals'!AA229</f>
        <v>0</v>
      </c>
      <c r="AB82" s="202">
        <f>'Quarterly historicals'!AB229</f>
        <v>0</v>
      </c>
      <c r="AC82" s="202">
        <f>'Quarterly historicals'!AC229</f>
        <v>0</v>
      </c>
      <c r="AD82" s="202">
        <f>'Quarterly historicals'!AD229</f>
        <v>0</v>
      </c>
      <c r="AE82" s="202">
        <f>'Quarterly historicals'!AE229</f>
        <v>0</v>
      </c>
      <c r="AF82" s="202">
        <f>'Quarterly historicals'!AF229</f>
        <v>0</v>
      </c>
      <c r="AG82" s="202">
        <f>'Quarterly historicals'!AG229</f>
        <v>0</v>
      </c>
      <c r="AH82" s="202">
        <f>'Quarterly historicals'!AH229</f>
        <v>0</v>
      </c>
      <c r="AI82" s="202">
        <f>'Quarterly historicals'!AI229</f>
        <v>3.371</v>
      </c>
      <c r="AJ82" s="202">
        <f>'Quarterly historicals'!AJ229</f>
        <v>0</v>
      </c>
      <c r="AK82" s="202">
        <f>'Quarterly historicals'!AK229</f>
        <v>0</v>
      </c>
      <c r="AL82" s="202">
        <f>'Quarterly historicals'!AL229</f>
        <v>0</v>
      </c>
      <c r="AM82" s="202">
        <f>'Quarterly historicals'!AM229</f>
        <v>0</v>
      </c>
      <c r="AN82" s="202">
        <f>'Quarterly historicals'!AN229</f>
        <v>0</v>
      </c>
      <c r="AO82" s="202">
        <f>'Quarterly historicals'!AO229</f>
        <v>0</v>
      </c>
      <c r="AP82" s="202">
        <f>'Quarterly historicals'!AP229</f>
        <v>0</v>
      </c>
      <c r="AQ82" s="202">
        <f>'Quarterly historicals'!AQ229</f>
        <v>0</v>
      </c>
      <c r="AR82" s="202">
        <f>'Quarterly historicals'!AR229</f>
        <v>0</v>
      </c>
      <c r="AS82" s="202">
        <f>'Quarterly historicals'!AS229</f>
        <v>0</v>
      </c>
      <c r="AT82" s="355">
        <f>'Quarterly historicals'!AT229</f>
        <v>0</v>
      </c>
      <c r="AU82" s="356">
        <f t="shared" ref="AU82:BI82" si="484">AT82</f>
        <v>0</v>
      </c>
      <c r="AV82" s="356">
        <f t="shared" si="484"/>
        <v>0</v>
      </c>
      <c r="AW82" s="356">
        <f t="shared" si="484"/>
        <v>0</v>
      </c>
      <c r="AX82" s="356">
        <f t="shared" si="484"/>
        <v>0</v>
      </c>
      <c r="AY82" s="356">
        <f t="shared" si="484"/>
        <v>0</v>
      </c>
      <c r="AZ82" s="356">
        <f t="shared" si="484"/>
        <v>0</v>
      </c>
      <c r="BA82" s="356">
        <f t="shared" si="484"/>
        <v>0</v>
      </c>
      <c r="BB82" s="356">
        <f t="shared" si="484"/>
        <v>0</v>
      </c>
      <c r="BC82" s="356">
        <f t="shared" si="484"/>
        <v>0</v>
      </c>
      <c r="BD82" s="356">
        <f t="shared" si="484"/>
        <v>0</v>
      </c>
      <c r="BE82" s="356">
        <f t="shared" si="484"/>
        <v>0</v>
      </c>
      <c r="BF82" s="356">
        <f t="shared" si="484"/>
        <v>0</v>
      </c>
      <c r="BG82" s="356">
        <f t="shared" si="484"/>
        <v>0</v>
      </c>
      <c r="BH82" s="356">
        <f t="shared" si="484"/>
        <v>0</v>
      </c>
      <c r="BI82" s="356">
        <f t="shared" si="484"/>
        <v>0</v>
      </c>
      <c r="BJ82" s="356">
        <f t="shared" ref="BJ82" si="485">BI82</f>
        <v>0</v>
      </c>
      <c r="BK82" s="356">
        <f t="shared" ref="BK82" si="486">BJ82</f>
        <v>0</v>
      </c>
      <c r="BL82" s="356">
        <f t="shared" ref="BL82" si="487">BK82</f>
        <v>0</v>
      </c>
      <c r="BM82" s="356">
        <f t="shared" ref="BM82" si="488">BL82</f>
        <v>0</v>
      </c>
      <c r="BN82" s="356">
        <f t="shared" ref="BN82" si="489">BM82</f>
        <v>0</v>
      </c>
      <c r="BO82" s="356">
        <f t="shared" ref="BO82" si="490">BN82</f>
        <v>0</v>
      </c>
      <c r="BP82" s="356">
        <f t="shared" ref="BP82" si="491">BO82</f>
        <v>0</v>
      </c>
      <c r="BQ82" s="356">
        <f t="shared" ref="BQ82" si="492">BP82</f>
        <v>0</v>
      </c>
      <c r="BR82" s="356">
        <f t="shared" ref="BR82" si="493">BQ82</f>
        <v>0</v>
      </c>
      <c r="BS82" s="356">
        <f t="shared" ref="BS82" si="494">BR82</f>
        <v>0</v>
      </c>
      <c r="BT82" s="356">
        <f t="shared" ref="BT82" si="495">BS82</f>
        <v>0</v>
      </c>
      <c r="BU82" s="356">
        <f t="shared" ref="BU82" si="496">BT82</f>
        <v>0</v>
      </c>
      <c r="BV82" s="356">
        <f t="shared" ref="BV82" si="497">BU82</f>
        <v>0</v>
      </c>
      <c r="BW82" s="356">
        <f t="shared" ref="BW82" si="498">BV82</f>
        <v>0</v>
      </c>
      <c r="BX82" s="356">
        <f t="shared" ref="BX82" si="499">BW82</f>
        <v>0</v>
      </c>
      <c r="BY82" s="356">
        <f t="shared" ref="BY82" si="500">BX82</f>
        <v>0</v>
      </c>
      <c r="BZ82" s="198"/>
    </row>
    <row r="83" spans="1:79" s="106" customFormat="1">
      <c r="A83" s="218" t="s">
        <v>253</v>
      </c>
      <c r="B83" s="202"/>
      <c r="C83" s="202"/>
      <c r="D83" s="202"/>
      <c r="E83" s="202"/>
      <c r="F83" s="202"/>
      <c r="G83" s="202"/>
      <c r="H83" s="202"/>
      <c r="I83" s="202"/>
      <c r="J83" s="202"/>
      <c r="K83" s="202"/>
      <c r="L83" s="202"/>
      <c r="M83" s="202"/>
      <c r="N83" s="202"/>
      <c r="O83" s="202"/>
      <c r="P83" s="202"/>
      <c r="Q83" s="202"/>
      <c r="R83" s="202"/>
      <c r="S83" s="202"/>
      <c r="T83" s="202"/>
      <c r="U83" s="202"/>
      <c r="V83" s="202"/>
      <c r="W83" s="202"/>
      <c r="X83" s="202"/>
      <c r="Y83" s="202"/>
      <c r="Z83" s="202"/>
      <c r="AA83" s="202"/>
      <c r="AB83" s="202"/>
      <c r="AC83" s="202"/>
      <c r="AD83" s="202"/>
      <c r="AE83" s="202"/>
      <c r="AF83" s="202"/>
      <c r="AG83" s="202"/>
      <c r="AH83" s="202"/>
      <c r="AI83" s="202"/>
      <c r="AJ83" s="202"/>
      <c r="AK83" s="202"/>
      <c r="AL83" s="202"/>
      <c r="AM83" s="202"/>
      <c r="AN83" s="202"/>
      <c r="AO83" s="202"/>
      <c r="AP83" s="202"/>
      <c r="AQ83" s="202"/>
      <c r="AR83" s="202"/>
      <c r="AS83" s="202"/>
      <c r="AT83" s="355"/>
      <c r="AU83" s="356"/>
      <c r="AV83" s="356"/>
      <c r="AW83" s="356"/>
      <c r="AX83" s="356"/>
      <c r="AY83" s="356"/>
      <c r="AZ83" s="356"/>
      <c r="BA83" s="356"/>
      <c r="BB83" s="356"/>
      <c r="BC83" s="356"/>
      <c r="BD83" s="356"/>
      <c r="BE83" s="356"/>
      <c r="BF83" s="356"/>
      <c r="BG83" s="356"/>
      <c r="BH83" s="356"/>
      <c r="BI83" s="356"/>
      <c r="BJ83" s="356"/>
      <c r="BK83" s="356"/>
      <c r="BL83" s="356"/>
      <c r="BM83" s="356"/>
      <c r="BN83" s="356"/>
      <c r="BO83" s="356"/>
      <c r="BP83" s="356"/>
      <c r="BQ83" s="356"/>
      <c r="BR83" s="356"/>
      <c r="BS83" s="356"/>
      <c r="BT83" s="356"/>
      <c r="BU83" s="356"/>
      <c r="BV83" s="356"/>
      <c r="BW83" s="356"/>
      <c r="BX83" s="356"/>
      <c r="BY83" s="356"/>
      <c r="BZ83" s="198"/>
    </row>
    <row r="84" spans="1:79" s="106" customFormat="1">
      <c r="A84" s="627" t="s">
        <v>109</v>
      </c>
      <c r="B84" s="202">
        <f>'Quarterly historicals'!B232</f>
        <v>2.786</v>
      </c>
      <c r="C84" s="202">
        <f>'Quarterly historicals'!C232</f>
        <v>100</v>
      </c>
      <c r="D84" s="202">
        <f>'Quarterly historicals'!D232</f>
        <v>100</v>
      </c>
      <c r="E84" s="202">
        <f>'Quarterly historicals'!E232</f>
        <v>360</v>
      </c>
      <c r="F84" s="202">
        <f>'Quarterly historicals'!F232</f>
        <v>360</v>
      </c>
      <c r="G84" s="202">
        <f>'Quarterly historicals'!G232</f>
        <v>360</v>
      </c>
      <c r="H84" s="202">
        <f>'Quarterly historicals'!H232</f>
        <v>360</v>
      </c>
      <c r="I84" s="202">
        <f>'Quarterly historicals'!I232</f>
        <v>360</v>
      </c>
      <c r="J84" s="202">
        <f>'Quarterly historicals'!J232</f>
        <v>360</v>
      </c>
      <c r="K84" s="202">
        <f>'Quarterly historicals'!K232</f>
        <v>359.714</v>
      </c>
      <c r="L84" s="202">
        <f>'Quarterly historicals'!L232</f>
        <v>358.17899999999997</v>
      </c>
      <c r="M84" s="202">
        <f>'Quarterly historicals'!M232</f>
        <v>358.101</v>
      </c>
      <c r="N84" s="202">
        <f>'Quarterly historicals'!N232</f>
        <v>358.101</v>
      </c>
      <c r="O84" s="202">
        <f>'Quarterly historicals'!O232</f>
        <v>358.101</v>
      </c>
      <c r="P84" s="202">
        <f>'Quarterly historicals'!P232</f>
        <v>358.101</v>
      </c>
      <c r="Q84" s="202">
        <f>'Quarterly historicals'!Q232</f>
        <v>358.101</v>
      </c>
      <c r="R84" s="202">
        <f>'Quarterly historicals'!R232</f>
        <v>358.101</v>
      </c>
      <c r="S84" s="202">
        <f>'Quarterly historicals'!S232</f>
        <v>454.00099999999998</v>
      </c>
      <c r="T84" s="202">
        <f>'Quarterly historicals'!T232</f>
        <v>454.00099999999998</v>
      </c>
      <c r="U84" s="202">
        <f>'Quarterly historicals'!U232</f>
        <v>455.9</v>
      </c>
      <c r="V84" s="202">
        <f>'Quarterly historicals'!V232</f>
        <v>455.9</v>
      </c>
      <c r="W84" s="202">
        <f>'Quarterly historicals'!W232</f>
        <v>455.9</v>
      </c>
      <c r="X84" s="202">
        <f>'Quarterly historicals'!X232</f>
        <v>455.9</v>
      </c>
      <c r="Y84" s="202">
        <f>'Quarterly historicals'!Y232</f>
        <v>455.9</v>
      </c>
      <c r="Z84" s="202">
        <f>'Quarterly historicals'!Z232</f>
        <v>455.9</v>
      </c>
      <c r="AA84" s="202">
        <f>'Quarterly historicals'!AA232</f>
        <v>614.15</v>
      </c>
      <c r="AB84" s="202">
        <f>'Quarterly historicals'!AB232</f>
        <v>614.15</v>
      </c>
      <c r="AC84" s="202">
        <f>'Quarterly historicals'!AC232</f>
        <v>614.15</v>
      </c>
      <c r="AD84" s="202">
        <f>'Quarterly historicals'!AD232</f>
        <v>614.15</v>
      </c>
      <c r="AE84" s="202">
        <f>'Quarterly historicals'!AE232</f>
        <v>737.2</v>
      </c>
      <c r="AF84" s="202">
        <f>'Quarterly historicals'!AF232</f>
        <v>737.2</v>
      </c>
      <c r="AG84" s="202">
        <f>'Quarterly historicals'!AG232</f>
        <v>737.2</v>
      </c>
      <c r="AH84" s="202">
        <f>'Quarterly historicals'!AH232</f>
        <v>737.2</v>
      </c>
      <c r="AI84" s="202">
        <f>'Quarterly historicals'!AI232</f>
        <v>808.85</v>
      </c>
      <c r="AJ84" s="202">
        <f>'Quarterly historicals'!AJ232</f>
        <v>812.99199999999996</v>
      </c>
      <c r="AK84" s="202">
        <f>'Quarterly historicals'!AK232</f>
        <v>822.11099999999999</v>
      </c>
      <c r="AL84" s="202">
        <f>'Quarterly historicals'!AL232</f>
        <v>822.11099999999999</v>
      </c>
      <c r="AM84" s="202">
        <f>'Quarterly historicals'!AM232</f>
        <v>940.45900000000006</v>
      </c>
      <c r="AN84" s="202">
        <f>'Quarterly historicals'!AN232</f>
        <v>942.04600000000005</v>
      </c>
      <c r="AO84" s="202">
        <f>'Quarterly historicals'!AO232</f>
        <v>941.87099999999998</v>
      </c>
      <c r="AP84" s="202">
        <f>'Quarterly historicals'!AP232</f>
        <v>941.577</v>
      </c>
      <c r="AQ84" s="202">
        <f>'Quarterly historicals'!AQ232</f>
        <v>1075.2090000000001</v>
      </c>
      <c r="AR84" s="202">
        <f>'Quarterly historicals'!AR232</f>
        <v>1075.0919999999999</v>
      </c>
      <c r="AS84" s="202">
        <f>'Quarterly historicals'!AS232</f>
        <v>1448.729</v>
      </c>
      <c r="AT84" s="355">
        <f>'Quarterly historicals'!AT232</f>
        <v>1448.729</v>
      </c>
      <c r="AU84" s="356">
        <f>AT84</f>
        <v>1448.729</v>
      </c>
      <c r="AV84" s="356">
        <f>AU84</f>
        <v>1448.729</v>
      </c>
      <c r="AW84" s="356">
        <f>Q_BS!$P$96</f>
        <v>1448.729</v>
      </c>
      <c r="AX84" s="356">
        <f>AW84</f>
        <v>1448.729</v>
      </c>
      <c r="AY84" s="356">
        <f>AX84</f>
        <v>1448.729</v>
      </c>
      <c r="AZ84" s="356">
        <f>AY84</f>
        <v>1448.729</v>
      </c>
      <c r="BA84" s="356">
        <f>Q_BS!$Q$96</f>
        <v>1448.729</v>
      </c>
      <c r="BB84" s="356">
        <f>BA84</f>
        <v>1448.729</v>
      </c>
      <c r="BC84" s="356">
        <f>BB84</f>
        <v>1448.729</v>
      </c>
      <c r="BD84" s="356">
        <f>BC84</f>
        <v>1448.729</v>
      </c>
      <c r="BE84" s="356">
        <f>Q_BS!$R$96</f>
        <v>1448.729</v>
      </c>
      <c r="BF84" s="356">
        <f>BE84</f>
        <v>1448.729</v>
      </c>
      <c r="BG84" s="356">
        <f>BF84</f>
        <v>1448.729</v>
      </c>
      <c r="BH84" s="356">
        <f>BG84</f>
        <v>1448.729</v>
      </c>
      <c r="BI84" s="356">
        <f>Q_BS!S$96</f>
        <v>1448.729</v>
      </c>
      <c r="BJ84" s="356">
        <f>Q_BS!T$96</f>
        <v>1448.729</v>
      </c>
      <c r="BK84" s="356">
        <f>Q_BS!U$96</f>
        <v>1448.729</v>
      </c>
      <c r="BL84" s="356">
        <f>Q_BS!V$96</f>
        <v>1448.729</v>
      </c>
      <c r="BM84" s="356">
        <f>Q_BS!W$96</f>
        <v>1448.729</v>
      </c>
      <c r="BN84" s="356">
        <f>+Q_BS!U96</f>
        <v>1448.729</v>
      </c>
      <c r="BO84" s="356">
        <f>+BN84</f>
        <v>1448.729</v>
      </c>
      <c r="BP84" s="356">
        <f t="shared" ref="BP84:BQ84" si="501">+BO84</f>
        <v>1448.729</v>
      </c>
      <c r="BQ84" s="356">
        <f t="shared" si="501"/>
        <v>1448.729</v>
      </c>
      <c r="BR84" s="356">
        <f>+Q_BS!V96</f>
        <v>1448.729</v>
      </c>
      <c r="BS84" s="356">
        <f>+BR84</f>
        <v>1448.729</v>
      </c>
      <c r="BT84" s="356">
        <f t="shared" ref="BT84:BU84" si="502">+BS84</f>
        <v>1448.729</v>
      </c>
      <c r="BU84" s="356">
        <f t="shared" si="502"/>
        <v>1448.729</v>
      </c>
      <c r="BV84" s="356">
        <f>+Q_BS!W96</f>
        <v>1448.729</v>
      </c>
      <c r="BW84" s="356">
        <f>+BV84</f>
        <v>1448.729</v>
      </c>
      <c r="BX84" s="356">
        <f t="shared" ref="BX84:BY84" si="503">+BW84</f>
        <v>1448.729</v>
      </c>
      <c r="BY84" s="356">
        <f t="shared" si="503"/>
        <v>1448.729</v>
      </c>
      <c r="BZ84" s="198"/>
    </row>
    <row r="85" spans="1:79" s="106" customFormat="1">
      <c r="A85" s="627" t="s">
        <v>110</v>
      </c>
      <c r="B85" s="202">
        <f>'Quarterly historicals'!B234</f>
        <v>1.7290000000000001</v>
      </c>
      <c r="C85" s="202">
        <f>'Quarterly historicals'!C234</f>
        <v>1.7290000000000001</v>
      </c>
      <c r="D85" s="202">
        <f>'Quarterly historicals'!D234</f>
        <v>1.7290000000000001</v>
      </c>
      <c r="E85" s="202">
        <f>'Quarterly historicals'!E234</f>
        <v>5.0789999999999997</v>
      </c>
      <c r="F85" s="202">
        <f>'Quarterly historicals'!F234</f>
        <v>5.0789999999999997</v>
      </c>
      <c r="G85" s="202">
        <f>'Quarterly historicals'!G234</f>
        <v>5.0789999999999997</v>
      </c>
      <c r="H85" s="202">
        <f>'Quarterly historicals'!H234</f>
        <v>5.0789999999999997</v>
      </c>
      <c r="I85" s="202">
        <f>'Quarterly historicals'!I234</f>
        <v>5.0789999999999997</v>
      </c>
      <c r="J85" s="202">
        <f>'Quarterly historicals'!J234</f>
        <v>5.0789999999999997</v>
      </c>
      <c r="K85" s="202">
        <f>'Quarterly historicals'!K234</f>
        <v>5.0789999999999997</v>
      </c>
      <c r="L85" s="202">
        <f>'Quarterly historicals'!L234</f>
        <v>5.0789999999999997</v>
      </c>
      <c r="M85" s="202">
        <f>'Quarterly historicals'!M234</f>
        <v>5.0789999999999997</v>
      </c>
      <c r="N85" s="202">
        <f>'Quarterly historicals'!N234</f>
        <v>5.0789999999999997</v>
      </c>
      <c r="O85" s="202">
        <f>'Quarterly historicals'!O234</f>
        <v>5.0789999999999997</v>
      </c>
      <c r="P85" s="202">
        <f>'Quarterly historicals'!P234</f>
        <v>5.0789999999999997</v>
      </c>
      <c r="Q85" s="202">
        <f>'Quarterly historicals'!Q234</f>
        <v>0</v>
      </c>
      <c r="R85" s="202">
        <f>'Quarterly historicals'!R234</f>
        <v>0</v>
      </c>
      <c r="S85" s="202">
        <f>'Quarterly historicals'!S234</f>
        <v>0</v>
      </c>
      <c r="T85" s="202">
        <f>'Quarterly historicals'!T234</f>
        <v>0</v>
      </c>
      <c r="U85" s="202">
        <f>'Quarterly historicals'!U234</f>
        <v>0</v>
      </c>
      <c r="V85" s="202">
        <f>'Quarterly historicals'!V234</f>
        <v>0</v>
      </c>
      <c r="W85" s="202">
        <f>'Quarterly historicals'!W234</f>
        <v>0</v>
      </c>
      <c r="X85" s="202">
        <f>'Quarterly historicals'!X234</f>
        <v>0</v>
      </c>
      <c r="Y85" s="202">
        <f>'Quarterly historicals'!Y234</f>
        <v>0</v>
      </c>
      <c r="Z85" s="202">
        <f>'Quarterly historicals'!Z234</f>
        <v>0</v>
      </c>
      <c r="AA85" s="202">
        <f>'Quarterly historicals'!AA234</f>
        <v>0</v>
      </c>
      <c r="AB85" s="202">
        <f>'Quarterly historicals'!AB234</f>
        <v>0</v>
      </c>
      <c r="AC85" s="202">
        <f>'Quarterly historicals'!AC234</f>
        <v>0</v>
      </c>
      <c r="AD85" s="202">
        <f>'Quarterly historicals'!AD234</f>
        <v>0</v>
      </c>
      <c r="AE85" s="202">
        <f>'Quarterly historicals'!AE234</f>
        <v>0</v>
      </c>
      <c r="AF85" s="202">
        <f>'Quarterly historicals'!AF234</f>
        <v>0</v>
      </c>
      <c r="AG85" s="202">
        <f>'Quarterly historicals'!AG234</f>
        <v>0</v>
      </c>
      <c r="AH85" s="202">
        <f>'Quarterly historicals'!AH234</f>
        <v>0</v>
      </c>
      <c r="AI85" s="202">
        <f>'Quarterly historicals'!AI234</f>
        <v>0</v>
      </c>
      <c r="AJ85" s="202">
        <f>'Quarterly historicals'!AJ234</f>
        <v>0</v>
      </c>
      <c r="AK85" s="202">
        <f>'Quarterly historicals'!AK234</f>
        <v>0</v>
      </c>
      <c r="AL85" s="202">
        <f>'Quarterly historicals'!AL234</f>
        <v>0</v>
      </c>
      <c r="AM85" s="202">
        <f>'Quarterly historicals'!AM234</f>
        <v>0</v>
      </c>
      <c r="AN85" s="202">
        <f>'Quarterly historicals'!AN234</f>
        <v>0</v>
      </c>
      <c r="AO85" s="202">
        <f>'Quarterly historicals'!AO234</f>
        <v>0</v>
      </c>
      <c r="AP85" s="202">
        <f>'Quarterly historicals'!AP234</f>
        <v>0</v>
      </c>
      <c r="AQ85" s="202">
        <f>'Quarterly historicals'!AQ234</f>
        <v>0</v>
      </c>
      <c r="AR85" s="202">
        <f>'Quarterly historicals'!AR234</f>
        <v>0</v>
      </c>
      <c r="AS85" s="202">
        <f>'Quarterly historicals'!AS234</f>
        <v>0</v>
      </c>
      <c r="AT85" s="355">
        <f>'Quarterly historicals'!AT234</f>
        <v>0</v>
      </c>
      <c r="AU85" s="356">
        <f t="shared" ref="AU85:BI86" si="504">AT85</f>
        <v>0</v>
      </c>
      <c r="AV85" s="356">
        <f t="shared" si="504"/>
        <v>0</v>
      </c>
      <c r="AW85" s="356">
        <f t="shared" si="504"/>
        <v>0</v>
      </c>
      <c r="AX85" s="356">
        <f t="shared" si="504"/>
        <v>0</v>
      </c>
      <c r="AY85" s="356">
        <f t="shared" si="504"/>
        <v>0</v>
      </c>
      <c r="AZ85" s="356">
        <f t="shared" si="504"/>
        <v>0</v>
      </c>
      <c r="BA85" s="356">
        <f t="shared" si="504"/>
        <v>0</v>
      </c>
      <c r="BB85" s="356">
        <f t="shared" si="504"/>
        <v>0</v>
      </c>
      <c r="BC85" s="356">
        <f t="shared" si="504"/>
        <v>0</v>
      </c>
      <c r="BD85" s="356">
        <f t="shared" si="504"/>
        <v>0</v>
      </c>
      <c r="BE85" s="356">
        <f t="shared" si="504"/>
        <v>0</v>
      </c>
      <c r="BF85" s="356">
        <f t="shared" si="504"/>
        <v>0</v>
      </c>
      <c r="BG85" s="356">
        <f t="shared" si="504"/>
        <v>0</v>
      </c>
      <c r="BH85" s="356">
        <f t="shared" si="504"/>
        <v>0</v>
      </c>
      <c r="BI85" s="356">
        <f t="shared" si="504"/>
        <v>0</v>
      </c>
      <c r="BJ85" s="356">
        <f t="shared" ref="BJ85:BJ87" si="505">BI85</f>
        <v>0</v>
      </c>
      <c r="BK85" s="356">
        <f t="shared" ref="BK85:BK87" si="506">BJ85</f>
        <v>0</v>
      </c>
      <c r="BL85" s="356">
        <f t="shared" ref="BL85:BL87" si="507">BK85</f>
        <v>0</v>
      </c>
      <c r="BM85" s="356">
        <f t="shared" ref="BM85:BM87" si="508">BL85</f>
        <v>0</v>
      </c>
      <c r="BN85" s="356">
        <f t="shared" ref="BN85:BN87" si="509">BM85</f>
        <v>0</v>
      </c>
      <c r="BO85" s="356">
        <f t="shared" ref="BO85:BO87" si="510">BN85</f>
        <v>0</v>
      </c>
      <c r="BP85" s="356">
        <f t="shared" ref="BP85:BP87" si="511">BO85</f>
        <v>0</v>
      </c>
      <c r="BQ85" s="356">
        <f t="shared" ref="BQ85:BQ87" si="512">BP85</f>
        <v>0</v>
      </c>
      <c r="BR85" s="356">
        <f t="shared" ref="BR85:BR87" si="513">BQ85</f>
        <v>0</v>
      </c>
      <c r="BS85" s="356">
        <f t="shared" ref="BS85:BS87" si="514">BR85</f>
        <v>0</v>
      </c>
      <c r="BT85" s="356">
        <f t="shared" ref="BT85:BT87" si="515">BS85</f>
        <v>0</v>
      </c>
      <c r="BU85" s="356">
        <f t="shared" ref="BU85:BU87" si="516">BT85</f>
        <v>0</v>
      </c>
      <c r="BV85" s="356">
        <f t="shared" ref="BV85:BV87" si="517">BU85</f>
        <v>0</v>
      </c>
      <c r="BW85" s="356">
        <f t="shared" ref="BW85:BW87" si="518">BV85</f>
        <v>0</v>
      </c>
      <c r="BX85" s="356">
        <f t="shared" ref="BX85:BX87" si="519">BW85</f>
        <v>0</v>
      </c>
      <c r="BY85" s="356">
        <f t="shared" ref="BY85:BY87" si="520">BX85</f>
        <v>0</v>
      </c>
      <c r="BZ85" s="198"/>
    </row>
    <row r="86" spans="1:79" s="106" customFormat="1">
      <c r="A86" s="627" t="s">
        <v>111</v>
      </c>
      <c r="B86" s="202">
        <f>'Quarterly historicals'!B235</f>
        <v>305.78199999999998</v>
      </c>
      <c r="C86" s="202">
        <f>'Quarterly historicals'!C235</f>
        <v>779.65899999999999</v>
      </c>
      <c r="D86" s="202">
        <f>'Quarterly historicals'!D235</f>
        <v>773.86500000000001</v>
      </c>
      <c r="E86" s="202">
        <f>'Quarterly historicals'!E235</f>
        <v>1210.9739999999999</v>
      </c>
      <c r="F86" s="202">
        <f>'Quarterly historicals'!F235</f>
        <v>95.427000000000007</v>
      </c>
      <c r="G86" s="202">
        <f>'Quarterly historicals'!G235</f>
        <v>95.427000000000007</v>
      </c>
      <c r="H86" s="202">
        <f>'Quarterly historicals'!H235</f>
        <v>95.427000000000007</v>
      </c>
      <c r="I86" s="202">
        <f>'Quarterly historicals'!I235</f>
        <v>97.656000000000006</v>
      </c>
      <c r="J86" s="202">
        <f>'Quarterly historicals'!J235</f>
        <v>97.656000000000006</v>
      </c>
      <c r="K86" s="202">
        <f>'Quarterly historicals'!K235</f>
        <v>97.656000000000006</v>
      </c>
      <c r="L86" s="202">
        <f>'Quarterly historicals'!L235</f>
        <v>97.656000000000006</v>
      </c>
      <c r="M86" s="202">
        <f>'Quarterly historicals'!M235</f>
        <v>94.421999999999997</v>
      </c>
      <c r="N86" s="202">
        <f>'Quarterly historicals'!N235</f>
        <v>94.421999999999997</v>
      </c>
      <c r="O86" s="202">
        <f>'Quarterly historicals'!O235</f>
        <v>94.421999999999997</v>
      </c>
      <c r="P86" s="202">
        <f>'Quarterly historicals'!P235</f>
        <v>94.421999999999997</v>
      </c>
      <c r="Q86" s="202">
        <f>'Quarterly historicals'!Q235</f>
        <v>-71.009</v>
      </c>
      <c r="R86" s="202">
        <f>'Quarterly historicals'!R235</f>
        <v>42.936</v>
      </c>
      <c r="S86" s="202">
        <f>'Quarterly historicals'!S235</f>
        <v>2.125</v>
      </c>
      <c r="T86" s="202">
        <f>'Quarterly historicals'!T235</f>
        <v>-38.643999999999998</v>
      </c>
      <c r="U86" s="202">
        <f>'Quarterly historicals'!U235</f>
        <v>-1.899</v>
      </c>
      <c r="V86" s="202">
        <f>'Quarterly historicals'!V235</f>
        <v>-1.899</v>
      </c>
      <c r="W86" s="202">
        <f>'Quarterly historicals'!W235</f>
        <v>-1.899</v>
      </c>
      <c r="X86" s="202">
        <f>'Quarterly historicals'!X235</f>
        <v>-6.0880000000000001</v>
      </c>
      <c r="Y86" s="202">
        <f>'Quarterly historicals'!Y235</f>
        <v>-12.753</v>
      </c>
      <c r="Z86" s="202">
        <f>'Quarterly historicals'!Z235</f>
        <v>-14.57</v>
      </c>
      <c r="AA86" s="202">
        <f>'Quarterly historicals'!AA235</f>
        <v>-14.538</v>
      </c>
      <c r="AB86" s="202">
        <f>'Quarterly historicals'!AB235</f>
        <v>-13.92</v>
      </c>
      <c r="AC86" s="202">
        <f>'Quarterly historicals'!AC235</f>
        <v>-13.811</v>
      </c>
      <c r="AD86" s="202">
        <f>'Quarterly historicals'!AD235</f>
        <v>-13.811</v>
      </c>
      <c r="AE86" s="202">
        <f>'Quarterly historicals'!AE235</f>
        <v>-13.811</v>
      </c>
      <c r="AF86" s="202">
        <f>'Quarterly historicals'!AF235</f>
        <v>-13.183999999999999</v>
      </c>
      <c r="AG86" s="202">
        <f>'Quarterly historicals'!AG235</f>
        <v>-11.839</v>
      </c>
      <c r="AH86" s="202">
        <f>'Quarterly historicals'!AH235</f>
        <v>-11.191000000000001</v>
      </c>
      <c r="AI86" s="202">
        <f>'Quarterly historicals'!AI235</f>
        <v>-10.715</v>
      </c>
      <c r="AJ86" s="202">
        <f>'Quarterly historicals'!AJ235</f>
        <v>-8.9220000000000006</v>
      </c>
      <c r="AK86" s="202">
        <f>'Quarterly historicals'!AK235</f>
        <v>-7.375</v>
      </c>
      <c r="AL86" s="202">
        <f>'Quarterly historicals'!AL235</f>
        <v>-6.0590000000000002</v>
      </c>
      <c r="AM86" s="202">
        <f>'Quarterly historicals'!AM235</f>
        <v>-5.8879999999999999</v>
      </c>
      <c r="AN86" s="202">
        <f>'Quarterly historicals'!AN235</f>
        <v>-8.2260000000000009</v>
      </c>
      <c r="AO86" s="202">
        <f>'Quarterly historicals'!AO235</f>
        <v>-26.613</v>
      </c>
      <c r="AP86" s="202">
        <f>'Quarterly historicals'!AP235</f>
        <v>-33.048999999999999</v>
      </c>
      <c r="AQ86" s="202">
        <f>'Quarterly historicals'!AQ235</f>
        <v>-41.201999999999998</v>
      </c>
      <c r="AR86" s="202">
        <f>'Quarterly historicals'!AR235</f>
        <v>-40.771000000000001</v>
      </c>
      <c r="AS86" s="202">
        <f>'Quarterly historicals'!AS235</f>
        <v>-92.134</v>
      </c>
      <c r="AT86" s="355">
        <f>'Quarterly historicals'!AT235</f>
        <v>-92.134</v>
      </c>
      <c r="AU86" s="356">
        <f t="shared" si="504"/>
        <v>-92.134</v>
      </c>
      <c r="AV86" s="356">
        <f t="shared" si="504"/>
        <v>-92.134</v>
      </c>
      <c r="AW86" s="356">
        <f t="shared" si="504"/>
        <v>-92.134</v>
      </c>
      <c r="AX86" s="356">
        <f t="shared" si="504"/>
        <v>-92.134</v>
      </c>
      <c r="AY86" s="356">
        <f t="shared" si="504"/>
        <v>-92.134</v>
      </c>
      <c r="AZ86" s="356">
        <f t="shared" si="504"/>
        <v>-92.134</v>
      </c>
      <c r="BA86" s="356">
        <f t="shared" si="504"/>
        <v>-92.134</v>
      </c>
      <c r="BB86" s="356">
        <f t="shared" si="504"/>
        <v>-92.134</v>
      </c>
      <c r="BC86" s="356">
        <f t="shared" si="504"/>
        <v>-92.134</v>
      </c>
      <c r="BD86" s="356">
        <f t="shared" si="504"/>
        <v>-92.134</v>
      </c>
      <c r="BE86" s="356">
        <f t="shared" si="504"/>
        <v>-92.134</v>
      </c>
      <c r="BF86" s="356">
        <f t="shared" si="504"/>
        <v>-92.134</v>
      </c>
      <c r="BG86" s="356">
        <f t="shared" si="504"/>
        <v>-92.134</v>
      </c>
      <c r="BH86" s="356">
        <f t="shared" si="504"/>
        <v>-92.134</v>
      </c>
      <c r="BI86" s="356">
        <f t="shared" si="504"/>
        <v>-92.134</v>
      </c>
      <c r="BJ86" s="356">
        <f t="shared" si="505"/>
        <v>-92.134</v>
      </c>
      <c r="BK86" s="356">
        <f t="shared" si="506"/>
        <v>-92.134</v>
      </c>
      <c r="BL86" s="356">
        <f t="shared" si="507"/>
        <v>-92.134</v>
      </c>
      <c r="BM86" s="356">
        <f t="shared" si="508"/>
        <v>-92.134</v>
      </c>
      <c r="BN86" s="356">
        <f t="shared" si="509"/>
        <v>-92.134</v>
      </c>
      <c r="BO86" s="356">
        <f t="shared" si="510"/>
        <v>-92.134</v>
      </c>
      <c r="BP86" s="356">
        <f t="shared" si="511"/>
        <v>-92.134</v>
      </c>
      <c r="BQ86" s="356">
        <f t="shared" si="512"/>
        <v>-92.134</v>
      </c>
      <c r="BR86" s="356">
        <f t="shared" si="513"/>
        <v>-92.134</v>
      </c>
      <c r="BS86" s="356">
        <f t="shared" si="514"/>
        <v>-92.134</v>
      </c>
      <c r="BT86" s="356">
        <f t="shared" si="515"/>
        <v>-92.134</v>
      </c>
      <c r="BU86" s="356">
        <f t="shared" si="516"/>
        <v>-92.134</v>
      </c>
      <c r="BV86" s="356">
        <f t="shared" si="517"/>
        <v>-92.134</v>
      </c>
      <c r="BW86" s="356">
        <f t="shared" si="518"/>
        <v>-92.134</v>
      </c>
      <c r="BX86" s="356">
        <f t="shared" si="519"/>
        <v>-92.134</v>
      </c>
      <c r="BY86" s="356">
        <f t="shared" si="520"/>
        <v>-92.134</v>
      </c>
      <c r="BZ86" s="198"/>
    </row>
    <row r="87" spans="1:79" s="106" customFormat="1">
      <c r="A87" s="627" t="s">
        <v>112</v>
      </c>
      <c r="B87" s="202">
        <f>'Quarterly historicals'!B233+'Quarterly historicals'!B236</f>
        <v>0</v>
      </c>
      <c r="C87" s="202">
        <f>'Quarterly historicals'!C233+'Quarterly historicals'!C236</f>
        <v>0</v>
      </c>
      <c r="D87" s="202">
        <f>'Quarterly historicals'!D233+'Quarterly historicals'!D236</f>
        <v>0</v>
      </c>
      <c r="E87" s="202">
        <f>'Quarterly historicals'!E233+'Quarterly historicals'!E236</f>
        <v>95.427000000000007</v>
      </c>
      <c r="F87" s="202">
        <f>'Quarterly historicals'!F233+'Quarterly historicals'!F236</f>
        <v>1198.9469999999999</v>
      </c>
      <c r="G87" s="202">
        <f>'Quarterly historicals'!G233+'Quarterly historicals'!G236</f>
        <v>1185.953</v>
      </c>
      <c r="H87" s="202">
        <f>'Quarterly historicals'!H233+'Quarterly historicals'!H236</f>
        <v>1177.3800000000001</v>
      </c>
      <c r="I87" s="202">
        <f>'Quarterly historicals'!I233+'Quarterly historicals'!I236</f>
        <v>1161.846</v>
      </c>
      <c r="J87" s="202">
        <f>'Quarterly historicals'!J233+'Quarterly historicals'!J236</f>
        <v>1152.43</v>
      </c>
      <c r="K87" s="202">
        <f>'Quarterly historicals'!K233+'Quarterly historicals'!K236</f>
        <v>1141.3910000000001</v>
      </c>
      <c r="L87" s="202">
        <f>'Quarterly historicals'!L233+'Quarterly historicals'!L236</f>
        <v>1131.58</v>
      </c>
      <c r="M87" s="202">
        <f>'Quarterly historicals'!M233+'Quarterly historicals'!M236</f>
        <v>1117.5989999999999</v>
      </c>
      <c r="N87" s="202">
        <f>'Quarterly historicals'!N233+'Quarterly historicals'!N236</f>
        <v>1108.3689999999999</v>
      </c>
      <c r="O87" s="202">
        <f>'Quarterly historicals'!O233+'Quarterly historicals'!O236</f>
        <v>1095.674</v>
      </c>
      <c r="P87" s="202">
        <f>'Quarterly historicals'!P233+'Quarterly historicals'!P236</f>
        <v>1083.4670000000001</v>
      </c>
      <c r="Q87" s="202">
        <f>'Quarterly historicals'!Q233+'Quarterly historicals'!Q236</f>
        <v>1403.6679999999999</v>
      </c>
      <c r="R87" s="202">
        <f>'Quarterly historicals'!R233+'Quarterly historicals'!R236</f>
        <v>1057.9860000000001</v>
      </c>
      <c r="S87" s="202">
        <f>'Quarterly historicals'!S233+'Quarterly historicals'!S236</f>
        <v>1049.1969999999999</v>
      </c>
      <c r="T87" s="202">
        <f>'Quarterly historicals'!T233+'Quarterly historicals'!T236</f>
        <v>1038.03</v>
      </c>
      <c r="U87" s="202">
        <f>'Quarterly historicals'!U233+'Quarterly historicals'!U236</f>
        <v>1304.9090000000001</v>
      </c>
      <c r="V87" s="202">
        <f>'Quarterly historicals'!V233+'Quarterly historicals'!V236</f>
        <v>1502.338</v>
      </c>
      <c r="W87" s="202">
        <f>'Quarterly historicals'!W233+'Quarterly historicals'!W236</f>
        <v>1428.375</v>
      </c>
      <c r="X87" s="202">
        <f>'Quarterly historicals'!X233+'Quarterly historicals'!X236</f>
        <v>1444.8909999999998</v>
      </c>
      <c r="Y87" s="202">
        <f>'Quarterly historicals'!Y233+'Quarterly historicals'!Y236</f>
        <v>1272.77</v>
      </c>
      <c r="Z87" s="202">
        <f>'Quarterly historicals'!Z233+'Quarterly historicals'!Z236</f>
        <v>1238.2320000000002</v>
      </c>
      <c r="AA87" s="202">
        <f>'Quarterly historicals'!AA233+'Quarterly historicals'!AA236</f>
        <v>1290.5019999999997</v>
      </c>
      <c r="AB87" s="202">
        <f>'Quarterly historicals'!AB233+'Quarterly historicals'!AB236</f>
        <v>1318.7350000000001</v>
      </c>
      <c r="AC87" s="202">
        <f>'Quarterly historicals'!AC233+'Quarterly historicals'!AC236</f>
        <v>1500.278</v>
      </c>
      <c r="AD87" s="202">
        <f>'Quarterly historicals'!AD233+'Quarterly historicals'!AD236</f>
        <v>1395.8720000000001</v>
      </c>
      <c r="AE87" s="202">
        <f>'Quarterly historicals'!AE233+'Quarterly historicals'!AE236</f>
        <v>1234.3130000000001</v>
      </c>
      <c r="AF87" s="202">
        <f>'Quarterly historicals'!AF233+'Quarterly historicals'!AF236</f>
        <v>1103.059</v>
      </c>
      <c r="AG87" s="202">
        <f>'Quarterly historicals'!AG233+'Quarterly historicals'!AG236</f>
        <v>1120.3140000000001</v>
      </c>
      <c r="AH87" s="202">
        <f>'Quarterly historicals'!AH233+'Quarterly historicals'!AH236</f>
        <v>1387.3340000000001</v>
      </c>
      <c r="AI87" s="202">
        <f>'Quarterly historicals'!AI233+'Quarterly historicals'!AI236</f>
        <v>1248.9729999999997</v>
      </c>
      <c r="AJ87" s="202">
        <f>'Quarterly historicals'!AJ233+'Quarterly historicals'!AJ236</f>
        <v>1196.3720000000001</v>
      </c>
      <c r="AK87" s="202">
        <f>'Quarterly historicals'!AK233+'Quarterly historicals'!AK236</f>
        <v>1410.787</v>
      </c>
      <c r="AL87" s="202">
        <f>'Quarterly historicals'!AL233+'Quarterly historicals'!AL236</f>
        <v>1475.1570000000002</v>
      </c>
      <c r="AM87" s="202">
        <f>'Quarterly historicals'!AM233+'Quarterly historicals'!AM236</f>
        <v>1177.0809999999999</v>
      </c>
      <c r="AN87" s="202">
        <f>'Quarterly historicals'!AN233+'Quarterly historicals'!AN236</f>
        <v>1138.248</v>
      </c>
      <c r="AO87" s="202">
        <f>'Quarterly historicals'!AO233+'Quarterly historicals'!AO236</f>
        <v>1300.451</v>
      </c>
      <c r="AP87" s="202">
        <f>'Quarterly historicals'!AP233+'Quarterly historicals'!AP236</f>
        <v>1422.567</v>
      </c>
      <c r="AQ87" s="202">
        <f>'Quarterly historicals'!AQ233+'Quarterly historicals'!AQ236</f>
        <v>1412.835</v>
      </c>
      <c r="AR87" s="202">
        <f>'Quarterly historicals'!AR233+'Quarterly historicals'!AR236</f>
        <v>1515.645</v>
      </c>
      <c r="AS87" s="202">
        <f>'Quarterly historicals'!AS233+'Quarterly historicals'!AS236</f>
        <v>1440.527</v>
      </c>
      <c r="AT87" s="355">
        <f>'Quarterly historicals'!AT233+'Quarterly historicals'!AT236</f>
        <v>1131.519</v>
      </c>
      <c r="AU87" s="356">
        <f t="shared" ref="AU87:BI87" si="521">AT87</f>
        <v>1131.519</v>
      </c>
      <c r="AV87" s="356">
        <f t="shared" si="521"/>
        <v>1131.519</v>
      </c>
      <c r="AW87" s="356">
        <f t="shared" si="521"/>
        <v>1131.519</v>
      </c>
      <c r="AX87" s="356">
        <f t="shared" si="521"/>
        <v>1131.519</v>
      </c>
      <c r="AY87" s="356">
        <f t="shared" si="521"/>
        <v>1131.519</v>
      </c>
      <c r="AZ87" s="356">
        <f t="shared" si="521"/>
        <v>1131.519</v>
      </c>
      <c r="BA87" s="356">
        <f t="shared" si="521"/>
        <v>1131.519</v>
      </c>
      <c r="BB87" s="356">
        <f t="shared" si="521"/>
        <v>1131.519</v>
      </c>
      <c r="BC87" s="356">
        <f t="shared" si="521"/>
        <v>1131.519</v>
      </c>
      <c r="BD87" s="356">
        <f t="shared" si="521"/>
        <v>1131.519</v>
      </c>
      <c r="BE87" s="356">
        <f t="shared" si="521"/>
        <v>1131.519</v>
      </c>
      <c r="BF87" s="356">
        <f t="shared" si="521"/>
        <v>1131.519</v>
      </c>
      <c r="BG87" s="356">
        <f t="shared" si="521"/>
        <v>1131.519</v>
      </c>
      <c r="BH87" s="356">
        <f t="shared" si="521"/>
        <v>1131.519</v>
      </c>
      <c r="BI87" s="356">
        <f t="shared" si="521"/>
        <v>1131.519</v>
      </c>
      <c r="BJ87" s="356">
        <f t="shared" si="505"/>
        <v>1131.519</v>
      </c>
      <c r="BK87" s="356">
        <f t="shared" si="506"/>
        <v>1131.519</v>
      </c>
      <c r="BL87" s="356">
        <f t="shared" si="507"/>
        <v>1131.519</v>
      </c>
      <c r="BM87" s="356">
        <f t="shared" si="508"/>
        <v>1131.519</v>
      </c>
      <c r="BN87" s="356">
        <f t="shared" si="509"/>
        <v>1131.519</v>
      </c>
      <c r="BO87" s="356">
        <f t="shared" si="510"/>
        <v>1131.519</v>
      </c>
      <c r="BP87" s="356">
        <f t="shared" si="511"/>
        <v>1131.519</v>
      </c>
      <c r="BQ87" s="356">
        <f t="shared" si="512"/>
        <v>1131.519</v>
      </c>
      <c r="BR87" s="356">
        <f t="shared" si="513"/>
        <v>1131.519</v>
      </c>
      <c r="BS87" s="356">
        <f t="shared" si="514"/>
        <v>1131.519</v>
      </c>
      <c r="BT87" s="356">
        <f t="shared" si="515"/>
        <v>1131.519</v>
      </c>
      <c r="BU87" s="356">
        <f t="shared" si="516"/>
        <v>1131.519</v>
      </c>
      <c r="BV87" s="356">
        <f t="shared" si="517"/>
        <v>1131.519</v>
      </c>
      <c r="BW87" s="356">
        <f t="shared" si="518"/>
        <v>1131.519</v>
      </c>
      <c r="BX87" s="356">
        <f t="shared" si="519"/>
        <v>1131.519</v>
      </c>
      <c r="BY87" s="356">
        <f t="shared" si="520"/>
        <v>1131.519</v>
      </c>
      <c r="BZ87" s="198"/>
    </row>
    <row r="88" spans="1:79" s="106" customFormat="1">
      <c r="A88" s="627" t="s">
        <v>255</v>
      </c>
      <c r="B88" s="202">
        <f>'Quarterly historicals'!B237</f>
        <v>60.984999999999999</v>
      </c>
      <c r="C88" s="202">
        <f>'Quarterly historicals'!C237</f>
        <v>99.543999999999997</v>
      </c>
      <c r="D88" s="202">
        <f>'Quarterly historicals'!D237</f>
        <v>123.928</v>
      </c>
      <c r="E88" s="202">
        <f>'Quarterly historicals'!E237</f>
        <v>0</v>
      </c>
      <c r="F88" s="202">
        <f>'Quarterly historicals'!F237</f>
        <v>1.5980000000000001</v>
      </c>
      <c r="G88" s="202">
        <f>'Quarterly historicals'!G237</f>
        <v>-17.457999999999998</v>
      </c>
      <c r="H88" s="202">
        <f>'Quarterly historicals'!H237</f>
        <v>-15.625</v>
      </c>
      <c r="I88" s="202">
        <f>'Quarterly historicals'!I237</f>
        <v>0</v>
      </c>
      <c r="J88" s="202">
        <f>'Quarterly historicals'!J237</f>
        <v>7.57</v>
      </c>
      <c r="K88" s="202">
        <f>'Quarterly historicals'!K237</f>
        <v>-21.792000000000002</v>
      </c>
      <c r="L88" s="202">
        <f>'Quarterly historicals'!L237</f>
        <v>-50.369</v>
      </c>
      <c r="M88" s="202">
        <f>'Quarterly historicals'!M237</f>
        <v>0</v>
      </c>
      <c r="N88" s="202">
        <f>'Quarterly historicals'!N237</f>
        <v>38.137</v>
      </c>
      <c r="O88" s="202">
        <f>'Quarterly historicals'!O237</f>
        <v>71.081000000000003</v>
      </c>
      <c r="P88" s="202">
        <f>'Quarterly historicals'!P237</f>
        <v>88.096000000000004</v>
      </c>
      <c r="Q88" s="202">
        <f>'Quarterly historicals'!Q237</f>
        <v>218.631</v>
      </c>
      <c r="R88" s="202">
        <f>'Quarterly historicals'!R237</f>
        <v>250.47400000000002</v>
      </c>
      <c r="S88" s="202">
        <f>'Quarterly historicals'!S237</f>
        <v>201.107</v>
      </c>
      <c r="T88" s="202">
        <f>'Quarterly historicals'!T237</f>
        <v>246.56400000000002</v>
      </c>
      <c r="U88" s="202">
        <f>'Quarterly historicals'!U237</f>
        <v>194.51599999999999</v>
      </c>
      <c r="V88" s="202">
        <f>'Quarterly historicals'!V237</f>
        <v>48.418999999999997</v>
      </c>
      <c r="W88" s="202">
        <f>'Quarterly historicals'!W237</f>
        <v>106.75</v>
      </c>
      <c r="X88" s="202">
        <f>'Quarterly historicals'!X237</f>
        <v>161.983</v>
      </c>
      <c r="Y88" s="202">
        <f>'Quarterly historicals'!Y237</f>
        <v>308.86700000000002</v>
      </c>
      <c r="Z88" s="202">
        <f>'Quarterly historicals'!Z237</f>
        <v>308.86700000000002</v>
      </c>
      <c r="AA88" s="202">
        <f>'Quarterly historicals'!AA237</f>
        <v>144.60300000000001</v>
      </c>
      <c r="AB88" s="202">
        <f>'Quarterly historicals'!AB237</f>
        <v>144.75800000000001</v>
      </c>
      <c r="AC88" s="202">
        <f>'Quarterly historicals'!AC237</f>
        <v>0</v>
      </c>
      <c r="AD88" s="202">
        <f>'Quarterly historicals'!AD237</f>
        <v>42.42</v>
      </c>
      <c r="AE88" s="202">
        <f>'Quarterly historicals'!AE237</f>
        <v>117.717</v>
      </c>
      <c r="AF88" s="202">
        <f>'Quarterly historicals'!AF237</f>
        <v>252.08599999999998</v>
      </c>
      <c r="AG88" s="202">
        <f>'Quarterly historicals'!AG237</f>
        <v>230.27699999999999</v>
      </c>
      <c r="AH88" s="202">
        <f>'Quarterly historicals'!AH237</f>
        <v>65.010999999999996</v>
      </c>
      <c r="AI88" s="202">
        <f>'Quarterly historicals'!AI237</f>
        <v>187.18</v>
      </c>
      <c r="AJ88" s="202">
        <f>'Quarterly historicals'!AJ237</f>
        <v>246.24299999999999</v>
      </c>
      <c r="AK88" s="202">
        <f>'Quarterly historicals'!AK237</f>
        <v>390.56200000000001</v>
      </c>
      <c r="AL88" s="202">
        <f>'Quarterly historicals'!AL237</f>
        <v>425.59300000000002</v>
      </c>
      <c r="AM88" s="202">
        <f>'Quarterly historicals'!AM237</f>
        <v>333.49599999999998</v>
      </c>
      <c r="AN88" s="202">
        <f>'Quarterly historicals'!AN237</f>
        <v>413.72699999999998</v>
      </c>
      <c r="AO88" s="202">
        <f>'Quarterly historicals'!AO237</f>
        <v>430.88800000000003</v>
      </c>
      <c r="AP88" s="202">
        <f>'Quarterly historicals'!AP237</f>
        <v>471.70299999999997</v>
      </c>
      <c r="AQ88" s="202">
        <f>'Quarterly historicals'!AQ237</f>
        <v>410.85399999999998</v>
      </c>
      <c r="AR88" s="202">
        <f>'Quarterly historicals'!AR237</f>
        <v>470.91099999999994</v>
      </c>
      <c r="AS88" s="202">
        <f>'Quarterly historicals'!AS237</f>
        <v>606.19799999999998</v>
      </c>
      <c r="AT88" s="355">
        <f>'Quarterly historicals'!AT237</f>
        <v>726.49599999999998</v>
      </c>
      <c r="AU88" s="356">
        <f>+AT88+AU39</f>
        <v>894.47290711466394</v>
      </c>
      <c r="AV88" s="356">
        <f t="shared" ref="AV88:BY88" si="522">+AU88+AV39</f>
        <v>1002.6078121535342</v>
      </c>
      <c r="AW88" s="356">
        <f t="shared" si="522"/>
        <v>923.30413197049597</v>
      </c>
      <c r="AX88" s="356">
        <f t="shared" si="522"/>
        <v>1215.0553816146885</v>
      </c>
      <c r="AY88" s="356">
        <f t="shared" si="522"/>
        <v>1393.8942494876508</v>
      </c>
      <c r="AZ88" s="356">
        <f t="shared" si="522"/>
        <v>1505.5347926075412</v>
      </c>
      <c r="BA88" s="356">
        <f t="shared" si="522"/>
        <v>1209.798930281393</v>
      </c>
      <c r="BB88" s="356">
        <f t="shared" si="522"/>
        <v>1532.3942486128212</v>
      </c>
      <c r="BC88" s="356">
        <f t="shared" si="522"/>
        <v>1742.1795739318559</v>
      </c>
      <c r="BD88" s="356">
        <f t="shared" si="522"/>
        <v>1880.5964351453385</v>
      </c>
      <c r="BE88" s="356">
        <f t="shared" si="522"/>
        <v>1413.1166527852806</v>
      </c>
      <c r="BF88" s="356">
        <f t="shared" si="522"/>
        <v>1816.1449019099721</v>
      </c>
      <c r="BG88" s="356">
        <f t="shared" si="522"/>
        <v>2054.0896593007133</v>
      </c>
      <c r="BH88" s="356">
        <f t="shared" si="522"/>
        <v>2218.0296148559987</v>
      </c>
      <c r="BI88" s="356">
        <f t="shared" si="522"/>
        <v>1656.1323134982522</v>
      </c>
      <c r="BJ88" s="356">
        <f t="shared" si="522"/>
        <v>2078.591019057043</v>
      </c>
      <c r="BK88" s="356">
        <f t="shared" si="522"/>
        <v>2332.3947221394856</v>
      </c>
      <c r="BL88" s="356">
        <f t="shared" si="522"/>
        <v>2509.2199071781456</v>
      </c>
      <c r="BM88" s="356">
        <f t="shared" si="522"/>
        <v>1914.0109354119588</v>
      </c>
      <c r="BN88" s="356">
        <f t="shared" si="522"/>
        <v>2226.6948212064326</v>
      </c>
      <c r="BO88" s="356">
        <f t="shared" si="522"/>
        <v>2458.0584648335243</v>
      </c>
      <c r="BP88" s="356">
        <f t="shared" si="522"/>
        <v>2610.590705231883</v>
      </c>
      <c r="BQ88" s="356">
        <f t="shared" si="522"/>
        <v>1914.0109354119588</v>
      </c>
      <c r="BR88" s="356">
        <f t="shared" si="522"/>
        <v>2145.6234752887103</v>
      </c>
      <c r="BS88" s="356">
        <f t="shared" si="522"/>
        <v>2360.327650056086</v>
      </c>
      <c r="BT88" s="356">
        <f t="shared" si="522"/>
        <v>2493.8842990654302</v>
      </c>
      <c r="BU88" s="356">
        <f t="shared" si="522"/>
        <v>1914.0109354119581</v>
      </c>
      <c r="BV88" s="356">
        <f t="shared" si="522"/>
        <v>2197.322823107384</v>
      </c>
      <c r="BW88" s="356">
        <f t="shared" si="522"/>
        <v>2448.5769364006283</v>
      </c>
      <c r="BX88" s="356">
        <f t="shared" si="522"/>
        <v>2629.6594703314504</v>
      </c>
      <c r="BY88" s="356">
        <f t="shared" si="522"/>
        <v>1914.0109354119581</v>
      </c>
      <c r="BZ88" s="198"/>
    </row>
    <row r="89" spans="1:79" s="106" customFormat="1" ht="15" customHeight="1">
      <c r="A89" s="609" t="s">
        <v>256</v>
      </c>
      <c r="B89" s="610">
        <f t="shared" ref="B89:AG89" si="523">SUM(B84:B88)</f>
        <v>371.28199999999998</v>
      </c>
      <c r="C89" s="610">
        <f t="shared" si="523"/>
        <v>980.93200000000002</v>
      </c>
      <c r="D89" s="610">
        <f t="shared" si="523"/>
        <v>999.52200000000005</v>
      </c>
      <c r="E89" s="610">
        <f t="shared" si="523"/>
        <v>1671.4799999999998</v>
      </c>
      <c r="F89" s="610">
        <f t="shared" si="523"/>
        <v>1661.0509999999999</v>
      </c>
      <c r="G89" s="610">
        <f t="shared" si="523"/>
        <v>1629.001</v>
      </c>
      <c r="H89" s="610">
        <f t="shared" si="523"/>
        <v>1622.2610000000002</v>
      </c>
      <c r="I89" s="610">
        <f t="shared" si="523"/>
        <v>1624.5810000000001</v>
      </c>
      <c r="J89" s="610">
        <f t="shared" si="523"/>
        <v>1622.7349999999999</v>
      </c>
      <c r="K89" s="610">
        <f t="shared" si="523"/>
        <v>1582.0480000000002</v>
      </c>
      <c r="L89" s="610">
        <f t="shared" si="523"/>
        <v>1542.125</v>
      </c>
      <c r="M89" s="610">
        <f t="shared" si="523"/>
        <v>1575.201</v>
      </c>
      <c r="N89" s="610">
        <f t="shared" si="523"/>
        <v>1604.1079999999999</v>
      </c>
      <c r="O89" s="610">
        <f t="shared" si="523"/>
        <v>1624.3569999999997</v>
      </c>
      <c r="P89" s="610">
        <f t="shared" si="523"/>
        <v>1629.165</v>
      </c>
      <c r="Q89" s="610">
        <f t="shared" si="523"/>
        <v>1909.3909999999998</v>
      </c>
      <c r="R89" s="610">
        <f t="shared" si="523"/>
        <v>1709.4970000000001</v>
      </c>
      <c r="S89" s="610">
        <f t="shared" si="523"/>
        <v>1706.4299999999998</v>
      </c>
      <c r="T89" s="610">
        <f t="shared" si="523"/>
        <v>1699.951</v>
      </c>
      <c r="U89" s="610">
        <f t="shared" si="523"/>
        <v>1953.4260000000002</v>
      </c>
      <c r="V89" s="610">
        <f t="shared" si="523"/>
        <v>2004.758</v>
      </c>
      <c r="W89" s="610">
        <f t="shared" si="523"/>
        <v>1989.126</v>
      </c>
      <c r="X89" s="610">
        <f t="shared" si="523"/>
        <v>2056.6859999999997</v>
      </c>
      <c r="Y89" s="610">
        <f t="shared" si="523"/>
        <v>2024.7839999999999</v>
      </c>
      <c r="Z89" s="610">
        <f t="shared" si="523"/>
        <v>1988.4290000000001</v>
      </c>
      <c r="AA89" s="610">
        <f t="shared" si="523"/>
        <v>2034.7169999999996</v>
      </c>
      <c r="AB89" s="610">
        <f t="shared" si="523"/>
        <v>2063.723</v>
      </c>
      <c r="AC89" s="610">
        <f t="shared" si="523"/>
        <v>2100.6170000000002</v>
      </c>
      <c r="AD89" s="610">
        <f t="shared" si="523"/>
        <v>2038.6310000000001</v>
      </c>
      <c r="AE89" s="610">
        <f t="shared" si="523"/>
        <v>2075.4190000000003</v>
      </c>
      <c r="AF89" s="610">
        <f t="shared" si="523"/>
        <v>2079.1610000000001</v>
      </c>
      <c r="AG89" s="610">
        <f t="shared" si="523"/>
        <v>2075.9520000000002</v>
      </c>
      <c r="AH89" s="610">
        <f t="shared" ref="AH89:BM89" si="524">SUM(AH84:AH88)</f>
        <v>2178.3539999999998</v>
      </c>
      <c r="AI89" s="610">
        <f t="shared" si="524"/>
        <v>2234.2879999999996</v>
      </c>
      <c r="AJ89" s="610">
        <f t="shared" si="524"/>
        <v>2246.6849999999999</v>
      </c>
      <c r="AK89" s="610">
        <f t="shared" si="524"/>
        <v>2616.085</v>
      </c>
      <c r="AL89" s="610">
        <f t="shared" si="524"/>
        <v>2716.8020000000001</v>
      </c>
      <c r="AM89" s="610">
        <f t="shared" si="524"/>
        <v>2445.1480000000001</v>
      </c>
      <c r="AN89" s="610">
        <f t="shared" si="524"/>
        <v>2485.7950000000001</v>
      </c>
      <c r="AO89" s="610">
        <f t="shared" si="524"/>
        <v>2646.5969999999998</v>
      </c>
      <c r="AP89" s="610">
        <f t="shared" ref="AP89:AQ89" si="525">SUM(AP84:AP88)</f>
        <v>2802.7980000000002</v>
      </c>
      <c r="AQ89" s="610">
        <f t="shared" si="525"/>
        <v>2857.6959999999999</v>
      </c>
      <c r="AR89" s="610">
        <f t="shared" ref="AR89:AS89" si="526">SUM(AR84:AR88)</f>
        <v>3020.877</v>
      </c>
      <c r="AS89" s="610">
        <f t="shared" si="526"/>
        <v>3403.32</v>
      </c>
      <c r="AT89" s="628">
        <f t="shared" ref="AT89" si="527">SUM(AT84:AT88)</f>
        <v>3214.61</v>
      </c>
      <c r="AU89" s="611">
        <f t="shared" si="524"/>
        <v>3382.586907114664</v>
      </c>
      <c r="AV89" s="611">
        <f t="shared" si="524"/>
        <v>3490.7218121535343</v>
      </c>
      <c r="AW89" s="611">
        <f t="shared" si="524"/>
        <v>3411.4181319704958</v>
      </c>
      <c r="AX89" s="611">
        <f t="shared" si="524"/>
        <v>3703.1693816146885</v>
      </c>
      <c r="AY89" s="611">
        <f t="shared" si="524"/>
        <v>3882.0082494876506</v>
      </c>
      <c r="AZ89" s="611">
        <f t="shared" si="524"/>
        <v>3993.6487926075415</v>
      </c>
      <c r="BA89" s="611">
        <f t="shared" si="524"/>
        <v>3697.9129302813931</v>
      </c>
      <c r="BB89" s="611">
        <f t="shared" si="524"/>
        <v>4020.5082486128213</v>
      </c>
      <c r="BC89" s="611">
        <f t="shared" si="524"/>
        <v>4230.2935739318564</v>
      </c>
      <c r="BD89" s="611">
        <f t="shared" si="524"/>
        <v>4368.7104351453381</v>
      </c>
      <c r="BE89" s="611">
        <f t="shared" si="524"/>
        <v>3901.2306527852807</v>
      </c>
      <c r="BF89" s="611">
        <f t="shared" si="524"/>
        <v>4304.2589019099723</v>
      </c>
      <c r="BG89" s="611">
        <f t="shared" si="524"/>
        <v>4542.2036593007133</v>
      </c>
      <c r="BH89" s="611">
        <f t="shared" si="524"/>
        <v>4706.1436148559987</v>
      </c>
      <c r="BI89" s="611">
        <f t="shared" si="524"/>
        <v>4144.2463134982518</v>
      </c>
      <c r="BJ89" s="611">
        <f t="shared" si="524"/>
        <v>4566.7050190570426</v>
      </c>
      <c r="BK89" s="611">
        <f t="shared" si="524"/>
        <v>4820.5087221394861</v>
      </c>
      <c r="BL89" s="611">
        <f t="shared" si="524"/>
        <v>4997.3339071781456</v>
      </c>
      <c r="BM89" s="611">
        <f t="shared" si="524"/>
        <v>4402.1249354119591</v>
      </c>
      <c r="BN89" s="611">
        <f t="shared" ref="BN89:BY89" si="528">SUM(BN84:BN88)</f>
        <v>4714.8088212064322</v>
      </c>
      <c r="BO89" s="611">
        <f t="shared" si="528"/>
        <v>4946.1724648335239</v>
      </c>
      <c r="BP89" s="611">
        <f t="shared" si="528"/>
        <v>5098.7047052318831</v>
      </c>
      <c r="BQ89" s="611">
        <f t="shared" si="528"/>
        <v>4402.1249354119591</v>
      </c>
      <c r="BR89" s="611">
        <f t="shared" si="528"/>
        <v>4633.7374752887099</v>
      </c>
      <c r="BS89" s="611">
        <f t="shared" si="528"/>
        <v>4848.4416500560856</v>
      </c>
      <c r="BT89" s="611">
        <f t="shared" si="528"/>
        <v>4981.9982990654298</v>
      </c>
      <c r="BU89" s="611">
        <f t="shared" si="528"/>
        <v>4402.1249354119582</v>
      </c>
      <c r="BV89" s="611">
        <f t="shared" si="528"/>
        <v>4685.436823107384</v>
      </c>
      <c r="BW89" s="611">
        <f t="shared" si="528"/>
        <v>4936.6909364006278</v>
      </c>
      <c r="BX89" s="611">
        <f t="shared" si="528"/>
        <v>5117.7734703314509</v>
      </c>
      <c r="BY89" s="611">
        <f t="shared" si="528"/>
        <v>4402.1249354119582</v>
      </c>
      <c r="BZ89" s="198"/>
      <c r="CA89" s="934"/>
    </row>
    <row r="90" spans="1:79" s="106" customFormat="1">
      <c r="A90" s="626" t="s">
        <v>257</v>
      </c>
      <c r="B90" s="610">
        <f t="shared" ref="B90:AG90" si="529">SUM(B89,B78,B79,B77,B75,B81,B82)</f>
        <v>691.82600000000002</v>
      </c>
      <c r="C90" s="610">
        <f t="shared" si="529"/>
        <v>1805.645</v>
      </c>
      <c r="D90" s="610">
        <f t="shared" si="529"/>
        <v>1773.8560000000002</v>
      </c>
      <c r="E90" s="610">
        <f t="shared" si="529"/>
        <v>2642.9259999999995</v>
      </c>
      <c r="F90" s="610">
        <f t="shared" si="529"/>
        <v>2756.1689999999999</v>
      </c>
      <c r="G90" s="610">
        <f t="shared" si="529"/>
        <v>2835.076</v>
      </c>
      <c r="H90" s="610">
        <f t="shared" si="529"/>
        <v>2915.1259999999997</v>
      </c>
      <c r="I90" s="610">
        <f t="shared" si="529"/>
        <v>2916.623</v>
      </c>
      <c r="J90" s="610">
        <f t="shared" si="529"/>
        <v>3044.4359999999997</v>
      </c>
      <c r="K90" s="610">
        <f t="shared" si="529"/>
        <v>3390.8450000000007</v>
      </c>
      <c r="L90" s="610">
        <f t="shared" si="529"/>
        <v>3389.8270000000007</v>
      </c>
      <c r="M90" s="610">
        <f t="shared" si="529"/>
        <v>3394.6919999999996</v>
      </c>
      <c r="N90" s="610">
        <f t="shared" si="529"/>
        <v>3339.181</v>
      </c>
      <c r="O90" s="610">
        <f t="shared" si="529"/>
        <v>3425.8099999999995</v>
      </c>
      <c r="P90" s="610">
        <f t="shared" si="529"/>
        <v>3416.3370000000004</v>
      </c>
      <c r="Q90" s="610">
        <f t="shared" si="529"/>
        <v>4187.4429999999993</v>
      </c>
      <c r="R90" s="610">
        <f t="shared" si="529"/>
        <v>3468.098</v>
      </c>
      <c r="S90" s="610">
        <f t="shared" si="529"/>
        <v>3616.009</v>
      </c>
      <c r="T90" s="610">
        <f t="shared" si="529"/>
        <v>3285.0799999999995</v>
      </c>
      <c r="U90" s="610">
        <f t="shared" si="529"/>
        <v>3941.5960000000005</v>
      </c>
      <c r="V90" s="610">
        <f t="shared" si="529"/>
        <v>4211.3</v>
      </c>
      <c r="W90" s="610">
        <f t="shared" si="529"/>
        <v>4409.8090000000002</v>
      </c>
      <c r="X90" s="610">
        <f t="shared" si="529"/>
        <v>4834.4149999999991</v>
      </c>
      <c r="Y90" s="610">
        <f t="shared" si="529"/>
        <v>4787.2730000000001</v>
      </c>
      <c r="Z90" s="610">
        <f t="shared" si="529"/>
        <v>5393.7159999999994</v>
      </c>
      <c r="AA90" s="610">
        <f t="shared" si="529"/>
        <v>5514.744999999999</v>
      </c>
      <c r="AB90" s="610">
        <f t="shared" si="529"/>
        <v>5450.6149999999998</v>
      </c>
      <c r="AC90" s="610">
        <f t="shared" si="529"/>
        <v>5633.1100000000006</v>
      </c>
      <c r="AD90" s="610">
        <f t="shared" si="529"/>
        <v>5676.4580000000005</v>
      </c>
      <c r="AE90" s="610">
        <f t="shared" si="529"/>
        <v>5751.857</v>
      </c>
      <c r="AF90" s="610">
        <f t="shared" si="529"/>
        <v>5774</v>
      </c>
      <c r="AG90" s="610">
        <f t="shared" si="529"/>
        <v>5825.951</v>
      </c>
      <c r="AH90" s="610">
        <f t="shared" ref="AH90:BM90" si="530">SUM(AH89,AH78,AH79,AH77,AH75,AH81,AH82)</f>
        <v>6266.0789999999997</v>
      </c>
      <c r="AI90" s="610">
        <f t="shared" si="530"/>
        <v>7013.3659999999991</v>
      </c>
      <c r="AJ90" s="610">
        <f t="shared" si="530"/>
        <v>7250.5639999999994</v>
      </c>
      <c r="AK90" s="610">
        <f t="shared" si="530"/>
        <v>7619.0319999999992</v>
      </c>
      <c r="AL90" s="610">
        <f t="shared" si="530"/>
        <v>7760.6310000000003</v>
      </c>
      <c r="AM90" s="610">
        <f t="shared" si="530"/>
        <v>7796.8119999999999</v>
      </c>
      <c r="AN90" s="610">
        <f t="shared" si="530"/>
        <v>7585.2610000000004</v>
      </c>
      <c r="AO90" s="610">
        <f t="shared" si="530"/>
        <v>7755.59</v>
      </c>
      <c r="AP90" s="610">
        <f t="shared" ref="AP90:AQ90" si="531">SUM(AP89,AP78,AP79,AP77,AP75,AP81,AP82)</f>
        <v>7553.9150000000009</v>
      </c>
      <c r="AQ90" s="610">
        <f t="shared" si="531"/>
        <v>7925.4859999999999</v>
      </c>
      <c r="AR90" s="610">
        <f t="shared" ref="AR90:AS90" si="532">SUM(AR89,AR78,AR79,AR77,AR75,AR81,AR82)</f>
        <v>8031.8439999999991</v>
      </c>
      <c r="AS90" s="610">
        <f t="shared" si="532"/>
        <v>8691.5250000000015</v>
      </c>
      <c r="AT90" s="628">
        <f t="shared" ref="AT90" si="533">SUM(AT89,AT78,AT79,AT77,AT75,AT81,AT82)</f>
        <v>9175.5619999999999</v>
      </c>
      <c r="AU90" s="611">
        <f t="shared" si="530"/>
        <v>9562.7420082494136</v>
      </c>
      <c r="AV90" s="611">
        <f t="shared" si="530"/>
        <v>9482.6374313114993</v>
      </c>
      <c r="AW90" s="611">
        <f t="shared" si="530"/>
        <v>8792.8354242197183</v>
      </c>
      <c r="AX90" s="611">
        <f t="shared" si="530"/>
        <v>9365.5266522179099</v>
      </c>
      <c r="AY90" s="611">
        <f t="shared" si="530"/>
        <v>9621.7858278762506</v>
      </c>
      <c r="AZ90" s="611">
        <f t="shared" si="530"/>
        <v>9534.6935413717893</v>
      </c>
      <c r="BA90" s="611">
        <f t="shared" si="530"/>
        <v>8947.6532629508074</v>
      </c>
      <c r="BB90" s="611">
        <f t="shared" si="530"/>
        <v>9720.0208805220973</v>
      </c>
      <c r="BC90" s="611">
        <f t="shared" si="530"/>
        <v>10020.63026970196</v>
      </c>
      <c r="BD90" s="611">
        <f t="shared" si="530"/>
        <v>9943.9695232358627</v>
      </c>
      <c r="BE90" s="611">
        <f t="shared" si="530"/>
        <v>9159.6074615680845</v>
      </c>
      <c r="BF90" s="611">
        <f t="shared" si="530"/>
        <v>10116.167545100345</v>
      </c>
      <c r="BG90" s="611">
        <f t="shared" si="530"/>
        <v>10442.002651622859</v>
      </c>
      <c r="BH90" s="611">
        <f t="shared" si="530"/>
        <v>10361.209206732241</v>
      </c>
      <c r="BI90" s="611">
        <f t="shared" si="530"/>
        <v>9435.2135787354127</v>
      </c>
      <c r="BJ90" s="611">
        <f t="shared" si="530"/>
        <v>10429.227639104169</v>
      </c>
      <c r="BK90" s="611">
        <f t="shared" si="530"/>
        <v>10776.128840603495</v>
      </c>
      <c r="BL90" s="611">
        <f t="shared" si="530"/>
        <v>10690.549191269318</v>
      </c>
      <c r="BM90" s="611">
        <f t="shared" si="530"/>
        <v>9704.1496898192163</v>
      </c>
      <c r="BN90" s="611">
        <f t="shared" ref="BN90:BY90" si="534">SUM(BN89,BN78,BN79,BN77,BN75,BN81,BN82)</f>
        <v>10507.102614594929</v>
      </c>
      <c r="BO90" s="611">
        <f t="shared" si="534"/>
        <v>10859.868569799068</v>
      </c>
      <c r="BP90" s="611">
        <f t="shared" si="534"/>
        <v>10752.257359973682</v>
      </c>
      <c r="BQ90" s="611">
        <f t="shared" si="534"/>
        <v>9684.741186540834</v>
      </c>
      <c r="BR90" s="611">
        <f t="shared" si="534"/>
        <v>10379.049747988858</v>
      </c>
      <c r="BS90" s="611">
        <f t="shared" si="534"/>
        <v>10738.604941449543</v>
      </c>
      <c r="BT90" s="611">
        <f t="shared" si="534"/>
        <v>10610.942376675295</v>
      </c>
      <c r="BU90" s="611">
        <f t="shared" si="534"/>
        <v>9667.3497493233408</v>
      </c>
      <c r="BV90" s="611">
        <f t="shared" si="534"/>
        <v>10479.363494755402</v>
      </c>
      <c r="BW90" s="611">
        <f t="shared" si="534"/>
        <v>10882.701186761758</v>
      </c>
      <c r="BX90" s="611">
        <f t="shared" si="534"/>
        <v>10790.746692251481</v>
      </c>
      <c r="BY90" s="611">
        <f t="shared" si="534"/>
        <v>9687.3450962150455</v>
      </c>
      <c r="BZ90" s="198"/>
    </row>
    <row r="91" spans="1:79" s="106" customFormat="1">
      <c r="A91" s="626" t="s">
        <v>264</v>
      </c>
      <c r="B91" s="610"/>
      <c r="C91" s="610"/>
      <c r="D91" s="610"/>
      <c r="E91" s="610"/>
      <c r="F91" s="610"/>
      <c r="G91" s="610"/>
      <c r="H91" s="610"/>
      <c r="I91" s="610"/>
      <c r="J91" s="610"/>
      <c r="K91" s="610"/>
      <c r="L91" s="610"/>
      <c r="M91" s="610"/>
      <c r="N91" s="610"/>
      <c r="O91" s="610"/>
      <c r="P91" s="610"/>
      <c r="Q91" s="610"/>
      <c r="R91" s="610"/>
      <c r="S91" s="610"/>
      <c r="T91" s="610"/>
      <c r="U91" s="610"/>
      <c r="V91" s="610"/>
      <c r="W91" s="610"/>
      <c r="X91" s="610"/>
      <c r="Y91" s="610"/>
      <c r="Z91" s="610"/>
      <c r="AA91" s="610"/>
      <c r="AB91" s="610"/>
      <c r="AC91" s="610"/>
      <c r="AD91" s="610"/>
      <c r="AE91" s="610"/>
      <c r="AF91" s="610"/>
      <c r="AG91" s="610"/>
      <c r="AH91" s="610"/>
      <c r="AI91" s="610"/>
      <c r="AJ91" s="610"/>
      <c r="AK91" s="610">
        <f t="shared" ref="AK91:AP91" si="535">AK77+AK68-AK48-AK49</f>
        <v>2487.0840000000003</v>
      </c>
      <c r="AL91" s="610">
        <f t="shared" si="535"/>
        <v>2589.9610000000002</v>
      </c>
      <c r="AM91" s="610">
        <f t="shared" si="535"/>
        <v>3153.9750000000004</v>
      </c>
      <c r="AN91" s="610">
        <f t="shared" si="535"/>
        <v>3191.7830000000004</v>
      </c>
      <c r="AO91" s="610">
        <f t="shared" si="535"/>
        <v>2719.038</v>
      </c>
      <c r="AP91" s="610">
        <f t="shared" si="535"/>
        <v>2686.4329999999995</v>
      </c>
      <c r="AQ91" s="610">
        <f>AQ77+AQ68-AQ48-AQ49</f>
        <v>2782.6009999999997</v>
      </c>
      <c r="AR91" s="610">
        <f>AR77+AR68-AR48-AR49</f>
        <v>2844.6378000000004</v>
      </c>
      <c r="AS91" s="610">
        <f>AS77+AS68-AS48-AS49</f>
        <v>2547.1280000000002</v>
      </c>
      <c r="AT91" s="628">
        <f>AT77+AT68-AT48-AT49</f>
        <v>2647.8519999999999</v>
      </c>
      <c r="AU91" s="611">
        <f t="shared" ref="AU91:BY91" si="536">AU77+AU68-AU48-AU49</f>
        <v>2843.4531265112987</v>
      </c>
      <c r="AV91" s="611">
        <f t="shared" si="536"/>
        <v>2636.2073437853169</v>
      </c>
      <c r="AW91" s="611">
        <f t="shared" si="536"/>
        <v>2250.5675568724828</v>
      </c>
      <c r="AX91" s="611">
        <f t="shared" si="536"/>
        <v>2369.1824195441268</v>
      </c>
      <c r="AY91" s="611">
        <f t="shared" si="536"/>
        <v>2375.9078718358551</v>
      </c>
      <c r="AZ91" s="611">
        <f t="shared" si="536"/>
        <v>2167.5912970633844</v>
      </c>
      <c r="BA91" s="611">
        <f t="shared" si="536"/>
        <v>1993.232980283138</v>
      </c>
      <c r="BB91" s="611">
        <f t="shared" si="536"/>
        <v>2134.5248867901746</v>
      </c>
      <c r="BC91" s="611">
        <f t="shared" si="536"/>
        <v>2134.2441295589169</v>
      </c>
      <c r="BD91" s="611">
        <f t="shared" si="536"/>
        <v>1944.3893367580413</v>
      </c>
      <c r="BE91" s="611">
        <f t="shared" si="536"/>
        <v>1926.497390875357</v>
      </c>
      <c r="BF91" s="611">
        <f t="shared" si="536"/>
        <v>2046.386234812805</v>
      </c>
      <c r="BG91" s="611">
        <f t="shared" si="536"/>
        <v>2004.7858636882095</v>
      </c>
      <c r="BH91" s="611">
        <f t="shared" si="536"/>
        <v>1752.2556551908165</v>
      </c>
      <c r="BI91" s="611">
        <f t="shared" si="536"/>
        <v>1786.2434320649077</v>
      </c>
      <c r="BJ91" s="611">
        <f t="shared" si="536"/>
        <v>1939.5569137494167</v>
      </c>
      <c r="BK91" s="611">
        <f t="shared" si="536"/>
        <v>1871.4521040345576</v>
      </c>
      <c r="BL91" s="611">
        <f t="shared" si="536"/>
        <v>1593.5130179768532</v>
      </c>
      <c r="BM91" s="611">
        <f t="shared" si="536"/>
        <v>1592.7946640695084</v>
      </c>
      <c r="BN91" s="611">
        <f t="shared" si="536"/>
        <v>1855.9996919064449</v>
      </c>
      <c r="BO91" s="611">
        <f t="shared" si="536"/>
        <v>1804.2276555807041</v>
      </c>
      <c r="BP91" s="611">
        <f t="shared" si="536"/>
        <v>1552.4939435412073</v>
      </c>
      <c r="BQ91" s="611">
        <f t="shared" si="536"/>
        <v>1656.5375721915777</v>
      </c>
      <c r="BR91" s="611">
        <f t="shared" si="536"/>
        <v>2098.7239230379173</v>
      </c>
      <c r="BS91" s="611">
        <f t="shared" si="536"/>
        <v>2121.0172079517424</v>
      </c>
      <c r="BT91" s="611">
        <f t="shared" si="536"/>
        <v>1925.0661192273344</v>
      </c>
      <c r="BU91" s="611">
        <f t="shared" si="536"/>
        <v>1911.231734258243</v>
      </c>
      <c r="BV91" s="611">
        <f t="shared" si="536"/>
        <v>2326.0813730953469</v>
      </c>
      <c r="BW91" s="611">
        <f t="shared" si="536"/>
        <v>2254.9908569525087</v>
      </c>
      <c r="BX91" s="611">
        <f t="shared" si="536"/>
        <v>2043.7022683235134</v>
      </c>
      <c r="BY91" s="611">
        <f t="shared" si="536"/>
        <v>2186.9524256318423</v>
      </c>
      <c r="BZ91" s="198"/>
    </row>
    <row r="92" spans="1:79">
      <c r="A92" s="652" t="s">
        <v>666</v>
      </c>
      <c r="B92" s="615">
        <v>38898</v>
      </c>
      <c r="C92" s="615">
        <v>38990</v>
      </c>
      <c r="D92" s="615">
        <v>39082</v>
      </c>
      <c r="E92" s="615">
        <v>39172</v>
      </c>
      <c r="F92" s="615">
        <v>39263</v>
      </c>
      <c r="G92" s="615">
        <v>39355</v>
      </c>
      <c r="H92" s="615">
        <v>39447</v>
      </c>
      <c r="I92" s="615">
        <v>39538</v>
      </c>
      <c r="J92" s="615">
        <v>39629</v>
      </c>
      <c r="K92" s="615">
        <v>39721</v>
      </c>
      <c r="L92" s="615">
        <v>39813</v>
      </c>
      <c r="M92" s="615">
        <v>39903</v>
      </c>
      <c r="N92" s="615">
        <v>39994</v>
      </c>
      <c r="O92" s="615">
        <v>40086</v>
      </c>
      <c r="P92" s="615">
        <v>40178</v>
      </c>
      <c r="Q92" s="615">
        <v>40268</v>
      </c>
      <c r="R92" s="615">
        <v>40359</v>
      </c>
      <c r="S92" s="615">
        <v>40451</v>
      </c>
      <c r="T92" s="615">
        <v>40543</v>
      </c>
      <c r="U92" s="615">
        <v>40633</v>
      </c>
      <c r="V92" s="615">
        <v>40724</v>
      </c>
      <c r="W92" s="615">
        <v>40816</v>
      </c>
      <c r="X92" s="615">
        <v>40908</v>
      </c>
      <c r="Y92" s="615">
        <v>40999</v>
      </c>
      <c r="Z92" s="615">
        <v>41090</v>
      </c>
      <c r="AA92" s="615">
        <v>41182</v>
      </c>
      <c r="AB92" s="615">
        <v>41274</v>
      </c>
      <c r="AC92" s="615">
        <v>41364</v>
      </c>
      <c r="AD92" s="615">
        <v>41455</v>
      </c>
      <c r="AE92" s="615">
        <v>41547</v>
      </c>
      <c r="AF92" s="615">
        <v>41639</v>
      </c>
      <c r="AG92" s="615">
        <v>41729</v>
      </c>
      <c r="AH92" s="615">
        <v>41820</v>
      </c>
      <c r="AI92" s="615">
        <v>41912</v>
      </c>
      <c r="AJ92" s="615">
        <v>42004</v>
      </c>
      <c r="AK92" s="1020">
        <v>42094</v>
      </c>
      <c r="AL92" s="1020">
        <v>42185</v>
      </c>
      <c r="AM92" s="1020">
        <v>42185</v>
      </c>
      <c r="AN92" s="1020">
        <v>42369</v>
      </c>
      <c r="AO92" s="1020">
        <v>42460</v>
      </c>
      <c r="AP92" s="1020" t="s">
        <v>1534</v>
      </c>
      <c r="AQ92" s="1020" t="s">
        <v>1535</v>
      </c>
      <c r="AR92" s="1020" t="s">
        <v>1535</v>
      </c>
      <c r="AS92" s="1020">
        <f>+AS6</f>
        <v>42825</v>
      </c>
      <c r="AT92" s="616">
        <f>+AT6</f>
        <v>42916</v>
      </c>
      <c r="AU92" s="617">
        <v>43008</v>
      </c>
      <c r="AV92" s="617">
        <v>43100</v>
      </c>
      <c r="AW92" s="617">
        <v>43190</v>
      </c>
      <c r="AX92" s="617">
        <v>43281</v>
      </c>
      <c r="AY92" s="617">
        <v>43373</v>
      </c>
      <c r="AZ92" s="617">
        <v>43465</v>
      </c>
      <c r="BA92" s="617">
        <v>43555</v>
      </c>
      <c r="BB92" s="617">
        <v>43646</v>
      </c>
      <c r="BC92" s="617">
        <v>43738</v>
      </c>
      <c r="BD92" s="617">
        <v>43830</v>
      </c>
      <c r="BE92" s="617">
        <v>43921</v>
      </c>
      <c r="BF92" s="617">
        <v>44012</v>
      </c>
      <c r="BG92" s="617">
        <v>44104</v>
      </c>
      <c r="BH92" s="617">
        <v>44196</v>
      </c>
      <c r="BI92" s="617">
        <v>44286</v>
      </c>
      <c r="BJ92" s="617">
        <f>+BJ$6</f>
        <v>44377</v>
      </c>
      <c r="BK92" s="617">
        <f t="shared" ref="BK92:BY92" si="537">+BK$6</f>
        <v>44469</v>
      </c>
      <c r="BL92" s="617">
        <f t="shared" si="537"/>
        <v>44561</v>
      </c>
      <c r="BM92" s="617">
        <f t="shared" si="537"/>
        <v>44651</v>
      </c>
      <c r="BN92" s="617">
        <f t="shared" si="537"/>
        <v>44742</v>
      </c>
      <c r="BO92" s="617">
        <f t="shared" si="537"/>
        <v>44834</v>
      </c>
      <c r="BP92" s="617">
        <f t="shared" si="537"/>
        <v>44926</v>
      </c>
      <c r="BQ92" s="617">
        <f t="shared" si="537"/>
        <v>45016</v>
      </c>
      <c r="BR92" s="617">
        <f t="shared" si="537"/>
        <v>45107</v>
      </c>
      <c r="BS92" s="617">
        <f t="shared" si="537"/>
        <v>45199</v>
      </c>
      <c r="BT92" s="617">
        <f t="shared" si="537"/>
        <v>45291</v>
      </c>
      <c r="BU92" s="617">
        <f t="shared" si="537"/>
        <v>45382</v>
      </c>
      <c r="BV92" s="617">
        <f t="shared" si="537"/>
        <v>45473</v>
      </c>
      <c r="BW92" s="617">
        <f t="shared" si="537"/>
        <v>45565</v>
      </c>
      <c r="BX92" s="617">
        <f t="shared" si="537"/>
        <v>45657</v>
      </c>
      <c r="BY92" s="617">
        <f t="shared" si="537"/>
        <v>45747</v>
      </c>
    </row>
    <row r="93" spans="1:79" s="14" customFormat="1">
      <c r="A93" s="379" t="s">
        <v>269</v>
      </c>
      <c r="B93" s="380"/>
      <c r="C93" s="380">
        <f t="shared" ref="C93:AG93" si="538">SUM(C94:C96)</f>
        <v>-160.89800000000008</v>
      </c>
      <c r="D93" s="380">
        <f t="shared" si="538"/>
        <v>97.903000000000063</v>
      </c>
      <c r="E93" s="380">
        <f t="shared" si="538"/>
        <v>165.18200000000002</v>
      </c>
      <c r="F93" s="380">
        <f t="shared" si="538"/>
        <v>28.685000000000045</v>
      </c>
      <c r="G93" s="380">
        <f t="shared" si="538"/>
        <v>-84.04599999999995</v>
      </c>
      <c r="H93" s="380">
        <f t="shared" si="538"/>
        <v>38.27899999999994</v>
      </c>
      <c r="I93" s="380">
        <f t="shared" si="538"/>
        <v>129.10700000000003</v>
      </c>
      <c r="J93" s="380">
        <f t="shared" si="538"/>
        <v>-60.415999999999997</v>
      </c>
      <c r="K93" s="380">
        <f t="shared" si="538"/>
        <v>-121.4080000000001</v>
      </c>
      <c r="L93" s="380">
        <f t="shared" si="538"/>
        <v>-54.614999999999981</v>
      </c>
      <c r="M93" s="380">
        <f t="shared" si="538"/>
        <v>270.53800000000001</v>
      </c>
      <c r="N93" s="380">
        <f t="shared" si="538"/>
        <v>58.657999999999902</v>
      </c>
      <c r="O93" s="380">
        <f t="shared" si="538"/>
        <v>-21.660000000000053</v>
      </c>
      <c r="P93" s="380">
        <f t="shared" si="538"/>
        <v>65.36200000000008</v>
      </c>
      <c r="Q93" s="380">
        <f t="shared" si="538"/>
        <v>456.33499999999992</v>
      </c>
      <c r="R93" s="380">
        <f t="shared" si="538"/>
        <v>-130.10399999999984</v>
      </c>
      <c r="S93" s="380">
        <f t="shared" si="538"/>
        <v>-0.7999999999999261</v>
      </c>
      <c r="T93" s="380">
        <f t="shared" si="538"/>
        <v>224.47499999999977</v>
      </c>
      <c r="U93" s="380">
        <f t="shared" si="538"/>
        <v>180.76079200000012</v>
      </c>
      <c r="V93" s="380">
        <f t="shared" si="538"/>
        <v>84.922903999999988</v>
      </c>
      <c r="W93" s="380">
        <f t="shared" si="538"/>
        <v>-13.257676000000174</v>
      </c>
      <c r="X93" s="380">
        <f t="shared" si="538"/>
        <v>103.4013680000001</v>
      </c>
      <c r="Y93" s="380">
        <f t="shared" si="538"/>
        <v>293.50623600000006</v>
      </c>
      <c r="Z93" s="380">
        <f t="shared" si="538"/>
        <v>-20.306932000000046</v>
      </c>
      <c r="AA93" s="380">
        <f t="shared" si="538"/>
        <v>26.981351999999902</v>
      </c>
      <c r="AB93" s="380">
        <f t="shared" si="538"/>
        <v>-50.771159999999838</v>
      </c>
      <c r="AC93" s="380">
        <f t="shared" si="538"/>
        <v>396.76051599999994</v>
      </c>
      <c r="AD93" s="380">
        <f t="shared" si="538"/>
        <v>211.13745599999987</v>
      </c>
      <c r="AE93" s="380">
        <f t="shared" si="538"/>
        <v>52.161664000000172</v>
      </c>
      <c r="AF93" s="380">
        <f t="shared" si="538"/>
        <v>-6.0684159999998997</v>
      </c>
      <c r="AG93" s="425">
        <f t="shared" si="538"/>
        <v>297.48950399999967</v>
      </c>
      <c r="AH93" s="425">
        <f t="shared" ref="AH93:AJ93" si="539">SUM(AH94:AH96)</f>
        <v>-6.7296199999998976</v>
      </c>
      <c r="AI93" s="425">
        <f t="shared" si="539"/>
        <v>-165.96833999999984</v>
      </c>
      <c r="AJ93" s="425">
        <f t="shared" si="539"/>
        <v>16.644219999999677</v>
      </c>
      <c r="AK93" s="475">
        <f t="shared" ref="AK93" si="540">SUM(AK94:AK96)</f>
        <v>815.79448000000048</v>
      </c>
      <c r="AL93" s="475">
        <f t="shared" ref="AL93:BI93" si="541">SUM(AL94:AL96)</f>
        <v>-110.88309999999993</v>
      </c>
      <c r="AM93" s="475">
        <f t="shared" si="541"/>
        <v>27.256715999999614</v>
      </c>
      <c r="AN93" s="475">
        <f t="shared" si="541"/>
        <v>231.35412800000029</v>
      </c>
      <c r="AO93" s="475">
        <f t="shared" si="541"/>
        <v>786.124908</v>
      </c>
      <c r="AP93" s="475">
        <f t="shared" ref="AP93:AQ93" si="542">SUM(AP94:AP96)</f>
        <v>-46.285999999999774</v>
      </c>
      <c r="AQ93" s="475">
        <f t="shared" si="542"/>
        <v>30.466999999999928</v>
      </c>
      <c r="AR93" s="475">
        <f t="shared" ref="AR93:AS93" si="543">SUM(AR94:AR96)</f>
        <v>128.86920000000015</v>
      </c>
      <c r="AS93" s="475">
        <f t="shared" si="543"/>
        <v>782.44979999999964</v>
      </c>
      <c r="AT93" s="363">
        <f t="shared" ref="AT93" si="544">SUM(AT94:AT96)</f>
        <v>-20.115999999999985</v>
      </c>
      <c r="AU93" s="964">
        <f t="shared" si="541"/>
        <v>-2.0163804229591733</v>
      </c>
      <c r="AV93" s="964">
        <f t="shared" si="541"/>
        <v>489.72265905600972</v>
      </c>
      <c r="AW93" s="964">
        <f t="shared" si="541"/>
        <v>995.12520261532109</v>
      </c>
      <c r="AX93" s="964">
        <f t="shared" si="541"/>
        <v>58.864489822244423</v>
      </c>
      <c r="AY93" s="964">
        <f t="shared" si="541"/>
        <v>197.20505748668796</v>
      </c>
      <c r="AZ93" s="964">
        <f t="shared" si="541"/>
        <v>504.24128934633745</v>
      </c>
      <c r="BA93" s="964">
        <f t="shared" si="541"/>
        <v>805.76449684511977</v>
      </c>
      <c r="BB93" s="964">
        <f t="shared" si="541"/>
        <v>64.470690867274016</v>
      </c>
      <c r="BC93" s="964">
        <f t="shared" si="541"/>
        <v>251.69662484815558</v>
      </c>
      <c r="BD93" s="964">
        <f t="shared" si="541"/>
        <v>560.55041830486198</v>
      </c>
      <c r="BE93" s="964">
        <f t="shared" si="541"/>
        <v>888.23171974223192</v>
      </c>
      <c r="BF93" s="964">
        <f t="shared" si="541"/>
        <v>100.49516844218692</v>
      </c>
      <c r="BG93" s="964">
        <f t="shared" si="541"/>
        <v>318.41826736930102</v>
      </c>
      <c r="BH93" s="964">
        <f t="shared" si="541"/>
        <v>657.16034803760135</v>
      </c>
      <c r="BI93" s="964">
        <f t="shared" si="541"/>
        <v>1014.6365377161188</v>
      </c>
      <c r="BJ93" s="964">
        <f t="shared" ref="BJ93:BY93" si="545">SUM(BJ94:BJ96)</f>
        <v>92.492228455163968</v>
      </c>
      <c r="BK93" s="964">
        <f t="shared" si="545"/>
        <v>364.91723988422973</v>
      </c>
      <c r="BL93" s="964">
        <f t="shared" si="545"/>
        <v>712.03808486667583</v>
      </c>
      <c r="BM93" s="964">
        <f t="shared" si="545"/>
        <v>1097.4491875296653</v>
      </c>
      <c r="BN93" s="964">
        <f t="shared" si="545"/>
        <v>-29.656044986923803</v>
      </c>
      <c r="BO93" s="964">
        <f t="shared" si="545"/>
        <v>338.57926124643382</v>
      </c>
      <c r="BP93" s="964">
        <f t="shared" si="545"/>
        <v>672.27682996299131</v>
      </c>
      <c r="BQ93" s="964">
        <f t="shared" si="545"/>
        <v>1082.8263568626885</v>
      </c>
      <c r="BR93" s="964">
        <f t="shared" si="545"/>
        <v>-214.18929040028661</v>
      </c>
      <c r="BS93" s="964">
        <f t="shared" si="545"/>
        <v>258.17717358969549</v>
      </c>
      <c r="BT93" s="964">
        <f t="shared" si="545"/>
        <v>606.4263429396666</v>
      </c>
      <c r="BU93" s="964">
        <f t="shared" si="545"/>
        <v>1084.4301176917561</v>
      </c>
      <c r="BV93" s="964">
        <f t="shared" si="545"/>
        <v>-160.7789305156964</v>
      </c>
      <c r="BW93" s="964">
        <f t="shared" si="545"/>
        <v>381.51832156978185</v>
      </c>
      <c r="BX93" s="964">
        <f t="shared" si="545"/>
        <v>665.79225856405606</v>
      </c>
      <c r="BY93" s="964">
        <f t="shared" si="545"/>
        <v>1156.0066198240488</v>
      </c>
    </row>
    <row r="94" spans="1:79">
      <c r="A94" s="208" t="s">
        <v>270</v>
      </c>
      <c r="B94" s="198"/>
      <c r="C94" s="198">
        <f t="shared" ref="C94:AH94" si="546">C37</f>
        <v>30.741999999999987</v>
      </c>
      <c r="D94" s="198">
        <f t="shared" si="546"/>
        <v>15.652999999999995</v>
      </c>
      <c r="E94" s="198">
        <f t="shared" si="546"/>
        <v>-0.6180000000000021</v>
      </c>
      <c r="F94" s="198">
        <f t="shared" si="546"/>
        <v>-11.591999999999969</v>
      </c>
      <c r="G94" s="198">
        <f t="shared" si="546"/>
        <v>-32.139999999999993</v>
      </c>
      <c r="H94" s="198">
        <f t="shared" si="546"/>
        <v>-5.7770000000000055</v>
      </c>
      <c r="I94" s="198">
        <f t="shared" si="546"/>
        <v>0.71500000000000119</v>
      </c>
      <c r="J94" s="198">
        <f t="shared" si="546"/>
        <v>-26.230000000000004</v>
      </c>
      <c r="K94" s="198">
        <f t="shared" si="546"/>
        <v>-42.428000000000011</v>
      </c>
      <c r="L94" s="198">
        <f t="shared" si="546"/>
        <v>-36.36099999999999</v>
      </c>
      <c r="M94" s="198">
        <f t="shared" si="546"/>
        <v>33.153999999999975</v>
      </c>
      <c r="N94" s="198">
        <f t="shared" si="546"/>
        <v>28.906999999999982</v>
      </c>
      <c r="O94" s="198">
        <f t="shared" si="546"/>
        <v>20.249000000000006</v>
      </c>
      <c r="P94" s="198">
        <f t="shared" si="546"/>
        <v>23.139999999999976</v>
      </c>
      <c r="Q94" s="198">
        <f t="shared" si="546"/>
        <v>25.776000000000014</v>
      </c>
      <c r="R94" s="198">
        <f t="shared" si="546"/>
        <v>19.071999999999953</v>
      </c>
      <c r="S94" s="198">
        <f t="shared" si="546"/>
        <v>41.676000000000016</v>
      </c>
      <c r="T94" s="198">
        <f t="shared" si="546"/>
        <v>69.664999999999978</v>
      </c>
      <c r="U94" s="198">
        <f t="shared" si="546"/>
        <v>11.877999999999936</v>
      </c>
      <c r="V94" s="198">
        <f t="shared" si="546"/>
        <v>37.964000000000034</v>
      </c>
      <c r="W94" s="198">
        <f t="shared" si="546"/>
        <v>48.666999999999959</v>
      </c>
      <c r="X94" s="198">
        <f t="shared" si="546"/>
        <v>55.455999999999996</v>
      </c>
      <c r="Y94" s="198">
        <f t="shared" si="546"/>
        <v>-15.475999999999981</v>
      </c>
      <c r="Z94" s="198">
        <f t="shared" si="546"/>
        <v>2.3780000000000019</v>
      </c>
      <c r="AA94" s="198">
        <f t="shared" si="546"/>
        <v>50.523000000000017</v>
      </c>
      <c r="AB94" s="198">
        <f t="shared" si="546"/>
        <v>7.31000000000002</v>
      </c>
      <c r="AC94" s="198">
        <f t="shared" si="546"/>
        <v>12.738999999999947</v>
      </c>
      <c r="AD94" s="198">
        <f t="shared" si="546"/>
        <v>34.728999999999999</v>
      </c>
      <c r="AE94" s="198">
        <f t="shared" si="546"/>
        <v>60.887000000000022</v>
      </c>
      <c r="AF94" s="198">
        <f t="shared" si="546"/>
        <v>32.958000000000027</v>
      </c>
      <c r="AG94" s="196">
        <f t="shared" si="546"/>
        <v>6.4279999999999688</v>
      </c>
      <c r="AH94" s="196">
        <f t="shared" si="546"/>
        <v>60.726000000000028</v>
      </c>
      <c r="AI94" s="196">
        <f t="shared" ref="AI94:BN94" si="547">AI37</f>
        <v>115.22200000000002</v>
      </c>
      <c r="AJ94" s="196">
        <f t="shared" si="547"/>
        <v>53.539999999999978</v>
      </c>
      <c r="AK94" s="202">
        <f t="shared" si="547"/>
        <v>56.570000000000114</v>
      </c>
      <c r="AL94" s="202">
        <f t="shared" si="547"/>
        <v>33.073000000000008</v>
      </c>
      <c r="AM94" s="327">
        <f t="shared" si="547"/>
        <v>21.053999999999956</v>
      </c>
      <c r="AN94" s="327">
        <f t="shared" si="547"/>
        <v>76.019999999999982</v>
      </c>
      <c r="AO94" s="327">
        <f t="shared" si="547"/>
        <v>69.325999999999937</v>
      </c>
      <c r="AP94" s="327">
        <f t="shared" ref="AP94:AQ94" si="548">AP37</f>
        <v>39.669000000000047</v>
      </c>
      <c r="AQ94" s="327">
        <f t="shared" si="548"/>
        <v>68.912999999999982</v>
      </c>
      <c r="AR94" s="327">
        <f t="shared" ref="AR94:AS94" si="549">AR37</f>
        <v>55.863999999999962</v>
      </c>
      <c r="AS94" s="327">
        <f t="shared" si="549"/>
        <v>119.44100000000003</v>
      </c>
      <c r="AT94" s="358">
        <f t="shared" ref="AT94" si="550">AT37</f>
        <v>116.87300000000002</v>
      </c>
      <c r="AU94" s="357">
        <f t="shared" si="547"/>
        <v>167.97690711466393</v>
      </c>
      <c r="AV94" s="357">
        <f t="shared" si="547"/>
        <v>108.13490503887017</v>
      </c>
      <c r="AW94" s="357">
        <f t="shared" si="547"/>
        <v>129.81707446395905</v>
      </c>
      <c r="AX94" s="357">
        <f t="shared" si="547"/>
        <v>291.7512496441924</v>
      </c>
      <c r="AY94" s="357">
        <f t="shared" si="547"/>
        <v>178.83886787296225</v>
      </c>
      <c r="AZ94" s="357">
        <f t="shared" si="547"/>
        <v>111.64054311989058</v>
      </c>
      <c r="BA94" s="357">
        <f t="shared" si="547"/>
        <v>-9.2410640152511512</v>
      </c>
      <c r="BB94" s="357">
        <f t="shared" si="547"/>
        <v>322.59531833142807</v>
      </c>
      <c r="BC94" s="357">
        <f t="shared" si="547"/>
        <v>209.78532531903454</v>
      </c>
      <c r="BD94" s="357">
        <f t="shared" si="547"/>
        <v>138.41686121348258</v>
      </c>
      <c r="BE94" s="357">
        <f t="shared" si="547"/>
        <v>6.9282368156792202</v>
      </c>
      <c r="BF94" s="357">
        <f t="shared" si="547"/>
        <v>403.02824912469146</v>
      </c>
      <c r="BG94" s="357">
        <f t="shared" si="547"/>
        <v>237.94475739074127</v>
      </c>
      <c r="BH94" s="357">
        <f t="shared" si="547"/>
        <v>163.93995555528542</v>
      </c>
      <c r="BI94" s="357">
        <f t="shared" si="547"/>
        <v>5.1392403058542593</v>
      </c>
      <c r="BJ94" s="357">
        <f t="shared" si="547"/>
        <v>422.45870555879083</v>
      </c>
      <c r="BK94" s="357">
        <f t="shared" si="547"/>
        <v>253.80370308244278</v>
      </c>
      <c r="BL94" s="357">
        <f t="shared" si="547"/>
        <v>176.82518503866021</v>
      </c>
      <c r="BM94" s="357">
        <f t="shared" si="547"/>
        <v>6.5078126991297793</v>
      </c>
      <c r="BN94" s="357">
        <f t="shared" si="547"/>
        <v>312.68388579447395</v>
      </c>
      <c r="BO94" s="357">
        <f t="shared" ref="BO94:BY94" si="551">BO37</f>
        <v>231.36364362709156</v>
      </c>
      <c r="BP94" s="357">
        <f t="shared" si="551"/>
        <v>152.53224039835862</v>
      </c>
      <c r="BQ94" s="357">
        <f t="shared" si="551"/>
        <v>14.181667961574828</v>
      </c>
      <c r="BR94" s="357">
        <f t="shared" si="551"/>
        <v>231.61253987675173</v>
      </c>
      <c r="BS94" s="357">
        <f t="shared" si="551"/>
        <v>214.70417476737589</v>
      </c>
      <c r="BT94" s="357">
        <f t="shared" si="551"/>
        <v>133.55664900934443</v>
      </c>
      <c r="BU94" s="357">
        <f t="shared" si="551"/>
        <v>17.005598479141263</v>
      </c>
      <c r="BV94" s="357">
        <f t="shared" si="551"/>
        <v>283.31188769542592</v>
      </c>
      <c r="BW94" s="357">
        <f t="shared" si="551"/>
        <v>251.25411329324405</v>
      </c>
      <c r="BX94" s="357">
        <f t="shared" si="551"/>
        <v>181.08253393082225</v>
      </c>
      <c r="BY94" s="357">
        <f t="shared" si="551"/>
        <v>64.496675803366571</v>
      </c>
    </row>
    <row r="95" spans="1:79">
      <c r="A95" s="208" t="s">
        <v>398</v>
      </c>
      <c r="B95" s="198"/>
      <c r="C95" s="198">
        <f t="shared" ref="C95:AH95" si="552">-C26</f>
        <v>33.395000000000003</v>
      </c>
      <c r="D95" s="198">
        <f t="shared" si="552"/>
        <v>34.646999999999998</v>
      </c>
      <c r="E95" s="198">
        <f t="shared" si="552"/>
        <v>35.173000000000002</v>
      </c>
      <c r="F95" s="198">
        <f t="shared" si="552"/>
        <v>49.524000000000001</v>
      </c>
      <c r="G95" s="198">
        <f t="shared" si="552"/>
        <v>48.811</v>
      </c>
      <c r="H95" s="198">
        <f t="shared" si="552"/>
        <v>32.914000000000001</v>
      </c>
      <c r="I95" s="198">
        <f t="shared" si="552"/>
        <v>59.965000000000003</v>
      </c>
      <c r="J95" s="198">
        <f t="shared" si="552"/>
        <v>33.156999999999996</v>
      </c>
      <c r="K95" s="198">
        <f t="shared" si="552"/>
        <v>48.759</v>
      </c>
      <c r="L95" s="198">
        <f t="shared" si="552"/>
        <v>56.369</v>
      </c>
      <c r="M95" s="198">
        <f t="shared" si="552"/>
        <v>64.221000000000004</v>
      </c>
      <c r="N95" s="198">
        <f t="shared" si="552"/>
        <v>54.76</v>
      </c>
      <c r="O95" s="198">
        <f t="shared" si="552"/>
        <v>65.674999999999997</v>
      </c>
      <c r="P95" s="198">
        <f t="shared" si="552"/>
        <v>72.046000000000006</v>
      </c>
      <c r="Q95" s="198">
        <f t="shared" si="552"/>
        <v>84.534999999999997</v>
      </c>
      <c r="R95" s="198">
        <f t="shared" si="552"/>
        <v>81.212000000000003</v>
      </c>
      <c r="S95" s="198">
        <f t="shared" si="552"/>
        <v>80.536000000000001</v>
      </c>
      <c r="T95" s="198">
        <f t="shared" si="552"/>
        <v>97.027000000000001</v>
      </c>
      <c r="U95" s="198">
        <f t="shared" si="552"/>
        <v>71.58</v>
      </c>
      <c r="V95" s="198">
        <f t="shared" si="552"/>
        <v>86.269000000000005</v>
      </c>
      <c r="W95" s="198">
        <f t="shared" si="552"/>
        <v>87.844999999999999</v>
      </c>
      <c r="X95" s="198">
        <f t="shared" si="552"/>
        <v>96.82</v>
      </c>
      <c r="Y95" s="198">
        <f t="shared" si="552"/>
        <v>80.692999999999998</v>
      </c>
      <c r="Z95" s="198">
        <f t="shared" si="552"/>
        <v>87.414000000000001</v>
      </c>
      <c r="AA95" s="198">
        <f t="shared" si="552"/>
        <v>137.59199999999998</v>
      </c>
      <c r="AB95" s="198">
        <f t="shared" si="552"/>
        <v>119.05400000000002</v>
      </c>
      <c r="AC95" s="198">
        <f t="shared" si="552"/>
        <v>108.89</v>
      </c>
      <c r="AD95" s="198">
        <f t="shared" si="552"/>
        <v>147.09800000000001</v>
      </c>
      <c r="AE95" s="198">
        <f t="shared" si="552"/>
        <v>123.21</v>
      </c>
      <c r="AF95" s="198">
        <f t="shared" si="552"/>
        <v>102.03400000000001</v>
      </c>
      <c r="AG95" s="196">
        <f t="shared" si="552"/>
        <v>75.942999999999998</v>
      </c>
      <c r="AH95" s="196">
        <f t="shared" si="552"/>
        <v>125.886</v>
      </c>
      <c r="AI95" s="196">
        <f t="shared" ref="AI95:BN95" si="553">-AI26</f>
        <v>128.53399999999999</v>
      </c>
      <c r="AJ95" s="196">
        <f t="shared" si="553"/>
        <v>164.096</v>
      </c>
      <c r="AK95" s="202">
        <f t="shared" si="553"/>
        <v>180.51300000000001</v>
      </c>
      <c r="AL95" s="202">
        <f t="shared" si="553"/>
        <v>124.09399999999999</v>
      </c>
      <c r="AM95" s="327">
        <f t="shared" si="553"/>
        <v>206.25099999999998</v>
      </c>
      <c r="AN95" s="327">
        <f t="shared" si="553"/>
        <v>194.732</v>
      </c>
      <c r="AO95" s="327">
        <f t="shared" si="553"/>
        <v>198.684</v>
      </c>
      <c r="AP95" s="327">
        <f t="shared" ref="AP95:AQ95" si="554">-AP26</f>
        <v>157.048</v>
      </c>
      <c r="AQ95" s="327">
        <f t="shared" si="554"/>
        <v>176.28200000000001</v>
      </c>
      <c r="AR95" s="327">
        <f t="shared" ref="AR95:AS95" si="555">-AR26</f>
        <v>185.822</v>
      </c>
      <c r="AS95" s="327">
        <f t="shared" si="555"/>
        <v>218.75899999999999</v>
      </c>
      <c r="AT95" s="358">
        <f t="shared" ref="AT95" si="556">-AT26</f>
        <v>202.14699999999999</v>
      </c>
      <c r="AU95" s="357">
        <f t="shared" si="553"/>
        <v>228.22490033873407</v>
      </c>
      <c r="AV95" s="357">
        <f t="shared" si="553"/>
        <v>240.57593759285828</v>
      </c>
      <c r="AW95" s="357">
        <f t="shared" si="553"/>
        <v>266.07512580867888</v>
      </c>
      <c r="AX95" s="357">
        <f t="shared" si="553"/>
        <v>270.68132536481119</v>
      </c>
      <c r="AY95" s="357">
        <f t="shared" si="553"/>
        <v>236.04725965737632</v>
      </c>
      <c r="AZ95" s="357">
        <f t="shared" si="553"/>
        <v>248.82162605400995</v>
      </c>
      <c r="BA95" s="357">
        <f t="shared" si="553"/>
        <v>213.58901299025479</v>
      </c>
      <c r="BB95" s="357">
        <f t="shared" si="553"/>
        <v>292.34452329099071</v>
      </c>
      <c r="BC95" s="357">
        <f t="shared" si="553"/>
        <v>254.93862018621317</v>
      </c>
      <c r="BD95" s="357">
        <f t="shared" si="553"/>
        <v>268.73534609456726</v>
      </c>
      <c r="BE95" s="357">
        <f t="shared" si="553"/>
        <v>230.68299262490132</v>
      </c>
      <c r="BF95" s="357">
        <f t="shared" si="553"/>
        <v>336.45255829716194</v>
      </c>
      <c r="BG95" s="357">
        <f t="shared" si="553"/>
        <v>293.40296854140951</v>
      </c>
      <c r="BH95" s="357">
        <f t="shared" si="553"/>
        <v>309.28130166609071</v>
      </c>
      <c r="BI95" s="357">
        <f t="shared" si="553"/>
        <v>265.48772711927609</v>
      </c>
      <c r="BJ95" s="357">
        <f t="shared" si="553"/>
        <v>360.07855847134255</v>
      </c>
      <c r="BK95" s="357">
        <f t="shared" si="553"/>
        <v>314.00598794167223</v>
      </c>
      <c r="BL95" s="357">
        <f t="shared" si="553"/>
        <v>330.99931184861424</v>
      </c>
      <c r="BM95" s="357">
        <f t="shared" si="553"/>
        <v>284.1305132490902</v>
      </c>
      <c r="BN95" s="357">
        <f t="shared" si="553"/>
        <v>342.6842442938518</v>
      </c>
      <c r="BO95" s="357">
        <f t="shared" ref="BO95:BY95" si="557">-BO26</f>
        <v>298.83730133323172</v>
      </c>
      <c r="BP95" s="357">
        <f t="shared" si="557"/>
        <v>315.00972877743493</v>
      </c>
      <c r="BQ95" s="357">
        <f t="shared" si="557"/>
        <v>270.40502113468074</v>
      </c>
      <c r="BR95" s="357">
        <f t="shared" si="557"/>
        <v>333.90952993718582</v>
      </c>
      <c r="BS95" s="357">
        <f t="shared" si="557"/>
        <v>291.18532432530287</v>
      </c>
      <c r="BT95" s="357">
        <f t="shared" si="557"/>
        <v>306.94364334859159</v>
      </c>
      <c r="BU95" s="357">
        <f t="shared" si="557"/>
        <v>263.48107624788145</v>
      </c>
      <c r="BV95" s="357">
        <f t="shared" si="557"/>
        <v>373.6659059262048</v>
      </c>
      <c r="BW95" s="357">
        <f t="shared" si="557"/>
        <v>325.85481470654145</v>
      </c>
      <c r="BX95" s="357">
        <f t="shared" si="557"/>
        <v>343.48937145255297</v>
      </c>
      <c r="BY95" s="357">
        <f t="shared" si="557"/>
        <v>294.85200697655137</v>
      </c>
    </row>
    <row r="96" spans="1:79">
      <c r="A96" s="208" t="s">
        <v>271</v>
      </c>
      <c r="B96" s="198"/>
      <c r="C96" s="198">
        <f t="shared" ref="C96:AH96" si="558">SUM(B50:B53)-SUM(C50:C53)+C75-B75-C68+B68</f>
        <v>-225.03500000000005</v>
      </c>
      <c r="D96" s="198">
        <f t="shared" si="558"/>
        <v>47.603000000000065</v>
      </c>
      <c r="E96" s="198">
        <f t="shared" si="558"/>
        <v>130.62700000000001</v>
      </c>
      <c r="F96" s="198">
        <f t="shared" si="558"/>
        <v>-9.2469999999999857</v>
      </c>
      <c r="G96" s="198">
        <f t="shared" si="558"/>
        <v>-100.71699999999996</v>
      </c>
      <c r="H96" s="198">
        <f t="shared" si="558"/>
        <v>11.141999999999939</v>
      </c>
      <c r="I96" s="198">
        <f t="shared" si="558"/>
        <v>68.427000000000021</v>
      </c>
      <c r="J96" s="198">
        <f t="shared" si="558"/>
        <v>-67.342999999999989</v>
      </c>
      <c r="K96" s="198">
        <f t="shared" si="558"/>
        <v>-127.73900000000009</v>
      </c>
      <c r="L96" s="198">
        <f t="shared" si="558"/>
        <v>-74.62299999999999</v>
      </c>
      <c r="M96" s="198">
        <f t="shared" si="558"/>
        <v>173.16300000000001</v>
      </c>
      <c r="N96" s="198">
        <f t="shared" si="558"/>
        <v>-25.009000000000071</v>
      </c>
      <c r="O96" s="198">
        <f t="shared" si="558"/>
        <v>-107.58400000000006</v>
      </c>
      <c r="P96" s="198">
        <f t="shared" si="558"/>
        <v>-29.823999999999899</v>
      </c>
      <c r="Q96" s="198">
        <f t="shared" si="558"/>
        <v>346.02399999999994</v>
      </c>
      <c r="R96" s="198">
        <f t="shared" si="558"/>
        <v>-230.38799999999981</v>
      </c>
      <c r="S96" s="198">
        <f t="shared" si="558"/>
        <v>-123.01199999999994</v>
      </c>
      <c r="T96" s="198">
        <f t="shared" si="558"/>
        <v>57.782999999999788</v>
      </c>
      <c r="U96" s="198">
        <f t="shared" si="558"/>
        <v>97.302792000000181</v>
      </c>
      <c r="V96" s="198">
        <f t="shared" si="558"/>
        <v>-39.310096000000044</v>
      </c>
      <c r="W96" s="198">
        <f t="shared" si="558"/>
        <v>-149.76967600000012</v>
      </c>
      <c r="X96" s="198">
        <f t="shared" si="558"/>
        <v>-48.874631999999878</v>
      </c>
      <c r="Y96" s="198">
        <f t="shared" si="558"/>
        <v>228.28923600000007</v>
      </c>
      <c r="Z96" s="198">
        <f t="shared" si="558"/>
        <v>-110.09893200000005</v>
      </c>
      <c r="AA96" s="198">
        <f t="shared" si="558"/>
        <v>-161.13364800000011</v>
      </c>
      <c r="AB96" s="198">
        <f t="shared" si="558"/>
        <v>-177.13515999999987</v>
      </c>
      <c r="AC96" s="198">
        <f t="shared" si="558"/>
        <v>275.13151599999998</v>
      </c>
      <c r="AD96" s="198">
        <f>SUM(AC50:AC53)-SUM(AD50:AD53)+AD75-AC75-AD68+AC68</f>
        <v>29.310455999999874</v>
      </c>
      <c r="AE96" s="198">
        <f t="shared" si="558"/>
        <v>-131.93533599999984</v>
      </c>
      <c r="AF96" s="198">
        <f t="shared" si="558"/>
        <v>-141.06041599999992</v>
      </c>
      <c r="AG96" s="196">
        <f t="shared" si="558"/>
        <v>215.11850399999969</v>
      </c>
      <c r="AH96" s="196">
        <f t="shared" si="558"/>
        <v>-193.34161999999992</v>
      </c>
      <c r="AI96" s="196">
        <f t="shared" ref="AI96:BN96" si="559">SUM(AH50:AH53)-SUM(AI50:AI53)+AI75-AH75-AI68+AH68</f>
        <v>-409.72433999999987</v>
      </c>
      <c r="AJ96" s="196">
        <f t="shared" si="559"/>
        <v>-200.99178000000029</v>
      </c>
      <c r="AK96" s="327">
        <f t="shared" si="559"/>
        <v>578.71148000000039</v>
      </c>
      <c r="AL96" s="202">
        <f t="shared" si="559"/>
        <v>-268.05009999999993</v>
      </c>
      <c r="AM96" s="327">
        <f>SUM(AL50:AL53)-SUM(AM50:AM53)+AM75-AL75-AM68+AL68</f>
        <v>-200.04828400000031</v>
      </c>
      <c r="AN96" s="327">
        <f t="shared" si="559"/>
        <v>-39.397871999999666</v>
      </c>
      <c r="AO96" s="327">
        <f>SUM(AN50:AN53)-SUM(AO50:AO53)+AO75-AN75-AO68+AN68</f>
        <v>518.11490800000013</v>
      </c>
      <c r="AP96" s="327">
        <f>SUM(AO50:AO53)-SUM(AP50:AP53)+AP75-AO75-AP68+AO68</f>
        <v>-243.00299999999982</v>
      </c>
      <c r="AQ96" s="327">
        <f t="shared" si="559"/>
        <v>-214.72800000000007</v>
      </c>
      <c r="AR96" s="327">
        <f t="shared" si="559"/>
        <v>-112.81679999999983</v>
      </c>
      <c r="AS96" s="327">
        <f t="shared" si="559"/>
        <v>444.2497999999996</v>
      </c>
      <c r="AT96" s="358">
        <f t="shared" si="559"/>
        <v>-339.13599999999997</v>
      </c>
      <c r="AU96" s="357">
        <f t="shared" si="559"/>
        <v>-398.21818787635721</v>
      </c>
      <c r="AV96" s="357">
        <f t="shared" si="559"/>
        <v>141.01181642428128</v>
      </c>
      <c r="AW96" s="357">
        <f t="shared" si="559"/>
        <v>599.23300234268322</v>
      </c>
      <c r="AX96" s="357">
        <f t="shared" si="559"/>
        <v>-503.56808518675916</v>
      </c>
      <c r="AY96" s="357">
        <f t="shared" si="559"/>
        <v>-217.68107004365061</v>
      </c>
      <c r="AZ96" s="357">
        <f t="shared" si="559"/>
        <v>143.77912017243693</v>
      </c>
      <c r="BA96" s="357">
        <f t="shared" si="559"/>
        <v>601.41654787011612</v>
      </c>
      <c r="BB96" s="357">
        <f t="shared" si="559"/>
        <v>-550.46915075514471</v>
      </c>
      <c r="BC96" s="357">
        <f t="shared" si="559"/>
        <v>-213.0273206570921</v>
      </c>
      <c r="BD96" s="357">
        <f t="shared" si="559"/>
        <v>153.39821099681217</v>
      </c>
      <c r="BE96" s="357">
        <f t="shared" si="559"/>
        <v>650.62049030165144</v>
      </c>
      <c r="BF96" s="357">
        <f t="shared" si="559"/>
        <v>-638.98563897966642</v>
      </c>
      <c r="BG96" s="357">
        <f t="shared" si="559"/>
        <v>-212.92945856284973</v>
      </c>
      <c r="BH96" s="357">
        <f t="shared" si="559"/>
        <v>183.93909081622519</v>
      </c>
      <c r="BI96" s="357">
        <f t="shared" si="559"/>
        <v>744.00957029098845</v>
      </c>
      <c r="BJ96" s="357">
        <f t="shared" si="559"/>
        <v>-690.04503557496946</v>
      </c>
      <c r="BK96" s="357">
        <f t="shared" si="559"/>
        <v>-202.89245113988522</v>
      </c>
      <c r="BL96" s="357">
        <f t="shared" si="559"/>
        <v>204.21358797940138</v>
      </c>
      <c r="BM96" s="357">
        <f t="shared" si="559"/>
        <v>806.81086158144535</v>
      </c>
      <c r="BN96" s="357">
        <f t="shared" si="559"/>
        <v>-685.02417507524956</v>
      </c>
      <c r="BO96" s="357">
        <f t="shared" ref="BO96:BY96" si="560">SUM(BN50:BN53)-SUM(BO50:BO53)+BO75-BN75-BO68+BN68</f>
        <v>-191.62168371388952</v>
      </c>
      <c r="BP96" s="357">
        <f t="shared" si="560"/>
        <v>204.7348607871977</v>
      </c>
      <c r="BQ96" s="357">
        <f t="shared" si="560"/>
        <v>798.23966776643283</v>
      </c>
      <c r="BR96" s="357">
        <f t="shared" si="560"/>
        <v>-779.71136021422421</v>
      </c>
      <c r="BS96" s="357">
        <f t="shared" si="560"/>
        <v>-247.71232550298328</v>
      </c>
      <c r="BT96" s="357">
        <f t="shared" si="560"/>
        <v>165.92605058173058</v>
      </c>
      <c r="BU96" s="357">
        <f t="shared" si="560"/>
        <v>803.94344296473332</v>
      </c>
      <c r="BV96" s="357">
        <f t="shared" si="560"/>
        <v>-817.75672413732718</v>
      </c>
      <c r="BW96" s="357">
        <f t="shared" si="560"/>
        <v>-195.59060643000362</v>
      </c>
      <c r="BX96" s="357">
        <f t="shared" si="560"/>
        <v>141.22035318068083</v>
      </c>
      <c r="BY96" s="357">
        <f t="shared" si="560"/>
        <v>796.6579370441309</v>
      </c>
    </row>
    <row r="97" spans="1:77">
      <c r="A97" s="207"/>
      <c r="AG97" s="196"/>
      <c r="AH97" s="196"/>
      <c r="AI97" s="196"/>
      <c r="AJ97" s="196"/>
      <c r="AK97" s="202"/>
      <c r="AL97" s="202"/>
      <c r="AM97" s="327"/>
      <c r="AN97" s="327"/>
      <c r="AO97" s="327"/>
      <c r="AP97" s="327"/>
      <c r="AQ97" s="327"/>
      <c r="AR97" s="327"/>
      <c r="AS97" s="327"/>
      <c r="AT97" s="358"/>
      <c r="AU97" s="357"/>
      <c r="AV97" s="357"/>
      <c r="AW97" s="357"/>
      <c r="AX97" s="357"/>
      <c r="AY97" s="357"/>
      <c r="AZ97" s="357"/>
      <c r="BA97" s="357"/>
      <c r="BB97" s="357"/>
      <c r="BC97" s="357"/>
      <c r="BD97" s="357"/>
      <c r="BE97" s="357"/>
      <c r="BF97" s="357"/>
      <c r="BG97" s="357"/>
      <c r="BH97" s="357"/>
      <c r="BI97" s="357"/>
      <c r="BJ97" s="357"/>
      <c r="BK97" s="357"/>
      <c r="BL97" s="357"/>
      <c r="BM97" s="357"/>
      <c r="BN97" s="357"/>
      <c r="BO97" s="357"/>
      <c r="BP97" s="357"/>
      <c r="BQ97" s="357"/>
      <c r="BR97" s="357"/>
      <c r="BS97" s="357"/>
      <c r="BT97" s="357"/>
      <c r="BU97" s="357"/>
      <c r="BV97" s="357"/>
      <c r="BW97" s="357"/>
      <c r="BX97" s="357"/>
      <c r="BY97" s="357"/>
    </row>
    <row r="98" spans="1:77" s="14" customFormat="1">
      <c r="A98" s="379" t="s">
        <v>272</v>
      </c>
      <c r="B98" s="383"/>
      <c r="C98" s="383">
        <f t="shared" ref="C98:AH98" si="561">SUM(C99:C101)</f>
        <v>-547.45900000000029</v>
      </c>
      <c r="D98" s="383">
        <f t="shared" si="561"/>
        <v>-110.4279999999999</v>
      </c>
      <c r="E98" s="383">
        <f t="shared" si="561"/>
        <v>-565.803</v>
      </c>
      <c r="F98" s="383">
        <f t="shared" si="561"/>
        <v>-201.95799999999994</v>
      </c>
      <c r="G98" s="383">
        <f t="shared" si="561"/>
        <v>-78.528000000000205</v>
      </c>
      <c r="H98" s="383">
        <f t="shared" si="561"/>
        <v>-168.18499999999977</v>
      </c>
      <c r="I98" s="380">
        <f t="shared" si="561"/>
        <v>-228.22000000000006</v>
      </c>
      <c r="J98" s="383">
        <f t="shared" si="561"/>
        <v>-135.60200000000026</v>
      </c>
      <c r="K98" s="383">
        <f t="shared" si="561"/>
        <v>-59.275999999999712</v>
      </c>
      <c r="L98" s="383">
        <f t="shared" si="561"/>
        <v>-93.611000000000359</v>
      </c>
      <c r="M98" s="383">
        <f t="shared" si="561"/>
        <v>-201.61399999999986</v>
      </c>
      <c r="N98" s="383">
        <f t="shared" si="561"/>
        <v>-41.392999999999894</v>
      </c>
      <c r="O98" s="383">
        <f t="shared" si="561"/>
        <v>-21.531000000000191</v>
      </c>
      <c r="P98" s="383">
        <f t="shared" si="561"/>
        <v>-28.449999999999775</v>
      </c>
      <c r="Q98" s="383">
        <f t="shared" si="561"/>
        <v>-509.6</v>
      </c>
      <c r="R98" s="383">
        <f t="shared" si="561"/>
        <v>308.58400000000023</v>
      </c>
      <c r="S98" s="383">
        <f t="shared" si="561"/>
        <v>-74.757000000000232</v>
      </c>
      <c r="T98" s="383">
        <f t="shared" si="561"/>
        <v>148.30299999999986</v>
      </c>
      <c r="U98" s="383">
        <f t="shared" si="561"/>
        <v>-307.54879199999993</v>
      </c>
      <c r="V98" s="383">
        <f t="shared" si="561"/>
        <v>-79.346904000000336</v>
      </c>
      <c r="W98" s="383">
        <f t="shared" si="561"/>
        <v>-92.125323999999921</v>
      </c>
      <c r="X98" s="383">
        <f t="shared" si="561"/>
        <v>-284.43036799999987</v>
      </c>
      <c r="Y98" s="383">
        <f t="shared" si="561"/>
        <v>-277.93823599999973</v>
      </c>
      <c r="Z98" s="383">
        <f t="shared" si="561"/>
        <v>-172.88206800000006</v>
      </c>
      <c r="AA98" s="383">
        <f t="shared" si="561"/>
        <v>-94.475352000000271</v>
      </c>
      <c r="AB98" s="383">
        <f t="shared" si="561"/>
        <v>-147.50084000000032</v>
      </c>
      <c r="AC98" s="383">
        <f t="shared" si="561"/>
        <v>-452.35051599999974</v>
      </c>
      <c r="AD98" s="383">
        <f t="shared" si="561"/>
        <v>-178.85755599999993</v>
      </c>
      <c r="AE98" s="383">
        <f t="shared" si="561"/>
        <v>-37.99956399999995</v>
      </c>
      <c r="AF98" s="383">
        <f t="shared" si="561"/>
        <v>-125.61158400000019</v>
      </c>
      <c r="AG98" s="362">
        <f t="shared" si="561"/>
        <v>-243.43850400000002</v>
      </c>
      <c r="AH98" s="362">
        <f t="shared" si="561"/>
        <v>-64.773379999999747</v>
      </c>
      <c r="AI98" s="362">
        <f t="shared" ref="AI98:BN98" si="562">SUM(AI99:AI101)</f>
        <v>-508.33665999999982</v>
      </c>
      <c r="AJ98" s="362">
        <f t="shared" si="562"/>
        <v>-266.56122000000016</v>
      </c>
      <c r="AK98" s="390">
        <f t="shared" si="562"/>
        <v>-1022.7474799999999</v>
      </c>
      <c r="AL98" s="390">
        <f t="shared" si="562"/>
        <v>-59.63790000000057</v>
      </c>
      <c r="AM98" s="475">
        <f t="shared" si="562"/>
        <v>-298.56271599999968</v>
      </c>
      <c r="AN98" s="475">
        <f t="shared" si="562"/>
        <v>-233.78912799999998</v>
      </c>
      <c r="AO98" s="475">
        <f t="shared" si="562"/>
        <v>-404.85590800000006</v>
      </c>
      <c r="AP98" s="475">
        <f t="shared" ref="AP98:AQ98" si="563">SUM(AP99:AP101)</f>
        <v>-37.640999999999309</v>
      </c>
      <c r="AQ98" s="475">
        <f t="shared" si="563"/>
        <v>-112.63000000000034</v>
      </c>
      <c r="AR98" s="475">
        <f t="shared" ref="AR98:AS98" si="564">SUM(AR99:AR101)</f>
        <v>-298.21300000000036</v>
      </c>
      <c r="AS98" s="475">
        <f t="shared" si="564"/>
        <v>-747.94200000000023</v>
      </c>
      <c r="AT98" s="363">
        <f t="shared" ref="AT98" si="565">SUM(AT99:AT101)</f>
        <v>224.97500000000036</v>
      </c>
      <c r="AU98" s="364">
        <f t="shared" si="562"/>
        <v>-193.58474608833956</v>
      </c>
      <c r="AV98" s="364">
        <f t="shared" si="562"/>
        <v>-282.47687633002806</v>
      </c>
      <c r="AW98" s="364">
        <f t="shared" si="562"/>
        <v>-400.36466105548925</v>
      </c>
      <c r="AX98" s="364">
        <f t="shared" si="562"/>
        <v>-177.47935249388831</v>
      </c>
      <c r="AY98" s="364">
        <f t="shared" si="562"/>
        <v>-203.93050977841628</v>
      </c>
      <c r="AZ98" s="364">
        <f t="shared" si="562"/>
        <v>-295.92471457386694</v>
      </c>
      <c r="BA98" s="364">
        <f t="shared" si="562"/>
        <v>-344.91138175397668</v>
      </c>
      <c r="BB98" s="364">
        <f t="shared" si="562"/>
        <v>-205.76259737431059</v>
      </c>
      <c r="BC98" s="364">
        <f t="shared" si="562"/>
        <v>-251.41586761689783</v>
      </c>
      <c r="BD98" s="364">
        <f t="shared" si="562"/>
        <v>-370.69562550398621</v>
      </c>
      <c r="BE98" s="364">
        <f t="shared" si="562"/>
        <v>-395.93175468381037</v>
      </c>
      <c r="BF98" s="364">
        <f t="shared" si="562"/>
        <v>-220.38401237963541</v>
      </c>
      <c r="BG98" s="364">
        <f t="shared" si="562"/>
        <v>-276.8178962447052</v>
      </c>
      <c r="BH98" s="364">
        <f t="shared" si="562"/>
        <v>-404.63013954020835</v>
      </c>
      <c r="BI98" s="364">
        <f t="shared" si="562"/>
        <v>-481.5877729266092</v>
      </c>
      <c r="BJ98" s="364">
        <f t="shared" si="562"/>
        <v>-245.80571013967295</v>
      </c>
      <c r="BK98" s="364">
        <f t="shared" si="562"/>
        <v>-296.81243016937066</v>
      </c>
      <c r="BL98" s="364">
        <f t="shared" si="562"/>
        <v>-434.09899880897109</v>
      </c>
      <c r="BM98" s="364">
        <f t="shared" si="562"/>
        <v>-495.01404915700414</v>
      </c>
      <c r="BN98" s="364">
        <f t="shared" si="562"/>
        <v>-233.54898285001258</v>
      </c>
      <c r="BO98" s="364">
        <f t="shared" ref="BO98:BY98" si="566">SUM(BO99:BO101)</f>
        <v>-286.8072249206931</v>
      </c>
      <c r="BP98" s="364">
        <f t="shared" si="566"/>
        <v>-420.54311792349449</v>
      </c>
      <c r="BQ98" s="364">
        <f t="shared" si="566"/>
        <v>-476.10854773156052</v>
      </c>
      <c r="BR98" s="364">
        <f t="shared" si="566"/>
        <v>-227.99706044605244</v>
      </c>
      <c r="BS98" s="364">
        <f t="shared" si="566"/>
        <v>-280.47045850351992</v>
      </c>
      <c r="BT98" s="364">
        <f t="shared" si="566"/>
        <v>-410.4752542152591</v>
      </c>
      <c r="BU98" s="364">
        <f t="shared" si="566"/>
        <v>-473.71677059005151</v>
      </c>
      <c r="BV98" s="364">
        <f t="shared" si="566"/>
        <v>-254.07070832140755</v>
      </c>
      <c r="BW98" s="364">
        <f t="shared" si="566"/>
        <v>-310.42780542694277</v>
      </c>
      <c r="BX98" s="364">
        <f t="shared" si="566"/>
        <v>-454.50366993506088</v>
      </c>
      <c r="BY98" s="364">
        <f t="shared" si="566"/>
        <v>-519.11156640951913</v>
      </c>
    </row>
    <row r="99" spans="1:77">
      <c r="A99" s="208" t="s">
        <v>273</v>
      </c>
      <c r="B99" s="198"/>
      <c r="C99" s="198">
        <f t="shared" ref="C99:AH99" si="567">B59-C59</f>
        <v>-8.3999999999999991E-2</v>
      </c>
      <c r="D99" s="198">
        <f t="shared" si="567"/>
        <v>2.0000000000000018E-3</v>
      </c>
      <c r="E99" s="198">
        <f t="shared" si="567"/>
        <v>0</v>
      </c>
      <c r="F99" s="198">
        <f t="shared" si="567"/>
        <v>-50.73</v>
      </c>
      <c r="G99" s="198">
        <f t="shared" si="567"/>
        <v>1.7700000000000031</v>
      </c>
      <c r="H99" s="198">
        <f t="shared" si="567"/>
        <v>10.472999999999999</v>
      </c>
      <c r="I99" s="198">
        <f t="shared" si="567"/>
        <v>38.461999999999996</v>
      </c>
      <c r="J99" s="198">
        <f t="shared" si="567"/>
        <v>-3.3800000000000003</v>
      </c>
      <c r="K99" s="198">
        <f t="shared" si="567"/>
        <v>0</v>
      </c>
      <c r="L99" s="198">
        <f t="shared" si="567"/>
        <v>0</v>
      </c>
      <c r="M99" s="198">
        <f t="shared" si="567"/>
        <v>6.4999999999999947E-2</v>
      </c>
      <c r="N99" s="198">
        <f t="shared" si="567"/>
        <v>-5.7999999999999829E-2</v>
      </c>
      <c r="O99" s="198">
        <f t="shared" si="567"/>
        <v>0</v>
      </c>
      <c r="P99" s="198">
        <f t="shared" si="567"/>
        <v>0</v>
      </c>
      <c r="Q99" s="198">
        <f t="shared" si="567"/>
        <v>-458.41199999999998</v>
      </c>
      <c r="R99" s="198">
        <f t="shared" si="567"/>
        <v>458.41199999999998</v>
      </c>
      <c r="S99" s="198">
        <f t="shared" si="567"/>
        <v>0</v>
      </c>
      <c r="T99" s="198">
        <f t="shared" si="567"/>
        <v>0</v>
      </c>
      <c r="U99" s="198">
        <f t="shared" si="567"/>
        <v>3.54</v>
      </c>
      <c r="V99" s="198">
        <f t="shared" si="567"/>
        <v>0</v>
      </c>
      <c r="W99" s="198">
        <f t="shared" si="567"/>
        <v>-2.532</v>
      </c>
      <c r="X99" s="198">
        <f t="shared" si="567"/>
        <v>-0.34100000000000019</v>
      </c>
      <c r="Y99" s="198">
        <f t="shared" si="567"/>
        <v>-5.3890000000000002</v>
      </c>
      <c r="Z99" s="198">
        <f t="shared" si="567"/>
        <v>-3.8759999999999994</v>
      </c>
      <c r="AA99" s="198">
        <f t="shared" si="567"/>
        <v>-0.38000000000000078</v>
      </c>
      <c r="AB99" s="198">
        <f t="shared" si="567"/>
        <v>0.375</v>
      </c>
      <c r="AC99" s="198">
        <f t="shared" si="567"/>
        <v>0.65500000000000114</v>
      </c>
      <c r="AD99" s="198">
        <f t="shared" si="567"/>
        <v>1.0789999999999988</v>
      </c>
      <c r="AE99" s="198">
        <f t="shared" si="567"/>
        <v>-0.15499999999999936</v>
      </c>
      <c r="AF99" s="198">
        <f t="shared" si="567"/>
        <v>2.9999999999999361E-2</v>
      </c>
      <c r="AG99" s="196">
        <f t="shared" si="567"/>
        <v>-5.4999999999999716E-2</v>
      </c>
      <c r="AH99" s="196">
        <f t="shared" si="567"/>
        <v>-12.214999999999998</v>
      </c>
      <c r="AI99" s="196">
        <f t="shared" ref="AI99:BN99" si="568">AH59-AI59</f>
        <v>2.0139999999999993</v>
      </c>
      <c r="AJ99" s="196">
        <f t="shared" si="568"/>
        <v>-0.15800000000000125</v>
      </c>
      <c r="AK99" s="202">
        <f t="shared" si="568"/>
        <v>4.5999999999999375E-2</v>
      </c>
      <c r="AL99" s="202">
        <f t="shared" si="568"/>
        <v>-3.8000000000000256E-2</v>
      </c>
      <c r="AM99" s="327">
        <f t="shared" si="568"/>
        <v>-0.16600000000000037</v>
      </c>
      <c r="AN99" s="327">
        <f t="shared" si="568"/>
        <v>0.17100000000000293</v>
      </c>
      <c r="AO99" s="327">
        <f t="shared" si="568"/>
        <v>-4.6940000000000026</v>
      </c>
      <c r="AP99" s="327">
        <f>AO59-AP59</f>
        <v>-0.26599999999999824</v>
      </c>
      <c r="AQ99" s="327">
        <f t="shared" si="568"/>
        <v>-0.33800000000000097</v>
      </c>
      <c r="AR99" s="327">
        <f t="shared" si="568"/>
        <v>-0.43599999999999994</v>
      </c>
      <c r="AS99" s="327">
        <f t="shared" si="568"/>
        <v>-4.5150000000000006</v>
      </c>
      <c r="AT99" s="358">
        <f t="shared" si="568"/>
        <v>-9.3999999999997641E-2</v>
      </c>
      <c r="AU99" s="357">
        <f t="shared" si="568"/>
        <v>0</v>
      </c>
      <c r="AV99" s="357">
        <f t="shared" si="568"/>
        <v>0</v>
      </c>
      <c r="AW99" s="357">
        <f t="shared" si="568"/>
        <v>0</v>
      </c>
      <c r="AX99" s="357">
        <f t="shared" si="568"/>
        <v>0</v>
      </c>
      <c r="AY99" s="357">
        <f t="shared" si="568"/>
        <v>0</v>
      </c>
      <c r="AZ99" s="357">
        <f t="shared" si="568"/>
        <v>0</v>
      </c>
      <c r="BA99" s="357">
        <f t="shared" si="568"/>
        <v>0</v>
      </c>
      <c r="BB99" s="357">
        <f t="shared" si="568"/>
        <v>0</v>
      </c>
      <c r="BC99" s="357">
        <f t="shared" si="568"/>
        <v>0</v>
      </c>
      <c r="BD99" s="357">
        <f t="shared" si="568"/>
        <v>0</v>
      </c>
      <c r="BE99" s="357">
        <f t="shared" si="568"/>
        <v>0</v>
      </c>
      <c r="BF99" s="357">
        <f t="shared" si="568"/>
        <v>0</v>
      </c>
      <c r="BG99" s="357">
        <f t="shared" si="568"/>
        <v>0</v>
      </c>
      <c r="BH99" s="357">
        <f t="shared" si="568"/>
        <v>0</v>
      </c>
      <c r="BI99" s="357">
        <f t="shared" si="568"/>
        <v>0</v>
      </c>
      <c r="BJ99" s="357">
        <f t="shared" si="568"/>
        <v>0</v>
      </c>
      <c r="BK99" s="357">
        <f t="shared" si="568"/>
        <v>0</v>
      </c>
      <c r="BL99" s="357">
        <f t="shared" si="568"/>
        <v>0</v>
      </c>
      <c r="BM99" s="357">
        <f t="shared" si="568"/>
        <v>0</v>
      </c>
      <c r="BN99" s="357">
        <f t="shared" si="568"/>
        <v>0</v>
      </c>
      <c r="BO99" s="357">
        <f t="shared" ref="BO99:BY99" si="569">BN59-BO59</f>
        <v>0</v>
      </c>
      <c r="BP99" s="357">
        <f t="shared" si="569"/>
        <v>0</v>
      </c>
      <c r="BQ99" s="357">
        <f t="shared" si="569"/>
        <v>0</v>
      </c>
      <c r="BR99" s="357">
        <f t="shared" si="569"/>
        <v>0</v>
      </c>
      <c r="BS99" s="357">
        <f t="shared" si="569"/>
        <v>0</v>
      </c>
      <c r="BT99" s="357">
        <f t="shared" si="569"/>
        <v>0</v>
      </c>
      <c r="BU99" s="357">
        <f t="shared" si="569"/>
        <v>0</v>
      </c>
      <c r="BV99" s="357">
        <f t="shared" si="569"/>
        <v>0</v>
      </c>
      <c r="BW99" s="357">
        <f t="shared" si="569"/>
        <v>0</v>
      </c>
      <c r="BX99" s="357">
        <f t="shared" si="569"/>
        <v>0</v>
      </c>
      <c r="BY99" s="357">
        <f t="shared" si="569"/>
        <v>0</v>
      </c>
    </row>
    <row r="100" spans="1:77">
      <c r="A100" s="208" t="s">
        <v>417</v>
      </c>
      <c r="B100" s="198"/>
      <c r="C100" s="198">
        <f>'Quarterly historicals'!C241</f>
        <v>-42.992000000000004</v>
      </c>
      <c r="D100" s="198">
        <f>'Quarterly historicals'!D241</f>
        <v>-75.276999999999987</v>
      </c>
      <c r="E100" s="198">
        <f>'Quarterly historicals'!E241</f>
        <v>-121.453</v>
      </c>
      <c r="F100" s="198">
        <f>'Quarterly historicals'!F241</f>
        <v>-93.748999999999995</v>
      </c>
      <c r="G100" s="198">
        <f>'Quarterly historicals'!G241</f>
        <v>-113.01700000000001</v>
      </c>
      <c r="H100" s="198">
        <f>'Quarterly historicals'!H241</f>
        <v>-139.9</v>
      </c>
      <c r="I100" s="198">
        <f>'Quarterly historicals'!I241</f>
        <v>-172.52</v>
      </c>
      <c r="J100" s="198">
        <f>'Quarterly historicals'!J241</f>
        <v>-151.71299999999997</v>
      </c>
      <c r="K100" s="198">
        <f>'Quarterly historicals'!K241</f>
        <v>-87.160000000000011</v>
      </c>
      <c r="L100" s="198">
        <f>'Quarterly historicals'!L241</f>
        <v>-83.323000000000008</v>
      </c>
      <c r="M100" s="198">
        <f>'Quarterly historicals'!M241</f>
        <v>-135.095</v>
      </c>
      <c r="N100" s="198">
        <f>'Quarterly historicals'!N241</f>
        <v>-74.799000000000007</v>
      </c>
      <c r="O100" s="198">
        <f>'Quarterly historicals'!O241</f>
        <v>-52.16</v>
      </c>
      <c r="P100" s="198">
        <f>'Quarterly historicals'!P241</f>
        <v>-52.641000000000005</v>
      </c>
      <c r="Q100" s="198">
        <f>'Quarterly historicals'!Q241</f>
        <v>-154.74600000000001</v>
      </c>
      <c r="R100" s="198">
        <f>'Quarterly historicals'!R241</f>
        <v>-69.563000000000002</v>
      </c>
      <c r="S100" s="198">
        <f>'Quarterly historicals'!S241</f>
        <v>-103.648</v>
      </c>
      <c r="T100" s="198">
        <f>'Quarterly historicals'!T241</f>
        <v>-134.62100000000001</v>
      </c>
      <c r="U100" s="198">
        <f>'Quarterly historicals'!U241</f>
        <v>-146.33700000000002</v>
      </c>
      <c r="V100" s="198">
        <f>'Quarterly historicals'!V241</f>
        <v>-109.69799999999999</v>
      </c>
      <c r="W100" s="198">
        <f>'Quarterly historicals'!W241</f>
        <v>-129.71499999999997</v>
      </c>
      <c r="X100" s="198">
        <f>'Quarterly historicals'!X241</f>
        <v>-177.05700000000002</v>
      </c>
      <c r="Y100" s="198">
        <f>'Quarterly historicals'!Y241</f>
        <v>-214.596</v>
      </c>
      <c r="Z100" s="198">
        <f>'Quarterly historicals'!Z241</f>
        <v>-131.75899999999999</v>
      </c>
      <c r="AA100" s="198">
        <f>'Quarterly historicals'!AA241</f>
        <v>-149.20999999999998</v>
      </c>
      <c r="AB100" s="198">
        <f>'Quarterly historicals'!AB241</f>
        <v>-137.535</v>
      </c>
      <c r="AC100" s="198">
        <f>'Quarterly historicals'!AC241</f>
        <v>-261.33699999999999</v>
      </c>
      <c r="AD100" s="198">
        <f>'Quarterly historicals'!AD241</f>
        <v>-115.41600000000001</v>
      </c>
      <c r="AE100" s="198">
        <f>'Quarterly historicals'!AE241</f>
        <v>-119.69299999999998</v>
      </c>
      <c r="AF100" s="198">
        <f>'Quarterly historicals'!AF241</f>
        <v>-166.929</v>
      </c>
      <c r="AG100" s="196">
        <f>'Quarterly historicals'!AG241</f>
        <v>-256.40600000000001</v>
      </c>
      <c r="AH100" s="196">
        <f>'Quarterly historicals'!AH241</f>
        <v>-119.184</v>
      </c>
      <c r="AI100" s="196">
        <f>'Quarterly historicals'!AI241</f>
        <v>-148.571</v>
      </c>
      <c r="AJ100" s="196">
        <f>'Quarterly historicals'!AJ241</f>
        <v>-220.72200000000001</v>
      </c>
      <c r="AK100" s="202">
        <f>'Quarterly historicals'!AK241</f>
        <v>-323.55199999999996</v>
      </c>
      <c r="AL100" s="202">
        <f>'Quarterly historicals'!AL241</f>
        <v>-159.81200000000001</v>
      </c>
      <c r="AM100" s="327">
        <f>'Quarterly historicals'!AM241</f>
        <v>-152.73999999999998</v>
      </c>
      <c r="AN100" s="327">
        <f>'Quarterly historicals'!AN241</f>
        <v>-209.554</v>
      </c>
      <c r="AO100" s="327">
        <f>'Quarterly historicals'!AO241</f>
        <v>-318.70800000000003</v>
      </c>
      <c r="AP100" s="327">
        <f>'Quarterly historicals'!AP241</f>
        <v>-163.64099999999999</v>
      </c>
      <c r="AQ100" s="327">
        <f>'Quarterly historicals'!AQ241</f>
        <v>-186.20699999999999</v>
      </c>
      <c r="AR100" s="327">
        <f>'Quarterly historicals'!AR241</f>
        <v>-280.96600000000001</v>
      </c>
      <c r="AS100" s="327">
        <f>'Quarterly historicals'!AS241</f>
        <v>-346.166</v>
      </c>
      <c r="AT100" s="358">
        <f>'Quarterly historicals'!AT241</f>
        <v>-114.48599999999999</v>
      </c>
      <c r="AU100" s="357">
        <f t="shared" ref="AU100:BY100" si="570">AT60-AU60-AU95</f>
        <v>-193.58474608833956</v>
      </c>
      <c r="AV100" s="357">
        <f t="shared" si="570"/>
        <v>-282.47687633002806</v>
      </c>
      <c r="AW100" s="357">
        <f t="shared" si="570"/>
        <v>-400.36466105548925</v>
      </c>
      <c r="AX100" s="357">
        <f t="shared" si="570"/>
        <v>-177.47935249388831</v>
      </c>
      <c r="AY100" s="357">
        <f t="shared" si="570"/>
        <v>-203.93050977841628</v>
      </c>
      <c r="AZ100" s="357">
        <f t="shared" si="570"/>
        <v>-295.92471457386694</v>
      </c>
      <c r="BA100" s="357">
        <f t="shared" si="570"/>
        <v>-344.91138175397668</v>
      </c>
      <c r="BB100" s="357">
        <f>BA60-BB60-BB95</f>
        <v>-205.76259737431059</v>
      </c>
      <c r="BC100" s="357">
        <f t="shared" si="570"/>
        <v>-251.41586761689783</v>
      </c>
      <c r="BD100" s="357">
        <f t="shared" si="570"/>
        <v>-370.69562550398621</v>
      </c>
      <c r="BE100" s="357">
        <f t="shared" si="570"/>
        <v>-395.93175468381037</v>
      </c>
      <c r="BF100" s="357">
        <f>BE60-BF60-BF95</f>
        <v>-220.38401237963541</v>
      </c>
      <c r="BG100" s="357">
        <f t="shared" si="570"/>
        <v>-276.8178962447052</v>
      </c>
      <c r="BH100" s="357">
        <f>BG60-BH60-BH95</f>
        <v>-404.63013954020835</v>
      </c>
      <c r="BI100" s="357">
        <f t="shared" si="570"/>
        <v>-481.5877729266092</v>
      </c>
      <c r="BJ100" s="357">
        <f>BI60-BJ60-BJ95</f>
        <v>-245.80571013967295</v>
      </c>
      <c r="BK100" s="357">
        <f t="shared" si="570"/>
        <v>-296.81243016937066</v>
      </c>
      <c r="BL100" s="357">
        <f t="shared" si="570"/>
        <v>-434.09899880897109</v>
      </c>
      <c r="BM100" s="357">
        <f t="shared" si="570"/>
        <v>-495.01404915700414</v>
      </c>
      <c r="BN100" s="357">
        <f>BM60-BN60-BN95</f>
        <v>-233.54898285001258</v>
      </c>
      <c r="BO100" s="357">
        <f t="shared" si="570"/>
        <v>-286.8072249206931</v>
      </c>
      <c r="BP100" s="357">
        <f t="shared" si="570"/>
        <v>-420.54311792349449</v>
      </c>
      <c r="BQ100" s="357">
        <f t="shared" si="570"/>
        <v>-476.10854773156052</v>
      </c>
      <c r="BR100" s="357">
        <f t="shared" si="570"/>
        <v>-227.99706044605244</v>
      </c>
      <c r="BS100" s="357">
        <f t="shared" si="570"/>
        <v>-280.47045850351992</v>
      </c>
      <c r="BT100" s="357">
        <f t="shared" si="570"/>
        <v>-410.4752542152591</v>
      </c>
      <c r="BU100" s="357">
        <f t="shared" si="570"/>
        <v>-473.71677059005151</v>
      </c>
      <c r="BV100" s="357">
        <f t="shared" si="570"/>
        <v>-254.07070832140755</v>
      </c>
      <c r="BW100" s="357">
        <f t="shared" si="570"/>
        <v>-310.42780542694277</v>
      </c>
      <c r="BX100" s="357">
        <f t="shared" si="570"/>
        <v>-454.50366993506088</v>
      </c>
      <c r="BY100" s="357">
        <f t="shared" si="570"/>
        <v>-519.11156640951913</v>
      </c>
    </row>
    <row r="101" spans="1:77">
      <c r="A101" s="208" t="s">
        <v>274</v>
      </c>
      <c r="B101" s="198"/>
      <c r="C101" s="198">
        <f t="shared" ref="C101:AT101" si="571">B55+B56+B61+B62-C55-C56-C61-C62+C78+C79-B78-B79+(B60-C60-C95-C100)</f>
        <v>-504.38300000000027</v>
      </c>
      <c r="D101" s="198">
        <f t="shared" si="571"/>
        <v>-35.152999999999906</v>
      </c>
      <c r="E101" s="198">
        <f t="shared" si="571"/>
        <v>-444.34999999999997</v>
      </c>
      <c r="F101" s="198">
        <f t="shared" si="571"/>
        <v>-57.478999999999957</v>
      </c>
      <c r="G101" s="198">
        <f t="shared" si="571"/>
        <v>32.718999999999809</v>
      </c>
      <c r="H101" s="198">
        <f t="shared" si="571"/>
        <v>-38.75799999999974</v>
      </c>
      <c r="I101" s="198">
        <f t="shared" si="571"/>
        <v>-94.162000000000035</v>
      </c>
      <c r="J101" s="198">
        <f t="shared" si="571"/>
        <v>19.490999999999701</v>
      </c>
      <c r="K101" s="198">
        <f t="shared" si="571"/>
        <v>27.884000000000299</v>
      </c>
      <c r="L101" s="198">
        <f t="shared" si="571"/>
        <v>-10.288000000000352</v>
      </c>
      <c r="M101" s="198">
        <f t="shared" si="571"/>
        <v>-66.583999999999861</v>
      </c>
      <c r="N101" s="198">
        <f t="shared" si="571"/>
        <v>33.464000000000105</v>
      </c>
      <c r="O101" s="198">
        <f t="shared" si="571"/>
        <v>30.628999999999806</v>
      </c>
      <c r="P101" s="198">
        <f t="shared" si="571"/>
        <v>24.19100000000023</v>
      </c>
      <c r="Q101" s="198">
        <f t="shared" si="571"/>
        <v>103.55799999999999</v>
      </c>
      <c r="R101" s="198">
        <f t="shared" si="571"/>
        <v>-80.264999999999759</v>
      </c>
      <c r="S101" s="198">
        <f t="shared" si="571"/>
        <v>28.890999999999764</v>
      </c>
      <c r="T101" s="198">
        <f t="shared" si="571"/>
        <v>282.92399999999986</v>
      </c>
      <c r="U101" s="198">
        <f t="shared" si="571"/>
        <v>-164.75179199999991</v>
      </c>
      <c r="V101" s="198">
        <f t="shared" si="571"/>
        <v>30.351095999999657</v>
      </c>
      <c r="W101" s="198">
        <f t="shared" si="571"/>
        <v>40.121676000000065</v>
      </c>
      <c r="X101" s="198">
        <f t="shared" si="571"/>
        <v>-107.03236799999985</v>
      </c>
      <c r="Y101" s="198">
        <f t="shared" si="571"/>
        <v>-57.95323599999972</v>
      </c>
      <c r="Z101" s="198">
        <f t="shared" si="571"/>
        <v>-37.247068000000056</v>
      </c>
      <c r="AA101" s="198">
        <f t="shared" si="571"/>
        <v>55.114647999999704</v>
      </c>
      <c r="AB101" s="198">
        <f t="shared" si="571"/>
        <v>-10.340840000000313</v>
      </c>
      <c r="AC101" s="198">
        <f t="shared" si="571"/>
        <v>-191.66851599999973</v>
      </c>
      <c r="AD101" s="198">
        <f t="shared" si="571"/>
        <v>-64.520555999999928</v>
      </c>
      <c r="AE101" s="198">
        <f t="shared" si="571"/>
        <v>81.848436000000035</v>
      </c>
      <c r="AF101" s="198">
        <f t="shared" si="571"/>
        <v>41.287415999999808</v>
      </c>
      <c r="AG101" s="196">
        <f t="shared" si="571"/>
        <v>13.02249599999999</v>
      </c>
      <c r="AH101" s="196">
        <f t="shared" si="571"/>
        <v>66.625620000000254</v>
      </c>
      <c r="AI101" s="196">
        <f t="shared" si="571"/>
        <v>-361.77965999999981</v>
      </c>
      <c r="AJ101" s="196">
        <f t="shared" si="571"/>
        <v>-45.681220000000138</v>
      </c>
      <c r="AK101" s="202">
        <f t="shared" si="571"/>
        <v>-699.24147999999991</v>
      </c>
      <c r="AL101" s="202">
        <f t="shared" si="571"/>
        <v>100.21209999999945</v>
      </c>
      <c r="AM101" s="327">
        <f t="shared" si="571"/>
        <v>-145.6567159999997</v>
      </c>
      <c r="AN101" s="327">
        <f t="shared" si="571"/>
        <v>-24.406127999999967</v>
      </c>
      <c r="AO101" s="327">
        <f t="shared" si="571"/>
        <v>-81.453908000000013</v>
      </c>
      <c r="AP101" s="327">
        <f>AO55+AO56+AO61+AO62-AP55-AP56-AP61-AP62+AP78+AP79-AO78-AO79+(AO60-AP60-AP95-AP100)</f>
        <v>126.26600000000067</v>
      </c>
      <c r="AQ101" s="327">
        <f t="shared" si="571"/>
        <v>73.914999999999651</v>
      </c>
      <c r="AR101" s="327">
        <f t="shared" si="571"/>
        <v>-16.811000000000377</v>
      </c>
      <c r="AS101" s="327">
        <f t="shared" si="571"/>
        <v>-397.26100000000019</v>
      </c>
      <c r="AT101" s="358">
        <f t="shared" si="571"/>
        <v>339.55500000000035</v>
      </c>
      <c r="AU101" s="357">
        <f t="shared" ref="AU101:BY101" si="572">AT55+AT56+AT61+AT62-AU55-AU56-AU61-AU62+AU78+AU79-AT78-AT79</f>
        <v>0</v>
      </c>
      <c r="AV101" s="357">
        <f t="shared" si="572"/>
        <v>0</v>
      </c>
      <c r="AW101" s="357">
        <f t="shared" si="572"/>
        <v>0</v>
      </c>
      <c r="AX101" s="357">
        <f t="shared" si="572"/>
        <v>0</v>
      </c>
      <c r="AY101" s="357">
        <f t="shared" si="572"/>
        <v>0</v>
      </c>
      <c r="AZ101" s="357">
        <f t="shared" si="572"/>
        <v>0</v>
      </c>
      <c r="BA101" s="357">
        <f t="shared" si="572"/>
        <v>0</v>
      </c>
      <c r="BB101" s="357">
        <f t="shared" si="572"/>
        <v>0</v>
      </c>
      <c r="BC101" s="357">
        <f t="shared" si="572"/>
        <v>0</v>
      </c>
      <c r="BD101" s="357">
        <f t="shared" si="572"/>
        <v>0</v>
      </c>
      <c r="BE101" s="357">
        <f t="shared" si="572"/>
        <v>0</v>
      </c>
      <c r="BF101" s="357">
        <f t="shared" si="572"/>
        <v>0</v>
      </c>
      <c r="BG101" s="357">
        <f t="shared" si="572"/>
        <v>0</v>
      </c>
      <c r="BH101" s="357">
        <f t="shared" si="572"/>
        <v>0</v>
      </c>
      <c r="BI101" s="357">
        <f t="shared" si="572"/>
        <v>0</v>
      </c>
      <c r="BJ101" s="357">
        <f t="shared" si="572"/>
        <v>0</v>
      </c>
      <c r="BK101" s="357">
        <f t="shared" si="572"/>
        <v>0</v>
      </c>
      <c r="BL101" s="357">
        <f t="shared" si="572"/>
        <v>0</v>
      </c>
      <c r="BM101" s="357">
        <f t="shared" si="572"/>
        <v>0</v>
      </c>
      <c r="BN101" s="357">
        <f t="shared" si="572"/>
        <v>0</v>
      </c>
      <c r="BO101" s="357">
        <f t="shared" si="572"/>
        <v>0</v>
      </c>
      <c r="BP101" s="357">
        <f t="shared" si="572"/>
        <v>0</v>
      </c>
      <c r="BQ101" s="357">
        <f t="shared" si="572"/>
        <v>0</v>
      </c>
      <c r="BR101" s="357">
        <f t="shared" si="572"/>
        <v>0</v>
      </c>
      <c r="BS101" s="357">
        <f t="shared" si="572"/>
        <v>0</v>
      </c>
      <c r="BT101" s="357">
        <f t="shared" si="572"/>
        <v>0</v>
      </c>
      <c r="BU101" s="357">
        <f t="shared" si="572"/>
        <v>0</v>
      </c>
      <c r="BV101" s="357">
        <f t="shared" si="572"/>
        <v>0</v>
      </c>
      <c r="BW101" s="357">
        <f t="shared" si="572"/>
        <v>0</v>
      </c>
      <c r="BX101" s="357">
        <f t="shared" si="572"/>
        <v>0</v>
      </c>
      <c r="BY101" s="357">
        <f t="shared" si="572"/>
        <v>0</v>
      </c>
    </row>
    <row r="102" spans="1:77">
      <c r="A102" s="207"/>
      <c r="AG102" s="196"/>
      <c r="AH102" s="196"/>
      <c r="AI102" s="196"/>
      <c r="AJ102" s="196"/>
      <c r="AK102" s="106"/>
      <c r="AL102" s="106"/>
      <c r="AM102" s="210"/>
      <c r="AN102" s="210"/>
      <c r="AO102" s="210"/>
      <c r="AP102" s="210"/>
      <c r="AQ102" s="210"/>
      <c r="AR102" s="210"/>
      <c r="AS102" s="210"/>
      <c r="AT102" s="397"/>
      <c r="AU102" s="357"/>
      <c r="AV102" s="357"/>
      <c r="AW102" s="357"/>
      <c r="AX102" s="357"/>
      <c r="AY102" s="357"/>
      <c r="AZ102" s="357"/>
      <c r="BA102" s="357"/>
      <c r="BB102" s="357"/>
      <c r="BC102" s="357"/>
      <c r="BD102" s="357"/>
      <c r="BE102" s="357"/>
      <c r="BF102" s="357"/>
      <c r="BG102" s="357"/>
      <c r="BH102" s="357"/>
      <c r="BI102" s="357"/>
      <c r="BJ102" s="357"/>
      <c r="BK102" s="357"/>
      <c r="BL102" s="357"/>
      <c r="BM102" s="357"/>
      <c r="BN102" s="357"/>
      <c r="BO102" s="357"/>
      <c r="BP102" s="357"/>
      <c r="BQ102" s="357"/>
      <c r="BR102" s="357"/>
      <c r="BS102" s="357"/>
      <c r="BT102" s="357"/>
      <c r="BU102" s="357"/>
      <c r="BV102" s="357"/>
      <c r="BW102" s="357"/>
      <c r="BX102" s="357"/>
      <c r="BY102" s="357"/>
    </row>
    <row r="103" spans="1:77" s="14" customFormat="1">
      <c r="A103" s="379" t="s">
        <v>275</v>
      </c>
      <c r="B103" s="383"/>
      <c r="C103" s="383">
        <f t="shared" ref="C103" si="573">SUM(C104:C109)</f>
        <v>747.995</v>
      </c>
      <c r="D103" s="383">
        <f t="shared" ref="D103" si="574">SUM(D104:D109)</f>
        <v>6.161000000000012</v>
      </c>
      <c r="E103" s="383">
        <f t="shared" ref="E103" si="575">SUM(E104:E109)</f>
        <v>703.59199999999987</v>
      </c>
      <c r="F103" s="383">
        <f t="shared" ref="F103" si="576">SUM(F104:F109)</f>
        <v>60.277999999999807</v>
      </c>
      <c r="G103" s="383">
        <f t="shared" ref="G103" si="577">SUM(G104:G109)</f>
        <v>94.59800000000007</v>
      </c>
      <c r="H103" s="383">
        <f t="shared" ref="H103" si="578">SUM(H104:H109)</f>
        <v>92.60900000000008</v>
      </c>
      <c r="I103" s="383">
        <f t="shared" ref="I103" si="579">SUM(I104:I109)</f>
        <v>22.950999999999993</v>
      </c>
      <c r="J103" s="383">
        <f t="shared" ref="J103" si="580">SUM(J104:J109)</f>
        <v>180.66100000000006</v>
      </c>
      <c r="K103" s="383">
        <f t="shared" ref="K103" si="581">SUM(K104:K109)</f>
        <v>351.74200000000013</v>
      </c>
      <c r="L103" s="383">
        <f t="shared" ref="L103" si="582">SUM(L104:L109)</f>
        <v>70.568999999999875</v>
      </c>
      <c r="M103" s="383">
        <f t="shared" ref="M103" si="583">SUM(M104:M109)</f>
        <v>-23.328999999999915</v>
      </c>
      <c r="N103" s="383">
        <f t="shared" ref="N103" si="584">SUM(N104:N109)</f>
        <v>-88.267999999999972</v>
      </c>
      <c r="O103" s="383">
        <f t="shared" ref="O103" si="585">SUM(O104:O109)</f>
        <v>54.125000000000014</v>
      </c>
      <c r="P103" s="383">
        <f t="shared" ref="P103" si="586">SUM(P104:P109)</f>
        <v>-22.958999999999776</v>
      </c>
      <c r="Q103" s="383">
        <f t="shared" ref="Q103" si="587">SUM(Q104:Q109)</f>
        <v>92.245999999999782</v>
      </c>
      <c r="R103" s="383">
        <f t="shared" ref="R103" si="588">SUM(R104:R109)</f>
        <v>-119.00199999999984</v>
      </c>
      <c r="S103" s="383">
        <f t="shared" ref="S103" si="589">SUM(S104:S109)</f>
        <v>59.988999999999663</v>
      </c>
      <c r="T103" s="383">
        <f t="shared" ref="T103" si="590">SUM(T104:T109)</f>
        <v>-356.07099999999991</v>
      </c>
      <c r="U103" s="383">
        <f t="shared" ref="U103" si="591">SUM(U104:U109)</f>
        <v>99.290000000000106</v>
      </c>
      <c r="V103" s="383">
        <f t="shared" ref="V103" si="592">SUM(V104:V109)</f>
        <v>111.3419999999999</v>
      </c>
      <c r="W103" s="383">
        <f t="shared" ref="W103" si="593">SUM(W104:W109)</f>
        <v>40.993000000000109</v>
      </c>
      <c r="X103" s="383">
        <f t="shared" ref="X103" si="594">SUM(X104:X109)</f>
        <v>370.44599999999963</v>
      </c>
      <c r="Y103" s="383">
        <f t="shared" ref="Y103" si="595">SUM(Y104:Y109)</f>
        <v>-68.996999999999872</v>
      </c>
      <c r="Z103" s="383">
        <f t="shared" ref="Z103" si="596">SUM(Z104:Z109)</f>
        <v>576.31700000000012</v>
      </c>
      <c r="AA103" s="383">
        <f t="shared" ref="AA103" si="597">SUM(AA104:AA109)</f>
        <v>-13.919000000000551</v>
      </c>
      <c r="AB103" s="383">
        <f t="shared" ref="AB103" si="598">SUM(AB104:AB109)</f>
        <v>61.154000000000181</v>
      </c>
      <c r="AC103" s="383">
        <f>SUM(AC104:AC109)</f>
        <v>114.6189999999998</v>
      </c>
      <c r="AD103" s="383">
        <f t="shared" ref="AD103:AF103" si="599">SUM(AD104:AD109)</f>
        <v>-89.71199999999979</v>
      </c>
      <c r="AE103" s="383">
        <f t="shared" si="599"/>
        <v>-12.105999999999987</v>
      </c>
      <c r="AF103" s="383">
        <f t="shared" si="599"/>
        <v>86.321999999999775</v>
      </c>
      <c r="AG103" s="362">
        <f t="shared" ref="AG103:AI103" si="600">SUM(AG104:AG109)</f>
        <v>83.125000000000114</v>
      </c>
      <c r="AH103" s="362">
        <f t="shared" si="600"/>
        <v>274.12499999999972</v>
      </c>
      <c r="AI103" s="362">
        <f t="shared" si="600"/>
        <v>452.40499999999986</v>
      </c>
      <c r="AJ103" s="362">
        <f t="shared" ref="AJ103:AK103" si="601">SUM(AJ104:AJ109)</f>
        <v>246.15799999999996</v>
      </c>
      <c r="AK103" s="390">
        <f t="shared" si="601"/>
        <v>685.76600000000008</v>
      </c>
      <c r="AL103" s="390">
        <f t="shared" ref="AL103:AM103" si="602">SUM(AL104:AL109)</f>
        <v>117.14099999999999</v>
      </c>
      <c r="AM103" s="475">
        <f t="shared" si="602"/>
        <v>110.57399999999957</v>
      </c>
      <c r="AN103" s="475">
        <f t="shared" ref="AN103" si="603">SUM(AN104:AN109)</f>
        <v>-154.09499999999957</v>
      </c>
      <c r="AO103" s="475">
        <f t="shared" ref="AO103:AP103" si="604">SUM(AO104:AO109)</f>
        <v>-30.702000000000254</v>
      </c>
      <c r="AP103" s="475">
        <f t="shared" si="604"/>
        <v>-406.3010000000001</v>
      </c>
      <c r="AQ103" s="475">
        <f t="shared" ref="AQ103:AR103" si="605">SUM(AQ104:AQ109)</f>
        <v>380.02500000000009</v>
      </c>
      <c r="AR103" s="475">
        <f t="shared" si="605"/>
        <v>135.17280000000005</v>
      </c>
      <c r="AS103" s="475">
        <f t="shared" ref="AS103:AT103" si="606">SUM(AS104:AS109)</f>
        <v>257.70219999999995</v>
      </c>
      <c r="AT103" s="363">
        <f t="shared" si="606"/>
        <v>-36.184999999999917</v>
      </c>
      <c r="AU103" s="364">
        <f t="shared" ref="AU103:BI103" si="607">SUM(AU104:AU109)</f>
        <v>0</v>
      </c>
      <c r="AV103" s="364">
        <f t="shared" si="607"/>
        <v>0</v>
      </c>
      <c r="AW103" s="364">
        <f t="shared" si="607"/>
        <v>-670.02695464699718</v>
      </c>
      <c r="AX103" s="364">
        <f t="shared" si="607"/>
        <v>0</v>
      </c>
      <c r="AY103" s="364">
        <f t="shared" si="607"/>
        <v>0</v>
      </c>
      <c r="AZ103" s="364">
        <f t="shared" si="607"/>
        <v>0</v>
      </c>
      <c r="BA103" s="364">
        <f t="shared" si="607"/>
        <v>-286.49479831089707</v>
      </c>
      <c r="BB103" s="364">
        <f t="shared" si="607"/>
        <v>0</v>
      </c>
      <c r="BC103" s="364">
        <f t="shared" si="607"/>
        <v>0</v>
      </c>
      <c r="BD103" s="364">
        <f t="shared" si="607"/>
        <v>0</v>
      </c>
      <c r="BE103" s="364">
        <f t="shared" si="607"/>
        <v>-474.40801917573714</v>
      </c>
      <c r="BF103" s="364">
        <f t="shared" si="607"/>
        <v>0</v>
      </c>
      <c r="BG103" s="364">
        <f t="shared" si="607"/>
        <v>0</v>
      </c>
      <c r="BH103" s="364">
        <f t="shared" si="607"/>
        <v>0</v>
      </c>
      <c r="BI103" s="364">
        <f t="shared" si="607"/>
        <v>-567.03654166360081</v>
      </c>
      <c r="BJ103" s="364">
        <f t="shared" ref="BJ103:BY103" si="608">SUM(BJ104:BJ109)</f>
        <v>0</v>
      </c>
      <c r="BK103" s="364">
        <f t="shared" si="608"/>
        <v>-2.2737367544323206E-13</v>
      </c>
      <c r="BL103" s="364">
        <f t="shared" si="608"/>
        <v>0</v>
      </c>
      <c r="BM103" s="364">
        <f t="shared" si="608"/>
        <v>-601.71678446531655</v>
      </c>
      <c r="BN103" s="364">
        <f t="shared" si="608"/>
        <v>0</v>
      </c>
      <c r="BO103" s="364">
        <f t="shared" si="608"/>
        <v>0</v>
      </c>
      <c r="BP103" s="364">
        <f t="shared" si="608"/>
        <v>0</v>
      </c>
      <c r="BQ103" s="364">
        <f t="shared" si="608"/>
        <v>-710.76143778149901</v>
      </c>
      <c r="BR103" s="364">
        <f t="shared" si="608"/>
        <v>-2.2737367544323206E-13</v>
      </c>
      <c r="BS103" s="364">
        <f t="shared" si="608"/>
        <v>-2.2737367544323206E-13</v>
      </c>
      <c r="BT103" s="364">
        <f t="shared" si="608"/>
        <v>0</v>
      </c>
      <c r="BU103" s="364">
        <f t="shared" si="608"/>
        <v>-596.87896213261331</v>
      </c>
      <c r="BV103" s="364">
        <f t="shared" si="608"/>
        <v>0</v>
      </c>
      <c r="BW103" s="364">
        <f t="shared" si="608"/>
        <v>0</v>
      </c>
      <c r="BX103" s="364">
        <f t="shared" si="608"/>
        <v>0</v>
      </c>
      <c r="BY103" s="364">
        <f t="shared" si="608"/>
        <v>-780.14521072285879</v>
      </c>
    </row>
    <row r="104" spans="1:77">
      <c r="A104" s="208" t="s">
        <v>276</v>
      </c>
      <c r="B104" s="198"/>
      <c r="C104" s="198">
        <f t="shared" ref="C104:AT104" si="609">C68-B68+C77-B77</f>
        <v>169.08699999999999</v>
      </c>
      <c r="D104" s="198">
        <f t="shared" si="609"/>
        <v>3.2239999999999895</v>
      </c>
      <c r="E104" s="198">
        <f t="shared" si="609"/>
        <v>23.405000000000001</v>
      </c>
      <c r="F104" s="198">
        <f t="shared" si="609"/>
        <v>59.114999999999981</v>
      </c>
      <c r="G104" s="198">
        <f t="shared" si="609"/>
        <v>94.507999999999981</v>
      </c>
      <c r="H104" s="198">
        <f t="shared" si="609"/>
        <v>93.571999999999946</v>
      </c>
      <c r="I104" s="198">
        <f t="shared" si="609"/>
        <v>21.34600000000006</v>
      </c>
      <c r="J104" s="198">
        <f t="shared" si="609"/>
        <v>156.27699999999999</v>
      </c>
      <c r="K104" s="198">
        <f t="shared" si="609"/>
        <v>334.98000000000008</v>
      </c>
      <c r="L104" s="198">
        <f t="shared" si="609"/>
        <v>77.916000000000054</v>
      </c>
      <c r="M104" s="198">
        <f t="shared" si="609"/>
        <v>-22.647000000000048</v>
      </c>
      <c r="N104" s="198">
        <f t="shared" si="609"/>
        <v>-89.962999999999965</v>
      </c>
      <c r="O104" s="198">
        <f t="shared" si="609"/>
        <v>53.049999999999955</v>
      </c>
      <c r="P104" s="198">
        <f t="shared" si="609"/>
        <v>16.386000000000081</v>
      </c>
      <c r="Q104" s="198">
        <f t="shared" si="609"/>
        <v>-162.20400000000001</v>
      </c>
      <c r="R104" s="198">
        <f t="shared" si="609"/>
        <v>99.963999999999942</v>
      </c>
      <c r="S104" s="198">
        <f t="shared" si="609"/>
        <v>104.73199999999997</v>
      </c>
      <c r="T104" s="198">
        <f t="shared" si="609"/>
        <v>-279.92700000000002</v>
      </c>
      <c r="U104" s="198">
        <f t="shared" si="609"/>
        <v>-142.30699999999996</v>
      </c>
      <c r="V104" s="198">
        <f t="shared" si="609"/>
        <v>97.974000000000046</v>
      </c>
      <c r="W104" s="198">
        <f t="shared" si="609"/>
        <v>105.29200000000003</v>
      </c>
      <c r="X104" s="198">
        <f t="shared" si="609"/>
        <v>358.34199999999987</v>
      </c>
      <c r="Y104" s="198">
        <f t="shared" si="609"/>
        <v>-52.571000000000026</v>
      </c>
      <c r="Z104" s="198">
        <f t="shared" si="609"/>
        <v>615.04999999999995</v>
      </c>
      <c r="AA104" s="198">
        <f t="shared" si="609"/>
        <v>-9.6839999999999691</v>
      </c>
      <c r="AB104" s="198">
        <f t="shared" si="609"/>
        <v>39.457999999999856</v>
      </c>
      <c r="AC104" s="198">
        <f t="shared" si="609"/>
        <v>90.463999999999942</v>
      </c>
      <c r="AD104" s="198">
        <f t="shared" si="609"/>
        <v>7.0030000000001564</v>
      </c>
      <c r="AE104" s="198">
        <f t="shared" si="609"/>
        <v>11.992999999999938</v>
      </c>
      <c r="AF104" s="198">
        <f t="shared" si="609"/>
        <v>115.53800000000001</v>
      </c>
      <c r="AG104" s="196">
        <f t="shared" si="609"/>
        <v>92.761999999999944</v>
      </c>
      <c r="AH104" s="196">
        <f t="shared" si="609"/>
        <v>232.44899999999984</v>
      </c>
      <c r="AI104" s="196">
        <f t="shared" si="609"/>
        <v>508.32200000000012</v>
      </c>
      <c r="AJ104" s="196">
        <f t="shared" si="609"/>
        <v>290.6719999999998</v>
      </c>
      <c r="AK104" s="202">
        <f t="shared" si="609"/>
        <v>372.93600000000015</v>
      </c>
      <c r="AL104" s="202">
        <f t="shared" si="609"/>
        <v>49.496999999999844</v>
      </c>
      <c r="AM104" s="327">
        <f t="shared" si="609"/>
        <v>403.2819999999997</v>
      </c>
      <c r="AN104" s="327">
        <f t="shared" si="609"/>
        <v>-118.72199999999975</v>
      </c>
      <c r="AO104" s="327">
        <f t="shared" si="609"/>
        <v>-122.17800000000034</v>
      </c>
      <c r="AP104" s="327">
        <f>AP68-AO68+AP77-AO77</f>
        <v>-522.83300000000008</v>
      </c>
      <c r="AQ104" s="327">
        <f t="shared" si="609"/>
        <v>394.03999999999996</v>
      </c>
      <c r="AR104" s="327">
        <f t="shared" si="609"/>
        <v>27.855800000000272</v>
      </c>
      <c r="AS104" s="327">
        <f t="shared" si="609"/>
        <v>-5.2998000000002321</v>
      </c>
      <c r="AT104" s="358">
        <f t="shared" si="609"/>
        <v>269.39800000000014</v>
      </c>
      <c r="AU104" s="361">
        <f>+Q_BS!AO54+Q_BS!AO55+Q_BS!AO60+Q_BS!AO61</f>
        <v>0</v>
      </c>
      <c r="AV104" s="361">
        <f>+Q_BS!AP54+Q_BS!AP55+Q_BS!AP60+Q_BS!AP61</f>
        <v>0</v>
      </c>
      <c r="AW104" s="361">
        <f>+Q_BS!AQ54+Q_BS!AQ55+Q_BS!AQ60+Q_BS!AQ61</f>
        <v>-460.9061999999999</v>
      </c>
      <c r="AX104" s="361">
        <f>+Q_BS!AR54+Q_BS!AR55+Q_BS!AR60+Q_BS!AR61</f>
        <v>0</v>
      </c>
      <c r="AY104" s="361">
        <f>+Q_BS!AS54+Q_BS!AS55+Q_BS!AS60+Q_BS!AS61</f>
        <v>0</v>
      </c>
      <c r="AZ104" s="361">
        <f>+Q_BS!AT54+Q_BS!AT55+Q_BS!AT60+Q_BS!AT61</f>
        <v>0</v>
      </c>
      <c r="BA104" s="361">
        <f>+Q_BS!AU54+Q_BS!AU55+Q_BS!AU60+Q_BS!AU61</f>
        <v>0</v>
      </c>
      <c r="BB104" s="361">
        <f>+Q_BS!AV54+Q_BS!AV55+Q_BS!AV60+Q_BS!AV61</f>
        <v>0</v>
      </c>
      <c r="BC104" s="361">
        <f>+Q_BS!AW54+Q_BS!AW55+Q_BS!AW60+Q_BS!AW61</f>
        <v>0</v>
      </c>
      <c r="BD104" s="361">
        <f>+Q_BS!AX54+Q_BS!AX55+Q_BS!AX60+Q_BS!AX61</f>
        <v>0</v>
      </c>
      <c r="BE104" s="361">
        <f>+Q_BS!AY54+Q_BS!AY55+Q_BS!AY60+Q_BS!AY61</f>
        <v>0</v>
      </c>
      <c r="BF104" s="361">
        <f>+Q_BS!AZ54+Q_BS!AZ55+Q_BS!AZ60+Q_BS!AZ61</f>
        <v>0</v>
      </c>
      <c r="BG104" s="361">
        <f>+Q_BS!BA54+Q_BS!BA55+Q_BS!BA60+Q_BS!BA61</f>
        <v>0</v>
      </c>
      <c r="BH104" s="361">
        <f>+Q_BS!BB54+Q_BS!BB55+Q_BS!BB60+Q_BS!BB61</f>
        <v>0</v>
      </c>
      <c r="BI104" s="361">
        <f>+Q_BS!BC54+Q_BS!BC55+Q_BS!BC60+Q_BS!BC61</f>
        <v>0</v>
      </c>
      <c r="BJ104" s="361">
        <f>+Q_BS!BD54+Q_BS!BD55+Q_BS!BD60+Q_BS!BD61</f>
        <v>0</v>
      </c>
      <c r="BK104" s="361">
        <f>+Q_BS!BE54+Q_BS!BE55+Q_BS!BE60+Q_BS!BE61</f>
        <v>0</v>
      </c>
      <c r="BL104" s="361">
        <f>+Q_BS!BF54+Q_BS!BF55+Q_BS!BF60+Q_BS!BF61</f>
        <v>0</v>
      </c>
      <c r="BM104" s="361">
        <f>+Q_BS!BG54+Q_BS!BG55+Q_BS!BG60+Q_BS!BG61</f>
        <v>0</v>
      </c>
      <c r="BN104" s="361">
        <f>+Q_BS!BH54+Q_BS!BH55+Q_BS!BH60+Q_BS!BH61</f>
        <v>0</v>
      </c>
      <c r="BO104" s="361">
        <f>+Q_BS!BI54+Q_BS!BI55+Q_BS!BI60+Q_BS!BI61</f>
        <v>0</v>
      </c>
      <c r="BP104" s="361">
        <f>+Q_BS!BJ54+Q_BS!BJ55+Q_BS!BJ60+Q_BS!BJ61</f>
        <v>0</v>
      </c>
      <c r="BQ104" s="361">
        <f>+Q_BS!BK54+Q_BS!BK55+Q_BS!BK60+Q_BS!BK61</f>
        <v>0</v>
      </c>
      <c r="BR104" s="361">
        <f>+Q_BS!BL54+Q_BS!BL55+Q_BS!BL60+Q_BS!BL61</f>
        <v>0</v>
      </c>
      <c r="BS104" s="361">
        <f>+Q_BS!BM54+Q_BS!BM55+Q_BS!BM60+Q_BS!BM61</f>
        <v>0</v>
      </c>
      <c r="BT104" s="361">
        <f>+Q_BS!BN54+Q_BS!BN55+Q_BS!BN60+Q_BS!BN61</f>
        <v>0</v>
      </c>
      <c r="BU104" s="361">
        <f>+Q_BS!BO54+Q_BS!BO55+Q_BS!BO60+Q_BS!BO61</f>
        <v>0</v>
      </c>
      <c r="BV104" s="361">
        <f>+Q_BS!BP54+Q_BS!BP55+Q_BS!BP60+Q_BS!BP61</f>
        <v>0</v>
      </c>
      <c r="BW104" s="361">
        <f>+Q_BS!BQ54+Q_BS!BQ55+Q_BS!BQ60+Q_BS!BQ61</f>
        <v>0</v>
      </c>
      <c r="BX104" s="361">
        <f>+Q_BS!BR54+Q_BS!BR55+Q_BS!BR60+Q_BS!BR61</f>
        <v>0</v>
      </c>
      <c r="BY104" s="361">
        <f>+Q_BS!BS54+Q_BS!BS55+Q_BS!BS60+Q_BS!BS61</f>
        <v>0</v>
      </c>
    </row>
    <row r="105" spans="1:77">
      <c r="A105" s="208" t="s">
        <v>277</v>
      </c>
      <c r="B105" s="198"/>
      <c r="C105" s="198">
        <f t="shared" ref="C105:AH105" si="610">C84-B84</f>
        <v>97.213999999999999</v>
      </c>
      <c r="D105" s="198">
        <f t="shared" si="610"/>
        <v>0</v>
      </c>
      <c r="E105" s="198">
        <f t="shared" si="610"/>
        <v>260</v>
      </c>
      <c r="F105" s="197">
        <f t="shared" si="610"/>
        <v>0</v>
      </c>
      <c r="G105" s="197">
        <f t="shared" si="610"/>
        <v>0</v>
      </c>
      <c r="H105" s="197">
        <f t="shared" si="610"/>
        <v>0</v>
      </c>
      <c r="I105" s="197">
        <f t="shared" si="610"/>
        <v>0</v>
      </c>
      <c r="J105" s="197">
        <f t="shared" si="610"/>
        <v>0</v>
      </c>
      <c r="K105" s="197">
        <f t="shared" si="610"/>
        <v>-0.28600000000000136</v>
      </c>
      <c r="L105" s="197">
        <f t="shared" si="610"/>
        <v>-1.535000000000025</v>
      </c>
      <c r="M105" s="197">
        <f t="shared" si="610"/>
        <v>-7.7999999999974534E-2</v>
      </c>
      <c r="N105" s="197">
        <f t="shared" si="610"/>
        <v>0</v>
      </c>
      <c r="O105" s="197">
        <f t="shared" si="610"/>
        <v>0</v>
      </c>
      <c r="P105" s="197">
        <f t="shared" si="610"/>
        <v>0</v>
      </c>
      <c r="Q105" s="197">
        <f t="shared" si="610"/>
        <v>0</v>
      </c>
      <c r="R105" s="197">
        <f t="shared" si="610"/>
        <v>0</v>
      </c>
      <c r="S105" s="197">
        <f t="shared" si="610"/>
        <v>95.899999999999977</v>
      </c>
      <c r="T105" s="197">
        <f t="shared" si="610"/>
        <v>0</v>
      </c>
      <c r="U105" s="197">
        <f t="shared" si="610"/>
        <v>1.8990000000000009</v>
      </c>
      <c r="V105" s="197">
        <f t="shared" si="610"/>
        <v>0</v>
      </c>
      <c r="W105" s="197">
        <f t="shared" si="610"/>
        <v>0</v>
      </c>
      <c r="X105" s="197">
        <f t="shared" si="610"/>
        <v>0</v>
      </c>
      <c r="Y105" s="197">
        <f t="shared" si="610"/>
        <v>0</v>
      </c>
      <c r="Z105" s="197">
        <f t="shared" si="610"/>
        <v>0</v>
      </c>
      <c r="AA105" s="197">
        <f t="shared" si="610"/>
        <v>158.25</v>
      </c>
      <c r="AB105" s="197">
        <f t="shared" si="610"/>
        <v>0</v>
      </c>
      <c r="AC105" s="197">
        <f t="shared" si="610"/>
        <v>0</v>
      </c>
      <c r="AD105" s="197">
        <f t="shared" si="610"/>
        <v>0</v>
      </c>
      <c r="AE105" s="197">
        <f t="shared" si="610"/>
        <v>123.05000000000007</v>
      </c>
      <c r="AF105" s="197">
        <f t="shared" si="610"/>
        <v>0</v>
      </c>
      <c r="AG105" s="195">
        <f t="shared" si="610"/>
        <v>0</v>
      </c>
      <c r="AH105" s="195">
        <f t="shared" si="610"/>
        <v>0</v>
      </c>
      <c r="AI105" s="195">
        <f t="shared" ref="AI105:BN105" si="611">AI84-AH84</f>
        <v>71.649999999999977</v>
      </c>
      <c r="AJ105" s="195">
        <f t="shared" si="611"/>
        <v>4.1419999999999391</v>
      </c>
      <c r="AK105" s="327">
        <f t="shared" si="611"/>
        <v>9.1190000000000282</v>
      </c>
      <c r="AL105" s="327">
        <f t="shared" si="611"/>
        <v>0</v>
      </c>
      <c r="AM105" s="327">
        <f t="shared" si="611"/>
        <v>118.34800000000007</v>
      </c>
      <c r="AN105" s="327">
        <f t="shared" si="611"/>
        <v>1.5869999999999891</v>
      </c>
      <c r="AO105" s="327">
        <f t="shared" si="611"/>
        <v>-0.17500000000006821</v>
      </c>
      <c r="AP105" s="327">
        <f>AP84-AO84</f>
        <v>-0.29399999999998272</v>
      </c>
      <c r="AQ105" s="327">
        <f t="shared" si="611"/>
        <v>133.63200000000006</v>
      </c>
      <c r="AR105" s="327">
        <f t="shared" si="611"/>
        <v>-0.11700000000018917</v>
      </c>
      <c r="AS105" s="327">
        <f t="shared" si="611"/>
        <v>373.63700000000017</v>
      </c>
      <c r="AT105" s="358">
        <f t="shared" si="611"/>
        <v>0</v>
      </c>
      <c r="AU105" s="361">
        <f t="shared" si="611"/>
        <v>0</v>
      </c>
      <c r="AV105" s="361">
        <f t="shared" si="611"/>
        <v>0</v>
      </c>
      <c r="AW105" s="361">
        <f>AW84-AV84</f>
        <v>0</v>
      </c>
      <c r="AX105" s="361">
        <f t="shared" si="611"/>
        <v>0</v>
      </c>
      <c r="AY105" s="361">
        <f t="shared" si="611"/>
        <v>0</v>
      </c>
      <c r="AZ105" s="361">
        <f t="shared" si="611"/>
        <v>0</v>
      </c>
      <c r="BA105" s="361">
        <f t="shared" si="611"/>
        <v>0</v>
      </c>
      <c r="BB105" s="361">
        <f t="shared" si="611"/>
        <v>0</v>
      </c>
      <c r="BC105" s="361">
        <f t="shared" si="611"/>
        <v>0</v>
      </c>
      <c r="BD105" s="361">
        <f t="shared" si="611"/>
        <v>0</v>
      </c>
      <c r="BE105" s="361">
        <f t="shared" si="611"/>
        <v>0</v>
      </c>
      <c r="BF105" s="361">
        <f t="shared" si="611"/>
        <v>0</v>
      </c>
      <c r="BG105" s="361">
        <f t="shared" si="611"/>
        <v>0</v>
      </c>
      <c r="BH105" s="361">
        <f t="shared" si="611"/>
        <v>0</v>
      </c>
      <c r="BI105" s="361">
        <f t="shared" si="611"/>
        <v>0</v>
      </c>
      <c r="BJ105" s="361">
        <f t="shared" si="611"/>
        <v>0</v>
      </c>
      <c r="BK105" s="361">
        <f t="shared" si="611"/>
        <v>0</v>
      </c>
      <c r="BL105" s="361">
        <f t="shared" si="611"/>
        <v>0</v>
      </c>
      <c r="BM105" s="361">
        <f t="shared" si="611"/>
        <v>0</v>
      </c>
      <c r="BN105" s="361">
        <f t="shared" si="611"/>
        <v>0</v>
      </c>
      <c r="BO105" s="361">
        <f t="shared" ref="BO105:BY105" si="612">BO84-BN84</f>
        <v>0</v>
      </c>
      <c r="BP105" s="361">
        <f t="shared" si="612"/>
        <v>0</v>
      </c>
      <c r="BQ105" s="361">
        <f t="shared" si="612"/>
        <v>0</v>
      </c>
      <c r="BR105" s="361">
        <f t="shared" si="612"/>
        <v>0</v>
      </c>
      <c r="BS105" s="361">
        <f t="shared" si="612"/>
        <v>0</v>
      </c>
      <c r="BT105" s="361">
        <f t="shared" si="612"/>
        <v>0</v>
      </c>
      <c r="BU105" s="361">
        <f t="shared" si="612"/>
        <v>0</v>
      </c>
      <c r="BV105" s="361">
        <f t="shared" si="612"/>
        <v>0</v>
      </c>
      <c r="BW105" s="361">
        <f t="shared" si="612"/>
        <v>0</v>
      </c>
      <c r="BX105" s="361">
        <f t="shared" si="612"/>
        <v>0</v>
      </c>
      <c r="BY105" s="361">
        <f t="shared" si="612"/>
        <v>0</v>
      </c>
    </row>
    <row r="106" spans="1:77">
      <c r="A106" s="208" t="s">
        <v>278</v>
      </c>
      <c r="B106" s="198"/>
      <c r="C106" s="198">
        <f t="shared" ref="C106:AH106" si="613">C85-B85+C86-B86+C87-B87</f>
        <v>473.87700000000001</v>
      </c>
      <c r="D106" s="198">
        <f t="shared" si="613"/>
        <v>-5.7939999999999827</v>
      </c>
      <c r="E106" s="198">
        <f t="shared" si="613"/>
        <v>535.88599999999985</v>
      </c>
      <c r="F106" s="198">
        <f t="shared" si="613"/>
        <v>-12.027000000000143</v>
      </c>
      <c r="G106" s="198">
        <f t="shared" si="613"/>
        <v>-12.993999999999915</v>
      </c>
      <c r="H106" s="198">
        <f t="shared" si="613"/>
        <v>-8.5729999999998654</v>
      </c>
      <c r="I106" s="198">
        <f t="shared" si="613"/>
        <v>-13.305000000000064</v>
      </c>
      <c r="J106" s="198">
        <f t="shared" si="613"/>
        <v>-9.41599999999994</v>
      </c>
      <c r="K106" s="198">
        <f t="shared" si="613"/>
        <v>-11.038999999999987</v>
      </c>
      <c r="L106" s="198">
        <f t="shared" si="613"/>
        <v>-9.8110000000001492</v>
      </c>
      <c r="M106" s="198">
        <f t="shared" si="613"/>
        <v>-17.214999999999918</v>
      </c>
      <c r="N106" s="198">
        <f t="shared" si="613"/>
        <v>-9.2300000000000182</v>
      </c>
      <c r="O106" s="198">
        <f t="shared" si="613"/>
        <v>-12.694999999999936</v>
      </c>
      <c r="P106" s="198">
        <f t="shared" si="613"/>
        <v>-12.20699999999988</v>
      </c>
      <c r="Q106" s="198">
        <f t="shared" si="613"/>
        <v>149.6909999999998</v>
      </c>
      <c r="R106" s="198">
        <f t="shared" si="613"/>
        <v>-231.73699999999985</v>
      </c>
      <c r="S106" s="198">
        <f t="shared" si="613"/>
        <v>-49.60000000000025</v>
      </c>
      <c r="T106" s="198">
        <f t="shared" si="613"/>
        <v>-51.935999999999922</v>
      </c>
      <c r="U106" s="198">
        <f t="shared" si="613"/>
        <v>303.62400000000002</v>
      </c>
      <c r="V106" s="198">
        <f t="shared" si="613"/>
        <v>197.42899999999986</v>
      </c>
      <c r="W106" s="198">
        <f t="shared" si="613"/>
        <v>-73.962999999999965</v>
      </c>
      <c r="X106" s="198">
        <f t="shared" si="613"/>
        <v>12.326999999999771</v>
      </c>
      <c r="Y106" s="198">
        <f t="shared" si="613"/>
        <v>-178.78599999999983</v>
      </c>
      <c r="Z106" s="198">
        <f t="shared" si="613"/>
        <v>-36.354999999999791</v>
      </c>
      <c r="AA106" s="198">
        <f t="shared" si="613"/>
        <v>52.301999999999452</v>
      </c>
      <c r="AB106" s="198">
        <f t="shared" si="613"/>
        <v>28.85100000000034</v>
      </c>
      <c r="AC106" s="198">
        <f t="shared" si="613"/>
        <v>181.65199999999982</v>
      </c>
      <c r="AD106" s="198">
        <f t="shared" si="613"/>
        <v>-104.40599999999995</v>
      </c>
      <c r="AE106" s="198">
        <f t="shared" si="613"/>
        <v>-161.55899999999997</v>
      </c>
      <c r="AF106" s="198">
        <f t="shared" si="613"/>
        <v>-130.62700000000018</v>
      </c>
      <c r="AG106" s="196">
        <f t="shared" si="613"/>
        <v>18.600000000000136</v>
      </c>
      <c r="AH106" s="196">
        <f t="shared" si="613"/>
        <v>267.66799999999989</v>
      </c>
      <c r="AI106" s="196">
        <f t="shared" ref="AI106:BN106" si="614">AI85-AH85+AI86-AH86+AI87-AH87</f>
        <v>-137.88500000000022</v>
      </c>
      <c r="AJ106" s="196">
        <f t="shared" si="614"/>
        <v>-50.807999999999765</v>
      </c>
      <c r="AK106" s="202">
        <f t="shared" si="614"/>
        <v>215.96199999999999</v>
      </c>
      <c r="AL106" s="202">
        <f t="shared" si="614"/>
        <v>65.686000000000149</v>
      </c>
      <c r="AM106" s="327">
        <f t="shared" si="614"/>
        <v>-297.9050000000002</v>
      </c>
      <c r="AN106" s="327">
        <f t="shared" si="614"/>
        <v>-41.170999999999822</v>
      </c>
      <c r="AO106" s="327">
        <f t="shared" si="614"/>
        <v>143.81600000000003</v>
      </c>
      <c r="AP106" s="327">
        <f>AP85-AO85+AP86-AO86+AP87-AO87</f>
        <v>115.68000000000006</v>
      </c>
      <c r="AQ106" s="327">
        <f t="shared" si="614"/>
        <v>-17.884999999999991</v>
      </c>
      <c r="AR106" s="327">
        <f t="shared" si="614"/>
        <v>103.24099999999999</v>
      </c>
      <c r="AS106" s="327">
        <f t="shared" si="614"/>
        <v>-126.48099999999999</v>
      </c>
      <c r="AT106" s="358">
        <f t="shared" si="614"/>
        <v>-309.00800000000004</v>
      </c>
      <c r="AU106" s="357">
        <f t="shared" si="614"/>
        <v>0</v>
      </c>
      <c r="AV106" s="357">
        <f t="shared" si="614"/>
        <v>0</v>
      </c>
      <c r="AW106" s="357">
        <f t="shared" si="614"/>
        <v>0</v>
      </c>
      <c r="AX106" s="357">
        <f t="shared" si="614"/>
        <v>0</v>
      </c>
      <c r="AY106" s="357">
        <f t="shared" si="614"/>
        <v>0</v>
      </c>
      <c r="AZ106" s="357">
        <f t="shared" si="614"/>
        <v>0</v>
      </c>
      <c r="BA106" s="357">
        <f t="shared" si="614"/>
        <v>0</v>
      </c>
      <c r="BB106" s="357">
        <f t="shared" si="614"/>
        <v>0</v>
      </c>
      <c r="BC106" s="357">
        <f t="shared" si="614"/>
        <v>0</v>
      </c>
      <c r="BD106" s="357">
        <f t="shared" si="614"/>
        <v>0</v>
      </c>
      <c r="BE106" s="357">
        <f t="shared" si="614"/>
        <v>0</v>
      </c>
      <c r="BF106" s="357">
        <f t="shared" si="614"/>
        <v>0</v>
      </c>
      <c r="BG106" s="357">
        <f t="shared" si="614"/>
        <v>0</v>
      </c>
      <c r="BH106" s="357">
        <f t="shared" si="614"/>
        <v>0</v>
      </c>
      <c r="BI106" s="357">
        <f t="shared" si="614"/>
        <v>0</v>
      </c>
      <c r="BJ106" s="357">
        <f t="shared" si="614"/>
        <v>0</v>
      </c>
      <c r="BK106" s="357">
        <f t="shared" si="614"/>
        <v>0</v>
      </c>
      <c r="BL106" s="357">
        <f t="shared" si="614"/>
        <v>0</v>
      </c>
      <c r="BM106" s="357">
        <f t="shared" si="614"/>
        <v>0</v>
      </c>
      <c r="BN106" s="357">
        <f t="shared" si="614"/>
        <v>0</v>
      </c>
      <c r="BO106" s="357">
        <f t="shared" ref="BO106:BY106" si="615">BO85-BN85+BO86-BN86+BO87-BN87</f>
        <v>0</v>
      </c>
      <c r="BP106" s="357">
        <f t="shared" si="615"/>
        <v>0</v>
      </c>
      <c r="BQ106" s="357">
        <f t="shared" si="615"/>
        <v>0</v>
      </c>
      <c r="BR106" s="357">
        <f t="shared" si="615"/>
        <v>0</v>
      </c>
      <c r="BS106" s="357">
        <f t="shared" si="615"/>
        <v>0</v>
      </c>
      <c r="BT106" s="357">
        <f t="shared" si="615"/>
        <v>0</v>
      </c>
      <c r="BU106" s="357">
        <f t="shared" si="615"/>
        <v>0</v>
      </c>
      <c r="BV106" s="357">
        <f t="shared" si="615"/>
        <v>0</v>
      </c>
      <c r="BW106" s="357">
        <f t="shared" si="615"/>
        <v>0</v>
      </c>
      <c r="BX106" s="357">
        <f t="shared" si="615"/>
        <v>0</v>
      </c>
      <c r="BY106" s="357">
        <f t="shared" si="615"/>
        <v>0</v>
      </c>
    </row>
    <row r="107" spans="1:77">
      <c r="A107" s="208" t="s">
        <v>70</v>
      </c>
      <c r="B107" s="198"/>
      <c r="C107" s="198">
        <f t="shared" ref="C107:AH107" si="616">C82-B82</f>
        <v>0</v>
      </c>
      <c r="D107" s="198">
        <f t="shared" si="616"/>
        <v>0</v>
      </c>
      <c r="E107" s="198">
        <f t="shared" si="616"/>
        <v>7.6109999999999998</v>
      </c>
      <c r="F107" s="198">
        <f t="shared" si="616"/>
        <v>0</v>
      </c>
      <c r="G107" s="198">
        <f t="shared" si="616"/>
        <v>0</v>
      </c>
      <c r="H107" s="198">
        <f t="shared" si="616"/>
        <v>0</v>
      </c>
      <c r="I107" s="198">
        <f t="shared" si="616"/>
        <v>0</v>
      </c>
      <c r="J107" s="198">
        <f t="shared" si="616"/>
        <v>0</v>
      </c>
      <c r="K107" s="198">
        <f t="shared" si="616"/>
        <v>15.021000000000001</v>
      </c>
      <c r="L107" s="198">
        <f t="shared" si="616"/>
        <v>-3.7850000000000001</v>
      </c>
      <c r="M107" s="198">
        <f t="shared" si="616"/>
        <v>-0.60400000000000276</v>
      </c>
      <c r="N107" s="198">
        <f t="shared" si="616"/>
        <v>1.6950000000000003</v>
      </c>
      <c r="O107" s="198">
        <f t="shared" si="616"/>
        <v>1.0750000000000028</v>
      </c>
      <c r="P107" s="198">
        <f t="shared" si="616"/>
        <v>-21.013000000000002</v>
      </c>
      <c r="Q107" s="198">
        <f t="shared" si="616"/>
        <v>0</v>
      </c>
      <c r="R107" s="198">
        <f t="shared" si="616"/>
        <v>0</v>
      </c>
      <c r="S107" s="198">
        <f t="shared" si="616"/>
        <v>0</v>
      </c>
      <c r="T107" s="198">
        <f t="shared" si="616"/>
        <v>0</v>
      </c>
      <c r="U107" s="198">
        <f t="shared" si="616"/>
        <v>0</v>
      </c>
      <c r="V107" s="198">
        <f t="shared" si="616"/>
        <v>0</v>
      </c>
      <c r="W107" s="198">
        <f t="shared" si="616"/>
        <v>0</v>
      </c>
      <c r="X107" s="198">
        <f t="shared" si="616"/>
        <v>0</v>
      </c>
      <c r="Y107" s="198">
        <f t="shared" si="616"/>
        <v>0</v>
      </c>
      <c r="Z107" s="198">
        <f t="shared" si="616"/>
        <v>0</v>
      </c>
      <c r="AA107" s="198">
        <f t="shared" si="616"/>
        <v>0</v>
      </c>
      <c r="AB107" s="198">
        <f t="shared" si="616"/>
        <v>0</v>
      </c>
      <c r="AC107" s="198">
        <f t="shared" si="616"/>
        <v>0</v>
      </c>
      <c r="AD107" s="198">
        <f t="shared" si="616"/>
        <v>0</v>
      </c>
      <c r="AE107" s="198">
        <f t="shared" si="616"/>
        <v>0</v>
      </c>
      <c r="AF107" s="198">
        <f t="shared" si="616"/>
        <v>0</v>
      </c>
      <c r="AG107" s="196">
        <f t="shared" si="616"/>
        <v>0</v>
      </c>
      <c r="AH107" s="196">
        <f t="shared" si="616"/>
        <v>0</v>
      </c>
      <c r="AI107" s="196">
        <f t="shared" ref="AI107:BN107" si="617">AI82-AH82</f>
        <v>3.371</v>
      </c>
      <c r="AJ107" s="196">
        <f t="shared" si="617"/>
        <v>-3.371</v>
      </c>
      <c r="AK107" s="202">
        <f t="shared" si="617"/>
        <v>0</v>
      </c>
      <c r="AL107" s="202">
        <f t="shared" si="617"/>
        <v>0</v>
      </c>
      <c r="AM107" s="327">
        <f t="shared" si="617"/>
        <v>0</v>
      </c>
      <c r="AN107" s="327">
        <f t="shared" si="617"/>
        <v>0</v>
      </c>
      <c r="AO107" s="327">
        <f t="shared" si="617"/>
        <v>0</v>
      </c>
      <c r="AP107" s="327">
        <f>AP82-AO82</f>
        <v>0</v>
      </c>
      <c r="AQ107" s="327">
        <f t="shared" si="617"/>
        <v>0</v>
      </c>
      <c r="AR107" s="327">
        <f t="shared" si="617"/>
        <v>0</v>
      </c>
      <c r="AS107" s="327">
        <f t="shared" si="617"/>
        <v>0</v>
      </c>
      <c r="AT107" s="358">
        <f t="shared" si="617"/>
        <v>0</v>
      </c>
      <c r="AU107" s="357">
        <f t="shared" si="617"/>
        <v>0</v>
      </c>
      <c r="AV107" s="357">
        <f t="shared" si="617"/>
        <v>0</v>
      </c>
      <c r="AW107" s="357">
        <f t="shared" si="617"/>
        <v>0</v>
      </c>
      <c r="AX107" s="357">
        <f t="shared" si="617"/>
        <v>0</v>
      </c>
      <c r="AY107" s="357">
        <f t="shared" si="617"/>
        <v>0</v>
      </c>
      <c r="AZ107" s="357">
        <f t="shared" si="617"/>
        <v>0</v>
      </c>
      <c r="BA107" s="357">
        <f t="shared" si="617"/>
        <v>0</v>
      </c>
      <c r="BB107" s="357">
        <f t="shared" si="617"/>
        <v>0</v>
      </c>
      <c r="BC107" s="357">
        <f t="shared" si="617"/>
        <v>0</v>
      </c>
      <c r="BD107" s="357">
        <f t="shared" si="617"/>
        <v>0</v>
      </c>
      <c r="BE107" s="357">
        <f t="shared" si="617"/>
        <v>0</v>
      </c>
      <c r="BF107" s="357">
        <f t="shared" si="617"/>
        <v>0</v>
      </c>
      <c r="BG107" s="357">
        <f t="shared" si="617"/>
        <v>0</v>
      </c>
      <c r="BH107" s="357">
        <f t="shared" si="617"/>
        <v>0</v>
      </c>
      <c r="BI107" s="357">
        <f t="shared" si="617"/>
        <v>0</v>
      </c>
      <c r="BJ107" s="357">
        <f t="shared" si="617"/>
        <v>0</v>
      </c>
      <c r="BK107" s="357">
        <f t="shared" si="617"/>
        <v>0</v>
      </c>
      <c r="BL107" s="357">
        <f t="shared" si="617"/>
        <v>0</v>
      </c>
      <c r="BM107" s="357">
        <f t="shared" si="617"/>
        <v>0</v>
      </c>
      <c r="BN107" s="357">
        <f t="shared" si="617"/>
        <v>0</v>
      </c>
      <c r="BO107" s="357">
        <f t="shared" ref="BO107:BY107" si="618">BO82-BN82</f>
        <v>0</v>
      </c>
      <c r="BP107" s="357">
        <f t="shared" si="618"/>
        <v>0</v>
      </c>
      <c r="BQ107" s="357">
        <f t="shared" si="618"/>
        <v>0</v>
      </c>
      <c r="BR107" s="357">
        <f t="shared" si="618"/>
        <v>0</v>
      </c>
      <c r="BS107" s="357">
        <f t="shared" si="618"/>
        <v>0</v>
      </c>
      <c r="BT107" s="357">
        <f t="shared" si="618"/>
        <v>0</v>
      </c>
      <c r="BU107" s="357">
        <f t="shared" si="618"/>
        <v>0</v>
      </c>
      <c r="BV107" s="357">
        <f t="shared" si="618"/>
        <v>0</v>
      </c>
      <c r="BW107" s="357">
        <f t="shared" si="618"/>
        <v>0</v>
      </c>
      <c r="BX107" s="357">
        <f t="shared" si="618"/>
        <v>0</v>
      </c>
      <c r="BY107" s="357">
        <f t="shared" si="618"/>
        <v>0</v>
      </c>
    </row>
    <row r="108" spans="1:77">
      <c r="A108" s="208" t="s">
        <v>71</v>
      </c>
      <c r="B108" s="198"/>
      <c r="C108" s="198">
        <f t="shared" ref="C108:AH108" si="619">C81-B81</f>
        <v>0</v>
      </c>
      <c r="D108" s="198">
        <f t="shared" si="619"/>
        <v>0</v>
      </c>
      <c r="E108" s="198">
        <f t="shared" si="619"/>
        <v>0</v>
      </c>
      <c r="F108" s="198">
        <f t="shared" si="619"/>
        <v>0</v>
      </c>
      <c r="G108" s="198">
        <f t="shared" si="619"/>
        <v>0</v>
      </c>
      <c r="H108" s="198">
        <f t="shared" si="619"/>
        <v>0</v>
      </c>
      <c r="I108" s="198">
        <f t="shared" si="619"/>
        <v>0</v>
      </c>
      <c r="J108" s="198">
        <f t="shared" si="619"/>
        <v>0</v>
      </c>
      <c r="K108" s="198">
        <f t="shared" si="619"/>
        <v>0</v>
      </c>
      <c r="L108" s="198">
        <f t="shared" si="619"/>
        <v>0</v>
      </c>
      <c r="M108" s="198">
        <f t="shared" si="619"/>
        <v>0</v>
      </c>
      <c r="N108" s="198">
        <f t="shared" si="619"/>
        <v>0</v>
      </c>
      <c r="O108" s="198">
        <f t="shared" si="619"/>
        <v>0</v>
      </c>
      <c r="P108" s="198">
        <f t="shared" si="619"/>
        <v>0</v>
      </c>
      <c r="Q108" s="198">
        <f t="shared" si="619"/>
        <v>0</v>
      </c>
      <c r="R108" s="198">
        <f t="shared" si="619"/>
        <v>0</v>
      </c>
      <c r="S108" s="198">
        <f t="shared" si="619"/>
        <v>0</v>
      </c>
      <c r="T108" s="198">
        <f t="shared" si="619"/>
        <v>0</v>
      </c>
      <c r="U108" s="198">
        <f t="shared" si="619"/>
        <v>0</v>
      </c>
      <c r="V108" s="198">
        <f t="shared" si="619"/>
        <v>0</v>
      </c>
      <c r="W108" s="198">
        <f t="shared" si="619"/>
        <v>0</v>
      </c>
      <c r="X108" s="198">
        <f t="shared" si="619"/>
        <v>0</v>
      </c>
      <c r="Y108" s="198">
        <f t="shared" si="619"/>
        <v>0</v>
      </c>
      <c r="Z108" s="198">
        <f t="shared" si="619"/>
        <v>0</v>
      </c>
      <c r="AA108" s="198">
        <f t="shared" si="619"/>
        <v>0</v>
      </c>
      <c r="AB108" s="198">
        <f t="shared" si="619"/>
        <v>0</v>
      </c>
      <c r="AC108" s="198">
        <f t="shared" si="619"/>
        <v>0</v>
      </c>
      <c r="AD108" s="198">
        <f t="shared" si="619"/>
        <v>0</v>
      </c>
      <c r="AE108" s="198">
        <f t="shared" si="619"/>
        <v>0</v>
      </c>
      <c r="AF108" s="198">
        <f t="shared" si="619"/>
        <v>0</v>
      </c>
      <c r="AG108" s="196">
        <f t="shared" si="619"/>
        <v>0</v>
      </c>
      <c r="AH108" s="196">
        <f t="shared" si="619"/>
        <v>0</v>
      </c>
      <c r="AI108" s="196">
        <f t="shared" ref="AI108:BN108" si="620">AI81-AH81</f>
        <v>0</v>
      </c>
      <c r="AJ108" s="196">
        <f t="shared" si="620"/>
        <v>0</v>
      </c>
      <c r="AK108" s="202">
        <f t="shared" si="620"/>
        <v>0</v>
      </c>
      <c r="AL108" s="202">
        <f t="shared" si="620"/>
        <v>0</v>
      </c>
      <c r="AM108" s="327">
        <f t="shared" si="620"/>
        <v>0</v>
      </c>
      <c r="AN108" s="327">
        <f t="shared" si="620"/>
        <v>0</v>
      </c>
      <c r="AO108" s="327">
        <f t="shared" si="620"/>
        <v>0</v>
      </c>
      <c r="AP108" s="327">
        <f>AP81-AO81</f>
        <v>0</v>
      </c>
      <c r="AQ108" s="327">
        <f t="shared" si="620"/>
        <v>0</v>
      </c>
      <c r="AR108" s="327">
        <f t="shared" si="620"/>
        <v>0</v>
      </c>
      <c r="AS108" s="327">
        <f t="shared" si="620"/>
        <v>0</v>
      </c>
      <c r="AT108" s="358">
        <f t="shared" si="620"/>
        <v>0</v>
      </c>
      <c r="AU108" s="357">
        <f t="shared" si="620"/>
        <v>0</v>
      </c>
      <c r="AV108" s="357">
        <f t="shared" si="620"/>
        <v>0</v>
      </c>
      <c r="AW108" s="357">
        <f t="shared" si="620"/>
        <v>0</v>
      </c>
      <c r="AX108" s="357">
        <f t="shared" si="620"/>
        <v>0</v>
      </c>
      <c r="AY108" s="357">
        <f t="shared" si="620"/>
        <v>0</v>
      </c>
      <c r="AZ108" s="357">
        <f t="shared" si="620"/>
        <v>0</v>
      </c>
      <c r="BA108" s="357">
        <f t="shared" si="620"/>
        <v>0</v>
      </c>
      <c r="BB108" s="357">
        <f t="shared" si="620"/>
        <v>0</v>
      </c>
      <c r="BC108" s="357">
        <f t="shared" si="620"/>
        <v>0</v>
      </c>
      <c r="BD108" s="357">
        <f t="shared" si="620"/>
        <v>0</v>
      </c>
      <c r="BE108" s="357">
        <f t="shared" si="620"/>
        <v>0</v>
      </c>
      <c r="BF108" s="357">
        <f t="shared" si="620"/>
        <v>0</v>
      </c>
      <c r="BG108" s="357">
        <f t="shared" si="620"/>
        <v>0</v>
      </c>
      <c r="BH108" s="357">
        <f t="shared" si="620"/>
        <v>0</v>
      </c>
      <c r="BI108" s="357">
        <f t="shared" si="620"/>
        <v>0</v>
      </c>
      <c r="BJ108" s="357">
        <f t="shared" si="620"/>
        <v>0</v>
      </c>
      <c r="BK108" s="357">
        <f t="shared" si="620"/>
        <v>0</v>
      </c>
      <c r="BL108" s="357">
        <f t="shared" si="620"/>
        <v>0</v>
      </c>
      <c r="BM108" s="357">
        <f t="shared" si="620"/>
        <v>0</v>
      </c>
      <c r="BN108" s="357">
        <f t="shared" si="620"/>
        <v>0</v>
      </c>
      <c r="BO108" s="357">
        <f t="shared" ref="BO108:BY108" si="621">BO81-BN81</f>
        <v>0</v>
      </c>
      <c r="BP108" s="357">
        <f t="shared" si="621"/>
        <v>0</v>
      </c>
      <c r="BQ108" s="357">
        <f t="shared" si="621"/>
        <v>0</v>
      </c>
      <c r="BR108" s="357">
        <f t="shared" si="621"/>
        <v>0</v>
      </c>
      <c r="BS108" s="357">
        <f t="shared" si="621"/>
        <v>0</v>
      </c>
      <c r="BT108" s="357">
        <f t="shared" si="621"/>
        <v>0</v>
      </c>
      <c r="BU108" s="357">
        <f t="shared" si="621"/>
        <v>0</v>
      </c>
      <c r="BV108" s="357">
        <f t="shared" si="621"/>
        <v>0</v>
      </c>
      <c r="BW108" s="357">
        <f t="shared" si="621"/>
        <v>0</v>
      </c>
      <c r="BX108" s="357">
        <f t="shared" si="621"/>
        <v>0</v>
      </c>
      <c r="BY108" s="357">
        <f t="shared" si="621"/>
        <v>0</v>
      </c>
    </row>
    <row r="109" spans="1:77">
      <c r="A109" s="208" t="s">
        <v>384</v>
      </c>
      <c r="B109" s="198"/>
      <c r="C109" s="198">
        <f t="shared" ref="C109:AH109" si="622">C88-B88-C94</f>
        <v>7.8170000000000108</v>
      </c>
      <c r="D109" s="198">
        <f t="shared" si="622"/>
        <v>8.7310000000000052</v>
      </c>
      <c r="E109" s="198">
        <f t="shared" si="622"/>
        <v>-123.31</v>
      </c>
      <c r="F109" s="198">
        <f t="shared" si="622"/>
        <v>13.189999999999969</v>
      </c>
      <c r="G109" s="198">
        <f t="shared" si="622"/>
        <v>13.083999999999996</v>
      </c>
      <c r="H109" s="198">
        <f t="shared" si="622"/>
        <v>7.6100000000000039</v>
      </c>
      <c r="I109" s="198">
        <f t="shared" si="622"/>
        <v>14.909999999999998</v>
      </c>
      <c r="J109" s="198">
        <f t="shared" si="622"/>
        <v>33.800000000000004</v>
      </c>
      <c r="K109" s="198">
        <f t="shared" si="622"/>
        <v>13.06600000000001</v>
      </c>
      <c r="L109" s="198">
        <f t="shared" si="622"/>
        <v>7.7839999999999918</v>
      </c>
      <c r="M109" s="198">
        <f t="shared" si="622"/>
        <v>17.215000000000025</v>
      </c>
      <c r="N109" s="198">
        <f t="shared" si="622"/>
        <v>9.2300000000000182</v>
      </c>
      <c r="O109" s="198">
        <f t="shared" si="622"/>
        <v>12.694999999999997</v>
      </c>
      <c r="P109" s="198">
        <f t="shared" si="622"/>
        <v>-6.1249999999999751</v>
      </c>
      <c r="Q109" s="198">
        <f t="shared" si="622"/>
        <v>104.75899999999999</v>
      </c>
      <c r="R109" s="198">
        <f t="shared" si="622"/>
        <v>12.771000000000065</v>
      </c>
      <c r="S109" s="198">
        <f t="shared" si="622"/>
        <v>-91.043000000000035</v>
      </c>
      <c r="T109" s="198">
        <f t="shared" si="622"/>
        <v>-24.207999999999956</v>
      </c>
      <c r="U109" s="198">
        <f t="shared" si="622"/>
        <v>-63.925999999999966</v>
      </c>
      <c r="V109" s="198">
        <f t="shared" si="622"/>
        <v>-184.06100000000001</v>
      </c>
      <c r="W109" s="198">
        <f t="shared" si="622"/>
        <v>9.6640000000000441</v>
      </c>
      <c r="X109" s="198">
        <f t="shared" si="622"/>
        <v>-0.22299999999999187</v>
      </c>
      <c r="Y109" s="198">
        <f t="shared" si="622"/>
        <v>162.35999999999999</v>
      </c>
      <c r="Z109" s="198">
        <f t="shared" si="622"/>
        <v>-2.3780000000000019</v>
      </c>
      <c r="AA109" s="198">
        <f t="shared" si="622"/>
        <v>-214.78700000000003</v>
      </c>
      <c r="AB109" s="198">
        <f t="shared" si="622"/>
        <v>-7.1550000000000189</v>
      </c>
      <c r="AC109" s="198">
        <f t="shared" si="622"/>
        <v>-157.49699999999996</v>
      </c>
      <c r="AD109" s="198">
        <f t="shared" si="622"/>
        <v>7.6910000000000025</v>
      </c>
      <c r="AE109" s="198">
        <f t="shared" si="622"/>
        <v>14.409999999999975</v>
      </c>
      <c r="AF109" s="198">
        <f t="shared" si="622"/>
        <v>101.41099999999994</v>
      </c>
      <c r="AG109" s="196">
        <f t="shared" si="622"/>
        <v>-28.236999999999966</v>
      </c>
      <c r="AH109" s="196">
        <f t="shared" si="622"/>
        <v>-225.99200000000002</v>
      </c>
      <c r="AI109" s="196">
        <f t="shared" ref="AI109:BN109" si="623">AI88-AH88-AI94</f>
        <v>6.9469999999999885</v>
      </c>
      <c r="AJ109" s="196">
        <f t="shared" si="623"/>
        <v>5.5230000000000103</v>
      </c>
      <c r="AK109" s="202">
        <f t="shared" si="623"/>
        <v>87.74899999999991</v>
      </c>
      <c r="AL109" s="202">
        <f t="shared" si="623"/>
        <v>1.9579999999999984</v>
      </c>
      <c r="AM109" s="327">
        <f t="shared" si="623"/>
        <v>-113.151</v>
      </c>
      <c r="AN109" s="327">
        <f t="shared" si="623"/>
        <v>4.2110000000000127</v>
      </c>
      <c r="AO109" s="327">
        <f t="shared" si="623"/>
        <v>-52.164999999999878</v>
      </c>
      <c r="AP109" s="327">
        <f>AP88-AO88-AP94</f>
        <v>1.1459999999998942</v>
      </c>
      <c r="AQ109" s="327">
        <f t="shared" si="623"/>
        <v>-129.76199999999997</v>
      </c>
      <c r="AR109" s="327">
        <f t="shared" si="623"/>
        <v>4.1929999999999978</v>
      </c>
      <c r="AS109" s="327">
        <f t="shared" si="623"/>
        <v>15.846000000000004</v>
      </c>
      <c r="AT109" s="358">
        <f t="shared" si="623"/>
        <v>3.4249999999999829</v>
      </c>
      <c r="AU109" s="357">
        <f t="shared" si="623"/>
        <v>0</v>
      </c>
      <c r="AV109" s="357">
        <f t="shared" si="623"/>
        <v>0</v>
      </c>
      <c r="AW109" s="357">
        <f t="shared" si="623"/>
        <v>-209.12075464699723</v>
      </c>
      <c r="AX109" s="357">
        <f t="shared" si="623"/>
        <v>0</v>
      </c>
      <c r="AY109" s="357">
        <f t="shared" si="623"/>
        <v>0</v>
      </c>
      <c r="AZ109" s="357">
        <f t="shared" si="623"/>
        <v>0</v>
      </c>
      <c r="BA109" s="357">
        <f t="shared" si="623"/>
        <v>-286.49479831089707</v>
      </c>
      <c r="BB109" s="357">
        <f t="shared" si="623"/>
        <v>0</v>
      </c>
      <c r="BC109" s="357">
        <f t="shared" si="623"/>
        <v>0</v>
      </c>
      <c r="BD109" s="357">
        <f t="shared" si="623"/>
        <v>0</v>
      </c>
      <c r="BE109" s="357">
        <f t="shared" si="623"/>
        <v>-474.40801917573714</v>
      </c>
      <c r="BF109" s="357">
        <f t="shared" si="623"/>
        <v>0</v>
      </c>
      <c r="BG109" s="357">
        <f t="shared" si="623"/>
        <v>0</v>
      </c>
      <c r="BH109" s="357">
        <f t="shared" si="623"/>
        <v>0</v>
      </c>
      <c r="BI109" s="357">
        <f t="shared" si="623"/>
        <v>-567.03654166360081</v>
      </c>
      <c r="BJ109" s="357">
        <f t="shared" si="623"/>
        <v>0</v>
      </c>
      <c r="BK109" s="357">
        <f t="shared" si="623"/>
        <v>-2.2737367544323206E-13</v>
      </c>
      <c r="BL109" s="357">
        <f t="shared" si="623"/>
        <v>0</v>
      </c>
      <c r="BM109" s="357">
        <f t="shared" si="623"/>
        <v>-601.71678446531655</v>
      </c>
      <c r="BN109" s="357">
        <f t="shared" si="623"/>
        <v>0</v>
      </c>
      <c r="BO109" s="357">
        <f t="shared" ref="BO109:BY109" si="624">BO88-BN88-BO94</f>
        <v>0</v>
      </c>
      <c r="BP109" s="357">
        <f t="shared" si="624"/>
        <v>0</v>
      </c>
      <c r="BQ109" s="357">
        <f t="shared" si="624"/>
        <v>-710.76143778149901</v>
      </c>
      <c r="BR109" s="357">
        <f t="shared" si="624"/>
        <v>-2.2737367544323206E-13</v>
      </c>
      <c r="BS109" s="357">
        <f t="shared" si="624"/>
        <v>-2.2737367544323206E-13</v>
      </c>
      <c r="BT109" s="357">
        <f t="shared" si="624"/>
        <v>0</v>
      </c>
      <c r="BU109" s="357">
        <f t="shared" si="624"/>
        <v>-596.87896213261331</v>
      </c>
      <c r="BV109" s="357">
        <f t="shared" si="624"/>
        <v>0</v>
      </c>
      <c r="BW109" s="357">
        <f t="shared" si="624"/>
        <v>0</v>
      </c>
      <c r="BX109" s="357">
        <f t="shared" si="624"/>
        <v>0</v>
      </c>
      <c r="BY109" s="357">
        <f t="shared" si="624"/>
        <v>-780.14521072285879</v>
      </c>
    </row>
    <row r="110" spans="1:77" s="14" customFormat="1">
      <c r="A110" s="384" t="s">
        <v>72</v>
      </c>
      <c r="B110" s="383"/>
      <c r="C110" s="383">
        <f t="shared" ref="C110:AH110" si="625">C93+C98+C103</f>
        <v>39.637999999999579</v>
      </c>
      <c r="D110" s="383">
        <f t="shared" si="625"/>
        <v>-6.3639999999998231</v>
      </c>
      <c r="E110" s="383">
        <f t="shared" si="625"/>
        <v>302.97099999999989</v>
      </c>
      <c r="F110" s="383">
        <f t="shared" si="625"/>
        <v>-112.9950000000001</v>
      </c>
      <c r="G110" s="383">
        <f t="shared" si="625"/>
        <v>-67.976000000000084</v>
      </c>
      <c r="H110" s="383">
        <f t="shared" si="625"/>
        <v>-37.296999999999755</v>
      </c>
      <c r="I110" s="383">
        <f t="shared" si="625"/>
        <v>-76.162000000000035</v>
      </c>
      <c r="J110" s="383">
        <f t="shared" si="625"/>
        <v>-15.357000000000198</v>
      </c>
      <c r="K110" s="383">
        <f t="shared" si="625"/>
        <v>171.05800000000033</v>
      </c>
      <c r="L110" s="383">
        <f t="shared" si="625"/>
        <v>-77.657000000000465</v>
      </c>
      <c r="M110" s="383">
        <f t="shared" si="625"/>
        <v>45.595000000000233</v>
      </c>
      <c r="N110" s="383">
        <f t="shared" si="625"/>
        <v>-71.002999999999957</v>
      </c>
      <c r="O110" s="383">
        <f t="shared" si="625"/>
        <v>10.93399999999977</v>
      </c>
      <c r="P110" s="383">
        <f t="shared" si="625"/>
        <v>13.953000000000529</v>
      </c>
      <c r="Q110" s="383">
        <f t="shared" si="625"/>
        <v>38.980999999999682</v>
      </c>
      <c r="R110" s="383">
        <f t="shared" si="625"/>
        <v>59.478000000000549</v>
      </c>
      <c r="S110" s="383">
        <f t="shared" si="625"/>
        <v>-15.568000000000495</v>
      </c>
      <c r="T110" s="383">
        <f t="shared" si="625"/>
        <v>16.706999999999709</v>
      </c>
      <c r="U110" s="383">
        <f t="shared" si="625"/>
        <v>-27.497999999999706</v>
      </c>
      <c r="V110" s="383">
        <f t="shared" si="625"/>
        <v>116.91799999999955</v>
      </c>
      <c r="W110" s="383">
        <f t="shared" si="625"/>
        <v>-64.389999999999986</v>
      </c>
      <c r="X110" s="383">
        <f t="shared" si="625"/>
        <v>189.41699999999986</v>
      </c>
      <c r="Y110" s="383">
        <f t="shared" si="625"/>
        <v>-53.428999999999547</v>
      </c>
      <c r="Z110" s="383">
        <f t="shared" si="625"/>
        <v>383.12800000000004</v>
      </c>
      <c r="AA110" s="383">
        <f t="shared" si="625"/>
        <v>-81.41300000000092</v>
      </c>
      <c r="AB110" s="383">
        <f t="shared" si="625"/>
        <v>-137.11799999999999</v>
      </c>
      <c r="AC110" s="383">
        <f t="shared" si="625"/>
        <v>59.028999999999996</v>
      </c>
      <c r="AD110" s="383">
        <f t="shared" si="625"/>
        <v>-57.432099999999849</v>
      </c>
      <c r="AE110" s="383">
        <f t="shared" si="625"/>
        <v>2.0561000000002352</v>
      </c>
      <c r="AF110" s="383">
        <f t="shared" si="625"/>
        <v>-45.358000000000317</v>
      </c>
      <c r="AG110" s="362">
        <f t="shared" si="625"/>
        <v>137.17599999999976</v>
      </c>
      <c r="AH110" s="362">
        <f t="shared" si="625"/>
        <v>202.62200000000007</v>
      </c>
      <c r="AI110" s="362">
        <f t="shared" ref="AI110:BN110" si="626">AI93+AI98+AI103</f>
        <v>-221.89999999999975</v>
      </c>
      <c r="AJ110" s="362">
        <f t="shared" si="626"/>
        <v>-3.7590000000005261</v>
      </c>
      <c r="AK110" s="390">
        <f t="shared" si="626"/>
        <v>478.81300000000067</v>
      </c>
      <c r="AL110" s="390">
        <f t="shared" si="626"/>
        <v>-53.380000000000507</v>
      </c>
      <c r="AM110" s="390">
        <f t="shared" si="626"/>
        <v>-160.73200000000048</v>
      </c>
      <c r="AN110" s="390">
        <f t="shared" si="626"/>
        <v>-156.52999999999926</v>
      </c>
      <c r="AO110" s="390">
        <f t="shared" si="626"/>
        <v>350.56699999999967</v>
      </c>
      <c r="AP110" s="390">
        <f t="shared" ref="AP110:AQ110" si="627">AP93+AP98+AP103</f>
        <v>-490.22799999999916</v>
      </c>
      <c r="AQ110" s="390">
        <f t="shared" si="627"/>
        <v>297.86199999999968</v>
      </c>
      <c r="AR110" s="390">
        <f t="shared" ref="AR110:AS110" si="628">AR93+AR98+AR103</f>
        <v>-34.171000000000163</v>
      </c>
      <c r="AS110" s="390">
        <f t="shared" si="628"/>
        <v>292.20999999999935</v>
      </c>
      <c r="AT110" s="391">
        <f t="shared" ref="AT110" si="629">AT93+AT98+AT103</f>
        <v>168.67400000000046</v>
      </c>
      <c r="AU110" s="364">
        <f t="shared" si="626"/>
        <v>-195.60112651129873</v>
      </c>
      <c r="AV110" s="364">
        <f t="shared" si="626"/>
        <v>207.24578272598166</v>
      </c>
      <c r="AW110" s="364">
        <f>AW93+AW98+AW103</f>
        <v>-75.266413087165347</v>
      </c>
      <c r="AX110" s="364">
        <f t="shared" si="626"/>
        <v>-118.61486267164389</v>
      </c>
      <c r="AY110" s="364">
        <f t="shared" si="626"/>
        <v>-6.7254522917283168</v>
      </c>
      <c r="AZ110" s="364">
        <f t="shared" si="626"/>
        <v>208.31657477247052</v>
      </c>
      <c r="BA110" s="364">
        <f t="shared" si="626"/>
        <v>174.35831678024601</v>
      </c>
      <c r="BB110" s="364">
        <f t="shared" si="626"/>
        <v>-141.29190650703657</v>
      </c>
      <c r="BC110" s="364">
        <f t="shared" si="626"/>
        <v>0.28075723125775198</v>
      </c>
      <c r="BD110" s="364">
        <f t="shared" si="626"/>
        <v>189.85479280087577</v>
      </c>
      <c r="BE110" s="364">
        <f t="shared" si="626"/>
        <v>17.891945882684411</v>
      </c>
      <c r="BF110" s="364">
        <f t="shared" si="626"/>
        <v>-119.88884393744848</v>
      </c>
      <c r="BG110" s="364">
        <f t="shared" si="626"/>
        <v>41.600371124595824</v>
      </c>
      <c r="BH110" s="364">
        <f t="shared" si="626"/>
        <v>252.53020849739301</v>
      </c>
      <c r="BI110" s="364">
        <f t="shared" si="626"/>
        <v>-33.987776874091196</v>
      </c>
      <c r="BJ110" s="364">
        <f t="shared" si="626"/>
        <v>-153.31348168450899</v>
      </c>
      <c r="BK110" s="364">
        <f t="shared" si="626"/>
        <v>68.104809714858845</v>
      </c>
      <c r="BL110" s="364">
        <f t="shared" si="626"/>
        <v>277.93908605770474</v>
      </c>
      <c r="BM110" s="364">
        <f t="shared" si="626"/>
        <v>0.71835390734463545</v>
      </c>
      <c r="BN110" s="364">
        <f t="shared" si="626"/>
        <v>-263.20502783693638</v>
      </c>
      <c r="BO110" s="364">
        <f t="shared" ref="BO110:BY110" si="630">BO93+BO98+BO103</f>
        <v>51.772036325740714</v>
      </c>
      <c r="BP110" s="364">
        <f t="shared" si="630"/>
        <v>251.73371203949682</v>
      </c>
      <c r="BQ110" s="364">
        <f t="shared" si="630"/>
        <v>-104.04362865037103</v>
      </c>
      <c r="BR110" s="364">
        <f t="shared" si="630"/>
        <v>-442.18635084633928</v>
      </c>
      <c r="BS110" s="364">
        <f t="shared" si="630"/>
        <v>-22.293284913824664</v>
      </c>
      <c r="BT110" s="364">
        <f t="shared" si="630"/>
        <v>195.9510887244075</v>
      </c>
      <c r="BU110" s="364">
        <f t="shared" si="630"/>
        <v>13.834384969091275</v>
      </c>
      <c r="BV110" s="364">
        <f t="shared" si="630"/>
        <v>-414.84963883710395</v>
      </c>
      <c r="BW110" s="364">
        <f t="shared" si="630"/>
        <v>71.090516142839078</v>
      </c>
      <c r="BX110" s="364">
        <f t="shared" si="630"/>
        <v>211.28858862899517</v>
      </c>
      <c r="BY110" s="364">
        <f t="shared" si="630"/>
        <v>-143.25015730832911</v>
      </c>
    </row>
    <row r="111" spans="1:77" s="14" customFormat="1">
      <c r="A111" s="384" t="s">
        <v>1014</v>
      </c>
      <c r="B111" s="383"/>
      <c r="C111" s="383">
        <f>B49+B48</f>
        <v>30.719000000000001</v>
      </c>
      <c r="D111" s="383">
        <f t="shared" ref="D111:AT111" si="631">C112</f>
        <v>70.356999999999999</v>
      </c>
      <c r="E111" s="383">
        <f t="shared" si="631"/>
        <v>63.992999999999995</v>
      </c>
      <c r="F111" s="383">
        <f t="shared" si="631"/>
        <v>366.964</v>
      </c>
      <c r="G111" s="383">
        <f t="shared" si="631"/>
        <v>253.96899999999999</v>
      </c>
      <c r="H111" s="383">
        <f t="shared" si="631"/>
        <v>185.99199999999999</v>
      </c>
      <c r="I111" s="383">
        <f t="shared" si="631"/>
        <v>148.69600000000003</v>
      </c>
      <c r="J111" s="383">
        <f t="shared" si="631"/>
        <v>72.534000000000006</v>
      </c>
      <c r="K111" s="383">
        <f t="shared" si="631"/>
        <v>57.177</v>
      </c>
      <c r="L111" s="383">
        <f t="shared" si="631"/>
        <v>228.23500000000001</v>
      </c>
      <c r="M111" s="383">
        <f t="shared" si="631"/>
        <v>150.578</v>
      </c>
      <c r="N111" s="383">
        <f t="shared" si="631"/>
        <v>196.173</v>
      </c>
      <c r="O111" s="383">
        <f t="shared" si="631"/>
        <v>125.17</v>
      </c>
      <c r="P111" s="383">
        <f t="shared" si="631"/>
        <v>136.10400000000001</v>
      </c>
      <c r="Q111" s="383">
        <f t="shared" si="631"/>
        <v>150.05600000000001</v>
      </c>
      <c r="R111" s="383">
        <f t="shared" si="631"/>
        <v>189.03799999999995</v>
      </c>
      <c r="S111" s="383">
        <f t="shared" si="631"/>
        <v>248.51600000000002</v>
      </c>
      <c r="T111" s="383">
        <f t="shared" si="631"/>
        <v>232.94800000000001</v>
      </c>
      <c r="U111" s="383">
        <f t="shared" si="631"/>
        <v>249.655</v>
      </c>
      <c r="V111" s="383">
        <f t="shared" si="631"/>
        <v>222.21899999999999</v>
      </c>
      <c r="W111" s="383">
        <f t="shared" si="631"/>
        <v>339.07499999999999</v>
      </c>
      <c r="X111" s="383">
        <f t="shared" si="631"/>
        <v>274.62599999999998</v>
      </c>
      <c r="Y111" s="383">
        <f t="shared" si="631"/>
        <v>464.10199999999998</v>
      </c>
      <c r="Z111" s="383">
        <f t="shared" si="631"/>
        <v>410.56700000000001</v>
      </c>
      <c r="AA111" s="383">
        <f t="shared" si="631"/>
        <v>793.06399999999996</v>
      </c>
      <c r="AB111" s="383">
        <f t="shared" si="631"/>
        <v>711.33600000000001</v>
      </c>
      <c r="AC111" s="383">
        <f t="shared" si="631"/>
        <v>574.01300000000003</v>
      </c>
      <c r="AD111" s="383">
        <f t="shared" si="631"/>
        <v>634.29</v>
      </c>
      <c r="AE111" s="383">
        <f t="shared" si="631"/>
        <v>576.85699999999997</v>
      </c>
      <c r="AF111" s="383">
        <f t="shared" si="631"/>
        <v>578.923</v>
      </c>
      <c r="AG111" s="362">
        <f t="shared" si="631"/>
        <v>533.58799999999997</v>
      </c>
      <c r="AH111" s="362">
        <f t="shared" si="631"/>
        <v>670.74099999999999</v>
      </c>
      <c r="AI111" s="362">
        <f t="shared" si="631"/>
        <v>873.36300000000006</v>
      </c>
      <c r="AJ111" s="362">
        <f t="shared" si="631"/>
        <v>651.46299999999997</v>
      </c>
      <c r="AK111" s="390">
        <f t="shared" si="631"/>
        <v>647.70399999999995</v>
      </c>
      <c r="AL111" s="390">
        <f t="shared" si="631"/>
        <v>1126.5170000000001</v>
      </c>
      <c r="AM111" s="390">
        <f t="shared" si="631"/>
        <v>1073.1369999999999</v>
      </c>
      <c r="AN111" s="390">
        <f t="shared" si="631"/>
        <v>912.40499999999997</v>
      </c>
      <c r="AO111" s="390">
        <f t="shared" si="631"/>
        <v>755.875</v>
      </c>
      <c r="AP111" s="390">
        <f>AO112</f>
        <v>1106.442</v>
      </c>
      <c r="AQ111" s="390">
        <f t="shared" si="631"/>
        <v>616.21400000000006</v>
      </c>
      <c r="AR111" s="390">
        <f t="shared" si="631"/>
        <v>914.08600000000001</v>
      </c>
      <c r="AS111" s="390">
        <f t="shared" si="631"/>
        <v>879.90499999999997</v>
      </c>
      <c r="AT111" s="391">
        <f t="shared" si="631"/>
        <v>1172.115</v>
      </c>
      <c r="AU111" s="364">
        <f t="shared" ref="AU111:BI111" si="632">AT112</f>
        <v>1340.789</v>
      </c>
      <c r="AV111" s="364">
        <f t="shared" si="632"/>
        <v>1145.1878734887014</v>
      </c>
      <c r="AW111" s="364">
        <f t="shared" si="632"/>
        <v>1352.433656214683</v>
      </c>
      <c r="AX111" s="364">
        <f t="shared" si="632"/>
        <v>1277.1672431275176</v>
      </c>
      <c r="AY111" s="364">
        <f t="shared" si="632"/>
        <v>1158.5523804558738</v>
      </c>
      <c r="AZ111" s="364">
        <f t="shared" si="632"/>
        <v>1151.8269281641456</v>
      </c>
      <c r="BA111" s="364">
        <f t="shared" si="632"/>
        <v>1360.1435029366162</v>
      </c>
      <c r="BB111" s="364">
        <f t="shared" si="632"/>
        <v>1534.5018197168622</v>
      </c>
      <c r="BC111" s="364">
        <f t="shared" si="632"/>
        <v>1393.2099132098256</v>
      </c>
      <c r="BD111" s="364">
        <f t="shared" si="632"/>
        <v>1393.4906704410832</v>
      </c>
      <c r="BE111" s="364">
        <f t="shared" si="632"/>
        <v>1583.3454632419589</v>
      </c>
      <c r="BF111" s="364">
        <f t="shared" si="632"/>
        <v>1601.2374091246434</v>
      </c>
      <c r="BG111" s="364">
        <f t="shared" si="632"/>
        <v>1481.3485651871949</v>
      </c>
      <c r="BH111" s="364">
        <f t="shared" si="632"/>
        <v>1522.9489363117907</v>
      </c>
      <c r="BI111" s="364">
        <f t="shared" si="632"/>
        <v>1775.4791448091837</v>
      </c>
      <c r="BJ111" s="364">
        <f t="shared" ref="BJ111" si="633">BI112</f>
        <v>1741.4913679350925</v>
      </c>
      <c r="BK111" s="364">
        <f t="shared" ref="BK111" si="634">BJ112</f>
        <v>1588.1778862505835</v>
      </c>
      <c r="BL111" s="364">
        <f t="shared" ref="BL111" si="635">BK112</f>
        <v>1656.2826959654424</v>
      </c>
      <c r="BM111" s="364">
        <f t="shared" ref="BM111" si="636">BL112</f>
        <v>1934.2217820231472</v>
      </c>
      <c r="BN111" s="364">
        <f t="shared" ref="BN111" si="637">BM112</f>
        <v>1934.9401359304918</v>
      </c>
      <c r="BO111" s="364">
        <f t="shared" ref="BO111" si="638">BN112</f>
        <v>1671.7351080935555</v>
      </c>
      <c r="BP111" s="364">
        <f t="shared" ref="BP111" si="639">BO112</f>
        <v>1723.5071444192963</v>
      </c>
      <c r="BQ111" s="364">
        <f t="shared" ref="BQ111" si="640">BP112</f>
        <v>1975.2408564587931</v>
      </c>
      <c r="BR111" s="364">
        <f t="shared" ref="BR111" si="641">BQ112</f>
        <v>1871.1972278084222</v>
      </c>
      <c r="BS111" s="364">
        <f t="shared" ref="BS111" si="642">BR112</f>
        <v>1429.0108769620829</v>
      </c>
      <c r="BT111" s="364">
        <f t="shared" ref="BT111" si="643">BS112</f>
        <v>1406.7175920482582</v>
      </c>
      <c r="BU111" s="364">
        <f t="shared" ref="BU111" si="644">BT112</f>
        <v>1602.6686807726658</v>
      </c>
      <c r="BV111" s="364">
        <f t="shared" ref="BV111" si="645">BU112</f>
        <v>1616.5030657417569</v>
      </c>
      <c r="BW111" s="364">
        <f t="shared" ref="BW111" si="646">BV112</f>
        <v>1201.6534269046529</v>
      </c>
      <c r="BX111" s="364">
        <f t="shared" ref="BX111" si="647">BW112</f>
        <v>1272.7439430474919</v>
      </c>
      <c r="BY111" s="364">
        <f t="shared" ref="BY111" si="648">BX112</f>
        <v>1484.032531676487</v>
      </c>
    </row>
    <row r="112" spans="1:77" s="14" customFormat="1">
      <c r="A112" s="384" t="s">
        <v>1015</v>
      </c>
      <c r="B112" s="383"/>
      <c r="C112" s="383">
        <f t="shared" ref="C112:AO112" si="649">C49+C48</f>
        <v>70.356999999999999</v>
      </c>
      <c r="D112" s="383">
        <f t="shared" si="649"/>
        <v>63.992999999999995</v>
      </c>
      <c r="E112" s="383">
        <f t="shared" si="649"/>
        <v>366.964</v>
      </c>
      <c r="F112" s="383">
        <f t="shared" si="649"/>
        <v>253.96899999999999</v>
      </c>
      <c r="G112" s="383">
        <f t="shared" si="649"/>
        <v>185.99199999999999</v>
      </c>
      <c r="H112" s="383">
        <f t="shared" si="649"/>
        <v>148.69600000000003</v>
      </c>
      <c r="I112" s="383">
        <f t="shared" si="649"/>
        <v>72.534000000000006</v>
      </c>
      <c r="J112" s="383">
        <f t="shared" si="649"/>
        <v>57.177</v>
      </c>
      <c r="K112" s="383">
        <f t="shared" si="649"/>
        <v>228.23500000000001</v>
      </c>
      <c r="L112" s="383">
        <f t="shared" si="649"/>
        <v>150.578</v>
      </c>
      <c r="M112" s="383">
        <f t="shared" si="649"/>
        <v>196.173</v>
      </c>
      <c r="N112" s="383">
        <f t="shared" si="649"/>
        <v>125.17</v>
      </c>
      <c r="O112" s="383">
        <f t="shared" si="649"/>
        <v>136.10400000000001</v>
      </c>
      <c r="P112" s="383">
        <f t="shared" si="649"/>
        <v>150.05600000000001</v>
      </c>
      <c r="Q112" s="383">
        <f t="shared" si="649"/>
        <v>189.03799999999995</v>
      </c>
      <c r="R112" s="383">
        <f t="shared" si="649"/>
        <v>248.51600000000002</v>
      </c>
      <c r="S112" s="383">
        <f t="shared" si="649"/>
        <v>232.94800000000001</v>
      </c>
      <c r="T112" s="383">
        <f t="shared" si="649"/>
        <v>249.655</v>
      </c>
      <c r="U112" s="383">
        <f t="shared" si="649"/>
        <v>222.21899999999999</v>
      </c>
      <c r="V112" s="383">
        <f t="shared" si="649"/>
        <v>339.07499999999999</v>
      </c>
      <c r="W112" s="383">
        <f t="shared" si="649"/>
        <v>274.62599999999998</v>
      </c>
      <c r="X112" s="383">
        <f t="shared" si="649"/>
        <v>464.10199999999998</v>
      </c>
      <c r="Y112" s="383">
        <f t="shared" si="649"/>
        <v>410.56700000000001</v>
      </c>
      <c r="Z112" s="383">
        <f t="shared" si="649"/>
        <v>793.06399999999996</v>
      </c>
      <c r="AA112" s="383">
        <f t="shared" si="649"/>
        <v>711.33600000000001</v>
      </c>
      <c r="AB112" s="383">
        <f t="shared" si="649"/>
        <v>574.01300000000003</v>
      </c>
      <c r="AC112" s="383">
        <f t="shared" si="649"/>
        <v>634.29</v>
      </c>
      <c r="AD112" s="383">
        <f t="shared" si="649"/>
        <v>576.85699999999997</v>
      </c>
      <c r="AE112" s="383">
        <f t="shared" si="649"/>
        <v>578.923</v>
      </c>
      <c r="AF112" s="383">
        <f t="shared" si="649"/>
        <v>533.58799999999997</v>
      </c>
      <c r="AG112" s="362">
        <f t="shared" si="649"/>
        <v>670.74099999999999</v>
      </c>
      <c r="AH112" s="362">
        <f t="shared" si="649"/>
        <v>873.36300000000006</v>
      </c>
      <c r="AI112" s="362">
        <f t="shared" si="649"/>
        <v>651.46299999999997</v>
      </c>
      <c r="AJ112" s="362">
        <f t="shared" si="649"/>
        <v>647.70399999999995</v>
      </c>
      <c r="AK112" s="390">
        <f t="shared" si="649"/>
        <v>1126.5170000000001</v>
      </c>
      <c r="AL112" s="390">
        <f t="shared" si="649"/>
        <v>1073.1369999999999</v>
      </c>
      <c r="AM112" s="390">
        <f t="shared" si="649"/>
        <v>912.40499999999997</v>
      </c>
      <c r="AN112" s="390">
        <f t="shared" si="649"/>
        <v>755.875</v>
      </c>
      <c r="AO112" s="390">
        <f t="shared" si="649"/>
        <v>1106.442</v>
      </c>
      <c r="AP112" s="390">
        <f t="shared" ref="AP112:AQ112" si="650">AP49+AP48</f>
        <v>616.21400000000006</v>
      </c>
      <c r="AQ112" s="390">
        <f t="shared" si="650"/>
        <v>914.08600000000001</v>
      </c>
      <c r="AR112" s="390">
        <f t="shared" ref="AR112:AS112" si="651">AR49+AR48</f>
        <v>879.90499999999997</v>
      </c>
      <c r="AS112" s="390">
        <f t="shared" si="651"/>
        <v>1172.115</v>
      </c>
      <c r="AT112" s="391">
        <f t="shared" ref="AT112" si="652">AT49+AT48</f>
        <v>1340.789</v>
      </c>
      <c r="AU112" s="364">
        <f t="shared" ref="AU112:BI112" si="653">AU110+AU111</f>
        <v>1145.1878734887014</v>
      </c>
      <c r="AV112" s="364">
        <f t="shared" si="653"/>
        <v>1352.433656214683</v>
      </c>
      <c r="AW112" s="364">
        <f t="shared" si="653"/>
        <v>1277.1672431275176</v>
      </c>
      <c r="AX112" s="364">
        <f t="shared" si="653"/>
        <v>1158.5523804558738</v>
      </c>
      <c r="AY112" s="364">
        <f t="shared" si="653"/>
        <v>1151.8269281641456</v>
      </c>
      <c r="AZ112" s="364">
        <f t="shared" si="653"/>
        <v>1360.1435029366162</v>
      </c>
      <c r="BA112" s="364">
        <f t="shared" si="653"/>
        <v>1534.5018197168622</v>
      </c>
      <c r="BB112" s="364">
        <f t="shared" si="653"/>
        <v>1393.2099132098256</v>
      </c>
      <c r="BC112" s="364">
        <f t="shared" si="653"/>
        <v>1393.4906704410832</v>
      </c>
      <c r="BD112" s="364">
        <f t="shared" si="653"/>
        <v>1583.3454632419589</v>
      </c>
      <c r="BE112" s="364">
        <f t="shared" si="653"/>
        <v>1601.2374091246434</v>
      </c>
      <c r="BF112" s="364">
        <f t="shared" si="653"/>
        <v>1481.3485651871949</v>
      </c>
      <c r="BG112" s="364">
        <f t="shared" si="653"/>
        <v>1522.9489363117907</v>
      </c>
      <c r="BH112" s="364">
        <f t="shared" si="653"/>
        <v>1775.4791448091837</v>
      </c>
      <c r="BI112" s="364">
        <f t="shared" si="653"/>
        <v>1741.4913679350925</v>
      </c>
      <c r="BJ112" s="364">
        <f t="shared" ref="BJ112:BY112" si="654">BJ110+BJ111</f>
        <v>1588.1778862505835</v>
      </c>
      <c r="BK112" s="364">
        <f t="shared" si="654"/>
        <v>1656.2826959654424</v>
      </c>
      <c r="BL112" s="364">
        <f t="shared" si="654"/>
        <v>1934.2217820231472</v>
      </c>
      <c r="BM112" s="364">
        <f t="shared" si="654"/>
        <v>1934.9401359304918</v>
      </c>
      <c r="BN112" s="364">
        <f t="shared" si="654"/>
        <v>1671.7351080935555</v>
      </c>
      <c r="BO112" s="364">
        <f t="shared" si="654"/>
        <v>1723.5071444192963</v>
      </c>
      <c r="BP112" s="364">
        <f t="shared" si="654"/>
        <v>1975.2408564587931</v>
      </c>
      <c r="BQ112" s="364">
        <f t="shared" si="654"/>
        <v>1871.1972278084222</v>
      </c>
      <c r="BR112" s="364">
        <f t="shared" si="654"/>
        <v>1429.0108769620829</v>
      </c>
      <c r="BS112" s="364">
        <f t="shared" si="654"/>
        <v>1406.7175920482582</v>
      </c>
      <c r="BT112" s="364">
        <f t="shared" si="654"/>
        <v>1602.6686807726658</v>
      </c>
      <c r="BU112" s="364">
        <f t="shared" si="654"/>
        <v>1616.5030657417569</v>
      </c>
      <c r="BV112" s="364">
        <f t="shared" si="654"/>
        <v>1201.6534269046529</v>
      </c>
      <c r="BW112" s="364">
        <f t="shared" si="654"/>
        <v>1272.7439430474919</v>
      </c>
      <c r="BX112" s="364">
        <f t="shared" si="654"/>
        <v>1484.032531676487</v>
      </c>
      <c r="BY112" s="364">
        <f t="shared" si="654"/>
        <v>1340.7823743681579</v>
      </c>
    </row>
    <row r="113" spans="1:77">
      <c r="AG113" s="196"/>
      <c r="AH113" s="196"/>
      <c r="AI113" s="196"/>
      <c r="AJ113" s="196"/>
      <c r="AK113" s="202"/>
      <c r="AL113" s="202"/>
      <c r="AM113" s="202"/>
      <c r="AN113" s="202"/>
      <c r="AO113" s="202"/>
      <c r="AP113" s="202"/>
      <c r="AQ113" s="202"/>
      <c r="AR113" s="202"/>
      <c r="AS113" s="202"/>
      <c r="AT113" s="355"/>
      <c r="AU113" s="196"/>
      <c r="AV113" s="196"/>
      <c r="AW113" s="196"/>
      <c r="AX113" s="196"/>
      <c r="AY113" s="196"/>
      <c r="AZ113" s="196"/>
      <c r="BA113" s="196"/>
      <c r="BB113" s="196"/>
      <c r="BC113" s="196"/>
      <c r="BD113" s="196"/>
      <c r="BE113" s="196"/>
      <c r="BF113" s="196"/>
      <c r="BG113" s="196"/>
      <c r="BH113" s="196"/>
      <c r="BI113" s="196"/>
      <c r="BJ113" s="196"/>
      <c r="BK113" s="196"/>
      <c r="BL113" s="196"/>
      <c r="BM113" s="196"/>
      <c r="BN113" s="196"/>
      <c r="BO113" s="196"/>
      <c r="BP113" s="196"/>
      <c r="BQ113" s="196"/>
      <c r="BR113" s="196"/>
      <c r="BS113" s="196"/>
      <c r="BT113" s="196"/>
      <c r="BU113" s="196"/>
      <c r="BV113" s="196"/>
      <c r="BW113" s="196"/>
      <c r="BX113" s="196"/>
      <c r="BY113" s="196"/>
    </row>
    <row r="114" spans="1:77" s="1401" customFormat="1">
      <c r="A114" s="1718" t="s">
        <v>558</v>
      </c>
      <c r="B114" s="1719"/>
      <c r="C114" s="1719"/>
      <c r="D114" s="1719"/>
      <c r="E114" s="1719"/>
      <c r="F114" s="1719"/>
      <c r="G114" s="1719"/>
      <c r="H114" s="1719"/>
      <c r="I114" s="1719"/>
      <c r="J114" s="1719"/>
      <c r="K114" s="1719"/>
      <c r="L114" s="1719"/>
      <c r="M114" s="1719"/>
      <c r="N114" s="1719"/>
      <c r="O114" s="1720"/>
      <c r="P114" s="1720"/>
      <c r="Q114" s="1720"/>
      <c r="R114" s="1720"/>
      <c r="S114" s="1720"/>
      <c r="T114" s="1721"/>
      <c r="U114" s="1721"/>
      <c r="V114" s="1722"/>
      <c r="W114" s="1722"/>
      <c r="X114" s="1722"/>
      <c r="Y114" s="1722"/>
      <c r="Z114" s="1722"/>
      <c r="AA114" s="1722"/>
      <c r="AB114" s="1722"/>
      <c r="AC114" s="1722"/>
      <c r="AD114" s="1722"/>
      <c r="AE114" s="1722"/>
      <c r="AF114" s="1722"/>
      <c r="AG114" s="1722"/>
      <c r="AH114" s="1722"/>
      <c r="AI114" s="1722"/>
      <c r="AJ114" s="1722"/>
      <c r="AK114" s="1722"/>
      <c r="AL114" s="1722"/>
      <c r="AM114" s="1722"/>
      <c r="AN114" s="1722"/>
      <c r="AO114" s="1722"/>
      <c r="AP114" s="1722"/>
      <c r="AQ114" s="1722"/>
      <c r="AR114" s="1722"/>
      <c r="AS114" s="1722"/>
      <c r="AT114" s="1481"/>
      <c r="AU114" s="1722"/>
      <c r="AV114" s="1722"/>
      <c r="AW114" s="1722"/>
      <c r="AX114" s="1722"/>
      <c r="AY114" s="1722"/>
      <c r="AZ114" s="1722"/>
      <c r="BA114" s="1722"/>
      <c r="BB114" s="1722"/>
      <c r="BC114" s="238"/>
      <c r="BD114" s="238"/>
      <c r="BE114" s="238"/>
      <c r="BF114" s="238"/>
      <c r="BG114" s="238"/>
      <c r="BH114" s="238"/>
      <c r="BI114" s="238"/>
      <c r="BJ114" s="238"/>
      <c r="BK114" s="238"/>
      <c r="BL114" s="238"/>
      <c r="BM114" s="238"/>
      <c r="BN114" s="238"/>
      <c r="BO114" s="238"/>
      <c r="BP114" s="238"/>
      <c r="BQ114" s="238"/>
      <c r="BR114" s="238"/>
      <c r="BS114" s="238"/>
      <c r="BT114" s="238"/>
      <c r="BU114" s="238"/>
      <c r="BV114" s="238"/>
      <c r="BW114" s="238"/>
      <c r="BX114" s="238"/>
      <c r="BY114" s="238"/>
    </row>
    <row r="115" spans="1:77" ht="13.5" hidden="1" customHeight="1" outlineLevel="1">
      <c r="A115" s="370" t="s">
        <v>663</v>
      </c>
      <c r="B115" s="839">
        <f>78.36-B24</f>
        <v>-9.9999999999056399E-4</v>
      </c>
      <c r="C115" s="839">
        <f>83.033-C24</f>
        <v>-9.9999999999056399E-4</v>
      </c>
      <c r="D115" s="839">
        <f>55.611-D24</f>
        <v>-9.9999999999766942E-4</v>
      </c>
      <c r="E115" s="839">
        <f>39.228-E24</f>
        <v>-9.9999999999766942E-4</v>
      </c>
      <c r="F115" s="839">
        <f>27.026-F24</f>
        <v>-3.1974423109204508E-14</v>
      </c>
      <c r="G115" s="839">
        <f>5.149-G24</f>
        <v>-7.9936057773011271E-15</v>
      </c>
      <c r="H115" s="839">
        <f>27.182-H24</f>
        <v>0</v>
      </c>
      <c r="I115" s="839">
        <f>69.016-I24</f>
        <v>0</v>
      </c>
      <c r="J115" s="839">
        <f>4.699-J24</f>
        <v>0</v>
      </c>
      <c r="K115" s="839">
        <f>42.401-K24</f>
        <v>0</v>
      </c>
      <c r="L115" s="839">
        <f>94.779-L24</f>
        <v>0</v>
      </c>
      <c r="M115" s="839">
        <f>101.3-M24</f>
        <v>0</v>
      </c>
      <c r="N115" s="839">
        <f>41.839-N24</f>
        <v>0</v>
      </c>
      <c r="O115" s="839">
        <f>85.921-O24</f>
        <v>0</v>
      </c>
      <c r="P115" s="839">
        <f>124.78-P24</f>
        <v>0</v>
      </c>
      <c r="Q115" s="841">
        <f>148.782-Q24</f>
        <v>0</v>
      </c>
      <c r="R115" s="839">
        <f>127.441-R24</f>
        <v>1.0000000000474074E-3</v>
      </c>
      <c r="S115" s="839">
        <f>145.491-S24</f>
        <v>0</v>
      </c>
      <c r="T115" s="839">
        <f>193.817-T24</f>
        <v>0</v>
      </c>
      <c r="U115" s="839">
        <f>99.377-U24</f>
        <v>1.0000000000616183E-3</v>
      </c>
      <c r="V115" s="839">
        <f>147.109-V24</f>
        <v>0</v>
      </c>
      <c r="W115" s="841">
        <f>188.537-W24</f>
        <v>2.7830000000000439</v>
      </c>
      <c r="X115" s="841">
        <f>177.158-X24</f>
        <v>-2.1910000000000025</v>
      </c>
      <c r="Y115" s="839">
        <f>70.423-Y24</f>
        <v>0</v>
      </c>
      <c r="Z115" s="839">
        <f>119.393-Z24</f>
        <v>0</v>
      </c>
      <c r="AA115" s="839">
        <f>232.788-AA24</f>
        <v>0</v>
      </c>
      <c r="AB115" s="839">
        <f>156.495-AB24</f>
        <v>0</v>
      </c>
      <c r="AC115" s="839">
        <f>143.084-AC24</f>
        <v>0</v>
      </c>
      <c r="AD115" s="839">
        <f>212.914-AD24</f>
        <v>0</v>
      </c>
      <c r="AE115" s="839">
        <f>238.496-AE24</f>
        <v>0</v>
      </c>
      <c r="AF115" s="839">
        <f>163.364-AF24</f>
        <v>0</v>
      </c>
      <c r="AG115" s="839">
        <f>136.429-AG24</f>
        <v>0</v>
      </c>
      <c r="AH115" s="839">
        <f>AH24-224.237</f>
        <v>0</v>
      </c>
      <c r="AI115" s="839">
        <f>AI24-308.757</f>
        <v>0</v>
      </c>
      <c r="AJ115" s="839">
        <f>AJ24-278.772</f>
        <v>0</v>
      </c>
      <c r="AK115" s="690">
        <f>AK24-288.769</f>
        <v>0</v>
      </c>
      <c r="AL115" s="690">
        <f>AL24-203.571</f>
        <v>-7.4170000000000016</v>
      </c>
      <c r="AM115" s="690">
        <f>AM24-339.147</f>
        <v>0</v>
      </c>
      <c r="AN115" s="690">
        <f>AN24-352.044</f>
        <v>0</v>
      </c>
      <c r="AO115" s="690">
        <f>AO24-348.144</f>
        <v>0.36399999999991905</v>
      </c>
      <c r="AP115" s="690">
        <f>AP24-277.772</f>
        <v>0</v>
      </c>
      <c r="AQ115" s="690">
        <f>AQ24-317.267</f>
        <v>0</v>
      </c>
      <c r="AR115" s="690">
        <f>AR24-319.926</f>
        <v>1.999999999998181E-2</v>
      </c>
      <c r="AS115" s="690">
        <f>AS24-529.412</f>
        <v>0</v>
      </c>
      <c r="AT115" s="2114">
        <f>AT24-402.644</f>
        <v>0</v>
      </c>
      <c r="AU115" s="202"/>
      <c r="AV115" s="202"/>
      <c r="AW115" s="202"/>
      <c r="AX115" s="202"/>
      <c r="AY115" s="202"/>
      <c r="AZ115" s="202"/>
      <c r="BA115" s="202"/>
      <c r="BB115" s="202"/>
      <c r="BC115" s="202"/>
      <c r="BD115" s="202"/>
      <c r="BE115" s="202"/>
      <c r="BF115" s="202"/>
      <c r="BG115" s="202"/>
      <c r="BH115" s="202"/>
      <c r="BI115" s="202"/>
      <c r="BJ115" s="202"/>
      <c r="BK115" s="202"/>
      <c r="BL115" s="202"/>
      <c r="BM115" s="202"/>
      <c r="BN115" s="202"/>
      <c r="BO115" s="202"/>
      <c r="BP115" s="202"/>
      <c r="BQ115" s="202"/>
      <c r="BR115" s="202"/>
      <c r="BS115" s="202"/>
      <c r="BT115" s="202"/>
      <c r="BU115" s="202"/>
      <c r="BV115" s="202"/>
      <c r="BW115" s="202"/>
      <c r="BX115" s="202"/>
      <c r="BY115" s="202"/>
    </row>
    <row r="116" spans="1:77" s="1401" customFormat="1" ht="13.5" hidden="1" customHeight="1" outlineLevel="1">
      <c r="A116" s="370" t="s">
        <v>1420</v>
      </c>
      <c r="B116" s="839">
        <f ca="1">101.171-B22</f>
        <v>101.17100000000001</v>
      </c>
      <c r="C116" s="839">
        <f>87.437-C22</f>
        <v>0</v>
      </c>
      <c r="D116" s="839">
        <f>44.695-D22</f>
        <v>0</v>
      </c>
      <c r="E116" s="839">
        <f>56.302-E22</f>
        <v>0</v>
      </c>
      <c r="F116" s="839">
        <f>31.251-F22</f>
        <v>0</v>
      </c>
      <c r="G116" s="839">
        <f>23.787-G22</f>
        <v>0</v>
      </c>
      <c r="H116" s="839">
        <f>22.843-H22</f>
        <v>0</v>
      </c>
      <c r="I116" s="839">
        <f>54.726-I22</f>
        <v>0</v>
      </c>
      <c r="J116" s="839">
        <f>13.383-J22</f>
        <v>0</v>
      </c>
      <c r="K116" s="839">
        <f>34.974-K22</f>
        <v>0</v>
      </c>
      <c r="L116" s="839">
        <f>64.412-L22</f>
        <v>0</v>
      </c>
      <c r="M116" s="839">
        <f>77.023-M22</f>
        <v>0</v>
      </c>
      <c r="N116" s="839">
        <f>44.195-N22</f>
        <v>0</v>
      </c>
      <c r="O116" s="839">
        <f>76.502-O22</f>
        <v>0</v>
      </c>
      <c r="P116" s="839">
        <f>122.787-P22</f>
        <v>0</v>
      </c>
      <c r="Q116" s="839">
        <v>0</v>
      </c>
      <c r="R116" s="839">
        <f>139.49-R22</f>
        <v>0</v>
      </c>
      <c r="S116" s="839">
        <f>150.915-S22</f>
        <v>0</v>
      </c>
      <c r="T116" s="839">
        <f>191.522-T22</f>
        <v>0</v>
      </c>
      <c r="U116" s="839">
        <f>130.655-U22</f>
        <v>0</v>
      </c>
      <c r="V116" s="839">
        <f>147.094-V22</f>
        <v>0</v>
      </c>
      <c r="W116" s="841">
        <f>163.075-W22</f>
        <v>0</v>
      </c>
      <c r="X116" s="841">
        <f>154.213-X22</f>
        <v>0</v>
      </c>
      <c r="Y116" s="839">
        <f>68.637-Y48</f>
        <v>0.28749999999999432</v>
      </c>
      <c r="Z116" s="839">
        <f>108.076-Z22</f>
        <v>0</v>
      </c>
      <c r="AA116" s="839">
        <f>238.271-AA22</f>
        <v>0</v>
      </c>
      <c r="AB116" s="839">
        <f>161.054-AB22</f>
        <v>0</v>
      </c>
      <c r="AC116" s="839">
        <f>144.42-AC22</f>
        <v>0</v>
      </c>
      <c r="AD116" s="839">
        <f>211.639-AD22</f>
        <v>0</v>
      </c>
      <c r="AE116" s="839">
        <f>238.669-AE22</f>
        <v>0</v>
      </c>
      <c r="AF116" s="839">
        <f>168.426-AF22</f>
        <v>0</v>
      </c>
      <c r="AG116" s="839">
        <f>147.506-AG22</f>
        <v>0</v>
      </c>
      <c r="AH116" s="839">
        <f>227.046-AH22</f>
        <v>0</v>
      </c>
      <c r="AI116" s="839">
        <f>256.918-AI22</f>
        <v>0</v>
      </c>
      <c r="AJ116" s="839">
        <f>287.612-AJ22</f>
        <v>-7.0999999999969532E-2</v>
      </c>
      <c r="AK116" s="690">
        <f>319.878-AK22</f>
        <v>0</v>
      </c>
      <c r="AL116" s="690">
        <f>225.104-AL22</f>
        <v>0</v>
      </c>
      <c r="AM116" s="690">
        <f>318.903-AM22</f>
        <v>0</v>
      </c>
      <c r="AN116" s="690">
        <f>411.909-AN22</f>
        <v>0</v>
      </c>
      <c r="AO116" s="690">
        <f>346.297-AO22</f>
        <v>0</v>
      </c>
      <c r="AP116" s="690">
        <f>333.75-AP22</f>
        <v>-4.9999999999954525E-3</v>
      </c>
      <c r="AQ116" s="690">
        <f>368.704-AQ22</f>
        <v>0</v>
      </c>
      <c r="AR116" s="690">
        <f>341.638-AR22</f>
        <v>0</v>
      </c>
      <c r="AS116" s="690">
        <f>400.991-AS22</f>
        <v>0</v>
      </c>
      <c r="AT116" s="689">
        <f>475.34-AT22</f>
        <v>0</v>
      </c>
      <c r="AU116" s="202"/>
      <c r="AV116" s="202"/>
      <c r="AW116" s="202"/>
      <c r="AX116" s="202"/>
      <c r="AY116" s="202"/>
      <c r="AZ116" s="202"/>
      <c r="BA116" s="202"/>
      <c r="BB116" s="202"/>
      <c r="BC116" s="202"/>
      <c r="BD116" s="202"/>
      <c r="BE116" s="202"/>
      <c r="BF116" s="202"/>
      <c r="BG116" s="202"/>
      <c r="BH116" s="202"/>
      <c r="BI116" s="202"/>
      <c r="BJ116" s="202"/>
      <c r="BK116" s="202"/>
      <c r="BL116" s="202"/>
      <c r="BM116" s="202"/>
      <c r="BN116" s="202"/>
      <c r="BO116" s="202"/>
      <c r="BP116" s="202"/>
      <c r="BQ116" s="202"/>
      <c r="BR116" s="202"/>
      <c r="BS116" s="202"/>
      <c r="BT116" s="202"/>
      <c r="BU116" s="202"/>
      <c r="BV116" s="202"/>
      <c r="BW116" s="202"/>
      <c r="BX116" s="202"/>
      <c r="BY116" s="202"/>
    </row>
    <row r="117" spans="1:77" ht="13.5" hidden="1" customHeight="1" outlineLevel="1">
      <c r="A117" s="370" t="s">
        <v>664</v>
      </c>
      <c r="B117" s="839">
        <f>18.749-B37</f>
        <v>0</v>
      </c>
      <c r="C117" s="839">
        <f>30.742-C37</f>
        <v>0</v>
      </c>
      <c r="D117" s="839">
        <f>15.653-D37</f>
        <v>0</v>
      </c>
      <c r="E117" s="839">
        <f>-0.619-E37</f>
        <v>-9.9999999999789146E-4</v>
      </c>
      <c r="F117" s="839">
        <f>-11.592-F37</f>
        <v>-3.1974423109204508E-14</v>
      </c>
      <c r="G117" s="839">
        <f>-32.14-G37</f>
        <v>0</v>
      </c>
      <c r="H117" s="839">
        <f>-5.777-H37</f>
        <v>0</v>
      </c>
      <c r="I117" s="841">
        <f>0.715-I37</f>
        <v>-1.2212453270876722E-15</v>
      </c>
      <c r="J117" s="839">
        <f>-26.23-J37</f>
        <v>0</v>
      </c>
      <c r="K117" s="839">
        <f>-42.428-K37</f>
        <v>0</v>
      </c>
      <c r="L117" s="839">
        <f>-36.361-L37</f>
        <v>0</v>
      </c>
      <c r="M117" s="839">
        <f>33.154-M37</f>
        <v>0</v>
      </c>
      <c r="N117" s="839">
        <f>28.907-N37</f>
        <v>0</v>
      </c>
      <c r="O117" s="839">
        <f>20.249-O37</f>
        <v>0</v>
      </c>
      <c r="P117" s="839">
        <f>23.14-P37</f>
        <v>0</v>
      </c>
      <c r="Q117" s="839">
        <f>29.181-Q37</f>
        <v>3.4049999999999869</v>
      </c>
      <c r="R117" s="839">
        <f>19.072-R37</f>
        <v>4.6185277824406512E-14</v>
      </c>
      <c r="S117" s="839">
        <f>41.676-S37</f>
        <v>0</v>
      </c>
      <c r="T117" s="839">
        <f>69.665-T37</f>
        <v>0</v>
      </c>
      <c r="U117" s="839">
        <f>11.875-U37</f>
        <v>-2.9999999999361648E-3</v>
      </c>
      <c r="V117" s="839">
        <f>37.964-V37</f>
        <v>0</v>
      </c>
      <c r="W117" s="839">
        <f>48.667-W37</f>
        <v>0</v>
      </c>
      <c r="X117" s="839">
        <f>55.456-X37</f>
        <v>0</v>
      </c>
      <c r="Y117" s="839">
        <f>Y37+15.476</f>
        <v>1.9539925233402755E-14</v>
      </c>
      <c r="Z117" s="839">
        <f>2.378-Z37</f>
        <v>0</v>
      </c>
      <c r="AA117" s="839">
        <f>50.523-AA37</f>
        <v>0</v>
      </c>
      <c r="AB117" s="839">
        <f>7.31-AB37</f>
        <v>-2.042810365310288E-14</v>
      </c>
      <c r="AC117" s="839">
        <f>12.739-AC37</f>
        <v>5.3290705182007514E-14</v>
      </c>
      <c r="AD117" s="839">
        <f>34.728-AD37</f>
        <v>-9.9999999999766942E-4</v>
      </c>
      <c r="AE117" s="839">
        <f>60.887-AE37</f>
        <v>0</v>
      </c>
      <c r="AF117" s="839">
        <f>32.958-AF37</f>
        <v>0</v>
      </c>
      <c r="AG117" s="839">
        <f>6.428-AG37</f>
        <v>3.1086244689504383E-14</v>
      </c>
      <c r="AH117" s="839">
        <f>60.726-AH37</f>
        <v>0</v>
      </c>
      <c r="AI117" s="839">
        <f>115.222-AI37</f>
        <v>0</v>
      </c>
      <c r="AJ117" s="839">
        <f>53.54-AJ37</f>
        <v>0</v>
      </c>
      <c r="AK117" s="690">
        <f>56.57-AK37</f>
        <v>-1.1368683772161603E-13</v>
      </c>
      <c r="AL117" s="690">
        <f>28.295-AL37</f>
        <v>-4.7780000000000058</v>
      </c>
      <c r="AM117" s="690">
        <f>21.054-AM37</f>
        <v>4.2632564145606011E-14</v>
      </c>
      <c r="AN117" s="690">
        <f>76.02-AN37</f>
        <v>0</v>
      </c>
      <c r="AO117" s="690">
        <f>68.962-AO37</f>
        <v>-0.36399999999993327</v>
      </c>
      <c r="AP117" s="690">
        <f>39.7-AP37</f>
        <v>3.0999999999956174E-2</v>
      </c>
      <c r="AQ117" s="690">
        <f>68.913-AQ37</f>
        <v>0</v>
      </c>
      <c r="AR117" s="690">
        <f>55.844-AR37</f>
        <v>-1.9999999999960494E-2</v>
      </c>
      <c r="AS117" s="690">
        <f>119.441-AS37</f>
        <v>0</v>
      </c>
      <c r="AT117" s="689">
        <f>116.873-AT37</f>
        <v>0</v>
      </c>
      <c r="AU117" s="202"/>
      <c r="AV117" s="202"/>
      <c r="AW117" s="202"/>
      <c r="AX117" s="202"/>
      <c r="AY117" s="202"/>
      <c r="AZ117" s="202"/>
      <c r="BA117" s="202"/>
      <c r="BB117" s="202"/>
      <c r="BC117" s="202"/>
      <c r="BD117" s="202"/>
      <c r="BE117" s="202"/>
      <c r="BF117" s="202"/>
      <c r="BG117" s="202"/>
      <c r="BH117" s="202"/>
      <c r="BI117" s="202"/>
      <c r="BJ117" s="202"/>
      <c r="BK117" s="202"/>
      <c r="BL117" s="202"/>
      <c r="BM117" s="202"/>
      <c r="BN117" s="202"/>
      <c r="BO117" s="202"/>
      <c r="BP117" s="202"/>
      <c r="BQ117" s="202"/>
      <c r="BR117" s="202"/>
      <c r="BS117" s="202"/>
      <c r="BT117" s="202"/>
      <c r="BU117" s="202"/>
      <c r="BV117" s="202"/>
      <c r="BW117" s="202"/>
      <c r="BX117" s="202"/>
      <c r="BY117" s="202"/>
    </row>
    <row r="118" spans="1:77" s="1401" customFormat="1" ht="13.5" hidden="1" customHeight="1" outlineLevel="1">
      <c r="A118" s="370" t="s">
        <v>1596</v>
      </c>
      <c r="B118" s="839"/>
      <c r="C118" s="839"/>
      <c r="D118" s="839"/>
      <c r="E118" s="839"/>
      <c r="F118" s="839"/>
      <c r="G118" s="839"/>
      <c r="H118" s="839"/>
      <c r="I118" s="839"/>
      <c r="J118" s="839">
        <v>0</v>
      </c>
      <c r="K118" s="839">
        <v>10.142000000000735</v>
      </c>
      <c r="L118" s="839">
        <v>0</v>
      </c>
      <c r="M118" s="839">
        <v>0</v>
      </c>
      <c r="N118" s="839">
        <v>0</v>
      </c>
      <c r="O118" s="839">
        <v>0</v>
      </c>
      <c r="P118" s="839">
        <v>-3.599999999960346E-2</v>
      </c>
      <c r="Q118" s="839">
        <v>0</v>
      </c>
      <c r="R118" s="839">
        <v>0</v>
      </c>
      <c r="S118" s="839">
        <v>0</v>
      </c>
      <c r="T118" s="839">
        <v>0</v>
      </c>
      <c r="U118" s="839">
        <v>-88.820999999999458</v>
      </c>
      <c r="V118" s="839">
        <v>0</v>
      </c>
      <c r="W118" s="839">
        <v>-3.9999999999054126E-3</v>
      </c>
      <c r="X118" s="839">
        <v>0</v>
      </c>
      <c r="Y118" s="839">
        <v>0.10599999999976717</v>
      </c>
      <c r="Z118" s="839">
        <v>0.73699999999917054</v>
      </c>
      <c r="AA118" s="839">
        <v>1.0519999999987704</v>
      </c>
      <c r="AB118" s="839">
        <v>1.2569999999996071</v>
      </c>
      <c r="AC118" s="839">
        <v>0</v>
      </c>
      <c r="AD118" s="839">
        <v>0</v>
      </c>
      <c r="AE118" s="839">
        <v>0</v>
      </c>
      <c r="AF118" s="839">
        <v>-2.3000000000138243E-2</v>
      </c>
      <c r="AG118" s="839">
        <v>0</v>
      </c>
      <c r="AH118" s="839">
        <v>0</v>
      </c>
      <c r="AI118" s="839">
        <v>0</v>
      </c>
      <c r="AJ118" s="839">
        <v>0</v>
      </c>
      <c r="AK118" s="839">
        <v>0</v>
      </c>
      <c r="AL118" s="839">
        <v>0</v>
      </c>
      <c r="AM118" s="839">
        <v>0</v>
      </c>
      <c r="AN118" s="839">
        <v>0</v>
      </c>
      <c r="AO118" s="839"/>
      <c r="AP118" s="690"/>
      <c r="AQ118" s="690"/>
      <c r="AR118" s="690"/>
      <c r="AS118" s="690"/>
      <c r="AT118" s="689"/>
      <c r="AU118" s="202"/>
      <c r="AV118" s="202"/>
      <c r="AW118" s="202"/>
      <c r="AX118" s="202"/>
      <c r="AY118" s="202"/>
      <c r="AZ118" s="202"/>
      <c r="BA118" s="202"/>
      <c r="BB118" s="202"/>
      <c r="BC118" s="202"/>
      <c r="BD118" s="202"/>
      <c r="BE118" s="202"/>
      <c r="BF118" s="202"/>
      <c r="BG118" s="202"/>
      <c r="BH118" s="202"/>
      <c r="BI118" s="202"/>
      <c r="BJ118" s="202"/>
      <c r="BK118" s="202"/>
      <c r="BL118" s="202"/>
      <c r="BM118" s="202"/>
      <c r="BN118" s="202"/>
      <c r="BO118" s="202"/>
      <c r="BP118" s="202"/>
      <c r="BQ118" s="202"/>
      <c r="BR118" s="202"/>
      <c r="BS118" s="202"/>
      <c r="BT118" s="202"/>
      <c r="BU118" s="202"/>
      <c r="BV118" s="202"/>
      <c r="BW118" s="202"/>
      <c r="BX118" s="202"/>
      <c r="BY118" s="202"/>
    </row>
    <row r="119" spans="1:77" s="1401" customFormat="1" ht="13.5" hidden="1" customHeight="1" outlineLevel="1">
      <c r="A119" s="370" t="s">
        <v>1622</v>
      </c>
      <c r="B119" s="839"/>
      <c r="C119" s="839"/>
      <c r="D119" s="839"/>
      <c r="E119" s="839"/>
      <c r="F119" s="839"/>
      <c r="G119" s="839"/>
      <c r="H119" s="839"/>
      <c r="I119" s="839"/>
      <c r="J119" s="839"/>
      <c r="K119" s="839"/>
      <c r="L119" s="839"/>
      <c r="M119" s="839"/>
      <c r="N119" s="839"/>
      <c r="O119" s="839"/>
      <c r="P119" s="839"/>
      <c r="Q119" s="839"/>
      <c r="R119" s="839"/>
      <c r="S119" s="839"/>
      <c r="T119" s="839"/>
      <c r="U119" s="839"/>
      <c r="V119" s="839"/>
      <c r="W119" s="839"/>
      <c r="X119" s="839"/>
      <c r="Y119" s="839"/>
      <c r="Z119" s="839"/>
      <c r="AA119" s="839"/>
      <c r="AB119" s="839"/>
      <c r="AC119" s="839"/>
      <c r="AD119" s="839"/>
      <c r="AE119" s="839"/>
      <c r="AF119" s="839"/>
      <c r="AG119" s="839"/>
      <c r="AH119" s="839"/>
      <c r="AI119" s="839"/>
      <c r="AJ119" s="839"/>
      <c r="AK119" s="839">
        <f>+AK7+AK9+AK12+AK16+AK26+AK29+AK30+AK31+AK33+AK36-AK37</f>
        <v>0</v>
      </c>
      <c r="AL119" s="839">
        <f t="shared" ref="AL119:BY119" si="655">+AL7+AL9+AL12+AL16+AL26+AL29+AL30+AL31+AL33+AL36-AL37</f>
        <v>0</v>
      </c>
      <c r="AM119" s="839">
        <f t="shared" si="655"/>
        <v>0</v>
      </c>
      <c r="AN119" s="839">
        <f t="shared" si="655"/>
        <v>0</v>
      </c>
      <c r="AO119" s="839">
        <f t="shared" si="655"/>
        <v>0</v>
      </c>
      <c r="AP119" s="839">
        <f t="shared" si="655"/>
        <v>0</v>
      </c>
      <c r="AQ119" s="839">
        <f t="shared" si="655"/>
        <v>0</v>
      </c>
      <c r="AR119" s="839">
        <f t="shared" si="655"/>
        <v>0</v>
      </c>
      <c r="AS119" s="839">
        <f t="shared" si="655"/>
        <v>0</v>
      </c>
      <c r="AT119" s="689">
        <f t="shared" si="655"/>
        <v>0</v>
      </c>
      <c r="AU119" s="839">
        <f>+AU7+AU9+AU12+AU16+AU26+AU29+AU30+AU31+AU33+AU36-AU37</f>
        <v>0</v>
      </c>
      <c r="AV119" s="839">
        <f t="shared" si="655"/>
        <v>0</v>
      </c>
      <c r="AW119" s="839">
        <f t="shared" si="655"/>
        <v>0</v>
      </c>
      <c r="AX119" s="839">
        <f t="shared" si="655"/>
        <v>0</v>
      </c>
      <c r="AY119" s="839">
        <f t="shared" si="655"/>
        <v>0</v>
      </c>
      <c r="AZ119" s="839">
        <f t="shared" si="655"/>
        <v>-1.1368683772161603E-13</v>
      </c>
      <c r="BA119" s="839">
        <f t="shared" si="655"/>
        <v>0</v>
      </c>
      <c r="BB119" s="839">
        <f t="shared" si="655"/>
        <v>0</v>
      </c>
      <c r="BC119" s="839">
        <f t="shared" si="655"/>
        <v>0</v>
      </c>
      <c r="BD119" s="839">
        <f t="shared" si="655"/>
        <v>0</v>
      </c>
      <c r="BE119" s="839">
        <f t="shared" si="655"/>
        <v>0</v>
      </c>
      <c r="BF119" s="839">
        <f t="shared" si="655"/>
        <v>0</v>
      </c>
      <c r="BG119" s="839">
        <f t="shared" si="655"/>
        <v>0</v>
      </c>
      <c r="BH119" s="839">
        <f t="shared" si="655"/>
        <v>0</v>
      </c>
      <c r="BI119" s="839">
        <f t="shared" si="655"/>
        <v>-7.1054273576010019E-15</v>
      </c>
      <c r="BJ119" s="839">
        <f t="shared" si="655"/>
        <v>0</v>
      </c>
      <c r="BK119" s="839">
        <f t="shared" si="655"/>
        <v>0</v>
      </c>
      <c r="BL119" s="839">
        <f t="shared" si="655"/>
        <v>0</v>
      </c>
      <c r="BM119" s="839">
        <f t="shared" si="655"/>
        <v>-7.1054273576010019E-15</v>
      </c>
      <c r="BN119" s="839">
        <f t="shared" si="655"/>
        <v>0</v>
      </c>
      <c r="BO119" s="839">
        <f t="shared" si="655"/>
        <v>0</v>
      </c>
      <c r="BP119" s="839">
        <f t="shared" si="655"/>
        <v>0</v>
      </c>
      <c r="BQ119" s="839">
        <f t="shared" si="655"/>
        <v>1.1368683772161603E-13</v>
      </c>
      <c r="BR119" s="839">
        <f t="shared" si="655"/>
        <v>0</v>
      </c>
      <c r="BS119" s="839">
        <f t="shared" si="655"/>
        <v>0</v>
      </c>
      <c r="BT119" s="839">
        <f t="shared" si="655"/>
        <v>0</v>
      </c>
      <c r="BU119" s="839">
        <f t="shared" si="655"/>
        <v>-1.0658141036401503E-13</v>
      </c>
      <c r="BV119" s="839">
        <f t="shared" si="655"/>
        <v>0</v>
      </c>
      <c r="BW119" s="839">
        <f t="shared" si="655"/>
        <v>0</v>
      </c>
      <c r="BX119" s="839">
        <f t="shared" si="655"/>
        <v>0</v>
      </c>
      <c r="BY119" s="839">
        <f t="shared" si="655"/>
        <v>0</v>
      </c>
    </row>
    <row r="120" spans="1:77" hidden="1" outlineLevel="1">
      <c r="A120" s="370" t="s">
        <v>1388</v>
      </c>
      <c r="B120" s="839">
        <f t="shared" ref="B120:AG120" si="656">B64-B90</f>
        <v>0</v>
      </c>
      <c r="C120" s="839">
        <f t="shared" si="656"/>
        <v>0</v>
      </c>
      <c r="D120" s="839">
        <f t="shared" si="656"/>
        <v>0</v>
      </c>
      <c r="E120" s="839">
        <f t="shared" si="656"/>
        <v>0</v>
      </c>
      <c r="F120" s="839">
        <f t="shared" si="656"/>
        <v>0</v>
      </c>
      <c r="G120" s="839">
        <f t="shared" si="656"/>
        <v>-1.0000000002037268E-3</v>
      </c>
      <c r="H120" s="839">
        <f t="shared" si="656"/>
        <v>0</v>
      </c>
      <c r="I120" s="1934">
        <f t="shared" si="656"/>
        <v>0</v>
      </c>
      <c r="J120" s="839">
        <f t="shared" si="656"/>
        <v>0</v>
      </c>
      <c r="K120" s="839">
        <f t="shared" si="656"/>
        <v>0</v>
      </c>
      <c r="L120" s="839">
        <f t="shared" si="656"/>
        <v>0</v>
      </c>
      <c r="M120" s="839">
        <f t="shared" si="656"/>
        <v>0</v>
      </c>
      <c r="N120" s="839">
        <f t="shared" si="656"/>
        <v>0</v>
      </c>
      <c r="O120" s="839">
        <f t="shared" si="656"/>
        <v>0</v>
      </c>
      <c r="P120" s="839">
        <f t="shared" si="656"/>
        <v>-1.0000000006584742E-3</v>
      </c>
      <c r="Q120" s="839">
        <f t="shared" si="656"/>
        <v>0</v>
      </c>
      <c r="R120" s="839">
        <f t="shared" si="656"/>
        <v>0</v>
      </c>
      <c r="S120" s="839">
        <f t="shared" si="656"/>
        <v>0</v>
      </c>
      <c r="T120" s="839">
        <f t="shared" si="656"/>
        <v>0</v>
      </c>
      <c r="U120" s="839">
        <f t="shared" si="656"/>
        <v>6.1999999999898137E-2</v>
      </c>
      <c r="V120" s="839">
        <f t="shared" si="656"/>
        <v>0</v>
      </c>
      <c r="W120" s="839">
        <f t="shared" si="656"/>
        <v>-5.9000000000196451E-2</v>
      </c>
      <c r="X120" s="839">
        <f t="shared" si="656"/>
        <v>0</v>
      </c>
      <c r="Y120" s="839">
        <f t="shared" si="656"/>
        <v>-0.10600000000067666</v>
      </c>
      <c r="Z120" s="839">
        <f t="shared" si="656"/>
        <v>-0.73700000000008004</v>
      </c>
      <c r="AA120" s="839">
        <f t="shared" si="656"/>
        <v>-1.0519999999996799</v>
      </c>
      <c r="AB120" s="839">
        <f t="shared" si="656"/>
        <v>-1.2569999999996071</v>
      </c>
      <c r="AC120" s="839">
        <f t="shared" si="656"/>
        <v>-9.0000000009240466E-3</v>
      </c>
      <c r="AD120" s="839">
        <f t="shared" si="656"/>
        <v>-9.9000000000160071E-3</v>
      </c>
      <c r="AE120" s="839">
        <f t="shared" si="656"/>
        <v>0</v>
      </c>
      <c r="AF120" s="839">
        <f t="shared" si="656"/>
        <v>2.3000000000138243E-2</v>
      </c>
      <c r="AG120" s="839">
        <f t="shared" si="656"/>
        <v>0</v>
      </c>
      <c r="AH120" s="839">
        <f t="shared" ref="AH120:BM120" si="657">AH64-AH90</f>
        <v>0</v>
      </c>
      <c r="AI120" s="839">
        <f t="shared" si="657"/>
        <v>0</v>
      </c>
      <c r="AJ120" s="839">
        <f t="shared" si="657"/>
        <v>0</v>
      </c>
      <c r="AK120" s="690">
        <f t="shared" si="657"/>
        <v>0</v>
      </c>
      <c r="AL120" s="690">
        <f t="shared" si="657"/>
        <v>0</v>
      </c>
      <c r="AM120" s="690">
        <f t="shared" si="657"/>
        <v>0</v>
      </c>
      <c r="AN120" s="690">
        <f t="shared" si="657"/>
        <v>0</v>
      </c>
      <c r="AO120" s="690">
        <f t="shared" si="657"/>
        <v>0</v>
      </c>
      <c r="AP120" s="690">
        <f>AP64-AP90</f>
        <v>0</v>
      </c>
      <c r="AQ120" s="690">
        <f>AQ64-AQ90</f>
        <v>1.0000000000218279E-2</v>
      </c>
      <c r="AR120" s="690">
        <f>AR64-AR90</f>
        <v>0</v>
      </c>
      <c r="AS120" s="690">
        <f>AS64-AS90</f>
        <v>0</v>
      </c>
      <c r="AT120" s="689">
        <f>AT64-AT90</f>
        <v>0</v>
      </c>
      <c r="AU120" s="839">
        <f t="shared" si="657"/>
        <v>0</v>
      </c>
      <c r="AV120" s="839">
        <f t="shared" si="657"/>
        <v>0</v>
      </c>
      <c r="AW120" s="839">
        <f t="shared" si="657"/>
        <v>0</v>
      </c>
      <c r="AX120" s="839">
        <f t="shared" si="657"/>
        <v>0</v>
      </c>
      <c r="AY120" s="839">
        <f t="shared" si="657"/>
        <v>0</v>
      </c>
      <c r="AZ120" s="839">
        <f t="shared" si="657"/>
        <v>0</v>
      </c>
      <c r="BA120" s="839">
        <f t="shared" si="657"/>
        <v>0</v>
      </c>
      <c r="BB120" s="839">
        <f t="shared" si="657"/>
        <v>0</v>
      </c>
      <c r="BC120" s="839">
        <f t="shared" si="657"/>
        <v>0</v>
      </c>
      <c r="BD120" s="839">
        <f t="shared" si="657"/>
        <v>0</v>
      </c>
      <c r="BE120" s="839">
        <f t="shared" si="657"/>
        <v>0</v>
      </c>
      <c r="BF120" s="839">
        <f t="shared" si="657"/>
        <v>0</v>
      </c>
      <c r="BG120" s="839">
        <f t="shared" si="657"/>
        <v>0</v>
      </c>
      <c r="BH120" s="839">
        <f t="shared" si="657"/>
        <v>0</v>
      </c>
      <c r="BI120" s="839">
        <f t="shared" si="657"/>
        <v>0</v>
      </c>
      <c r="BJ120" s="839">
        <f t="shared" si="657"/>
        <v>0</v>
      </c>
      <c r="BK120" s="839">
        <f t="shared" si="657"/>
        <v>0</v>
      </c>
      <c r="BL120" s="839">
        <f t="shared" si="657"/>
        <v>0</v>
      </c>
      <c r="BM120" s="839">
        <f t="shared" si="657"/>
        <v>0</v>
      </c>
      <c r="BN120" s="839">
        <f t="shared" ref="BN120:BY120" si="658">BN64-BN90</f>
        <v>0</v>
      </c>
      <c r="BO120" s="839">
        <f t="shared" si="658"/>
        <v>0</v>
      </c>
      <c r="BP120" s="839">
        <f t="shared" si="658"/>
        <v>0</v>
      </c>
      <c r="BQ120" s="839">
        <f t="shared" si="658"/>
        <v>0</v>
      </c>
      <c r="BR120" s="839">
        <f t="shared" si="658"/>
        <v>0</v>
      </c>
      <c r="BS120" s="839">
        <f t="shared" si="658"/>
        <v>0</v>
      </c>
      <c r="BT120" s="839">
        <f t="shared" si="658"/>
        <v>0</v>
      </c>
      <c r="BU120" s="839">
        <f t="shared" si="658"/>
        <v>0</v>
      </c>
      <c r="BV120" s="839">
        <f t="shared" si="658"/>
        <v>0</v>
      </c>
      <c r="BW120" s="839">
        <f t="shared" si="658"/>
        <v>0</v>
      </c>
      <c r="BX120" s="839">
        <f t="shared" si="658"/>
        <v>0</v>
      </c>
      <c r="BY120" s="839">
        <f t="shared" si="658"/>
        <v>0</v>
      </c>
    </row>
    <row r="121" spans="1:77" hidden="1" outlineLevel="1">
      <c r="A121" s="370" t="s">
        <v>1389</v>
      </c>
      <c r="B121" s="839"/>
      <c r="C121" s="839">
        <f>1805.645-C90</f>
        <v>0</v>
      </c>
      <c r="D121" s="839">
        <f>1773.856-D90</f>
        <v>0</v>
      </c>
      <c r="E121" s="839">
        <f>2642.926-E90</f>
        <v>0</v>
      </c>
      <c r="F121" s="839">
        <f>2756.028-F90</f>
        <v>-0.1410000000000764</v>
      </c>
      <c r="G121" s="839">
        <f>2835.076-G90</f>
        <v>0</v>
      </c>
      <c r="H121" s="839">
        <f>2915.126-H90</f>
        <v>0</v>
      </c>
      <c r="I121" s="839">
        <f>2916.623-I90</f>
        <v>0</v>
      </c>
      <c r="J121" s="839">
        <f>3044.436-J90</f>
        <v>0</v>
      </c>
      <c r="K121" s="839">
        <f>3390.845-K90</f>
        <v>0</v>
      </c>
      <c r="L121" s="839">
        <f>3389.827-L90</f>
        <v>0</v>
      </c>
      <c r="M121" s="839">
        <f>3394.692-M90</f>
        <v>0</v>
      </c>
      <c r="N121" s="839">
        <f>3339.181-N90</f>
        <v>0</v>
      </c>
      <c r="O121" s="839">
        <f>3425.81-O90</f>
        <v>0</v>
      </c>
      <c r="P121" s="839">
        <f>3416.373-P90</f>
        <v>3.599999999960346E-2</v>
      </c>
      <c r="Q121" s="839">
        <f>4187.443-Q90</f>
        <v>0</v>
      </c>
      <c r="R121" s="839">
        <f>3468.098-R90</f>
        <v>0</v>
      </c>
      <c r="S121" s="839">
        <f>3616.009-S90</f>
        <v>0</v>
      </c>
      <c r="T121" s="839">
        <f>3285.08-T90</f>
        <v>0</v>
      </c>
      <c r="U121" s="839">
        <f>3941.658-U90</f>
        <v>6.1999999999443389E-2</v>
      </c>
      <c r="V121" s="839">
        <f>4211.3-V90</f>
        <v>0</v>
      </c>
      <c r="W121" s="839">
        <f>4409.813-W90</f>
        <v>3.9999999999054126E-3</v>
      </c>
      <c r="X121" s="839">
        <f>4834.415-X90</f>
        <v>0</v>
      </c>
      <c r="Y121" s="839">
        <f>4787.167-Y90</f>
        <v>-0.10599999999976717</v>
      </c>
      <c r="Z121" s="839">
        <f>5392.979-Z90</f>
        <v>-0.73699999999917054</v>
      </c>
      <c r="AA121" s="839">
        <f>5513.693-AA90</f>
        <v>-1.0519999999987704</v>
      </c>
      <c r="AB121" s="839">
        <f>5449.358-AB90</f>
        <v>-1.2569999999996071</v>
      </c>
      <c r="AC121" s="839">
        <f>5633.11-AC90</f>
        <v>0</v>
      </c>
      <c r="AD121" s="839">
        <f>5676.458-AD90</f>
        <v>0</v>
      </c>
      <c r="AE121" s="839">
        <f>5751.857-AE90</f>
        <v>0</v>
      </c>
      <c r="AF121" s="841">
        <f>5774.023-AF90</f>
        <v>2.3000000000138243E-2</v>
      </c>
      <c r="AG121" s="839">
        <f>5825.951-AG90</f>
        <v>0</v>
      </c>
      <c r="AH121" s="839">
        <f>6266.079-AH90</f>
        <v>0</v>
      </c>
      <c r="AI121" s="839">
        <f>7013.366-AI90</f>
        <v>0</v>
      </c>
      <c r="AJ121" s="839">
        <f>7250.564-AJ90</f>
        <v>0</v>
      </c>
      <c r="AK121" s="690">
        <f>7619.032-AK90</f>
        <v>0</v>
      </c>
      <c r="AL121" s="690">
        <f>7760.631-AL90</f>
        <v>0</v>
      </c>
      <c r="AM121" s="690"/>
      <c r="AN121" s="690"/>
      <c r="AO121" s="690"/>
      <c r="AP121" s="690"/>
      <c r="AQ121" s="690"/>
      <c r="AR121" s="690"/>
      <c r="AS121" s="690"/>
      <c r="AT121" s="689"/>
      <c r="AU121" s="202"/>
      <c r="AV121" s="202"/>
      <c r="AW121" s="202"/>
      <c r="AX121" s="202"/>
      <c r="AY121" s="202"/>
      <c r="AZ121" s="202"/>
      <c r="BA121" s="202"/>
      <c r="BB121" s="202"/>
      <c r="BC121" s="202"/>
      <c r="BD121" s="202"/>
      <c r="BE121" s="202"/>
      <c r="BF121" s="202"/>
      <c r="BG121" s="202"/>
      <c r="BH121" s="202"/>
      <c r="BI121" s="202"/>
      <c r="BJ121" s="202"/>
      <c r="BK121" s="202"/>
      <c r="BL121" s="202"/>
      <c r="BM121" s="202"/>
      <c r="BN121" s="202"/>
      <c r="BO121" s="202"/>
      <c r="BP121" s="202"/>
      <c r="BQ121" s="202"/>
      <c r="BR121" s="202"/>
      <c r="BS121" s="202"/>
      <c r="BT121" s="202"/>
      <c r="BU121" s="202"/>
      <c r="BV121" s="202"/>
      <c r="BW121" s="202"/>
      <c r="BX121" s="202"/>
      <c r="BY121" s="202"/>
    </row>
    <row r="122" spans="1:77" s="1401" customFormat="1" ht="13.5" hidden="1" customHeight="1" outlineLevel="1">
      <c r="A122" s="370" t="s">
        <v>1390</v>
      </c>
      <c r="B122" s="839"/>
      <c r="C122" s="839">
        <f t="shared" ref="C122:AH122" si="659">SUM(C48:C49)-SUM(B48:B49)-C110</f>
        <v>4.1922021409845911E-13</v>
      </c>
      <c r="D122" s="839">
        <f t="shared" si="659"/>
        <v>-1.8118839761882555E-13</v>
      </c>
      <c r="E122" s="839">
        <f t="shared" si="659"/>
        <v>0</v>
      </c>
      <c r="F122" s="839">
        <f t="shared" si="659"/>
        <v>0</v>
      </c>
      <c r="G122" s="839">
        <f t="shared" si="659"/>
        <v>-9.9999999991950972E-4</v>
      </c>
      <c r="H122" s="839">
        <f t="shared" si="659"/>
        <v>9.9999999979161203E-4</v>
      </c>
      <c r="I122" s="839">
        <f t="shared" si="659"/>
        <v>0</v>
      </c>
      <c r="J122" s="839">
        <f t="shared" si="659"/>
        <v>1.9184653865522705E-13</v>
      </c>
      <c r="K122" s="839">
        <f t="shared" si="659"/>
        <v>-3.1263880373444408E-13</v>
      </c>
      <c r="L122" s="839">
        <f t="shared" si="659"/>
        <v>4.5474735088646412E-13</v>
      </c>
      <c r="M122" s="839">
        <f t="shared" si="659"/>
        <v>-2.3447910280083306E-13</v>
      </c>
      <c r="N122" s="839">
        <f t="shared" si="659"/>
        <v>0</v>
      </c>
      <c r="O122" s="839">
        <f t="shared" si="659"/>
        <v>2.4158453015843406E-13</v>
      </c>
      <c r="P122" s="839">
        <f t="shared" si="659"/>
        <v>-1.0000000005305765E-3</v>
      </c>
      <c r="Q122" s="839">
        <f t="shared" si="659"/>
        <v>1.0000000002605702E-3</v>
      </c>
      <c r="R122" s="839">
        <f t="shared" si="659"/>
        <v>-4.8316906031686813E-13</v>
      </c>
      <c r="S122" s="839">
        <f t="shared" si="659"/>
        <v>4.8316906031686813E-13</v>
      </c>
      <c r="T122" s="839">
        <f t="shared" si="659"/>
        <v>2.8421709430404007E-13</v>
      </c>
      <c r="U122" s="839">
        <f t="shared" si="659"/>
        <v>6.1999999999699185E-2</v>
      </c>
      <c r="V122" s="839">
        <f t="shared" si="659"/>
        <v>-6.1999999999557076E-2</v>
      </c>
      <c r="W122" s="839">
        <f t="shared" si="659"/>
        <v>-5.9000000000025921E-2</v>
      </c>
      <c r="X122" s="839">
        <f t="shared" si="659"/>
        <v>5.9000000000139607E-2</v>
      </c>
      <c r="Y122" s="839">
        <f t="shared" si="659"/>
        <v>-0.10600000000042087</v>
      </c>
      <c r="Z122" s="839">
        <f t="shared" si="659"/>
        <v>-0.63100000000008549</v>
      </c>
      <c r="AA122" s="839">
        <f t="shared" si="659"/>
        <v>-0.31499999999903139</v>
      </c>
      <c r="AB122" s="839">
        <f t="shared" si="659"/>
        <v>-0.20499999999998408</v>
      </c>
      <c r="AC122" s="839">
        <f t="shared" si="659"/>
        <v>1.2479999999999336</v>
      </c>
      <c r="AD122" s="839">
        <f t="shared" si="659"/>
        <v>-9.0000000014356374E-4</v>
      </c>
      <c r="AE122" s="839">
        <f t="shared" si="659"/>
        <v>9.8999999997957389E-3</v>
      </c>
      <c r="AF122" s="839">
        <f t="shared" si="659"/>
        <v>2.3000000000280352E-2</v>
      </c>
      <c r="AG122" s="839">
        <f t="shared" si="659"/>
        <v>-2.2999999999740339E-2</v>
      </c>
      <c r="AH122" s="839">
        <f t="shared" si="659"/>
        <v>0</v>
      </c>
      <c r="AI122" s="839">
        <f t="shared" ref="AI122:BN122" si="660">SUM(AI48:AI49)-SUM(AH48:AH49)-AI110</f>
        <v>-3.4106051316484809E-13</v>
      </c>
      <c r="AJ122" s="839">
        <f t="shared" si="660"/>
        <v>5.1159076974727213E-13</v>
      </c>
      <c r="AK122" s="690">
        <f t="shared" si="660"/>
        <v>-5.6843418860808015E-13</v>
      </c>
      <c r="AL122" s="690">
        <f t="shared" si="660"/>
        <v>3.979039320256561E-13</v>
      </c>
      <c r="AM122" s="690">
        <f t="shared" si="660"/>
        <v>5.1159076974727213E-13</v>
      </c>
      <c r="AN122" s="690">
        <f t="shared" si="660"/>
        <v>-7.1054273576010019E-13</v>
      </c>
      <c r="AO122" s="690">
        <f t="shared" si="660"/>
        <v>0</v>
      </c>
      <c r="AP122" s="690">
        <f>SUM(AP48:AP49)-SUM(AO48:AO49)-AP110</f>
        <v>-7.9580786405131221E-13</v>
      </c>
      <c r="AQ122" s="690">
        <f t="shared" si="660"/>
        <v>1.0000000000275122E-2</v>
      </c>
      <c r="AR122" s="690">
        <f t="shared" si="660"/>
        <v>-9.9999999998772182E-3</v>
      </c>
      <c r="AS122" s="690">
        <f t="shared" si="660"/>
        <v>6.8212102632969618E-13</v>
      </c>
      <c r="AT122" s="689">
        <f t="shared" si="660"/>
        <v>-4.8316906031686813E-13</v>
      </c>
      <c r="AU122" s="839">
        <f t="shared" si="660"/>
        <v>0</v>
      </c>
      <c r="AV122" s="839">
        <f t="shared" si="660"/>
        <v>0</v>
      </c>
      <c r="AW122" s="839">
        <f t="shared" si="660"/>
        <v>0</v>
      </c>
      <c r="AX122" s="839">
        <f t="shared" si="660"/>
        <v>1.1368683772161603E-13</v>
      </c>
      <c r="AY122" s="839">
        <f t="shared" si="660"/>
        <v>2.8421709430404007E-14</v>
      </c>
      <c r="AZ122" s="839">
        <f t="shared" si="660"/>
        <v>0</v>
      </c>
      <c r="BA122" s="839">
        <f t="shared" si="660"/>
        <v>0</v>
      </c>
      <c r="BB122" s="839">
        <f t="shared" si="660"/>
        <v>0</v>
      </c>
      <c r="BC122" s="839">
        <f t="shared" si="660"/>
        <v>-8.5265128291212022E-14</v>
      </c>
      <c r="BD122" s="839">
        <f t="shared" si="660"/>
        <v>0</v>
      </c>
      <c r="BE122" s="839">
        <f t="shared" si="660"/>
        <v>5.6843418860808015E-14</v>
      </c>
      <c r="BF122" s="839">
        <f t="shared" si="660"/>
        <v>0</v>
      </c>
      <c r="BG122" s="839">
        <f t="shared" si="660"/>
        <v>-5.6843418860808015E-14</v>
      </c>
      <c r="BH122" s="839">
        <f t="shared" si="660"/>
        <v>0</v>
      </c>
      <c r="BI122" s="839">
        <f t="shared" si="660"/>
        <v>0</v>
      </c>
      <c r="BJ122" s="839">
        <f t="shared" si="660"/>
        <v>0</v>
      </c>
      <c r="BK122" s="839">
        <f t="shared" si="660"/>
        <v>0</v>
      </c>
      <c r="BL122" s="839">
        <f t="shared" si="660"/>
        <v>0</v>
      </c>
      <c r="BM122" s="839">
        <f t="shared" si="660"/>
        <v>0</v>
      </c>
      <c r="BN122" s="839">
        <f t="shared" si="660"/>
        <v>0</v>
      </c>
      <c r="BO122" s="839">
        <f t="shared" ref="BO122:BY122" si="661">SUM(BO48:BO49)-SUM(BN48:BN49)-BO110</f>
        <v>1.1368683772161603E-13</v>
      </c>
      <c r="BP122" s="839">
        <f t="shared" si="661"/>
        <v>0</v>
      </c>
      <c r="BQ122" s="839">
        <f t="shared" si="661"/>
        <v>1.1368683772161603E-13</v>
      </c>
      <c r="BR122" s="839">
        <f t="shared" si="661"/>
        <v>0</v>
      </c>
      <c r="BS122" s="839">
        <f t="shared" si="661"/>
        <v>0</v>
      </c>
      <c r="BT122" s="839">
        <f t="shared" si="661"/>
        <v>0</v>
      </c>
      <c r="BU122" s="839">
        <f t="shared" si="661"/>
        <v>-1.1368683772161603E-13</v>
      </c>
      <c r="BV122" s="839">
        <f t="shared" si="661"/>
        <v>0</v>
      </c>
      <c r="BW122" s="839">
        <f t="shared" si="661"/>
        <v>0</v>
      </c>
      <c r="BX122" s="839">
        <f t="shared" si="661"/>
        <v>0</v>
      </c>
      <c r="BY122" s="839">
        <f t="shared" si="661"/>
        <v>0</v>
      </c>
    </row>
    <row r="123" spans="1:77" s="1401" customFormat="1" ht="13.5" hidden="1" customHeight="1" outlineLevel="1">
      <c r="A123" s="370"/>
      <c r="B123" s="839"/>
      <c r="C123" s="839"/>
      <c r="D123" s="839"/>
      <c r="E123" s="839"/>
      <c r="F123" s="839"/>
      <c r="G123" s="839"/>
      <c r="H123" s="839"/>
      <c r="I123" s="839"/>
      <c r="J123" s="839"/>
      <c r="K123" s="839"/>
      <c r="L123" s="839"/>
      <c r="M123" s="839"/>
      <c r="N123" s="839"/>
      <c r="O123" s="839"/>
      <c r="P123" s="839"/>
      <c r="Q123" s="839"/>
      <c r="R123" s="839"/>
      <c r="S123" s="839"/>
      <c r="T123" s="839"/>
      <c r="U123" s="839"/>
      <c r="V123" s="839"/>
      <c r="W123" s="839"/>
      <c r="X123" s="839"/>
      <c r="Y123" s="839"/>
      <c r="Z123" s="839"/>
      <c r="AA123" s="839"/>
      <c r="AB123" s="839"/>
      <c r="AC123" s="839"/>
      <c r="AD123" s="839"/>
      <c r="AE123" s="839"/>
      <c r="AF123" s="839"/>
      <c r="AG123" s="839"/>
      <c r="AH123" s="839"/>
      <c r="AI123" s="839"/>
      <c r="AJ123" s="839"/>
      <c r="AK123" s="690"/>
      <c r="AL123" s="690"/>
      <c r="AM123" s="690"/>
      <c r="AN123" s="690"/>
      <c r="AO123" s="690"/>
      <c r="AP123" s="690"/>
      <c r="AQ123" s="690"/>
      <c r="AR123" s="690"/>
      <c r="AS123" s="690"/>
      <c r="AT123" s="689"/>
      <c r="AU123" s="839"/>
      <c r="AV123" s="839"/>
      <c r="AW123" s="839"/>
      <c r="AX123" s="839"/>
      <c r="AY123" s="839"/>
      <c r="AZ123" s="839"/>
      <c r="BA123" s="839"/>
      <c r="BB123" s="839"/>
      <c r="BC123" s="839"/>
      <c r="BD123" s="839"/>
      <c r="BE123" s="839"/>
      <c r="BF123" s="839"/>
      <c r="BG123" s="839"/>
      <c r="BH123" s="839"/>
      <c r="BI123" s="839"/>
      <c r="BJ123" s="839"/>
      <c r="BK123" s="839"/>
      <c r="BL123" s="839"/>
      <c r="BM123" s="839"/>
      <c r="BN123" s="839"/>
      <c r="BO123" s="839"/>
      <c r="BP123" s="839"/>
      <c r="BQ123" s="839"/>
      <c r="BR123" s="839"/>
      <c r="BS123" s="839"/>
      <c r="BT123" s="839"/>
      <c r="BU123" s="839"/>
      <c r="BV123" s="839"/>
      <c r="BW123" s="839"/>
      <c r="BX123" s="839"/>
      <c r="BY123" s="839"/>
    </row>
    <row r="124" spans="1:77" collapsed="1">
      <c r="A124" s="26" t="s">
        <v>201</v>
      </c>
      <c r="B124" s="27"/>
      <c r="C124" s="27"/>
      <c r="D124" s="27"/>
      <c r="E124" s="27"/>
      <c r="F124" s="27"/>
      <c r="G124" s="27"/>
      <c r="H124" s="27"/>
      <c r="I124" s="27"/>
      <c r="J124" s="27"/>
      <c r="K124" s="27"/>
      <c r="L124" s="27"/>
      <c r="M124" s="27"/>
      <c r="N124" s="27"/>
      <c r="O124" s="27"/>
      <c r="P124" s="27"/>
      <c r="Q124" s="27"/>
      <c r="R124" s="27"/>
      <c r="S124" s="27"/>
      <c r="T124" s="27"/>
      <c r="U124" s="27"/>
      <c r="V124" s="27"/>
      <c r="W124" s="27"/>
      <c r="X124" s="27"/>
      <c r="Y124" s="27"/>
      <c r="Z124" s="27"/>
      <c r="AA124" s="27"/>
      <c r="AB124" s="27"/>
      <c r="AC124" s="27"/>
      <c r="AD124" s="27"/>
      <c r="AE124" s="27"/>
      <c r="AF124" s="27"/>
      <c r="AG124" s="27"/>
      <c r="AH124" s="27"/>
      <c r="AI124" s="27"/>
      <c r="AJ124" s="27"/>
      <c r="AK124" s="27"/>
      <c r="AL124" s="27"/>
      <c r="AM124" s="27"/>
      <c r="AN124" s="27"/>
      <c r="AO124" s="27"/>
      <c r="AP124" s="27"/>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c r="BU124" s="27"/>
      <c r="BV124" s="27"/>
      <c r="BW124" s="27"/>
      <c r="BX124" s="27"/>
      <c r="BY124" s="27" t="s">
        <v>362</v>
      </c>
    </row>
  </sheetData>
  <phoneticPr fontId="11" type="noConversion"/>
  <conditionalFormatting sqref="B120:AI120 C122:AI123 AS120:BY120 AM122:AP123 AM120:AP120 J119:AS119">
    <cfRule type="cellIs" dxfId="247" priority="212" stopIfTrue="1" operator="equal">
      <formula>"ü"</formula>
    </cfRule>
  </conditionalFormatting>
  <conditionalFormatting sqref="AG117:AH117 AM121:AP121">
    <cfRule type="expression" dxfId="246" priority="211">
      <formula>ROUND(ABS(AG117),0)&gt;1</formula>
    </cfRule>
  </conditionalFormatting>
  <conditionalFormatting sqref="D117:AF117 D118:I119">
    <cfRule type="expression" dxfId="245" priority="210">
      <formula>ROUND(ABS(D117),0)&gt;1</formula>
    </cfRule>
  </conditionalFormatting>
  <conditionalFormatting sqref="B117:C119 B122:B123">
    <cfRule type="expression" dxfId="244" priority="208">
      <formula>ROUND(ABS(B117),0)&gt;1</formula>
    </cfRule>
  </conditionalFormatting>
  <conditionalFormatting sqref="B121:C121">
    <cfRule type="expression" dxfId="243" priority="205">
      <formula>ROUND(ABS(B121),0)&gt;1</formula>
    </cfRule>
  </conditionalFormatting>
  <conditionalFormatting sqref="U115:AC116 AE115:AF116">
    <cfRule type="expression" dxfId="242" priority="201">
      <formula>ROUND(ABS(U115),0)&gt;1</formula>
    </cfRule>
  </conditionalFormatting>
  <conditionalFormatting sqref="AG121:AH121">
    <cfRule type="expression" dxfId="241" priority="207">
      <formula>ROUND(ABS(AG121),0)&gt;1</formula>
    </cfRule>
  </conditionalFormatting>
  <conditionalFormatting sqref="AG115:AH116">
    <cfRule type="expression" dxfId="240" priority="204">
      <formula>ROUND(ABS(AG115),0)&gt;1</formula>
    </cfRule>
  </conditionalFormatting>
  <conditionalFormatting sqref="D115:T116 AD115:AD116">
    <cfRule type="expression" dxfId="239" priority="203">
      <formula>ROUND(ABS(D115),0)&gt;1</formula>
    </cfRule>
  </conditionalFormatting>
  <conditionalFormatting sqref="B115:C116">
    <cfRule type="expression" dxfId="238" priority="202">
      <formula>ROUND(ABS(B115),0)&gt;1</formula>
    </cfRule>
  </conditionalFormatting>
  <conditionalFormatting sqref="AG122:AH123">
    <cfRule type="cellIs" dxfId="237" priority="197" stopIfTrue="1" operator="equal">
      <formula>"ü"</formula>
    </cfRule>
  </conditionalFormatting>
  <conditionalFormatting sqref="C122:AF123">
    <cfRule type="cellIs" dxfId="236" priority="196" stopIfTrue="1" operator="equal">
      <formula>"ü"</formula>
    </cfRule>
  </conditionalFormatting>
  <conditionalFormatting sqref="AS122:BY123">
    <cfRule type="cellIs" dxfId="235" priority="195" stopIfTrue="1" operator="equal">
      <formula>"ü"</formula>
    </cfRule>
  </conditionalFormatting>
  <conditionalFormatting sqref="AI121">
    <cfRule type="expression" dxfId="234" priority="186">
      <formula>ROUND(ABS(AI121),0)&gt;1</formula>
    </cfRule>
  </conditionalFormatting>
  <conditionalFormatting sqref="AI115:AI116">
    <cfRule type="expression" dxfId="233" priority="185">
      <formula>ROUND(ABS(AI115),0)&gt;1</formula>
    </cfRule>
  </conditionalFormatting>
  <conditionalFormatting sqref="AS122:BY123">
    <cfRule type="cellIs" dxfId="232" priority="183" stopIfTrue="1" operator="equal">
      <formula>"ü"</formula>
    </cfRule>
  </conditionalFormatting>
  <conditionalFormatting sqref="AI120">
    <cfRule type="cellIs" dxfId="231" priority="188" stopIfTrue="1" operator="equal">
      <formula>"ü"</formula>
    </cfRule>
  </conditionalFormatting>
  <conditionalFormatting sqref="AI117">
    <cfRule type="expression" dxfId="230" priority="187">
      <formula>ROUND(ABS(AI117),0)&gt;1</formula>
    </cfRule>
  </conditionalFormatting>
  <conditionalFormatting sqref="AI122:AI123">
    <cfRule type="cellIs" dxfId="229" priority="184" stopIfTrue="1" operator="equal">
      <formula>"ü"</formula>
    </cfRule>
  </conditionalFormatting>
  <conditionalFormatting sqref="AJ120">
    <cfRule type="cellIs" dxfId="228" priority="165" stopIfTrue="1" operator="equal">
      <formula>"ü"</formula>
    </cfRule>
  </conditionalFormatting>
  <conditionalFormatting sqref="AJ121">
    <cfRule type="expression" dxfId="227" priority="163">
      <formula>ROUND(ABS(AJ121),0)&gt;1</formula>
    </cfRule>
  </conditionalFormatting>
  <conditionalFormatting sqref="AJ122:AJ123">
    <cfRule type="cellIs" dxfId="226" priority="161" stopIfTrue="1" operator="equal">
      <formula>"ü"</formula>
    </cfRule>
  </conditionalFormatting>
  <conditionalFormatting sqref="AJ122:AJ123">
    <cfRule type="cellIs" dxfId="225" priority="160" stopIfTrue="1" operator="equal">
      <formula>"ü"</formula>
    </cfRule>
  </conditionalFormatting>
  <conditionalFormatting sqref="AK120">
    <cfRule type="cellIs" dxfId="224" priority="174" stopIfTrue="1" operator="equal">
      <formula>"ü"</formula>
    </cfRule>
  </conditionalFormatting>
  <conditionalFormatting sqref="AK120">
    <cfRule type="cellIs" dxfId="223" priority="173" stopIfTrue="1" operator="equal">
      <formula>"ü"</formula>
    </cfRule>
  </conditionalFormatting>
  <conditionalFormatting sqref="AK117">
    <cfRule type="expression" dxfId="222" priority="172">
      <formula>ROUND(ABS(AK117),0)&gt;1</formula>
    </cfRule>
  </conditionalFormatting>
  <conditionalFormatting sqref="AK121">
    <cfRule type="expression" dxfId="221" priority="171">
      <formula>ROUND(ABS(AK121),0)&gt;1</formula>
    </cfRule>
  </conditionalFormatting>
  <conditionalFormatting sqref="AK115:AK116">
    <cfRule type="expression" dxfId="220" priority="170">
      <formula>ROUND(ABS(AK115),0)&gt;1</formula>
    </cfRule>
  </conditionalFormatting>
  <conditionalFormatting sqref="AK122:AK123">
    <cfRule type="cellIs" dxfId="219" priority="169" stopIfTrue="1" operator="equal">
      <formula>"ü"</formula>
    </cfRule>
  </conditionalFormatting>
  <conditionalFormatting sqref="AK122:AK123">
    <cfRule type="cellIs" dxfId="218" priority="168" stopIfTrue="1" operator="equal">
      <formula>"ü"</formula>
    </cfRule>
  </conditionalFormatting>
  <conditionalFormatting sqref="AK122:AK123">
    <cfRule type="cellIs" dxfId="217" priority="167" stopIfTrue="1" operator="equal">
      <formula>"ü"</formula>
    </cfRule>
  </conditionalFormatting>
  <conditionalFormatting sqref="AJ120">
    <cfRule type="cellIs" dxfId="216" priority="166" stopIfTrue="1" operator="equal">
      <formula>"ü"</formula>
    </cfRule>
  </conditionalFormatting>
  <conditionalFormatting sqref="AJ117">
    <cfRule type="expression" dxfId="215" priority="164">
      <formula>ROUND(ABS(AJ117),0)&gt;1</formula>
    </cfRule>
  </conditionalFormatting>
  <conditionalFormatting sqref="AJ115:AJ116">
    <cfRule type="expression" dxfId="214" priority="162">
      <formula>ROUND(ABS(AJ115),0)&gt;1</formula>
    </cfRule>
  </conditionalFormatting>
  <conditionalFormatting sqref="AM117">
    <cfRule type="expression" dxfId="213" priority="151">
      <formula>ROUND(ABS(AM117),0)&gt;1</formula>
    </cfRule>
  </conditionalFormatting>
  <conditionalFormatting sqref="AM115:AM116">
    <cfRule type="expression" dxfId="212" priority="150">
      <formula>ROUND(ABS(AM115),0)&gt;1</formula>
    </cfRule>
  </conditionalFormatting>
  <conditionalFormatting sqref="AL120">
    <cfRule type="cellIs" dxfId="211" priority="146" stopIfTrue="1" operator="equal">
      <formula>"ü"</formula>
    </cfRule>
  </conditionalFormatting>
  <conditionalFormatting sqref="AL120">
    <cfRule type="cellIs" dxfId="210" priority="145" stopIfTrue="1" operator="equal">
      <formula>"ü"</formula>
    </cfRule>
  </conditionalFormatting>
  <conditionalFormatting sqref="AL121">
    <cfRule type="expression" dxfId="209" priority="143">
      <formula>ROUND(ABS(AL121),0)&gt;1</formula>
    </cfRule>
  </conditionalFormatting>
  <conditionalFormatting sqref="AL122:AL123">
    <cfRule type="cellIs" dxfId="208" priority="141" stopIfTrue="1" operator="equal">
      <formula>"ü"</formula>
    </cfRule>
  </conditionalFormatting>
  <conditionalFormatting sqref="AL122:AL123">
    <cfRule type="cellIs" dxfId="207" priority="140" stopIfTrue="1" operator="equal">
      <formula>"ü"</formula>
    </cfRule>
  </conditionalFormatting>
  <conditionalFormatting sqref="AL122:AL123">
    <cfRule type="cellIs" dxfId="206" priority="139" stopIfTrue="1" operator="equal">
      <formula>"ü"</formula>
    </cfRule>
  </conditionalFormatting>
  <conditionalFormatting sqref="AN117">
    <cfRule type="expression" dxfId="205" priority="136">
      <formula>ROUND(ABS(AN117),0)&gt;1</formula>
    </cfRule>
  </conditionalFormatting>
  <conditionalFormatting sqref="AN115:AO116">
    <cfRule type="expression" dxfId="204" priority="135">
      <formula>ROUND(ABS(AN115),0)&gt;1</formula>
    </cfRule>
  </conditionalFormatting>
  <conditionalFormatting sqref="AN117:AO117">
    <cfRule type="expression" dxfId="203" priority="131">
      <formula>ROUND(ABS(AN117),0)&gt;1</formula>
    </cfRule>
  </conditionalFormatting>
  <conditionalFormatting sqref="AN115:AO116">
    <cfRule type="expression" dxfId="202" priority="130">
      <formula>ROUND(ABS(AN115),0)&gt;1</formula>
    </cfRule>
  </conditionalFormatting>
  <conditionalFormatting sqref="AO117">
    <cfRule type="expression" dxfId="201" priority="129">
      <formula>ROUND(ABS(AO117),0)&gt;1</formula>
    </cfRule>
  </conditionalFormatting>
  <conditionalFormatting sqref="AO115:AO116">
    <cfRule type="expression" dxfId="200" priority="128">
      <formula>ROUND(ABS(AO115),0)&gt;1</formula>
    </cfRule>
  </conditionalFormatting>
  <conditionalFormatting sqref="AO117">
    <cfRule type="expression" dxfId="199" priority="127">
      <formula>ROUND(ABS(AO117),0)&gt;1</formula>
    </cfRule>
  </conditionalFormatting>
  <conditionalFormatting sqref="AP115:AP116">
    <cfRule type="expression" dxfId="198" priority="124">
      <formula>ROUND(ABS(AP115),0)&gt;1</formula>
    </cfRule>
  </conditionalFormatting>
  <conditionalFormatting sqref="AP117:AP118">
    <cfRule type="expression" dxfId="197" priority="123">
      <formula>ROUND(ABS(AP117),0)&gt;1</formula>
    </cfRule>
  </conditionalFormatting>
  <conditionalFormatting sqref="AP115:AP116">
    <cfRule type="expression" dxfId="196" priority="122">
      <formula>ROUND(ABS(AP115),0)&gt;1</formula>
    </cfRule>
  </conditionalFormatting>
  <conditionalFormatting sqref="AP117:AP118">
    <cfRule type="expression" dxfId="195" priority="121">
      <formula>ROUND(ABS(AP117),0)&gt;1</formula>
    </cfRule>
  </conditionalFormatting>
  <conditionalFormatting sqref="AP115:AP116">
    <cfRule type="expression" dxfId="194" priority="120">
      <formula>ROUND(ABS(AP115),0)&gt;1</formula>
    </cfRule>
  </conditionalFormatting>
  <conditionalFormatting sqref="AP117:AP118">
    <cfRule type="expression" dxfId="193" priority="119">
      <formula>ROUND(ABS(AP117),0)&gt;1</formula>
    </cfRule>
  </conditionalFormatting>
  <conditionalFormatting sqref="AP115:AP116">
    <cfRule type="expression" dxfId="192" priority="118">
      <formula>ROUND(ABS(AP115),0)&gt;1</formula>
    </cfRule>
  </conditionalFormatting>
  <conditionalFormatting sqref="AP117:AP118">
    <cfRule type="expression" dxfId="191" priority="117">
      <formula>ROUND(ABS(AP117),0)&gt;1</formula>
    </cfRule>
  </conditionalFormatting>
  <conditionalFormatting sqref="AP115:AP116">
    <cfRule type="expression" dxfId="190" priority="116">
      <formula>ROUND(ABS(AP115),0)&gt;1</formula>
    </cfRule>
  </conditionalFormatting>
  <conditionalFormatting sqref="AP117:AP118">
    <cfRule type="expression" dxfId="189" priority="115">
      <formula>ROUND(ABS(AP117),0)&gt;1</formula>
    </cfRule>
  </conditionalFormatting>
  <conditionalFormatting sqref="AP115:AP116">
    <cfRule type="expression" dxfId="188" priority="114">
      <formula>ROUND(ABS(AP115),0)&gt;1</formula>
    </cfRule>
  </conditionalFormatting>
  <conditionalFormatting sqref="AP117:AP118">
    <cfRule type="expression" dxfId="187" priority="113">
      <formula>ROUND(ABS(AP117),0)&gt;1</formula>
    </cfRule>
  </conditionalFormatting>
  <conditionalFormatting sqref="AR120">
    <cfRule type="cellIs" dxfId="186" priority="106" stopIfTrue="1" operator="equal">
      <formula>"ü"</formula>
    </cfRule>
  </conditionalFormatting>
  <conditionalFormatting sqref="AR122:AR123">
    <cfRule type="cellIs" dxfId="185" priority="105" stopIfTrue="1" operator="equal">
      <formula>"ü"</formula>
    </cfRule>
  </conditionalFormatting>
  <conditionalFormatting sqref="AR122:AR123">
    <cfRule type="cellIs" dxfId="184" priority="104" stopIfTrue="1" operator="equal">
      <formula>"ü"</formula>
    </cfRule>
  </conditionalFormatting>
  <conditionalFormatting sqref="AR120">
    <cfRule type="cellIs" dxfId="183" priority="103" stopIfTrue="1" operator="equal">
      <formula>"ü"</formula>
    </cfRule>
  </conditionalFormatting>
  <conditionalFormatting sqref="AR120">
    <cfRule type="cellIs" dxfId="182" priority="102" stopIfTrue="1" operator="equal">
      <formula>"ü"</formula>
    </cfRule>
  </conditionalFormatting>
  <conditionalFormatting sqref="AR121">
    <cfRule type="expression" dxfId="181" priority="101">
      <formula>ROUND(ABS(AR121),0)&gt;1</formula>
    </cfRule>
  </conditionalFormatting>
  <conditionalFormatting sqref="AR115:AR116">
    <cfRule type="expression" dxfId="180" priority="100">
      <formula>ROUND(ABS(AR115),0)&gt;1</formula>
    </cfRule>
  </conditionalFormatting>
  <conditionalFormatting sqref="AR117:AR118">
    <cfRule type="expression" dxfId="179" priority="99">
      <formula>ROUND(ABS(AR117),0)&gt;1</formula>
    </cfRule>
  </conditionalFormatting>
  <conditionalFormatting sqref="AR115:AR116">
    <cfRule type="expression" dxfId="178" priority="98">
      <formula>ROUND(ABS(AR115),0)&gt;1</formula>
    </cfRule>
  </conditionalFormatting>
  <conditionalFormatting sqref="AR117:AR118">
    <cfRule type="expression" dxfId="177" priority="97">
      <formula>ROUND(ABS(AR117),0)&gt;1</formula>
    </cfRule>
  </conditionalFormatting>
  <conditionalFormatting sqref="AR115:AR116">
    <cfRule type="expression" dxfId="176" priority="96">
      <formula>ROUND(ABS(AR115),0)&gt;1</formula>
    </cfRule>
  </conditionalFormatting>
  <conditionalFormatting sqref="AR117:AR118">
    <cfRule type="expression" dxfId="175" priority="95">
      <formula>ROUND(ABS(AR117),0)&gt;1</formula>
    </cfRule>
  </conditionalFormatting>
  <conditionalFormatting sqref="AQ120">
    <cfRule type="cellIs" dxfId="174" priority="94" stopIfTrue="1" operator="equal">
      <formula>"ü"</formula>
    </cfRule>
  </conditionalFormatting>
  <conditionalFormatting sqref="AQ122:AQ123">
    <cfRule type="cellIs" dxfId="173" priority="93" stopIfTrue="1" operator="equal">
      <formula>"ü"</formula>
    </cfRule>
  </conditionalFormatting>
  <conditionalFormatting sqref="AQ122:AQ123">
    <cfRule type="cellIs" dxfId="172" priority="92" stopIfTrue="1" operator="equal">
      <formula>"ü"</formula>
    </cfRule>
  </conditionalFormatting>
  <conditionalFormatting sqref="AQ120">
    <cfRule type="cellIs" dxfId="171" priority="91" stopIfTrue="1" operator="equal">
      <formula>"ü"</formula>
    </cfRule>
  </conditionalFormatting>
  <conditionalFormatting sqref="AQ120">
    <cfRule type="cellIs" dxfId="170" priority="90" stopIfTrue="1" operator="equal">
      <formula>"ü"</formula>
    </cfRule>
  </conditionalFormatting>
  <conditionalFormatting sqref="AQ121">
    <cfRule type="expression" dxfId="169" priority="89">
      <formula>ROUND(ABS(AQ121),0)&gt;1</formula>
    </cfRule>
  </conditionalFormatting>
  <conditionalFormatting sqref="AQ115:AQ116">
    <cfRule type="expression" dxfId="168" priority="88">
      <formula>ROUND(ABS(AQ115),0)&gt;1</formula>
    </cfRule>
  </conditionalFormatting>
  <conditionalFormatting sqref="AQ117:AQ118">
    <cfRule type="expression" dxfId="167" priority="87">
      <formula>ROUND(ABS(AQ117),0)&gt;1</formula>
    </cfRule>
  </conditionalFormatting>
  <conditionalFormatting sqref="AQ115:AQ116">
    <cfRule type="expression" dxfId="166" priority="86">
      <formula>ROUND(ABS(AQ115),0)&gt;1</formula>
    </cfRule>
  </conditionalFormatting>
  <conditionalFormatting sqref="AQ117:AQ118">
    <cfRule type="expression" dxfId="165" priority="85">
      <formula>ROUND(ABS(AQ117),0)&gt;1</formula>
    </cfRule>
  </conditionalFormatting>
  <conditionalFormatting sqref="AQ115:AQ116">
    <cfRule type="expression" dxfId="164" priority="84">
      <formula>ROUND(ABS(AQ115),0)&gt;1</formula>
    </cfRule>
  </conditionalFormatting>
  <conditionalFormatting sqref="AQ117:AQ118">
    <cfRule type="expression" dxfId="163" priority="83">
      <formula>ROUND(ABS(AQ117),0)&gt;1</formula>
    </cfRule>
  </conditionalFormatting>
  <conditionalFormatting sqref="AQ115:AQ116">
    <cfRule type="expression" dxfId="162" priority="82">
      <formula>ROUND(ABS(AQ115),0)&gt;1</formula>
    </cfRule>
  </conditionalFormatting>
  <conditionalFormatting sqref="AQ117:AQ118">
    <cfRule type="expression" dxfId="161" priority="81">
      <formula>ROUND(ABS(AQ117),0)&gt;1</formula>
    </cfRule>
  </conditionalFormatting>
  <conditionalFormatting sqref="AQ115:AQ116">
    <cfRule type="expression" dxfId="160" priority="80">
      <formula>ROUND(ABS(AQ115),0)&gt;1</formula>
    </cfRule>
  </conditionalFormatting>
  <conditionalFormatting sqref="AQ117:AQ118">
    <cfRule type="expression" dxfId="159" priority="79">
      <formula>ROUND(ABS(AQ117),0)&gt;1</formula>
    </cfRule>
  </conditionalFormatting>
  <conditionalFormatting sqref="AQ115:AQ116">
    <cfRule type="expression" dxfId="158" priority="78">
      <formula>ROUND(ABS(AQ115),0)&gt;1</formula>
    </cfRule>
  </conditionalFormatting>
  <conditionalFormatting sqref="AQ117:AQ118">
    <cfRule type="expression" dxfId="157" priority="77">
      <formula>ROUND(ABS(AQ117),0)&gt;1</formula>
    </cfRule>
  </conditionalFormatting>
  <conditionalFormatting sqref="J118:AO118">
    <cfRule type="cellIs" dxfId="156" priority="76" stopIfTrue="1" operator="equal">
      <formula>"ü"</formula>
    </cfRule>
  </conditionalFormatting>
  <conditionalFormatting sqref="AL117">
    <cfRule type="expression" dxfId="155" priority="75">
      <formula>ROUND(ABS(AL117),0)&gt;1</formula>
    </cfRule>
  </conditionalFormatting>
  <conditionalFormatting sqref="AL115:AL116">
    <cfRule type="expression" dxfId="154" priority="74">
      <formula>ROUND(ABS(AL115),0)&gt;1</formula>
    </cfRule>
  </conditionalFormatting>
  <conditionalFormatting sqref="AS120">
    <cfRule type="cellIs" dxfId="153" priority="73" stopIfTrue="1" operator="equal">
      <formula>"ü"</formula>
    </cfRule>
  </conditionalFormatting>
  <conditionalFormatting sqref="AS122:AS123">
    <cfRule type="cellIs" dxfId="152" priority="72" stopIfTrue="1" operator="equal">
      <formula>"ü"</formula>
    </cfRule>
  </conditionalFormatting>
  <conditionalFormatting sqref="AS122:AS123">
    <cfRule type="cellIs" dxfId="151" priority="71" stopIfTrue="1" operator="equal">
      <formula>"ü"</formula>
    </cfRule>
  </conditionalFormatting>
  <conditionalFormatting sqref="AS120">
    <cfRule type="cellIs" dxfId="150" priority="70" stopIfTrue="1" operator="equal">
      <formula>"ü"</formula>
    </cfRule>
  </conditionalFormatting>
  <conditionalFormatting sqref="AS120">
    <cfRule type="cellIs" dxfId="149" priority="69" stopIfTrue="1" operator="equal">
      <formula>"ü"</formula>
    </cfRule>
  </conditionalFormatting>
  <conditionalFormatting sqref="AS121">
    <cfRule type="expression" dxfId="148" priority="68">
      <formula>ROUND(ABS(AS121),0)&gt;1</formula>
    </cfRule>
  </conditionalFormatting>
  <conditionalFormatting sqref="AS115:AS116">
    <cfRule type="expression" dxfId="147" priority="67">
      <formula>ROUND(ABS(AS115),0)&gt;1</formula>
    </cfRule>
  </conditionalFormatting>
  <conditionalFormatting sqref="AS117:AS118">
    <cfRule type="expression" dxfId="146" priority="66">
      <formula>ROUND(ABS(AS117),0)&gt;1</formula>
    </cfRule>
  </conditionalFormatting>
  <conditionalFormatting sqref="AS115:AS116">
    <cfRule type="expression" dxfId="145" priority="65">
      <formula>ROUND(ABS(AS115),0)&gt;1</formula>
    </cfRule>
  </conditionalFormatting>
  <conditionalFormatting sqref="AS117:AS118">
    <cfRule type="expression" dxfId="144" priority="64">
      <formula>ROUND(ABS(AS117),0)&gt;1</formula>
    </cfRule>
  </conditionalFormatting>
  <conditionalFormatting sqref="AS115:AS116">
    <cfRule type="expression" dxfId="143" priority="63">
      <formula>ROUND(ABS(AS115),0)&gt;1</formula>
    </cfRule>
  </conditionalFormatting>
  <conditionalFormatting sqref="AS117:AS118">
    <cfRule type="expression" dxfId="142" priority="62">
      <formula>ROUND(ABS(AS117),0)&gt;1</formula>
    </cfRule>
  </conditionalFormatting>
  <conditionalFormatting sqref="AR120">
    <cfRule type="cellIs" dxfId="141" priority="61" stopIfTrue="1" operator="equal">
      <formula>"ü"</formula>
    </cfRule>
  </conditionalFormatting>
  <conditionalFormatting sqref="AR122:AR123">
    <cfRule type="cellIs" dxfId="140" priority="60" stopIfTrue="1" operator="equal">
      <formula>"ü"</formula>
    </cfRule>
  </conditionalFormatting>
  <conditionalFormatting sqref="AR122:AR123">
    <cfRule type="cellIs" dxfId="139" priority="59" stopIfTrue="1" operator="equal">
      <formula>"ü"</formula>
    </cfRule>
  </conditionalFormatting>
  <conditionalFormatting sqref="AR120">
    <cfRule type="cellIs" dxfId="138" priority="58" stopIfTrue="1" operator="equal">
      <formula>"ü"</formula>
    </cfRule>
  </conditionalFormatting>
  <conditionalFormatting sqref="AR120">
    <cfRule type="cellIs" dxfId="137" priority="57" stopIfTrue="1" operator="equal">
      <formula>"ü"</formula>
    </cfRule>
  </conditionalFormatting>
  <conditionalFormatting sqref="AR121">
    <cfRule type="expression" dxfId="136" priority="56">
      <formula>ROUND(ABS(AR121),0)&gt;1</formula>
    </cfRule>
  </conditionalFormatting>
  <conditionalFormatting sqref="AR115:AR116">
    <cfRule type="expression" dxfId="135" priority="55">
      <formula>ROUND(ABS(AR115),0)&gt;1</formula>
    </cfRule>
  </conditionalFormatting>
  <conditionalFormatting sqref="AR117:AR118">
    <cfRule type="expression" dxfId="134" priority="54">
      <formula>ROUND(ABS(AR117),0)&gt;1</formula>
    </cfRule>
  </conditionalFormatting>
  <conditionalFormatting sqref="AR115:AR116">
    <cfRule type="expression" dxfId="133" priority="53">
      <formula>ROUND(ABS(AR115),0)&gt;1</formula>
    </cfRule>
  </conditionalFormatting>
  <conditionalFormatting sqref="AR117:AR118">
    <cfRule type="expression" dxfId="132" priority="52">
      <formula>ROUND(ABS(AR117),0)&gt;1</formula>
    </cfRule>
  </conditionalFormatting>
  <conditionalFormatting sqref="AR115:AR116">
    <cfRule type="expression" dxfId="131" priority="51">
      <formula>ROUND(ABS(AR115),0)&gt;1</formula>
    </cfRule>
  </conditionalFormatting>
  <conditionalFormatting sqref="AR117:AR118">
    <cfRule type="expression" dxfId="130" priority="50">
      <formula>ROUND(ABS(AR117),0)&gt;1</formula>
    </cfRule>
  </conditionalFormatting>
  <conditionalFormatting sqref="AR115:AR116">
    <cfRule type="expression" dxfId="129" priority="49">
      <formula>ROUND(ABS(AR115),0)&gt;1</formula>
    </cfRule>
  </conditionalFormatting>
  <conditionalFormatting sqref="AR117:AR118">
    <cfRule type="expression" dxfId="128" priority="48">
      <formula>ROUND(ABS(AR117),0)&gt;1</formula>
    </cfRule>
  </conditionalFormatting>
  <conditionalFormatting sqref="AR115:AR116">
    <cfRule type="expression" dxfId="127" priority="47">
      <formula>ROUND(ABS(AR115),0)&gt;1</formula>
    </cfRule>
  </conditionalFormatting>
  <conditionalFormatting sqref="AR117:AR118">
    <cfRule type="expression" dxfId="126" priority="46">
      <formula>ROUND(ABS(AR117),0)&gt;1</formula>
    </cfRule>
  </conditionalFormatting>
  <conditionalFormatting sqref="AR115:AR116">
    <cfRule type="expression" dxfId="125" priority="45">
      <formula>ROUND(ABS(AR115),0)&gt;1</formula>
    </cfRule>
  </conditionalFormatting>
  <conditionalFormatting sqref="AR117:AR118">
    <cfRule type="expression" dxfId="124" priority="44">
      <formula>ROUND(ABS(AR117),0)&gt;1</formula>
    </cfRule>
  </conditionalFormatting>
  <conditionalFormatting sqref="AS120">
    <cfRule type="cellIs" dxfId="123" priority="43" stopIfTrue="1" operator="equal">
      <formula>"ü"</formula>
    </cfRule>
  </conditionalFormatting>
  <conditionalFormatting sqref="AS122:AS123">
    <cfRule type="cellIs" dxfId="122" priority="42" stopIfTrue="1" operator="equal">
      <formula>"ü"</formula>
    </cfRule>
  </conditionalFormatting>
  <conditionalFormatting sqref="AS122:AS123">
    <cfRule type="cellIs" dxfId="121" priority="41" stopIfTrue="1" operator="equal">
      <formula>"ü"</formula>
    </cfRule>
  </conditionalFormatting>
  <conditionalFormatting sqref="AS120">
    <cfRule type="cellIs" dxfId="120" priority="40" stopIfTrue="1" operator="equal">
      <formula>"ü"</formula>
    </cfRule>
  </conditionalFormatting>
  <conditionalFormatting sqref="AS120">
    <cfRule type="cellIs" dxfId="119" priority="39" stopIfTrue="1" operator="equal">
      <formula>"ü"</formula>
    </cfRule>
  </conditionalFormatting>
  <conditionalFormatting sqref="AS121">
    <cfRule type="expression" dxfId="118" priority="38">
      <formula>ROUND(ABS(AS121),0)&gt;1</formula>
    </cfRule>
  </conditionalFormatting>
  <conditionalFormatting sqref="AS115:AS116">
    <cfRule type="expression" dxfId="117" priority="37">
      <formula>ROUND(ABS(AS115),0)&gt;1</formula>
    </cfRule>
  </conditionalFormatting>
  <conditionalFormatting sqref="AS117:AS118">
    <cfRule type="expression" dxfId="116" priority="36">
      <formula>ROUND(ABS(AS117),0)&gt;1</formula>
    </cfRule>
  </conditionalFormatting>
  <conditionalFormatting sqref="AS115:AS116">
    <cfRule type="expression" dxfId="115" priority="35">
      <formula>ROUND(ABS(AS115),0)&gt;1</formula>
    </cfRule>
  </conditionalFormatting>
  <conditionalFormatting sqref="AS117:AS118">
    <cfRule type="expression" dxfId="114" priority="34">
      <formula>ROUND(ABS(AS117),0)&gt;1</formula>
    </cfRule>
  </conditionalFormatting>
  <conditionalFormatting sqref="AS115:AS116">
    <cfRule type="expression" dxfId="113" priority="33">
      <formula>ROUND(ABS(AS115),0)&gt;1</formula>
    </cfRule>
  </conditionalFormatting>
  <conditionalFormatting sqref="AS117:AS118">
    <cfRule type="expression" dxfId="112" priority="32">
      <formula>ROUND(ABS(AS117),0)&gt;1</formula>
    </cfRule>
  </conditionalFormatting>
  <conditionalFormatting sqref="AT120">
    <cfRule type="cellIs" dxfId="111" priority="31" stopIfTrue="1" operator="equal">
      <formula>"ü"</formula>
    </cfRule>
  </conditionalFormatting>
  <conditionalFormatting sqref="AT122:AT123">
    <cfRule type="cellIs" dxfId="110" priority="30" stopIfTrue="1" operator="equal">
      <formula>"ü"</formula>
    </cfRule>
  </conditionalFormatting>
  <conditionalFormatting sqref="AT122:AT123">
    <cfRule type="cellIs" dxfId="109" priority="29" stopIfTrue="1" operator="equal">
      <formula>"ü"</formula>
    </cfRule>
  </conditionalFormatting>
  <conditionalFormatting sqref="AT120">
    <cfRule type="cellIs" dxfId="108" priority="28" stopIfTrue="1" operator="equal">
      <formula>"ü"</formula>
    </cfRule>
  </conditionalFormatting>
  <conditionalFormatting sqref="AT120">
    <cfRule type="cellIs" dxfId="107" priority="27" stopIfTrue="1" operator="equal">
      <formula>"ü"</formula>
    </cfRule>
  </conditionalFormatting>
  <conditionalFormatting sqref="AT121">
    <cfRule type="expression" dxfId="106" priority="26">
      <formula>ROUND(ABS(AT121),0)&gt;1</formula>
    </cfRule>
  </conditionalFormatting>
  <conditionalFormatting sqref="AT115:AT116">
    <cfRule type="expression" dxfId="105" priority="25">
      <formula>ROUND(ABS(AT115),0)&gt;1</formula>
    </cfRule>
  </conditionalFormatting>
  <conditionalFormatting sqref="AT117:AT119">
    <cfRule type="expression" dxfId="104" priority="24">
      <formula>ROUND(ABS(AT117),0)&gt;1</formula>
    </cfRule>
  </conditionalFormatting>
  <conditionalFormatting sqref="AT115:AT116">
    <cfRule type="expression" dxfId="103" priority="23">
      <formula>ROUND(ABS(AT115),0)&gt;1</formula>
    </cfRule>
  </conditionalFormatting>
  <conditionalFormatting sqref="AT117:AT119">
    <cfRule type="expression" dxfId="102" priority="22">
      <formula>ROUND(ABS(AT117),0)&gt;1</formula>
    </cfRule>
  </conditionalFormatting>
  <conditionalFormatting sqref="AT115:AT116">
    <cfRule type="expression" dxfId="101" priority="21">
      <formula>ROUND(ABS(AT115),0)&gt;1</formula>
    </cfRule>
  </conditionalFormatting>
  <conditionalFormatting sqref="AT117:AT119">
    <cfRule type="expression" dxfId="100" priority="20">
      <formula>ROUND(ABS(AT117),0)&gt;1</formula>
    </cfRule>
  </conditionalFormatting>
  <conditionalFormatting sqref="AS120">
    <cfRule type="cellIs" dxfId="99" priority="19" stopIfTrue="1" operator="equal">
      <formula>"ü"</formula>
    </cfRule>
  </conditionalFormatting>
  <conditionalFormatting sqref="AS122:AS123">
    <cfRule type="cellIs" dxfId="98" priority="18" stopIfTrue="1" operator="equal">
      <formula>"ü"</formula>
    </cfRule>
  </conditionalFormatting>
  <conditionalFormatting sqref="AS122:AS123">
    <cfRule type="cellIs" dxfId="97" priority="17" stopIfTrue="1" operator="equal">
      <formula>"ü"</formula>
    </cfRule>
  </conditionalFormatting>
  <conditionalFormatting sqref="AS120">
    <cfRule type="cellIs" dxfId="96" priority="16" stopIfTrue="1" operator="equal">
      <formula>"ü"</formula>
    </cfRule>
  </conditionalFormatting>
  <conditionalFormatting sqref="AS120">
    <cfRule type="cellIs" dxfId="95" priority="15" stopIfTrue="1" operator="equal">
      <formula>"ü"</formula>
    </cfRule>
  </conditionalFormatting>
  <conditionalFormatting sqref="AS121">
    <cfRule type="expression" dxfId="94" priority="14">
      <formula>ROUND(ABS(AS121),0)&gt;1</formula>
    </cfRule>
  </conditionalFormatting>
  <conditionalFormatting sqref="AS115:AS116">
    <cfRule type="expression" dxfId="93" priority="13">
      <formula>ROUND(ABS(AS115),0)&gt;1</formula>
    </cfRule>
  </conditionalFormatting>
  <conditionalFormatting sqref="AS117:AS118">
    <cfRule type="expression" dxfId="92" priority="12">
      <formula>ROUND(ABS(AS117),0)&gt;1</formula>
    </cfRule>
  </conditionalFormatting>
  <conditionalFormatting sqref="AS115:AS116">
    <cfRule type="expression" dxfId="91" priority="11">
      <formula>ROUND(ABS(AS115),0)&gt;1</formula>
    </cfRule>
  </conditionalFormatting>
  <conditionalFormatting sqref="AS117:AS118">
    <cfRule type="expression" dxfId="90" priority="10">
      <formula>ROUND(ABS(AS117),0)&gt;1</formula>
    </cfRule>
  </conditionalFormatting>
  <conditionalFormatting sqref="AS115:AS116">
    <cfRule type="expression" dxfId="89" priority="9">
      <formula>ROUND(ABS(AS115),0)&gt;1</formula>
    </cfRule>
  </conditionalFormatting>
  <conditionalFormatting sqref="AS117:AS118">
    <cfRule type="expression" dxfId="88" priority="8">
      <formula>ROUND(ABS(AS117),0)&gt;1</formula>
    </cfRule>
  </conditionalFormatting>
  <conditionalFormatting sqref="AS115:AS116">
    <cfRule type="expression" dxfId="87" priority="7">
      <formula>ROUND(ABS(AS115),0)&gt;1</formula>
    </cfRule>
  </conditionalFormatting>
  <conditionalFormatting sqref="AS117:AS118">
    <cfRule type="expression" dxfId="86" priority="6">
      <formula>ROUND(ABS(AS117),0)&gt;1</formula>
    </cfRule>
  </conditionalFormatting>
  <conditionalFormatting sqref="AS115:AS116">
    <cfRule type="expression" dxfId="85" priority="5">
      <formula>ROUND(ABS(AS115),0)&gt;1</formula>
    </cfRule>
  </conditionalFormatting>
  <conditionalFormatting sqref="AS117:AS118">
    <cfRule type="expression" dxfId="84" priority="4">
      <formula>ROUND(ABS(AS117),0)&gt;1</formula>
    </cfRule>
  </conditionalFormatting>
  <conditionalFormatting sqref="AS115:AS116">
    <cfRule type="expression" dxfId="83" priority="3">
      <formula>ROUND(ABS(AS115),0)&gt;1</formula>
    </cfRule>
  </conditionalFormatting>
  <conditionalFormatting sqref="AS117:AS118">
    <cfRule type="expression" dxfId="82" priority="2">
      <formula>ROUND(ABS(AS117),0)&gt;1</formula>
    </cfRule>
  </conditionalFormatting>
  <conditionalFormatting sqref="AU119:BY119">
    <cfRule type="cellIs" dxfId="81" priority="1" stopIfTrue="1" operator="equal">
      <formula>"ü"</formula>
    </cfRule>
  </conditionalFormatting>
  <pageMargins left="0.7" right="0.7" top="0.75" bottom="0.75" header="0.3" footer="0.3"/>
  <pageSetup scale="37" orientation="landscape" r:id="rId1"/>
  <headerFooter alignWithMargins="0"/>
  <colBreaks count="1" manualBreakCount="1">
    <brk id="57" max="111" man="1"/>
  </colBreaks>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tabColor theme="4" tint="0.59999389629810485"/>
  </sheetPr>
  <dimension ref="A1:CX255"/>
  <sheetViews>
    <sheetView showGridLines="0" zoomScaleNormal="100" workbookViewId="0">
      <pane xSplit="1" ySplit="4" topLeftCell="B5" activePane="bottomRight" state="frozen"/>
      <selection activeCell="AC362" sqref="AC362"/>
      <selection pane="topRight" activeCell="AC362" sqref="AC362"/>
      <selection pane="bottomLeft" activeCell="AC362" sqref="AC362"/>
      <selection pane="bottomRight"/>
    </sheetView>
  </sheetViews>
  <sheetFormatPr defaultRowHeight="11.25" outlineLevelRow="1" outlineLevelCol="1"/>
  <cols>
    <col min="1" max="1" width="34.140625" style="52" customWidth="1"/>
    <col min="2" max="8" width="10.7109375" style="52" hidden="1" customWidth="1" outlineLevel="1"/>
    <col min="9" max="9" width="10.7109375" style="52" customWidth="1" collapsed="1"/>
    <col min="10" max="10" width="10.7109375" style="52" customWidth="1"/>
    <col min="11" max="11" width="10.7109375" style="1401" customWidth="1"/>
    <col min="12" max="12" width="10.28515625" style="106" customWidth="1"/>
    <col min="13" max="13" width="10.7109375" style="106" customWidth="1"/>
    <col min="14" max="17" width="10.7109375" style="52" customWidth="1"/>
    <col min="18" max="21" width="10.7109375" style="1401" customWidth="1"/>
    <col min="22" max="23" width="10.7109375" style="52" customWidth="1"/>
    <col min="24" max="49" width="10.7109375" style="52" hidden="1" customWidth="1" outlineLevel="1"/>
    <col min="50" max="50" width="10.7109375" style="106" hidden="1" customWidth="1" outlineLevel="1"/>
    <col min="51" max="55" width="10.7109375" style="52" hidden="1" customWidth="1" outlineLevel="1"/>
    <col min="56" max="56" width="10.7109375" style="52" customWidth="1" collapsed="1"/>
    <col min="57" max="60" width="10.7109375" style="106" customWidth="1"/>
    <col min="61" max="64" width="10.7109375" style="1401" customWidth="1"/>
    <col min="65" max="68" width="10.7109375" style="52" customWidth="1"/>
    <col min="69" max="69" width="13.28515625" style="52" bestFit="1" customWidth="1"/>
    <col min="70" max="70" width="14.140625" style="52" bestFit="1" customWidth="1"/>
    <col min="71" max="71" width="10" style="52" bestFit="1" customWidth="1"/>
    <col min="72" max="74" width="14.140625" style="52" bestFit="1" customWidth="1"/>
    <col min="75" max="75" width="10" style="52" bestFit="1" customWidth="1"/>
    <col min="76" max="78" width="14.140625" style="52" bestFit="1" customWidth="1"/>
    <col min="79" max="79" width="10" style="52" bestFit="1" customWidth="1"/>
    <col min="80" max="82" width="14.140625" style="52" bestFit="1" customWidth="1"/>
    <col min="83" max="83" width="10" style="52" bestFit="1" customWidth="1"/>
    <col min="84" max="86" width="14.140625" style="52" bestFit="1" customWidth="1"/>
    <col min="87" max="87" width="10" style="52" bestFit="1" customWidth="1"/>
    <col min="88" max="90" width="14.140625" style="52" bestFit="1" customWidth="1"/>
    <col min="91" max="91" width="10" style="52" bestFit="1" customWidth="1"/>
    <col min="92" max="94" width="14.140625" style="52" bestFit="1" customWidth="1"/>
    <col min="95" max="95" width="10" style="52" bestFit="1" customWidth="1"/>
    <col min="96" max="98" width="14.140625" style="52" bestFit="1" customWidth="1"/>
    <col min="99" max="99" width="10" style="52" bestFit="1" customWidth="1"/>
    <col min="100" max="16384" width="9.140625" style="52"/>
  </cols>
  <sheetData>
    <row r="1" spans="1:102" s="106" customFormat="1" ht="18">
      <c r="A1" s="112" t="str">
        <f>Index!B1</f>
        <v>São Martinho</v>
      </c>
      <c r="B1" s="127"/>
      <c r="C1" s="666"/>
      <c r="D1" s="666"/>
      <c r="E1" s="666"/>
      <c r="F1" s="666"/>
      <c r="G1" s="666"/>
      <c r="H1" s="666"/>
      <c r="I1" s="666"/>
      <c r="J1" s="666"/>
      <c r="K1" s="666"/>
      <c r="L1" s="666"/>
      <c r="M1" s="666"/>
      <c r="N1" s="666"/>
      <c r="O1" s="666"/>
      <c r="P1" s="666"/>
      <c r="Q1" s="431"/>
      <c r="R1" s="431"/>
      <c r="S1" s="431"/>
      <c r="T1" s="431"/>
      <c r="U1" s="431"/>
      <c r="V1" s="431"/>
    </row>
    <row r="2" spans="1:102" s="106" customFormat="1" ht="12.75">
      <c r="A2" s="170" t="s">
        <v>1417</v>
      </c>
      <c r="B2" s="666"/>
      <c r="C2" s="666"/>
      <c r="D2" s="666"/>
      <c r="E2" s="666"/>
      <c r="F2" s="666"/>
      <c r="G2" s="666"/>
      <c r="H2" s="666"/>
      <c r="I2" s="666"/>
      <c r="J2" s="666"/>
      <c r="K2" s="666"/>
      <c r="L2" s="666"/>
      <c r="M2" s="666"/>
      <c r="N2" s="666"/>
      <c r="O2" s="666"/>
      <c r="P2" s="431"/>
      <c r="Q2" s="431"/>
      <c r="R2" s="431"/>
      <c r="S2" s="431"/>
      <c r="T2" s="431"/>
      <c r="U2" s="431"/>
      <c r="V2" s="432" t="s">
        <v>27</v>
      </c>
      <c r="BM2" s="934"/>
    </row>
    <row r="4" spans="1:102">
      <c r="A4" s="652" t="s">
        <v>1495</v>
      </c>
      <c r="B4" s="633">
        <f>Financials!D4</f>
        <v>2006</v>
      </c>
      <c r="C4" s="633">
        <f>Financials!E4</f>
        <v>2007</v>
      </c>
      <c r="D4" s="633">
        <f>Financials!F4</f>
        <v>2008</v>
      </c>
      <c r="E4" s="633">
        <f>Financials!G4</f>
        <v>2009</v>
      </c>
      <c r="F4" s="633">
        <f>Financials!H4</f>
        <v>2010</v>
      </c>
      <c r="G4" s="633">
        <f>Financials!I4</f>
        <v>2011</v>
      </c>
      <c r="H4" s="633">
        <f>Financials!J4</f>
        <v>2012</v>
      </c>
      <c r="I4" s="633">
        <f>Financials!K4</f>
        <v>2013</v>
      </c>
      <c r="J4" s="633">
        <f>Financials!L4</f>
        <v>2014</v>
      </c>
      <c r="K4" s="633">
        <f>Financials!M4</f>
        <v>2015</v>
      </c>
      <c r="L4" s="633">
        <f>Financials!N4</f>
        <v>2016</v>
      </c>
      <c r="M4" s="2319">
        <f>Financials!O4</f>
        <v>2017</v>
      </c>
      <c r="N4" s="388">
        <f>Financials!P4</f>
        <v>2018</v>
      </c>
      <c r="O4" s="388">
        <f>Financials!Q4</f>
        <v>2019</v>
      </c>
      <c r="P4" s="388">
        <f>Financials!R4</f>
        <v>2020</v>
      </c>
      <c r="Q4" s="388">
        <f>Financials!S4</f>
        <v>2021</v>
      </c>
      <c r="R4" s="388">
        <f>Financials!T4</f>
        <v>2022</v>
      </c>
      <c r="S4" s="388">
        <f>Financials!U4</f>
        <v>2023</v>
      </c>
      <c r="T4" s="388">
        <f>Financials!V4</f>
        <v>2024</v>
      </c>
      <c r="U4" s="388">
        <f>Financials!W4</f>
        <v>2025</v>
      </c>
      <c r="V4" s="614"/>
      <c r="W4" s="327"/>
      <c r="X4" s="615">
        <f>+Q_Financials!B$6</f>
        <v>38898</v>
      </c>
      <c r="Y4" s="615">
        <f>+Q_Financials!C$6</f>
        <v>38990</v>
      </c>
      <c r="Z4" s="615">
        <f>+Q_Financials!D$6</f>
        <v>39082</v>
      </c>
      <c r="AA4" s="615">
        <f>+Q_Financials!E$6</f>
        <v>39172</v>
      </c>
      <c r="AB4" s="615">
        <f>+Q_Financials!F$6</f>
        <v>39263</v>
      </c>
      <c r="AC4" s="615">
        <f>+Q_Financials!G$6</f>
        <v>39355</v>
      </c>
      <c r="AD4" s="615">
        <f>+Q_Financials!H$6</f>
        <v>39447</v>
      </c>
      <c r="AE4" s="615">
        <f>+Q_Financials!I$6</f>
        <v>39538</v>
      </c>
      <c r="AF4" s="615">
        <f>+Q_Financials!J$6</f>
        <v>39629</v>
      </c>
      <c r="AG4" s="615">
        <f>+Q_Financials!K$6</f>
        <v>39721</v>
      </c>
      <c r="AH4" s="615">
        <f>+Q_Financials!L$6</f>
        <v>39813</v>
      </c>
      <c r="AI4" s="615">
        <f>+Q_Financials!M$6</f>
        <v>39903</v>
      </c>
      <c r="AJ4" s="615">
        <f>+Q_Financials!N$6</f>
        <v>39994</v>
      </c>
      <c r="AK4" s="615">
        <f>+Q_Financials!O$6</f>
        <v>40086</v>
      </c>
      <c r="AL4" s="615">
        <f>+Q_Financials!P$6</f>
        <v>40178</v>
      </c>
      <c r="AM4" s="615">
        <f>+Q_Financials!Q$6</f>
        <v>40268</v>
      </c>
      <c r="AN4" s="615">
        <f>+Q_Financials!R$6</f>
        <v>40359</v>
      </c>
      <c r="AO4" s="615">
        <f>+Q_Financials!S$6</f>
        <v>40451</v>
      </c>
      <c r="AP4" s="615">
        <f>+Q_Financials!T$6</f>
        <v>40543</v>
      </c>
      <c r="AQ4" s="615">
        <f>+Q_Financials!U$6</f>
        <v>40633</v>
      </c>
      <c r="AR4" s="615">
        <f>+Q_Financials!V$6</f>
        <v>40724</v>
      </c>
      <c r="AS4" s="615">
        <f>+Q_Financials!W$6</f>
        <v>40816</v>
      </c>
      <c r="AT4" s="615">
        <f>+Q_Financials!X$6</f>
        <v>40908</v>
      </c>
      <c r="AU4" s="615">
        <f>+Q_Financials!Y$6</f>
        <v>40999</v>
      </c>
      <c r="AV4" s="615">
        <f>+Q_Financials!Z$6</f>
        <v>41090</v>
      </c>
      <c r="AW4" s="615">
        <f>+Q_Financials!AA$6</f>
        <v>41182</v>
      </c>
      <c r="AX4" s="1020">
        <f>+Q_Financials!AB$6</f>
        <v>41274</v>
      </c>
      <c r="AY4" s="615">
        <f>+Q_Financials!AC$6</f>
        <v>41364</v>
      </c>
      <c r="AZ4" s="615">
        <f>+Q_Financials!AD$6</f>
        <v>41455</v>
      </c>
      <c r="BA4" s="615">
        <f>+Q_Financials!AE$6</f>
        <v>41547</v>
      </c>
      <c r="BB4" s="615">
        <f>+Q_Financials!AF$6</f>
        <v>41639</v>
      </c>
      <c r="BC4" s="615">
        <f>+Q_Financials!AG$6</f>
        <v>41729</v>
      </c>
      <c r="BD4" s="615">
        <f>+Q_Financials!AH$6</f>
        <v>41820</v>
      </c>
      <c r="BE4" s="615">
        <f>+Q_Financials!AI$6</f>
        <v>41912</v>
      </c>
      <c r="BF4" s="615">
        <f>+Q_Financials!AJ$6</f>
        <v>42004</v>
      </c>
      <c r="BG4" s="1020">
        <f>+Q_Financials!AK$6</f>
        <v>42094</v>
      </c>
      <c r="BH4" s="1020">
        <f>+Q_Financials!AL$6</f>
        <v>42185</v>
      </c>
      <c r="BI4" s="1020">
        <f>+Q_Financials!AM$6</f>
        <v>42277</v>
      </c>
      <c r="BJ4" s="1020">
        <f>+Q_Financials!AN$6</f>
        <v>42369</v>
      </c>
      <c r="BK4" s="1020">
        <f>+Q_Financials!AO$6</f>
        <v>42460</v>
      </c>
      <c r="BL4" s="1020">
        <f>+Q_Financials!AP$6</f>
        <v>42551</v>
      </c>
      <c r="BM4" s="1020">
        <f>+Q_Financials!AQ$6</f>
        <v>42643</v>
      </c>
      <c r="BN4" s="1020">
        <f>+Q_Financials!AR$6</f>
        <v>42735</v>
      </c>
      <c r="BO4" s="1020">
        <f>+Q_Financials!AS$6</f>
        <v>42825</v>
      </c>
      <c r="BP4" s="616">
        <f>+Q_Financials!AT$6</f>
        <v>42916</v>
      </c>
      <c r="BQ4" s="1022">
        <f>+Q_Financials!AU$6</f>
        <v>43008</v>
      </c>
      <c r="BR4" s="1022">
        <f>+Q_Financials!AV$6</f>
        <v>43100</v>
      </c>
      <c r="BS4" s="1022">
        <f>+Q_Financials!AW$6</f>
        <v>43190</v>
      </c>
      <c r="BT4" s="1022">
        <f>+Q_Financials!AX$6</f>
        <v>43281</v>
      </c>
      <c r="BU4" s="1022">
        <f>+Q_Financials!AY$6</f>
        <v>43373</v>
      </c>
      <c r="BV4" s="1022">
        <f>+Q_Financials!AZ$6</f>
        <v>43465</v>
      </c>
      <c r="BW4" s="1022">
        <f>+Q_Financials!BA$6</f>
        <v>43555</v>
      </c>
      <c r="BX4" s="1022">
        <f>+Q_Financials!BB$6</f>
        <v>43646</v>
      </c>
      <c r="BY4" s="1022">
        <f>+Q_Financials!BC$6</f>
        <v>43738</v>
      </c>
      <c r="BZ4" s="1022">
        <f>+Q_Financials!BD$6</f>
        <v>43830</v>
      </c>
      <c r="CA4" s="1022">
        <f>+Q_Financials!BE$6</f>
        <v>43921</v>
      </c>
      <c r="CB4" s="1022">
        <f>+Q_Financials!BF$6</f>
        <v>44012</v>
      </c>
      <c r="CC4" s="1022">
        <f>+Q_Financials!BG$6</f>
        <v>44104</v>
      </c>
      <c r="CD4" s="1022">
        <f>+Q_Financials!BH$6</f>
        <v>44196</v>
      </c>
      <c r="CE4" s="1022">
        <f>+Q_Financials!BI$6</f>
        <v>44286</v>
      </c>
      <c r="CF4" s="1022">
        <f>+Q_Financials!BJ$6</f>
        <v>44377</v>
      </c>
      <c r="CG4" s="1022">
        <f>+Q_Financials!BK$6</f>
        <v>44469</v>
      </c>
      <c r="CH4" s="1022">
        <f>+Q_Financials!BL$6</f>
        <v>44561</v>
      </c>
      <c r="CI4" s="1022">
        <f>+Q_Financials!BM$6</f>
        <v>44651</v>
      </c>
      <c r="CJ4" s="1022">
        <f>+Q_Financials!BN$6</f>
        <v>44742</v>
      </c>
      <c r="CK4" s="1022">
        <f>+Q_Financials!BO$6</f>
        <v>44834</v>
      </c>
      <c r="CL4" s="1022">
        <f>+Q_Financials!BP$6</f>
        <v>44926</v>
      </c>
      <c r="CM4" s="1022">
        <f>+Q_Financials!BQ$6</f>
        <v>45016</v>
      </c>
      <c r="CN4" s="1022">
        <f>+Q_Financials!BR$6</f>
        <v>45107</v>
      </c>
      <c r="CO4" s="1022">
        <f>+Q_Financials!BS$6</f>
        <v>45199</v>
      </c>
      <c r="CP4" s="1022">
        <f>+Q_Financials!BT$6</f>
        <v>45291</v>
      </c>
      <c r="CQ4" s="1022">
        <f>+Q_Financials!BU$6</f>
        <v>45382</v>
      </c>
      <c r="CR4" s="1022">
        <f>+Q_Financials!BV$6</f>
        <v>45473</v>
      </c>
      <c r="CS4" s="1022">
        <f>+Q_Financials!BW$6</f>
        <v>45565</v>
      </c>
      <c r="CT4" s="1022">
        <f>+Q_Financials!BX$6</f>
        <v>45657</v>
      </c>
      <c r="CU4" s="1022">
        <f>+Q_Financials!BY$6</f>
        <v>45747</v>
      </c>
      <c r="CV4" s="1022"/>
      <c r="CW4" s="1022"/>
      <c r="CX4" s="1022"/>
    </row>
    <row r="5" spans="1:102" s="54" customFormat="1">
      <c r="A5" s="251" t="s">
        <v>1028</v>
      </c>
      <c r="B5" s="1376" t="str">
        <f>+'Annual historicals'!G7</f>
        <v>NA</v>
      </c>
      <c r="C5" s="1376">
        <f>+'Annual historicals'!H7</f>
        <v>50000</v>
      </c>
      <c r="D5" s="1376">
        <f>+'Annual historicals'!I7</f>
        <v>50000</v>
      </c>
      <c r="E5" s="1376">
        <f>+'Annual historicals'!J7</f>
        <v>50000</v>
      </c>
      <c r="F5" s="1376">
        <f>+'Annual historicals'!K7</f>
        <v>50000</v>
      </c>
      <c r="G5" s="1376">
        <f>+'Annual historicals'!L7</f>
        <v>50000</v>
      </c>
      <c r="H5" s="1376">
        <f>+'Annual historicals'!M7</f>
        <v>50000</v>
      </c>
      <c r="I5" s="1376">
        <f>+'Annual historicals'!N7</f>
        <v>50000</v>
      </c>
      <c r="J5" s="1376">
        <f>+'Annual historicals'!O7</f>
        <v>52600</v>
      </c>
      <c r="K5" s="1376">
        <f>+'Annual historicals'!P7</f>
        <v>52600</v>
      </c>
      <c r="L5" s="1376">
        <f>+'Annual historicals'!Q7</f>
        <v>52600</v>
      </c>
      <c r="M5" s="2049">
        <f>+'Annual historicals'!R7</f>
        <v>55000</v>
      </c>
      <c r="N5" s="614">
        <f t="shared" ref="N5:U5" si="0">MROUND(M5/M6*N6,100)</f>
        <v>55000</v>
      </c>
      <c r="O5" s="614">
        <f t="shared" si="0"/>
        <v>55000</v>
      </c>
      <c r="P5" s="614">
        <f t="shared" si="0"/>
        <v>56100</v>
      </c>
      <c r="Q5" s="614">
        <f t="shared" si="0"/>
        <v>57200</v>
      </c>
      <c r="R5" s="614">
        <f t="shared" si="0"/>
        <v>58300</v>
      </c>
      <c r="S5" s="614">
        <f t="shared" si="0"/>
        <v>59400</v>
      </c>
      <c r="T5" s="614">
        <f t="shared" si="0"/>
        <v>60500</v>
      </c>
      <c r="U5" s="614">
        <f t="shared" si="0"/>
        <v>61600</v>
      </c>
      <c r="V5" s="614"/>
      <c r="W5" s="327"/>
      <c r="X5" s="327"/>
      <c r="Y5" s="327"/>
      <c r="Z5" s="327"/>
      <c r="AA5" s="327"/>
      <c r="AB5" s="327"/>
      <c r="AC5" s="327"/>
      <c r="AD5" s="327"/>
      <c r="AE5" s="327"/>
      <c r="AF5" s="327"/>
      <c r="AG5" s="327"/>
      <c r="AH5" s="327"/>
      <c r="AI5" s="327"/>
      <c r="AJ5" s="327"/>
      <c r="AK5" s="327"/>
      <c r="AL5" s="327"/>
      <c r="AM5" s="327"/>
      <c r="AN5" s="327"/>
      <c r="AO5" s="327"/>
      <c r="AP5" s="327"/>
      <c r="AQ5" s="327"/>
      <c r="AR5" s="327"/>
      <c r="AS5" s="327"/>
      <c r="AT5" s="327"/>
      <c r="AU5" s="327"/>
      <c r="AV5" s="327"/>
      <c r="AW5" s="327"/>
      <c r="AX5" s="327"/>
      <c r="AY5" s="327"/>
      <c r="AZ5" s="327"/>
      <c r="BA5" s="327"/>
      <c r="BB5" s="327"/>
      <c r="BC5" s="327"/>
      <c r="BD5" s="327"/>
      <c r="BE5" s="327"/>
      <c r="BF5" s="327"/>
      <c r="BG5" s="210"/>
      <c r="BH5" s="210"/>
      <c r="BI5" s="210"/>
      <c r="BJ5" s="210"/>
      <c r="BK5" s="210"/>
      <c r="BL5" s="210"/>
      <c r="BM5" s="210"/>
      <c r="BN5" s="210"/>
      <c r="BO5" s="210"/>
      <c r="BP5" s="397"/>
    </row>
    <row r="6" spans="1:102">
      <c r="A6" s="251" t="s">
        <v>973</v>
      </c>
      <c r="B6" s="788">
        <f>'Annual historicals'!G8</f>
        <v>9000</v>
      </c>
      <c r="C6" s="788">
        <f>'Annual historicals'!H8</f>
        <v>9500</v>
      </c>
      <c r="D6" s="788">
        <f>'Annual historicals'!I8</f>
        <v>12000</v>
      </c>
      <c r="E6" s="788">
        <f>'Annual historicals'!J8</f>
        <v>12900</v>
      </c>
      <c r="F6" s="788">
        <f>'Annual historicals'!K8</f>
        <v>13100</v>
      </c>
      <c r="G6" s="788">
        <f>'Annual historicals'!L8</f>
        <v>14500</v>
      </c>
      <c r="H6" s="788">
        <f>'Annual historicals'!M8</f>
        <v>14800</v>
      </c>
      <c r="I6" s="788">
        <f>'Annual historicals'!N8</f>
        <v>16000</v>
      </c>
      <c r="J6" s="788">
        <f>'Annual historicals'!O8</f>
        <v>20000</v>
      </c>
      <c r="K6" s="788">
        <f>'Annual historicals'!P8</f>
        <v>20000</v>
      </c>
      <c r="L6" s="788">
        <f>'Annual historicals'!Q8</f>
        <v>20024</v>
      </c>
      <c r="M6" s="2049">
        <f>'Annual historicals'!R8</f>
        <v>24000</v>
      </c>
      <c r="N6" s="361">
        <f t="shared" ref="N6:U6" si="1">+M6+N7</f>
        <v>24000</v>
      </c>
      <c r="O6" s="361">
        <f t="shared" si="1"/>
        <v>24000</v>
      </c>
      <c r="P6" s="361">
        <f t="shared" si="1"/>
        <v>24500</v>
      </c>
      <c r="Q6" s="361">
        <f t="shared" si="1"/>
        <v>25000</v>
      </c>
      <c r="R6" s="361">
        <f t="shared" si="1"/>
        <v>25500</v>
      </c>
      <c r="S6" s="361">
        <f t="shared" si="1"/>
        <v>26000</v>
      </c>
      <c r="T6" s="361">
        <f t="shared" si="1"/>
        <v>26500</v>
      </c>
      <c r="U6" s="361">
        <f t="shared" si="1"/>
        <v>27000</v>
      </c>
      <c r="V6" s="637"/>
      <c r="AJ6" s="196"/>
      <c r="BE6" s="52"/>
      <c r="BF6" s="1401"/>
      <c r="BI6" s="106"/>
      <c r="BJ6" s="106"/>
      <c r="BK6" s="106"/>
      <c r="BL6" s="106"/>
      <c r="BM6" s="106"/>
      <c r="BN6" s="106"/>
      <c r="BO6" s="106"/>
      <c r="BP6" s="381"/>
    </row>
    <row r="7" spans="1:102">
      <c r="A7" s="157" t="s">
        <v>1637</v>
      </c>
      <c r="B7" s="788"/>
      <c r="C7" s="788">
        <f t="shared" ref="C7" si="2">+C6-B6</f>
        <v>500</v>
      </c>
      <c r="D7" s="788">
        <f t="shared" ref="D7" si="3">+D6-C6</f>
        <v>2500</v>
      </c>
      <c r="E7" s="788">
        <f t="shared" ref="E7" si="4">+E6-D6</f>
        <v>900</v>
      </c>
      <c r="F7" s="788">
        <f t="shared" ref="F7" si="5">+F6-E6</f>
        <v>200</v>
      </c>
      <c r="G7" s="788">
        <f t="shared" ref="G7" si="6">+G6-F6</f>
        <v>1400</v>
      </c>
      <c r="H7" s="788">
        <f t="shared" ref="H7" si="7">+H6-G6</f>
        <v>300</v>
      </c>
      <c r="I7" s="788">
        <f t="shared" ref="I7" si="8">+I6-H6</f>
        <v>1200</v>
      </c>
      <c r="J7" s="788">
        <f t="shared" ref="J7" si="9">+J6-I6</f>
        <v>4000</v>
      </c>
      <c r="K7" s="788">
        <f t="shared" ref="K7" si="10">+K6-J6</f>
        <v>0</v>
      </c>
      <c r="L7" s="788">
        <f t="shared" ref="L7" si="11">+L6-K6</f>
        <v>24</v>
      </c>
      <c r="M7" s="2049">
        <f t="shared" ref="M7" si="12">+M6-L6</f>
        <v>3976</v>
      </c>
      <c r="N7" s="2346">
        <f>Inputs!P50</f>
        <v>0</v>
      </c>
      <c r="O7" s="2346">
        <f>Inputs!Q50</f>
        <v>0</v>
      </c>
      <c r="P7" s="2346">
        <f>Inputs!R50</f>
        <v>500</v>
      </c>
      <c r="Q7" s="2346">
        <f>Inputs!S50</f>
        <v>500</v>
      </c>
      <c r="R7" s="2346">
        <f>Inputs!T50</f>
        <v>500</v>
      </c>
      <c r="S7" s="2346">
        <f>Inputs!U50</f>
        <v>500</v>
      </c>
      <c r="T7" s="2346">
        <f>Inputs!V50</f>
        <v>500</v>
      </c>
      <c r="U7" s="2346">
        <f>Inputs!W50</f>
        <v>500</v>
      </c>
      <c r="V7" s="637"/>
      <c r="AJ7" s="196"/>
      <c r="BE7" s="52"/>
      <c r="BF7" s="1401"/>
      <c r="BI7" s="106"/>
      <c r="BJ7" s="106"/>
      <c r="BK7" s="106"/>
      <c r="BL7" s="106"/>
      <c r="BM7" s="106"/>
      <c r="BN7" s="106"/>
      <c r="BO7" s="106"/>
      <c r="BP7" s="381"/>
    </row>
    <row r="8" spans="1:102" s="1401" customFormat="1">
      <c r="A8" s="54"/>
      <c r="B8" s="788"/>
      <c r="C8" s="788"/>
      <c r="D8" s="788"/>
      <c r="E8" s="788"/>
      <c r="F8" s="788"/>
      <c r="G8" s="788"/>
      <c r="H8" s="788"/>
      <c r="I8" s="788"/>
      <c r="J8" s="788"/>
      <c r="K8" s="788"/>
      <c r="L8" s="2322"/>
      <c r="M8" s="2323"/>
      <c r="N8" s="2324"/>
      <c r="O8" s="398"/>
      <c r="P8" s="398"/>
      <c r="Q8" s="398"/>
      <c r="R8" s="398"/>
      <c r="S8" s="398"/>
      <c r="T8" s="398"/>
      <c r="U8" s="398"/>
      <c r="V8" s="637"/>
      <c r="AJ8" s="196"/>
      <c r="AX8" s="106"/>
      <c r="BG8" s="106"/>
      <c r="BH8" s="106"/>
      <c r="BI8" s="106"/>
      <c r="BJ8" s="106"/>
      <c r="BK8" s="106"/>
      <c r="BL8" s="106"/>
      <c r="BM8" s="106"/>
      <c r="BN8" s="106"/>
      <c r="BO8" s="106"/>
      <c r="BP8" s="381"/>
    </row>
    <row r="9" spans="1:102">
      <c r="A9" s="255" t="s">
        <v>888</v>
      </c>
      <c r="B9" s="362">
        <f t="shared" ref="B9:L9" si="13">SUM(B10:B11)</f>
        <v>9739</v>
      </c>
      <c r="C9" s="362">
        <f t="shared" si="13"/>
        <v>9276</v>
      </c>
      <c r="D9" s="362">
        <f t="shared" si="13"/>
        <v>10218</v>
      </c>
      <c r="E9" s="362">
        <f t="shared" si="13"/>
        <v>12001</v>
      </c>
      <c r="F9" s="362">
        <f t="shared" si="13"/>
        <v>12923</v>
      </c>
      <c r="G9" s="362">
        <f t="shared" si="13"/>
        <v>13067</v>
      </c>
      <c r="H9" s="362">
        <f t="shared" si="13"/>
        <v>10590</v>
      </c>
      <c r="I9" s="362">
        <f t="shared" si="13"/>
        <v>12885</v>
      </c>
      <c r="J9" s="362">
        <f t="shared" si="13"/>
        <v>15593</v>
      </c>
      <c r="K9" s="362">
        <f t="shared" si="13"/>
        <v>18718</v>
      </c>
      <c r="L9" s="362">
        <f t="shared" si="13"/>
        <v>20024</v>
      </c>
      <c r="M9" s="391">
        <f t="shared" ref="M9" si="14">SUM(M10:M11)</f>
        <v>19281</v>
      </c>
      <c r="N9" s="620">
        <f>+M9*(1+N12)</f>
        <v>22299.999999999996</v>
      </c>
      <c r="O9" s="620">
        <f t="shared" ref="O9:U9" si="15">+N9*(1+O12)</f>
        <v>23414.999999999996</v>
      </c>
      <c r="P9" s="620">
        <f t="shared" si="15"/>
        <v>23883.299999999996</v>
      </c>
      <c r="Q9" s="620">
        <f t="shared" si="15"/>
        <v>24599.798999999995</v>
      </c>
      <c r="R9" s="620">
        <f t="shared" si="15"/>
        <v>25042.595381999996</v>
      </c>
      <c r="S9" s="620">
        <f t="shared" si="15"/>
        <v>25493.362098875998</v>
      </c>
      <c r="T9" s="620">
        <f t="shared" si="15"/>
        <v>25952.242616655767</v>
      </c>
      <c r="U9" s="620">
        <f t="shared" si="15"/>
        <v>26419.382983755571</v>
      </c>
      <c r="V9" s="636"/>
      <c r="W9" s="390"/>
      <c r="X9" s="390">
        <f>'Quarterly historicals'!B27</f>
        <v>3754</v>
      </c>
      <c r="Y9" s="390">
        <f>'Quarterly historicals'!C27</f>
        <v>4882</v>
      </c>
      <c r="Z9" s="390">
        <f>'Quarterly historicals'!D27</f>
        <v>640</v>
      </c>
      <c r="AA9" s="390">
        <f>'Quarterly historicals'!E27</f>
        <v>0</v>
      </c>
      <c r="AB9" s="390">
        <f>'Quarterly historicals'!F27</f>
        <v>3199</v>
      </c>
      <c r="AC9" s="390">
        <f>'Quarterly historicals'!G27</f>
        <v>4679</v>
      </c>
      <c r="AD9" s="390">
        <f>'Quarterly historicals'!H27</f>
        <v>2340</v>
      </c>
      <c r="AE9" s="390">
        <f>'Quarterly historicals'!I27</f>
        <v>0</v>
      </c>
      <c r="AF9" s="390">
        <f>'Quarterly historicals'!J27</f>
        <v>2996</v>
      </c>
      <c r="AG9" s="390">
        <f>'Quarterly historicals'!K27</f>
        <v>5674</v>
      </c>
      <c r="AH9" s="390">
        <f>'Quarterly historicals'!L27</f>
        <v>3331</v>
      </c>
      <c r="AI9" s="390">
        <f>'Quarterly historicals'!M27</f>
        <v>0</v>
      </c>
      <c r="AJ9" s="390">
        <f>'Quarterly historicals'!N27</f>
        <v>4484</v>
      </c>
      <c r="AK9" s="390">
        <f>'Quarterly historicals'!O27</f>
        <v>4982</v>
      </c>
      <c r="AL9" s="390">
        <f>'Quarterly historicals'!P27</f>
        <v>3457</v>
      </c>
      <c r="AM9" s="390">
        <f>'Quarterly historicals'!Q27</f>
        <v>0</v>
      </c>
      <c r="AN9" s="390">
        <f>'Quarterly historicals'!R27</f>
        <v>5252</v>
      </c>
      <c r="AO9" s="390">
        <f>'Quarterly historicals'!S27</f>
        <v>5561</v>
      </c>
      <c r="AP9" s="390">
        <f>'Quarterly historicals'!T27</f>
        <v>2254</v>
      </c>
      <c r="AQ9" s="390">
        <f>'Quarterly historicals'!U27</f>
        <v>0</v>
      </c>
      <c r="AR9" s="390">
        <f>'Quarterly historicals'!V27</f>
        <v>3648</v>
      </c>
      <c r="AS9" s="390">
        <f>'Quarterly historicals'!W27</f>
        <v>5035</v>
      </c>
      <c r="AT9" s="390">
        <f>'Quarterly historicals'!X27</f>
        <v>1907</v>
      </c>
      <c r="AU9" s="390">
        <f>'Quarterly historicals'!Y27</f>
        <v>0</v>
      </c>
      <c r="AV9" s="390">
        <f>'Quarterly historicals'!Z27</f>
        <v>2918</v>
      </c>
      <c r="AW9" s="390">
        <f>'Quarterly historicals'!AA27</f>
        <v>6036</v>
      </c>
      <c r="AX9" s="390">
        <f>'Quarterly historicals'!AB27</f>
        <v>3931</v>
      </c>
      <c r="AY9" s="390">
        <f>'Quarterly historicals'!AC27</f>
        <v>0</v>
      </c>
      <c r="AZ9" s="390">
        <f>'Quarterly historicals'!AD27</f>
        <v>5543</v>
      </c>
      <c r="BA9" s="390">
        <f>'Quarterly historicals'!AE27</f>
        <v>6097</v>
      </c>
      <c r="BB9" s="390">
        <f>'Quarterly historicals'!AF27</f>
        <v>3952</v>
      </c>
      <c r="BC9" s="390">
        <f>'Quarterly historicals'!AG27</f>
        <v>0</v>
      </c>
      <c r="BD9" s="390">
        <f>'Quarterly historicals'!AH27</f>
        <v>6467</v>
      </c>
      <c r="BE9" s="390">
        <f>'Quarterly historicals'!AI27</f>
        <v>8691</v>
      </c>
      <c r="BF9" s="390">
        <f>'Quarterly historicals'!AJ27</f>
        <v>3559</v>
      </c>
      <c r="BG9" s="390">
        <f>'Quarterly historicals'!AK27</f>
        <v>0</v>
      </c>
      <c r="BH9" s="390">
        <f>'Quarterly historicals'!AL27</f>
        <v>7409</v>
      </c>
      <c r="BI9" s="390">
        <f>'Quarterly historicals'!AM27</f>
        <v>7628</v>
      </c>
      <c r="BJ9" s="390">
        <f>'Quarterly historicals'!AN27</f>
        <v>4987</v>
      </c>
      <c r="BK9" s="390">
        <f>'Quarterly historicals'!AO27</f>
        <v>0</v>
      </c>
      <c r="BL9" s="390">
        <f>'Quarterly historicals'!AP27</f>
        <v>8186</v>
      </c>
      <c r="BM9" s="390">
        <f>'Quarterly historicals'!AQ27</f>
        <v>8346</v>
      </c>
      <c r="BN9" s="390">
        <f>'Quarterly historicals'!AR27</f>
        <v>2749</v>
      </c>
      <c r="BO9" s="390">
        <f>'Quarterly historicals'!AS27</f>
        <v>0</v>
      </c>
      <c r="BP9" s="363">
        <f>'Quarterly historicals'!AT27</f>
        <v>8739</v>
      </c>
      <c r="BQ9" s="2042">
        <f>$N9*BQ214</f>
        <v>9365.9999999999982</v>
      </c>
      <c r="BR9" s="2042">
        <f>$N9*BR214</f>
        <v>3179.435713915253</v>
      </c>
      <c r="BS9" s="2043">
        <f>$N9*BS214</f>
        <v>22.258053563772158</v>
      </c>
      <c r="BT9" s="2041">
        <f>$O9*BT214</f>
        <v>10218.921544147022</v>
      </c>
      <c r="BU9" s="2042">
        <f>$O9*BU214</f>
        <v>9834.2999999999975</v>
      </c>
      <c r="BV9" s="2042">
        <f>$O9*BV214</f>
        <v>3361.778455852977</v>
      </c>
      <c r="BW9" s="2043">
        <f>$O9*BW214</f>
        <v>0</v>
      </c>
      <c r="BX9" s="2041">
        <f>$P9*BX214</f>
        <v>10423.299975029962</v>
      </c>
      <c r="BY9" s="2042">
        <f>$P9*BY214</f>
        <v>10030.985999999997</v>
      </c>
      <c r="BZ9" s="2042">
        <f>$P9*BZ214</f>
        <v>3429.0140249700366</v>
      </c>
      <c r="CA9" s="2043">
        <f>$P9*CA214</f>
        <v>0</v>
      </c>
      <c r="CB9" s="2041">
        <f>$Q9*CB214</f>
        <v>10735.998974280861</v>
      </c>
      <c r="CC9" s="2042">
        <f>$Q9*CC214</f>
        <v>10331.915579999997</v>
      </c>
      <c r="CD9" s="2042">
        <f>$Q9*CD214</f>
        <v>3531.8844457191376</v>
      </c>
      <c r="CE9" s="2043">
        <f>$Q9*CE214</f>
        <v>0</v>
      </c>
      <c r="CF9" s="2041">
        <f>$R9*CF214</f>
        <v>10929.246955817916</v>
      </c>
      <c r="CG9" s="2042">
        <f>$R9*CG214</f>
        <v>10517.890060439999</v>
      </c>
      <c r="CH9" s="2042">
        <f>$R9*CH214</f>
        <v>3595.4583657420822</v>
      </c>
      <c r="CI9" s="2043">
        <f>$R9*CI214</f>
        <v>0</v>
      </c>
      <c r="CJ9" s="2041">
        <f>$S9*CJ214</f>
        <v>11125.97340102264</v>
      </c>
      <c r="CK9" s="2042">
        <f>$S9*CK214</f>
        <v>10707.21208152792</v>
      </c>
      <c r="CL9" s="2042">
        <f>$S9*CL214</f>
        <v>3660.1766163254401</v>
      </c>
      <c r="CM9" s="2043">
        <f>$S9*CM214</f>
        <v>0</v>
      </c>
      <c r="CN9" s="2041">
        <f>$T9*CN214</f>
        <v>11326.240922241048</v>
      </c>
      <c r="CO9" s="2042">
        <f>$T9*CO214</f>
        <v>10899.941898995421</v>
      </c>
      <c r="CP9" s="2042">
        <f>$T9*CP214</f>
        <v>3726.0597954192981</v>
      </c>
      <c r="CQ9" s="2043">
        <f>$T9*CQ214</f>
        <v>0</v>
      </c>
      <c r="CR9" s="2041">
        <f>$U9*CR214</f>
        <v>11530.113258841388</v>
      </c>
      <c r="CS9" s="2042">
        <f>$U9*CS214</f>
        <v>11096.14085317734</v>
      </c>
      <c r="CT9" s="2042">
        <f>$U9*CT214</f>
        <v>3793.1288717368457</v>
      </c>
      <c r="CU9" s="2043">
        <f>$U9*CU214</f>
        <v>0</v>
      </c>
    </row>
    <row r="10" spans="1:102">
      <c r="A10" s="101" t="s">
        <v>204</v>
      </c>
      <c r="B10" s="196">
        <f>'Annual historicals'!G10</f>
        <v>6745</v>
      </c>
      <c r="C10" s="196">
        <f>'Annual historicals'!H10</f>
        <v>6191</v>
      </c>
      <c r="D10" s="196">
        <f>'Annual historicals'!I10</f>
        <v>6673</v>
      </c>
      <c r="E10" s="196">
        <f>'Annual historicals'!J10</f>
        <v>7212</v>
      </c>
      <c r="F10" s="196">
        <f>'Annual historicals'!K10</f>
        <v>7584</v>
      </c>
      <c r="G10" s="196">
        <f>'Annual historicals'!L10</f>
        <v>8511</v>
      </c>
      <c r="H10" s="196">
        <f>'Annual historicals'!M10</f>
        <v>6886</v>
      </c>
      <c r="I10" s="196">
        <f>'Annual historicals'!N10</f>
        <v>8206</v>
      </c>
      <c r="J10" s="196">
        <f>'Annual historicals'!O10</f>
        <v>10315</v>
      </c>
      <c r="K10" s="196">
        <f>'Annual historicals'!P10</f>
        <v>12326</v>
      </c>
      <c r="L10" s="196">
        <f>'Annual historicals'!Q10</f>
        <v>12985</v>
      </c>
      <c r="M10" s="355">
        <f>'Annual historicals'!R10</f>
        <v>13398</v>
      </c>
      <c r="N10" s="361">
        <f t="shared" ref="N10:U10" si="16">M10/M$9*N$9</f>
        <v>15495.84565115917</v>
      </c>
      <c r="O10" s="361">
        <f t="shared" si="16"/>
        <v>16270.637933717129</v>
      </c>
      <c r="P10" s="361">
        <f t="shared" si="16"/>
        <v>16596.050692391473</v>
      </c>
      <c r="Q10" s="361">
        <f t="shared" si="16"/>
        <v>17093.932213163214</v>
      </c>
      <c r="R10" s="361">
        <f t="shared" si="16"/>
        <v>17401.62299300015</v>
      </c>
      <c r="S10" s="361">
        <f t="shared" si="16"/>
        <v>17714.852206874155</v>
      </c>
      <c r="T10" s="361">
        <f t="shared" si="16"/>
        <v>18033.719546597891</v>
      </c>
      <c r="U10" s="361">
        <f t="shared" si="16"/>
        <v>18358.326498436654</v>
      </c>
      <c r="V10" s="416"/>
      <c r="W10" s="202"/>
      <c r="X10" s="202">
        <f>'Quarterly historicals'!B28</f>
        <v>2776</v>
      </c>
      <c r="Y10" s="202">
        <f>'Quarterly historicals'!C28</f>
        <v>2875</v>
      </c>
      <c r="Z10" s="202">
        <f>'Quarterly historicals'!D28</f>
        <v>540</v>
      </c>
      <c r="AA10" s="202">
        <f>'Quarterly historicals'!E28</f>
        <v>0</v>
      </c>
      <c r="AB10" s="202">
        <f>'Quarterly historicals'!F28</f>
        <v>2433</v>
      </c>
      <c r="AC10" s="202">
        <f>'Quarterly historicals'!G28</f>
        <v>2513</v>
      </c>
      <c r="AD10" s="202">
        <f>'Quarterly historicals'!H28</f>
        <v>1727</v>
      </c>
      <c r="AE10" s="202">
        <f>'Quarterly historicals'!I28</f>
        <v>0</v>
      </c>
      <c r="AF10" s="202">
        <f>'Quarterly historicals'!J28</f>
        <v>2152</v>
      </c>
      <c r="AG10" s="202">
        <f>'Quarterly historicals'!K28</f>
        <v>2784</v>
      </c>
      <c r="AH10" s="202">
        <f>'Quarterly historicals'!L28</f>
        <v>2276</v>
      </c>
      <c r="AI10" s="202">
        <f>'Quarterly historicals'!M28</f>
        <v>0</v>
      </c>
      <c r="AJ10" s="202">
        <f>'Quarterly historicals'!N28</f>
        <v>3158</v>
      </c>
      <c r="AK10" s="202">
        <f>'Quarterly historicals'!O28</f>
        <v>2271</v>
      </c>
      <c r="AL10" s="202">
        <f>'Quarterly historicals'!P28</f>
        <v>2155</v>
      </c>
      <c r="AM10" s="202">
        <f>'Quarterly historicals'!Q28</f>
        <v>0</v>
      </c>
      <c r="AN10" s="202">
        <f>'Quarterly historicals'!R28</f>
        <v>3911</v>
      </c>
      <c r="AO10" s="202">
        <f>'Quarterly historicals'!S28</f>
        <v>2729</v>
      </c>
      <c r="AP10" s="202">
        <f>'Quarterly historicals'!T28</f>
        <v>1871</v>
      </c>
      <c r="AQ10" s="202">
        <f>'Quarterly historicals'!U28</f>
        <v>0</v>
      </c>
      <c r="AR10" s="202">
        <f>'Quarterly historicals'!V28</f>
        <v>2623</v>
      </c>
      <c r="AS10" s="202">
        <f>'Quarterly historicals'!W28</f>
        <v>2643</v>
      </c>
      <c r="AT10" s="202">
        <f>'Quarterly historicals'!X28</f>
        <v>1620</v>
      </c>
      <c r="AU10" s="202">
        <f>'Quarterly historicals'!Y28</f>
        <v>0</v>
      </c>
      <c r="AV10" s="202">
        <f>'Quarterly historicals'!Z28</f>
        <v>2159</v>
      </c>
      <c r="AW10" s="202">
        <f>'Quarterly historicals'!AA28</f>
        <v>3351</v>
      </c>
      <c r="AX10" s="202">
        <f>'Quarterly historicals'!AB28</f>
        <v>2696</v>
      </c>
      <c r="AY10" s="202">
        <f>'Quarterly historicals'!AC28</f>
        <v>0</v>
      </c>
      <c r="AZ10" s="202">
        <f>'Quarterly historicals'!AD28</f>
        <v>4271</v>
      </c>
      <c r="BA10" s="202">
        <f>'Quarterly historicals'!AE28</f>
        <v>3213</v>
      </c>
      <c r="BB10" s="202">
        <f>'Quarterly historicals'!AF28</f>
        <v>2831</v>
      </c>
      <c r="BC10" s="202">
        <f>'Quarterly historicals'!AG28</f>
        <v>0</v>
      </c>
      <c r="BD10" s="202">
        <f>'Quarterly historicals'!AH28</f>
        <v>4339</v>
      </c>
      <c r="BE10" s="202">
        <f>'Quarterly historicals'!AI28</f>
        <v>5290</v>
      </c>
      <c r="BF10" s="202">
        <f>'Quarterly historicals'!AJ28</f>
        <v>2697</v>
      </c>
      <c r="BG10" s="202">
        <f>'Quarterly historicals'!AK28</f>
        <v>0</v>
      </c>
      <c r="BH10" s="202">
        <f>'Quarterly historicals'!AL28</f>
        <v>4768</v>
      </c>
      <c r="BI10" s="202">
        <f>'Quarterly historicals'!AM28</f>
        <v>4485</v>
      </c>
      <c r="BJ10" s="202">
        <f>'Quarterly historicals'!AN28</f>
        <v>3732</v>
      </c>
      <c r="BK10" s="202">
        <f>'Quarterly historicals'!AO28</f>
        <v>0</v>
      </c>
      <c r="BL10" s="202">
        <f>'Quarterly historicals'!AP28</f>
        <v>5644</v>
      </c>
      <c r="BM10" s="202">
        <f>'Quarterly historicals'!AQ28</f>
        <v>5198</v>
      </c>
      <c r="BN10" s="202">
        <f>'Quarterly historicals'!AR28</f>
        <v>2556</v>
      </c>
      <c r="BO10" s="202">
        <f>'Quarterly historicals'!AS28</f>
        <v>0</v>
      </c>
      <c r="BP10" s="358">
        <f>'Quarterly historicals'!AT28</f>
        <v>5966</v>
      </c>
      <c r="BQ10" s="356">
        <f t="shared" ref="BQ10" si="17">BM10/BM9*BQ9</f>
        <v>5833.2695902228606</v>
      </c>
      <c r="BR10" s="356">
        <f t="shared" ref="BR10" si="18">BN10/BN9*BR9</f>
        <v>2956.2159639022871</v>
      </c>
      <c r="BS10" s="2045">
        <v>0</v>
      </c>
      <c r="BT10" s="2044">
        <f t="shared" ref="BT10" si="19">BP10/BP9*BT9</f>
        <v>6976.3229125049938</v>
      </c>
      <c r="BU10" s="356">
        <f t="shared" ref="BU10" si="20">BQ10/BQ9*BU9</f>
        <v>6124.9330697340029</v>
      </c>
      <c r="BV10" s="356">
        <f t="shared" ref="BV10" si="21">BR10/BR9*BV9</f>
        <v>3125.7569054784321</v>
      </c>
      <c r="BW10" s="2045">
        <v>0</v>
      </c>
      <c r="BX10" s="2044">
        <f t="shared" ref="BX10" si="22">BT10/BT9*BX9</f>
        <v>7115.8493707550933</v>
      </c>
      <c r="BY10" s="356">
        <f t="shared" ref="BY10" si="23">BU10/BU9*BY9</f>
        <v>6247.4317311286832</v>
      </c>
      <c r="BZ10" s="356">
        <f t="shared" ref="BZ10" si="24">BV10/BV9*BZ9</f>
        <v>3188.2720435880005</v>
      </c>
      <c r="CA10" s="2045">
        <v>0</v>
      </c>
      <c r="CB10" s="2044">
        <f t="shared" ref="CB10" si="25">BX10/BX9*CB9</f>
        <v>7329.3248518777464</v>
      </c>
      <c r="CC10" s="356">
        <f t="shared" ref="CC10" si="26">BY10/BY9*CC9</f>
        <v>6434.8546830625437</v>
      </c>
      <c r="CD10" s="356">
        <f t="shared" ref="CD10" si="27">BZ10/BZ9*CD9</f>
        <v>3283.9202048956404</v>
      </c>
      <c r="CE10" s="2045">
        <v>0</v>
      </c>
      <c r="CF10" s="2044">
        <f t="shared" ref="CF10" si="28">CB10/CB9*CF9</f>
        <v>7461.2526992115454</v>
      </c>
      <c r="CG10" s="356">
        <f t="shared" ref="CG10" si="29">CC10/CC9*CG9</f>
        <v>6550.6820673576703</v>
      </c>
      <c r="CH10" s="356">
        <f t="shared" ref="CH10" si="30">CD10/CD9*CH9</f>
        <v>3343.030768583762</v>
      </c>
      <c r="CI10" s="2045">
        <v>0</v>
      </c>
      <c r="CJ10" s="2044">
        <f t="shared" ref="CJ10" si="31">CF10/CF9*CJ9</f>
        <v>7595.5552477973542</v>
      </c>
      <c r="CK10" s="356">
        <f t="shared" ref="CK10" si="32">CG10/CG9*CK9</f>
        <v>6668.5943445701087</v>
      </c>
      <c r="CL10" s="356">
        <f t="shared" ref="CL10" si="33">CH10/CH9*CL9</f>
        <v>3403.2053224182705</v>
      </c>
      <c r="CM10" s="2045">
        <v>0</v>
      </c>
      <c r="CN10" s="2044">
        <f t="shared" ref="CN10" si="34">CJ10/CJ9*CN9</f>
        <v>7732.2752422577069</v>
      </c>
      <c r="CO10" s="356">
        <f t="shared" ref="CO10" si="35">CK10/CK9*CO9</f>
        <v>6788.6290427723698</v>
      </c>
      <c r="CP10" s="356">
        <f t="shared" ref="CP10" si="36">CL10/CL9*CP9</f>
        <v>3464.4630182217993</v>
      </c>
      <c r="CQ10" s="2045">
        <v>0</v>
      </c>
      <c r="CR10" s="2044">
        <f t="shared" ref="CR10" si="37">CN10/CN9*CR9</f>
        <v>7871.4561966183455</v>
      </c>
      <c r="CS10" s="356">
        <f t="shared" ref="CS10" si="38">CO10/CO9*CS9</f>
        <v>6910.824365542273</v>
      </c>
      <c r="CT10" s="356">
        <f t="shared" ref="CT10" si="39">CP10/CP9*CT9</f>
        <v>3526.8233525497917</v>
      </c>
      <c r="CU10" s="2045">
        <v>0</v>
      </c>
    </row>
    <row r="11" spans="1:102">
      <c r="A11" s="101" t="s">
        <v>186</v>
      </c>
      <c r="B11" s="196">
        <f>'Annual historicals'!G11</f>
        <v>2994</v>
      </c>
      <c r="C11" s="196">
        <f>'Annual historicals'!H11</f>
        <v>3085</v>
      </c>
      <c r="D11" s="196">
        <f>'Annual historicals'!I11</f>
        <v>3545</v>
      </c>
      <c r="E11" s="196">
        <f>'Annual historicals'!J11</f>
        <v>4789</v>
      </c>
      <c r="F11" s="196">
        <f>'Annual historicals'!K11</f>
        <v>5339</v>
      </c>
      <c r="G11" s="196">
        <f>'Annual historicals'!L11</f>
        <v>4556</v>
      </c>
      <c r="H11" s="196">
        <f>'Annual historicals'!M11</f>
        <v>3704</v>
      </c>
      <c r="I11" s="196">
        <f>'Annual historicals'!N11</f>
        <v>4679</v>
      </c>
      <c r="J11" s="196">
        <f>'Annual historicals'!O11</f>
        <v>5278</v>
      </c>
      <c r="K11" s="196">
        <f>'Annual historicals'!P11</f>
        <v>6392</v>
      </c>
      <c r="L11" s="196">
        <f>'Annual historicals'!Q11</f>
        <v>7039</v>
      </c>
      <c r="M11" s="355">
        <f>'Annual historicals'!R11</f>
        <v>5883</v>
      </c>
      <c r="N11" s="361">
        <f t="shared" ref="N11:U11" si="40">M11/M$9*N$9</f>
        <v>6804.154348840827</v>
      </c>
      <c r="O11" s="361">
        <f t="shared" si="40"/>
        <v>7144.362066282868</v>
      </c>
      <c r="P11" s="361">
        <f t="shared" si="40"/>
        <v>7287.2493076085257</v>
      </c>
      <c r="Q11" s="361">
        <f t="shared" si="40"/>
        <v>7505.8667868367811</v>
      </c>
      <c r="R11" s="361">
        <f t="shared" si="40"/>
        <v>7640.9723889998431</v>
      </c>
      <c r="S11" s="361">
        <f t="shared" si="40"/>
        <v>7778.5098920018409</v>
      </c>
      <c r="T11" s="361">
        <f t="shared" si="40"/>
        <v>7918.523070057875</v>
      </c>
      <c r="U11" s="361">
        <f t="shared" si="40"/>
        <v>8061.0564853189162</v>
      </c>
      <c r="V11" s="416"/>
      <c r="W11" s="202"/>
      <c r="X11" s="202">
        <f>'Quarterly historicals'!B29</f>
        <v>978</v>
      </c>
      <c r="Y11" s="202">
        <f>'Quarterly historicals'!C29</f>
        <v>2007</v>
      </c>
      <c r="Z11" s="202">
        <f>'Quarterly historicals'!D29</f>
        <v>100</v>
      </c>
      <c r="AA11" s="202">
        <f>'Quarterly historicals'!E29</f>
        <v>0</v>
      </c>
      <c r="AB11" s="202">
        <f>'Quarterly historicals'!F29</f>
        <v>766</v>
      </c>
      <c r="AC11" s="202">
        <f>'Quarterly historicals'!G29</f>
        <v>2166</v>
      </c>
      <c r="AD11" s="202">
        <f>'Quarterly historicals'!H29</f>
        <v>613</v>
      </c>
      <c r="AE11" s="202">
        <f>'Quarterly historicals'!I29</f>
        <v>0</v>
      </c>
      <c r="AF11" s="202">
        <f>'Quarterly historicals'!J29</f>
        <v>844</v>
      </c>
      <c r="AG11" s="202">
        <f>'Quarterly historicals'!K29</f>
        <v>2890</v>
      </c>
      <c r="AH11" s="202">
        <f>'Quarterly historicals'!L29</f>
        <v>1055</v>
      </c>
      <c r="AI11" s="202">
        <f>'Quarterly historicals'!M29</f>
        <v>0</v>
      </c>
      <c r="AJ11" s="202">
        <f>'Quarterly historicals'!N29</f>
        <v>1327</v>
      </c>
      <c r="AK11" s="202">
        <f>'Quarterly historicals'!O29</f>
        <v>2710</v>
      </c>
      <c r="AL11" s="202">
        <f>'Quarterly historicals'!P29</f>
        <v>1302</v>
      </c>
      <c r="AM11" s="202">
        <f>'Quarterly historicals'!Q29</f>
        <v>0</v>
      </c>
      <c r="AN11" s="202">
        <f>'Quarterly historicals'!R29</f>
        <v>1340</v>
      </c>
      <c r="AO11" s="202">
        <f>'Quarterly historicals'!S29</f>
        <v>2833</v>
      </c>
      <c r="AP11" s="202">
        <f>'Quarterly historicals'!T29</f>
        <v>383</v>
      </c>
      <c r="AQ11" s="202">
        <f>'Quarterly historicals'!U29</f>
        <v>0</v>
      </c>
      <c r="AR11" s="202">
        <f>'Quarterly historicals'!V29</f>
        <v>1024</v>
      </c>
      <c r="AS11" s="202">
        <f>'Quarterly historicals'!W29</f>
        <v>2393</v>
      </c>
      <c r="AT11" s="202">
        <f>'Quarterly historicals'!X29</f>
        <v>287</v>
      </c>
      <c r="AU11" s="202">
        <f>'Quarterly historicals'!Y29</f>
        <v>0</v>
      </c>
      <c r="AV11" s="202">
        <f>'Quarterly historicals'!Z29</f>
        <v>759</v>
      </c>
      <c r="AW11" s="202">
        <f>'Quarterly historicals'!AA29</f>
        <v>2685</v>
      </c>
      <c r="AX11" s="202">
        <f>'Quarterly historicals'!AB29</f>
        <v>1235</v>
      </c>
      <c r="AY11" s="202">
        <f>'Quarterly historicals'!AC29</f>
        <v>0</v>
      </c>
      <c r="AZ11" s="202">
        <f>'Quarterly historicals'!AD29</f>
        <v>1272</v>
      </c>
      <c r="BA11" s="202">
        <f>'Quarterly historicals'!AE29</f>
        <v>4156</v>
      </c>
      <c r="BB11" s="202">
        <f>'Quarterly historicals'!AF29</f>
        <v>1122</v>
      </c>
      <c r="BC11" s="202">
        <f>'Quarterly historicals'!AG29</f>
        <v>0</v>
      </c>
      <c r="BD11" s="202">
        <f>'Quarterly historicals'!AH29</f>
        <v>2128</v>
      </c>
      <c r="BE11" s="202">
        <f>'Quarterly historicals'!AI29</f>
        <v>3401</v>
      </c>
      <c r="BF11" s="202">
        <f>'Quarterly historicals'!AJ29</f>
        <v>863</v>
      </c>
      <c r="BG11" s="202">
        <f>'Quarterly historicals'!AK29</f>
        <v>0</v>
      </c>
      <c r="BH11" s="202">
        <f>'Quarterly historicals'!AL29</f>
        <v>2641</v>
      </c>
      <c r="BI11" s="202">
        <f>'Quarterly historicals'!AM29</f>
        <v>3143</v>
      </c>
      <c r="BJ11" s="202">
        <f>'Quarterly historicals'!AN29</f>
        <v>1255</v>
      </c>
      <c r="BK11" s="202">
        <f>'Quarterly historicals'!AO29</f>
        <v>0</v>
      </c>
      <c r="BL11" s="202">
        <f>'Quarterly historicals'!AP29</f>
        <v>2542</v>
      </c>
      <c r="BM11" s="202">
        <f>'Quarterly historicals'!AQ29</f>
        <v>3148</v>
      </c>
      <c r="BN11" s="202">
        <f>'Quarterly historicals'!AR29</f>
        <v>193</v>
      </c>
      <c r="BO11" s="202">
        <f>'Quarterly historicals'!AS29</f>
        <v>0</v>
      </c>
      <c r="BP11" s="358">
        <f>'Quarterly historicals'!AT29</f>
        <v>2773</v>
      </c>
      <c r="BQ11" s="2047">
        <f t="shared" ref="BQ11" si="41">BQ9-BQ10</f>
        <v>3532.7304097771375</v>
      </c>
      <c r="BR11" s="2047">
        <f t="shared" ref="BR11" si="42">BR9-BR10</f>
        <v>223.21975001296596</v>
      </c>
      <c r="BS11" s="2048">
        <v>0</v>
      </c>
      <c r="BT11" s="2046">
        <f t="shared" ref="BT11" si="43">BT9-BT10</f>
        <v>3242.5986316420285</v>
      </c>
      <c r="BU11" s="2047">
        <f t="shared" ref="BU11" si="44">BU9-BU10</f>
        <v>3709.3669302659946</v>
      </c>
      <c r="BV11" s="2047">
        <f t="shared" ref="BV11" si="45">BV9-BV10</f>
        <v>236.02155037454486</v>
      </c>
      <c r="BW11" s="2048">
        <v>0</v>
      </c>
      <c r="BX11" s="2046">
        <f t="shared" ref="BX11" si="46">BX9-BX10</f>
        <v>3307.450604274869</v>
      </c>
      <c r="BY11" s="2047">
        <f t="shared" ref="BY11" si="47">BY9-BY10</f>
        <v>3783.554268871314</v>
      </c>
      <c r="BZ11" s="2047">
        <f t="shared" ref="BZ11" si="48">BZ9-BZ10</f>
        <v>240.7419813820361</v>
      </c>
      <c r="CA11" s="2048">
        <v>0</v>
      </c>
      <c r="CB11" s="2046">
        <f t="shared" ref="CB11" si="49">CB9-CB10</f>
        <v>3406.6741224031148</v>
      </c>
      <c r="CC11" s="2047">
        <f t="shared" ref="CC11" si="50">CC9-CC10</f>
        <v>3897.0608969374534</v>
      </c>
      <c r="CD11" s="2047">
        <f t="shared" ref="CD11" si="51">CD9-CD10</f>
        <v>247.96424082349722</v>
      </c>
      <c r="CE11" s="2048">
        <v>0</v>
      </c>
      <c r="CF11" s="2046">
        <f t="shared" ref="CF11" si="52">CF9-CF10</f>
        <v>3467.994256606371</v>
      </c>
      <c r="CG11" s="2047">
        <f t="shared" ref="CG11" si="53">CG9-CG10</f>
        <v>3967.2079930823284</v>
      </c>
      <c r="CH11" s="2047">
        <f t="shared" ref="CH11" si="54">CH9-CH10</f>
        <v>252.42759715832017</v>
      </c>
      <c r="CI11" s="2048">
        <v>0</v>
      </c>
      <c r="CJ11" s="2046">
        <f t="shared" ref="CJ11" si="55">CJ9-CJ10</f>
        <v>3530.418153225286</v>
      </c>
      <c r="CK11" s="2047">
        <f t="shared" ref="CK11" si="56">CK9-CK10</f>
        <v>4038.6177369578108</v>
      </c>
      <c r="CL11" s="2047">
        <f t="shared" ref="CL11" si="57">CL9-CL10</f>
        <v>256.97129390716964</v>
      </c>
      <c r="CM11" s="2048">
        <v>0</v>
      </c>
      <c r="CN11" s="2046">
        <f t="shared" ref="CN11" si="58">CN9-CN10</f>
        <v>3593.965679983341</v>
      </c>
      <c r="CO11" s="2047">
        <f t="shared" ref="CO11" si="59">CO9-CO10</f>
        <v>4111.3128562230513</v>
      </c>
      <c r="CP11" s="2047">
        <f t="shared" ref="CP11" si="60">CP9-CP10</f>
        <v>261.5967771974988</v>
      </c>
      <c r="CQ11" s="2048">
        <v>0</v>
      </c>
      <c r="CR11" s="2046">
        <f t="shared" ref="CR11" si="61">CR9-CR10</f>
        <v>3658.657062223042</v>
      </c>
      <c r="CS11" s="2047">
        <f t="shared" ref="CS11" si="62">CS9-CS10</f>
        <v>4185.3164876350666</v>
      </c>
      <c r="CT11" s="2047">
        <f t="shared" ref="CT11" si="63">CT9-CT10</f>
        <v>266.30551918705396</v>
      </c>
      <c r="CU11" s="2048">
        <v>0</v>
      </c>
    </row>
    <row r="12" spans="1:102" s="61" customFormat="1">
      <c r="A12" s="692" t="s">
        <v>840</v>
      </c>
      <c r="B12" s="693"/>
      <c r="C12" s="778">
        <f t="shared" ref="C12:M12" si="64">C9/B9-1</f>
        <v>-4.7540815278776072E-2</v>
      </c>
      <c r="D12" s="778">
        <f t="shared" si="64"/>
        <v>0.1015523932729625</v>
      </c>
      <c r="E12" s="778">
        <f t="shared" si="64"/>
        <v>0.1744959874730867</v>
      </c>
      <c r="F12" s="778">
        <f t="shared" si="64"/>
        <v>7.6826931089075901E-2</v>
      </c>
      <c r="G12" s="778">
        <f t="shared" si="64"/>
        <v>1.1142923469782628E-2</v>
      </c>
      <c r="H12" s="778">
        <f t="shared" si="64"/>
        <v>-0.18956149077829643</v>
      </c>
      <c r="I12" s="778">
        <f t="shared" si="64"/>
        <v>0.21671388101983013</v>
      </c>
      <c r="J12" s="778">
        <f t="shared" si="64"/>
        <v>0.21016686069072565</v>
      </c>
      <c r="K12" s="778">
        <f t="shared" si="64"/>
        <v>0.20041044058231261</v>
      </c>
      <c r="L12" s="778">
        <f t="shared" si="64"/>
        <v>6.977241158243408E-2</v>
      </c>
      <c r="M12" s="696">
        <f t="shared" si="64"/>
        <v>-3.7105473431881753E-2</v>
      </c>
      <c r="N12" s="2054">
        <f>+Inputs!P55</f>
        <v>0.15657901561122331</v>
      </c>
      <c r="O12" s="2054">
        <f>+Inputs!Q55</f>
        <v>0.05</v>
      </c>
      <c r="P12" s="2054">
        <f>+Inputs!R55</f>
        <v>0.02</v>
      </c>
      <c r="Q12" s="2054">
        <f>+Inputs!S55</f>
        <v>0.03</v>
      </c>
      <c r="R12" s="2054">
        <f>+Inputs!T55</f>
        <v>1.7999999999999999E-2</v>
      </c>
      <c r="S12" s="2054">
        <f>+Inputs!U55</f>
        <v>1.7999999999999999E-2</v>
      </c>
      <c r="T12" s="2054">
        <f>+Inputs!V55</f>
        <v>1.7999999999999999E-2</v>
      </c>
      <c r="U12" s="2054">
        <f>+Inputs!W55</f>
        <v>1.7999999999999999E-2</v>
      </c>
      <c r="V12" s="694"/>
      <c r="W12" s="695"/>
      <c r="X12" s="695"/>
      <c r="Y12" s="695"/>
      <c r="Z12" s="695"/>
      <c r="AA12" s="695"/>
      <c r="AB12" s="695"/>
      <c r="AC12" s="695"/>
      <c r="AD12" s="695"/>
      <c r="AE12" s="695"/>
      <c r="AF12" s="695"/>
      <c r="AG12" s="695"/>
      <c r="AH12" s="695"/>
      <c r="AI12" s="695"/>
      <c r="AJ12" s="695"/>
      <c r="AK12" s="695"/>
      <c r="AL12" s="695"/>
      <c r="AM12" s="695"/>
      <c r="AN12" s="695"/>
      <c r="AO12" s="695"/>
      <c r="AP12" s="695"/>
      <c r="AQ12" s="695"/>
      <c r="AR12" s="695"/>
      <c r="AS12" s="695"/>
      <c r="AT12" s="695"/>
      <c r="AU12" s="695"/>
      <c r="AV12" s="695"/>
      <c r="AW12" s="695"/>
      <c r="AX12" s="695"/>
      <c r="AY12" s="695"/>
      <c r="AZ12" s="695"/>
      <c r="BA12" s="695"/>
      <c r="BB12" s="695"/>
      <c r="BC12" s="695"/>
      <c r="BD12" s="695"/>
      <c r="BE12" s="695"/>
      <c r="BF12" s="695"/>
      <c r="BG12" s="939"/>
      <c r="BH12" s="939"/>
      <c r="BI12" s="939"/>
      <c r="BJ12" s="939"/>
      <c r="BK12" s="939"/>
      <c r="BL12" s="939"/>
      <c r="BM12" s="939"/>
      <c r="BN12" s="939"/>
      <c r="BO12" s="939"/>
      <c r="BP12" s="962"/>
      <c r="BQ12" s="1609"/>
      <c r="BR12" s="1609"/>
      <c r="BS12" s="1609"/>
      <c r="BT12" s="1609"/>
      <c r="BU12" s="1609"/>
      <c r="BV12" s="1609"/>
      <c r="BW12" s="1609"/>
      <c r="BX12" s="1609"/>
      <c r="BY12" s="1609"/>
      <c r="BZ12" s="1609"/>
      <c r="CA12" s="1609"/>
      <c r="CB12" s="1609"/>
      <c r="CC12" s="1609"/>
      <c r="CD12" s="1609"/>
      <c r="CE12" s="1609"/>
      <c r="CF12" s="1609"/>
    </row>
    <row r="13" spans="1:102" s="61" customFormat="1">
      <c r="A13" s="692" t="s">
        <v>1640</v>
      </c>
      <c r="B13" s="693"/>
      <c r="C13" s="778">
        <f t="shared" ref="C13:L13" si="65">C9/C6</f>
        <v>0.97642105263157897</v>
      </c>
      <c r="D13" s="778">
        <f t="shared" si="65"/>
        <v>0.85150000000000003</v>
      </c>
      <c r="E13" s="778">
        <f t="shared" si="65"/>
        <v>0.93031007751937989</v>
      </c>
      <c r="F13" s="778">
        <f t="shared" si="65"/>
        <v>0.98648854961832066</v>
      </c>
      <c r="G13" s="778">
        <f t="shared" si="65"/>
        <v>0.90117241379310342</v>
      </c>
      <c r="H13" s="778">
        <f t="shared" si="65"/>
        <v>0.7155405405405405</v>
      </c>
      <c r="I13" s="778">
        <f t="shared" si="65"/>
        <v>0.80531249999999999</v>
      </c>
      <c r="J13" s="778">
        <f t="shared" si="65"/>
        <v>0.77964999999999995</v>
      </c>
      <c r="K13" s="778">
        <f t="shared" si="65"/>
        <v>0.93589999999999995</v>
      </c>
      <c r="L13" s="778">
        <f t="shared" si="65"/>
        <v>1</v>
      </c>
      <c r="M13" s="696">
        <f t="shared" ref="M13:U13" si="66">M9/M6</f>
        <v>0.80337499999999995</v>
      </c>
      <c r="N13" s="366">
        <f t="shared" si="66"/>
        <v>0.92916666666666647</v>
      </c>
      <c r="O13" s="366">
        <f t="shared" si="66"/>
        <v>0.97562499999999985</v>
      </c>
      <c r="P13" s="366">
        <f t="shared" si="66"/>
        <v>0.97482857142857127</v>
      </c>
      <c r="Q13" s="366">
        <f>Q9/Q6</f>
        <v>0.98399195999999978</v>
      </c>
      <c r="R13" s="366">
        <f t="shared" si="66"/>
        <v>0.9820625639999998</v>
      </c>
      <c r="S13" s="366">
        <f t="shared" si="66"/>
        <v>0.98051392687984606</v>
      </c>
      <c r="T13" s="366">
        <f t="shared" si="66"/>
        <v>0.97932991006248182</v>
      </c>
      <c r="U13" s="366">
        <f t="shared" si="66"/>
        <v>0.97849566606502114</v>
      </c>
      <c r="V13" s="694"/>
      <c r="W13" s="695"/>
      <c r="X13" s="695"/>
      <c r="Y13" s="695"/>
      <c r="Z13" s="695"/>
      <c r="AA13" s="695"/>
      <c r="AB13" s="695"/>
      <c r="AC13" s="695"/>
      <c r="AD13" s="695"/>
      <c r="AE13" s="695"/>
      <c r="AF13" s="695"/>
      <c r="AG13" s="695"/>
      <c r="AH13" s="695"/>
      <c r="AI13" s="695"/>
      <c r="AJ13" s="695"/>
      <c r="AK13" s="695"/>
      <c r="AL13" s="695"/>
      <c r="AM13" s="695"/>
      <c r="AN13" s="695"/>
      <c r="AO13" s="695"/>
      <c r="AP13" s="695"/>
      <c r="AQ13" s="695"/>
      <c r="AR13" s="695"/>
      <c r="AS13" s="695"/>
      <c r="AT13" s="695"/>
      <c r="AU13" s="695"/>
      <c r="AV13" s="695"/>
      <c r="AW13" s="695"/>
      <c r="AX13" s="695"/>
      <c r="AY13" s="695"/>
      <c r="AZ13" s="695"/>
      <c r="BA13" s="695"/>
      <c r="BB13" s="695"/>
      <c r="BC13" s="695"/>
      <c r="BD13" s="695"/>
      <c r="BE13" s="695"/>
      <c r="BF13" s="695"/>
      <c r="BG13" s="939"/>
      <c r="BH13" s="939"/>
      <c r="BI13" s="939"/>
      <c r="BJ13" s="939"/>
      <c r="BK13" s="939"/>
      <c r="BL13" s="939"/>
      <c r="BM13" s="939"/>
      <c r="BN13" s="939"/>
      <c r="BO13" s="939"/>
      <c r="BP13" s="962"/>
      <c r="BQ13" s="1609"/>
      <c r="BR13" s="1609"/>
      <c r="BS13" s="1609"/>
      <c r="BT13" s="1609"/>
      <c r="BU13" s="1609"/>
      <c r="BV13" s="1609"/>
      <c r="BW13" s="1609"/>
      <c r="BX13" s="1609"/>
      <c r="BY13" s="1609"/>
      <c r="BZ13" s="1609"/>
      <c r="CA13" s="1609"/>
      <c r="CB13" s="1609"/>
      <c r="CC13" s="1609"/>
      <c r="CD13" s="1609"/>
      <c r="CE13" s="1609"/>
      <c r="CF13" s="1609"/>
    </row>
    <row r="14" spans="1:102">
      <c r="B14" s="866"/>
      <c r="L14" s="1401"/>
      <c r="M14" s="381"/>
      <c r="N14" s="404"/>
      <c r="O14" s="404"/>
      <c r="P14" s="382"/>
      <c r="Q14" s="382"/>
      <c r="R14" s="382"/>
      <c r="S14" s="382"/>
      <c r="T14" s="382"/>
      <c r="U14" s="382"/>
      <c r="V14" s="634"/>
      <c r="BE14" s="52"/>
      <c r="BF14" s="1401"/>
      <c r="BI14" s="106"/>
      <c r="BJ14" s="106"/>
      <c r="BK14" s="106"/>
      <c r="BL14" s="106"/>
      <c r="BM14" s="106"/>
      <c r="BN14" s="106"/>
      <c r="BO14" s="106"/>
      <c r="BP14" s="381"/>
      <c r="BQ14" s="382"/>
      <c r="BR14" s="382"/>
      <c r="BS14" s="382"/>
      <c r="BT14" s="382"/>
      <c r="BU14" s="382"/>
      <c r="BV14" s="382"/>
      <c r="BW14" s="382"/>
      <c r="BX14" s="382"/>
      <c r="BY14" s="382"/>
      <c r="BZ14" s="382"/>
      <c r="CA14" s="382"/>
      <c r="CB14" s="382"/>
      <c r="CC14" s="382"/>
      <c r="CD14" s="382"/>
      <c r="CE14" s="382"/>
      <c r="CF14" s="382"/>
    </row>
    <row r="15" spans="1:102">
      <c r="A15" s="251" t="s">
        <v>839</v>
      </c>
      <c r="B15" s="870" t="str">
        <f>'Annual historicals'!G23</f>
        <v>NA</v>
      </c>
      <c r="C15" s="870">
        <f>'Annual historicals'!H23</f>
        <v>1403</v>
      </c>
      <c r="D15" s="870">
        <f>'Annual historicals'!I23</f>
        <v>1569</v>
      </c>
      <c r="E15" s="870">
        <f>'Annual historicals'!J23</f>
        <v>1514</v>
      </c>
      <c r="F15" s="870">
        <f>'Annual historicals'!K23</f>
        <v>1906</v>
      </c>
      <c r="G15" s="870">
        <f>'Annual historicals'!L23</f>
        <v>1774</v>
      </c>
      <c r="H15" s="870">
        <f>'Annual historicals'!M23</f>
        <v>1461</v>
      </c>
      <c r="I15" s="870">
        <f>'Annual historicals'!N23</f>
        <v>1793</v>
      </c>
      <c r="J15" s="870">
        <f>'Annual historicals'!O23</f>
        <v>2136</v>
      </c>
      <c r="K15" s="870">
        <f>'Annual historicals'!P23</f>
        <v>2650</v>
      </c>
      <c r="L15" s="870">
        <f>'Annual historicals'!Q23</f>
        <v>2581</v>
      </c>
      <c r="M15" s="2284">
        <f>'Annual historicals'!R23</f>
        <v>2512</v>
      </c>
      <c r="N15" s="697">
        <f>N9*N18/1000</f>
        <v>2977.0499999999997</v>
      </c>
      <c r="O15" s="697">
        <f t="shared" ref="O15:T15" si="67">O9*O18/1000</f>
        <v>3162.5469749999988</v>
      </c>
      <c r="P15" s="697">
        <f t="shared" si="67"/>
        <v>3241.9269040724985</v>
      </c>
      <c r="Q15" s="697">
        <f t="shared" si="67"/>
        <v>3355.8806347506461</v>
      </c>
      <c r="R15" s="697">
        <f t="shared" si="67"/>
        <v>3433.3679186070385</v>
      </c>
      <c r="S15" s="697">
        <f t="shared" si="67"/>
        <v>3512.6443838476744</v>
      </c>
      <c r="T15" s="697">
        <f t="shared" si="67"/>
        <v>3593.7513426707169</v>
      </c>
      <c r="U15" s="697">
        <f>U9*U18/1000</f>
        <v>3676.7310611729831</v>
      </c>
      <c r="V15" s="639"/>
      <c r="X15" s="598" t="str">
        <f>'Quarterly historicals'!B40</f>
        <v>ND</v>
      </c>
      <c r="Y15" s="598" t="str">
        <f>'Quarterly historicals'!C39</f>
        <v>ND</v>
      </c>
      <c r="Z15" s="598" t="str">
        <f>'Quarterly historicals'!D39</f>
        <v>ND</v>
      </c>
      <c r="AA15" s="598" t="str">
        <f>'Quarterly historicals'!E39</f>
        <v>ND</v>
      </c>
      <c r="AB15" s="598" t="str">
        <f>'Quarterly historicals'!F39</f>
        <v>ND</v>
      </c>
      <c r="AC15" s="598" t="str">
        <f>'Quarterly historicals'!G39</f>
        <v>ND</v>
      </c>
      <c r="AD15" s="598" t="str">
        <f>'Quarterly historicals'!H39</f>
        <v>ND</v>
      </c>
      <c r="AE15" s="598" t="str">
        <f>'Quarterly historicals'!I39</f>
        <v>ND</v>
      </c>
      <c r="AF15" s="598" t="str">
        <f>'Quarterly historicals'!J39</f>
        <v>ND</v>
      </c>
      <c r="AG15" s="598" t="str">
        <f>'Quarterly historicals'!K39</f>
        <v>ND</v>
      </c>
      <c r="AH15" s="598" t="str">
        <f>'Quarterly historicals'!L39</f>
        <v>ND</v>
      </c>
      <c r="AI15" s="598" t="str">
        <f>'Quarterly historicals'!M39</f>
        <v>ND</v>
      </c>
      <c r="AJ15" s="598" t="str">
        <f>'Quarterly historicals'!N39</f>
        <v>ND</v>
      </c>
      <c r="AK15" s="598" t="str">
        <f>'Quarterly historicals'!O39</f>
        <v>ND</v>
      </c>
      <c r="AL15" s="598" t="str">
        <f>'Quarterly historicals'!P39</f>
        <v>ND</v>
      </c>
      <c r="AM15" s="598" t="str">
        <f>'Quarterly historicals'!Q39</f>
        <v>ND</v>
      </c>
      <c r="AN15" s="598" t="str">
        <f>'Quarterly historicals'!R39</f>
        <v>ND</v>
      </c>
      <c r="AO15" s="598" t="str">
        <f>'Quarterly historicals'!S39</f>
        <v>ND</v>
      </c>
      <c r="AP15" s="598" t="str">
        <f>'Quarterly historicals'!T39</f>
        <v>ND</v>
      </c>
      <c r="AQ15" s="598" t="str">
        <f>'Quarterly historicals'!U39</f>
        <v>ND</v>
      </c>
      <c r="AR15" s="598" t="str">
        <f>'Quarterly historicals'!V39</f>
        <v>ND</v>
      </c>
      <c r="AS15" s="598" t="str">
        <f>'Quarterly historicals'!W39</f>
        <v>ND</v>
      </c>
      <c r="AT15" s="598" t="str">
        <f>'Quarterly historicals'!X39</f>
        <v>ND</v>
      </c>
      <c r="AU15" s="598">
        <f>'Quarterly historicals'!Y39</f>
        <v>0</v>
      </c>
      <c r="AV15" s="598">
        <f>'Quarterly historicals'!Z39</f>
        <v>357</v>
      </c>
      <c r="AW15" s="598">
        <f>'Quarterly historicals'!AA39</f>
        <v>875</v>
      </c>
      <c r="AX15" s="598">
        <f>'Quarterly historicals'!AB39</f>
        <v>561</v>
      </c>
      <c r="AY15" s="598">
        <f>'Quarterly historicals'!AC39</f>
        <v>0</v>
      </c>
      <c r="AZ15" s="598">
        <f>'Quarterly historicals'!AD39</f>
        <v>704</v>
      </c>
      <c r="BA15" s="598">
        <f>'Quarterly historicals'!AE39</f>
        <v>891</v>
      </c>
      <c r="BB15" s="598">
        <f>'Quarterly historicals'!AF39</f>
        <v>541</v>
      </c>
      <c r="BC15" s="598">
        <f>'Quarterly historicals'!AG39</f>
        <v>0</v>
      </c>
      <c r="BD15" s="598">
        <f>'Quarterly historicals'!AH39</f>
        <v>840</v>
      </c>
      <c r="BE15" s="598">
        <f>'Quarterly historicals'!AI39</f>
        <v>1298</v>
      </c>
      <c r="BF15" s="598">
        <f>'Quarterly historicals'!AJ39</f>
        <v>512</v>
      </c>
      <c r="BG15" s="1437">
        <f>'Quarterly historicals'!AK39</f>
        <v>0</v>
      </c>
      <c r="BH15" s="1437">
        <f>'Quarterly historicals'!AL39</f>
        <v>880</v>
      </c>
      <c r="BI15" s="1437">
        <f>'Quarterly historicals'!AM39</f>
        <v>1077</v>
      </c>
      <c r="BJ15" s="1437">
        <f>'Quarterly historicals'!AN39</f>
        <v>624</v>
      </c>
      <c r="BK15" s="1437">
        <f>'Quarterly historicals'!AO39</f>
        <v>0</v>
      </c>
      <c r="BL15" s="1437">
        <f>'Quarterly historicals'!AP39</f>
        <v>1002</v>
      </c>
      <c r="BM15" s="1437">
        <f>'Quarterly historicals'!AQ39</f>
        <v>1133</v>
      </c>
      <c r="BN15" s="1437">
        <f>'Quarterly historicals'!AR39</f>
        <v>377</v>
      </c>
      <c r="BO15" s="1437">
        <f>'Quarterly historicals'!AS39</f>
        <v>0</v>
      </c>
      <c r="BP15" s="1012">
        <f>'Quarterly historicals'!AT39</f>
        <v>1092</v>
      </c>
      <c r="BQ15" s="2111">
        <f>$N15*BQ214</f>
        <v>1250.3609999999999</v>
      </c>
      <c r="BR15" s="2111">
        <f>$N15*BR214</f>
        <v>424.45466780768629</v>
      </c>
      <c r="BS15" s="2112">
        <f>$N15*BS214</f>
        <v>2.9714501507635833</v>
      </c>
      <c r="BT15" s="2113">
        <f>$O15*BT214</f>
        <v>1380.2186383602173</v>
      </c>
      <c r="BU15" s="2111">
        <f>$O15*BU214</f>
        <v>1328.2697294999994</v>
      </c>
      <c r="BV15" s="2111">
        <f>$O15*BV214</f>
        <v>454.05860713978228</v>
      </c>
      <c r="BW15" s="2112">
        <f>$O15*BW214</f>
        <v>0</v>
      </c>
      <c r="BX15" s="2113">
        <f>$P15*BX214</f>
        <v>1414.8621261830585</v>
      </c>
      <c r="BY15" s="2111">
        <f>$P15*BY214</f>
        <v>1361.6092997104492</v>
      </c>
      <c r="BZ15" s="2111">
        <f>$P15*BZ214</f>
        <v>465.45547817899075</v>
      </c>
      <c r="CA15" s="2112">
        <f>$P15*CA214</f>
        <v>0</v>
      </c>
      <c r="CB15" s="2113">
        <f>$Q15*CB214</f>
        <v>1464.5945299183927</v>
      </c>
      <c r="CC15" s="2111">
        <f>$Q15*CC214</f>
        <v>1409.4698665952712</v>
      </c>
      <c r="CD15" s="2111">
        <f>$Q15*CD214</f>
        <v>481.81623823698214</v>
      </c>
      <c r="CE15" s="2112">
        <f>$Q15*CE214</f>
        <v>0</v>
      </c>
      <c r="CF15" s="2113">
        <f>$R15*CF214</f>
        <v>1498.4120176142085</v>
      </c>
      <c r="CG15" s="2111">
        <f>$R15*CG214</f>
        <v>1442.0145258149562</v>
      </c>
      <c r="CH15" s="2111">
        <f>$R15*CH214</f>
        <v>492.94137517787408</v>
      </c>
      <c r="CI15" s="2112">
        <f>$R15*CI214</f>
        <v>0</v>
      </c>
      <c r="CJ15" s="2113">
        <f>$S15*CJ214</f>
        <v>1533.0103511009204</v>
      </c>
      <c r="CK15" s="2111">
        <f>$S15*CK214</f>
        <v>1475.3106412160232</v>
      </c>
      <c r="CL15" s="2111">
        <f>$S15*CL214</f>
        <v>504.3233915307311</v>
      </c>
      <c r="CM15" s="2112">
        <f>$S15*CM214</f>
        <v>0</v>
      </c>
      <c r="CN15" s="2113">
        <f>$T15*CN214</f>
        <v>1568.4075601078405</v>
      </c>
      <c r="CO15" s="2111">
        <f>$T15*CO214</f>
        <v>1509.3755639217011</v>
      </c>
      <c r="CP15" s="2111">
        <f>$T15*CP214</f>
        <v>515.96821864117567</v>
      </c>
      <c r="CQ15" s="2112">
        <f>$T15*CQ214</f>
        <v>0</v>
      </c>
      <c r="CR15" s="2113">
        <f>$U15*CR214</f>
        <v>1604.6220906707301</v>
      </c>
      <c r="CS15" s="2111">
        <f>$U15*CS214</f>
        <v>1544.2270456926528</v>
      </c>
      <c r="CT15" s="2111">
        <f>$U15*CT214</f>
        <v>527.88192480960026</v>
      </c>
      <c r="CU15" s="2112">
        <f>$U15*CU214</f>
        <v>0</v>
      </c>
    </row>
    <row r="16" spans="1:102">
      <c r="A16" s="761" t="s">
        <v>838</v>
      </c>
      <c r="B16" s="390">
        <f t="shared" ref="B16:U16" si="68">B35+B38</f>
        <v>1541.2452547999999</v>
      </c>
      <c r="C16" s="390">
        <f t="shared" si="68"/>
        <v>1401.0633033999998</v>
      </c>
      <c r="D16" s="390">
        <f t="shared" si="68"/>
        <v>1567.5386865999999</v>
      </c>
      <c r="E16" s="390">
        <f t="shared" si="68"/>
        <v>1512.5045599999999</v>
      </c>
      <c r="F16" s="390">
        <f t="shared" si="68"/>
        <v>1903.0068499999998</v>
      </c>
      <c r="G16" s="390">
        <f t="shared" si="68"/>
        <v>1777.85933</v>
      </c>
      <c r="H16" s="390">
        <f t="shared" si="68"/>
        <v>1555.70856</v>
      </c>
      <c r="I16" s="390">
        <f t="shared" si="68"/>
        <v>1803.0816399999999</v>
      </c>
      <c r="J16" s="390">
        <f t="shared" si="68"/>
        <v>2145.0521799999997</v>
      </c>
      <c r="K16" s="390">
        <f t="shared" si="68"/>
        <v>2465.0345899999998</v>
      </c>
      <c r="L16" s="390">
        <f t="shared" si="68"/>
        <v>2635.9530399999999</v>
      </c>
      <c r="M16" s="391">
        <f t="shared" ref="M16" si="69">M35+M38</f>
        <v>2585.9814900000001</v>
      </c>
      <c r="N16" s="698">
        <f t="shared" si="68"/>
        <v>2977.0499999999997</v>
      </c>
      <c r="O16" s="698">
        <f t="shared" si="68"/>
        <v>3162.5469749999988</v>
      </c>
      <c r="P16" s="698">
        <f t="shared" si="68"/>
        <v>3241.9269040724985</v>
      </c>
      <c r="Q16" s="698">
        <f t="shared" si="68"/>
        <v>3355.8806347506461</v>
      </c>
      <c r="R16" s="698">
        <f t="shared" si="68"/>
        <v>3433.3679186070385</v>
      </c>
      <c r="S16" s="698">
        <f t="shared" si="68"/>
        <v>3512.6443838476744</v>
      </c>
      <c r="T16" s="698">
        <f t="shared" si="68"/>
        <v>3593.7513426707169</v>
      </c>
      <c r="U16" s="698">
        <f t="shared" si="68"/>
        <v>3676.7310611729831</v>
      </c>
      <c r="V16" s="642"/>
      <c r="W16" s="14"/>
      <c r="X16" s="869"/>
      <c r="Y16" s="869"/>
      <c r="Z16" s="869"/>
      <c r="AA16" s="869"/>
      <c r="AB16" s="869"/>
      <c r="AC16" s="869"/>
      <c r="AD16" s="869"/>
      <c r="AE16" s="869"/>
      <c r="AF16" s="869"/>
      <c r="AG16" s="869"/>
      <c r="AH16" s="869"/>
      <c r="AI16" s="869"/>
      <c r="AJ16" s="869"/>
      <c r="AK16" s="869"/>
      <c r="AL16" s="869"/>
      <c r="AM16" s="869"/>
      <c r="AN16" s="869"/>
      <c r="AO16" s="869"/>
      <c r="AP16" s="869"/>
      <c r="AQ16" s="869"/>
      <c r="AR16" s="869"/>
      <c r="AS16" s="869"/>
      <c r="AT16" s="869"/>
      <c r="AU16" s="869"/>
      <c r="AV16" s="869"/>
      <c r="AW16" s="869"/>
      <c r="AX16" s="869"/>
      <c r="AY16" s="869"/>
      <c r="AZ16" s="869"/>
      <c r="BA16" s="869"/>
      <c r="BB16" s="869"/>
      <c r="BC16" s="869"/>
      <c r="BD16" s="869"/>
      <c r="BE16" s="869"/>
      <c r="BF16" s="869"/>
      <c r="BG16" s="1440"/>
      <c r="BH16" s="1440"/>
      <c r="BI16" s="1440"/>
      <c r="BJ16" s="1440"/>
      <c r="BK16" s="1440"/>
      <c r="BL16" s="1440"/>
      <c r="BM16" s="1440"/>
      <c r="BN16" s="1440"/>
      <c r="BO16" s="1440"/>
      <c r="BP16" s="1025"/>
    </row>
    <row r="17" spans="1:100" s="1401" customFormat="1">
      <c r="A17" s="157" t="s">
        <v>1628</v>
      </c>
      <c r="B17" s="178" t="e">
        <f t="shared" ref="B17:M17" si="70">+B16/A16-1</f>
        <v>#VALUE!</v>
      </c>
      <c r="C17" s="178">
        <f t="shared" si="70"/>
        <v>-9.095369537289566E-2</v>
      </c>
      <c r="D17" s="178">
        <f t="shared" si="70"/>
        <v>0.118820743356856</v>
      </c>
      <c r="E17" s="178">
        <f t="shared" si="70"/>
        <v>-3.5108624157384805E-2</v>
      </c>
      <c r="F17" s="178">
        <f t="shared" si="70"/>
        <v>0.25818255384301114</v>
      </c>
      <c r="G17" s="178">
        <f t="shared" si="70"/>
        <v>-6.5763042313799258E-2</v>
      </c>
      <c r="H17" s="178">
        <f t="shared" si="70"/>
        <v>-0.12495407609104825</v>
      </c>
      <c r="I17" s="178">
        <f t="shared" si="70"/>
        <v>0.15900991121370445</v>
      </c>
      <c r="J17" s="178">
        <f t="shared" si="70"/>
        <v>0.18965893302535086</v>
      </c>
      <c r="K17" s="178">
        <f t="shared" si="70"/>
        <v>0.14917231990132751</v>
      </c>
      <c r="L17" s="178">
        <f t="shared" si="70"/>
        <v>6.9337140620002513E-2</v>
      </c>
      <c r="M17" s="426">
        <f t="shared" si="70"/>
        <v>-1.8957678396273603E-2</v>
      </c>
      <c r="N17" s="404">
        <f>+N16/M16-1</f>
        <v>0.15122633766415694</v>
      </c>
      <c r="O17" s="404">
        <f t="shared" ref="O17:U17" si="71">+O16/N16-1</f>
        <v>6.230898876404467E-2</v>
      </c>
      <c r="P17" s="404">
        <f t="shared" si="71"/>
        <v>2.50999999999999E-2</v>
      </c>
      <c r="Q17" s="404">
        <f t="shared" si="71"/>
        <v>3.5149999999999793E-2</v>
      </c>
      <c r="R17" s="404">
        <f t="shared" si="71"/>
        <v>2.3090000000000055E-2</v>
      </c>
      <c r="S17" s="404">
        <f t="shared" si="71"/>
        <v>2.3089999999999833E-2</v>
      </c>
      <c r="T17" s="404">
        <f t="shared" si="71"/>
        <v>2.3089999999999833E-2</v>
      </c>
      <c r="U17" s="404">
        <f t="shared" si="71"/>
        <v>2.3089999999999833E-2</v>
      </c>
      <c r="V17" s="642"/>
      <c r="W17" s="14"/>
      <c r="X17" s="869"/>
      <c r="Y17" s="869"/>
      <c r="Z17" s="869"/>
      <c r="AA17" s="869"/>
      <c r="AB17" s="869"/>
      <c r="AC17" s="869"/>
      <c r="AD17" s="869"/>
      <c r="AE17" s="869"/>
      <c r="AF17" s="869"/>
      <c r="AG17" s="869"/>
      <c r="AH17" s="869"/>
      <c r="AI17" s="869"/>
      <c r="AJ17" s="869"/>
      <c r="AK17" s="869"/>
      <c r="AL17" s="869"/>
      <c r="AM17" s="869"/>
      <c r="AN17" s="869"/>
      <c r="AO17" s="869"/>
      <c r="AP17" s="869"/>
      <c r="AQ17" s="869"/>
      <c r="AR17" s="869"/>
      <c r="AS17" s="869"/>
      <c r="AT17" s="869"/>
      <c r="AU17" s="869"/>
      <c r="AV17" s="869"/>
      <c r="AW17" s="869"/>
      <c r="AX17" s="869"/>
      <c r="AY17" s="869"/>
      <c r="AZ17" s="869"/>
      <c r="BA17" s="869"/>
      <c r="BB17" s="869"/>
      <c r="BC17" s="869"/>
      <c r="BD17" s="869"/>
      <c r="BE17" s="869"/>
      <c r="BF17" s="869"/>
      <c r="BG17" s="1440"/>
      <c r="BH17" s="1440"/>
      <c r="BI17" s="1440"/>
      <c r="BJ17" s="1440"/>
      <c r="BK17" s="1440"/>
      <c r="BL17" s="1440"/>
      <c r="BM17" s="1440"/>
      <c r="BN17" s="1440"/>
      <c r="BO17" s="1440"/>
      <c r="BP17" s="1025"/>
    </row>
    <row r="18" spans="1:100" s="1401" customFormat="1">
      <c r="A18" s="157" t="s">
        <v>1490</v>
      </c>
      <c r="B18" s="875" t="e">
        <f>'Annual historicals'!G15</f>
        <v>#N/A</v>
      </c>
      <c r="C18" s="875" t="e">
        <f>'Annual historicals'!H15</f>
        <v>#N/A</v>
      </c>
      <c r="D18" s="875" t="e">
        <f>'Annual historicals'!I15</f>
        <v>#N/A</v>
      </c>
      <c r="E18" s="875" t="e">
        <f>'Annual historicals'!J15</f>
        <v>#N/A</v>
      </c>
      <c r="F18" s="875" t="e">
        <f>'Annual historicals'!K15</f>
        <v>#N/A</v>
      </c>
      <c r="G18" s="875" t="e">
        <f>'Annual historicals'!L15</f>
        <v>#N/A</v>
      </c>
      <c r="H18" s="875" t="e">
        <f>'Annual historicals'!M15</f>
        <v>#N/A</v>
      </c>
      <c r="I18" s="875">
        <f>'Annual historicals'!N15</f>
        <v>139.13999999999999</v>
      </c>
      <c r="J18" s="875">
        <f>'Annual historicals'!O15</f>
        <v>136.94999999999999</v>
      </c>
      <c r="K18" s="875">
        <f>'Annual historicals'!P15</f>
        <v>141.6</v>
      </c>
      <c r="L18" s="875">
        <f>'Annual historicals'!Q15</f>
        <v>128.9</v>
      </c>
      <c r="M18" s="2050">
        <f>'Annual historicals'!R15</f>
        <v>130.30000000000001</v>
      </c>
      <c r="N18" s="2028">
        <f>Inputs!P60</f>
        <v>133.5</v>
      </c>
      <c r="O18" s="2028">
        <f>Inputs!Q60</f>
        <v>135.06499999999997</v>
      </c>
      <c r="P18" s="2028">
        <f>Inputs!R60</f>
        <v>135.74032499999996</v>
      </c>
      <c r="Q18" s="2028">
        <f>Inputs!S60</f>
        <v>136.41902662499993</v>
      </c>
      <c r="R18" s="2028">
        <f>Inputs!T60</f>
        <v>137.10112175812492</v>
      </c>
      <c r="S18" s="2028">
        <f>Inputs!U60</f>
        <v>137.78662736691552</v>
      </c>
      <c r="T18" s="2028">
        <f>Inputs!V60</f>
        <v>138.47556050375007</v>
      </c>
      <c r="U18" s="2028">
        <f>Inputs!W60</f>
        <v>139.16793830626881</v>
      </c>
      <c r="V18" s="638"/>
      <c r="X18" s="598" t="str">
        <f>'Quarterly historicals'!B32</f>
        <v>ND</v>
      </c>
      <c r="Y18" s="598" t="str">
        <f>'Quarterly historicals'!C32</f>
        <v>ND</v>
      </c>
      <c r="Z18" s="598" t="str">
        <f>'Quarterly historicals'!D32</f>
        <v>ND</v>
      </c>
      <c r="AA18" s="598" t="str">
        <f>'Quarterly historicals'!E32</f>
        <v>ND</v>
      </c>
      <c r="AB18" s="598" t="str">
        <f>'Quarterly historicals'!F32</f>
        <v>ND</v>
      </c>
      <c r="AC18" s="598" t="str">
        <f>'Quarterly historicals'!G32</f>
        <v>ND</v>
      </c>
      <c r="AD18" s="598" t="str">
        <f>'Quarterly historicals'!H32</f>
        <v>ND</v>
      </c>
      <c r="AE18" s="598" t="str">
        <f>'Quarterly historicals'!I32</f>
        <v>ND</v>
      </c>
      <c r="AF18" s="598" t="str">
        <f>'Quarterly historicals'!J32</f>
        <v>ND</v>
      </c>
      <c r="AG18" s="598" t="str">
        <f>'Quarterly historicals'!K32</f>
        <v>ND</v>
      </c>
      <c r="AH18" s="598" t="str">
        <f>'Quarterly historicals'!L32</f>
        <v>ND</v>
      </c>
      <c r="AI18" s="598" t="str">
        <f>'Quarterly historicals'!M32</f>
        <v>ND</v>
      </c>
      <c r="AJ18" s="598" t="str">
        <f>'Quarterly historicals'!N32</f>
        <v>ND</v>
      </c>
      <c r="AK18" s="598" t="str">
        <f>'Quarterly historicals'!O32</f>
        <v>ND</v>
      </c>
      <c r="AL18" s="598" t="str">
        <f>'Quarterly historicals'!P32</f>
        <v>ND</v>
      </c>
      <c r="AM18" s="598" t="str">
        <f>'Quarterly historicals'!Q32</f>
        <v>ND</v>
      </c>
      <c r="AN18" s="598" t="str">
        <f>'Quarterly historicals'!R32</f>
        <v>ND</v>
      </c>
      <c r="AO18" s="598" t="str">
        <f>'Quarterly historicals'!S32</f>
        <v>ND</v>
      </c>
      <c r="AP18" s="598" t="str">
        <f>'Quarterly historicals'!T32</f>
        <v>ND</v>
      </c>
      <c r="AQ18" s="598" t="str">
        <f>'Quarterly historicals'!U32</f>
        <v>ND</v>
      </c>
      <c r="AR18" s="1011" t="str">
        <f>'Quarterly historicals'!V32</f>
        <v>ND</v>
      </c>
      <c r="AS18" s="598" t="str">
        <f>'Quarterly historicals'!W32</f>
        <v>ND</v>
      </c>
      <c r="AT18" s="598" t="str">
        <f>'Quarterly historicals'!X32</f>
        <v>ND</v>
      </c>
      <c r="AU18" s="598" t="str">
        <f>'Quarterly historicals'!Y32</f>
        <v>ND</v>
      </c>
      <c r="AV18" s="598">
        <f>'Quarterly historicals'!Z32</f>
        <v>122.3440712816998</v>
      </c>
      <c r="AW18" s="598">
        <f>'Quarterly historicals'!AA32</f>
        <v>144.96355202120608</v>
      </c>
      <c r="AX18" s="598">
        <f>'Quarterly historicals'!AB32</f>
        <v>142.71177817349275</v>
      </c>
      <c r="AY18" s="598" t="str">
        <f>'Quarterly historicals'!AC32</f>
        <v>NM</v>
      </c>
      <c r="AZ18" s="598">
        <f>'Quarterly historicals'!AD32</f>
        <v>127.00703590113658</v>
      </c>
      <c r="BA18" s="598">
        <f>'Quarterly historicals'!AE32</f>
        <v>146.13744464490733</v>
      </c>
      <c r="BB18" s="598">
        <f>'Quarterly historicals'!AF32</f>
        <v>136.89271255060729</v>
      </c>
      <c r="BC18" s="598" t="str">
        <f>'Quarterly historicals'!AG32</f>
        <v>NM</v>
      </c>
      <c r="BD18" s="598">
        <f>'Quarterly historicals'!AH32</f>
        <v>129.89021184475027</v>
      </c>
      <c r="BE18" s="598">
        <f>'Quarterly historicals'!AI32</f>
        <v>149.34990219767573</v>
      </c>
      <c r="BF18" s="598">
        <f>'Quarterly historicals'!AJ32</f>
        <v>143.86063500983423</v>
      </c>
      <c r="BG18" s="1437" t="str">
        <f>'Quarterly historicals'!AK32</f>
        <v>NM</v>
      </c>
      <c r="BH18" s="1437">
        <f>'Quarterly historicals'!AL32</f>
        <v>118.77446349034958</v>
      </c>
      <c r="BI18" s="1437">
        <f>'Quarterly historicals'!AM32</f>
        <v>141.19035133717881</v>
      </c>
      <c r="BJ18" s="1437">
        <f>'Quarterly historicals'!AN32</f>
        <v>125.12532584720273</v>
      </c>
      <c r="BK18" s="1437" t="str">
        <f>'Quarterly historicals'!AO32</f>
        <v>NM</v>
      </c>
      <c r="BL18" s="1437">
        <f>'Quarterly historicals'!AP32</f>
        <v>122.40410456877596</v>
      </c>
      <c r="BM18" s="1437">
        <f>'Quarterly historicals'!AQ32</f>
        <v>135.75365444524323</v>
      </c>
      <c r="BN18" s="1437">
        <f>'Quarterly historicals'!AR32</f>
        <v>137.14077846489633</v>
      </c>
      <c r="BO18" s="1437" t="str">
        <f>'Quarterly historicals'!AS32</f>
        <v>NM</v>
      </c>
      <c r="BP18" s="1012">
        <f>'Quarterly historicals'!AT32</f>
        <v>124.9570889117748</v>
      </c>
      <c r="BQ18" s="2309">
        <f>+AVERAGE(BM18:BP18)</f>
        <v>132.61717394063814</v>
      </c>
      <c r="BR18" s="2309">
        <f>+N18*3-SUM(BP18:BQ18)</f>
        <v>142.92573714758703</v>
      </c>
      <c r="BS18" s="2310" t="s">
        <v>36</v>
      </c>
      <c r="BT18" s="2309">
        <f>+AVERAGE(BP18:BS18)</f>
        <v>133.5</v>
      </c>
      <c r="BU18" s="2309">
        <f>+AVERAGE(BQ18:BT18)</f>
        <v>136.34763702940839</v>
      </c>
      <c r="BV18" s="2309">
        <f>+O18*3-SUM(BT18:BU18)</f>
        <v>135.34736297059158</v>
      </c>
      <c r="BW18" s="2310" t="s">
        <v>36</v>
      </c>
      <c r="BX18" s="2309">
        <f>+AVERAGE(BT18:BW18)</f>
        <v>135.06499999999997</v>
      </c>
      <c r="BY18" s="2309">
        <f>+AVERAGE(BU18:BX18)</f>
        <v>135.58666666666662</v>
      </c>
      <c r="BZ18" s="2309">
        <f>+P18*3-SUM(BX18:BY18)</f>
        <v>136.56930833333325</v>
      </c>
      <c r="CA18" s="2310" t="s">
        <v>36</v>
      </c>
      <c r="CB18" s="2309">
        <f>+AVERAGE(BX18:CA18)</f>
        <v>135.74032499999996</v>
      </c>
      <c r="CC18" s="2309">
        <f>+AVERAGE(BY18:CB18)</f>
        <v>135.96543333333329</v>
      </c>
      <c r="CD18" s="2309">
        <f>+Q18*3-SUM(CB18:CC18)</f>
        <v>137.55132154166654</v>
      </c>
      <c r="CE18" s="2310" t="s">
        <v>36</v>
      </c>
      <c r="CF18" s="2309">
        <f>+AVERAGE(CB18:CE18)</f>
        <v>136.41902662499993</v>
      </c>
      <c r="CG18" s="2309">
        <f>+AVERAGE(CC18:CF18)</f>
        <v>136.64526049999992</v>
      </c>
      <c r="CH18" s="2309">
        <f>+R18*3-SUM(CF18:CG18)</f>
        <v>138.2390781493749</v>
      </c>
      <c r="CI18" s="2310" t="s">
        <v>36</v>
      </c>
      <c r="CJ18" s="2309">
        <f>+AVERAGE(CF18:CI18)</f>
        <v>137.10112175812492</v>
      </c>
      <c r="CK18" s="2309">
        <f>+AVERAGE(CG18:CJ18)</f>
        <v>137.32848680249992</v>
      </c>
      <c r="CL18" s="2309">
        <f>+S18*3-SUM(CJ18:CK18)</f>
        <v>138.93027354012173</v>
      </c>
      <c r="CM18" s="2310" t="s">
        <v>36</v>
      </c>
      <c r="CN18" s="2309">
        <f>+AVERAGE(CJ18:CM18)</f>
        <v>137.78662736691552</v>
      </c>
      <c r="CO18" s="2309">
        <f>+AVERAGE(CK18:CN18)</f>
        <v>138.01512923651239</v>
      </c>
      <c r="CP18" s="2309">
        <f>+T18*3-SUM(CN18:CO18)</f>
        <v>139.62492490782228</v>
      </c>
      <c r="CQ18" s="2310" t="s">
        <v>36</v>
      </c>
      <c r="CR18" s="2309">
        <f>+AVERAGE(CN18:CQ18)</f>
        <v>138.47556050375007</v>
      </c>
      <c r="CS18" s="2309">
        <f>+AVERAGE(CO18:CR18)</f>
        <v>138.70520488269491</v>
      </c>
      <c r="CT18" s="2309">
        <f>+U18*3-SUM(CR18:CS18)</f>
        <v>140.32304953236144</v>
      </c>
      <c r="CU18" s="2310" t="s">
        <v>36</v>
      </c>
    </row>
    <row r="19" spans="1:100">
      <c r="A19" s="157" t="s">
        <v>670</v>
      </c>
      <c r="B19" s="1011" t="e">
        <f>'Annual historicals'!G14</f>
        <v>#N/A</v>
      </c>
      <c r="C19" s="1011" t="e">
        <f>'Annual historicals'!H14</f>
        <v>#N/A</v>
      </c>
      <c r="D19" s="1011" t="e">
        <f>'Annual historicals'!I14</f>
        <v>#N/A</v>
      </c>
      <c r="E19" s="1011" t="e">
        <f>'Annual historicals'!J14</f>
        <v>#N/A</v>
      </c>
      <c r="F19" s="1011" t="e">
        <f>'Annual historicals'!K14</f>
        <v>#N/A</v>
      </c>
      <c r="G19" s="2027" t="e">
        <f>'Annual historicals'!L14</f>
        <v>#N/A</v>
      </c>
      <c r="H19" s="2027" t="e">
        <f>'Annual historicals'!M14</f>
        <v>#N/A</v>
      </c>
      <c r="I19" s="2027">
        <f>'Annual historicals'!N14</f>
        <v>88.58</v>
      </c>
      <c r="J19" s="2027">
        <f>'Annual historicals'!O14</f>
        <v>99.47</v>
      </c>
      <c r="K19" s="2027">
        <f>'Annual historicals'!P14</f>
        <v>87.6</v>
      </c>
      <c r="L19" s="2027">
        <f>'Annual historicals'!Q14</f>
        <v>85.9</v>
      </c>
      <c r="M19" s="2344">
        <f>(M10*23.6%*1000)/(M5*73%)</f>
        <v>78.752876712328785</v>
      </c>
      <c r="N19" s="921">
        <f t="shared" ref="N19:U19" si="72">(N10*23.6%*1000)/(N5*73%)</f>
        <v>91.083924624497243</v>
      </c>
      <c r="O19" s="921">
        <f t="shared" si="72"/>
        <v>95.638120855722107</v>
      </c>
      <c r="P19" s="921">
        <f t="shared" si="72"/>
        <v>95.638120855722107</v>
      </c>
      <c r="Q19" s="921">
        <f t="shared" si="72"/>
        <v>96.612894010597728</v>
      </c>
      <c r="R19" s="921">
        <f t="shared" si="72"/>
        <v>96.496229383867927</v>
      </c>
      <c r="S19" s="921">
        <f t="shared" si="72"/>
        <v>96.414028892170592</v>
      </c>
      <c r="T19" s="921">
        <f t="shared" si="72"/>
        <v>96.364945386552762</v>
      </c>
      <c r="U19" s="921">
        <f t="shared" si="72"/>
        <v>96.34773736059087</v>
      </c>
      <c r="V19" s="634"/>
      <c r="X19" s="598" t="e">
        <f>'Quarterly historicals'!B31</f>
        <v>#N/A</v>
      </c>
      <c r="Y19" s="598" t="e">
        <f>'Quarterly historicals'!C31</f>
        <v>#N/A</v>
      </c>
      <c r="Z19" s="598" t="e">
        <f>'Quarterly historicals'!D31</f>
        <v>#N/A</v>
      </c>
      <c r="AA19" s="598" t="e">
        <f>'Quarterly historicals'!E31</f>
        <v>#N/A</v>
      </c>
      <c r="AB19" s="598" t="e">
        <f>'Quarterly historicals'!F31</f>
        <v>#N/A</v>
      </c>
      <c r="AC19" s="598" t="e">
        <f>'Quarterly historicals'!G31</f>
        <v>#N/A</v>
      </c>
      <c r="AD19" s="598" t="e">
        <f>'Quarterly historicals'!H31</f>
        <v>#N/A</v>
      </c>
      <c r="AE19" s="598" t="e">
        <f>'Quarterly historicals'!I31</f>
        <v>#N/A</v>
      </c>
      <c r="AF19" s="598" t="e">
        <f>'Quarterly historicals'!J31</f>
        <v>#N/A</v>
      </c>
      <c r="AG19" s="598" t="e">
        <f>'Quarterly historicals'!K31</f>
        <v>#N/A</v>
      </c>
      <c r="AH19" s="598" t="e">
        <f>'Quarterly historicals'!L31</f>
        <v>#N/A</v>
      </c>
      <c r="AI19" s="598" t="e">
        <f>'Quarterly historicals'!M31</f>
        <v>#N/A</v>
      </c>
      <c r="AJ19" s="598" t="e">
        <f>'Quarterly historicals'!N31</f>
        <v>#N/A</v>
      </c>
      <c r="AK19" s="598" t="e">
        <f>'Quarterly historicals'!O31</f>
        <v>#N/A</v>
      </c>
      <c r="AL19" s="598" t="e">
        <f>'Quarterly historicals'!P31</f>
        <v>#N/A</v>
      </c>
      <c r="AM19" s="598" t="e">
        <f>'Quarterly historicals'!Q31</f>
        <v>#N/A</v>
      </c>
      <c r="AN19" s="598" t="e">
        <f>'Quarterly historicals'!R31</f>
        <v>#N/A</v>
      </c>
      <c r="AO19" s="598" t="e">
        <f>'Quarterly historicals'!S31</f>
        <v>#N/A</v>
      </c>
      <c r="AP19" s="598" t="e">
        <f>'Quarterly historicals'!T31</f>
        <v>#N/A</v>
      </c>
      <c r="AQ19" s="598" t="e">
        <f>'Quarterly historicals'!U31</f>
        <v>#N/A</v>
      </c>
      <c r="AR19" s="1011" t="e">
        <f>'Quarterly historicals'!V31</f>
        <v>#N/A</v>
      </c>
      <c r="AS19" s="598" t="e">
        <f>'Quarterly historicals'!W31</f>
        <v>#N/A</v>
      </c>
      <c r="AT19" s="598" t="e">
        <f>'Quarterly historicals'!X31</f>
        <v>#N/A</v>
      </c>
      <c r="AU19" s="598" t="e">
        <f>'Quarterly historicals'!Y31</f>
        <v>#N/A</v>
      </c>
      <c r="AV19" s="598" t="e">
        <f>'Quarterly historicals'!Z31</f>
        <v>#N/A</v>
      </c>
      <c r="AW19" s="598">
        <f>'Quarterly historicals'!AA31</f>
        <v>90.2</v>
      </c>
      <c r="AX19" s="598">
        <f>'Quarterly historicals'!AB31</f>
        <v>84.889977105062329</v>
      </c>
      <c r="AY19" s="598">
        <f>'Quarterly historicals'!AC31</f>
        <v>88.58</v>
      </c>
      <c r="AZ19" s="598">
        <f>'Quarterly historicals'!AD31</f>
        <v>81.790000000000006</v>
      </c>
      <c r="BA19" s="598">
        <f>'Quarterly historicals'!AE31</f>
        <v>116.55536001312122</v>
      </c>
      <c r="BB19" s="598">
        <f>'Quarterly historicals'!AF31</f>
        <v>98.027327935222672</v>
      </c>
      <c r="BC19" s="598">
        <f>'Quarterly historicals'!AG31</f>
        <v>99.47</v>
      </c>
      <c r="BD19" s="598">
        <f>'Quarterly historicals'!AH31</f>
        <v>93.33</v>
      </c>
      <c r="BE19" s="598">
        <f>'Quarterly historicals'!AI31</f>
        <v>83.266525140950407</v>
      </c>
      <c r="BF19" s="598">
        <f>'Quarterly historicals'!AJ31</f>
        <v>87.770362461365551</v>
      </c>
      <c r="BG19" s="1943">
        <f>'Quarterly historicals'!AK31</f>
        <v>87.6</v>
      </c>
      <c r="BH19" s="1437">
        <f>'Quarterly historicals'!AL31</f>
        <v>83.2</v>
      </c>
      <c r="BI19" s="1437">
        <f>'Quarterly historicals'!AM31</f>
        <v>85.171289984268498</v>
      </c>
      <c r="BJ19" s="1437">
        <f>'Quarterly historicals'!AN31</f>
        <v>91.02590735913374</v>
      </c>
      <c r="BK19" s="1437">
        <f>'Quarterly historicals'!AO31</f>
        <v>85.9</v>
      </c>
      <c r="BL19" s="1437">
        <f>'Quarterly historicals'!AP31</f>
        <v>85.4</v>
      </c>
      <c r="BM19" s="1437">
        <f>'Quarterly historicals'!AQ31</f>
        <v>76.486268871315602</v>
      </c>
      <c r="BN19" s="1437">
        <f>'Quarterly historicals'!AR31</f>
        <v>65.469588941433216</v>
      </c>
      <c r="BO19" s="1437">
        <f>'Quarterly historicals'!AS31</f>
        <v>78.7</v>
      </c>
      <c r="BP19" s="1942">
        <f>'Quarterly historicals'!AT31</f>
        <v>86</v>
      </c>
      <c r="BQ19" s="2311">
        <f>BS19</f>
        <v>91.083924624497243</v>
      </c>
      <c r="BR19" s="2312">
        <f>BS19</f>
        <v>91.083924624497243</v>
      </c>
      <c r="BS19" s="2313">
        <f>+N19</f>
        <v>91.083924624497243</v>
      </c>
      <c r="BT19" s="2311">
        <f>BW19</f>
        <v>95.638120855722107</v>
      </c>
      <c r="BU19" s="2312">
        <f>BW19</f>
        <v>95.638120855722107</v>
      </c>
      <c r="BV19" s="2312">
        <f>BW19</f>
        <v>95.638120855722107</v>
      </c>
      <c r="BW19" s="2313">
        <f>+O19</f>
        <v>95.638120855722107</v>
      </c>
      <c r="BX19" s="2311">
        <f>CA19</f>
        <v>95.638120855722107</v>
      </c>
      <c r="BY19" s="2312">
        <f>CA19</f>
        <v>95.638120855722107</v>
      </c>
      <c r="BZ19" s="2312">
        <f>CA19</f>
        <v>95.638120855722107</v>
      </c>
      <c r="CA19" s="2313">
        <f>+P19</f>
        <v>95.638120855722107</v>
      </c>
      <c r="CB19" s="2311">
        <f>CE19</f>
        <v>96.612894010597728</v>
      </c>
      <c r="CC19" s="2312">
        <f>CE19</f>
        <v>96.612894010597728</v>
      </c>
      <c r="CD19" s="2312">
        <f>CE19</f>
        <v>96.612894010597728</v>
      </c>
      <c r="CE19" s="2313">
        <f>+Q19</f>
        <v>96.612894010597728</v>
      </c>
      <c r="CF19" s="2311">
        <f>CI19</f>
        <v>96.496229383867927</v>
      </c>
      <c r="CG19" s="2312">
        <f>CI19</f>
        <v>96.496229383867927</v>
      </c>
      <c r="CH19" s="2312">
        <f>CI19</f>
        <v>96.496229383867927</v>
      </c>
      <c r="CI19" s="2313">
        <f>+R19</f>
        <v>96.496229383867927</v>
      </c>
      <c r="CJ19" s="2312">
        <f>CM19</f>
        <v>96.414028892170592</v>
      </c>
      <c r="CK19" s="2312">
        <f>CM19</f>
        <v>96.414028892170592</v>
      </c>
      <c r="CL19" s="2312">
        <f>CM19</f>
        <v>96.414028892170592</v>
      </c>
      <c r="CM19" s="2313">
        <f>+S19</f>
        <v>96.414028892170592</v>
      </c>
      <c r="CN19" s="2312">
        <f>CQ19</f>
        <v>96.364945386552762</v>
      </c>
      <c r="CO19" s="2312">
        <f>CQ19</f>
        <v>96.364945386552762</v>
      </c>
      <c r="CP19" s="2312">
        <f>CQ19</f>
        <v>96.364945386552762</v>
      </c>
      <c r="CQ19" s="2313">
        <f>+T19</f>
        <v>96.364945386552762</v>
      </c>
      <c r="CR19" s="2312">
        <f>CU19</f>
        <v>96.34773736059087</v>
      </c>
      <c r="CS19" s="2312">
        <f>CU19</f>
        <v>96.34773736059087</v>
      </c>
      <c r="CT19" s="2312">
        <f>CU19</f>
        <v>96.34773736059087</v>
      </c>
      <c r="CU19" s="2313">
        <f>+U19</f>
        <v>96.34773736059087</v>
      </c>
    </row>
    <row r="20" spans="1:100" s="1401" customFormat="1">
      <c r="A20" s="251"/>
      <c r="B20" s="871"/>
      <c r="C20" s="871"/>
      <c r="D20" s="871"/>
      <c r="E20" s="871"/>
      <c r="F20" s="871"/>
      <c r="G20" s="200"/>
      <c r="H20" s="200"/>
      <c r="I20" s="200"/>
      <c r="J20" s="200"/>
      <c r="K20" s="200"/>
      <c r="L20" s="200"/>
      <c r="M20" s="1830"/>
      <c r="N20" s="992"/>
      <c r="O20" s="992"/>
      <c r="P20" s="992"/>
      <c r="Q20" s="992"/>
      <c r="R20" s="992"/>
      <c r="S20" s="992"/>
      <c r="T20" s="992"/>
      <c r="U20" s="992"/>
      <c r="V20" s="634"/>
      <c r="X20" s="598"/>
      <c r="Y20" s="598"/>
      <c r="Z20" s="598"/>
      <c r="AA20" s="598"/>
      <c r="AB20" s="598"/>
      <c r="AC20" s="598"/>
      <c r="AD20" s="598"/>
      <c r="AE20" s="598"/>
      <c r="AF20" s="598"/>
      <c r="AG20" s="598"/>
      <c r="AH20" s="598"/>
      <c r="AI20" s="598"/>
      <c r="AJ20" s="598"/>
      <c r="AK20" s="598"/>
      <c r="AL20" s="598"/>
      <c r="AM20" s="598"/>
      <c r="AN20" s="598"/>
      <c r="AO20" s="598"/>
      <c r="AP20" s="598"/>
      <c r="AQ20" s="598"/>
      <c r="AR20" s="1011"/>
      <c r="AS20" s="598"/>
      <c r="AT20" s="598"/>
      <c r="AU20" s="598"/>
      <c r="AV20" s="598"/>
      <c r="AW20" s="598"/>
      <c r="AX20" s="598"/>
      <c r="AY20" s="598"/>
      <c r="AZ20" s="598"/>
      <c r="BA20" s="598"/>
      <c r="BB20" s="598"/>
      <c r="BC20" s="598"/>
      <c r="BD20" s="598"/>
      <c r="BE20" s="598"/>
      <c r="BF20" s="598"/>
      <c r="BG20" s="1437"/>
      <c r="BH20" s="1437"/>
      <c r="BI20" s="1437"/>
      <c r="BJ20" s="1437"/>
      <c r="BK20" s="1437"/>
      <c r="BL20" s="1437"/>
      <c r="BM20" s="1437"/>
      <c r="BN20" s="1437"/>
      <c r="BO20" s="1437"/>
      <c r="BP20" s="1012"/>
    </row>
    <row r="21" spans="1:100">
      <c r="A21" s="2025" t="s">
        <v>1491</v>
      </c>
      <c r="B21" s="226"/>
      <c r="C21" s="226"/>
      <c r="D21" s="226"/>
      <c r="E21" s="226"/>
      <c r="F21" s="226"/>
      <c r="G21" s="226"/>
      <c r="H21" s="226"/>
      <c r="I21" s="226"/>
      <c r="J21" s="226"/>
      <c r="K21" s="226"/>
      <c r="L21" s="226"/>
      <c r="M21" s="2030"/>
      <c r="N21" s="2026"/>
      <c r="O21" s="2026"/>
      <c r="P21" s="2026"/>
      <c r="Q21" s="2026"/>
      <c r="R21" s="2026"/>
      <c r="S21" s="2026"/>
      <c r="T21" s="2026"/>
      <c r="U21" s="2026"/>
      <c r="V21" s="634"/>
      <c r="X21" s="226"/>
      <c r="Y21" s="226"/>
      <c r="Z21" s="226"/>
      <c r="AA21" s="226"/>
      <c r="AB21" s="226"/>
      <c r="AC21" s="226"/>
      <c r="AD21" s="226"/>
      <c r="AE21" s="226"/>
      <c r="AF21" s="226"/>
      <c r="AG21" s="226"/>
      <c r="AH21" s="226"/>
      <c r="AI21" s="226"/>
      <c r="AJ21" s="226"/>
      <c r="AK21" s="226"/>
      <c r="AL21" s="226"/>
      <c r="AM21" s="226"/>
      <c r="AN21" s="226"/>
      <c r="AO21" s="226"/>
      <c r="AP21" s="226"/>
      <c r="AQ21" s="226"/>
      <c r="AR21" s="2029"/>
      <c r="AS21" s="226"/>
      <c r="AT21" s="226"/>
      <c r="AU21" s="226"/>
      <c r="AV21" s="226"/>
      <c r="AW21" s="226"/>
      <c r="AX21" s="226"/>
      <c r="AY21" s="226"/>
      <c r="AZ21" s="226"/>
      <c r="BA21" s="226"/>
      <c r="BB21" s="226"/>
      <c r="BC21" s="226"/>
      <c r="BD21" s="226"/>
      <c r="BE21" s="226"/>
      <c r="BF21" s="226"/>
      <c r="BG21" s="227"/>
      <c r="BH21" s="227"/>
      <c r="BI21" s="227"/>
      <c r="BJ21" s="227"/>
      <c r="BK21" s="227"/>
      <c r="BL21" s="227"/>
      <c r="BM21" s="227"/>
      <c r="BN21" s="227"/>
      <c r="BO21" s="227"/>
      <c r="BP21" s="2030"/>
      <c r="BQ21" s="226"/>
      <c r="BR21" s="226"/>
      <c r="BS21" s="226"/>
      <c r="BT21" s="226"/>
      <c r="BU21" s="226"/>
      <c r="BV21" s="226"/>
      <c r="BW21" s="226"/>
      <c r="BX21" s="226"/>
      <c r="BY21" s="226"/>
      <c r="BZ21" s="226"/>
      <c r="CA21" s="226"/>
      <c r="CB21" s="226"/>
      <c r="CC21" s="226"/>
      <c r="CD21" s="226"/>
      <c r="CE21" s="226"/>
      <c r="CF21" s="226"/>
      <c r="CG21" s="226"/>
      <c r="CH21" s="226"/>
      <c r="CI21" s="226"/>
      <c r="CJ21" s="226"/>
      <c r="CK21" s="226"/>
      <c r="CL21" s="226"/>
      <c r="CM21" s="226"/>
      <c r="CN21" s="226"/>
      <c r="CO21" s="226"/>
      <c r="CP21" s="226"/>
      <c r="CQ21" s="226"/>
      <c r="CR21" s="226"/>
      <c r="CS21" s="226"/>
      <c r="CT21" s="226"/>
      <c r="CU21" s="226"/>
      <c r="CV21" s="226"/>
    </row>
    <row r="22" spans="1:100" s="14" customFormat="1">
      <c r="A22" s="853" t="s">
        <v>187</v>
      </c>
      <c r="B22" s="840">
        <f t="shared" ref="B22:U22" si="73">SUM(B23:B24)</f>
        <v>1</v>
      </c>
      <c r="C22" s="840">
        <f t="shared" si="73"/>
        <v>1</v>
      </c>
      <c r="D22" s="840">
        <f t="shared" si="73"/>
        <v>1</v>
      </c>
      <c r="E22" s="840">
        <f t="shared" si="73"/>
        <v>1</v>
      </c>
      <c r="F22" s="840">
        <f t="shared" si="73"/>
        <v>1</v>
      </c>
      <c r="G22" s="840">
        <f t="shared" si="73"/>
        <v>1</v>
      </c>
      <c r="H22" s="840">
        <f t="shared" si="73"/>
        <v>1</v>
      </c>
      <c r="I22" s="840">
        <f t="shared" si="73"/>
        <v>1</v>
      </c>
      <c r="J22" s="840">
        <f t="shared" si="73"/>
        <v>1</v>
      </c>
      <c r="K22" s="840">
        <f t="shared" si="73"/>
        <v>1</v>
      </c>
      <c r="L22" s="840">
        <f t="shared" si="73"/>
        <v>1</v>
      </c>
      <c r="M22" s="2051">
        <f t="shared" ref="M22" si="74">SUM(M23:M24)</f>
        <v>1</v>
      </c>
      <c r="N22" s="700">
        <f t="shared" si="73"/>
        <v>1</v>
      </c>
      <c r="O22" s="700">
        <f t="shared" si="73"/>
        <v>1</v>
      </c>
      <c r="P22" s="700">
        <f t="shared" si="73"/>
        <v>1</v>
      </c>
      <c r="Q22" s="700">
        <f t="shared" si="73"/>
        <v>1</v>
      </c>
      <c r="R22" s="700">
        <f t="shared" si="73"/>
        <v>1</v>
      </c>
      <c r="S22" s="700">
        <f t="shared" si="73"/>
        <v>1</v>
      </c>
      <c r="T22" s="700">
        <f t="shared" si="73"/>
        <v>1</v>
      </c>
      <c r="U22" s="700">
        <f t="shared" si="73"/>
        <v>1</v>
      </c>
      <c r="V22" s="701"/>
      <c r="X22" s="1027">
        <f t="shared" ref="X22:BK22" si="75">SUM(X23:X24)</f>
        <v>0</v>
      </c>
      <c r="Y22" s="1027">
        <f t="shared" si="75"/>
        <v>0</v>
      </c>
      <c r="Z22" s="1027">
        <f t="shared" si="75"/>
        <v>0</v>
      </c>
      <c r="AA22" s="1027">
        <f t="shared" si="75"/>
        <v>0</v>
      </c>
      <c r="AB22" s="1027">
        <f t="shared" si="75"/>
        <v>0</v>
      </c>
      <c r="AC22" s="1027">
        <f t="shared" si="75"/>
        <v>0</v>
      </c>
      <c r="AD22" s="1027">
        <f t="shared" si="75"/>
        <v>0</v>
      </c>
      <c r="AE22" s="1027">
        <f t="shared" si="75"/>
        <v>0</v>
      </c>
      <c r="AF22" s="1027">
        <f t="shared" si="75"/>
        <v>0</v>
      </c>
      <c r="AG22" s="1027">
        <f t="shared" si="75"/>
        <v>0</v>
      </c>
      <c r="AH22" s="1027">
        <f t="shared" si="75"/>
        <v>0</v>
      </c>
      <c r="AI22" s="1027">
        <f t="shared" si="75"/>
        <v>0</v>
      </c>
      <c r="AJ22" s="1027">
        <f t="shared" si="75"/>
        <v>0</v>
      </c>
      <c r="AK22" s="1027">
        <f t="shared" si="75"/>
        <v>1</v>
      </c>
      <c r="AL22" s="1027">
        <f t="shared" si="75"/>
        <v>0</v>
      </c>
      <c r="AM22" s="1027">
        <f t="shared" si="75"/>
        <v>0</v>
      </c>
      <c r="AN22" s="1027">
        <f t="shared" si="75"/>
        <v>0</v>
      </c>
      <c r="AO22" s="1027">
        <f t="shared" si="75"/>
        <v>1</v>
      </c>
      <c r="AP22" s="1027">
        <f t="shared" si="75"/>
        <v>0</v>
      </c>
      <c r="AQ22" s="1027">
        <f t="shared" si="75"/>
        <v>0</v>
      </c>
      <c r="AR22" s="1027">
        <f t="shared" si="75"/>
        <v>0</v>
      </c>
      <c r="AS22" s="1027">
        <f t="shared" si="75"/>
        <v>0</v>
      </c>
      <c r="AT22" s="1027">
        <f t="shared" si="75"/>
        <v>0</v>
      </c>
      <c r="AU22" s="1027">
        <f t="shared" si="75"/>
        <v>1</v>
      </c>
      <c r="AV22" s="1027">
        <f t="shared" si="75"/>
        <v>1</v>
      </c>
      <c r="AW22" s="1027">
        <f t="shared" si="75"/>
        <v>1</v>
      </c>
      <c r="AX22" s="1027">
        <f t="shared" si="75"/>
        <v>0.99999999999999956</v>
      </c>
      <c r="AY22" s="1027">
        <f t="shared" si="75"/>
        <v>1</v>
      </c>
      <c r="AZ22" s="1027">
        <f t="shared" si="75"/>
        <v>1</v>
      </c>
      <c r="BA22" s="1027">
        <f t="shared" si="75"/>
        <v>1</v>
      </c>
      <c r="BB22" s="1027">
        <f t="shared" si="75"/>
        <v>1</v>
      </c>
      <c r="BC22" s="1027">
        <f t="shared" si="75"/>
        <v>1</v>
      </c>
      <c r="BD22" s="1027">
        <f t="shared" si="75"/>
        <v>1</v>
      </c>
      <c r="BE22" s="1027">
        <f t="shared" si="75"/>
        <v>1</v>
      </c>
      <c r="BF22" s="1027">
        <f t="shared" si="75"/>
        <v>1</v>
      </c>
      <c r="BG22" s="1438">
        <f t="shared" si="75"/>
        <v>1</v>
      </c>
      <c r="BH22" s="1438">
        <f t="shared" si="75"/>
        <v>1</v>
      </c>
      <c r="BI22" s="1438">
        <f t="shared" si="75"/>
        <v>1</v>
      </c>
      <c r="BJ22" s="1438">
        <f t="shared" si="75"/>
        <v>1</v>
      </c>
      <c r="BK22" s="1438">
        <f t="shared" si="75"/>
        <v>1</v>
      </c>
      <c r="BL22" s="1438">
        <f t="shared" ref="BL22:BM22" si="76">SUM(BL23:BL24)</f>
        <v>1</v>
      </c>
      <c r="BM22" s="1438">
        <f t="shared" si="76"/>
        <v>1</v>
      </c>
      <c r="BN22" s="1438">
        <f t="shared" ref="BN22:BO22" si="77">SUM(BN23:BN24)</f>
        <v>1</v>
      </c>
      <c r="BO22" s="1438">
        <f t="shared" si="77"/>
        <v>1</v>
      </c>
      <c r="BP22" s="1023">
        <f t="shared" ref="BP22" si="78">SUM(BP23:BP24)</f>
        <v>1</v>
      </c>
    </row>
    <row r="23" spans="1:100">
      <c r="A23" s="157" t="s">
        <v>54</v>
      </c>
      <c r="B23" s="336">
        <f t="shared" ref="B23:G23" si="79">B35/B$16</f>
        <v>0.4276852678359338</v>
      </c>
      <c r="C23" s="336">
        <f t="shared" si="79"/>
        <v>0.50519321281368457</v>
      </c>
      <c r="D23" s="336">
        <f t="shared" si="79"/>
        <v>0.40447370691386925</v>
      </c>
      <c r="E23" s="336">
        <f t="shared" si="79"/>
        <v>0.28880521854426672</v>
      </c>
      <c r="F23" s="336">
        <f t="shared" si="79"/>
        <v>0.44983986789117447</v>
      </c>
      <c r="G23" s="336">
        <f t="shared" si="79"/>
        <v>0.49178107921508046</v>
      </c>
      <c r="H23" s="336">
        <f>'Annual historicals'!M25</f>
        <v>0.56000000000000005</v>
      </c>
      <c r="I23" s="336">
        <f>'Annual historicals'!N25</f>
        <v>0.56999999999999995</v>
      </c>
      <c r="J23" s="336">
        <f>'Annual historicals'!O25</f>
        <v>0.48</v>
      </c>
      <c r="K23" s="336">
        <f>'Annual historicals'!P25</f>
        <v>0.49</v>
      </c>
      <c r="L23" s="336">
        <f>'Annual historicals'!Q25</f>
        <v>0.5</v>
      </c>
      <c r="M23" s="365">
        <f>'Annual historicals'!R25</f>
        <v>0.63</v>
      </c>
      <c r="N23" s="1657">
        <f>+Inputs!P87</f>
        <v>0.49</v>
      </c>
      <c r="O23" s="1657">
        <f>+Inputs!Q87</f>
        <v>0.49</v>
      </c>
      <c r="P23" s="1657">
        <f>+Inputs!R87</f>
        <v>0.49</v>
      </c>
      <c r="Q23" s="1657">
        <f>+Inputs!S87</f>
        <v>0.49</v>
      </c>
      <c r="R23" s="1657">
        <f>+Inputs!T87</f>
        <v>0.49</v>
      </c>
      <c r="S23" s="1657">
        <f>+Inputs!U87</f>
        <v>0.49</v>
      </c>
      <c r="T23" s="1657">
        <f>+Inputs!V87</f>
        <v>0.49</v>
      </c>
      <c r="U23" s="1657">
        <f>+Inputs!W87</f>
        <v>0.49</v>
      </c>
      <c r="V23" s="622"/>
      <c r="X23" s="1026" t="str">
        <f>'Quarterly historicals'!B42</f>
        <v>ND</v>
      </c>
      <c r="Y23" s="1026" t="str">
        <f>'Quarterly historicals'!C42</f>
        <v>ND</v>
      </c>
      <c r="Z23" s="1026" t="str">
        <f>'Quarterly historicals'!D42</f>
        <v>ND</v>
      </c>
      <c r="AA23" s="1026" t="str">
        <f>'Quarterly historicals'!E42</f>
        <v>ND</v>
      </c>
      <c r="AB23" s="1026" t="str">
        <f>'Quarterly historicals'!F42</f>
        <v>ND</v>
      </c>
      <c r="AC23" s="1026" t="str">
        <f>'Quarterly historicals'!G42</f>
        <v>ND</v>
      </c>
      <c r="AD23" s="1026" t="str">
        <f>'Quarterly historicals'!H42</f>
        <v>ND</v>
      </c>
      <c r="AE23" s="1026" t="str">
        <f>'Quarterly historicals'!I42</f>
        <v>ND</v>
      </c>
      <c r="AF23" s="1026" t="str">
        <f>'Quarterly historicals'!J42</f>
        <v>ND</v>
      </c>
      <c r="AG23" s="1026" t="str">
        <f>'Quarterly historicals'!K42</f>
        <v>ND</v>
      </c>
      <c r="AH23" s="1026" t="str">
        <f>'Quarterly historicals'!L42</f>
        <v>ND</v>
      </c>
      <c r="AI23" s="1026" t="str">
        <f>'Quarterly historicals'!M42</f>
        <v>ND</v>
      </c>
      <c r="AJ23" s="1026" t="str">
        <f>'Quarterly historicals'!N42</f>
        <v>ND</v>
      </c>
      <c r="AK23" s="1026">
        <f>'Quarterly historicals'!O42</f>
        <v>0.42</v>
      </c>
      <c r="AL23" s="1026" t="str">
        <f>'Quarterly historicals'!P42</f>
        <v>ND</v>
      </c>
      <c r="AM23" s="1026" t="str">
        <f>'Quarterly historicals'!Q42</f>
        <v>ND</v>
      </c>
      <c r="AN23" s="1026" t="str">
        <f>'Quarterly historicals'!R42</f>
        <v>ND</v>
      </c>
      <c r="AO23" s="1026">
        <f>'Quarterly historicals'!S42</f>
        <v>0.47</v>
      </c>
      <c r="AP23" s="1026" t="str">
        <f>'Quarterly historicals'!T42</f>
        <v>ND</v>
      </c>
      <c r="AQ23" s="1026" t="str">
        <f>'Quarterly historicals'!U42</f>
        <v>ND</v>
      </c>
      <c r="AR23" s="1026" t="str">
        <f>'Quarterly historicals'!V42</f>
        <v>ND</v>
      </c>
      <c r="AS23" s="1026" t="str">
        <f>'Quarterly historicals'!W42</f>
        <v>ND</v>
      </c>
      <c r="AT23" s="1026" t="str">
        <f>'Quarterly historicals'!X42</f>
        <v>ND</v>
      </c>
      <c r="AU23" s="1026">
        <f>'Quarterly historicals'!Y42</f>
        <v>0.56000000000000005</v>
      </c>
      <c r="AV23" s="1026">
        <f>'Quarterly historicals'!Z42</f>
        <v>0.56000000000000005</v>
      </c>
      <c r="AW23" s="1026">
        <f>'Quarterly historicals'!AA42</f>
        <v>0.56000000000000005</v>
      </c>
      <c r="AX23" s="1026">
        <f>'Quarterly historicals'!AB42</f>
        <v>0.59196078431372512</v>
      </c>
      <c r="AY23" s="1026">
        <f>'Quarterly historicals'!AC42</f>
        <v>0.56999999999999995</v>
      </c>
      <c r="AZ23" s="1026">
        <f>'Quarterly historicals'!AD42</f>
        <v>0.47</v>
      </c>
      <c r="BA23" s="1026">
        <f>'Quarterly historicals'!AE42</f>
        <v>0.52370370370370367</v>
      </c>
      <c r="BB23" s="1026">
        <f>'Quarterly historicals'!AF42</f>
        <v>0.42103512014787425</v>
      </c>
      <c r="BC23" s="1026">
        <f>'Quarterly historicals'!AG42</f>
        <v>0.48</v>
      </c>
      <c r="BD23" s="1026">
        <f>'Quarterly historicals'!AH42</f>
        <v>0.47</v>
      </c>
      <c r="BE23" s="1026">
        <f>'Quarterly historicals'!AI42</f>
        <v>0.48647149460708788</v>
      </c>
      <c r="BF23" s="1026">
        <f>'Quarterly historicals'!AJ42</f>
        <v>0.53175781249999998</v>
      </c>
      <c r="BG23" s="1439">
        <f>'Quarterly historicals'!AK42</f>
        <v>0.49</v>
      </c>
      <c r="BH23" s="1439">
        <f>'Quarterly historicals'!AL42</f>
        <v>0.51</v>
      </c>
      <c r="BI23" s="1439">
        <f>'Quarterly historicals'!AM42</f>
        <v>0.51</v>
      </c>
      <c r="BJ23" s="1439">
        <f>'Quarterly historicals'!AN42</f>
        <v>0.5</v>
      </c>
      <c r="BK23" s="1439">
        <f>'Quarterly historicals'!AO42</f>
        <v>0.5</v>
      </c>
      <c r="BL23" s="1439">
        <f>'Quarterly historicals'!AP42</f>
        <v>0.5</v>
      </c>
      <c r="BM23" s="1439">
        <f>'Quarterly historicals'!AQ42</f>
        <v>0.54</v>
      </c>
      <c r="BN23" s="1439">
        <f>'Quarterly historicals'!AR42</f>
        <v>0.54</v>
      </c>
      <c r="BO23" s="1439">
        <f>'Quarterly historicals'!AS42</f>
        <v>0.54</v>
      </c>
      <c r="BP23" s="1024">
        <f>'Quarterly historicals'!AT42</f>
        <v>0.48</v>
      </c>
    </row>
    <row r="24" spans="1:100">
      <c r="A24" s="157" t="s">
        <v>42</v>
      </c>
      <c r="B24" s="336">
        <f t="shared" ref="B24:G24" si="80">B38/B$16</f>
        <v>0.57231473216406625</v>
      </c>
      <c r="C24" s="336">
        <f t="shared" si="80"/>
        <v>0.49480678718631554</v>
      </c>
      <c r="D24" s="336">
        <f t="shared" si="80"/>
        <v>0.5955262930861307</v>
      </c>
      <c r="E24" s="336">
        <f t="shared" si="80"/>
        <v>0.71119478145573334</v>
      </c>
      <c r="F24" s="336">
        <f t="shared" si="80"/>
        <v>0.55016013210882564</v>
      </c>
      <c r="G24" s="336">
        <f t="shared" si="80"/>
        <v>0.50821892078491948</v>
      </c>
      <c r="H24" s="336">
        <f>'Annual historicals'!M26</f>
        <v>0.44</v>
      </c>
      <c r="I24" s="336">
        <f>'Annual historicals'!N26</f>
        <v>0.43</v>
      </c>
      <c r="J24" s="336">
        <f>'Annual historicals'!O26</f>
        <v>0.52</v>
      </c>
      <c r="K24" s="336">
        <f>'Annual historicals'!P26</f>
        <v>0.51</v>
      </c>
      <c r="L24" s="336">
        <f>'Annual historicals'!Q26</f>
        <v>0.5</v>
      </c>
      <c r="M24" s="365">
        <f>'Annual historicals'!R26</f>
        <v>0.37</v>
      </c>
      <c r="N24" s="1657">
        <f>+Inputs!P88</f>
        <v>0.51</v>
      </c>
      <c r="O24" s="1657">
        <f>+Inputs!Q88</f>
        <v>0.51</v>
      </c>
      <c r="P24" s="1657">
        <f>+Inputs!R88</f>
        <v>0.51</v>
      </c>
      <c r="Q24" s="1657">
        <f>+Inputs!S88</f>
        <v>0.51</v>
      </c>
      <c r="R24" s="1657">
        <f>+Inputs!T88</f>
        <v>0.51</v>
      </c>
      <c r="S24" s="1657">
        <f>+Inputs!U88</f>
        <v>0.51</v>
      </c>
      <c r="T24" s="1657">
        <f>+Inputs!V88</f>
        <v>0.51</v>
      </c>
      <c r="U24" s="1657">
        <f>+Inputs!W88</f>
        <v>0.51</v>
      </c>
      <c r="V24" s="622"/>
      <c r="X24" s="1026" t="str">
        <f>'Quarterly historicals'!B43</f>
        <v>ND</v>
      </c>
      <c r="Y24" s="1026" t="str">
        <f>'Quarterly historicals'!C43</f>
        <v>ND</v>
      </c>
      <c r="Z24" s="1026" t="str">
        <f>'Quarterly historicals'!D43</f>
        <v>ND</v>
      </c>
      <c r="AA24" s="1026" t="str">
        <f>'Quarterly historicals'!E43</f>
        <v>ND</v>
      </c>
      <c r="AB24" s="1026" t="str">
        <f>'Quarterly historicals'!F43</f>
        <v>ND</v>
      </c>
      <c r="AC24" s="1026" t="str">
        <f>'Quarterly historicals'!G43</f>
        <v>ND</v>
      </c>
      <c r="AD24" s="1026" t="str">
        <f>'Quarterly historicals'!H43</f>
        <v>ND</v>
      </c>
      <c r="AE24" s="1026" t="str">
        <f>'Quarterly historicals'!I43</f>
        <v>ND</v>
      </c>
      <c r="AF24" s="1026" t="str">
        <f>'Quarterly historicals'!J43</f>
        <v>ND</v>
      </c>
      <c r="AG24" s="1026" t="str">
        <f>'Quarterly historicals'!K43</f>
        <v>ND</v>
      </c>
      <c r="AH24" s="1026" t="str">
        <f>'Quarterly historicals'!L43</f>
        <v>ND</v>
      </c>
      <c r="AI24" s="1026" t="str">
        <f>'Quarterly historicals'!M43</f>
        <v>ND</v>
      </c>
      <c r="AJ24" s="1026" t="str">
        <f>'Quarterly historicals'!N43</f>
        <v>ND</v>
      </c>
      <c r="AK24" s="1026">
        <f>'Quarterly historicals'!O43</f>
        <v>0.57999999999999996</v>
      </c>
      <c r="AL24" s="1026" t="str">
        <f>'Quarterly historicals'!P43</f>
        <v>ND</v>
      </c>
      <c r="AM24" s="1026" t="str">
        <f>'Quarterly historicals'!Q43</f>
        <v>ND</v>
      </c>
      <c r="AN24" s="1026" t="str">
        <f>'Quarterly historicals'!R43</f>
        <v>ND</v>
      </c>
      <c r="AO24" s="1026">
        <f>'Quarterly historicals'!S43</f>
        <v>0.53</v>
      </c>
      <c r="AP24" s="1026" t="str">
        <f>'Quarterly historicals'!T43</f>
        <v>ND</v>
      </c>
      <c r="AQ24" s="1026" t="str">
        <f>'Quarterly historicals'!U43</f>
        <v>ND</v>
      </c>
      <c r="AR24" s="1026" t="str">
        <f>'Quarterly historicals'!V43</f>
        <v>ND</v>
      </c>
      <c r="AS24" s="1026" t="str">
        <f>'Quarterly historicals'!W43</f>
        <v>ND</v>
      </c>
      <c r="AT24" s="1026" t="str">
        <f>'Quarterly historicals'!X43</f>
        <v>ND</v>
      </c>
      <c r="AU24" s="1026">
        <f>'Quarterly historicals'!Y43</f>
        <v>0.44</v>
      </c>
      <c r="AV24" s="1026">
        <f>'Quarterly historicals'!Z43</f>
        <v>0.44</v>
      </c>
      <c r="AW24" s="1026">
        <f>'Quarterly historicals'!AA43</f>
        <v>0.44</v>
      </c>
      <c r="AX24" s="1026">
        <f>'Quarterly historicals'!AB43</f>
        <v>0.40803921568627444</v>
      </c>
      <c r="AY24" s="1026">
        <f>'Quarterly historicals'!AC43</f>
        <v>0.43</v>
      </c>
      <c r="AZ24" s="1026">
        <f>'Quarterly historicals'!AD43</f>
        <v>0.53</v>
      </c>
      <c r="BA24" s="1026">
        <f>'Quarterly historicals'!AE43</f>
        <v>0.47629629629629627</v>
      </c>
      <c r="BB24" s="1026">
        <f>'Quarterly historicals'!AF43</f>
        <v>0.57896487985212575</v>
      </c>
      <c r="BC24" s="1026">
        <f>'Quarterly historicals'!AG43</f>
        <v>0.52</v>
      </c>
      <c r="BD24" s="1026">
        <f>'Quarterly historicals'!AH43</f>
        <v>0.53</v>
      </c>
      <c r="BE24" s="1026">
        <f>'Quarterly historicals'!AI43</f>
        <v>0.51352850539291217</v>
      </c>
      <c r="BF24" s="1026">
        <f>'Quarterly historicals'!AJ43</f>
        <v>0.46824218750000002</v>
      </c>
      <c r="BG24" s="1439">
        <f>'Quarterly historicals'!AK43</f>
        <v>0.51</v>
      </c>
      <c r="BH24" s="1439">
        <f>'Quarterly historicals'!AL43</f>
        <v>0.49</v>
      </c>
      <c r="BI24" s="1439">
        <f>'Quarterly historicals'!AM43</f>
        <v>0.49</v>
      </c>
      <c r="BJ24" s="1439">
        <f>'Quarterly historicals'!AN43</f>
        <v>0.5</v>
      </c>
      <c r="BK24" s="1439">
        <f>'Quarterly historicals'!AO43</f>
        <v>0.5</v>
      </c>
      <c r="BL24" s="1439">
        <f>'Quarterly historicals'!AP43</f>
        <v>0.5</v>
      </c>
      <c r="BM24" s="1439">
        <f>'Quarterly historicals'!AQ43</f>
        <v>0.46</v>
      </c>
      <c r="BN24" s="1439">
        <f>'Quarterly historicals'!AR43</f>
        <v>0.46</v>
      </c>
      <c r="BO24" s="1439">
        <f>'Quarterly historicals'!AS43</f>
        <v>0.46</v>
      </c>
      <c r="BP24" s="1024">
        <f>'Quarterly historicals'!AT43</f>
        <v>0.52</v>
      </c>
    </row>
    <row r="25" spans="1:100" s="14" customFormat="1">
      <c r="A25" s="853" t="s">
        <v>54</v>
      </c>
      <c r="B25" s="840">
        <f t="shared" ref="B25:U25" si="81">SUM(B26:B27)</f>
        <v>1</v>
      </c>
      <c r="C25" s="840">
        <f t="shared" si="81"/>
        <v>1</v>
      </c>
      <c r="D25" s="840">
        <f t="shared" si="81"/>
        <v>1</v>
      </c>
      <c r="E25" s="840">
        <f t="shared" si="81"/>
        <v>1</v>
      </c>
      <c r="F25" s="840">
        <f t="shared" si="81"/>
        <v>1</v>
      </c>
      <c r="G25" s="840">
        <f t="shared" si="81"/>
        <v>1</v>
      </c>
      <c r="H25" s="840">
        <f t="shared" si="81"/>
        <v>1</v>
      </c>
      <c r="I25" s="840">
        <f t="shared" si="81"/>
        <v>1</v>
      </c>
      <c r="J25" s="840">
        <f t="shared" si="81"/>
        <v>1</v>
      </c>
      <c r="K25" s="840">
        <f t="shared" si="81"/>
        <v>1</v>
      </c>
      <c r="L25" s="840">
        <f t="shared" si="81"/>
        <v>1</v>
      </c>
      <c r="M25" s="2051">
        <f t="shared" ref="M25" si="82">SUM(M26:M27)</f>
        <v>1</v>
      </c>
      <c r="N25" s="700">
        <f t="shared" si="81"/>
        <v>1</v>
      </c>
      <c r="O25" s="700">
        <f t="shared" si="81"/>
        <v>1</v>
      </c>
      <c r="P25" s="700">
        <f t="shared" si="81"/>
        <v>1</v>
      </c>
      <c r="Q25" s="700">
        <f t="shared" si="81"/>
        <v>1</v>
      </c>
      <c r="R25" s="700">
        <f t="shared" si="81"/>
        <v>1</v>
      </c>
      <c r="S25" s="700">
        <f t="shared" si="81"/>
        <v>1</v>
      </c>
      <c r="T25" s="700">
        <f t="shared" si="81"/>
        <v>1</v>
      </c>
      <c r="U25" s="700">
        <f t="shared" si="81"/>
        <v>1</v>
      </c>
      <c r="V25" s="701"/>
      <c r="X25" s="1027">
        <f t="shared" ref="X25:BK25" si="83">SUM(X26:X27)</f>
        <v>1</v>
      </c>
      <c r="Y25" s="1027">
        <f t="shared" si="83"/>
        <v>1</v>
      </c>
      <c r="Z25" s="1027">
        <f t="shared" si="83"/>
        <v>1</v>
      </c>
      <c r="AA25" s="1027">
        <f t="shared" si="83"/>
        <v>0.99999999999999989</v>
      </c>
      <c r="AB25" s="1027">
        <f t="shared" si="83"/>
        <v>1</v>
      </c>
      <c r="AC25" s="1027">
        <f t="shared" si="83"/>
        <v>1</v>
      </c>
      <c r="AD25" s="1027">
        <f t="shared" si="83"/>
        <v>1</v>
      </c>
      <c r="AE25" s="1027">
        <f t="shared" si="83"/>
        <v>1</v>
      </c>
      <c r="AF25" s="1027">
        <f t="shared" si="83"/>
        <v>1</v>
      </c>
      <c r="AG25" s="1027">
        <f t="shared" si="83"/>
        <v>1</v>
      </c>
      <c r="AH25" s="1027">
        <f t="shared" si="83"/>
        <v>1</v>
      </c>
      <c r="AI25" s="1027">
        <f t="shared" si="83"/>
        <v>1</v>
      </c>
      <c r="AJ25" s="1027">
        <f t="shared" si="83"/>
        <v>1</v>
      </c>
      <c r="AK25" s="1027">
        <f t="shared" si="83"/>
        <v>1</v>
      </c>
      <c r="AL25" s="1027">
        <f t="shared" si="83"/>
        <v>1</v>
      </c>
      <c r="AM25" s="1027">
        <f t="shared" si="83"/>
        <v>1</v>
      </c>
      <c r="AN25" s="1027">
        <f t="shared" si="83"/>
        <v>1</v>
      </c>
      <c r="AO25" s="1027">
        <f t="shared" si="83"/>
        <v>1</v>
      </c>
      <c r="AP25" s="1027">
        <f t="shared" si="83"/>
        <v>1</v>
      </c>
      <c r="AQ25" s="1027">
        <f t="shared" si="83"/>
        <v>1</v>
      </c>
      <c r="AR25" s="1027">
        <f t="shared" si="83"/>
        <v>1</v>
      </c>
      <c r="AS25" s="1027">
        <f t="shared" si="83"/>
        <v>1</v>
      </c>
      <c r="AT25" s="1027">
        <f t="shared" si="83"/>
        <v>1</v>
      </c>
      <c r="AU25" s="1027">
        <f t="shared" si="83"/>
        <v>1</v>
      </c>
      <c r="AV25" s="1027">
        <f t="shared" si="83"/>
        <v>1</v>
      </c>
      <c r="AW25" s="1027">
        <f t="shared" si="83"/>
        <v>1</v>
      </c>
      <c r="AX25" s="1027">
        <f t="shared" si="83"/>
        <v>1</v>
      </c>
      <c r="AY25" s="1027">
        <f t="shared" si="83"/>
        <v>1</v>
      </c>
      <c r="AZ25" s="1027">
        <f t="shared" si="83"/>
        <v>1</v>
      </c>
      <c r="BA25" s="1027">
        <f t="shared" si="83"/>
        <v>1</v>
      </c>
      <c r="BB25" s="1027">
        <f t="shared" si="83"/>
        <v>1</v>
      </c>
      <c r="BC25" s="1027">
        <f t="shared" si="83"/>
        <v>1</v>
      </c>
      <c r="BD25" s="1027">
        <f t="shared" si="83"/>
        <v>1</v>
      </c>
      <c r="BE25" s="1027">
        <f t="shared" si="83"/>
        <v>1</v>
      </c>
      <c r="BF25" s="1027">
        <f t="shared" si="83"/>
        <v>1</v>
      </c>
      <c r="BG25" s="1438">
        <f t="shared" si="83"/>
        <v>0.99999999999999989</v>
      </c>
      <c r="BH25" s="1438">
        <f t="shared" si="83"/>
        <v>1</v>
      </c>
      <c r="BI25" s="1438">
        <f t="shared" si="83"/>
        <v>1</v>
      </c>
      <c r="BJ25" s="1438">
        <f t="shared" si="83"/>
        <v>1</v>
      </c>
      <c r="BK25" s="1438">
        <f t="shared" si="83"/>
        <v>1</v>
      </c>
      <c r="BL25" s="1438">
        <f t="shared" ref="BL25:BM25" si="84">SUM(BL26:BL27)</f>
        <v>1</v>
      </c>
      <c r="BM25" s="1438">
        <f t="shared" si="84"/>
        <v>1</v>
      </c>
      <c r="BN25" s="1438">
        <f t="shared" ref="BN25:BO25" si="85">SUM(BN26:BN27)</f>
        <v>1</v>
      </c>
      <c r="BO25" s="1438">
        <f t="shared" si="85"/>
        <v>0.99999999999999989</v>
      </c>
      <c r="BP25" s="1023">
        <f t="shared" ref="BP25" si="86">SUM(BP26:BP27)</f>
        <v>1</v>
      </c>
    </row>
    <row r="26" spans="1:100">
      <c r="A26" s="157" t="s">
        <v>188</v>
      </c>
      <c r="B26" s="336">
        <f t="shared" ref="B26:L26" si="87">B36/B$35</f>
        <v>0.33033475300523807</v>
      </c>
      <c r="C26" s="336">
        <f t="shared" si="87"/>
        <v>0.29209382830317437</v>
      </c>
      <c r="D26" s="336">
        <f t="shared" si="87"/>
        <v>0.33139055176760629</v>
      </c>
      <c r="E26" s="336">
        <f t="shared" si="87"/>
        <v>0.11292200267474503</v>
      </c>
      <c r="F26" s="336">
        <f t="shared" si="87"/>
        <v>7.6256089974357191E-2</v>
      </c>
      <c r="G26" s="336">
        <f t="shared" si="87"/>
        <v>6.7940644633955563E-2</v>
      </c>
      <c r="H26" s="336">
        <f t="shared" si="87"/>
        <v>7.4282052734512355E-2</v>
      </c>
      <c r="I26" s="336">
        <f t="shared" si="87"/>
        <v>6.8787454338816209E-2</v>
      </c>
      <c r="J26" s="336">
        <f t="shared" si="87"/>
        <v>7.149252370141862E-2</v>
      </c>
      <c r="K26" s="336">
        <f t="shared" si="87"/>
        <v>8.2794872356302215E-2</v>
      </c>
      <c r="L26" s="336">
        <f t="shared" si="87"/>
        <v>8.1064238321526774E-2</v>
      </c>
      <c r="M26" s="365">
        <f t="shared" ref="M26" si="88">M36/M$35</f>
        <v>0.10519530674635287</v>
      </c>
      <c r="N26" s="1657">
        <f>+Inputs!P90</f>
        <v>8.9684805808060486E-2</v>
      </c>
      <c r="O26" s="1657">
        <f>+Inputs!Q90</f>
        <v>8.9684805808060486E-2</v>
      </c>
      <c r="P26" s="1657">
        <f>+Inputs!R90</f>
        <v>8.9684805808060486E-2</v>
      </c>
      <c r="Q26" s="1657">
        <f>+Inputs!S90</f>
        <v>8.9684805808060486E-2</v>
      </c>
      <c r="R26" s="1657">
        <f>+Inputs!T90</f>
        <v>8.9684805808060486E-2</v>
      </c>
      <c r="S26" s="1657">
        <f>+Inputs!U90</f>
        <v>8.9684805808060486E-2</v>
      </c>
      <c r="T26" s="1657">
        <f>+Inputs!V90</f>
        <v>8.9684805808060486E-2</v>
      </c>
      <c r="U26" s="1657">
        <f>+Inputs!W90</f>
        <v>8.9684805808060486E-2</v>
      </c>
      <c r="V26" s="622"/>
      <c r="X26" s="826">
        <f t="shared" ref="X26:BK26" si="89">X36/X$35</f>
        <v>0.34167769428630929</v>
      </c>
      <c r="Y26" s="826">
        <f t="shared" si="89"/>
        <v>0.31189117496336793</v>
      </c>
      <c r="Z26" s="826">
        <f t="shared" si="89"/>
        <v>0.32088880134472458</v>
      </c>
      <c r="AA26" s="826">
        <f t="shared" si="89"/>
        <v>0.21238248624769118</v>
      </c>
      <c r="AB26" s="826">
        <f t="shared" si="89"/>
        <v>0.26599245146438361</v>
      </c>
      <c r="AC26" s="826">
        <f t="shared" si="89"/>
        <v>0.26427105883731328</v>
      </c>
      <c r="AD26" s="826">
        <f t="shared" si="89"/>
        <v>0.52621472627400412</v>
      </c>
      <c r="AE26" s="826">
        <f t="shared" si="89"/>
        <v>0.33668099305714388</v>
      </c>
      <c r="AF26" s="826">
        <f t="shared" si="89"/>
        <v>0.11167071311784255</v>
      </c>
      <c r="AG26" s="826">
        <f t="shared" si="89"/>
        <v>0.15082477686090559</v>
      </c>
      <c r="AH26" s="826">
        <f t="shared" si="89"/>
        <v>0.10108320634582112</v>
      </c>
      <c r="AI26" s="826">
        <f t="shared" si="89"/>
        <v>9.411476308475894E-2</v>
      </c>
      <c r="AJ26" s="826">
        <f t="shared" si="89"/>
        <v>0.11131359420278268</v>
      </c>
      <c r="AK26" s="826">
        <f t="shared" si="89"/>
        <v>6.3779776189576518E-2</v>
      </c>
      <c r="AL26" s="826">
        <f t="shared" si="89"/>
        <v>7.2439274465650461E-2</v>
      </c>
      <c r="AM26" s="826">
        <f t="shared" si="89"/>
        <v>6.5375290350972171E-2</v>
      </c>
      <c r="AN26" s="826">
        <f t="shared" si="89"/>
        <v>5.8611666908304869E-2</v>
      </c>
      <c r="AO26" s="826">
        <f t="shared" si="89"/>
        <v>4.9819106266495612E-2</v>
      </c>
      <c r="AP26" s="826">
        <f t="shared" si="89"/>
        <v>5.496672679308387E-2</v>
      </c>
      <c r="AQ26" s="826">
        <f t="shared" si="89"/>
        <v>0.15072354741674815</v>
      </c>
      <c r="AR26" s="826">
        <f t="shared" si="89"/>
        <v>5.7189391473051396E-2</v>
      </c>
      <c r="AS26" s="826">
        <f t="shared" si="89"/>
        <v>4.6564256445848128E-2</v>
      </c>
      <c r="AT26" s="826">
        <f t="shared" si="89"/>
        <v>9.6814715235893703E-2</v>
      </c>
      <c r="AU26" s="826">
        <f t="shared" si="89"/>
        <v>0.14218513532101346</v>
      </c>
      <c r="AV26" s="826">
        <f t="shared" si="89"/>
        <v>7.9705407979513712E-2</v>
      </c>
      <c r="AW26" s="826">
        <f t="shared" si="89"/>
        <v>4.0716450276331778E-2</v>
      </c>
      <c r="AX26" s="826">
        <f t="shared" si="89"/>
        <v>0.11253325849170326</v>
      </c>
      <c r="AY26" s="826">
        <f t="shared" si="89"/>
        <v>7.8768488283433302E-2</v>
      </c>
      <c r="AZ26" s="826">
        <f t="shared" si="89"/>
        <v>6.0976863339602241E-2</v>
      </c>
      <c r="BA26" s="826">
        <f t="shared" si="89"/>
        <v>5.4067445379184835E-2</v>
      </c>
      <c r="BB26" s="826">
        <f t="shared" si="89"/>
        <v>9.1388460740609009E-2</v>
      </c>
      <c r="BC26" s="826">
        <f t="shared" si="89"/>
        <v>9.2340899483742314E-2</v>
      </c>
      <c r="BD26" s="826">
        <f t="shared" si="89"/>
        <v>8.4962790933295437E-2</v>
      </c>
      <c r="BE26" s="826">
        <f t="shared" si="89"/>
        <v>7.4362500570084741E-2</v>
      </c>
      <c r="BF26" s="826">
        <f t="shared" si="89"/>
        <v>8.8707461110716673E-2</v>
      </c>
      <c r="BG26" s="968">
        <f t="shared" si="89"/>
        <v>8.2924680623857966E-2</v>
      </c>
      <c r="BH26" s="968">
        <f t="shared" si="89"/>
        <v>0.12568653676925159</v>
      </c>
      <c r="BI26" s="968">
        <f t="shared" si="89"/>
        <v>8.4807671361696257E-2</v>
      </c>
      <c r="BJ26" s="968">
        <f t="shared" si="89"/>
        <v>6.5639836983182279E-2</v>
      </c>
      <c r="BK26" s="968">
        <f t="shared" si="89"/>
        <v>6.8374127132068238E-2</v>
      </c>
      <c r="BL26" s="968">
        <f t="shared" ref="BL26:BM26" si="90">BL36/BL$35</f>
        <v>7.3502631212249495E-2</v>
      </c>
      <c r="BM26" s="968">
        <f t="shared" si="90"/>
        <v>9.5948980186742319E-2</v>
      </c>
      <c r="BN26" s="968">
        <f t="shared" ref="BN26:BO26" si="91">BN36/BN$35</f>
        <v>0.1366757114217288</v>
      </c>
      <c r="BO26" s="968">
        <f t="shared" si="91"/>
        <v>0.11732205952429557</v>
      </c>
      <c r="BP26" s="961">
        <f t="shared" ref="BP26" si="92">BP36/BP$35</f>
        <v>9.6046510097451673E-2</v>
      </c>
    </row>
    <row r="27" spans="1:100">
      <c r="A27" s="157" t="s">
        <v>189</v>
      </c>
      <c r="B27" s="336">
        <f t="shared" ref="B27:L27" si="93">B37/B$35</f>
        <v>0.66966524699476193</v>
      </c>
      <c r="C27" s="336">
        <f t="shared" si="93"/>
        <v>0.70790617169682557</v>
      </c>
      <c r="D27" s="336">
        <f t="shared" si="93"/>
        <v>0.66860944823239377</v>
      </c>
      <c r="E27" s="336">
        <f t="shared" si="93"/>
        <v>0.88707799732525494</v>
      </c>
      <c r="F27" s="336">
        <f t="shared" si="93"/>
        <v>0.92374391002564282</v>
      </c>
      <c r="G27" s="336">
        <f t="shared" si="93"/>
        <v>0.93205935536604445</v>
      </c>
      <c r="H27" s="336">
        <f t="shared" si="93"/>
        <v>0.92571794726548762</v>
      </c>
      <c r="I27" s="336">
        <f t="shared" si="93"/>
        <v>0.93121254566118383</v>
      </c>
      <c r="J27" s="336">
        <f t="shared" si="93"/>
        <v>0.92850747629858132</v>
      </c>
      <c r="K27" s="336">
        <f t="shared" si="93"/>
        <v>0.91720512764369788</v>
      </c>
      <c r="L27" s="336">
        <f t="shared" si="93"/>
        <v>0.91893576167847324</v>
      </c>
      <c r="M27" s="365">
        <f t="shared" ref="M27" si="94">M37/M$35</f>
        <v>0.8948046932536472</v>
      </c>
      <c r="N27" s="1657">
        <f>+Inputs!P91</f>
        <v>0.91031519419193951</v>
      </c>
      <c r="O27" s="1657">
        <f>+Inputs!Q91</f>
        <v>0.91031519419193951</v>
      </c>
      <c r="P27" s="1657">
        <f>+Inputs!R91</f>
        <v>0.91031519419193951</v>
      </c>
      <c r="Q27" s="1657">
        <f>+Inputs!S91</f>
        <v>0.91031519419193951</v>
      </c>
      <c r="R27" s="1657">
        <f>+Inputs!T91</f>
        <v>0.91031519419193951</v>
      </c>
      <c r="S27" s="1657">
        <f>+Inputs!U91</f>
        <v>0.91031519419193951</v>
      </c>
      <c r="T27" s="1657">
        <f>+Inputs!V91</f>
        <v>0.91031519419193951</v>
      </c>
      <c r="U27" s="1657">
        <f>+Inputs!W91</f>
        <v>0.91031519419193951</v>
      </c>
      <c r="V27" s="622"/>
      <c r="X27" s="826">
        <f t="shared" ref="X27:BK27" si="95">X37/X$35</f>
        <v>0.65832230571369077</v>
      </c>
      <c r="Y27" s="826">
        <f t="shared" si="95"/>
        <v>0.68810882503663207</v>
      </c>
      <c r="Z27" s="826">
        <f t="shared" si="95"/>
        <v>0.67911119865527547</v>
      </c>
      <c r="AA27" s="826">
        <f t="shared" si="95"/>
        <v>0.78761751375230871</v>
      </c>
      <c r="AB27" s="826">
        <f t="shared" si="95"/>
        <v>0.73400754853561645</v>
      </c>
      <c r="AC27" s="826">
        <f t="shared" si="95"/>
        <v>0.73572894116268683</v>
      </c>
      <c r="AD27" s="826">
        <f t="shared" si="95"/>
        <v>0.47378527372599588</v>
      </c>
      <c r="AE27" s="826">
        <f t="shared" si="95"/>
        <v>0.66331900694285617</v>
      </c>
      <c r="AF27" s="826">
        <f t="shared" si="95"/>
        <v>0.8883292868821574</v>
      </c>
      <c r="AG27" s="826">
        <f t="shared" si="95"/>
        <v>0.84917522313909444</v>
      </c>
      <c r="AH27" s="826">
        <f t="shared" si="95"/>
        <v>0.89891679365417887</v>
      </c>
      <c r="AI27" s="826">
        <f t="shared" si="95"/>
        <v>0.90588523691524103</v>
      </c>
      <c r="AJ27" s="826">
        <f t="shared" si="95"/>
        <v>0.88868640579721736</v>
      </c>
      <c r="AK27" s="826">
        <f t="shared" si="95"/>
        <v>0.93622022381042347</v>
      </c>
      <c r="AL27" s="826">
        <f t="shared" si="95"/>
        <v>0.92756072553434954</v>
      </c>
      <c r="AM27" s="826">
        <f t="shared" si="95"/>
        <v>0.93462470964902777</v>
      </c>
      <c r="AN27" s="826">
        <f t="shared" si="95"/>
        <v>0.94138833309169512</v>
      </c>
      <c r="AO27" s="826">
        <f t="shared" si="95"/>
        <v>0.95018089373350434</v>
      </c>
      <c r="AP27" s="826">
        <f t="shared" si="95"/>
        <v>0.9450332732069161</v>
      </c>
      <c r="AQ27" s="826">
        <f t="shared" si="95"/>
        <v>0.84927645258325191</v>
      </c>
      <c r="AR27" s="826">
        <f t="shared" si="95"/>
        <v>0.94281060852694865</v>
      </c>
      <c r="AS27" s="826">
        <f t="shared" si="95"/>
        <v>0.95343574355415195</v>
      </c>
      <c r="AT27" s="826">
        <f t="shared" si="95"/>
        <v>0.90318528476410631</v>
      </c>
      <c r="AU27" s="826">
        <f t="shared" si="95"/>
        <v>0.8578148646789866</v>
      </c>
      <c r="AV27" s="826">
        <f t="shared" si="95"/>
        <v>0.92029459202048636</v>
      </c>
      <c r="AW27" s="826">
        <f t="shared" si="95"/>
        <v>0.95928354972366825</v>
      </c>
      <c r="AX27" s="826">
        <f t="shared" si="95"/>
        <v>0.88746674150829674</v>
      </c>
      <c r="AY27" s="826">
        <f t="shared" si="95"/>
        <v>0.9212315117165667</v>
      </c>
      <c r="AZ27" s="826">
        <f t="shared" si="95"/>
        <v>0.93902313666039772</v>
      </c>
      <c r="BA27" s="826">
        <f t="shared" si="95"/>
        <v>0.94593255462081527</v>
      </c>
      <c r="BB27" s="826">
        <f t="shared" si="95"/>
        <v>0.90861153925939098</v>
      </c>
      <c r="BC27" s="826">
        <f t="shared" si="95"/>
        <v>0.90765910051625776</v>
      </c>
      <c r="BD27" s="826">
        <f t="shared" si="95"/>
        <v>0.9150372090667046</v>
      </c>
      <c r="BE27" s="826">
        <f t="shared" si="95"/>
        <v>0.92563749942991524</v>
      </c>
      <c r="BF27" s="826">
        <f t="shared" si="95"/>
        <v>0.9112925388892833</v>
      </c>
      <c r="BG27" s="968">
        <f t="shared" si="95"/>
        <v>0.91707531937614195</v>
      </c>
      <c r="BH27" s="968">
        <f t="shared" si="95"/>
        <v>0.87431346323074843</v>
      </c>
      <c r="BI27" s="968">
        <f t="shared" si="95"/>
        <v>0.9151923286383038</v>
      </c>
      <c r="BJ27" s="968">
        <f t="shared" si="95"/>
        <v>0.93436016301681768</v>
      </c>
      <c r="BK27" s="968">
        <f t="shared" si="95"/>
        <v>0.93162587286793186</v>
      </c>
      <c r="BL27" s="968">
        <f t="shared" ref="BL27:BM27" si="96">BL37/BL$35</f>
        <v>0.92649736878775046</v>
      </c>
      <c r="BM27" s="968">
        <f t="shared" si="96"/>
        <v>0.90405101981325764</v>
      </c>
      <c r="BN27" s="968">
        <f t="shared" ref="BN27:BO27" si="97">BN37/BN$35</f>
        <v>0.86332428857827126</v>
      </c>
      <c r="BO27" s="968">
        <f t="shared" si="97"/>
        <v>0.88267794047570436</v>
      </c>
      <c r="BP27" s="961">
        <f t="shared" ref="BP27" si="98">BP37/BP$35</f>
        <v>0.90395348990254831</v>
      </c>
    </row>
    <row r="28" spans="1:100" s="14" customFormat="1">
      <c r="A28" s="853" t="s">
        <v>42</v>
      </c>
      <c r="B28" s="840">
        <f t="shared" ref="B28:U28" si="99">SUM(B29:B32)</f>
        <v>1</v>
      </c>
      <c r="C28" s="840">
        <f t="shared" si="99"/>
        <v>1</v>
      </c>
      <c r="D28" s="840">
        <f t="shared" si="99"/>
        <v>1</v>
      </c>
      <c r="E28" s="840">
        <f t="shared" si="99"/>
        <v>1</v>
      </c>
      <c r="F28" s="840">
        <f t="shared" si="99"/>
        <v>0.99999999999999989</v>
      </c>
      <c r="G28" s="840">
        <f t="shared" si="99"/>
        <v>1</v>
      </c>
      <c r="H28" s="840">
        <f t="shared" si="99"/>
        <v>1</v>
      </c>
      <c r="I28" s="840">
        <f t="shared" si="99"/>
        <v>0.99999999999999989</v>
      </c>
      <c r="J28" s="840">
        <f t="shared" si="99"/>
        <v>1</v>
      </c>
      <c r="K28" s="840">
        <f t="shared" si="99"/>
        <v>1</v>
      </c>
      <c r="L28" s="840">
        <f t="shared" si="99"/>
        <v>1</v>
      </c>
      <c r="M28" s="2051">
        <f t="shared" ref="M28" si="100">SUM(M29:M32)</f>
        <v>1</v>
      </c>
      <c r="N28" s="702">
        <f t="shared" si="99"/>
        <v>1</v>
      </c>
      <c r="O28" s="702">
        <f t="shared" si="99"/>
        <v>1</v>
      </c>
      <c r="P28" s="702">
        <f t="shared" si="99"/>
        <v>1</v>
      </c>
      <c r="Q28" s="702">
        <f t="shared" si="99"/>
        <v>1</v>
      </c>
      <c r="R28" s="702">
        <f t="shared" si="99"/>
        <v>1</v>
      </c>
      <c r="S28" s="702">
        <f t="shared" si="99"/>
        <v>1</v>
      </c>
      <c r="T28" s="702">
        <f t="shared" si="99"/>
        <v>1</v>
      </c>
      <c r="U28" s="702">
        <f t="shared" si="99"/>
        <v>1</v>
      </c>
      <c r="V28" s="701"/>
      <c r="X28" s="1027">
        <f t="shared" ref="X28:BK28" si="101">SUM(X29:X32)</f>
        <v>1</v>
      </c>
      <c r="Y28" s="1027">
        <f t="shared" si="101"/>
        <v>1</v>
      </c>
      <c r="Z28" s="1027">
        <f t="shared" si="101"/>
        <v>1.0000000000000002</v>
      </c>
      <c r="AA28" s="1027">
        <f t="shared" si="101"/>
        <v>0.99999999999999989</v>
      </c>
      <c r="AB28" s="1027">
        <f t="shared" si="101"/>
        <v>1</v>
      </c>
      <c r="AC28" s="1027">
        <f t="shared" si="101"/>
        <v>1</v>
      </c>
      <c r="AD28" s="1027">
        <f t="shared" si="101"/>
        <v>0.99999999999999989</v>
      </c>
      <c r="AE28" s="1027">
        <f t="shared" si="101"/>
        <v>1.0000000000000002</v>
      </c>
      <c r="AF28" s="1027">
        <f t="shared" si="101"/>
        <v>0.99999999999999989</v>
      </c>
      <c r="AG28" s="1027">
        <f t="shared" si="101"/>
        <v>1</v>
      </c>
      <c r="AH28" s="1027">
        <f t="shared" si="101"/>
        <v>1</v>
      </c>
      <c r="AI28" s="1027">
        <f t="shared" si="101"/>
        <v>1</v>
      </c>
      <c r="AJ28" s="1027">
        <f t="shared" si="101"/>
        <v>1.0000000000000002</v>
      </c>
      <c r="AK28" s="1027">
        <f t="shared" si="101"/>
        <v>1</v>
      </c>
      <c r="AL28" s="1027">
        <f t="shared" si="101"/>
        <v>1</v>
      </c>
      <c r="AM28" s="1027">
        <f t="shared" si="101"/>
        <v>0.99999999999999989</v>
      </c>
      <c r="AN28" s="1027">
        <f t="shared" si="101"/>
        <v>1</v>
      </c>
      <c r="AO28" s="1027">
        <f t="shared" si="101"/>
        <v>1</v>
      </c>
      <c r="AP28" s="1027">
        <f t="shared" si="101"/>
        <v>0.99999999999999989</v>
      </c>
      <c r="AQ28" s="1027">
        <f t="shared" si="101"/>
        <v>1</v>
      </c>
      <c r="AR28" s="1027">
        <f t="shared" si="101"/>
        <v>1</v>
      </c>
      <c r="AS28" s="1027">
        <f t="shared" si="101"/>
        <v>1</v>
      </c>
      <c r="AT28" s="1027">
        <f t="shared" si="101"/>
        <v>0.99999999999999989</v>
      </c>
      <c r="AU28" s="1027">
        <f t="shared" si="101"/>
        <v>0.99999999999999989</v>
      </c>
      <c r="AV28" s="1027">
        <f t="shared" si="101"/>
        <v>0.99999999999999978</v>
      </c>
      <c r="AW28" s="1027">
        <f t="shared" si="101"/>
        <v>0.99999999999999989</v>
      </c>
      <c r="AX28" s="1027">
        <f t="shared" si="101"/>
        <v>1</v>
      </c>
      <c r="AY28" s="1027">
        <f t="shared" si="101"/>
        <v>1</v>
      </c>
      <c r="AZ28" s="1027">
        <f t="shared" si="101"/>
        <v>1</v>
      </c>
      <c r="BA28" s="1027">
        <f t="shared" si="101"/>
        <v>1.0000000000000002</v>
      </c>
      <c r="BB28" s="1027">
        <f t="shared" si="101"/>
        <v>1</v>
      </c>
      <c r="BC28" s="1027">
        <f t="shared" si="101"/>
        <v>1.0000000000000002</v>
      </c>
      <c r="BD28" s="1027">
        <f t="shared" si="101"/>
        <v>1</v>
      </c>
      <c r="BE28" s="1027">
        <f t="shared" si="101"/>
        <v>1</v>
      </c>
      <c r="BF28" s="1027">
        <f t="shared" si="101"/>
        <v>0.99999999999999989</v>
      </c>
      <c r="BG28" s="1438">
        <f t="shared" si="101"/>
        <v>0.99999999999999989</v>
      </c>
      <c r="BH28" s="1438">
        <f t="shared" si="101"/>
        <v>1</v>
      </c>
      <c r="BI28" s="1438">
        <f t="shared" si="101"/>
        <v>1</v>
      </c>
      <c r="BJ28" s="1438">
        <f t="shared" si="101"/>
        <v>1</v>
      </c>
      <c r="BK28" s="1438">
        <f t="shared" si="101"/>
        <v>0.99999999999999978</v>
      </c>
      <c r="BL28" s="1438">
        <f t="shared" ref="BL28:BM28" si="102">SUM(BL29:BL32)</f>
        <v>1</v>
      </c>
      <c r="BM28" s="1438">
        <f t="shared" si="102"/>
        <v>1</v>
      </c>
      <c r="BN28" s="1438">
        <f t="shared" ref="BN28:BO28" si="103">SUM(BN29:BN32)</f>
        <v>1</v>
      </c>
      <c r="BO28" s="1438">
        <f t="shared" si="103"/>
        <v>1</v>
      </c>
      <c r="BP28" s="1023">
        <f t="shared" ref="BP28" si="104">SUM(BP29:BP32)</f>
        <v>1</v>
      </c>
    </row>
    <row r="29" spans="1:100">
      <c r="A29" s="157" t="s">
        <v>160</v>
      </c>
      <c r="B29" s="336">
        <f t="shared" ref="B29:L29" si="105">B39/B$38</f>
        <v>0.6774047727259378</v>
      </c>
      <c r="C29" s="336">
        <f t="shared" si="105"/>
        <v>0.32319463185354824</v>
      </c>
      <c r="D29" s="336">
        <f t="shared" si="105"/>
        <v>0.40925467678131056</v>
      </c>
      <c r="E29" s="336">
        <f t="shared" si="105"/>
        <v>0.32982237789145313</v>
      </c>
      <c r="F29" s="336">
        <f t="shared" si="105"/>
        <v>0.32521612843297987</v>
      </c>
      <c r="G29" s="336">
        <f t="shared" si="105"/>
        <v>0.42059598242139884</v>
      </c>
      <c r="H29" s="336">
        <f t="shared" si="105"/>
        <v>0.43181018717449199</v>
      </c>
      <c r="I29" s="336">
        <f t="shared" si="105"/>
        <v>0.47264630636719696</v>
      </c>
      <c r="J29" s="336">
        <f t="shared" si="105"/>
        <v>0.4435619471281535</v>
      </c>
      <c r="K29" s="336">
        <f t="shared" si="105"/>
        <v>0.47481059332696784</v>
      </c>
      <c r="L29" s="336">
        <f t="shared" si="105"/>
        <v>0.50581598824942686</v>
      </c>
      <c r="M29" s="365">
        <f t="shared" ref="M29" si="106">M39/M$38</f>
        <v>0.56686822210603605</v>
      </c>
      <c r="N29" s="1657">
        <f>+Inputs!P93</f>
        <v>0.51583160122747695</v>
      </c>
      <c r="O29" s="1657">
        <f>+Inputs!Q93</f>
        <v>0.51583160122747695</v>
      </c>
      <c r="P29" s="1657">
        <f>+Inputs!R93</f>
        <v>0.51583160122747695</v>
      </c>
      <c r="Q29" s="1657">
        <f>+Inputs!S93</f>
        <v>0.51583160122747695</v>
      </c>
      <c r="R29" s="1657">
        <f>+Inputs!T93</f>
        <v>0.51583160122747695</v>
      </c>
      <c r="S29" s="1657">
        <f>+Inputs!U93</f>
        <v>0.51583160122747695</v>
      </c>
      <c r="T29" s="1657">
        <f>+Inputs!V93</f>
        <v>0.51583160122747695</v>
      </c>
      <c r="U29" s="1657">
        <f>+Inputs!W93</f>
        <v>0.51583160122747695</v>
      </c>
      <c r="V29" s="622"/>
      <c r="X29" s="826">
        <f t="shared" ref="X29:BK29" si="107">X39/X$38</f>
        <v>0.35496036223137467</v>
      </c>
      <c r="Y29" s="826">
        <f t="shared" si="107"/>
        <v>0.20426689754269914</v>
      </c>
      <c r="Z29" s="826">
        <f t="shared" si="107"/>
        <v>0.32220142317718037</v>
      </c>
      <c r="AA29" s="826">
        <f t="shared" si="107"/>
        <v>0.44460845985724623</v>
      </c>
      <c r="AB29" s="826">
        <f t="shared" si="107"/>
        <v>0.37546212795572848</v>
      </c>
      <c r="AC29" s="826">
        <f t="shared" si="107"/>
        <v>0.29181782171572052</v>
      </c>
      <c r="AD29" s="826">
        <f t="shared" si="107"/>
        <v>0.43320156891630024</v>
      </c>
      <c r="AE29" s="826">
        <f t="shared" si="107"/>
        <v>0.49568770177814886</v>
      </c>
      <c r="AF29" s="826">
        <f t="shared" si="107"/>
        <v>0.42438017750675777</v>
      </c>
      <c r="AG29" s="826">
        <f t="shared" si="107"/>
        <v>0.28155970554417081</v>
      </c>
      <c r="AH29" s="826">
        <f t="shared" si="107"/>
        <v>0.40899986559774493</v>
      </c>
      <c r="AI29" s="826">
        <f t="shared" si="107"/>
        <v>0.26861425714546111</v>
      </c>
      <c r="AJ29" s="826">
        <f t="shared" si="107"/>
        <v>0.29644350154449167</v>
      </c>
      <c r="AK29" s="826">
        <f t="shared" si="107"/>
        <v>0.24862281416453511</v>
      </c>
      <c r="AL29" s="826">
        <f t="shared" si="107"/>
        <v>0.34013731432377542</v>
      </c>
      <c r="AM29" s="826">
        <f t="shared" si="107"/>
        <v>0.43985511292751067</v>
      </c>
      <c r="AN29" s="826">
        <f t="shared" si="107"/>
        <v>0.32648651359286635</v>
      </c>
      <c r="AO29" s="826">
        <f t="shared" si="107"/>
        <v>0.3934136868427599</v>
      </c>
      <c r="AP29" s="826">
        <f t="shared" si="107"/>
        <v>0.3934134324063826</v>
      </c>
      <c r="AQ29" s="826">
        <f t="shared" si="107"/>
        <v>0.55514739388201728</v>
      </c>
      <c r="AR29" s="826">
        <f t="shared" si="107"/>
        <v>0.43784381769717928</v>
      </c>
      <c r="AS29" s="826">
        <f t="shared" si="107"/>
        <v>0.43925449815714457</v>
      </c>
      <c r="AT29" s="826">
        <f t="shared" si="107"/>
        <v>0.47138873024933819</v>
      </c>
      <c r="AU29" s="826">
        <f t="shared" si="107"/>
        <v>0.37864736181691172</v>
      </c>
      <c r="AV29" s="826">
        <f t="shared" si="107"/>
        <v>0.50849652869014317</v>
      </c>
      <c r="AW29" s="826">
        <f t="shared" si="107"/>
        <v>0.50669235535806167</v>
      </c>
      <c r="AX29" s="826">
        <f t="shared" si="107"/>
        <v>0.43648101671745332</v>
      </c>
      <c r="AY29" s="826">
        <f t="shared" si="107"/>
        <v>0.46677896265496871</v>
      </c>
      <c r="AZ29" s="826">
        <f t="shared" si="107"/>
        <v>0.41915859690146379</v>
      </c>
      <c r="BA29" s="826">
        <f t="shared" si="107"/>
        <v>0.31748408140314066</v>
      </c>
      <c r="BB29" s="826">
        <f t="shared" si="107"/>
        <v>0.48897214418726576</v>
      </c>
      <c r="BC29" s="826">
        <f t="shared" si="107"/>
        <v>0.57400746335525132</v>
      </c>
      <c r="BD29" s="826">
        <f t="shared" si="107"/>
        <v>0.51024252010585347</v>
      </c>
      <c r="BE29" s="826">
        <f t="shared" si="107"/>
        <v>0.49938036810511299</v>
      </c>
      <c r="BF29" s="826">
        <f t="shared" si="107"/>
        <v>0.56692982165254868</v>
      </c>
      <c r="BG29" s="968">
        <f t="shared" si="107"/>
        <v>0.38123780914529487</v>
      </c>
      <c r="BH29" s="968">
        <f t="shared" si="107"/>
        <v>0.65775665387871363</v>
      </c>
      <c r="BI29" s="968">
        <f t="shared" si="107"/>
        <v>0.45866827120893228</v>
      </c>
      <c r="BJ29" s="968">
        <f t="shared" si="107"/>
        <v>0.11679027753128537</v>
      </c>
      <c r="BK29" s="968">
        <f t="shared" si="107"/>
        <v>0.55684646769639201</v>
      </c>
      <c r="BL29" s="968">
        <f t="shared" ref="BL29:BM29" si="108">BL39/BL$38</f>
        <v>0.58229824917517148</v>
      </c>
      <c r="BM29" s="968">
        <f t="shared" si="108"/>
        <v>0.46111000967620613</v>
      </c>
      <c r="BN29" s="968">
        <f t="shared" ref="BN29:BO29" si="109">BN39/BN$38</f>
        <v>0.56826709134816955</v>
      </c>
      <c r="BO29" s="968">
        <f t="shared" si="109"/>
        <v>0.66263958567090842</v>
      </c>
      <c r="BP29" s="961">
        <f t="shared" ref="BP29" si="110">BP39/BP$38</f>
        <v>0.65971200405427344</v>
      </c>
    </row>
    <row r="30" spans="1:100">
      <c r="A30" s="157" t="s">
        <v>161</v>
      </c>
      <c r="B30" s="336">
        <f t="shared" ref="B30:L30" si="111">B40/B$38</f>
        <v>6.8820855851159754E-2</v>
      </c>
      <c r="C30" s="336">
        <f t="shared" si="111"/>
        <v>0.23306259810755139</v>
      </c>
      <c r="D30" s="336">
        <f t="shared" si="111"/>
        <v>0.20179961760908019</v>
      </c>
      <c r="E30" s="336">
        <f t="shared" si="111"/>
        <v>5.7924029550091009E-2</v>
      </c>
      <c r="F30" s="336">
        <f t="shared" si="111"/>
        <v>4.6700294233248021E-2</v>
      </c>
      <c r="G30" s="336">
        <f t="shared" si="111"/>
        <v>5.0791897552050019E-2</v>
      </c>
      <c r="H30" s="336">
        <f t="shared" si="111"/>
        <v>3.6706414966426709E-2</v>
      </c>
      <c r="I30" s="336">
        <f t="shared" si="111"/>
        <v>0.13694334509063896</v>
      </c>
      <c r="J30" s="336">
        <f t="shared" si="111"/>
        <v>0.17322160749297597</v>
      </c>
      <c r="K30" s="336">
        <f t="shared" si="111"/>
        <v>6.063846131645613E-2</v>
      </c>
      <c r="L30" s="336">
        <f t="shared" si="111"/>
        <v>0.11037147859905319</v>
      </c>
      <c r="M30" s="365">
        <f t="shared" ref="M30" si="112">M40/M$38</f>
        <v>4.455732750178449E-2</v>
      </c>
      <c r="N30" s="1657">
        <f>+Inputs!P94</f>
        <v>7.1855755805764601E-2</v>
      </c>
      <c r="O30" s="1657">
        <f>+Inputs!Q94</f>
        <v>7.1855755805764601E-2</v>
      </c>
      <c r="P30" s="1657">
        <f>+Inputs!R94</f>
        <v>7.1855755805764601E-2</v>
      </c>
      <c r="Q30" s="1657">
        <f>+Inputs!S94</f>
        <v>7.1855755805764601E-2</v>
      </c>
      <c r="R30" s="1657">
        <f>+Inputs!T94</f>
        <v>7.1855755805764601E-2</v>
      </c>
      <c r="S30" s="1657">
        <f>+Inputs!U94</f>
        <v>7.1855755805764601E-2</v>
      </c>
      <c r="T30" s="1657">
        <f>+Inputs!V94</f>
        <v>7.1855755805764601E-2</v>
      </c>
      <c r="U30" s="1657">
        <f>+Inputs!W94</f>
        <v>7.1855755805764601E-2</v>
      </c>
      <c r="V30" s="622"/>
      <c r="X30" s="826">
        <f t="shared" ref="X30:BK30" si="113">X40/X$38</f>
        <v>0.2163728826198279</v>
      </c>
      <c r="Y30" s="826">
        <f t="shared" si="113"/>
        <v>0.4012525364924957</v>
      </c>
      <c r="Z30" s="826">
        <f t="shared" si="113"/>
        <v>0.16753415003000802</v>
      </c>
      <c r="AA30" s="826">
        <f t="shared" si="113"/>
        <v>0.10229308915570973</v>
      </c>
      <c r="AB30" s="826">
        <f t="shared" si="113"/>
        <v>0.27688274389293965</v>
      </c>
      <c r="AC30" s="826">
        <f t="shared" si="113"/>
        <v>0.23782864996057643</v>
      </c>
      <c r="AD30" s="826">
        <f t="shared" si="113"/>
        <v>7.7809903842128436E-2</v>
      </c>
      <c r="AE30" s="826">
        <f t="shared" si="113"/>
        <v>0.19923457644085379</v>
      </c>
      <c r="AF30" s="826">
        <f t="shared" si="113"/>
        <v>7.2906868001058445E-2</v>
      </c>
      <c r="AG30" s="826">
        <f t="shared" si="113"/>
        <v>0.15910293437837195</v>
      </c>
      <c r="AH30" s="826">
        <f t="shared" si="113"/>
        <v>1.349834539926551E-2</v>
      </c>
      <c r="AI30" s="826">
        <f t="shared" si="113"/>
        <v>0</v>
      </c>
      <c r="AJ30" s="826">
        <f t="shared" si="113"/>
        <v>3.5866003890568134E-2</v>
      </c>
      <c r="AK30" s="826">
        <f t="shared" si="113"/>
        <v>0.12431140708226755</v>
      </c>
      <c r="AL30" s="826">
        <f t="shared" si="113"/>
        <v>1.2083030704219375E-2</v>
      </c>
      <c r="AM30" s="826">
        <f t="shared" si="113"/>
        <v>0</v>
      </c>
      <c r="AN30" s="826">
        <f t="shared" si="113"/>
        <v>6.3483488754168454E-2</v>
      </c>
      <c r="AO30" s="826">
        <f t="shared" si="113"/>
        <v>9.0648314940728086E-2</v>
      </c>
      <c r="AP30" s="826">
        <f t="shared" si="113"/>
        <v>5.6470827618141047E-2</v>
      </c>
      <c r="AQ30" s="826">
        <f t="shared" si="113"/>
        <v>0</v>
      </c>
      <c r="AR30" s="826">
        <f t="shared" si="113"/>
        <v>0</v>
      </c>
      <c r="AS30" s="826">
        <f t="shared" si="113"/>
        <v>0</v>
      </c>
      <c r="AT30" s="826">
        <f t="shared" si="113"/>
        <v>6.3917115966011961E-2</v>
      </c>
      <c r="AU30" s="826">
        <f t="shared" si="113"/>
        <v>5.6972403977081615E-2</v>
      </c>
      <c r="AV30" s="826">
        <f t="shared" si="113"/>
        <v>7.546181361840025E-2</v>
      </c>
      <c r="AW30" s="826">
        <f t="shared" si="113"/>
        <v>5.6676997243631067E-2</v>
      </c>
      <c r="AX30" s="826">
        <f t="shared" si="113"/>
        <v>0.2471399364062293</v>
      </c>
      <c r="AY30" s="826">
        <f t="shared" si="113"/>
        <v>0.10213427573463148</v>
      </c>
      <c r="AZ30" s="826">
        <f t="shared" si="113"/>
        <v>0.31081675617693288</v>
      </c>
      <c r="BA30" s="826">
        <f t="shared" si="113"/>
        <v>0.3117429587737891</v>
      </c>
      <c r="BB30" s="826">
        <f t="shared" si="113"/>
        <v>1.5328280382045948E-2</v>
      </c>
      <c r="BC30" s="826">
        <f t="shared" si="113"/>
        <v>0</v>
      </c>
      <c r="BD30" s="826">
        <f t="shared" si="113"/>
        <v>0.25010731621373627</v>
      </c>
      <c r="BE30" s="826">
        <f t="shared" si="113"/>
        <v>0</v>
      </c>
      <c r="BF30" s="826">
        <f t="shared" si="113"/>
        <v>0</v>
      </c>
      <c r="BG30" s="968">
        <f t="shared" si="113"/>
        <v>0</v>
      </c>
      <c r="BH30" s="968">
        <f t="shared" si="113"/>
        <v>0</v>
      </c>
      <c r="BI30" s="968">
        <f t="shared" si="113"/>
        <v>0.2790033939892676</v>
      </c>
      <c r="BJ30" s="968">
        <f t="shared" si="113"/>
        <v>0.41976795402548944</v>
      </c>
      <c r="BK30" s="968">
        <f t="shared" si="113"/>
        <v>0</v>
      </c>
      <c r="BL30" s="968">
        <f t="shared" ref="BL30:BM30" si="114">BL40/BL$38</f>
        <v>0</v>
      </c>
      <c r="BM30" s="968">
        <f t="shared" si="114"/>
        <v>0.11365387562441699</v>
      </c>
      <c r="BN30" s="968">
        <f t="shared" ref="BN30:BO30" si="115">BN40/BN$38</f>
        <v>0</v>
      </c>
      <c r="BO30" s="968">
        <f t="shared" si="115"/>
        <v>5.4323996775753378E-2</v>
      </c>
      <c r="BP30" s="961">
        <f t="shared" ref="BP30" si="116">BP40/BP$38</f>
        <v>2.7953898476875991E-3</v>
      </c>
    </row>
    <row r="31" spans="1:100">
      <c r="A31" s="157" t="s">
        <v>158</v>
      </c>
      <c r="B31" s="336">
        <f t="shared" ref="B31:L31" si="117">B41/B$38</f>
        <v>0.14786072587910457</v>
      </c>
      <c r="C31" s="336">
        <f t="shared" si="117"/>
        <v>0.37152429779943696</v>
      </c>
      <c r="D31" s="336">
        <f t="shared" si="117"/>
        <v>0.32504662842822457</v>
      </c>
      <c r="E31" s="336">
        <f t="shared" si="117"/>
        <v>0.57939252403130714</v>
      </c>
      <c r="F31" s="336">
        <f t="shared" si="117"/>
        <v>0.53261099651991939</v>
      </c>
      <c r="G31" s="336">
        <f t="shared" si="117"/>
        <v>0.47938230856515485</v>
      </c>
      <c r="H31" s="336">
        <f t="shared" si="117"/>
        <v>0.43329574807077675</v>
      </c>
      <c r="I31" s="336">
        <f t="shared" si="117"/>
        <v>0.32058612784497736</v>
      </c>
      <c r="J31" s="336">
        <f t="shared" si="117"/>
        <v>0.28634445381215767</v>
      </c>
      <c r="K31" s="336">
        <f t="shared" si="117"/>
        <v>0.39904789170452792</v>
      </c>
      <c r="L31" s="336">
        <f t="shared" si="117"/>
        <v>0.31996632313493573</v>
      </c>
      <c r="M31" s="365">
        <f t="shared" ref="M31" si="118">M41/M$38</f>
        <v>0.33499721917113923</v>
      </c>
      <c r="N31" s="1657">
        <f>+Inputs!P95</f>
        <v>0.35133714467020094</v>
      </c>
      <c r="O31" s="1657">
        <f>+Inputs!Q95</f>
        <v>0.35133714467020094</v>
      </c>
      <c r="P31" s="1657">
        <f>+Inputs!R95</f>
        <v>0.35133714467020094</v>
      </c>
      <c r="Q31" s="1657">
        <f>+Inputs!S95</f>
        <v>0.35133714467020094</v>
      </c>
      <c r="R31" s="1657">
        <f>+Inputs!T95</f>
        <v>0.35133714467020094</v>
      </c>
      <c r="S31" s="1657">
        <f>+Inputs!U95</f>
        <v>0.35133714467020094</v>
      </c>
      <c r="T31" s="1657">
        <f>+Inputs!V95</f>
        <v>0.35133714467020094</v>
      </c>
      <c r="U31" s="1657">
        <f>+Inputs!W95</f>
        <v>0.35133714467020094</v>
      </c>
      <c r="V31" s="622"/>
      <c r="X31" s="826">
        <f t="shared" ref="X31:BK31" si="119">X41/X$38</f>
        <v>0.35396419645704191</v>
      </c>
      <c r="Y31" s="826">
        <f t="shared" si="119"/>
        <v>0.31514264409058368</v>
      </c>
      <c r="Z31" s="826">
        <f t="shared" si="119"/>
        <v>0.43252637298738417</v>
      </c>
      <c r="AA31" s="826">
        <f t="shared" si="119"/>
        <v>0.3995771497625783</v>
      </c>
      <c r="AB31" s="826">
        <f t="shared" si="119"/>
        <v>0.26405433425262703</v>
      </c>
      <c r="AC31" s="826">
        <f t="shared" si="119"/>
        <v>0.37473262704407462</v>
      </c>
      <c r="AD31" s="826">
        <f t="shared" si="119"/>
        <v>0.46354482483335613</v>
      </c>
      <c r="AE31" s="826">
        <f t="shared" si="119"/>
        <v>0.25354737337577182</v>
      </c>
      <c r="AF31" s="826">
        <f t="shared" si="119"/>
        <v>0.50271295449218367</v>
      </c>
      <c r="AG31" s="826">
        <f t="shared" si="119"/>
        <v>0.53097696364807467</v>
      </c>
      <c r="AH31" s="826">
        <f t="shared" si="119"/>
        <v>0.5516338477262599</v>
      </c>
      <c r="AI31" s="826">
        <f t="shared" si="119"/>
        <v>0.67450545177058252</v>
      </c>
      <c r="AJ31" s="826">
        <f t="shared" si="119"/>
        <v>0.58072240493673377</v>
      </c>
      <c r="AK31" s="826">
        <f t="shared" si="119"/>
        <v>0.45870291212905118</v>
      </c>
      <c r="AL31" s="826">
        <f t="shared" si="119"/>
        <v>0.60552057113558311</v>
      </c>
      <c r="AM31" s="826">
        <f t="shared" si="119"/>
        <v>0.48266979895734546</v>
      </c>
      <c r="AN31" s="826">
        <f t="shared" si="119"/>
        <v>0.56571157902005753</v>
      </c>
      <c r="AO31" s="826">
        <f t="shared" si="119"/>
        <v>0.47077170881035268</v>
      </c>
      <c r="AP31" s="826">
        <f t="shared" si="119"/>
        <v>0.48999380118034225</v>
      </c>
      <c r="AQ31" s="826">
        <f t="shared" si="119"/>
        <v>0.40131075233808233</v>
      </c>
      <c r="AR31" s="826">
        <f t="shared" si="119"/>
        <v>0.51342805656409851</v>
      </c>
      <c r="AS31" s="826">
        <f t="shared" si="119"/>
        <v>0.45387400619751128</v>
      </c>
      <c r="AT31" s="826">
        <f t="shared" si="119"/>
        <v>0.34220475575245218</v>
      </c>
      <c r="AU31" s="826">
        <f t="shared" si="119"/>
        <v>0.46359804952636252</v>
      </c>
      <c r="AV31" s="826">
        <f t="shared" si="119"/>
        <v>0.36042111521933656</v>
      </c>
      <c r="AW31" s="826">
        <f t="shared" si="119"/>
        <v>0.3280160584932556</v>
      </c>
      <c r="AX31" s="826">
        <f t="shared" si="119"/>
        <v>0.28455016892095347</v>
      </c>
      <c r="AY31" s="826">
        <f t="shared" si="119"/>
        <v>0.33160520123876913</v>
      </c>
      <c r="AZ31" s="826">
        <f t="shared" si="119"/>
        <v>0.252439008151499</v>
      </c>
      <c r="BA31" s="826">
        <f t="shared" si="119"/>
        <v>0.17713485617660035</v>
      </c>
      <c r="BB31" s="826">
        <f t="shared" si="119"/>
        <v>0.36204428249974724</v>
      </c>
      <c r="BC31" s="826">
        <f t="shared" si="119"/>
        <v>0.38258718356595339</v>
      </c>
      <c r="BD31" s="826">
        <f t="shared" si="119"/>
        <v>0.23965016368041026</v>
      </c>
      <c r="BE31" s="826">
        <f t="shared" si="119"/>
        <v>0.36790750561936469</v>
      </c>
      <c r="BF31" s="826">
        <f t="shared" si="119"/>
        <v>0.37138285643168062</v>
      </c>
      <c r="BG31" s="968">
        <f t="shared" si="119"/>
        <v>0.54136854596981387</v>
      </c>
      <c r="BH31" s="968">
        <f t="shared" si="119"/>
        <v>0.34224334612128637</v>
      </c>
      <c r="BI31" s="968">
        <f t="shared" si="119"/>
        <v>0.13298589194813476</v>
      </c>
      <c r="BJ31" s="968">
        <f t="shared" si="119"/>
        <v>0.40262263872626652</v>
      </c>
      <c r="BK31" s="968">
        <f t="shared" si="119"/>
        <v>0.40239839772600333</v>
      </c>
      <c r="BL31" s="968">
        <f t="shared" ref="BL31:BM31" si="120">BL41/BL$38</f>
        <v>0.36587014670787898</v>
      </c>
      <c r="BM31" s="968">
        <f t="shared" si="120"/>
        <v>0.3433003755255945</v>
      </c>
      <c r="BN31" s="968">
        <f t="shared" ref="BN31:BO31" si="121">BN41/BN$38</f>
        <v>0.37477606054472878</v>
      </c>
      <c r="BO31" s="968">
        <f t="shared" si="121"/>
        <v>0.26134780318143497</v>
      </c>
      <c r="BP31" s="961">
        <f t="shared" ref="BP31" si="122">BP41/BP$38</f>
        <v>0.29731491489589151</v>
      </c>
    </row>
    <row r="32" spans="1:100">
      <c r="A32" s="157" t="s">
        <v>159</v>
      </c>
      <c r="B32" s="336">
        <f t="shared" ref="B32:L32" si="123">B42/B$38</f>
        <v>0.10591364554379794</v>
      </c>
      <c r="C32" s="336">
        <f t="shared" si="123"/>
        <v>7.2218472239463469E-2</v>
      </c>
      <c r="D32" s="336">
        <f t="shared" si="123"/>
        <v>6.3899077181384725E-2</v>
      </c>
      <c r="E32" s="336">
        <f t="shared" si="123"/>
        <v>3.2861068527148755E-2</v>
      </c>
      <c r="F32" s="336">
        <f t="shared" si="123"/>
        <v>9.5472580813852709E-2</v>
      </c>
      <c r="G32" s="336">
        <f t="shared" si="123"/>
        <v>4.9229811461396225E-2</v>
      </c>
      <c r="H32" s="336">
        <f t="shared" si="123"/>
        <v>9.8187649788304548E-2</v>
      </c>
      <c r="I32" s="336">
        <f t="shared" si="123"/>
        <v>6.9824220697186565E-2</v>
      </c>
      <c r="J32" s="336">
        <f t="shared" si="123"/>
        <v>9.6871991566712903E-2</v>
      </c>
      <c r="K32" s="336">
        <f t="shared" si="123"/>
        <v>6.5503053652048199E-2</v>
      </c>
      <c r="L32" s="336">
        <f t="shared" si="123"/>
        <v>6.3846210016584262E-2</v>
      </c>
      <c r="M32" s="365">
        <f t="shared" ref="M32" si="124">M42/M$38</f>
        <v>5.3577231221040182E-2</v>
      </c>
      <c r="N32" s="1657">
        <f>+Inputs!P96</f>
        <v>6.0975498296557462E-2</v>
      </c>
      <c r="O32" s="1657">
        <f>+Inputs!Q96</f>
        <v>6.0975498296557462E-2</v>
      </c>
      <c r="P32" s="1657">
        <f>+Inputs!R96</f>
        <v>6.0975498296557462E-2</v>
      </c>
      <c r="Q32" s="1657">
        <f>+Inputs!S96</f>
        <v>6.0975498296557462E-2</v>
      </c>
      <c r="R32" s="1657">
        <f>+Inputs!T96</f>
        <v>6.0975498296557462E-2</v>
      </c>
      <c r="S32" s="1657">
        <f>+Inputs!U96</f>
        <v>6.0975498296557462E-2</v>
      </c>
      <c r="T32" s="1657">
        <f>+Inputs!V96</f>
        <v>6.0975498296557462E-2</v>
      </c>
      <c r="U32" s="1657">
        <f>+Inputs!W96</f>
        <v>6.0975498296557462E-2</v>
      </c>
      <c r="V32" s="622"/>
      <c r="X32" s="826">
        <f t="shared" ref="X32:BK32" si="125">X42/X$38</f>
        <v>7.470255869175553E-2</v>
      </c>
      <c r="Y32" s="826">
        <f t="shared" si="125"/>
        <v>7.9337921874221465E-2</v>
      </c>
      <c r="Z32" s="826">
        <f t="shared" si="125"/>
        <v>7.7738053805427559E-2</v>
      </c>
      <c r="AA32" s="826">
        <f t="shared" si="125"/>
        <v>5.3521301224465676E-2</v>
      </c>
      <c r="AB32" s="826">
        <f t="shared" si="125"/>
        <v>8.3600793898704825E-2</v>
      </c>
      <c r="AC32" s="826">
        <f t="shared" si="125"/>
        <v>9.5620901279628412E-2</v>
      </c>
      <c r="AD32" s="826">
        <f t="shared" si="125"/>
        <v>2.5443702408215082E-2</v>
      </c>
      <c r="AE32" s="826">
        <f t="shared" si="125"/>
        <v>5.1530348405225662E-2</v>
      </c>
      <c r="AF32" s="826">
        <f t="shared" si="125"/>
        <v>0</v>
      </c>
      <c r="AG32" s="826">
        <f t="shared" si="125"/>
        <v>2.8360396429382574E-2</v>
      </c>
      <c r="AH32" s="826">
        <f t="shared" si="125"/>
        <v>2.5867941276729655E-2</v>
      </c>
      <c r="AI32" s="826">
        <f t="shared" si="125"/>
        <v>5.6880291083956362E-2</v>
      </c>
      <c r="AJ32" s="826">
        <f t="shared" si="125"/>
        <v>8.6968089628206499E-2</v>
      </c>
      <c r="AK32" s="826">
        <f t="shared" si="125"/>
        <v>0.16836286662414612</v>
      </c>
      <c r="AL32" s="826">
        <f t="shared" si="125"/>
        <v>4.225908383642215E-2</v>
      </c>
      <c r="AM32" s="826">
        <f t="shared" si="125"/>
        <v>7.7475088115143739E-2</v>
      </c>
      <c r="AN32" s="826">
        <f t="shared" si="125"/>
        <v>4.4318418632907725E-2</v>
      </c>
      <c r="AO32" s="826">
        <f t="shared" si="125"/>
        <v>4.5166289406159299E-2</v>
      </c>
      <c r="AP32" s="826">
        <f t="shared" si="125"/>
        <v>6.0121938795134021E-2</v>
      </c>
      <c r="AQ32" s="826">
        <f t="shared" si="125"/>
        <v>4.3541853779900441E-2</v>
      </c>
      <c r="AR32" s="826">
        <f t="shared" si="125"/>
        <v>4.8728125738722303E-2</v>
      </c>
      <c r="AS32" s="826">
        <f t="shared" si="125"/>
        <v>0.10687149564534422</v>
      </c>
      <c r="AT32" s="826">
        <f t="shared" si="125"/>
        <v>0.12248939803219765</v>
      </c>
      <c r="AU32" s="826">
        <f t="shared" si="125"/>
        <v>0.10078218467964402</v>
      </c>
      <c r="AV32" s="826">
        <f t="shared" si="125"/>
        <v>5.5620542472119845E-2</v>
      </c>
      <c r="AW32" s="826">
        <f t="shared" si="125"/>
        <v>0.10861458890505153</v>
      </c>
      <c r="AX32" s="826">
        <f t="shared" si="125"/>
        <v>3.1828877955363918E-2</v>
      </c>
      <c r="AY32" s="826">
        <f t="shared" si="125"/>
        <v>9.9481560371630751E-2</v>
      </c>
      <c r="AZ32" s="826">
        <f t="shared" si="125"/>
        <v>1.7585638770104394E-2</v>
      </c>
      <c r="BA32" s="826">
        <f t="shared" si="125"/>
        <v>0.19363810364646997</v>
      </c>
      <c r="BB32" s="826">
        <f t="shared" si="125"/>
        <v>0.13365529293094117</v>
      </c>
      <c r="BC32" s="826">
        <f t="shared" si="125"/>
        <v>4.3405353078795367E-2</v>
      </c>
      <c r="BD32" s="826">
        <f t="shared" si="125"/>
        <v>0</v>
      </c>
      <c r="BE32" s="826">
        <f t="shared" si="125"/>
        <v>0.13271212627552231</v>
      </c>
      <c r="BF32" s="826">
        <f t="shared" si="125"/>
        <v>6.1687321915770685E-2</v>
      </c>
      <c r="BG32" s="968">
        <f t="shared" si="125"/>
        <v>7.7393644884891186E-2</v>
      </c>
      <c r="BH32" s="968">
        <f t="shared" si="125"/>
        <v>0</v>
      </c>
      <c r="BI32" s="968">
        <f t="shared" si="125"/>
        <v>0.12934244285366531</v>
      </c>
      <c r="BJ32" s="968">
        <f t="shared" si="125"/>
        <v>6.0819129716958693E-2</v>
      </c>
      <c r="BK32" s="968">
        <f t="shared" si="125"/>
        <v>4.0755134577604518E-2</v>
      </c>
      <c r="BL32" s="968">
        <f t="shared" ref="BL32:BM32" si="126">BL42/BL$38</f>
        <v>5.1831604116949516E-2</v>
      </c>
      <c r="BM32" s="968">
        <f t="shared" si="126"/>
        <v>8.1935739173782371E-2</v>
      </c>
      <c r="BN32" s="968">
        <f t="shared" ref="BN32:BO32" si="127">BN42/BN$38</f>
        <v>5.6956848107101644E-2</v>
      </c>
      <c r="BO32" s="968">
        <f t="shared" si="127"/>
        <v>2.1688614371903316E-2</v>
      </c>
      <c r="BP32" s="961">
        <f t="shared" ref="BP32" si="128">BP42/BP$38</f>
        <v>4.0177691202147495E-2</v>
      </c>
    </row>
    <row r="33" spans="1:100">
      <c r="L33" s="1401"/>
      <c r="M33" s="365"/>
      <c r="BE33" s="52"/>
      <c r="BF33" s="1401"/>
      <c r="BG33" s="1401"/>
      <c r="BH33" s="1401"/>
      <c r="BM33" s="1401"/>
      <c r="BN33" s="1401"/>
      <c r="BO33" s="1401"/>
      <c r="BP33" s="381"/>
    </row>
    <row r="34" spans="1:100" s="1401" customFormat="1">
      <c r="A34" s="2025" t="s">
        <v>1492</v>
      </c>
      <c r="B34" s="226"/>
      <c r="C34" s="226"/>
      <c r="D34" s="226"/>
      <c r="E34" s="226"/>
      <c r="F34" s="226"/>
      <c r="G34" s="226"/>
      <c r="H34" s="226"/>
      <c r="I34" s="226"/>
      <c r="J34" s="226"/>
      <c r="K34" s="226"/>
      <c r="L34" s="226"/>
      <c r="M34" s="2030"/>
      <c r="N34" s="2026"/>
      <c r="O34" s="2026"/>
      <c r="P34" s="2026"/>
      <c r="Q34" s="2026"/>
      <c r="R34" s="2026"/>
      <c r="S34" s="2026"/>
      <c r="T34" s="2026"/>
      <c r="U34" s="2026"/>
      <c r="V34" s="634"/>
      <c r="X34" s="226"/>
      <c r="Y34" s="226"/>
      <c r="Z34" s="226"/>
      <c r="AA34" s="226"/>
      <c r="AB34" s="226"/>
      <c r="AC34" s="226"/>
      <c r="AD34" s="226"/>
      <c r="AE34" s="226"/>
      <c r="AF34" s="226"/>
      <c r="AG34" s="226"/>
      <c r="AH34" s="226"/>
      <c r="AI34" s="226"/>
      <c r="AJ34" s="226"/>
      <c r="AK34" s="226"/>
      <c r="AL34" s="226"/>
      <c r="AM34" s="226"/>
      <c r="AN34" s="226"/>
      <c r="AO34" s="226"/>
      <c r="AP34" s="226"/>
      <c r="AQ34" s="226"/>
      <c r="AR34" s="2029"/>
      <c r="AS34" s="226"/>
      <c r="AT34" s="226"/>
      <c r="AU34" s="226"/>
      <c r="AV34" s="226"/>
      <c r="AW34" s="226"/>
      <c r="AX34" s="226"/>
      <c r="AY34" s="226"/>
      <c r="AZ34" s="226"/>
      <c r="BA34" s="226"/>
      <c r="BB34" s="226"/>
      <c r="BC34" s="226"/>
      <c r="BD34" s="226"/>
      <c r="BE34" s="226"/>
      <c r="BF34" s="226"/>
      <c r="BG34" s="227"/>
      <c r="BH34" s="227"/>
      <c r="BI34" s="227"/>
      <c r="BJ34" s="227"/>
      <c r="BK34" s="227"/>
      <c r="BL34" s="227"/>
      <c r="BM34" s="227"/>
      <c r="BN34" s="227"/>
      <c r="BO34" s="227"/>
      <c r="BP34" s="2030"/>
      <c r="BQ34" s="226"/>
      <c r="BR34" s="226"/>
      <c r="BS34" s="226"/>
      <c r="BT34" s="226"/>
      <c r="BU34" s="226"/>
      <c r="BV34" s="226"/>
      <c r="BW34" s="226"/>
      <c r="BX34" s="226"/>
      <c r="BY34" s="226"/>
      <c r="BZ34" s="226"/>
      <c r="CA34" s="226"/>
      <c r="CB34" s="226"/>
      <c r="CC34" s="226"/>
      <c r="CD34" s="226"/>
      <c r="CE34" s="226"/>
      <c r="CF34" s="226"/>
      <c r="CG34" s="226"/>
      <c r="CH34" s="226"/>
      <c r="CI34" s="226"/>
      <c r="CJ34" s="226"/>
      <c r="CK34" s="226"/>
      <c r="CL34" s="226"/>
      <c r="CM34" s="226"/>
      <c r="CN34" s="226"/>
      <c r="CO34" s="226"/>
      <c r="CP34" s="226"/>
      <c r="CQ34" s="226"/>
      <c r="CR34" s="226"/>
      <c r="CS34" s="226"/>
      <c r="CT34" s="226"/>
      <c r="CU34" s="226"/>
      <c r="CV34" s="226"/>
    </row>
    <row r="35" spans="1:100" s="251" customFormat="1">
      <c r="A35" s="853" t="s">
        <v>841</v>
      </c>
      <c r="B35" s="475">
        <f t="shared" ref="B35:L35" si="129">SUM(B36:B37)</f>
        <v>659.16788959999997</v>
      </c>
      <c r="C35" s="475">
        <f t="shared" si="129"/>
        <v>707.80767159999994</v>
      </c>
      <c r="D35" s="475">
        <f t="shared" si="129"/>
        <v>634.02818329999991</v>
      </c>
      <c r="E35" s="475">
        <f t="shared" si="129"/>
        <v>436.81920999999994</v>
      </c>
      <c r="F35" s="475">
        <f t="shared" si="129"/>
        <v>856.04834999999991</v>
      </c>
      <c r="G35" s="475">
        <f t="shared" si="129"/>
        <v>874.31757999999991</v>
      </c>
      <c r="H35" s="475">
        <f t="shared" si="129"/>
        <v>863.2562999999999</v>
      </c>
      <c r="I35" s="475">
        <f t="shared" si="129"/>
        <v>1020.7028399999998</v>
      </c>
      <c r="J35" s="475">
        <f t="shared" si="129"/>
        <v>1036.39788</v>
      </c>
      <c r="K35" s="475">
        <f t="shared" si="129"/>
        <v>1230.8304499999999</v>
      </c>
      <c r="L35" s="475">
        <f t="shared" si="129"/>
        <v>1255.8126999999999</v>
      </c>
      <c r="M35" s="363">
        <f t="shared" ref="M35" si="130">SUM(M36:M37)</f>
        <v>1373.7889499999999</v>
      </c>
      <c r="N35" s="1655">
        <f t="shared" ref="N35:U35" si="131">N15*N23</f>
        <v>1458.7544999999998</v>
      </c>
      <c r="O35" s="1655">
        <f t="shared" si="131"/>
        <v>1549.6480177499993</v>
      </c>
      <c r="P35" s="1655">
        <f t="shared" si="131"/>
        <v>1588.5441829955241</v>
      </c>
      <c r="Q35" s="1655">
        <f t="shared" si="131"/>
        <v>1644.3815110278165</v>
      </c>
      <c r="R35" s="1655">
        <f t="shared" si="131"/>
        <v>1682.3502801174488</v>
      </c>
      <c r="S35" s="1655">
        <f t="shared" si="131"/>
        <v>1721.1957480853605</v>
      </c>
      <c r="T35" s="1655">
        <f t="shared" si="131"/>
        <v>1760.9381579086512</v>
      </c>
      <c r="U35" s="1655">
        <f t="shared" si="131"/>
        <v>1801.5982199747616</v>
      </c>
      <c r="V35" s="688"/>
      <c r="X35" s="1810">
        <f t="shared" ref="X35:BK35" si="132">SUM(X36:X37)</f>
        <v>141.52434679999999</v>
      </c>
      <c r="Y35" s="1810">
        <f t="shared" si="132"/>
        <v>192.75139479999999</v>
      </c>
      <c r="Z35" s="1810">
        <f t="shared" si="132"/>
        <v>174.5749969</v>
      </c>
      <c r="AA35" s="1810">
        <f t="shared" si="132"/>
        <v>198.95693729999999</v>
      </c>
      <c r="AB35" s="1810">
        <f t="shared" si="132"/>
        <v>171.57839159999997</v>
      </c>
      <c r="AC35" s="1810">
        <f t="shared" si="132"/>
        <v>180.59095539999998</v>
      </c>
      <c r="AD35" s="1810">
        <f t="shared" si="132"/>
        <v>115.2822146</v>
      </c>
      <c r="AE35" s="1810">
        <f t="shared" si="132"/>
        <v>166.5766175</v>
      </c>
      <c r="AF35" s="1810">
        <f t="shared" si="132"/>
        <v>37.1979446</v>
      </c>
      <c r="AG35" s="1810">
        <f t="shared" si="132"/>
        <v>114.84848749999998</v>
      </c>
      <c r="AH35" s="1810">
        <f t="shared" si="132"/>
        <v>145.35550000000001</v>
      </c>
      <c r="AI35" s="1810">
        <f t="shared" si="132"/>
        <v>139.39098999999999</v>
      </c>
      <c r="AJ35" s="1810">
        <f t="shared" si="132"/>
        <v>180.08087999999998</v>
      </c>
      <c r="AK35" s="1810">
        <f t="shared" si="132"/>
        <v>238.59835999999996</v>
      </c>
      <c r="AL35" s="1810">
        <f t="shared" si="132"/>
        <v>201.38315999999998</v>
      </c>
      <c r="AM35" s="1810">
        <f t="shared" si="132"/>
        <v>235.98594999999997</v>
      </c>
      <c r="AN35" s="1810">
        <f t="shared" si="132"/>
        <v>227.40609000000001</v>
      </c>
      <c r="AO35" s="1810">
        <f t="shared" si="132"/>
        <v>282.28728000000001</v>
      </c>
      <c r="AP35" s="1810">
        <f t="shared" si="132"/>
        <v>240.57644999999999</v>
      </c>
      <c r="AQ35" s="1810">
        <f t="shared" si="132"/>
        <v>123.94280999999999</v>
      </c>
      <c r="AR35" s="1810">
        <f t="shared" si="132"/>
        <v>229.39131999999998</v>
      </c>
      <c r="AS35" s="1810">
        <f t="shared" si="132"/>
        <v>311.03470999999996</v>
      </c>
      <c r="AT35" s="1810">
        <f t="shared" si="132"/>
        <v>207.04961999999998</v>
      </c>
      <c r="AU35" s="1810">
        <f t="shared" si="132"/>
        <v>115.88517999999999</v>
      </c>
      <c r="AV35" s="1810">
        <f t="shared" si="132"/>
        <v>142.20615999999998</v>
      </c>
      <c r="AW35" s="1810">
        <f t="shared" si="132"/>
        <v>433.03381999999993</v>
      </c>
      <c r="AX35" s="1810">
        <f t="shared" si="132"/>
        <v>181.85956999999999</v>
      </c>
      <c r="AY35" s="1810">
        <f t="shared" si="132"/>
        <v>263.81234999999998</v>
      </c>
      <c r="AZ35" s="1810">
        <f t="shared" si="132"/>
        <v>268.49856000000005</v>
      </c>
      <c r="BA35" s="1810">
        <f t="shared" si="132"/>
        <v>339.69146999999992</v>
      </c>
      <c r="BB35" s="1810">
        <f t="shared" si="132"/>
        <v>194.07865999999996</v>
      </c>
      <c r="BC35" s="1810">
        <f t="shared" si="132"/>
        <v>234.12918999999999</v>
      </c>
      <c r="BD35" s="1810">
        <f t="shared" si="132"/>
        <v>244.57882999999998</v>
      </c>
      <c r="BE35" s="1810">
        <f t="shared" si="132"/>
        <v>300.61320999999998</v>
      </c>
      <c r="BF35" s="1810">
        <f t="shared" si="132"/>
        <v>331.26864</v>
      </c>
      <c r="BG35" s="1811">
        <f t="shared" si="132"/>
        <v>354.36976999999996</v>
      </c>
      <c r="BH35" s="1811">
        <f t="shared" si="132"/>
        <v>212.09351999999998</v>
      </c>
      <c r="BI35" s="1811">
        <f t="shared" si="132"/>
        <v>292.05140999999992</v>
      </c>
      <c r="BJ35" s="1811">
        <f t="shared" si="132"/>
        <v>372.53824999999995</v>
      </c>
      <c r="BK35" s="1811">
        <f t="shared" si="132"/>
        <v>379.1295199999999</v>
      </c>
      <c r="BL35" s="1811">
        <f t="shared" ref="BL35:BM35" si="133">SUM(BL36:BL37)</f>
        <v>344.10944999999998</v>
      </c>
      <c r="BM35" s="1811">
        <f t="shared" si="133"/>
        <v>342.36268000000001</v>
      </c>
      <c r="BN35" s="1811">
        <f t="shared" ref="BN35:BO35" si="134">SUM(BN36:BN37)</f>
        <v>296.40013999999996</v>
      </c>
      <c r="BO35" s="1811">
        <f t="shared" si="134"/>
        <v>390.91667999999999</v>
      </c>
      <c r="BP35" s="1812">
        <f t="shared" ref="BP35" si="135">SUM(BP36:BP37)</f>
        <v>389.00111999999996</v>
      </c>
    </row>
    <row r="36" spans="1:100" s="54" customFormat="1">
      <c r="A36" s="157" t="s">
        <v>188</v>
      </c>
      <c r="B36" s="327">
        <f>+B54*Inputs!$B$190</f>
        <v>217.74606200000002</v>
      </c>
      <c r="C36" s="327">
        <f>+C54*Inputs!$B$190</f>
        <v>206.74625250000003</v>
      </c>
      <c r="D36" s="327">
        <f>+D54*Inputs!$B$190</f>
        <v>210.1109495</v>
      </c>
      <c r="E36" s="327">
        <f>+E54*Inputs!$B$190</f>
        <v>49.326500000000003</v>
      </c>
      <c r="F36" s="327">
        <f>+F54*Inputs!$B$190</f>
        <v>65.278900000000007</v>
      </c>
      <c r="G36" s="327">
        <f>+G54*Inputs!$B$190</f>
        <v>59.401700000000005</v>
      </c>
      <c r="H36" s="327">
        <f>+H54*Inputs!$B$190</f>
        <v>64.12445000000001</v>
      </c>
      <c r="I36" s="327">
        <f>+I54*Inputs!$B$190</f>
        <v>70.211550000000017</v>
      </c>
      <c r="J36" s="327">
        <f>+J54*Inputs!$B$190</f>
        <v>74.094700000000003</v>
      </c>
      <c r="K36" s="327">
        <f>+K54*Inputs!$B$190</f>
        <v>101.90645000000001</v>
      </c>
      <c r="L36" s="327">
        <f>+L54*Inputs!$B$190</f>
        <v>101.8015</v>
      </c>
      <c r="M36" s="358">
        <f>+M54*Inputs!$B$190</f>
        <v>144.51615000000001</v>
      </c>
      <c r="N36" s="1643">
        <f t="shared" ref="N36:U36" si="136">N$35*N26</f>
        <v>130.82811405413435</v>
      </c>
      <c r="O36" s="1643">
        <f t="shared" si="136"/>
        <v>138.97988154275455</v>
      </c>
      <c r="P36" s="1643">
        <f t="shared" si="136"/>
        <v>142.46827656947769</v>
      </c>
      <c r="Q36" s="1643">
        <f t="shared" si="136"/>
        <v>147.47603649089478</v>
      </c>
      <c r="R36" s="1643">
        <f t="shared" si="136"/>
        <v>150.88125817346958</v>
      </c>
      <c r="S36" s="1643">
        <f t="shared" si="136"/>
        <v>154.36510642469494</v>
      </c>
      <c r="T36" s="1643">
        <f t="shared" si="136"/>
        <v>157.92939673204114</v>
      </c>
      <c r="U36" s="1643">
        <f t="shared" si="136"/>
        <v>161.57598650258393</v>
      </c>
      <c r="V36" s="640"/>
      <c r="X36" s="869">
        <f>+X54*Inputs!$B$190</f>
        <v>48.35571250000001</v>
      </c>
      <c r="Y36" s="869">
        <f>+Y54*Inputs!$B$190</f>
        <v>60.117459000000004</v>
      </c>
      <c r="Z36" s="869">
        <f>+Z54*Inputs!$B$190</f>
        <v>56.01916150000001</v>
      </c>
      <c r="AA36" s="869">
        <f>+AA54*Inputs!$B$190</f>
        <v>42.254969000000003</v>
      </c>
      <c r="AB36" s="869">
        <f>+AB54*Inputs!$B$190</f>
        <v>45.638556999999999</v>
      </c>
      <c r="AC36" s="869">
        <f>+AC54*Inputs!$B$190</f>
        <v>47.72496300000001</v>
      </c>
      <c r="AD36" s="869">
        <f>+AD54*Inputs!$B$190</f>
        <v>60.663199000000006</v>
      </c>
      <c r="AE36" s="869">
        <f>+AE54*Inputs!$B$190</f>
        <v>56.08318100000001</v>
      </c>
      <c r="AF36" s="869">
        <f>+AF54*Inputs!$B$190</f>
        <v>4.1539210000000004</v>
      </c>
      <c r="AG36" s="869">
        <f>+AG54*Inputs!$B$190</f>
        <v>17.321997500000002</v>
      </c>
      <c r="AH36" s="869">
        <f>+AH54*Inputs!$B$190</f>
        <v>14.693000000000001</v>
      </c>
      <c r="AI36" s="869">
        <f>+AI54*Inputs!$B$190</f>
        <v>13.118750000000002</v>
      </c>
      <c r="AJ36" s="869">
        <f>+AJ54*Inputs!$B$190</f>
        <v>20.045450000000002</v>
      </c>
      <c r="AK36" s="869">
        <f>+AK54*Inputs!$B$190</f>
        <v>15.217750000000002</v>
      </c>
      <c r="AL36" s="869">
        <f>+AL54*Inputs!$B$190</f>
        <v>14.588049999999999</v>
      </c>
      <c r="AM36" s="869">
        <f>+AM54*Inputs!$B$190</f>
        <v>15.42765</v>
      </c>
      <c r="AN36" s="869">
        <f>+AN54*Inputs!$B$190</f>
        <v>13.32865</v>
      </c>
      <c r="AO36" s="869">
        <f>+AO54*Inputs!$B$190</f>
        <v>14.063300000000002</v>
      </c>
      <c r="AP36" s="869">
        <f>+AP54*Inputs!$B$190</f>
        <v>13.223700000000001</v>
      </c>
      <c r="AQ36" s="869">
        <f>+AQ54*Inputs!$B$190</f>
        <v>18.681100000000004</v>
      </c>
      <c r="AR36" s="869">
        <f>+AR54*Inputs!$B$190</f>
        <v>13.118750000000002</v>
      </c>
      <c r="AS36" s="869">
        <f>+AS54*Inputs!$B$190</f>
        <v>14.4831</v>
      </c>
      <c r="AT36" s="869">
        <f>+AT54*Inputs!$B$190</f>
        <v>20.045449999999999</v>
      </c>
      <c r="AU36" s="869">
        <f>+AU54*Inputs!$B$190</f>
        <v>16.477150000000002</v>
      </c>
      <c r="AV36" s="869">
        <f>+AV54*Inputs!$B$190</f>
        <v>11.334600000000002</v>
      </c>
      <c r="AW36" s="869">
        <f>+AW54*Inputs!$B$190</f>
        <v>17.631600000000002</v>
      </c>
      <c r="AX36" s="869">
        <f>+AX54*Inputs!$B$190</f>
        <v>20.465250000000001</v>
      </c>
      <c r="AY36" s="869">
        <f>+AY54*Inputs!$B$190</f>
        <v>20.780100000000004</v>
      </c>
      <c r="AZ36" s="869">
        <f>+AZ54*Inputs!$B$190</f>
        <v>16.372199999999996</v>
      </c>
      <c r="BA36" s="869">
        <f>+BA54*Inputs!$B$190</f>
        <v>18.366250000000001</v>
      </c>
      <c r="BB36" s="869">
        <f>+BB54*Inputs!$B$190</f>
        <v>17.736550000000001</v>
      </c>
      <c r="BC36" s="869">
        <f>+BC54*Inputs!$B$190</f>
        <v>21.619700000000005</v>
      </c>
      <c r="BD36" s="869">
        <f>+BD54*Inputs!$B$190</f>
        <v>20.780100000000004</v>
      </c>
      <c r="BE36" s="869">
        <f>+BE54*Inputs!$B$190</f>
        <v>22.354350000000004</v>
      </c>
      <c r="BF36" s="869">
        <f>+BF54*Inputs!$B$190</f>
        <v>29.386000000000003</v>
      </c>
      <c r="BG36" s="1584">
        <f>+BG54*Inputs!$B$190</f>
        <v>29.386000000000003</v>
      </c>
      <c r="BH36" s="1584">
        <f>+BH54*Inputs!$B$190</f>
        <v>26.657299999999999</v>
      </c>
      <c r="BI36" s="1584">
        <f>+BI54*Inputs!$B$190</f>
        <v>24.768200000000004</v>
      </c>
      <c r="BJ36" s="1584">
        <f>+BJ54*Inputs!$B$190</f>
        <v>24.453350000000004</v>
      </c>
      <c r="BK36" s="1584">
        <f>+BK54*Inputs!$B$190</f>
        <v>25.922650000000001</v>
      </c>
      <c r="BL36" s="1584">
        <f>+BL54*Inputs!$B$190</f>
        <v>25.292950000000005</v>
      </c>
      <c r="BM36" s="1584">
        <f>+BM54*Inputs!$B$190</f>
        <v>32.849350000000001</v>
      </c>
      <c r="BN36" s="1584">
        <f>+BN54*Inputs!$B$190</f>
        <v>40.510700000000007</v>
      </c>
      <c r="BO36" s="1584">
        <f>+BO54*Inputs!$B$190</f>
        <v>45.863150000000005</v>
      </c>
      <c r="BP36" s="1813">
        <f>+BP54*Inputs!$B$190</f>
        <v>37.362200000000009</v>
      </c>
    </row>
    <row r="37" spans="1:100" s="54" customFormat="1">
      <c r="A37" s="157" t="s">
        <v>189</v>
      </c>
      <c r="B37" s="327">
        <f>+B55*Inputs!$B$189</f>
        <v>441.42182759999992</v>
      </c>
      <c r="C37" s="327">
        <f>+C55*Inputs!$B$189</f>
        <v>501.06141909999991</v>
      </c>
      <c r="D37" s="327">
        <f>+D55*Inputs!$B$189</f>
        <v>423.91723379999996</v>
      </c>
      <c r="E37" s="327">
        <f>+E55*Inputs!$B$189</f>
        <v>387.49270999999993</v>
      </c>
      <c r="F37" s="327">
        <f>+F55*Inputs!$B$189</f>
        <v>790.76944999999989</v>
      </c>
      <c r="G37" s="327">
        <f>+G55*Inputs!$B$189</f>
        <v>814.9158799999999</v>
      </c>
      <c r="H37" s="327">
        <f>+H55*Inputs!$B$189</f>
        <v>799.13184999999987</v>
      </c>
      <c r="I37" s="327">
        <f>+I55*Inputs!$B$189</f>
        <v>950.49128999999982</v>
      </c>
      <c r="J37" s="327">
        <f>+J55*Inputs!$B$189</f>
        <v>962.30317999999988</v>
      </c>
      <c r="K37" s="327">
        <f>+K55*Inputs!$B$189</f>
        <v>1128.924</v>
      </c>
      <c r="L37" s="327">
        <f>+L55*Inputs!$B$189</f>
        <v>1154.0111999999999</v>
      </c>
      <c r="M37" s="358">
        <f>+M55*Inputs!$B$189</f>
        <v>1229.2728</v>
      </c>
      <c r="N37" s="1643">
        <f t="shared" ref="N37:T37" si="137">N$35*N27</f>
        <v>1327.9263859458654</v>
      </c>
      <c r="O37" s="1643">
        <f t="shared" si="137"/>
        <v>1410.6681362072447</v>
      </c>
      <c r="P37" s="1643">
        <f t="shared" si="137"/>
        <v>1446.0759064260465</v>
      </c>
      <c r="Q37" s="1643">
        <f t="shared" si="137"/>
        <v>1496.9054745369217</v>
      </c>
      <c r="R37" s="1643">
        <f t="shared" si="137"/>
        <v>1531.4690219439792</v>
      </c>
      <c r="S37" s="1643">
        <f t="shared" si="137"/>
        <v>1566.8306416606656</v>
      </c>
      <c r="T37" s="1643">
        <f t="shared" si="137"/>
        <v>1603.0087611766101</v>
      </c>
      <c r="U37" s="1643">
        <f>U$35*U27</f>
        <v>1640.0222334721777</v>
      </c>
      <c r="V37" s="640"/>
      <c r="X37" s="869">
        <f>+X55*Inputs!$B$189</f>
        <v>93.168634299999994</v>
      </c>
      <c r="Y37" s="869">
        <f>+Y55*Inputs!$B$189</f>
        <v>132.63393579999999</v>
      </c>
      <c r="Z37" s="869">
        <f>+Z55*Inputs!$B$189</f>
        <v>118.55583539999999</v>
      </c>
      <c r="AA37" s="869">
        <f>+AA55*Inputs!$B$189</f>
        <v>156.70196829999998</v>
      </c>
      <c r="AB37" s="869">
        <f>+AB55*Inputs!$B$189</f>
        <v>125.93983459999998</v>
      </c>
      <c r="AC37" s="869">
        <f>+AC55*Inputs!$B$189</f>
        <v>132.86599239999998</v>
      </c>
      <c r="AD37" s="869">
        <f>+AD55*Inputs!$B$189</f>
        <v>54.619015599999997</v>
      </c>
      <c r="AE37" s="869">
        <f>+AE55*Inputs!$B$189</f>
        <v>110.49343649999999</v>
      </c>
      <c r="AF37" s="869">
        <f>+AF55*Inputs!$B$189</f>
        <v>33.044023599999996</v>
      </c>
      <c r="AG37" s="869">
        <f>+AG55*Inputs!$B$189</f>
        <v>97.526489999999981</v>
      </c>
      <c r="AH37" s="869">
        <f>+AH55*Inputs!$B$189</f>
        <v>130.66249999999999</v>
      </c>
      <c r="AI37" s="869">
        <f>+AI55*Inputs!$B$189</f>
        <v>126.27223999999998</v>
      </c>
      <c r="AJ37" s="869">
        <f>+AJ55*Inputs!$B$189</f>
        <v>160.03542999999999</v>
      </c>
      <c r="AK37" s="869">
        <f>+AK55*Inputs!$B$189</f>
        <v>223.38060999999996</v>
      </c>
      <c r="AL37" s="869">
        <f>+AL55*Inputs!$B$189</f>
        <v>186.79510999999997</v>
      </c>
      <c r="AM37" s="869">
        <f>+AM55*Inputs!$B$189</f>
        <v>220.55829999999997</v>
      </c>
      <c r="AN37" s="869">
        <f>+AN55*Inputs!$B$189</f>
        <v>214.07744</v>
      </c>
      <c r="AO37" s="869">
        <f>+AO55*Inputs!$B$189</f>
        <v>268.22397999999998</v>
      </c>
      <c r="AP37" s="869">
        <f>+AP55*Inputs!$B$189</f>
        <v>227.35274999999999</v>
      </c>
      <c r="AQ37" s="869">
        <f>+AQ55*Inputs!$B$189</f>
        <v>105.26170999999999</v>
      </c>
      <c r="AR37" s="869">
        <f>+AR55*Inputs!$B$189</f>
        <v>216.27256999999997</v>
      </c>
      <c r="AS37" s="869">
        <f>+AS55*Inputs!$B$189</f>
        <v>296.55160999999998</v>
      </c>
      <c r="AT37" s="869">
        <f>+AT55*Inputs!$B$189</f>
        <v>187.00416999999999</v>
      </c>
      <c r="AU37" s="869">
        <f>+AU55*Inputs!$B$189</f>
        <v>99.408029999999997</v>
      </c>
      <c r="AV37" s="869">
        <f>+AV55*Inputs!$B$189</f>
        <v>130.87155999999999</v>
      </c>
      <c r="AW37" s="869">
        <f>+AW55*Inputs!$B$189</f>
        <v>415.40221999999994</v>
      </c>
      <c r="AX37" s="869">
        <f>+AX55*Inputs!$B$189</f>
        <v>161.39431999999999</v>
      </c>
      <c r="AY37" s="869">
        <f>+AY55*Inputs!$B$189</f>
        <v>243.03224999999998</v>
      </c>
      <c r="AZ37" s="869">
        <f>+AZ55*Inputs!$B$189</f>
        <v>252.12636000000003</v>
      </c>
      <c r="BA37" s="869">
        <f>+BA55*Inputs!$B$189</f>
        <v>321.32521999999994</v>
      </c>
      <c r="BB37" s="869">
        <f>+BB55*Inputs!$B$189</f>
        <v>176.34210999999996</v>
      </c>
      <c r="BC37" s="869">
        <f>+BC55*Inputs!$B$189</f>
        <v>212.50949</v>
      </c>
      <c r="BD37" s="869">
        <f>+BD55*Inputs!$B$189</f>
        <v>223.79872999999998</v>
      </c>
      <c r="BE37" s="869">
        <f>+BE55*Inputs!$B$189</f>
        <v>278.25885999999997</v>
      </c>
      <c r="BF37" s="869">
        <f>+BF55*Inputs!$B$189</f>
        <v>301.88263999999998</v>
      </c>
      <c r="BG37" s="1584">
        <f>+BG55*Inputs!$B$189</f>
        <v>324.98376999999994</v>
      </c>
      <c r="BH37" s="1584">
        <f>+BH55*Inputs!$B$189</f>
        <v>185.43621999999999</v>
      </c>
      <c r="BI37" s="1584">
        <f>+BI55*Inputs!$B$189</f>
        <v>267.28320999999994</v>
      </c>
      <c r="BJ37" s="1584">
        <f>+BJ55*Inputs!$B$189</f>
        <v>348.08489999999995</v>
      </c>
      <c r="BK37" s="1584">
        <f>+BK55*Inputs!$B$189</f>
        <v>353.20686999999992</v>
      </c>
      <c r="BL37" s="1584">
        <f>+BL55*Inputs!$B$189</f>
        <v>318.81649999999996</v>
      </c>
      <c r="BM37" s="1584">
        <f>+BM55*Inputs!$B$189</f>
        <v>309.51333</v>
      </c>
      <c r="BN37" s="1584">
        <f>+BN55*Inputs!$B$189</f>
        <v>255.88943999999998</v>
      </c>
      <c r="BO37" s="1584">
        <f>+BO55*Inputs!$B$189</f>
        <v>345.05352999999997</v>
      </c>
      <c r="BP37" s="1813">
        <f>+BP55*Inputs!$B$189</f>
        <v>351.63891999999993</v>
      </c>
    </row>
    <row r="38" spans="1:100" s="251" customFormat="1">
      <c r="A38" s="853" t="s">
        <v>842</v>
      </c>
      <c r="B38" s="475">
        <f t="shared" ref="B38:L38" si="138">SUM(B39:B42)</f>
        <v>882.07736519999992</v>
      </c>
      <c r="C38" s="475">
        <f t="shared" si="138"/>
        <v>693.25563179999995</v>
      </c>
      <c r="D38" s="475">
        <f t="shared" si="138"/>
        <v>933.51050329999998</v>
      </c>
      <c r="E38" s="475">
        <f t="shared" si="138"/>
        <v>1075.68535</v>
      </c>
      <c r="F38" s="475">
        <f t="shared" si="138"/>
        <v>1046.9585</v>
      </c>
      <c r="G38" s="475">
        <f t="shared" si="138"/>
        <v>903.54175000000009</v>
      </c>
      <c r="H38" s="475">
        <f t="shared" si="138"/>
        <v>692.45226000000002</v>
      </c>
      <c r="I38" s="475">
        <f t="shared" si="138"/>
        <v>782.37880000000007</v>
      </c>
      <c r="J38" s="475">
        <f t="shared" si="138"/>
        <v>1108.6542999999999</v>
      </c>
      <c r="K38" s="475">
        <f t="shared" si="138"/>
        <v>1234.2041399999998</v>
      </c>
      <c r="L38" s="475">
        <f t="shared" si="138"/>
        <v>1380.1403399999999</v>
      </c>
      <c r="M38" s="363">
        <f t="shared" ref="M38" si="139">SUM(M39:M42)</f>
        <v>1212.19254</v>
      </c>
      <c r="N38" s="1655">
        <f t="shared" ref="N38:U38" si="140">N15*N24</f>
        <v>1518.2954999999999</v>
      </c>
      <c r="O38" s="1655">
        <f t="shared" si="140"/>
        <v>1612.8989572499995</v>
      </c>
      <c r="P38" s="1655">
        <f t="shared" si="140"/>
        <v>1653.3827210769743</v>
      </c>
      <c r="Q38" s="1655">
        <f t="shared" si="140"/>
        <v>1711.4991237228296</v>
      </c>
      <c r="R38" s="1655">
        <f t="shared" si="140"/>
        <v>1751.0176384895897</v>
      </c>
      <c r="S38" s="1655">
        <f t="shared" si="140"/>
        <v>1791.4486357623139</v>
      </c>
      <c r="T38" s="1655">
        <f t="shared" si="140"/>
        <v>1832.8131847620657</v>
      </c>
      <c r="U38" s="1655">
        <f t="shared" si="140"/>
        <v>1875.1328411982215</v>
      </c>
      <c r="V38" s="688"/>
      <c r="X38" s="1810">
        <f t="shared" ref="X38:BK38" si="141">SUM(X39:X42)</f>
        <v>179.69729999999998</v>
      </c>
      <c r="Y38" s="1810">
        <f t="shared" si="141"/>
        <v>198.29700890000001</v>
      </c>
      <c r="Z38" s="1810">
        <f t="shared" si="141"/>
        <v>166.67576129999998</v>
      </c>
      <c r="AA38" s="1810">
        <f t="shared" si="141"/>
        <v>148.58556160000001</v>
      </c>
      <c r="AB38" s="1810">
        <f t="shared" si="141"/>
        <v>202.6708433</v>
      </c>
      <c r="AC38" s="1810">
        <f t="shared" si="141"/>
        <v>221.04138129999998</v>
      </c>
      <c r="AD38" s="1810">
        <f t="shared" si="141"/>
        <v>180.13978180000001</v>
      </c>
      <c r="AE38" s="1810">
        <f t="shared" si="141"/>
        <v>329.65849689999993</v>
      </c>
      <c r="AF38" s="1810">
        <f t="shared" si="141"/>
        <v>162.3061136</v>
      </c>
      <c r="AG38" s="1810">
        <f t="shared" si="141"/>
        <v>295.25773099999998</v>
      </c>
      <c r="AH38" s="1810">
        <f t="shared" si="141"/>
        <v>261.52834999999999</v>
      </c>
      <c r="AI38" s="1810">
        <f t="shared" si="141"/>
        <v>356.81252000000001</v>
      </c>
      <c r="AJ38" s="1810">
        <f t="shared" si="141"/>
        <v>241.14729999999997</v>
      </c>
      <c r="AK38" s="1810">
        <f t="shared" si="141"/>
        <v>295.33958999999999</v>
      </c>
      <c r="AL38" s="1810">
        <f t="shared" si="141"/>
        <v>292.16179999999997</v>
      </c>
      <c r="AM38" s="1810">
        <f t="shared" si="141"/>
        <v>218.30243000000002</v>
      </c>
      <c r="AN38" s="1810">
        <f t="shared" si="141"/>
        <v>194.62855999999999</v>
      </c>
      <c r="AO38" s="1810">
        <f t="shared" si="141"/>
        <v>194.71956</v>
      </c>
      <c r="AP38" s="1810">
        <f t="shared" si="141"/>
        <v>281.31162</v>
      </c>
      <c r="AQ38" s="1810">
        <f t="shared" si="141"/>
        <v>233.05851999999996</v>
      </c>
      <c r="AR38" s="1810">
        <f t="shared" si="141"/>
        <v>142.30651999999998</v>
      </c>
      <c r="AS38" s="1810">
        <f t="shared" si="141"/>
        <v>128.18693999999999</v>
      </c>
      <c r="AT38" s="1810">
        <f t="shared" si="141"/>
        <v>220.92361</v>
      </c>
      <c r="AU38" s="1810">
        <f t="shared" si="141"/>
        <v>201.38083000000003</v>
      </c>
      <c r="AV38" s="1810">
        <f t="shared" si="141"/>
        <v>152.03915000000001</v>
      </c>
      <c r="AW38" s="1810">
        <f t="shared" si="141"/>
        <v>155.71573000000001</v>
      </c>
      <c r="AX38" s="1810">
        <f t="shared" si="141"/>
        <v>265.68639999999999</v>
      </c>
      <c r="AY38" s="1810">
        <f t="shared" si="141"/>
        <v>209.11402999999999</v>
      </c>
      <c r="AZ38" s="1810">
        <f t="shared" si="141"/>
        <v>298.14270999999997</v>
      </c>
      <c r="BA38" s="1810">
        <f t="shared" si="141"/>
        <v>307.44857999999999</v>
      </c>
      <c r="BB38" s="1810">
        <f t="shared" si="141"/>
        <v>230.30632999999997</v>
      </c>
      <c r="BC38" s="1810">
        <f t="shared" si="141"/>
        <v>272.75667999999996</v>
      </c>
      <c r="BD38" s="1810">
        <f t="shared" si="141"/>
        <v>299.23250999999999</v>
      </c>
      <c r="BE38" s="1810">
        <f t="shared" si="141"/>
        <v>229.39426</v>
      </c>
      <c r="BF38" s="1810">
        <f t="shared" si="141"/>
        <v>268.68957</v>
      </c>
      <c r="BG38" s="1811">
        <f t="shared" si="141"/>
        <v>437.06431000000003</v>
      </c>
      <c r="BH38" s="1811">
        <f t="shared" si="141"/>
        <v>230.78231</v>
      </c>
      <c r="BI38" s="1811">
        <f t="shared" si="141"/>
        <v>371.36239999999998</v>
      </c>
      <c r="BJ38" s="1811">
        <f t="shared" si="141"/>
        <v>417.13027</v>
      </c>
      <c r="BK38" s="1811">
        <f t="shared" si="141"/>
        <v>361.04187000000007</v>
      </c>
      <c r="BL38" s="1811">
        <f t="shared" ref="BL38:BM38" si="142">SUM(BL39:BL42)</f>
        <v>277.36070000000001</v>
      </c>
      <c r="BM38" s="1811">
        <f t="shared" si="142"/>
        <v>326.14022</v>
      </c>
      <c r="BN38" s="1811">
        <f t="shared" ref="BN38:BO38" si="143">SUM(BN39:BN42)</f>
        <v>296.94409999999999</v>
      </c>
      <c r="BO38" s="1811">
        <f t="shared" si="143"/>
        <v>311.92402999999996</v>
      </c>
      <c r="BP38" s="1812">
        <f t="shared" ref="BP38" si="144">SUM(BP39:BP42)</f>
        <v>252.57300000000001</v>
      </c>
    </row>
    <row r="39" spans="1:100" s="54" customFormat="1">
      <c r="A39" s="157" t="s">
        <v>160</v>
      </c>
      <c r="B39" s="327">
        <f>+B57*Inputs!$B$191</f>
        <v>597.52341709999996</v>
      </c>
      <c r="C39" s="327">
        <f>+C57*Inputs!$B$191</f>
        <v>224.05649869999999</v>
      </c>
      <c r="D39" s="327">
        <f>+D57*Inputs!$B$191</f>
        <v>382.04353930000002</v>
      </c>
      <c r="E39" s="327">
        <f>+E57*Inputs!$B$191</f>
        <v>354.7851</v>
      </c>
      <c r="F39" s="327">
        <f>+F57*Inputs!$B$191</f>
        <v>340.48778999999996</v>
      </c>
      <c r="G39" s="327">
        <f>+G57*Inputs!$B$191</f>
        <v>380.02602999999999</v>
      </c>
      <c r="H39" s="327">
        <f>+H57*Inputs!$B$191</f>
        <v>299.00794000000002</v>
      </c>
      <c r="I39" s="327">
        <f>+I57*Inputs!$B$191</f>
        <v>369.78844999999995</v>
      </c>
      <c r="J39" s="327">
        <f>+J57*Inputs!$B$191</f>
        <v>491.75686000000002</v>
      </c>
      <c r="K39" s="327">
        <f>+K57*Inputs!$B$191</f>
        <v>586.01319999999998</v>
      </c>
      <c r="L39" s="327">
        <f>+L57*Inputs!$B$191</f>
        <v>698.09704999999997</v>
      </c>
      <c r="M39" s="358">
        <f>+M57*Inputs!$B$191</f>
        <v>687.15342999999996</v>
      </c>
      <c r="N39" s="1643">
        <f t="shared" ref="N39:U39" si="145">N$38*N29</f>
        <v>783.18479890147273</v>
      </c>
      <c r="O39" s="1643">
        <f t="shared" si="145"/>
        <v>831.98425173639509</v>
      </c>
      <c r="P39" s="1643">
        <f t="shared" si="145"/>
        <v>852.86705645497864</v>
      </c>
      <c r="Q39" s="1643">
        <f t="shared" si="145"/>
        <v>882.84533348937089</v>
      </c>
      <c r="R39" s="1643">
        <f t="shared" si="145"/>
        <v>903.23023223964037</v>
      </c>
      <c r="S39" s="1643">
        <f t="shared" si="145"/>
        <v>924.08581830205355</v>
      </c>
      <c r="T39" s="1643">
        <f t="shared" si="145"/>
        <v>945.42295984664793</v>
      </c>
      <c r="U39" s="1643">
        <f t="shared" si="145"/>
        <v>967.25277598950686</v>
      </c>
      <c r="V39" s="640"/>
      <c r="X39" s="869">
        <f>+X57*Inputs!$B$191</f>
        <v>63.785418699999994</v>
      </c>
      <c r="Y39" s="869">
        <f>+Y57*Inputs!$B$191</f>
        <v>40.5055148</v>
      </c>
      <c r="Z39" s="869">
        <f>+Z57*Inputs!$B$191</f>
        <v>53.703167499999999</v>
      </c>
      <c r="AA39" s="869">
        <f>+AA57*Inputs!$B$191</f>
        <v>66.062397699999991</v>
      </c>
      <c r="AB39" s="869">
        <f>+AB57*Inputs!$B$191</f>
        <v>76.095226099999991</v>
      </c>
      <c r="AC39" s="869">
        <f>+AC57*Inputs!$B$191</f>
        <v>64.503814399999996</v>
      </c>
      <c r="AD39" s="869">
        <f>+AD57*Inputs!$B$191</f>
        <v>78.036836099999988</v>
      </c>
      <c r="AE39" s="869">
        <f>+AE57*Inputs!$B$191</f>
        <v>163.40766269999997</v>
      </c>
      <c r="AF39" s="869">
        <f>+AF57*Inputs!$B$191</f>
        <v>68.879497299999997</v>
      </c>
      <c r="AG39" s="869">
        <f>+AG57*Inputs!$B$191</f>
        <v>83.132679799999991</v>
      </c>
      <c r="AH39" s="869">
        <f>+AH57*Inputs!$B$191</f>
        <v>106.96505999999999</v>
      </c>
      <c r="AI39" s="869">
        <f>+AI57*Inputs!$B$191</f>
        <v>95.844929999999991</v>
      </c>
      <c r="AJ39" s="869">
        <f>+AJ57*Inputs!$B$191</f>
        <v>71.486549999999994</v>
      </c>
      <c r="AK39" s="869">
        <f>+AK57*Inputs!$B$191</f>
        <v>73.428159999999991</v>
      </c>
      <c r="AL39" s="869">
        <f>+AL57*Inputs!$B$191</f>
        <v>99.375129999999999</v>
      </c>
      <c r="AM39" s="869">
        <f>+AM57*Inputs!$B$191</f>
        <v>96.021439999999998</v>
      </c>
      <c r="AN39" s="869">
        <f>+AN57*Inputs!$B$191</f>
        <v>63.543599999999998</v>
      </c>
      <c r="AO39" s="869">
        <f>+AO57*Inputs!$B$191</f>
        <v>76.605339999999998</v>
      </c>
      <c r="AP39" s="869">
        <f>+AP57*Inputs!$B$191</f>
        <v>110.67177</v>
      </c>
      <c r="AQ39" s="869">
        <f>+AQ57*Inputs!$B$191</f>
        <v>129.38182999999998</v>
      </c>
      <c r="AR39" s="869">
        <f>+AR57*Inputs!$B$191</f>
        <v>62.308029999999988</v>
      </c>
      <c r="AS39" s="869">
        <f>+AS57*Inputs!$B$191</f>
        <v>56.306689999999996</v>
      </c>
      <c r="AT39" s="869">
        <f>+AT57*Inputs!$B$191</f>
        <v>104.14089999999999</v>
      </c>
      <c r="AU39" s="869">
        <f>+AU57*Inputs!$B$191</f>
        <v>76.252319999999997</v>
      </c>
      <c r="AV39" s="869">
        <f>+AV57*Inputs!$B$191</f>
        <v>77.311379999999986</v>
      </c>
      <c r="AW39" s="869">
        <f>+AW57*Inputs!$B$191</f>
        <v>78.899969999999996</v>
      </c>
      <c r="AX39" s="869">
        <f>+AX57*Inputs!$B$191</f>
        <v>115.96706999999999</v>
      </c>
      <c r="AY39" s="869">
        <f>+AY57*Inputs!$B$191</f>
        <v>97.610029999999995</v>
      </c>
      <c r="AZ39" s="869">
        <f>+AZ57*Inputs!$B$191</f>
        <v>124.96908000000001</v>
      </c>
      <c r="BA39" s="869">
        <f>+BA57*Inputs!$B$191</f>
        <v>97.610029999999995</v>
      </c>
      <c r="BB39" s="869">
        <f>+BB57*Inputs!$B$191</f>
        <v>112.61337999999999</v>
      </c>
      <c r="BC39" s="869">
        <f>+BC57*Inputs!$B$191</f>
        <v>156.56437</v>
      </c>
      <c r="BD39" s="869">
        <f>+BD57*Inputs!$B$191</f>
        <v>152.68115</v>
      </c>
      <c r="BE39" s="869">
        <f>+BE57*Inputs!$B$191</f>
        <v>114.55499</v>
      </c>
      <c r="BF39" s="869">
        <f>+BF57*Inputs!$B$191</f>
        <v>152.32812999999999</v>
      </c>
      <c r="BG39" s="1584">
        <f>+BG57*Inputs!$B$191</f>
        <v>166.62544</v>
      </c>
      <c r="BH39" s="1584">
        <f>+BH57*Inputs!$B$191</f>
        <v>151.79859999999999</v>
      </c>
      <c r="BI39" s="1584">
        <f>+BI57*Inputs!$B$191</f>
        <v>170.33214999999998</v>
      </c>
      <c r="BJ39" s="1584">
        <f>+BJ57*Inputs!$B$191</f>
        <v>48.716760000000001</v>
      </c>
      <c r="BK39" s="1584">
        <f>+BK57*Inputs!$B$191</f>
        <v>201.04489000000001</v>
      </c>
      <c r="BL39" s="1584">
        <f>+BL57*Inputs!$B$191</f>
        <v>161.50664999999998</v>
      </c>
      <c r="BM39" s="1584">
        <f>+BM57*Inputs!$B$191</f>
        <v>150.38651999999999</v>
      </c>
      <c r="BN39" s="1584">
        <f>+BN57*Inputs!$B$191</f>
        <v>168.74355999999997</v>
      </c>
      <c r="BO39" s="1584">
        <f>+BO57*Inputs!$B$191</f>
        <v>206.69320999999997</v>
      </c>
      <c r="BP39" s="1813">
        <f>+BP57*Inputs!$B$191</f>
        <v>166.62544</v>
      </c>
    </row>
    <row r="40" spans="1:100" s="54" customFormat="1">
      <c r="A40" s="157" t="s">
        <v>161</v>
      </c>
      <c r="B40" s="327">
        <f>+B58*Inputs!$B$191</f>
        <v>60.705319199999998</v>
      </c>
      <c r="C40" s="327">
        <f>+C58*Inputs!$B$191</f>
        <v>161.57195870000001</v>
      </c>
      <c r="D40" s="327">
        <f>+D58*Inputs!$B$191</f>
        <v>188.38206259999998</v>
      </c>
      <c r="E40" s="327">
        <f>+E58*Inputs!$B$191</f>
        <v>62.308029999999988</v>
      </c>
      <c r="F40" s="327">
        <f>+F58*Inputs!$B$191</f>
        <v>48.893269999999994</v>
      </c>
      <c r="G40" s="327">
        <f>+G58*Inputs!$B$191</f>
        <v>45.892599999999995</v>
      </c>
      <c r="H40" s="327">
        <f>+H58*Inputs!$B$191</f>
        <v>25.417439999999999</v>
      </c>
      <c r="I40" s="327">
        <f>+I58*Inputs!$B$191</f>
        <v>107.14157</v>
      </c>
      <c r="J40" s="327">
        <f>+J58*Inputs!$B$191</f>
        <v>192.04288</v>
      </c>
      <c r="K40" s="327">
        <f>+K58*Inputs!$B$191</f>
        <v>74.840239999999994</v>
      </c>
      <c r="L40" s="327">
        <f>+L58*Inputs!$B$191</f>
        <v>152.32812999999999</v>
      </c>
      <c r="M40" s="358">
        <f>+M58*Inputs!$B$191</f>
        <v>54.012059999999998</v>
      </c>
      <c r="N40" s="1643">
        <f t="shared" ref="N40:U40" si="146">N$38*N30</f>
        <v>109.09827068899126</v>
      </c>
      <c r="O40" s="1643">
        <f t="shared" si="146"/>
        <v>115.89607361152832</v>
      </c>
      <c r="P40" s="1643">
        <f t="shared" si="146"/>
        <v>118.80506505917768</v>
      </c>
      <c r="Q40" s="1643">
        <f t="shared" si="146"/>
        <v>122.98106309600774</v>
      </c>
      <c r="R40" s="1643">
        <f t="shared" si="146"/>
        <v>125.82069584289455</v>
      </c>
      <c r="S40" s="1643">
        <f t="shared" si="146"/>
        <v>128.72589570990695</v>
      </c>
      <c r="T40" s="1643">
        <f t="shared" si="146"/>
        <v>131.6981766418487</v>
      </c>
      <c r="U40" s="1643">
        <f t="shared" si="146"/>
        <v>134.73908754050899</v>
      </c>
      <c r="V40" s="640"/>
      <c r="X40" s="869">
        <f>+X58*Inputs!$B$191</f>
        <v>38.881622799999995</v>
      </c>
      <c r="Y40" s="869">
        <f>+Y58*Inputs!$B$191</f>
        <v>79.567177799999996</v>
      </c>
      <c r="Z40" s="869">
        <f>+Z58*Inputs!$B$191</f>
        <v>27.923881999999999</v>
      </c>
      <c r="AA40" s="869">
        <f>+AA58*Inputs!$B$191</f>
        <v>15.199276100000001</v>
      </c>
      <c r="AB40" s="869">
        <f>+AB58*Inputs!$B$191</f>
        <v>56.116059200000002</v>
      </c>
      <c r="AC40" s="869">
        <f>+AC58*Inputs!$B$191</f>
        <v>52.569973300000001</v>
      </c>
      <c r="AD40" s="869">
        <f>+AD58*Inputs!$B$191</f>
        <v>14.016659099999998</v>
      </c>
      <c r="AE40" s="869">
        <f>+AE58*Inputs!$B$191</f>
        <v>65.679371000000003</v>
      </c>
      <c r="AF40" s="869">
        <f>+AF58*Inputs!$B$191</f>
        <v>11.833230399999998</v>
      </c>
      <c r="AG40" s="869">
        <f>+AG58*Inputs!$B$191</f>
        <v>46.976371399999991</v>
      </c>
      <c r="AH40" s="869">
        <f>+AH58*Inputs!$B$191</f>
        <v>3.5301999999999998</v>
      </c>
      <c r="AI40" s="869">
        <f>+AI58*Inputs!$B$191</f>
        <v>0</v>
      </c>
      <c r="AJ40" s="869">
        <f>+AJ58*Inputs!$B$191</f>
        <v>8.6489899999999995</v>
      </c>
      <c r="AK40" s="869">
        <f>+AK58*Inputs!$B$191</f>
        <v>36.714079999999996</v>
      </c>
      <c r="AL40" s="869">
        <f>+AL58*Inputs!$B$191</f>
        <v>3.5301999999999998</v>
      </c>
      <c r="AM40" s="869">
        <f>+AM58*Inputs!$B$191</f>
        <v>0</v>
      </c>
      <c r="AN40" s="869">
        <f>+AN58*Inputs!$B$191</f>
        <v>12.355699999999999</v>
      </c>
      <c r="AO40" s="869">
        <f>+AO58*Inputs!$B$191</f>
        <v>17.651</v>
      </c>
      <c r="AP40" s="869">
        <f>+AP58*Inputs!$B$191</f>
        <v>15.885899999999999</v>
      </c>
      <c r="AQ40" s="869">
        <f>+AQ58*Inputs!$B$191</f>
        <v>0</v>
      </c>
      <c r="AR40" s="869">
        <f>+AR58*Inputs!$B$191</f>
        <v>0</v>
      </c>
      <c r="AS40" s="869">
        <f>+AS58*Inputs!$B$191</f>
        <v>0</v>
      </c>
      <c r="AT40" s="869">
        <f>+AT58*Inputs!$B$191</f>
        <v>14.120799999999999</v>
      </c>
      <c r="AU40" s="869">
        <f>+AU58*Inputs!$B$191</f>
        <v>11.473149999999999</v>
      </c>
      <c r="AV40" s="869">
        <f>+AV58*Inputs!$B$191</f>
        <v>11.473149999999999</v>
      </c>
      <c r="AW40" s="869">
        <f>+AW58*Inputs!$B$191</f>
        <v>8.8254999999999999</v>
      </c>
      <c r="AX40" s="869">
        <f>+AX58*Inputs!$B$191</f>
        <v>65.661720000000003</v>
      </c>
      <c r="AY40" s="869">
        <f>+AY58*Inputs!$B$191</f>
        <v>21.357709999999997</v>
      </c>
      <c r="AZ40" s="869">
        <f>+AZ58*Inputs!$B$191</f>
        <v>92.667749999999998</v>
      </c>
      <c r="BA40" s="869">
        <f>+BA58*Inputs!$B$191</f>
        <v>95.844929999999991</v>
      </c>
      <c r="BB40" s="869">
        <f>+BB58*Inputs!$B$191</f>
        <v>3.5301999999999998</v>
      </c>
      <c r="BC40" s="869">
        <f>+BC58*Inputs!$B$191</f>
        <v>0</v>
      </c>
      <c r="BD40" s="869">
        <f>+BD58*Inputs!$B$191</f>
        <v>74.840239999999994</v>
      </c>
      <c r="BE40" s="869">
        <f>+BE58*Inputs!$B$191</f>
        <v>0</v>
      </c>
      <c r="BF40" s="869">
        <f>+BF58*Inputs!$B$191</f>
        <v>0</v>
      </c>
      <c r="BG40" s="1584">
        <f>+BG58*Inputs!$B$191</f>
        <v>0</v>
      </c>
      <c r="BH40" s="1584">
        <f>+BH58*Inputs!$B$191</f>
        <v>0</v>
      </c>
      <c r="BI40" s="1584">
        <f>+BI58*Inputs!$B$191</f>
        <v>103.61136999999999</v>
      </c>
      <c r="BJ40" s="1584">
        <f>+BJ58*Inputs!$B$191</f>
        <v>175.09791999999999</v>
      </c>
      <c r="BK40" s="1584">
        <f>+BK58*Inputs!$B$191</f>
        <v>0</v>
      </c>
      <c r="BL40" s="1584">
        <f>+BL58*Inputs!$B$191</f>
        <v>0</v>
      </c>
      <c r="BM40" s="1584">
        <f>+BM58*Inputs!$B$191</f>
        <v>37.067099999999996</v>
      </c>
      <c r="BN40" s="1584">
        <f>+BN58*Inputs!$B$191</f>
        <v>0</v>
      </c>
      <c r="BO40" s="1584">
        <f>+BO58*Inputs!$B$191</f>
        <v>16.944959999999998</v>
      </c>
      <c r="BP40" s="1813">
        <f>+BP58*Inputs!$B$191</f>
        <v>0.70604</v>
      </c>
    </row>
    <row r="41" spans="1:100" s="54" customFormat="1">
      <c r="A41" s="157" t="s">
        <v>158</v>
      </c>
      <c r="B41" s="327">
        <f>+B59*Inputs!$B$192</f>
        <v>130.4245995</v>
      </c>
      <c r="C41" s="327">
        <f>+C59*Inputs!$B$192</f>
        <v>257.5613118</v>
      </c>
      <c r="D41" s="327">
        <f>+D59*Inputs!$B$192</f>
        <v>303.43444169999998</v>
      </c>
      <c r="E41" s="327">
        <f>+E59*Inputs!$B$192</f>
        <v>623.24405000000002</v>
      </c>
      <c r="F41" s="327">
        <f>+F59*Inputs!$B$192</f>
        <v>557.62161000000003</v>
      </c>
      <c r="G41" s="327">
        <f>+G59*Inputs!$B$192</f>
        <v>433.14193000000006</v>
      </c>
      <c r="H41" s="327">
        <f>+H59*Inputs!$B$192</f>
        <v>300.03662000000003</v>
      </c>
      <c r="I41" s="327">
        <f>+I59*Inputs!$B$192</f>
        <v>250.81979000000001</v>
      </c>
      <c r="J41" s="327">
        <f>+J59*Inputs!$B$192</f>
        <v>317.45700999999997</v>
      </c>
      <c r="K41" s="327">
        <f>+K59*Inputs!$B$192</f>
        <v>492.50655999999998</v>
      </c>
      <c r="L41" s="327">
        <f>+L59*Inputs!$B$192</f>
        <v>441.59843000000006</v>
      </c>
      <c r="M41" s="358">
        <f>+M59*Inputs!$B$192</f>
        <v>406.08112999999997</v>
      </c>
      <c r="N41" s="1643">
        <f>N$38*N31</f>
        <v>533.43360573561506</v>
      </c>
      <c r="O41" s="1643">
        <f t="shared" ref="O41:U41" si="147">O$38*O31</f>
        <v>566.67131428175935</v>
      </c>
      <c r="P41" s="1643">
        <f t="shared" si="147"/>
        <v>580.89476427023146</v>
      </c>
      <c r="Q41" s="1643">
        <f t="shared" si="147"/>
        <v>601.31321523432996</v>
      </c>
      <c r="R41" s="1643">
        <f t="shared" si="147"/>
        <v>615.19753737409053</v>
      </c>
      <c r="S41" s="1643">
        <f t="shared" si="147"/>
        <v>629.40244851205819</v>
      </c>
      <c r="T41" s="1643">
        <f t="shared" si="147"/>
        <v>643.9353510482016</v>
      </c>
      <c r="U41" s="1643">
        <f t="shared" si="147"/>
        <v>658.80381830390445</v>
      </c>
      <c r="V41" s="640"/>
      <c r="X41" s="869">
        <f>+X59*Inputs!$B$192</f>
        <v>63.606410399999994</v>
      </c>
      <c r="Y41" s="869">
        <f>+Y59*Inputs!$B$192</f>
        <v>62.491843700000011</v>
      </c>
      <c r="Z41" s="869">
        <f>+Z59*Inputs!$B$192</f>
        <v>72.091662499999998</v>
      </c>
      <c r="AA41" s="869">
        <f>+AA59*Inputs!$B$192</f>
        <v>59.371395200000002</v>
      </c>
      <c r="AB41" s="869">
        <f>+AB59*Inputs!$B$192</f>
        <v>53.516114600000002</v>
      </c>
      <c r="AC41" s="869">
        <f>+AC59*Inputs!$B$192</f>
        <v>82.831417499999986</v>
      </c>
      <c r="AD41" s="869">
        <f>+AD59*Inputs!$B$192</f>
        <v>83.502863599999998</v>
      </c>
      <c r="AE41" s="869">
        <f>+AE59*Inputs!$B$192</f>
        <v>83.584046000000001</v>
      </c>
      <c r="AF41" s="869">
        <f>+AF59*Inputs!$B$192</f>
        <v>81.593385900000001</v>
      </c>
      <c r="AG41" s="869">
        <f>+AG59*Inputs!$B$192</f>
        <v>156.77505349999998</v>
      </c>
      <c r="AH41" s="869">
        <f>+AH59*Inputs!$B$192</f>
        <v>144.26788999999999</v>
      </c>
      <c r="AI41" s="869">
        <f>+AI59*Inputs!$B$192</f>
        <v>240.67199000000002</v>
      </c>
      <c r="AJ41" s="869">
        <f>+AJ59*Inputs!$B$192</f>
        <v>140.03963999999999</v>
      </c>
      <c r="AK41" s="869">
        <f>+AK59*Inputs!$B$192</f>
        <v>135.47313</v>
      </c>
      <c r="AL41" s="869">
        <f>+AL59*Inputs!$B$192</f>
        <v>176.90997999999999</v>
      </c>
      <c r="AM41" s="869">
        <f>+AM59*Inputs!$B$192</f>
        <v>105.36798999999999</v>
      </c>
      <c r="AN41" s="869">
        <f>+AN59*Inputs!$B$192</f>
        <v>110.10363</v>
      </c>
      <c r="AO41" s="869">
        <f>+AO59*Inputs!$B$192</f>
        <v>91.668459999999996</v>
      </c>
      <c r="AP41" s="869">
        <f>+AP59*Inputs!$B$192</f>
        <v>137.84094999999999</v>
      </c>
      <c r="AQ41" s="869">
        <f>+AQ59*Inputs!$B$192</f>
        <v>93.52888999999999</v>
      </c>
      <c r="AR41" s="869">
        <f>+AR59*Inputs!$B$192</f>
        <v>73.064160000000001</v>
      </c>
      <c r="AS41" s="869">
        <f>+AS59*Inputs!$B$192</f>
        <v>58.180720000000001</v>
      </c>
      <c r="AT41" s="869">
        <f>+AT59*Inputs!$B$192</f>
        <v>75.601110000000006</v>
      </c>
      <c r="AU41" s="869">
        <f>+AU59*Inputs!$B$192</f>
        <v>93.359760000000009</v>
      </c>
      <c r="AV41" s="869">
        <f>+AV59*Inputs!$B$192</f>
        <v>54.798119999999997</v>
      </c>
      <c r="AW41" s="869">
        <f>+AW59*Inputs!$B$192</f>
        <v>51.077260000000003</v>
      </c>
      <c r="AX41" s="869">
        <f>+AX59*Inputs!$B$192</f>
        <v>75.601110000000006</v>
      </c>
      <c r="AY41" s="869">
        <f>+AY59*Inputs!$B$192</f>
        <v>69.343299999999999</v>
      </c>
      <c r="AZ41" s="869">
        <f>+AZ59*Inputs!$B$192</f>
        <v>75.26285</v>
      </c>
      <c r="BA41" s="869">
        <f>+BA59*Inputs!$B$192</f>
        <v>54.459860000000006</v>
      </c>
      <c r="BB41" s="869">
        <f>+BB59*Inputs!$B$192</f>
        <v>83.38109</v>
      </c>
      <c r="BC41" s="869">
        <f>+BC59*Inputs!$B$192</f>
        <v>104.35320999999999</v>
      </c>
      <c r="BD41" s="869">
        <f>+BD59*Inputs!$B$192</f>
        <v>71.711119999999994</v>
      </c>
      <c r="BE41" s="869">
        <f>+BE59*Inputs!$B$192</f>
        <v>84.395870000000002</v>
      </c>
      <c r="BF41" s="869">
        <f>+BF59*Inputs!$B$192</f>
        <v>99.786699999999996</v>
      </c>
      <c r="BG41" s="1584">
        <f>+BG59*Inputs!$B$192</f>
        <v>236.61287000000002</v>
      </c>
      <c r="BH41" s="1584">
        <f>+BH59*Inputs!$B$192</f>
        <v>78.983710000000002</v>
      </c>
      <c r="BI41" s="1584">
        <f>+BI59*Inputs!$B$192</f>
        <v>49.385959999999997</v>
      </c>
      <c r="BJ41" s="1584">
        <f>+BJ59*Inputs!$B$192</f>
        <v>167.94609</v>
      </c>
      <c r="BK41" s="1584">
        <f>+BK59*Inputs!$B$192</f>
        <v>145.28267000000002</v>
      </c>
      <c r="BL41" s="1584">
        <f>+BL59*Inputs!$B$192</f>
        <v>101.47800000000001</v>
      </c>
      <c r="BM41" s="1584">
        <f>+BM59*Inputs!$B$192</f>
        <v>111.96406</v>
      </c>
      <c r="BN41" s="1584">
        <f>+BN59*Inputs!$B$192</f>
        <v>111.28753999999999</v>
      </c>
      <c r="BO41" s="1584">
        <f>+BO59*Inputs!$B$192</f>
        <v>81.520660000000007</v>
      </c>
      <c r="BP41" s="1813">
        <f>+BP59*Inputs!$B$192</f>
        <v>75.093720000000005</v>
      </c>
    </row>
    <row r="42" spans="1:100" s="54" customFormat="1">
      <c r="A42" s="157" t="s">
        <v>159</v>
      </c>
      <c r="B42" s="327">
        <f>+B60*Inputs!$B$192</f>
        <v>93.424029399999995</v>
      </c>
      <c r="C42" s="327">
        <f>+C60*Inputs!$B$192</f>
        <v>50.065862600000003</v>
      </c>
      <c r="D42" s="327">
        <f>+D60*Inputs!$B$192</f>
        <v>59.650459699999999</v>
      </c>
      <c r="E42" s="327">
        <f>+E60*Inputs!$B$192</f>
        <v>35.348169999999996</v>
      </c>
      <c r="F42" s="327">
        <f>+F60*Inputs!$B$192</f>
        <v>99.955830000000006</v>
      </c>
      <c r="G42" s="327">
        <f>+G60*Inputs!$B$192</f>
        <v>44.481190000000005</v>
      </c>
      <c r="H42" s="327">
        <f>+H60*Inputs!$B$192</f>
        <v>67.990260000000006</v>
      </c>
      <c r="I42" s="327">
        <f>+I60*Inputs!$B$192</f>
        <v>54.628989999999995</v>
      </c>
      <c r="J42" s="327">
        <f>+J60*Inputs!$B$192</f>
        <v>107.39755</v>
      </c>
      <c r="K42" s="327">
        <f>+K60*Inputs!$B$192</f>
        <v>80.844139999999996</v>
      </c>
      <c r="L42" s="327">
        <f>+L60*Inputs!$B$192</f>
        <v>88.116730000000004</v>
      </c>
      <c r="M42" s="358">
        <f>+M60*Inputs!$B$192</f>
        <v>64.945920000000001</v>
      </c>
      <c r="N42" s="1643">
        <f t="shared" ref="N42:U42" si="148">N$38*N32</f>
        <v>92.578824673920863</v>
      </c>
      <c r="O42" s="1643">
        <f t="shared" si="148"/>
        <v>98.347317620316659</v>
      </c>
      <c r="P42" s="1643">
        <f t="shared" si="148"/>
        <v>100.81583529258658</v>
      </c>
      <c r="Q42" s="1643">
        <f t="shared" si="148"/>
        <v>104.35951190312099</v>
      </c>
      <c r="R42" s="1643">
        <f t="shared" si="148"/>
        <v>106.76917303296405</v>
      </c>
      <c r="S42" s="1643">
        <f t="shared" si="148"/>
        <v>109.23447323829515</v>
      </c>
      <c r="T42" s="1643">
        <f t="shared" si="148"/>
        <v>111.75669722536739</v>
      </c>
      <c r="U42" s="1643">
        <f t="shared" si="148"/>
        <v>114.33715936430112</v>
      </c>
      <c r="V42" s="640"/>
      <c r="X42" s="869">
        <f>+X60*Inputs!$B$192</f>
        <v>13.423848100000001</v>
      </c>
      <c r="Y42" s="869">
        <f>+Y60*Inputs!$B$192</f>
        <v>15.732472599999999</v>
      </c>
      <c r="Z42" s="869">
        <f>+Z60*Inputs!$B$192</f>
        <v>12.9570493</v>
      </c>
      <c r="AA42" s="869">
        <f>+AA60*Inputs!$B$192</f>
        <v>7.9524926000000002</v>
      </c>
      <c r="AB42" s="869">
        <f>+AB60*Inputs!$B$192</f>
        <v>16.943443400000003</v>
      </c>
      <c r="AC42" s="869">
        <f>+AC60*Inputs!$B$192</f>
        <v>21.1361761</v>
      </c>
      <c r="AD42" s="869">
        <f>+AD60*Inputs!$B$192</f>
        <v>4.5834229999999998</v>
      </c>
      <c r="AE42" s="869">
        <f>+AE60*Inputs!$B$192</f>
        <v>16.987417199999999</v>
      </c>
      <c r="AF42" s="869">
        <f>+AF60*Inputs!$B$192</f>
        <v>0</v>
      </c>
      <c r="AG42" s="869">
        <f>+AG60*Inputs!$B$192</f>
        <v>8.3736262999999997</v>
      </c>
      <c r="AH42" s="869">
        <f>+AH60*Inputs!$B$192</f>
        <v>6.7652000000000001</v>
      </c>
      <c r="AI42" s="869">
        <f>+AI60*Inputs!$B$192</f>
        <v>20.2956</v>
      </c>
      <c r="AJ42" s="869">
        <f>+AJ60*Inputs!$B$192</f>
        <v>20.97212</v>
      </c>
      <c r="AK42" s="869">
        <f>+AK60*Inputs!$B$192</f>
        <v>49.724219999999995</v>
      </c>
      <c r="AL42" s="869">
        <f>+AL60*Inputs!$B$192</f>
        <v>12.346489999999999</v>
      </c>
      <c r="AM42" s="869">
        <f>+AM60*Inputs!$B$192</f>
        <v>16.913</v>
      </c>
      <c r="AN42" s="869">
        <f>+AN60*Inputs!$B$192</f>
        <v>8.6256299999999992</v>
      </c>
      <c r="AO42" s="869">
        <f>+AO60*Inputs!$B$192</f>
        <v>8.7947600000000001</v>
      </c>
      <c r="AP42" s="869">
        <f>+AP60*Inputs!$B$192</f>
        <v>16.913</v>
      </c>
      <c r="AQ42" s="869">
        <f>+AQ60*Inputs!$B$192</f>
        <v>10.1478</v>
      </c>
      <c r="AR42" s="869">
        <f>+AR60*Inputs!$B$192</f>
        <v>6.9343299999999992</v>
      </c>
      <c r="AS42" s="869">
        <f>+AS60*Inputs!$B$192</f>
        <v>13.699529999999999</v>
      </c>
      <c r="AT42" s="869">
        <f>+AT60*Inputs!$B$192</f>
        <v>27.0608</v>
      </c>
      <c r="AU42" s="869">
        <f>+AU60*Inputs!$B$192</f>
        <v>20.2956</v>
      </c>
      <c r="AV42" s="869">
        <f>+AV60*Inputs!$B$192</f>
        <v>8.4565000000000001</v>
      </c>
      <c r="AW42" s="869">
        <f>+AW60*Inputs!$B$192</f>
        <v>16.913</v>
      </c>
      <c r="AX42" s="869">
        <f>+AX60*Inputs!$B$192</f>
        <v>8.4565000000000001</v>
      </c>
      <c r="AY42" s="869">
        <f>+AY60*Inputs!$B$192</f>
        <v>20.802990000000001</v>
      </c>
      <c r="AZ42" s="869">
        <f>+AZ60*Inputs!$B$192</f>
        <v>5.2430299999999903</v>
      </c>
      <c r="BA42" s="869">
        <f>+BA60*Inputs!$B$192</f>
        <v>59.533760000000008</v>
      </c>
      <c r="BB42" s="869">
        <f>+BB60*Inputs!$B$192</f>
        <v>30.781659999999999</v>
      </c>
      <c r="BC42" s="869">
        <f>+BC60*Inputs!$B$192</f>
        <v>11.8391</v>
      </c>
      <c r="BD42" s="869">
        <f>+BD60*Inputs!$B$192</f>
        <v>0</v>
      </c>
      <c r="BE42" s="869">
        <f>+BE60*Inputs!$B$192</f>
        <v>30.4434</v>
      </c>
      <c r="BF42" s="869">
        <f>+BF60*Inputs!$B$192</f>
        <v>16.574740000000002</v>
      </c>
      <c r="BG42" s="1584">
        <f>+BG60*Inputs!$B$192</f>
        <v>33.826000000000001</v>
      </c>
      <c r="BH42" s="1584">
        <f>+BH60*Inputs!$B$192</f>
        <v>0</v>
      </c>
      <c r="BI42" s="1584">
        <f>+BI60*Inputs!$B$192</f>
        <v>48.032919999999997</v>
      </c>
      <c r="BJ42" s="1584">
        <f>+BJ60*Inputs!$B$192</f>
        <v>25.369500000000002</v>
      </c>
      <c r="BK42" s="1584">
        <f>+BK60*Inputs!$B$192</f>
        <v>14.714309999999999</v>
      </c>
      <c r="BL42" s="1584">
        <f>+BL60*Inputs!$B$192</f>
        <v>14.376049999999999</v>
      </c>
      <c r="BM42" s="1584">
        <f>+BM60*Inputs!$B$192</f>
        <v>26.722540000000002</v>
      </c>
      <c r="BN42" s="1584">
        <f>+BN60*Inputs!$B$192</f>
        <v>16.913</v>
      </c>
      <c r="BO42" s="1584">
        <f>+BO60*Inputs!$B$192</f>
        <v>6.7652000000000001</v>
      </c>
      <c r="BP42" s="1813">
        <f>+BP60*Inputs!$B$192</f>
        <v>10.1478</v>
      </c>
    </row>
    <row r="43" spans="1:100">
      <c r="A43" s="54"/>
      <c r="B43" s="202"/>
      <c r="C43" s="202"/>
      <c r="D43" s="202"/>
      <c r="E43" s="202"/>
      <c r="F43" s="202"/>
      <c r="G43" s="202"/>
      <c r="H43" s="202"/>
      <c r="I43" s="202"/>
      <c r="J43" s="202"/>
      <c r="K43" s="202"/>
      <c r="L43" s="202"/>
      <c r="M43" s="355"/>
      <c r="N43" s="699"/>
      <c r="O43" s="699"/>
      <c r="P43" s="699"/>
      <c r="Q43" s="699"/>
      <c r="R43" s="699"/>
      <c r="S43" s="699"/>
      <c r="T43" s="699"/>
      <c r="U43" s="699"/>
      <c r="V43" s="641"/>
      <c r="X43" s="869"/>
      <c r="Y43" s="869"/>
      <c r="Z43" s="869"/>
      <c r="AA43" s="869"/>
      <c r="AB43" s="869"/>
      <c r="AC43" s="869"/>
      <c r="AD43" s="869"/>
      <c r="AE43" s="869"/>
      <c r="AF43" s="869"/>
      <c r="AG43" s="869"/>
      <c r="AH43" s="869"/>
      <c r="AI43" s="869"/>
      <c r="AJ43" s="869"/>
      <c r="AK43" s="869"/>
      <c r="AL43" s="869"/>
      <c r="AM43" s="869"/>
      <c r="AN43" s="869"/>
      <c r="AO43" s="869"/>
      <c r="AP43" s="869"/>
      <c r="AQ43" s="869"/>
      <c r="AR43" s="869"/>
      <c r="AS43" s="869"/>
      <c r="AT43" s="869"/>
      <c r="AU43" s="869"/>
      <c r="AV43" s="869"/>
      <c r="AW43" s="869"/>
      <c r="AX43" s="869"/>
      <c r="AY43" s="869"/>
      <c r="AZ43" s="869"/>
      <c r="BA43" s="869"/>
      <c r="BB43" s="869"/>
      <c r="BC43" s="869"/>
      <c r="BD43" s="869"/>
      <c r="BE43" s="869"/>
      <c r="BF43" s="869"/>
      <c r="BG43" s="1440"/>
      <c r="BH43" s="1440"/>
      <c r="BI43" s="1440"/>
      <c r="BJ43" s="1440"/>
      <c r="BK43" s="1440"/>
      <c r="BL43" s="1440"/>
      <c r="BM43" s="1440"/>
      <c r="BN43" s="1440"/>
      <c r="BO43" s="1440"/>
      <c r="BP43" s="1025"/>
    </row>
    <row r="44" spans="1:100" s="1401" customFormat="1">
      <c r="A44" s="2025" t="s">
        <v>810</v>
      </c>
      <c r="B44" s="226"/>
      <c r="C44" s="226"/>
      <c r="D44" s="226"/>
      <c r="E44" s="226"/>
      <c r="F44" s="226"/>
      <c r="G44" s="226"/>
      <c r="H44" s="226"/>
      <c r="I44" s="226"/>
      <c r="J44" s="226"/>
      <c r="K44" s="226"/>
      <c r="L44" s="226"/>
      <c r="M44" s="2030"/>
      <c r="N44" s="2026"/>
      <c r="O44" s="2026"/>
      <c r="P44" s="2026"/>
      <c r="Q44" s="2026"/>
      <c r="R44" s="2026"/>
      <c r="S44" s="2026"/>
      <c r="T44" s="2026"/>
      <c r="U44" s="2026"/>
      <c r="V44" s="634"/>
      <c r="X44" s="226"/>
      <c r="Y44" s="226"/>
      <c r="Z44" s="226"/>
      <c r="AA44" s="226"/>
      <c r="AB44" s="226"/>
      <c r="AC44" s="226"/>
      <c r="AD44" s="226"/>
      <c r="AE44" s="226"/>
      <c r="AF44" s="226"/>
      <c r="AG44" s="226"/>
      <c r="AH44" s="226"/>
      <c r="AI44" s="226"/>
      <c r="AJ44" s="226"/>
      <c r="AK44" s="226"/>
      <c r="AL44" s="226"/>
      <c r="AM44" s="226"/>
      <c r="AN44" s="226"/>
      <c r="AO44" s="226"/>
      <c r="AP44" s="226"/>
      <c r="AQ44" s="226"/>
      <c r="AR44" s="2029"/>
      <c r="AS44" s="226"/>
      <c r="AT44" s="226"/>
      <c r="AU44" s="226"/>
      <c r="AV44" s="226"/>
      <c r="AW44" s="226"/>
      <c r="AX44" s="226"/>
      <c r="AY44" s="226"/>
      <c r="AZ44" s="226"/>
      <c r="BA44" s="226"/>
      <c r="BB44" s="226"/>
      <c r="BC44" s="226"/>
      <c r="BD44" s="226"/>
      <c r="BE44" s="226"/>
      <c r="BF44" s="226"/>
      <c r="BG44" s="227"/>
      <c r="BH44" s="227"/>
      <c r="BI44" s="227"/>
      <c r="BJ44" s="227"/>
      <c r="BK44" s="227"/>
      <c r="BL44" s="227"/>
      <c r="BM44" s="227"/>
      <c r="BN44" s="227"/>
      <c r="BO44" s="227"/>
      <c r="BP44" s="2030"/>
      <c r="BQ44" s="226"/>
      <c r="BR44" s="226"/>
      <c r="BS44" s="226"/>
      <c r="BT44" s="226"/>
      <c r="BU44" s="226"/>
      <c r="BV44" s="226"/>
      <c r="BW44" s="226"/>
      <c r="BX44" s="226"/>
      <c r="BY44" s="226"/>
      <c r="BZ44" s="226"/>
      <c r="CA44" s="226"/>
      <c r="CB44" s="226"/>
      <c r="CC44" s="226"/>
      <c r="CD44" s="226"/>
      <c r="CE44" s="226"/>
      <c r="CF44" s="226"/>
      <c r="CG44" s="226"/>
      <c r="CH44" s="226"/>
      <c r="CI44" s="226"/>
      <c r="CJ44" s="226"/>
      <c r="CK44" s="226"/>
      <c r="CL44" s="226"/>
      <c r="CM44" s="226"/>
      <c r="CN44" s="226"/>
      <c r="CO44" s="226"/>
      <c r="CP44" s="226"/>
      <c r="CQ44" s="226"/>
      <c r="CR44" s="226"/>
      <c r="CS44" s="226"/>
      <c r="CT44" s="226"/>
      <c r="CU44" s="226"/>
      <c r="CV44" s="226"/>
    </row>
    <row r="45" spans="1:100">
      <c r="A45" s="54" t="s">
        <v>640</v>
      </c>
      <c r="B45" s="327">
        <f>'Annual historicals'!G17</f>
        <v>597</v>
      </c>
      <c r="C45" s="327">
        <f>'Annual historicals'!H17</f>
        <v>678</v>
      </c>
      <c r="D45" s="327">
        <f>'Annual historicals'!I17</f>
        <v>527</v>
      </c>
      <c r="E45" s="327">
        <f>'Annual historicals'!J17</f>
        <v>555</v>
      </c>
      <c r="F45" s="327">
        <f>'Annual historicals'!K17</f>
        <v>702</v>
      </c>
      <c r="G45" s="327">
        <f>'Annual historicals'!L17</f>
        <v>873</v>
      </c>
      <c r="H45" s="327">
        <f>'Annual historicals'!M17</f>
        <v>774</v>
      </c>
      <c r="I45" s="327">
        <f>'Annual historicals'!N17</f>
        <v>969</v>
      </c>
      <c r="J45" s="327">
        <f>'Annual historicals'!O17</f>
        <v>986</v>
      </c>
      <c r="K45" s="327">
        <f>'Annual historicals'!P17</f>
        <v>1231</v>
      </c>
      <c r="L45" s="327">
        <f>'Annual historicals'!Q17</f>
        <v>1230</v>
      </c>
      <c r="M45" s="358">
        <f>'Annual historicals'!R17</f>
        <v>1301</v>
      </c>
      <c r="N45" s="357">
        <f t="shared" ref="N45:U45" si="149">N46*N53</f>
        <v>1395.035815774088</v>
      </c>
      <c r="O45" s="357">
        <f t="shared" si="149"/>
        <v>1481.9590867445954</v>
      </c>
      <c r="P45" s="357">
        <f t="shared" si="149"/>
        <v>1519.1562598218848</v>
      </c>
      <c r="Q45" s="357">
        <f t="shared" si="149"/>
        <v>1572.5546023546237</v>
      </c>
      <c r="R45" s="357">
        <f t="shared" si="149"/>
        <v>1608.8648881229919</v>
      </c>
      <c r="S45" s="357">
        <f t="shared" si="149"/>
        <v>1646.0135783897517</v>
      </c>
      <c r="T45" s="357">
        <f t="shared" si="149"/>
        <v>1684.0200319147707</v>
      </c>
      <c r="U45" s="357">
        <f t="shared" si="149"/>
        <v>1722.9040544516822</v>
      </c>
      <c r="V45" s="634"/>
      <c r="X45" s="869">
        <f>'Quarterly historicals'!B34</f>
        <v>238</v>
      </c>
      <c r="Y45" s="869">
        <f>'Quarterly historicals'!C34</f>
        <v>395</v>
      </c>
      <c r="Z45" s="869">
        <f>'Quarterly historicals'!D34</f>
        <v>45</v>
      </c>
      <c r="AA45" s="869">
        <f>'Quarterly historicals'!E34</f>
        <v>0</v>
      </c>
      <c r="AB45" s="869">
        <f>'Quarterly historicals'!F34</f>
        <v>156</v>
      </c>
      <c r="AC45" s="869">
        <f>'Quarterly historicals'!G34</f>
        <v>244</v>
      </c>
      <c r="AD45" s="869">
        <f>'Quarterly historicals'!H34</f>
        <v>127</v>
      </c>
      <c r="AE45" s="869">
        <f>'Quarterly historicals'!I34</f>
        <v>0</v>
      </c>
      <c r="AF45" s="869">
        <f>'Quarterly historicals'!J34</f>
        <v>137</v>
      </c>
      <c r="AG45" s="869">
        <f>'Quarterly historicals'!K34</f>
        <v>294</v>
      </c>
      <c r="AH45" s="869">
        <f>'Quarterly historicals'!L34</f>
        <v>124</v>
      </c>
      <c r="AI45" s="869">
        <f>'Quarterly historicals'!M34</f>
        <v>0</v>
      </c>
      <c r="AJ45" s="869">
        <f>'Quarterly historicals'!N34</f>
        <v>228</v>
      </c>
      <c r="AK45" s="869">
        <f>'Quarterly historicals'!O34</f>
        <v>297</v>
      </c>
      <c r="AL45" s="869">
        <f>'Quarterly historicals'!P34</f>
        <v>177</v>
      </c>
      <c r="AM45" s="869">
        <f>'Quarterly historicals'!Q34</f>
        <v>0</v>
      </c>
      <c r="AN45" s="869">
        <f>'Quarterly historicals'!R34</f>
        <v>303</v>
      </c>
      <c r="AO45" s="869">
        <f>'Quarterly historicals'!S34</f>
        <v>403</v>
      </c>
      <c r="AP45" s="869">
        <f>'Quarterly historicals'!T34</f>
        <v>167</v>
      </c>
      <c r="AQ45" s="869">
        <f>'Quarterly historicals'!U34</f>
        <v>0</v>
      </c>
      <c r="AR45" s="869">
        <f>'Quarterly historicals'!V34</f>
        <v>213</v>
      </c>
      <c r="AS45" s="869">
        <f>'Quarterly historicals'!W34</f>
        <v>415</v>
      </c>
      <c r="AT45" s="869">
        <f>'Quarterly historicals'!X34</f>
        <v>146</v>
      </c>
      <c r="AU45" s="869">
        <f>'Quarterly historicals'!Y34</f>
        <v>0</v>
      </c>
      <c r="AV45" s="869">
        <f>'Quarterly historicals'!Z34</f>
        <v>190</v>
      </c>
      <c r="AW45" s="869">
        <f>'Quarterly historicals'!AA34</f>
        <v>469</v>
      </c>
      <c r="AX45" s="869">
        <f>'Quarterly historicals'!AB34</f>
        <v>310</v>
      </c>
      <c r="AY45" s="869">
        <f>'Quarterly historicals'!AC34</f>
        <v>1</v>
      </c>
      <c r="AZ45" s="869">
        <f>'Quarterly historicals'!AD34</f>
        <v>318</v>
      </c>
      <c r="BA45" s="869">
        <f>'Quarterly historicals'!AE34</f>
        <v>445</v>
      </c>
      <c r="BB45" s="869">
        <f>'Quarterly historicals'!AF34</f>
        <v>223</v>
      </c>
      <c r="BC45" s="869">
        <f>'Quarterly historicals'!AG34</f>
        <v>0</v>
      </c>
      <c r="BD45" s="869">
        <f>'Quarterly historicals'!AH34</f>
        <v>380</v>
      </c>
      <c r="BE45" s="869">
        <f>'Quarterly historicals'!AI34</f>
        <v>607</v>
      </c>
      <c r="BF45" s="869">
        <f>'Quarterly historicals'!AJ34</f>
        <v>244</v>
      </c>
      <c r="BG45" s="1440">
        <f>'Quarterly historicals'!AK34</f>
        <v>0</v>
      </c>
      <c r="BH45" s="1440">
        <f>'Quarterly historicals'!AL34</f>
        <v>423</v>
      </c>
      <c r="BI45" s="1440">
        <f>'Quarterly historicals'!AM34</f>
        <v>529</v>
      </c>
      <c r="BJ45" s="1440">
        <f>'Quarterly historicals'!AN34</f>
        <v>278</v>
      </c>
      <c r="BK45" s="1440">
        <f>'Quarterly historicals'!AO34</f>
        <v>0</v>
      </c>
      <c r="BL45" s="1440">
        <f>'Quarterly historicals'!AP34</f>
        <v>480</v>
      </c>
      <c r="BM45" s="1440">
        <f>'Quarterly historicals'!AQ34</f>
        <v>613</v>
      </c>
      <c r="BN45" s="1440">
        <f>'Quarterly historicals'!AR34</f>
        <v>208</v>
      </c>
      <c r="BO45" s="1440">
        <f>'Quarterly historicals'!AS34</f>
        <v>0</v>
      </c>
      <c r="BP45" s="1025">
        <f>'Quarterly historicals'!AT34</f>
        <v>504</v>
      </c>
    </row>
    <row r="46" spans="1:100" s="62" customFormat="1">
      <c r="A46" s="928" t="s">
        <v>898</v>
      </c>
      <c r="B46" s="343">
        <f t="shared" ref="B46:L46" si="150">B45/B53</f>
        <v>0.94796814064861978</v>
      </c>
      <c r="C46" s="343">
        <f t="shared" si="150"/>
        <v>1.0024514225051824</v>
      </c>
      <c r="D46" s="343">
        <f t="shared" si="150"/>
        <v>0.87000018159396586</v>
      </c>
      <c r="E46" s="343">
        <f t="shared" si="150"/>
        <v>1.3287048120660763</v>
      </c>
      <c r="F46" s="343">
        <f t="shared" si="150"/>
        <v>0.85745694393550742</v>
      </c>
      <c r="G46" s="343">
        <f t="shared" si="150"/>
        <v>1.0440086103802917</v>
      </c>
      <c r="H46" s="343">
        <f t="shared" si="150"/>
        <v>0.9375</v>
      </c>
      <c r="I46" s="343">
        <f t="shared" si="150"/>
        <v>0.99262446220036882</v>
      </c>
      <c r="J46" s="343">
        <f t="shared" si="150"/>
        <v>0.99475383373688453</v>
      </c>
      <c r="K46" s="343">
        <f t="shared" si="150"/>
        <v>1.0457905020813865</v>
      </c>
      <c r="L46" s="343">
        <f t="shared" si="150"/>
        <v>1.0241465445462115</v>
      </c>
      <c r="M46" s="781">
        <f t="shared" ref="M46" si="151">M45/M53</f>
        <v>0.99033264824541367</v>
      </c>
      <c r="N46" s="1664">
        <f>+Inputs!P65</f>
        <v>1</v>
      </c>
      <c r="O46" s="1664">
        <f>+Inputs!Q65</f>
        <v>1.0029781751616589</v>
      </c>
      <c r="P46" s="1664">
        <f>+Inputs!R65</f>
        <v>1.0027490847646083</v>
      </c>
      <c r="Q46" s="1664">
        <f>+Inputs!S65</f>
        <v>1.0027654483643975</v>
      </c>
      <c r="R46" s="1664">
        <f>+Inputs!T65</f>
        <v>1.0027643574577449</v>
      </c>
      <c r="S46" s="1664">
        <f>+Inputs!U65</f>
        <v>1.0027644256394106</v>
      </c>
      <c r="T46" s="1664">
        <f>+Inputs!V65</f>
        <v>1.0027644216287244</v>
      </c>
      <c r="U46" s="1664">
        <f>+Inputs!W65</f>
        <v>1.0027644218515404</v>
      </c>
      <c r="V46" s="782"/>
      <c r="W46" s="14"/>
      <c r="X46" s="1028">
        <f t="shared" ref="X46:BK46" si="152">X45/X53</f>
        <v>1.7602769107879825</v>
      </c>
      <c r="Y46" s="1028">
        <f t="shared" si="152"/>
        <v>2.1447808522653231</v>
      </c>
      <c r="Z46" s="1028">
        <f t="shared" si="152"/>
        <v>0.26979225995983092</v>
      </c>
      <c r="AA46" s="1028">
        <f t="shared" si="152"/>
        <v>0</v>
      </c>
      <c r="AB46" s="1028">
        <f t="shared" si="152"/>
        <v>0.95140515222482447</v>
      </c>
      <c r="AC46" s="1028">
        <f t="shared" si="152"/>
        <v>1.41382067654796</v>
      </c>
      <c r="AD46" s="1028">
        <f t="shared" si="152"/>
        <v>1.1539789557853417</v>
      </c>
      <c r="AE46" s="1028">
        <f t="shared" si="152"/>
        <v>0</v>
      </c>
      <c r="AF46" s="1028">
        <f t="shared" si="152"/>
        <v>3.8515603036266515</v>
      </c>
      <c r="AG46" s="1028">
        <f t="shared" si="152"/>
        <v>2.6774737033832707</v>
      </c>
      <c r="AH46" s="1028">
        <f t="shared" si="152"/>
        <v>0.8920863309352518</v>
      </c>
      <c r="AI46" s="1028">
        <f t="shared" si="152"/>
        <v>0</v>
      </c>
      <c r="AJ46" s="1028">
        <f t="shared" si="152"/>
        <v>1.3240418118466899</v>
      </c>
      <c r="AK46" s="1028">
        <f t="shared" si="152"/>
        <v>1.3014899211218229</v>
      </c>
      <c r="AL46" s="1028">
        <f t="shared" si="152"/>
        <v>0.9190031152647975</v>
      </c>
      <c r="AM46" s="1028">
        <f t="shared" si="152"/>
        <v>0</v>
      </c>
      <c r="AN46" s="1028">
        <f t="shared" si="152"/>
        <v>1.393103448275862</v>
      </c>
      <c r="AO46" s="1028">
        <f t="shared" si="152"/>
        <v>1.4925925925925927</v>
      </c>
      <c r="AP46" s="1028">
        <f t="shared" si="152"/>
        <v>0.72577140373750548</v>
      </c>
      <c r="AQ46" s="1028">
        <f t="shared" si="152"/>
        <v>0</v>
      </c>
      <c r="AR46" s="1028">
        <f t="shared" si="152"/>
        <v>0.97082953509571557</v>
      </c>
      <c r="AS46" s="1028">
        <f t="shared" si="152"/>
        <v>1.3949579831932772</v>
      </c>
      <c r="AT46" s="1028">
        <f t="shared" si="152"/>
        <v>0.73737373737373735</v>
      </c>
      <c r="AU46" s="1028">
        <f t="shared" si="152"/>
        <v>0</v>
      </c>
      <c r="AV46" s="1028">
        <f t="shared" si="152"/>
        <v>1.3970588235294117</v>
      </c>
      <c r="AW46" s="1028">
        <f t="shared" si="152"/>
        <v>1.1323032351521005</v>
      </c>
      <c r="AX46" s="1028">
        <f t="shared" si="152"/>
        <v>1.7826336975273145</v>
      </c>
      <c r="AY46" s="1028">
        <f t="shared" si="152"/>
        <v>3.9635354736424887E-3</v>
      </c>
      <c r="AZ46" s="1028">
        <f t="shared" si="152"/>
        <v>1.2383177570093455</v>
      </c>
      <c r="BA46" s="1028">
        <f t="shared" si="152"/>
        <v>1.3696522006771314</v>
      </c>
      <c r="BB46" s="1028">
        <f t="shared" si="152"/>
        <v>1.2015086206896552</v>
      </c>
      <c r="BC46" s="1028">
        <f t="shared" si="152"/>
        <v>0</v>
      </c>
      <c r="BD46" s="1028">
        <f t="shared" si="152"/>
        <v>1.6246259085079093</v>
      </c>
      <c r="BE46" s="1028">
        <f t="shared" si="152"/>
        <v>2.1113043478260871</v>
      </c>
      <c r="BF46" s="1028">
        <f t="shared" si="152"/>
        <v>0.77020202020202022</v>
      </c>
      <c r="BG46" s="488">
        <f t="shared" si="152"/>
        <v>0</v>
      </c>
      <c r="BH46" s="488">
        <f t="shared" si="152"/>
        <v>2.0857988165680474</v>
      </c>
      <c r="BI46" s="488">
        <f t="shared" si="152"/>
        <v>1.8940207662012172</v>
      </c>
      <c r="BJ46" s="488">
        <f t="shared" si="152"/>
        <v>0.78024136963233226</v>
      </c>
      <c r="BK46" s="488">
        <f t="shared" si="152"/>
        <v>0</v>
      </c>
      <c r="BL46" s="488">
        <f t="shared" ref="BL46:BM46" si="153">BL45/BL53</f>
        <v>1.4585232452142205</v>
      </c>
      <c r="BM46" s="488">
        <f t="shared" si="153"/>
        <v>1.8723274282223579</v>
      </c>
      <c r="BN46" s="488">
        <f t="shared" ref="BN46:BO46" si="154">BN45/BN53</f>
        <v>0.7339449541284403</v>
      </c>
      <c r="BO46" s="488">
        <f t="shared" si="154"/>
        <v>0</v>
      </c>
      <c r="BP46" s="759">
        <f t="shared" ref="BP46" si="155">BP45/BP53</f>
        <v>1.3548387096774193</v>
      </c>
    </row>
    <row r="47" spans="1:100">
      <c r="A47" s="54" t="s">
        <v>897</v>
      </c>
      <c r="B47" s="327">
        <f>'Annual historicals'!G18+'Annual historicals'!G19</f>
        <v>440</v>
      </c>
      <c r="C47" s="327">
        <f>'Annual historicals'!H18+'Annual historicals'!H19</f>
        <v>394</v>
      </c>
      <c r="D47" s="327">
        <f>'Annual historicals'!I18+'Annual historicals'!I19</f>
        <v>520</v>
      </c>
      <c r="E47" s="327">
        <f>'Annual historicals'!J18+'Annual historicals'!J19</f>
        <v>674</v>
      </c>
      <c r="F47" s="327">
        <f>'Annual historicals'!K18+'Annual historicals'!K19</f>
        <v>593</v>
      </c>
      <c r="G47" s="327">
        <f>'Annual historicals'!L18+'Annual historicals'!L19</f>
        <v>565</v>
      </c>
      <c r="H47" s="327">
        <f>'Annual historicals'!M18+'Annual historicals'!M19</f>
        <v>379</v>
      </c>
      <c r="I47" s="327">
        <f>'Annual historicals'!N18+'Annual historicals'!N19</f>
        <v>451</v>
      </c>
      <c r="J47" s="327">
        <f>'Annual historicals'!O18+'Annual historicals'!O19</f>
        <v>640</v>
      </c>
      <c r="K47" s="327">
        <f>'Annual historicals'!P18+'Annual historicals'!P19</f>
        <v>791</v>
      </c>
      <c r="L47" s="327">
        <f>'Annual historicals'!Q18+'Annual historicals'!Q19</f>
        <v>751</v>
      </c>
      <c r="M47" s="358">
        <f>'Annual historicals'!R18+'Annual historicals'!R19</f>
        <v>667</v>
      </c>
      <c r="N47" s="357">
        <f t="shared" ref="N47:U47" si="156">N48*N56</f>
        <v>875.65101041468256</v>
      </c>
      <c r="O47" s="357">
        <f t="shared" si="156"/>
        <v>930.21193938383522</v>
      </c>
      <c r="P47" s="357">
        <f t="shared" si="156"/>
        <v>953.56025906236937</v>
      </c>
      <c r="Q47" s="357">
        <f t="shared" si="156"/>
        <v>987.07790216841147</v>
      </c>
      <c r="R47" s="357">
        <f t="shared" si="156"/>
        <v>1009.86953092948</v>
      </c>
      <c r="S47" s="357">
        <f t="shared" si="156"/>
        <v>1033.1874183986417</v>
      </c>
      <c r="T47" s="357">
        <f t="shared" si="156"/>
        <v>1057.0437158894663</v>
      </c>
      <c r="U47" s="357">
        <f t="shared" si="156"/>
        <v>1081.450855289354</v>
      </c>
      <c r="V47" s="634"/>
      <c r="W47" s="177"/>
      <c r="X47" s="217">
        <f>'Quarterly historicals'!B35+'Quarterly historicals'!B36</f>
        <v>149</v>
      </c>
      <c r="Y47" s="217">
        <f>'Quarterly historicals'!C35+'Quarterly historicals'!C36</f>
        <v>211</v>
      </c>
      <c r="Z47" s="217">
        <f>'Quarterly historicals'!D35+'Quarterly historicals'!D36</f>
        <v>34</v>
      </c>
      <c r="AA47" s="217">
        <f>'Quarterly historicals'!E35+'Quarterly historicals'!E36</f>
        <v>0</v>
      </c>
      <c r="AB47" s="217">
        <f>'Quarterly historicals'!F35+'Quarterly historicals'!F36</f>
        <v>145</v>
      </c>
      <c r="AC47" s="217">
        <f>'Quarterly historicals'!G35+'Quarterly historicals'!G36</f>
        <v>241</v>
      </c>
      <c r="AD47" s="217">
        <f>'Quarterly historicals'!H35+'Quarterly historicals'!H36</f>
        <v>134</v>
      </c>
      <c r="AE47" s="217">
        <f>'Quarterly historicals'!I35+'Quarterly historicals'!I36</f>
        <v>0</v>
      </c>
      <c r="AF47" s="217">
        <f>'Quarterly historicals'!J35+'Quarterly historicals'!J36</f>
        <v>138</v>
      </c>
      <c r="AG47" s="217">
        <f>'Quarterly historicals'!K35+'Quarterly historicals'!K36</f>
        <v>325</v>
      </c>
      <c r="AH47" s="217">
        <f>'Quarterly historicals'!L35+'Quarterly historicals'!L36</f>
        <v>211</v>
      </c>
      <c r="AI47" s="217">
        <f>'Quarterly historicals'!M35+'Quarterly historicals'!M36</f>
        <v>0</v>
      </c>
      <c r="AJ47" s="217">
        <f>'Quarterly historicals'!N35+'Quarterly historicals'!N36</f>
        <v>194</v>
      </c>
      <c r="AK47" s="217">
        <f>'Quarterly historicals'!O35+'Quarterly historicals'!O36</f>
        <v>242</v>
      </c>
      <c r="AL47" s="217">
        <f>'Quarterly historicals'!P35+'Quarterly historicals'!P36</f>
        <v>157</v>
      </c>
      <c r="AM47" s="217">
        <f>'Quarterly historicals'!Q35+'Quarterly historicals'!Q36</f>
        <v>0</v>
      </c>
      <c r="AN47" s="217">
        <f>'Quarterly historicals'!R35+'Quarterly historicals'!R36</f>
        <v>217</v>
      </c>
      <c r="AO47" s="217">
        <f>'Quarterly historicals'!S35+'Quarterly historicals'!S36</f>
        <v>264</v>
      </c>
      <c r="AP47" s="217">
        <f>'Quarterly historicals'!T35+'Quarterly historicals'!T36</f>
        <v>84</v>
      </c>
      <c r="AQ47" s="217">
        <f>'Quarterly historicals'!U35+'Quarterly historicals'!U36</f>
        <v>0</v>
      </c>
      <c r="AR47" s="217">
        <f>'Quarterly historicals'!V35+'Quarterly historicals'!V36</f>
        <v>129</v>
      </c>
      <c r="AS47" s="217">
        <f>'Quarterly historicals'!W35+'Quarterly historicals'!W36</f>
        <v>171</v>
      </c>
      <c r="AT47" s="217">
        <f>'Quarterly historicals'!X35+'Quarterly historicals'!X36</f>
        <v>79</v>
      </c>
      <c r="AU47" s="217">
        <f>'Quarterly historicals'!Y35+'Quarterly historicals'!Y36</f>
        <v>0</v>
      </c>
      <c r="AV47" s="217">
        <f>'Quarterly historicals'!Z35+'Quarterly historicals'!Z36</f>
        <v>92</v>
      </c>
      <c r="AW47" s="217">
        <f>'Quarterly historicals'!AA35+'Quarterly historicals'!AA36</f>
        <v>223</v>
      </c>
      <c r="AX47" s="217">
        <f>'Quarterly historicals'!AB35+'Quarterly historicals'!AB36</f>
        <v>136</v>
      </c>
      <c r="AY47" s="217">
        <f>'Quarterly historicals'!AC35+'Quarterly historicals'!AC36</f>
        <v>1</v>
      </c>
      <c r="AZ47" s="217">
        <f>'Quarterly historicals'!AD35+'Quarterly historicals'!AD36</f>
        <v>215</v>
      </c>
      <c r="BA47" s="217">
        <f>'Quarterly historicals'!AE35+'Quarterly historicals'!AE36</f>
        <v>247</v>
      </c>
      <c r="BB47" s="217">
        <f>'Quarterly historicals'!AF35+'Quarterly historicals'!AF36</f>
        <v>178</v>
      </c>
      <c r="BC47" s="217">
        <f>'Quarterly historicals'!AG35+'Quarterly historicals'!AG36</f>
        <v>0</v>
      </c>
      <c r="BD47" s="217">
        <f>'Quarterly historicals'!AH35+'Quarterly historicals'!AH36</f>
        <v>256</v>
      </c>
      <c r="BE47" s="217">
        <f>'Quarterly historicals'!AI35+'Quarterly historicals'!AI36</f>
        <v>386</v>
      </c>
      <c r="BF47" s="217">
        <f>'Quarterly historicals'!AJ35+'Quarterly historicals'!AJ36</f>
        <v>149</v>
      </c>
      <c r="BG47" s="106">
        <f>'Quarterly historicals'!AK35+'Quarterly historicals'!AK36</f>
        <v>0</v>
      </c>
      <c r="BH47" s="106">
        <f>'Quarterly historicals'!AL35+'Quarterly historicals'!AL36</f>
        <v>254</v>
      </c>
      <c r="BI47" s="106">
        <f>'Quarterly historicals'!AM35+'Quarterly historicals'!AM36</f>
        <v>303</v>
      </c>
      <c r="BJ47" s="106">
        <f>'Quarterly historicals'!AN35+'Quarterly historicals'!AN36</f>
        <v>194</v>
      </c>
      <c r="BK47" s="106">
        <f>'Quarterly historicals'!AO35+'Quarterly historicals'!AO36</f>
        <v>0</v>
      </c>
      <c r="BL47" s="106">
        <f>'Quarterly historicals'!AP35+'Quarterly historicals'!AP36</f>
        <v>290</v>
      </c>
      <c r="BM47" s="106">
        <f>'Quarterly historicals'!AQ35+'Quarterly historicals'!AQ36</f>
        <v>286</v>
      </c>
      <c r="BN47" s="106">
        <f>'Quarterly historicals'!AR35+'Quarterly historicals'!AR36</f>
        <v>91</v>
      </c>
      <c r="BO47" s="106">
        <f>'Quarterly historicals'!AS35+'Quarterly historicals'!AS36</f>
        <v>0</v>
      </c>
      <c r="BP47" s="381">
        <f>'Quarterly historicals'!AT35+'Quarterly historicals'!AT36</f>
        <v>329</v>
      </c>
    </row>
    <row r="48" spans="1:100" s="960" customFormat="1">
      <c r="A48" s="928" t="s">
        <v>898</v>
      </c>
      <c r="B48" s="343">
        <f t="shared" ref="B48:L48" si="157">B47/B56</f>
        <v>0.87082843492338691</v>
      </c>
      <c r="C48" s="343">
        <f t="shared" si="157"/>
        <v>0.98410938101018586</v>
      </c>
      <c r="D48" s="343">
        <f t="shared" si="157"/>
        <v>0.96681770094469244</v>
      </c>
      <c r="E48" s="343">
        <f t="shared" si="157"/>
        <v>1.0771935432315807</v>
      </c>
      <c r="F48" s="343">
        <f t="shared" si="157"/>
        <v>0.97308828355759769</v>
      </c>
      <c r="G48" s="343">
        <f t="shared" si="157"/>
        <v>1.078861943860989</v>
      </c>
      <c r="H48" s="343">
        <f t="shared" si="157"/>
        <v>0.94419531639262577</v>
      </c>
      <c r="I48" s="343">
        <f t="shared" si="157"/>
        <v>1.0004436557231589</v>
      </c>
      <c r="J48" s="343">
        <f t="shared" si="157"/>
        <v>1.0021922956467271</v>
      </c>
      <c r="K48" s="343">
        <f t="shared" si="157"/>
        <v>1.1087748808522571</v>
      </c>
      <c r="L48" s="343">
        <f t="shared" si="157"/>
        <v>0.94465408805031437</v>
      </c>
      <c r="M48" s="781">
        <f t="shared" ref="M48" si="158">M47/M56</f>
        <v>0.95504009163802983</v>
      </c>
      <c r="N48" s="1664">
        <f>+Inputs!P70</f>
        <v>0.99555995674486508</v>
      </c>
      <c r="O48" s="1664">
        <f>+Inputs!Q70</f>
        <v>0.99218330131929544</v>
      </c>
      <c r="P48" s="1664">
        <f>+Inputs!R70</f>
        <v>0.99244304404433925</v>
      </c>
      <c r="Q48" s="1664">
        <f>+Inputs!S70</f>
        <v>0.99242449099255037</v>
      </c>
      <c r="R48" s="1664">
        <f>+Inputs!T70</f>
        <v>0.99242572786266969</v>
      </c>
      <c r="S48" s="1664">
        <f>+Inputs!U70</f>
        <v>0.99242565055828713</v>
      </c>
      <c r="T48" s="1664">
        <f>+Inputs!V70</f>
        <v>0.99242565510560377</v>
      </c>
      <c r="U48" s="1664">
        <f>+Inputs!W70</f>
        <v>0.99242565485297496</v>
      </c>
      <c r="V48" s="959"/>
      <c r="X48" s="1029">
        <f t="shared" ref="X48:BK48" si="159">X47/X56</f>
        <v>1.4366984861633401</v>
      </c>
      <c r="Y48" s="1029">
        <f t="shared" si="159"/>
        <v>1.8463907872975311</v>
      </c>
      <c r="Z48" s="1029">
        <f t="shared" si="159"/>
        <v>0.35221845831908916</v>
      </c>
      <c r="AA48" s="1029">
        <f t="shared" si="159"/>
        <v>0</v>
      </c>
      <c r="AB48" s="1029">
        <f t="shared" si="159"/>
        <v>1.2439624923860917</v>
      </c>
      <c r="AC48" s="1029">
        <f t="shared" si="159"/>
        <v>1.8857737540982324</v>
      </c>
      <c r="AD48" s="1029">
        <f t="shared" si="159"/>
        <v>1.2855690081931039</v>
      </c>
      <c r="AE48" s="1029">
        <f t="shared" si="159"/>
        <v>0</v>
      </c>
      <c r="AF48" s="1029">
        <f t="shared" si="159"/>
        <v>1.4685537937639672</v>
      </c>
      <c r="AG48" s="1029">
        <f t="shared" si="159"/>
        <v>1.8966141061403614</v>
      </c>
      <c r="AH48" s="1029">
        <f t="shared" si="159"/>
        <v>1.3890717577353522</v>
      </c>
      <c r="AI48" s="1029">
        <f t="shared" si="159"/>
        <v>0</v>
      </c>
      <c r="AJ48" s="1029">
        <f t="shared" si="159"/>
        <v>1.3798008534850641</v>
      </c>
      <c r="AK48" s="1029">
        <f t="shared" si="159"/>
        <v>1.4077952297847585</v>
      </c>
      <c r="AL48" s="1029">
        <f t="shared" si="159"/>
        <v>0.92244418331374844</v>
      </c>
      <c r="AM48" s="1029">
        <f t="shared" si="159"/>
        <v>0</v>
      </c>
      <c r="AN48" s="1029">
        <f t="shared" si="159"/>
        <v>1.9169611307420498</v>
      </c>
      <c r="AO48" s="1029">
        <f t="shared" si="159"/>
        <v>2.3404255319148937</v>
      </c>
      <c r="AP48" s="1029">
        <f t="shared" si="159"/>
        <v>0.51470588235294124</v>
      </c>
      <c r="AQ48" s="1029">
        <f t="shared" si="159"/>
        <v>0</v>
      </c>
      <c r="AR48" s="1029">
        <f t="shared" si="159"/>
        <v>1.5617433414043584</v>
      </c>
      <c r="AS48" s="1029">
        <f t="shared" si="159"/>
        <v>2.2983870967741939</v>
      </c>
      <c r="AT48" s="1029">
        <f t="shared" si="159"/>
        <v>0.61863743148003136</v>
      </c>
      <c r="AU48" s="1029">
        <f t="shared" si="159"/>
        <v>0</v>
      </c>
      <c r="AV48" s="1029">
        <f t="shared" si="159"/>
        <v>1.0490307867730901</v>
      </c>
      <c r="AW48" s="1029">
        <f t="shared" si="159"/>
        <v>2.4805339265850943</v>
      </c>
      <c r="AX48" s="1029">
        <f t="shared" si="159"/>
        <v>0.89121887287024892</v>
      </c>
      <c r="AY48" s="1029">
        <f t="shared" si="159"/>
        <v>8.2850041425020712E-3</v>
      </c>
      <c r="AZ48" s="1029">
        <f t="shared" si="159"/>
        <v>1.2580456407255705</v>
      </c>
      <c r="BA48" s="1029">
        <f t="shared" si="159"/>
        <v>1.3954802259887005</v>
      </c>
      <c r="BB48" s="1029">
        <f t="shared" si="159"/>
        <v>1.3353338334583649</v>
      </c>
      <c r="BC48" s="1029">
        <f t="shared" si="159"/>
        <v>0</v>
      </c>
      <c r="BD48" s="1029">
        <f t="shared" si="159"/>
        <v>1.4944541739638062</v>
      </c>
      <c r="BE48" s="1029">
        <f t="shared" si="159"/>
        <v>2.9066265060240961</v>
      </c>
      <c r="BF48" s="1029">
        <f t="shared" si="159"/>
        <v>0.96067053513862011</v>
      </c>
      <c r="BG48" s="563">
        <f t="shared" si="159"/>
        <v>0</v>
      </c>
      <c r="BH48" s="563">
        <f t="shared" si="159"/>
        <v>1.9140919366993219</v>
      </c>
      <c r="BI48" s="563">
        <f t="shared" si="159"/>
        <v>1.4238721804511278</v>
      </c>
      <c r="BJ48" s="563">
        <f t="shared" si="159"/>
        <v>0.80464537536291991</v>
      </c>
      <c r="BK48" s="563">
        <f t="shared" si="159"/>
        <v>0</v>
      </c>
      <c r="BL48" s="563">
        <f t="shared" ref="BL48:BM48" si="160">BL47/BL56</f>
        <v>1.8125</v>
      </c>
      <c r="BM48" s="563">
        <f t="shared" si="160"/>
        <v>1.5196599362380445</v>
      </c>
      <c r="BN48" s="563">
        <f t="shared" ref="BN48:BO48" si="161">BN47/BN56</f>
        <v>0.53092182030338397</v>
      </c>
      <c r="BO48" s="563">
        <f t="shared" si="161"/>
        <v>0</v>
      </c>
      <c r="BP48" s="966">
        <f t="shared" ref="BP48" si="162">BP47/BP56</f>
        <v>2.2658402203856745</v>
      </c>
    </row>
    <row r="49" spans="1:102" s="61" customFormat="1">
      <c r="A49" s="54" t="s">
        <v>642</v>
      </c>
      <c r="B49" s="890" t="str">
        <f>'Annual historicals'!G22</f>
        <v>NA</v>
      </c>
      <c r="C49" s="890" t="str">
        <f>'Annual historicals'!H22</f>
        <v>NA</v>
      </c>
      <c r="D49" s="890" t="str">
        <f>'Annual historicals'!I22</f>
        <v>NA</v>
      </c>
      <c r="E49" s="890">
        <f>'Annual historicals'!J22</f>
        <v>89</v>
      </c>
      <c r="F49" s="890">
        <f>'Annual historicals'!K22</f>
        <v>159</v>
      </c>
      <c r="G49" s="327">
        <f>'Annual historicals'!L22</f>
        <v>163</v>
      </c>
      <c r="H49" s="327">
        <f>'Annual historicals'!M22</f>
        <v>140</v>
      </c>
      <c r="I49" s="327">
        <f>'Annual historicals'!N22</f>
        <v>176</v>
      </c>
      <c r="J49" s="327">
        <f>'Annual historicals'!O22</f>
        <v>442</v>
      </c>
      <c r="K49" s="327">
        <f>'Annual historicals'!P22</f>
        <v>720</v>
      </c>
      <c r="L49" s="327">
        <f>'Annual historicals'!Q22</f>
        <v>741</v>
      </c>
      <c r="M49" s="358">
        <f>'Annual historicals'!R22</f>
        <v>720</v>
      </c>
      <c r="N49" s="357">
        <f t="shared" ref="N49:U49" si="163">N50*N61</f>
        <v>900.00000000000011</v>
      </c>
      <c r="O49" s="357">
        <f t="shared" si="163"/>
        <v>900.00000000000011</v>
      </c>
      <c r="P49" s="357">
        <f t="shared" si="163"/>
        <v>918.75</v>
      </c>
      <c r="Q49" s="357">
        <f t="shared" si="163"/>
        <v>937.5</v>
      </c>
      <c r="R49" s="357">
        <f t="shared" si="163"/>
        <v>956.25</v>
      </c>
      <c r="S49" s="357">
        <f t="shared" si="163"/>
        <v>974.99999999999989</v>
      </c>
      <c r="T49" s="357">
        <f t="shared" si="163"/>
        <v>993.74999999999977</v>
      </c>
      <c r="U49" s="357">
        <f t="shared" si="163"/>
        <v>1012.4999999999998</v>
      </c>
      <c r="V49" s="780"/>
      <c r="X49" s="1030">
        <f>'Quarterly historicals'!B38</f>
        <v>0</v>
      </c>
      <c r="Y49" s="1030">
        <f>'Quarterly historicals'!C38</f>
        <v>0</v>
      </c>
      <c r="Z49" s="1030">
        <f>'Quarterly historicals'!D38</f>
        <v>0</v>
      </c>
      <c r="AA49" s="1030">
        <f>'Quarterly historicals'!E38</f>
        <v>0</v>
      </c>
      <c r="AB49" s="1030">
        <f>'Quarterly historicals'!F38</f>
        <v>0</v>
      </c>
      <c r="AC49" s="1030">
        <f>'Quarterly historicals'!G38</f>
        <v>0</v>
      </c>
      <c r="AD49" s="1030">
        <f>'Quarterly historicals'!H38</f>
        <v>0</v>
      </c>
      <c r="AE49" s="1030">
        <f>'Quarterly historicals'!I38</f>
        <v>0</v>
      </c>
      <c r="AF49" s="1030">
        <f>'Quarterly historicals'!J38</f>
        <v>0</v>
      </c>
      <c r="AG49" s="1030">
        <f>'Quarterly historicals'!K38</f>
        <v>45</v>
      </c>
      <c r="AH49" s="1030">
        <f>'Quarterly historicals'!L38</f>
        <v>44</v>
      </c>
      <c r="AI49" s="1030">
        <f>'Quarterly historicals'!M38</f>
        <v>0</v>
      </c>
      <c r="AJ49" s="1030">
        <f>'Quarterly historicals'!N38</f>
        <v>50</v>
      </c>
      <c r="AK49" s="1030">
        <f>'Quarterly historicals'!O38</f>
        <v>63</v>
      </c>
      <c r="AL49" s="1030">
        <f>'Quarterly historicals'!P38</f>
        <v>46</v>
      </c>
      <c r="AM49" s="1030">
        <f>'Quarterly historicals'!Q38</f>
        <v>0</v>
      </c>
      <c r="AN49" s="1030">
        <f>'Quarterly historicals'!R38</f>
        <v>59</v>
      </c>
      <c r="AO49" s="1030">
        <f>'Quarterly historicals'!S38</f>
        <v>68</v>
      </c>
      <c r="AP49" s="1030">
        <f>'Quarterly historicals'!T38</f>
        <v>36</v>
      </c>
      <c r="AQ49" s="1030">
        <f>'Quarterly historicals'!U38</f>
        <v>0</v>
      </c>
      <c r="AR49" s="1030">
        <f>'Quarterly historicals'!V38</f>
        <v>45</v>
      </c>
      <c r="AS49" s="1030">
        <f>'Quarterly historicals'!W38</f>
        <v>64</v>
      </c>
      <c r="AT49" s="1030">
        <f>'Quarterly historicals'!X38</f>
        <v>31</v>
      </c>
      <c r="AU49" s="1030">
        <f>'Quarterly historicals'!Y38</f>
        <v>0</v>
      </c>
      <c r="AV49" s="1030">
        <f>'Quarterly historicals'!Z38</f>
        <v>44</v>
      </c>
      <c r="AW49" s="1030">
        <f>'Quarterly historicals'!AA38</f>
        <v>82</v>
      </c>
      <c r="AX49" s="1030">
        <f>'Quarterly historicals'!AB38</f>
        <v>50</v>
      </c>
      <c r="AY49" s="1030">
        <f>'Quarterly historicals'!AC38</f>
        <v>1</v>
      </c>
      <c r="AZ49" s="1030">
        <f>'Quarterly historicals'!AD38</f>
        <v>98</v>
      </c>
      <c r="BA49" s="1030">
        <f>'Quarterly historicals'!AE38</f>
        <v>183</v>
      </c>
      <c r="BB49" s="1030">
        <f>'Quarterly historicals'!AF38</f>
        <v>161</v>
      </c>
      <c r="BC49" s="1030">
        <f>'Quarterly historicals'!AG38</f>
        <v>0</v>
      </c>
      <c r="BD49" s="1030">
        <f>'Quarterly historicals'!AH38</f>
        <v>195</v>
      </c>
      <c r="BE49" s="1030">
        <f>'Quarterly historicals'!AI38</f>
        <v>312</v>
      </c>
      <c r="BF49" s="1030">
        <f>'Quarterly historicals'!AJ38</f>
        <v>213</v>
      </c>
      <c r="BG49" s="939">
        <f>'Quarterly historicals'!AK38</f>
        <v>0</v>
      </c>
      <c r="BH49" s="939">
        <f>'Quarterly historicals'!AL38</f>
        <v>259</v>
      </c>
      <c r="BI49" s="939">
        <f>'Quarterly historicals'!AM38</f>
        <v>277</v>
      </c>
      <c r="BJ49" s="939">
        <f>'Quarterly historicals'!AN38</f>
        <v>205</v>
      </c>
      <c r="BK49" s="939">
        <f>'Quarterly historicals'!AO38</f>
        <v>0</v>
      </c>
      <c r="BL49" s="939">
        <f>'Quarterly historicals'!AP38</f>
        <v>241</v>
      </c>
      <c r="BM49" s="939">
        <f>'Quarterly historicals'!AQ38</f>
        <v>275</v>
      </c>
      <c r="BN49" s="939">
        <f>'Quarterly historicals'!AR38</f>
        <v>170</v>
      </c>
      <c r="BO49" s="939">
        <f>'Quarterly historicals'!AS38</f>
        <v>34</v>
      </c>
      <c r="BP49" s="962">
        <f>'Quarterly historicals'!AT38</f>
        <v>300</v>
      </c>
    </row>
    <row r="50" spans="1:102" s="960" customFormat="1">
      <c r="A50" s="928" t="s">
        <v>898</v>
      </c>
      <c r="B50" s="762" t="str">
        <f>IF(ISERROR(B49/B61),"NA",B49/B61)</f>
        <v>NA</v>
      </c>
      <c r="C50" s="762" t="str">
        <f>IF(ISERROR(C49/C61),"NA",C49/C61)</f>
        <v>NA</v>
      </c>
      <c r="D50" s="762" t="str">
        <f>IF(ISERROR(D49/D61),"NA",D49/D61)</f>
        <v>NA</v>
      </c>
      <c r="E50" s="762" t="str">
        <f>IF(ISERROR(E49/E61),"NA",E49/E61)</f>
        <v>NA</v>
      </c>
      <c r="F50" s="762" t="str">
        <f>IF(ISERROR(F49/F61),"NA",F49/F61)</f>
        <v>NA</v>
      </c>
      <c r="G50" s="343">
        <f t="shared" ref="G50:L50" si="164">G49/G61</f>
        <v>0.88394793926247284</v>
      </c>
      <c r="H50" s="343">
        <f t="shared" si="164"/>
        <v>0.56134723336006409</v>
      </c>
      <c r="I50" s="343">
        <f t="shared" si="164"/>
        <v>0.67536454336147345</v>
      </c>
      <c r="J50" s="343">
        <f t="shared" si="164"/>
        <v>0.99214365881032551</v>
      </c>
      <c r="K50" s="343">
        <f t="shared" si="164"/>
        <v>1.1267605633802817</v>
      </c>
      <c r="L50" s="343">
        <f t="shared" si="164"/>
        <v>0.89148219441770926</v>
      </c>
      <c r="M50" s="781">
        <f t="shared" ref="M50" si="165">M49/M61</f>
        <v>0.78731547293603066</v>
      </c>
      <c r="N50" s="1664">
        <f>+Inputs!P75</f>
        <v>1</v>
      </c>
      <c r="O50" s="1664">
        <f>+Inputs!Q75</f>
        <v>1</v>
      </c>
      <c r="P50" s="1664">
        <f>+Inputs!R75</f>
        <v>1</v>
      </c>
      <c r="Q50" s="1664">
        <f>+Inputs!S75</f>
        <v>1</v>
      </c>
      <c r="R50" s="1664">
        <f>+Inputs!T75</f>
        <v>1</v>
      </c>
      <c r="S50" s="1664">
        <f>+Inputs!U75</f>
        <v>1</v>
      </c>
      <c r="T50" s="1664">
        <f>+Inputs!V75</f>
        <v>1</v>
      </c>
      <c r="U50" s="1664">
        <f>+Inputs!W75</f>
        <v>1</v>
      </c>
      <c r="V50" s="959"/>
      <c r="W50" s="1086"/>
      <c r="X50" s="1029"/>
      <c r="Y50" s="1029"/>
      <c r="Z50" s="1029"/>
      <c r="AA50" s="1029"/>
      <c r="AB50" s="1029"/>
      <c r="AC50" s="1029"/>
      <c r="AD50" s="1029"/>
      <c r="AE50" s="1029"/>
      <c r="AF50" s="1029"/>
      <c r="AG50" s="1029">
        <f t="shared" ref="AG50:BK50" si="166">AG49/AG61</f>
        <v>1.1272262718869768</v>
      </c>
      <c r="AH50" s="1029">
        <f t="shared" si="166"/>
        <v>0.87771793337322956</v>
      </c>
      <c r="AI50" s="1029">
        <f t="shared" si="166"/>
        <v>0</v>
      </c>
      <c r="AJ50" s="1029">
        <f t="shared" si="166"/>
        <v>0.95483624558388247</v>
      </c>
      <c r="AK50" s="1029">
        <f t="shared" si="166"/>
        <v>0.98280864871610862</v>
      </c>
      <c r="AL50" s="1029">
        <f t="shared" si="166"/>
        <v>0.8120035304501324</v>
      </c>
      <c r="AM50" s="1029">
        <f t="shared" si="166"/>
        <v>0</v>
      </c>
      <c r="AN50" s="1029">
        <f t="shared" si="166"/>
        <v>1.720163007311422</v>
      </c>
      <c r="AO50" s="1029">
        <f t="shared" si="166"/>
        <v>1.0641473499796754</v>
      </c>
      <c r="AP50" s="1029">
        <f t="shared" si="166"/>
        <v>0.45627376425855509</v>
      </c>
      <c r="AQ50" s="1029">
        <f t="shared" si="166"/>
        <v>0</v>
      </c>
      <c r="AR50" s="1029">
        <f t="shared" si="166"/>
        <v>1.4150943396226414</v>
      </c>
      <c r="AS50" s="1029">
        <f t="shared" si="166"/>
        <v>0.76190476190476186</v>
      </c>
      <c r="AT50" s="1029">
        <f t="shared" si="166"/>
        <v>0.39290240811153354</v>
      </c>
      <c r="AU50" s="1029">
        <f t="shared" si="166"/>
        <v>0</v>
      </c>
      <c r="AV50" s="1029">
        <f t="shared" si="166"/>
        <v>0.96703296703296704</v>
      </c>
      <c r="AW50" s="1029">
        <f t="shared" si="166"/>
        <v>1.0098522167487685</v>
      </c>
      <c r="AX50" s="1029">
        <f t="shared" si="166"/>
        <v>0.48030739673390971</v>
      </c>
      <c r="AY50" s="1029">
        <f t="shared" si="166"/>
        <v>3.3444816053511704E-2</v>
      </c>
      <c r="AZ50" s="1029">
        <f t="shared" si="166"/>
        <v>1.0560344827586206</v>
      </c>
      <c r="BA50" s="1029">
        <f t="shared" si="166"/>
        <v>1.1247695144437615</v>
      </c>
      <c r="BB50" s="1029">
        <f t="shared" si="166"/>
        <v>0.8855885588558855</v>
      </c>
      <c r="BC50" s="1029">
        <f t="shared" si="166"/>
        <v>0</v>
      </c>
      <c r="BD50" s="1029">
        <f t="shared" si="166"/>
        <v>1.0166840458811262</v>
      </c>
      <c r="BE50" s="1029">
        <f t="shared" si="166"/>
        <v>1.333903377511757</v>
      </c>
      <c r="BF50" s="1029">
        <f t="shared" si="166"/>
        <v>1.0037700282752122</v>
      </c>
      <c r="BG50" s="563">
        <f t="shared" si="166"/>
        <v>0</v>
      </c>
      <c r="BH50" s="563">
        <f t="shared" si="166"/>
        <v>0.95220588235294112</v>
      </c>
      <c r="BI50" s="563">
        <f t="shared" si="166"/>
        <v>0.90228013029315957</v>
      </c>
      <c r="BJ50" s="563">
        <f t="shared" si="166"/>
        <v>0.87159863945578231</v>
      </c>
      <c r="BK50" s="563">
        <f t="shared" si="166"/>
        <v>0</v>
      </c>
      <c r="BL50" s="563">
        <f t="shared" ref="BL50:BM50" si="167">BL49/BL61</f>
        <v>0.87572674418604657</v>
      </c>
      <c r="BM50" s="563">
        <f t="shared" si="167"/>
        <v>0.96187478139209526</v>
      </c>
      <c r="BN50" s="563">
        <f t="shared" ref="BN50:BO50" si="168">BN49/BN61</f>
        <v>0.9164420485175202</v>
      </c>
      <c r="BO50" s="563">
        <f t="shared" si="168"/>
        <v>0.20238095238095238</v>
      </c>
      <c r="BP50" s="966">
        <f t="shared" ref="BP50" si="169">BP49/BP61</f>
        <v>0.96587250482936249</v>
      </c>
    </row>
    <row r="51" spans="1:102">
      <c r="A51" s="54"/>
      <c r="B51" s="54"/>
      <c r="C51" s="54"/>
      <c r="D51" s="54"/>
      <c r="E51" s="54"/>
      <c r="F51" s="54"/>
      <c r="G51" s="54"/>
      <c r="H51" s="54"/>
      <c r="I51" s="54"/>
      <c r="J51" s="54"/>
      <c r="K51" s="54"/>
      <c r="L51" s="54"/>
      <c r="M51" s="397"/>
      <c r="N51" s="382"/>
      <c r="O51" s="382"/>
      <c r="P51" s="382"/>
      <c r="Q51" s="382"/>
      <c r="R51" s="382"/>
      <c r="S51" s="382"/>
      <c r="T51" s="382"/>
      <c r="U51" s="382"/>
      <c r="V51" s="634"/>
      <c r="X51" s="217"/>
      <c r="Y51" s="217"/>
      <c r="Z51" s="217"/>
      <c r="AA51" s="217"/>
      <c r="AB51" s="217"/>
      <c r="AC51" s="217"/>
      <c r="AD51" s="217"/>
      <c r="AE51" s="217"/>
      <c r="AF51" s="217"/>
      <c r="AG51" s="217"/>
      <c r="AH51" s="217"/>
      <c r="AI51" s="217"/>
      <c r="AJ51" s="890"/>
      <c r="AK51" s="217"/>
      <c r="AL51" s="217"/>
      <c r="AM51" s="217"/>
      <c r="AN51" s="217"/>
      <c r="AO51" s="217"/>
      <c r="AP51" s="217"/>
      <c r="AQ51" s="217"/>
      <c r="AR51" s="217"/>
      <c r="AS51" s="217"/>
      <c r="AT51" s="217"/>
      <c r="AU51" s="217"/>
      <c r="AV51" s="217"/>
      <c r="AW51" s="217"/>
      <c r="AX51" s="217"/>
      <c r="AY51" s="217"/>
      <c r="AZ51" s="217"/>
      <c r="BA51" s="217"/>
      <c r="BB51" s="217"/>
      <c r="BC51" s="217"/>
      <c r="BD51" s="217"/>
      <c r="BE51" s="217"/>
      <c r="BF51" s="217"/>
      <c r="BI51" s="106"/>
      <c r="BJ51" s="106"/>
      <c r="BK51" s="106"/>
      <c r="BL51" s="106"/>
      <c r="BM51" s="106"/>
      <c r="BN51" s="106"/>
      <c r="BO51" s="106"/>
      <c r="BP51" s="381"/>
    </row>
    <row r="52" spans="1:102" s="1401" customFormat="1">
      <c r="A52" s="2025" t="s">
        <v>30</v>
      </c>
      <c r="B52" s="226"/>
      <c r="C52" s="226"/>
      <c r="D52" s="226"/>
      <c r="E52" s="226"/>
      <c r="F52" s="226"/>
      <c r="G52" s="226"/>
      <c r="H52" s="226"/>
      <c r="I52" s="226"/>
      <c r="J52" s="226"/>
      <c r="K52" s="226"/>
      <c r="L52" s="226"/>
      <c r="M52" s="2030"/>
      <c r="N52" s="2325">
        <f t="shared" ref="N52:O52" si="170">+N53/M53-1</f>
        <v>6.1913538687742964E-2</v>
      </c>
      <c r="O52" s="2325">
        <f t="shared" si="170"/>
        <v>5.9154640720694429E-2</v>
      </c>
      <c r="P52" s="2325">
        <f>+P53/O53-1</f>
        <v>2.5334196739328574E-2</v>
      </c>
      <c r="Q52" s="2026"/>
      <c r="R52" s="2026"/>
      <c r="S52" s="2026"/>
      <c r="T52" s="2026"/>
      <c r="U52" s="2026"/>
      <c r="V52" s="634"/>
      <c r="X52" s="226"/>
      <c r="Y52" s="226"/>
      <c r="Z52" s="226"/>
      <c r="AA52" s="226"/>
      <c r="AB52" s="226"/>
      <c r="AC52" s="226"/>
      <c r="AD52" s="226"/>
      <c r="AE52" s="226"/>
      <c r="AF52" s="226"/>
      <c r="AG52" s="226"/>
      <c r="AH52" s="226"/>
      <c r="AI52" s="226"/>
      <c r="AJ52" s="226"/>
      <c r="AK52" s="226"/>
      <c r="AL52" s="226"/>
      <c r="AM52" s="226"/>
      <c r="AN52" s="226"/>
      <c r="AO52" s="226"/>
      <c r="AP52" s="226"/>
      <c r="AQ52" s="226"/>
      <c r="AR52" s="2029"/>
      <c r="AS52" s="226"/>
      <c r="AT52" s="226"/>
      <c r="AU52" s="226"/>
      <c r="AV52" s="226"/>
      <c r="AW52" s="226"/>
      <c r="AX52" s="226"/>
      <c r="AY52" s="226"/>
      <c r="AZ52" s="226"/>
      <c r="BA52" s="226"/>
      <c r="BB52" s="226"/>
      <c r="BC52" s="226"/>
      <c r="BD52" s="226"/>
      <c r="BE52" s="226"/>
      <c r="BF52" s="226"/>
      <c r="BG52" s="227"/>
      <c r="BH52" s="227"/>
      <c r="BI52" s="227"/>
      <c r="BJ52" s="227"/>
      <c r="BK52" s="227"/>
      <c r="BL52" s="227"/>
      <c r="BM52" s="227"/>
      <c r="BN52" s="227"/>
      <c r="BO52" s="227"/>
      <c r="BP52" s="2030"/>
      <c r="BQ52" s="226"/>
      <c r="BR52" s="226"/>
      <c r="BS52" s="226"/>
      <c r="BT52" s="226"/>
      <c r="BU52" s="226"/>
      <c r="BV52" s="226"/>
      <c r="BW52" s="226"/>
      <c r="BX52" s="226"/>
      <c r="BY52" s="226"/>
      <c r="BZ52" s="226"/>
      <c r="CA52" s="226"/>
      <c r="CB52" s="226"/>
      <c r="CC52" s="226"/>
      <c r="CD52" s="226"/>
      <c r="CE52" s="226"/>
      <c r="CF52" s="226"/>
      <c r="CG52" s="226"/>
      <c r="CH52" s="226"/>
      <c r="CI52" s="226"/>
      <c r="CJ52" s="226"/>
      <c r="CK52" s="226"/>
      <c r="CL52" s="226"/>
      <c r="CM52" s="226"/>
      <c r="CN52" s="226"/>
      <c r="CO52" s="226"/>
      <c r="CP52" s="226"/>
      <c r="CQ52" s="226"/>
      <c r="CR52" s="226"/>
      <c r="CS52" s="226"/>
      <c r="CT52" s="226"/>
      <c r="CU52" s="226"/>
      <c r="CV52" s="226"/>
    </row>
    <row r="53" spans="1:102" s="14" customFormat="1">
      <c r="A53" s="251" t="s">
        <v>640</v>
      </c>
      <c r="B53" s="475">
        <f t="shared" ref="B53:U53" si="171">SUM(B54:B55)</f>
        <v>629.76800000000003</v>
      </c>
      <c r="C53" s="475">
        <f t="shared" si="171"/>
        <v>676.34199999999998</v>
      </c>
      <c r="D53" s="475">
        <f t="shared" si="171"/>
        <v>605.74699999999996</v>
      </c>
      <c r="E53" s="475">
        <f t="shared" si="171"/>
        <v>417.7</v>
      </c>
      <c r="F53" s="475">
        <f t="shared" si="171"/>
        <v>818.7</v>
      </c>
      <c r="G53" s="475">
        <f t="shared" si="171"/>
        <v>836.2</v>
      </c>
      <c r="H53" s="475">
        <f t="shared" si="171"/>
        <v>825.6</v>
      </c>
      <c r="I53" s="475">
        <f t="shared" si="171"/>
        <v>976.19999999999993</v>
      </c>
      <c r="J53" s="475">
        <f t="shared" si="171"/>
        <v>991.2</v>
      </c>
      <c r="K53" s="475">
        <f t="shared" si="171"/>
        <v>1177.0999999999999</v>
      </c>
      <c r="L53" s="475">
        <f t="shared" si="171"/>
        <v>1201</v>
      </c>
      <c r="M53" s="363">
        <f t="shared" ref="M53" si="172">SUM(M54:M55)</f>
        <v>1313.7</v>
      </c>
      <c r="N53" s="698">
        <f t="shared" si="171"/>
        <v>1395.035815774088</v>
      </c>
      <c r="O53" s="698">
        <f t="shared" si="171"/>
        <v>1477.5586582487051</v>
      </c>
      <c r="P53" s="698">
        <f t="shared" si="171"/>
        <v>1514.9914199906761</v>
      </c>
      <c r="Q53" s="698">
        <f t="shared" si="171"/>
        <v>1568.2177770680119</v>
      </c>
      <c r="R53" s="698">
        <f t="shared" si="171"/>
        <v>1604.4296709965454</v>
      </c>
      <c r="S53" s="698">
        <f t="shared" si="171"/>
        <v>1641.4758404898287</v>
      </c>
      <c r="T53" s="698">
        <f t="shared" si="171"/>
        <v>1679.3775243636262</v>
      </c>
      <c r="U53" s="698">
        <f t="shared" si="171"/>
        <v>1718.1543510194051</v>
      </c>
      <c r="V53" s="688"/>
      <c r="W53" s="1087"/>
      <c r="X53" s="842">
        <f t="shared" ref="X53:BC53" si="173">SUM(X54:X55)</f>
        <v>135.20600000000002</v>
      </c>
      <c r="Y53" s="842">
        <f t="shared" si="173"/>
        <v>184.16800000000001</v>
      </c>
      <c r="Z53" s="842">
        <f t="shared" si="173"/>
        <v>166.79500000000002</v>
      </c>
      <c r="AA53" s="842">
        <f t="shared" si="173"/>
        <v>190.173</v>
      </c>
      <c r="AB53" s="842">
        <f t="shared" si="173"/>
        <v>163.96799999999999</v>
      </c>
      <c r="AC53" s="842">
        <f t="shared" si="173"/>
        <v>172.58199999999999</v>
      </c>
      <c r="AD53" s="842">
        <f t="shared" si="173"/>
        <v>110.054</v>
      </c>
      <c r="AE53" s="842">
        <f t="shared" si="173"/>
        <v>159.143</v>
      </c>
      <c r="AF53" s="842">
        <f t="shared" si="173"/>
        <v>35.57</v>
      </c>
      <c r="AG53" s="842">
        <f t="shared" si="173"/>
        <v>109.80499999999999</v>
      </c>
      <c r="AH53" s="842">
        <f t="shared" si="173"/>
        <v>139</v>
      </c>
      <c r="AI53" s="842">
        <f t="shared" si="173"/>
        <v>133.30000000000001</v>
      </c>
      <c r="AJ53" s="842">
        <f t="shared" si="173"/>
        <v>172.2</v>
      </c>
      <c r="AK53" s="842">
        <f t="shared" si="173"/>
        <v>228.2</v>
      </c>
      <c r="AL53" s="842">
        <f t="shared" si="173"/>
        <v>192.6</v>
      </c>
      <c r="AM53" s="842">
        <f t="shared" si="173"/>
        <v>225.7</v>
      </c>
      <c r="AN53" s="842">
        <f t="shared" si="173"/>
        <v>217.5</v>
      </c>
      <c r="AO53" s="842">
        <f t="shared" si="173"/>
        <v>270</v>
      </c>
      <c r="AP53" s="842">
        <f t="shared" si="173"/>
        <v>230.1</v>
      </c>
      <c r="AQ53" s="842">
        <f t="shared" si="173"/>
        <v>118.5</v>
      </c>
      <c r="AR53" s="842">
        <f t="shared" si="173"/>
        <v>219.4</v>
      </c>
      <c r="AS53" s="842">
        <f t="shared" si="173"/>
        <v>297.5</v>
      </c>
      <c r="AT53" s="842">
        <f t="shared" si="173"/>
        <v>198</v>
      </c>
      <c r="AU53" s="842">
        <f t="shared" si="173"/>
        <v>110.80000000000001</v>
      </c>
      <c r="AV53" s="842">
        <f t="shared" si="173"/>
        <v>136</v>
      </c>
      <c r="AW53" s="842">
        <f t="shared" si="173"/>
        <v>414.2</v>
      </c>
      <c r="AX53" s="842">
        <f t="shared" si="173"/>
        <v>173.9</v>
      </c>
      <c r="AY53" s="842">
        <f t="shared" si="173"/>
        <v>252.3</v>
      </c>
      <c r="AZ53" s="842">
        <f t="shared" si="173"/>
        <v>256.80000000000007</v>
      </c>
      <c r="BA53" s="842">
        <f t="shared" si="173"/>
        <v>324.89999999999998</v>
      </c>
      <c r="BB53" s="842">
        <f t="shared" si="173"/>
        <v>185.6</v>
      </c>
      <c r="BC53" s="842">
        <f t="shared" si="173"/>
        <v>223.9</v>
      </c>
      <c r="BD53" s="842">
        <f t="shared" ref="BD53:CH53" si="174">SUM(BD54:BD55)</f>
        <v>233.9</v>
      </c>
      <c r="BE53" s="842">
        <f t="shared" si="174"/>
        <v>287.5</v>
      </c>
      <c r="BF53" s="842">
        <f t="shared" si="174"/>
        <v>316.8</v>
      </c>
      <c r="BG53" s="1441">
        <f t="shared" si="174"/>
        <v>338.9</v>
      </c>
      <c r="BH53" s="1441">
        <f t="shared" si="174"/>
        <v>202.8</v>
      </c>
      <c r="BI53" s="1441">
        <f t="shared" si="174"/>
        <v>279.3</v>
      </c>
      <c r="BJ53" s="1441">
        <f t="shared" si="174"/>
        <v>356.3</v>
      </c>
      <c r="BK53" s="1441">
        <f t="shared" si="174"/>
        <v>362.59999999999997</v>
      </c>
      <c r="BL53" s="1441">
        <f t="shared" ref="BL53:BM53" si="175">SUM(BL54:BL55)</f>
        <v>329.1</v>
      </c>
      <c r="BM53" s="1441">
        <f t="shared" si="175"/>
        <v>327.40000000000003</v>
      </c>
      <c r="BN53" s="1441">
        <f t="shared" ref="BN53:BO53" si="176">SUM(BN54:BN55)</f>
        <v>283.40000000000003</v>
      </c>
      <c r="BO53" s="1441">
        <f t="shared" si="176"/>
        <v>373.8</v>
      </c>
      <c r="BP53" s="2314">
        <f t="shared" ref="BP53" si="177">SUM(BP54:BP55)</f>
        <v>372</v>
      </c>
      <c r="BQ53" s="2033">
        <f t="shared" si="174"/>
        <v>304.24401188024819</v>
      </c>
      <c r="BR53" s="2033">
        <f t="shared" si="174"/>
        <v>311.56031459427254</v>
      </c>
      <c r="BS53" s="2034">
        <f t="shared" si="174"/>
        <v>407.23148929956733</v>
      </c>
      <c r="BT53" s="2037">
        <f t="shared" si="174"/>
        <v>648.37884521751312</v>
      </c>
      <c r="BU53" s="2033">
        <f t="shared" si="174"/>
        <v>322.24145709444696</v>
      </c>
      <c r="BV53" s="2033">
        <f t="shared" si="174"/>
        <v>329.99055306692327</v>
      </c>
      <c r="BW53" s="2034">
        <f t="shared" ref="BW53" si="178">SUM(BW54:BW55)</f>
        <v>176.94780286982171</v>
      </c>
      <c r="BX53" s="2037">
        <f t="shared" si="174"/>
        <v>664.80500244387224</v>
      </c>
      <c r="BY53" s="2033">
        <f t="shared" si="174"/>
        <v>330.40518556604553</v>
      </c>
      <c r="BZ53" s="2033">
        <f t="shared" si="174"/>
        <v>338.35059866044054</v>
      </c>
      <c r="CA53" s="2034">
        <f t="shared" si="174"/>
        <v>181.43063332031778</v>
      </c>
      <c r="CB53" s="2037">
        <f t="shared" si="174"/>
        <v>688.16166834967282</v>
      </c>
      <c r="CC53" s="2033">
        <f t="shared" si="174"/>
        <v>342.01334661242953</v>
      </c>
      <c r="CD53" s="2033">
        <f t="shared" si="174"/>
        <v>350.23790676264866</v>
      </c>
      <c r="CE53" s="2034">
        <f t="shared" si="174"/>
        <v>187.80485534326087</v>
      </c>
      <c r="CF53" s="2037">
        <f t="shared" si="174"/>
        <v>704.05208720881342</v>
      </c>
      <c r="CG53" s="2033">
        <f t="shared" si="174"/>
        <v>349.91081545303109</v>
      </c>
      <c r="CH53" s="2033">
        <f t="shared" si="174"/>
        <v>358.32528985120967</v>
      </c>
      <c r="CI53" s="2034">
        <f t="shared" ref="CI53" si="179">SUM(CI54:CI55)</f>
        <v>192.14147848349108</v>
      </c>
      <c r="CJ53" s="2037">
        <f t="shared" ref="CJ53:CT53" si="180">SUM(CJ54:CJ55)</f>
        <v>720.30860092601301</v>
      </c>
      <c r="CK53" s="2033">
        <f t="shared" si="180"/>
        <v>357.99023184075872</v>
      </c>
      <c r="CL53" s="2033">
        <f t="shared" si="180"/>
        <v>366.59899586744945</v>
      </c>
      <c r="CM53" s="2034">
        <f t="shared" si="180"/>
        <v>196.57801185560754</v>
      </c>
      <c r="CN53" s="2037">
        <f t="shared" si="180"/>
        <v>736.9405294688836</v>
      </c>
      <c r="CO53" s="2033">
        <f t="shared" si="180"/>
        <v>366.25622775885097</v>
      </c>
      <c r="CP53" s="2033">
        <f t="shared" si="180"/>
        <v>375.06376818214488</v>
      </c>
      <c r="CQ53" s="2034">
        <f t="shared" ref="CQ53" si="181">SUM(CQ54:CQ55)</f>
        <v>201.11699895374673</v>
      </c>
      <c r="CR53" s="2037">
        <f t="shared" si="180"/>
        <v>753.95648612678951</v>
      </c>
      <c r="CS53" s="2033">
        <f t="shared" si="180"/>
        <v>374.71308397454089</v>
      </c>
      <c r="CT53" s="2033">
        <f t="shared" si="180"/>
        <v>383.72399050420643</v>
      </c>
      <c r="CU53" s="2034">
        <f t="shared" ref="CU53" si="182">SUM(CU54:CU55)</f>
        <v>205.76079041386836</v>
      </c>
    </row>
    <row r="54" spans="1:102">
      <c r="A54" s="157" t="s">
        <v>188</v>
      </c>
      <c r="B54" s="327">
        <f>'Annual historicals'!G32</f>
        <v>207.476</v>
      </c>
      <c r="C54" s="327">
        <f>'Annual historicals'!H32</f>
        <v>196.995</v>
      </c>
      <c r="D54" s="327">
        <f>'Annual historicals'!I32</f>
        <v>200.20099999999999</v>
      </c>
      <c r="E54" s="327">
        <f>'Annual historicals'!J32</f>
        <v>47</v>
      </c>
      <c r="F54" s="327">
        <f>'Annual historicals'!K32</f>
        <v>62.2</v>
      </c>
      <c r="G54" s="327">
        <f>'Annual historicals'!L32</f>
        <v>56.6</v>
      </c>
      <c r="H54" s="327">
        <f>'Annual historicals'!M32</f>
        <v>61.1</v>
      </c>
      <c r="I54" s="327">
        <f>'Annual historicals'!N32</f>
        <v>66.900000000000006</v>
      </c>
      <c r="J54" s="327">
        <f>'Annual historicals'!O32</f>
        <v>70.599999999999994</v>
      </c>
      <c r="K54" s="327">
        <f>'Annual historicals'!P32</f>
        <v>97.1</v>
      </c>
      <c r="L54" s="327">
        <f>'Annual historicals'!Q32</f>
        <v>97</v>
      </c>
      <c r="M54" s="358">
        <f>'Annual historicals'!R32</f>
        <v>137.69999999999999</v>
      </c>
      <c r="N54" s="699">
        <f>+N36/Inputs!$B$190/N$46</f>
        <v>124.65756460613086</v>
      </c>
      <c r="O54" s="699">
        <f>+O36/Inputs!$B$190/O$46</f>
        <v>132.0316380535233</v>
      </c>
      <c r="P54" s="699">
        <f>+P36/Inputs!$B$190/P$46</f>
        <v>135.37655354778707</v>
      </c>
      <c r="Q54" s="699">
        <f>+Q36/Inputs!$B$190/Q$46</f>
        <v>140.13275261528929</v>
      </c>
      <c r="R54" s="699">
        <f>+R36/Inputs!$B$190/R$46</f>
        <v>143.36857384357924</v>
      </c>
      <c r="S54" s="699">
        <f>+S36/Inputs!$B$190/S$46</f>
        <v>146.67894424038232</v>
      </c>
      <c r="T54" s="699">
        <f>+T36/Inputs!$B$190/T$46</f>
        <v>150.0657616631002</v>
      </c>
      <c r="U54" s="699">
        <f>+U36/Inputs!$B$190/U$46</f>
        <v>153.53078006578636</v>
      </c>
      <c r="V54" s="640"/>
      <c r="W54" s="253"/>
      <c r="X54" s="202">
        <f>'Quarterly historicals'!B50</f>
        <v>46.075000000000003</v>
      </c>
      <c r="Y54" s="202">
        <f>'Quarterly historicals'!C50</f>
        <v>57.281999999999996</v>
      </c>
      <c r="Z54" s="202">
        <f>'Quarterly historicals'!D50</f>
        <v>53.377000000000002</v>
      </c>
      <c r="AA54" s="202">
        <f>'Quarterly historicals'!E50</f>
        <v>40.262</v>
      </c>
      <c r="AB54" s="202">
        <f>'Quarterly historicals'!F50</f>
        <v>43.485999999999997</v>
      </c>
      <c r="AC54" s="202">
        <f>'Quarterly historicals'!G50</f>
        <v>45.474000000000004</v>
      </c>
      <c r="AD54" s="202">
        <f>'Quarterly historicals'!H50</f>
        <v>57.802</v>
      </c>
      <c r="AE54" s="202">
        <f>'Quarterly historicals'!I50</f>
        <v>53.438000000000002</v>
      </c>
      <c r="AF54" s="202">
        <f>'Quarterly historicals'!J50</f>
        <v>3.9579999999999997</v>
      </c>
      <c r="AG54" s="202">
        <f>'Quarterly historicals'!K50</f>
        <v>16.504999999999999</v>
      </c>
      <c r="AH54" s="202">
        <f>'Quarterly historicals'!L50</f>
        <v>14</v>
      </c>
      <c r="AI54" s="202">
        <f>'Quarterly historicals'!M50</f>
        <v>12.5</v>
      </c>
      <c r="AJ54" s="202">
        <f>'Quarterly historicals'!N50</f>
        <v>19.100000000000001</v>
      </c>
      <c r="AK54" s="202">
        <f>'Quarterly historicals'!O50</f>
        <v>14.5</v>
      </c>
      <c r="AL54" s="202">
        <f>'Quarterly historicals'!P50</f>
        <v>13.899999999999999</v>
      </c>
      <c r="AM54" s="202">
        <f>'Quarterly historicals'!Q50</f>
        <v>14.7</v>
      </c>
      <c r="AN54" s="202">
        <f>'Quarterly historicals'!R50</f>
        <v>12.7</v>
      </c>
      <c r="AO54" s="202">
        <f>'Quarterly historicals'!S50</f>
        <v>13.4</v>
      </c>
      <c r="AP54" s="202">
        <f>'Quarterly historicals'!T50</f>
        <v>12.6</v>
      </c>
      <c r="AQ54" s="202">
        <f>'Quarterly historicals'!U50</f>
        <v>17.8</v>
      </c>
      <c r="AR54" s="202">
        <f>'Quarterly historicals'!V50</f>
        <v>12.5</v>
      </c>
      <c r="AS54" s="202">
        <f>'Quarterly historicals'!W50</f>
        <v>13.799999999999999</v>
      </c>
      <c r="AT54" s="202">
        <f>'Quarterly historicals'!X50</f>
        <v>19.099999999999998</v>
      </c>
      <c r="AU54" s="202">
        <f>'Quarterly historicals'!Y50</f>
        <v>15.7</v>
      </c>
      <c r="AV54" s="202">
        <f>'Quarterly historicals'!Z50</f>
        <v>10.8</v>
      </c>
      <c r="AW54" s="202">
        <f>'Quarterly historicals'!AA50</f>
        <v>16.8</v>
      </c>
      <c r="AX54" s="202">
        <f>'Quarterly historicals'!AB50</f>
        <v>19.5</v>
      </c>
      <c r="AY54" s="202">
        <f>'Quarterly historicals'!AC50</f>
        <v>19.8</v>
      </c>
      <c r="AZ54" s="202">
        <f>'Quarterly historicals'!AD50</f>
        <v>15.599999999999994</v>
      </c>
      <c r="BA54" s="202">
        <f>'Quarterly historicals'!AE50</f>
        <v>17.5</v>
      </c>
      <c r="BB54" s="202">
        <f>'Quarterly historicals'!AF50</f>
        <v>16.899999999999999</v>
      </c>
      <c r="BC54" s="202">
        <f>'Quarterly historicals'!AG50</f>
        <v>20.6</v>
      </c>
      <c r="BD54" s="202">
        <f>'Quarterly historicals'!AH50</f>
        <v>19.8</v>
      </c>
      <c r="BE54" s="202">
        <f>'Quarterly historicals'!AI50</f>
        <v>21.3</v>
      </c>
      <c r="BF54" s="202">
        <f>'Quarterly historicals'!AJ50</f>
        <v>28</v>
      </c>
      <c r="BG54" s="202">
        <f>'Quarterly historicals'!AK50</f>
        <v>28</v>
      </c>
      <c r="BH54" s="202">
        <f>'Quarterly historicals'!AL50</f>
        <v>25.4</v>
      </c>
      <c r="BI54" s="202">
        <f>'Quarterly historicals'!AM50</f>
        <v>23.6</v>
      </c>
      <c r="BJ54" s="202">
        <f>'Quarterly historicals'!AN50</f>
        <v>23.3</v>
      </c>
      <c r="BK54" s="202">
        <f>'Quarterly historicals'!AO50</f>
        <v>24.7</v>
      </c>
      <c r="BL54" s="202">
        <f>'Quarterly historicals'!AP50</f>
        <v>24.1</v>
      </c>
      <c r="BM54" s="202">
        <f>'Quarterly historicals'!AQ50</f>
        <v>31.3</v>
      </c>
      <c r="BN54" s="202">
        <f>'Quarterly historicals'!AR50</f>
        <v>38.6</v>
      </c>
      <c r="BO54" s="202">
        <f>'Quarterly historicals'!AS50</f>
        <v>43.7</v>
      </c>
      <c r="BP54" s="355">
        <f>'Quarterly historicals'!AT50</f>
        <v>35.6</v>
      </c>
      <c r="BQ54" s="614">
        <f>$N54*BQ216</f>
        <v>24.760796623297587</v>
      </c>
      <c r="BR54" s="614">
        <f>$N54*BR216</f>
        <v>32.077099337321954</v>
      </c>
      <c r="BS54" s="2031">
        <f>$N54-SUM(BP54:BR54)</f>
        <v>32.219668645511319</v>
      </c>
      <c r="BT54" s="2038">
        <f t="shared" ref="BT54:BV55" si="183">$O54*BT216</f>
        <v>54.398181788765037</v>
      </c>
      <c r="BU54" s="614">
        <f t="shared" si="183"/>
        <v>26.225512651506939</v>
      </c>
      <c r="BV54" s="614">
        <f t="shared" si="183"/>
        <v>33.974608623983258</v>
      </c>
      <c r="BW54" s="2031">
        <f>$O54-SUM(BT54:BV54)</f>
        <v>17.433334989268062</v>
      </c>
      <c r="BX54" s="2038">
        <f t="shared" ref="BX54:BZ55" si="184">$P54*BX216</f>
        <v>55.77631602846337</v>
      </c>
      <c r="BY54" s="614">
        <f t="shared" si="184"/>
        <v>26.889914948609967</v>
      </c>
      <c r="BZ54" s="614">
        <f t="shared" si="184"/>
        <v>34.835328043004935</v>
      </c>
      <c r="CA54" s="2031">
        <f>$P54-SUM(BX54:BZ54)</f>
        <v>17.874994527708793</v>
      </c>
      <c r="CB54" s="2038">
        <f t="shared" ref="CB54:CD55" si="185">$Q54*CB216</f>
        <v>57.735911359641918</v>
      </c>
      <c r="CC54" s="614">
        <f t="shared" si="185"/>
        <v>27.83464123283057</v>
      </c>
      <c r="CD54" s="614">
        <f t="shared" si="185"/>
        <v>36.059201383049668</v>
      </c>
      <c r="CE54" s="2031">
        <f>$Q54-SUM(CB54:CD54)</f>
        <v>18.502998639767128</v>
      </c>
      <c r="CF54" s="2038">
        <f t="shared" ref="CF54:CH55" si="186">$R54*CF216</f>
        <v>59.069097814096914</v>
      </c>
      <c r="CG54" s="614">
        <f t="shared" si="186"/>
        <v>28.477374079378546</v>
      </c>
      <c r="CH54" s="614">
        <f t="shared" si="186"/>
        <v>36.891848477557133</v>
      </c>
      <c r="CI54" s="2031">
        <f>$R54-SUM(CF54:CH54)</f>
        <v>18.930253472546653</v>
      </c>
      <c r="CJ54" s="2038">
        <f t="shared" ref="CJ54:CL55" si="187">$S54*CJ216</f>
        <v>60.432999173560766</v>
      </c>
      <c r="CK54" s="614">
        <f t="shared" si="187"/>
        <v>29.134914665880544</v>
      </c>
      <c r="CL54" s="614">
        <f t="shared" si="187"/>
        <v>37.743678692571294</v>
      </c>
      <c r="CM54" s="2031">
        <f>$S54-SUM(CJ54:CL54)</f>
        <v>19.367351708369725</v>
      </c>
      <c r="CN54" s="2038">
        <f t="shared" ref="CN54:CP55" si="188">$T54*CN216</f>
        <v>61.828397371768972</v>
      </c>
      <c r="CO54" s="614">
        <f t="shared" si="188"/>
        <v>29.807639964735241</v>
      </c>
      <c r="CP54" s="614">
        <f t="shared" si="188"/>
        <v>38.615180388029181</v>
      </c>
      <c r="CQ54" s="2031">
        <f>$T54-SUM(CN54:CP54)</f>
        <v>19.8145439385668</v>
      </c>
      <c r="CR54" s="2038">
        <f t="shared" ref="CR54:CT55" si="189">$U54*CR216</f>
        <v>63.256015053027511</v>
      </c>
      <c r="CS54" s="614">
        <f t="shared" si="189"/>
        <v>30.495898364744733</v>
      </c>
      <c r="CT54" s="614">
        <f t="shared" si="189"/>
        <v>39.506804894410294</v>
      </c>
      <c r="CU54" s="2031">
        <f>$U54-SUM(CR54:CT54)</f>
        <v>20.272061753603822</v>
      </c>
    </row>
    <row r="55" spans="1:102">
      <c r="A55" s="157" t="s">
        <v>189</v>
      </c>
      <c r="B55" s="327">
        <f>'Annual historicals'!G33</f>
        <v>422.29199999999997</v>
      </c>
      <c r="C55" s="327">
        <f>'Annual historicals'!H33</f>
        <v>479.34699999999998</v>
      </c>
      <c r="D55" s="327">
        <f>'Annual historicals'!I33</f>
        <v>405.54599999999999</v>
      </c>
      <c r="E55" s="327">
        <f>'Annual historicals'!J33</f>
        <v>370.7</v>
      </c>
      <c r="F55" s="327">
        <f>'Annual historicals'!K33</f>
        <v>756.5</v>
      </c>
      <c r="G55" s="327">
        <f>'Annual historicals'!L33</f>
        <v>779.6</v>
      </c>
      <c r="H55" s="327">
        <f>'Annual historicals'!M33</f>
        <v>764.5</v>
      </c>
      <c r="I55" s="327">
        <f>'Annual historicals'!N33</f>
        <v>909.3</v>
      </c>
      <c r="J55" s="327">
        <f>'Annual historicals'!O33</f>
        <v>920.6</v>
      </c>
      <c r="K55" s="327">
        <f>'Annual historicals'!P33</f>
        <v>1080</v>
      </c>
      <c r="L55" s="327">
        <f>'Annual historicals'!Q33</f>
        <v>1104</v>
      </c>
      <c r="M55" s="358">
        <f>'Annual historicals'!R33</f>
        <v>1176</v>
      </c>
      <c r="N55" s="699">
        <f>+N37/Inputs!$B$189/N$46</f>
        <v>1270.3782511679572</v>
      </c>
      <c r="O55" s="699">
        <f>+O37/Inputs!$B$189/O$46</f>
        <v>1345.5270201951819</v>
      </c>
      <c r="P55" s="699">
        <f>+P37/Inputs!$B$189/P$46</f>
        <v>1379.614866442889</v>
      </c>
      <c r="Q55" s="699">
        <f>+Q37/Inputs!$B$189/Q$46</f>
        <v>1428.0850244527226</v>
      </c>
      <c r="R55" s="699">
        <f>+R37/Inputs!$B$189/R$46</f>
        <v>1461.0610971529661</v>
      </c>
      <c r="S55" s="699">
        <f>+S37/Inputs!$B$189/S$46</f>
        <v>1494.7968962494463</v>
      </c>
      <c r="T55" s="699">
        <f>+T37/Inputs!$B$189/T$46</f>
        <v>1529.3117627005261</v>
      </c>
      <c r="U55" s="699">
        <f>+U37/Inputs!$B$189/U$46</f>
        <v>1564.6235709536188</v>
      </c>
      <c r="V55" s="640"/>
      <c r="W55" s="253"/>
      <c r="X55" s="202">
        <f>'Quarterly historicals'!B51</f>
        <v>89.131</v>
      </c>
      <c r="Y55" s="202">
        <f>'Quarterly historicals'!C51</f>
        <v>126.886</v>
      </c>
      <c r="Z55" s="202">
        <f>'Quarterly historicals'!D51</f>
        <v>113.41800000000001</v>
      </c>
      <c r="AA55" s="202">
        <f>'Quarterly historicals'!E51</f>
        <v>149.911</v>
      </c>
      <c r="AB55" s="202">
        <f>'Quarterly historicals'!F51</f>
        <v>120.482</v>
      </c>
      <c r="AC55" s="202">
        <f>'Quarterly historicals'!G51</f>
        <v>127.108</v>
      </c>
      <c r="AD55" s="202">
        <f>'Quarterly historicals'!H51</f>
        <v>52.252000000000002</v>
      </c>
      <c r="AE55" s="202">
        <f>'Quarterly historicals'!I51</f>
        <v>105.705</v>
      </c>
      <c r="AF55" s="202">
        <f>'Quarterly historicals'!J51</f>
        <v>31.612000000000002</v>
      </c>
      <c r="AG55" s="202">
        <f>'Quarterly historicals'!K51</f>
        <v>93.3</v>
      </c>
      <c r="AH55" s="202">
        <f>'Quarterly historicals'!L51</f>
        <v>125</v>
      </c>
      <c r="AI55" s="202">
        <f>'Quarterly historicals'!M51</f>
        <v>120.8</v>
      </c>
      <c r="AJ55" s="202">
        <f>'Quarterly historicals'!N51</f>
        <v>153.1</v>
      </c>
      <c r="AK55" s="202">
        <f>'Quarterly historicals'!O51</f>
        <v>213.7</v>
      </c>
      <c r="AL55" s="202">
        <f>'Quarterly historicals'!P51</f>
        <v>178.7</v>
      </c>
      <c r="AM55" s="202">
        <f>'Quarterly historicals'!Q51</f>
        <v>211</v>
      </c>
      <c r="AN55" s="202">
        <f>'Quarterly historicals'!R51</f>
        <v>204.8</v>
      </c>
      <c r="AO55" s="202">
        <f>'Quarterly historicals'!S51</f>
        <v>256.60000000000002</v>
      </c>
      <c r="AP55" s="202">
        <f>'Quarterly historicals'!T51</f>
        <v>217.5</v>
      </c>
      <c r="AQ55" s="202">
        <f>'Quarterly historicals'!U51</f>
        <v>100.7</v>
      </c>
      <c r="AR55" s="202">
        <f>'Quarterly historicals'!V51</f>
        <v>206.9</v>
      </c>
      <c r="AS55" s="202">
        <f>'Quarterly historicals'!W51</f>
        <v>283.7</v>
      </c>
      <c r="AT55" s="202">
        <f>'Quarterly historicals'!X51</f>
        <v>178.9</v>
      </c>
      <c r="AU55" s="202">
        <f>'Quarterly historicals'!Y51</f>
        <v>95.100000000000009</v>
      </c>
      <c r="AV55" s="202">
        <f>'Quarterly historicals'!Z51</f>
        <v>125.2</v>
      </c>
      <c r="AW55" s="202">
        <f>'Quarterly historicals'!AA51</f>
        <v>397.4</v>
      </c>
      <c r="AX55" s="202">
        <f>'Quarterly historicals'!AB51</f>
        <v>154.4</v>
      </c>
      <c r="AY55" s="202">
        <f>'Quarterly historicals'!AC51</f>
        <v>232.5</v>
      </c>
      <c r="AZ55" s="202">
        <f>'Quarterly historicals'!AD51</f>
        <v>241.20000000000005</v>
      </c>
      <c r="BA55" s="202">
        <f>'Quarterly historicals'!AE51</f>
        <v>307.39999999999998</v>
      </c>
      <c r="BB55" s="202">
        <f>'Quarterly historicals'!AF51</f>
        <v>168.7</v>
      </c>
      <c r="BC55" s="202">
        <f>'Quarterly historicals'!AG51</f>
        <v>203.3</v>
      </c>
      <c r="BD55" s="202">
        <f>'Quarterly historicals'!AH51</f>
        <v>214.1</v>
      </c>
      <c r="BE55" s="202">
        <f>'Quarterly historicals'!AI51</f>
        <v>266.2</v>
      </c>
      <c r="BF55" s="202">
        <f>'Quarterly historicals'!AJ51</f>
        <v>288.8</v>
      </c>
      <c r="BG55" s="202">
        <f>'Quarterly historicals'!AK51</f>
        <v>310.89999999999998</v>
      </c>
      <c r="BH55" s="202">
        <f>'Quarterly historicals'!AL51</f>
        <v>177.4</v>
      </c>
      <c r="BI55" s="202">
        <f>'Quarterly historicals'!AM51</f>
        <v>255.7</v>
      </c>
      <c r="BJ55" s="202">
        <f>'Quarterly historicals'!AN51</f>
        <v>333</v>
      </c>
      <c r="BK55" s="202">
        <f>'Quarterly historicals'!AO51</f>
        <v>337.9</v>
      </c>
      <c r="BL55" s="202">
        <f>'Quarterly historicals'!AP51</f>
        <v>305</v>
      </c>
      <c r="BM55" s="202">
        <f>'Quarterly historicals'!AQ51</f>
        <v>296.10000000000002</v>
      </c>
      <c r="BN55" s="202">
        <f>'Quarterly historicals'!AR51</f>
        <v>244.8</v>
      </c>
      <c r="BO55" s="202">
        <f>'Quarterly historicals'!AS51</f>
        <v>330.1</v>
      </c>
      <c r="BP55" s="355">
        <f>'Quarterly historicals'!AT51</f>
        <v>336.4</v>
      </c>
      <c r="BQ55" s="614">
        <f>$N55*BQ217</f>
        <v>279.48321525695059</v>
      </c>
      <c r="BR55" s="614">
        <f>$N55*BR217</f>
        <v>279.48321525695059</v>
      </c>
      <c r="BS55" s="2031">
        <f>$N55-SUM(BP55:BR55)</f>
        <v>375.01182065405601</v>
      </c>
      <c r="BT55" s="2038">
        <f t="shared" si="183"/>
        <v>593.98066342874813</v>
      </c>
      <c r="BU55" s="614">
        <f t="shared" si="183"/>
        <v>296.01594444294</v>
      </c>
      <c r="BV55" s="614">
        <f t="shared" si="183"/>
        <v>296.01594444294</v>
      </c>
      <c r="BW55" s="2031">
        <f>$O55-SUM(BT55:BV55)</f>
        <v>159.51446788055364</v>
      </c>
      <c r="BX55" s="2038">
        <f t="shared" si="184"/>
        <v>609.02868641540886</v>
      </c>
      <c r="BY55" s="614">
        <f t="shared" si="184"/>
        <v>303.51527061743559</v>
      </c>
      <c r="BZ55" s="614">
        <f t="shared" si="184"/>
        <v>303.51527061743559</v>
      </c>
      <c r="CA55" s="2031">
        <f>$P55-SUM(BX55:BZ55)</f>
        <v>163.55563879260899</v>
      </c>
      <c r="CB55" s="2038">
        <f t="shared" si="185"/>
        <v>630.42575699003089</v>
      </c>
      <c r="CC55" s="614">
        <f t="shared" si="185"/>
        <v>314.17870537959897</v>
      </c>
      <c r="CD55" s="614">
        <f t="shared" si="185"/>
        <v>314.17870537959897</v>
      </c>
      <c r="CE55" s="2031">
        <f>$Q55-SUM(CB55:CD55)</f>
        <v>169.30185670349374</v>
      </c>
      <c r="CF55" s="2038">
        <f t="shared" si="186"/>
        <v>644.98298939471647</v>
      </c>
      <c r="CG55" s="614">
        <f t="shared" si="186"/>
        <v>321.43344137365256</v>
      </c>
      <c r="CH55" s="614">
        <f t="shared" si="186"/>
        <v>321.43344137365256</v>
      </c>
      <c r="CI55" s="2031">
        <f>$R55-SUM(CF55:CH55)</f>
        <v>173.21122501094442</v>
      </c>
      <c r="CJ55" s="2038">
        <f t="shared" si="187"/>
        <v>659.87560175245221</v>
      </c>
      <c r="CK55" s="614">
        <f t="shared" si="187"/>
        <v>328.85531717487817</v>
      </c>
      <c r="CL55" s="614">
        <f t="shared" si="187"/>
        <v>328.85531717487817</v>
      </c>
      <c r="CM55" s="2031">
        <f>$S55-SUM(CJ55:CL55)</f>
        <v>177.21066014723783</v>
      </c>
      <c r="CN55" s="2038">
        <f t="shared" si="188"/>
        <v>675.11213209711468</v>
      </c>
      <c r="CO55" s="614">
        <f t="shared" si="188"/>
        <v>336.44858779411572</v>
      </c>
      <c r="CP55" s="614">
        <f t="shared" si="188"/>
        <v>336.44858779411572</v>
      </c>
      <c r="CQ55" s="2031">
        <f>$T55-SUM(CN55:CP55)</f>
        <v>181.30245501517993</v>
      </c>
      <c r="CR55" s="2038">
        <f t="shared" si="189"/>
        <v>690.70047107376206</v>
      </c>
      <c r="CS55" s="614">
        <f t="shared" si="189"/>
        <v>344.21718560979616</v>
      </c>
      <c r="CT55" s="614">
        <f t="shared" si="189"/>
        <v>344.21718560979616</v>
      </c>
      <c r="CU55" s="2031">
        <f>$U55-SUM(CR55:CT55)</f>
        <v>185.48872866026454</v>
      </c>
    </row>
    <row r="56" spans="1:102" s="14" customFormat="1">
      <c r="A56" s="251" t="s">
        <v>837</v>
      </c>
      <c r="B56" s="475">
        <f t="shared" ref="B56:U56" si="190">SUM(B57:B60)</f>
        <v>505.26600000000002</v>
      </c>
      <c r="C56" s="475">
        <f t="shared" si="190"/>
        <v>400.36199999999997</v>
      </c>
      <c r="D56" s="475">
        <f t="shared" si="190"/>
        <v>537.84699999999998</v>
      </c>
      <c r="E56" s="475">
        <f t="shared" si="190"/>
        <v>625.69999999999993</v>
      </c>
      <c r="F56" s="475">
        <f t="shared" si="190"/>
        <v>609.4</v>
      </c>
      <c r="G56" s="475">
        <f t="shared" si="190"/>
        <v>523.70000000000005</v>
      </c>
      <c r="H56" s="475">
        <f t="shared" si="190"/>
        <v>401.40000000000003</v>
      </c>
      <c r="I56" s="475">
        <f t="shared" si="190"/>
        <v>450.8</v>
      </c>
      <c r="J56" s="475">
        <f t="shared" si="190"/>
        <v>638.6</v>
      </c>
      <c r="K56" s="475">
        <f t="shared" si="190"/>
        <v>713.39999999999986</v>
      </c>
      <c r="L56" s="475">
        <f t="shared" si="190"/>
        <v>795.00000000000011</v>
      </c>
      <c r="M56" s="363">
        <f t="shared" ref="M56" si="191">SUM(M57:M60)</f>
        <v>698.4</v>
      </c>
      <c r="N56" s="698">
        <f t="shared" si="190"/>
        <v>879.55627833581912</v>
      </c>
      <c r="O56" s="698">
        <f t="shared" si="190"/>
        <v>937.54041027191488</v>
      </c>
      <c r="P56" s="698">
        <f t="shared" si="190"/>
        <v>960.82114211459702</v>
      </c>
      <c r="Q56" s="698">
        <f t="shared" si="190"/>
        <v>994.61259887007463</v>
      </c>
      <c r="R56" s="698">
        <f t="shared" si="190"/>
        <v>1017.5769355600827</v>
      </c>
      <c r="S56" s="698">
        <f t="shared" si="190"/>
        <v>1041.0728680958862</v>
      </c>
      <c r="T56" s="698">
        <f t="shared" si="190"/>
        <v>1065.1112357398565</v>
      </c>
      <c r="U56" s="698">
        <f t="shared" si="190"/>
        <v>1089.7046544504815</v>
      </c>
      <c r="V56" s="688"/>
      <c r="X56" s="842">
        <f t="shared" ref="X56:BC56" si="192">SUM(X57:X60)</f>
        <v>103.71</v>
      </c>
      <c r="Y56" s="842">
        <f t="shared" si="192"/>
        <v>114.27700000000002</v>
      </c>
      <c r="Z56" s="842">
        <f t="shared" si="192"/>
        <v>96.531000000000006</v>
      </c>
      <c r="AA56" s="842">
        <f t="shared" si="192"/>
        <v>85.843999999999994</v>
      </c>
      <c r="AB56" s="842">
        <f t="shared" si="192"/>
        <v>116.56299999999999</v>
      </c>
      <c r="AC56" s="842">
        <f t="shared" si="192"/>
        <v>127.79899999999999</v>
      </c>
      <c r="AD56" s="842">
        <f t="shared" si="192"/>
        <v>104.23399999999999</v>
      </c>
      <c r="AE56" s="842">
        <f t="shared" si="192"/>
        <v>189.251</v>
      </c>
      <c r="AF56" s="842">
        <f t="shared" si="192"/>
        <v>93.97</v>
      </c>
      <c r="AG56" s="842">
        <f t="shared" si="192"/>
        <v>171.35799999999998</v>
      </c>
      <c r="AH56" s="842">
        <f t="shared" si="192"/>
        <v>151.9</v>
      </c>
      <c r="AI56" s="842">
        <f t="shared" si="192"/>
        <v>208.60000000000002</v>
      </c>
      <c r="AJ56" s="842">
        <f t="shared" si="192"/>
        <v>140.6</v>
      </c>
      <c r="AK56" s="842">
        <f t="shared" si="192"/>
        <v>171.9</v>
      </c>
      <c r="AL56" s="842">
        <f t="shared" si="192"/>
        <v>170.20000000000002</v>
      </c>
      <c r="AM56" s="842">
        <f t="shared" si="192"/>
        <v>126.69999999999999</v>
      </c>
      <c r="AN56" s="842">
        <f t="shared" si="192"/>
        <v>113.19999999999999</v>
      </c>
      <c r="AO56" s="842">
        <f t="shared" si="192"/>
        <v>112.8</v>
      </c>
      <c r="AP56" s="842">
        <f t="shared" si="192"/>
        <v>163.19999999999999</v>
      </c>
      <c r="AQ56" s="842">
        <f t="shared" si="192"/>
        <v>134.6</v>
      </c>
      <c r="AR56" s="842">
        <f t="shared" si="192"/>
        <v>82.6</v>
      </c>
      <c r="AS56" s="842">
        <f t="shared" si="192"/>
        <v>74.399999999999991</v>
      </c>
      <c r="AT56" s="842">
        <f t="shared" si="192"/>
        <v>127.7</v>
      </c>
      <c r="AU56" s="842">
        <f t="shared" si="192"/>
        <v>116.9</v>
      </c>
      <c r="AV56" s="842">
        <f t="shared" si="192"/>
        <v>87.699999999999989</v>
      </c>
      <c r="AW56" s="842">
        <f t="shared" si="192"/>
        <v>89.9</v>
      </c>
      <c r="AX56" s="842">
        <f t="shared" si="192"/>
        <v>152.60000000000002</v>
      </c>
      <c r="AY56" s="842">
        <f t="shared" si="192"/>
        <v>120.7</v>
      </c>
      <c r="AZ56" s="842">
        <f t="shared" si="192"/>
        <v>170.9</v>
      </c>
      <c r="BA56" s="842">
        <f t="shared" si="192"/>
        <v>177</v>
      </c>
      <c r="BB56" s="842">
        <f t="shared" si="192"/>
        <v>133.29999999999998</v>
      </c>
      <c r="BC56" s="842">
        <f t="shared" si="192"/>
        <v>157.4</v>
      </c>
      <c r="BD56" s="842">
        <f t="shared" ref="BD56:CH56" si="193">SUM(BD57:BD60)</f>
        <v>171.3</v>
      </c>
      <c r="BE56" s="842">
        <f t="shared" si="193"/>
        <v>132.80000000000001</v>
      </c>
      <c r="BF56" s="842">
        <f t="shared" si="193"/>
        <v>155.10000000000002</v>
      </c>
      <c r="BG56" s="1441">
        <f t="shared" si="193"/>
        <v>254.3</v>
      </c>
      <c r="BH56" s="1441">
        <f t="shared" si="193"/>
        <v>132.69999999999999</v>
      </c>
      <c r="BI56" s="1441">
        <f t="shared" si="193"/>
        <v>212.79999999999998</v>
      </c>
      <c r="BJ56" s="1441">
        <f t="shared" si="193"/>
        <v>241.10000000000002</v>
      </c>
      <c r="BK56" s="1441">
        <f t="shared" si="193"/>
        <v>208.5</v>
      </c>
      <c r="BL56" s="1441">
        <f t="shared" ref="BL56:BM56" si="194">SUM(BL57:BL60)</f>
        <v>160</v>
      </c>
      <c r="BM56" s="1441">
        <f t="shared" si="194"/>
        <v>188.20000000000002</v>
      </c>
      <c r="BN56" s="1441">
        <f t="shared" ref="BN56:BO56" si="195">SUM(BN57:BN60)</f>
        <v>171.39999999999998</v>
      </c>
      <c r="BO56" s="1441">
        <f t="shared" si="195"/>
        <v>178.89999999999998</v>
      </c>
      <c r="BP56" s="2314">
        <f t="shared" ref="BP56" si="196">SUM(BP57:BP60)</f>
        <v>145.20000000000002</v>
      </c>
      <c r="BQ56" s="1825">
        <f t="shared" si="193"/>
        <v>233.3404706083341</v>
      </c>
      <c r="BR56" s="1825">
        <f t="shared" si="193"/>
        <v>234.85114910228205</v>
      </c>
      <c r="BS56" s="2032">
        <f t="shared" si="193"/>
        <v>266.16465862520289</v>
      </c>
      <c r="BT56" s="2039">
        <f t="shared" si="193"/>
        <v>172.09992413121748</v>
      </c>
      <c r="BU56" s="1825">
        <f t="shared" si="193"/>
        <v>248.7232777885456</v>
      </c>
      <c r="BV56" s="1825">
        <f t="shared" si="193"/>
        <v>250.33354670469126</v>
      </c>
      <c r="BW56" s="2032">
        <f t="shared" ref="BW56" si="197">SUM(BW57:BW60)</f>
        <v>266.3836616474606</v>
      </c>
      <c r="BX56" s="2039">
        <f t="shared" si="193"/>
        <v>176.37345958627355</v>
      </c>
      <c r="BY56" s="1825">
        <f t="shared" si="193"/>
        <v>254.89950216222215</v>
      </c>
      <c r="BZ56" s="1825">
        <f t="shared" si="193"/>
        <v>256.54975680956471</v>
      </c>
      <c r="CA56" s="2032">
        <f t="shared" si="193"/>
        <v>272.99842355653675</v>
      </c>
      <c r="CB56" s="2039">
        <f t="shared" si="193"/>
        <v>182.57639983309912</v>
      </c>
      <c r="CC56" s="1825">
        <f t="shared" si="193"/>
        <v>263.86415242517415</v>
      </c>
      <c r="CD56" s="1825">
        <f t="shared" si="193"/>
        <v>265.57244545875426</v>
      </c>
      <c r="CE56" s="2032">
        <f t="shared" si="193"/>
        <v>282.59960115304727</v>
      </c>
      <c r="CF56" s="2039">
        <f t="shared" si="193"/>
        <v>186.79185610439504</v>
      </c>
      <c r="CG56" s="1825">
        <f t="shared" si="193"/>
        <v>269.95643925483944</v>
      </c>
      <c r="CH56" s="1825">
        <f t="shared" si="193"/>
        <v>271.70417459634211</v>
      </c>
      <c r="CI56" s="2032">
        <f t="shared" ref="CI56" si="198">SUM(CI57:CI60)</f>
        <v>289.12446560450616</v>
      </c>
      <c r="CJ56" s="2039">
        <f t="shared" ref="CJ56:CT56" si="199">SUM(CJ57:CJ60)</f>
        <v>191.10489494784204</v>
      </c>
      <c r="CK56" s="1825">
        <f t="shared" si="199"/>
        <v>276.18975495086221</v>
      </c>
      <c r="CL56" s="1825">
        <f t="shared" si="199"/>
        <v>277.9778456406824</v>
      </c>
      <c r="CM56" s="2032">
        <f t="shared" si="199"/>
        <v>295.80037255649961</v>
      </c>
      <c r="CN56" s="2039">
        <f t="shared" si="199"/>
        <v>195.51750607632206</v>
      </c>
      <c r="CO56" s="1825">
        <f t="shared" si="199"/>
        <v>282.56697509794935</v>
      </c>
      <c r="CP56" s="1825">
        <f t="shared" si="199"/>
        <v>284.39635279341525</v>
      </c>
      <c r="CQ56" s="2032">
        <f t="shared" ref="CQ56" si="200">SUM(CQ57:CQ60)</f>
        <v>302.63040177216976</v>
      </c>
      <c r="CR56" s="2039">
        <f t="shared" si="199"/>
        <v>200.03200534254381</v>
      </c>
      <c r="CS56" s="1825">
        <f t="shared" si="199"/>
        <v>289.0914466265512</v>
      </c>
      <c r="CT56" s="1825">
        <f t="shared" si="199"/>
        <v>290.96306465348181</v>
      </c>
      <c r="CU56" s="2032">
        <f t="shared" ref="CU56" si="201">SUM(CU57:CU60)</f>
        <v>309.6181378279046</v>
      </c>
    </row>
    <row r="57" spans="1:102">
      <c r="A57" s="157" t="s">
        <v>160</v>
      </c>
      <c r="B57" s="327">
        <f>'Annual historicals'!G38</f>
        <v>338.52100000000002</v>
      </c>
      <c r="C57" s="327">
        <f>'Annual historicals'!H38</f>
        <v>126.937</v>
      </c>
      <c r="D57" s="327">
        <f>'Annual historicals'!I38</f>
        <v>216.44300000000001</v>
      </c>
      <c r="E57" s="327">
        <f>'Annual historicals'!J38</f>
        <v>201</v>
      </c>
      <c r="F57" s="327">
        <f>'Annual historicals'!K38</f>
        <v>192.9</v>
      </c>
      <c r="G57" s="327">
        <f>'Annual historicals'!L38</f>
        <v>215.3</v>
      </c>
      <c r="H57" s="327">
        <f>'Annual historicals'!M38</f>
        <v>169.4</v>
      </c>
      <c r="I57" s="327">
        <f>'Annual historicals'!N38</f>
        <v>209.5</v>
      </c>
      <c r="J57" s="327">
        <f>'Annual historicals'!O38</f>
        <v>278.60000000000002</v>
      </c>
      <c r="K57" s="327">
        <f>'Annual historicals'!P38</f>
        <v>332</v>
      </c>
      <c r="L57" s="327">
        <f>'Annual historicals'!Q38</f>
        <v>395.5</v>
      </c>
      <c r="M57" s="358">
        <f>'Annual historicals'!R38</f>
        <v>389.3</v>
      </c>
      <c r="N57" s="699">
        <f>+N39/Inputs!$B$191/N$48</f>
        <v>445.68448350613386</v>
      </c>
      <c r="O57" s="699">
        <f>+O39/Inputs!$B$191/O$48</f>
        <v>475.0659210900784</v>
      </c>
      <c r="P57" s="699">
        <f>+P39/Inputs!$B$191/P$48</f>
        <v>486.86262040599081</v>
      </c>
      <c r="Q57" s="699">
        <f>+Q39/Inputs!$B$191/Q$48</f>
        <v>503.98526317704813</v>
      </c>
      <c r="R57" s="699">
        <f>+R39/Inputs!$B$191/R$48</f>
        <v>515.6216402785933</v>
      </c>
      <c r="S57" s="699">
        <f>+S39/Inputs!$B$191/S$48</f>
        <v>527.52738504404238</v>
      </c>
      <c r="T57" s="699">
        <f>+T39/Inputs!$B$191/T$48</f>
        <v>539.70798989175512</v>
      </c>
      <c r="U57" s="699">
        <f>+U39/Inputs!$B$191/U$48</f>
        <v>552.16984751891425</v>
      </c>
      <c r="V57" s="640"/>
      <c r="X57" s="202">
        <f>'Quarterly historicals'!B56</f>
        <v>36.137</v>
      </c>
      <c r="Y57" s="202">
        <f>'Quarterly historicals'!C56</f>
        <v>22.948</v>
      </c>
      <c r="Z57" s="202">
        <f>'Quarterly historicals'!D56</f>
        <v>30.425000000000001</v>
      </c>
      <c r="AA57" s="202">
        <f>'Quarterly historicals'!E56</f>
        <v>37.427</v>
      </c>
      <c r="AB57" s="202">
        <f>'Quarterly historicals'!F56</f>
        <v>43.110999999999997</v>
      </c>
      <c r="AC57" s="202">
        <f>'Quarterly historicals'!G56</f>
        <v>36.543999999999997</v>
      </c>
      <c r="AD57" s="202">
        <f>'Quarterly historicals'!H56</f>
        <v>44.210999999999999</v>
      </c>
      <c r="AE57" s="202">
        <f>'Quarterly historicals'!I56</f>
        <v>92.576999999999998</v>
      </c>
      <c r="AF57" s="202">
        <f>'Quarterly historicals'!J56</f>
        <v>39.023000000000003</v>
      </c>
      <c r="AG57" s="202">
        <f>'Quarterly historicals'!K56</f>
        <v>47.097999999999999</v>
      </c>
      <c r="AH57" s="202">
        <f>'Quarterly historicals'!L56</f>
        <v>60.6</v>
      </c>
      <c r="AI57" s="202">
        <f>'Quarterly historicals'!M56</f>
        <v>54.3</v>
      </c>
      <c r="AJ57" s="202">
        <f>'Quarterly historicals'!N56</f>
        <v>40.5</v>
      </c>
      <c r="AK57" s="202">
        <f>'Quarterly historicals'!O56</f>
        <v>41.6</v>
      </c>
      <c r="AL57" s="202">
        <f>'Quarterly historicals'!P56</f>
        <v>56.300000000000004</v>
      </c>
      <c r="AM57" s="202">
        <f>'Quarterly historicals'!Q56</f>
        <v>54.4</v>
      </c>
      <c r="AN57" s="202">
        <f>'Quarterly historicals'!R56</f>
        <v>36</v>
      </c>
      <c r="AO57" s="202">
        <f>'Quarterly historicals'!S56</f>
        <v>43.4</v>
      </c>
      <c r="AP57" s="202">
        <f>'Quarterly historicals'!T56</f>
        <v>62.7</v>
      </c>
      <c r="AQ57" s="202">
        <f>'Quarterly historicals'!U56</f>
        <v>73.3</v>
      </c>
      <c r="AR57" s="202">
        <f>'Quarterly historicals'!V56</f>
        <v>35.299999999999997</v>
      </c>
      <c r="AS57" s="202">
        <f>'Quarterly historicals'!W56</f>
        <v>31.9</v>
      </c>
      <c r="AT57" s="202">
        <f>'Quarterly historicals'!X56</f>
        <v>59</v>
      </c>
      <c r="AU57" s="202">
        <f>'Quarterly historicals'!Y56</f>
        <v>43.2</v>
      </c>
      <c r="AV57" s="202">
        <f>'Quarterly historicals'!Z56</f>
        <v>43.8</v>
      </c>
      <c r="AW57" s="202">
        <f>'Quarterly historicals'!AA56</f>
        <v>44.7</v>
      </c>
      <c r="AX57" s="202">
        <f>'Quarterly historicals'!AB56</f>
        <v>65.7</v>
      </c>
      <c r="AY57" s="202">
        <f>'Quarterly historicals'!AC56</f>
        <v>55.300000000000004</v>
      </c>
      <c r="AZ57" s="202">
        <f>'Quarterly historicals'!AD56</f>
        <v>70.800000000000011</v>
      </c>
      <c r="BA57" s="202">
        <f>'Quarterly historicals'!AE56</f>
        <v>55.3</v>
      </c>
      <c r="BB57" s="202">
        <f>'Quarterly historicals'!AF56</f>
        <v>63.8</v>
      </c>
      <c r="BC57" s="202">
        <f>'Quarterly historicals'!AG56</f>
        <v>88.7</v>
      </c>
      <c r="BD57" s="202">
        <f>'Quarterly historicals'!AH56</f>
        <v>86.5</v>
      </c>
      <c r="BE57" s="202">
        <f>'Quarterly historicals'!AI56</f>
        <v>64.900000000000006</v>
      </c>
      <c r="BF57" s="202">
        <f>'Quarterly historicals'!AJ56</f>
        <v>86.3</v>
      </c>
      <c r="BG57" s="202">
        <f>'Quarterly historicals'!AK56</f>
        <v>94.4</v>
      </c>
      <c r="BH57" s="202">
        <f>'Quarterly historicals'!AL56</f>
        <v>86</v>
      </c>
      <c r="BI57" s="202">
        <f>'Quarterly historicals'!AM56</f>
        <v>96.5</v>
      </c>
      <c r="BJ57" s="202">
        <f>'Quarterly historicals'!AN56</f>
        <v>27.6</v>
      </c>
      <c r="BK57" s="202">
        <f>'Quarterly historicals'!AO56</f>
        <v>113.9</v>
      </c>
      <c r="BL57" s="202">
        <f>'Quarterly historicals'!AP56</f>
        <v>91.5</v>
      </c>
      <c r="BM57" s="202">
        <f>'Quarterly historicals'!AQ56</f>
        <v>85.2</v>
      </c>
      <c r="BN57" s="202">
        <f>'Quarterly historicals'!AR56</f>
        <v>95.6</v>
      </c>
      <c r="BO57" s="202">
        <f>'Quarterly historicals'!AS56</f>
        <v>117.1</v>
      </c>
      <c r="BP57" s="355">
        <f>'Quarterly historicals'!AT56</f>
        <v>94.4</v>
      </c>
      <c r="BQ57" s="614">
        <f t="shared" ref="BQ57:BR60" si="202">$N57*BQ219</f>
        <v>90.932937911007414</v>
      </c>
      <c r="BR57" s="614">
        <f t="shared" si="202"/>
        <v>122.25477810499811</v>
      </c>
      <c r="BS57" s="2031">
        <f t="shared" ref="BS57:BS61" si="203">$N57-SUM(BP57:BR57)</f>
        <v>138.09676749012834</v>
      </c>
      <c r="BT57" s="2038">
        <f t="shared" ref="BT57:BV60" si="204">$O57*BT219</f>
        <v>110.71416447343086</v>
      </c>
      <c r="BU57" s="614">
        <f t="shared" si="204"/>
        <v>96.927628187273669</v>
      </c>
      <c r="BV57" s="614">
        <f t="shared" si="204"/>
        <v>130.31433876991761</v>
      </c>
      <c r="BW57" s="2031">
        <f>$O57-SUM(BT57:BV57)</f>
        <v>137.10978965945628</v>
      </c>
      <c r="BX57" s="2038">
        <f t="shared" ref="BX57:BZ60" si="205">$P57*BX219</f>
        <v>113.46338652941137</v>
      </c>
      <c r="BY57" s="614">
        <f t="shared" si="205"/>
        <v>99.33450696844605</v>
      </c>
      <c r="BZ57" s="614">
        <f t="shared" si="205"/>
        <v>133.55026667544541</v>
      </c>
      <c r="CA57" s="2031">
        <f>$P57-SUM(BX57:BZ57)</f>
        <v>140.51446023268795</v>
      </c>
      <c r="CB57" s="2038">
        <f t="shared" ref="CB57:CD60" si="206">$Q57*CB219</f>
        <v>117.45382028568829</v>
      </c>
      <c r="CC57" s="614">
        <f t="shared" si="206"/>
        <v>102.82803718902751</v>
      </c>
      <c r="CD57" s="614">
        <f t="shared" si="206"/>
        <v>138.24714298596646</v>
      </c>
      <c r="CE57" s="2031">
        <f>$Q57-SUM(CB57:CD57)</f>
        <v>145.45626271636587</v>
      </c>
      <c r="CF57" s="2038">
        <f t="shared" ref="CF57:CH60" si="207">$R57*CF219</f>
        <v>120.16567923220923</v>
      </c>
      <c r="CG57" s="614">
        <f t="shared" si="207"/>
        <v>105.20220545299695</v>
      </c>
      <c r="CH57" s="614">
        <f t="shared" si="207"/>
        <v>141.43909324033493</v>
      </c>
      <c r="CI57" s="2031">
        <f>$R57-SUM(CF57:CH57)</f>
        <v>148.8146623530522</v>
      </c>
      <c r="CJ57" s="2038">
        <f t="shared" ref="CJ57:CL60" si="208">$S57*CJ219</f>
        <v>122.94031434203998</v>
      </c>
      <c r="CK57" s="614">
        <f t="shared" si="208"/>
        <v>107.63133276078213</v>
      </c>
      <c r="CL57" s="614">
        <f t="shared" si="208"/>
        <v>144.7049331749547</v>
      </c>
      <c r="CM57" s="2031">
        <f>$S57-SUM(CJ57:CL57)</f>
        <v>152.25080476626556</v>
      </c>
      <c r="CN57" s="2038">
        <f t="shared" ref="CN57:CP60" si="209">$T57*CN219</f>
        <v>125.77900562387543</v>
      </c>
      <c r="CO57" s="614">
        <f t="shared" si="209"/>
        <v>110.11653972967211</v>
      </c>
      <c r="CP57" s="614">
        <f t="shared" si="209"/>
        <v>148.0461694036135</v>
      </c>
      <c r="CQ57" s="2031">
        <f>$T57-SUM(CN57:CP57)</f>
        <v>155.76627513459403</v>
      </c>
      <c r="CR57" s="2038">
        <f t="shared" ref="CR57:CT60" si="210">$U57*CR219</f>
        <v>128.68324289648788</v>
      </c>
      <c r="CS57" s="614">
        <f t="shared" si="210"/>
        <v>112.65913066070837</v>
      </c>
      <c r="CT57" s="614">
        <f t="shared" si="210"/>
        <v>151.46455549369927</v>
      </c>
      <c r="CU57" s="2031">
        <f>$U57-SUM(CR57:CT57)</f>
        <v>159.36291846801873</v>
      </c>
    </row>
    <row r="58" spans="1:102">
      <c r="A58" s="157" t="s">
        <v>161</v>
      </c>
      <c r="B58" s="327">
        <f>'Annual historicals'!G39</f>
        <v>34.392000000000003</v>
      </c>
      <c r="C58" s="327">
        <f>'Annual historicals'!H39</f>
        <v>91.537000000000006</v>
      </c>
      <c r="D58" s="327">
        <f>'Annual historicals'!I39</f>
        <v>106.726</v>
      </c>
      <c r="E58" s="327">
        <f>'Annual historicals'!J39</f>
        <v>35.299999999999997</v>
      </c>
      <c r="F58" s="327">
        <f>'Annual historicals'!K39</f>
        <v>27.7</v>
      </c>
      <c r="G58" s="327">
        <f>'Annual historicals'!L39</f>
        <v>26</v>
      </c>
      <c r="H58" s="327">
        <f>'Annual historicals'!M39</f>
        <v>14.4</v>
      </c>
      <c r="I58" s="327">
        <f>'Annual historicals'!N39</f>
        <v>60.7</v>
      </c>
      <c r="J58" s="327">
        <f>'Annual historicals'!O39</f>
        <v>108.8</v>
      </c>
      <c r="K58" s="327">
        <f>'Annual historicals'!P39</f>
        <v>42.4</v>
      </c>
      <c r="L58" s="327">
        <f>'Annual historicals'!Q39</f>
        <v>86.3</v>
      </c>
      <c r="M58" s="358">
        <f>'Annual historicals'!R39</f>
        <v>30.6</v>
      </c>
      <c r="N58" s="699">
        <f>+N40/Inputs!$B$191/N$48</f>
        <v>62.084206041328493</v>
      </c>
      <c r="O58" s="699">
        <f>+O40/Inputs!$B$191/O$48</f>
        <v>66.177063863979029</v>
      </c>
      <c r="P58" s="699">
        <f>+P40/Inputs!$B$191/P$48</f>
        <v>67.820353540961079</v>
      </c>
      <c r="Q58" s="699">
        <f>+Q40/Inputs!$B$191/Q$48</f>
        <v>70.2055514132486</v>
      </c>
      <c r="R58" s="699">
        <f>+R40/Inputs!$B$191/R$48</f>
        <v>71.826508077172875</v>
      </c>
      <c r="S58" s="699">
        <f>+S40/Inputs!$B$191/S$48</f>
        <v>73.484987872742053</v>
      </c>
      <c r="T58" s="699">
        <f>+T40/Inputs!$B$191/T$48</f>
        <v>75.18175589823916</v>
      </c>
      <c r="U58" s="699">
        <f>+U40/Inputs!$B$191/U$48</f>
        <v>76.917702661509438</v>
      </c>
      <c r="V58" s="640"/>
      <c r="X58" s="202">
        <f>'Quarterly historicals'!B57</f>
        <v>22.027999999999999</v>
      </c>
      <c r="Y58" s="202">
        <f>'Quarterly historicals'!C57</f>
        <v>45.078000000000003</v>
      </c>
      <c r="Z58" s="202">
        <f>'Quarterly historicals'!D57</f>
        <v>15.82</v>
      </c>
      <c r="AA58" s="202">
        <f>'Quarterly historicals'!E57</f>
        <v>8.6110000000000007</v>
      </c>
      <c r="AB58" s="202">
        <f>'Quarterly historicals'!F57</f>
        <v>31.792000000000002</v>
      </c>
      <c r="AC58" s="202">
        <f>'Quarterly historicals'!G57</f>
        <v>29.783000000000001</v>
      </c>
      <c r="AD58" s="202">
        <f>'Quarterly historicals'!H57</f>
        <v>7.9409999999999998</v>
      </c>
      <c r="AE58" s="202">
        <f>'Quarterly historicals'!I57</f>
        <v>37.21</v>
      </c>
      <c r="AF58" s="202">
        <f>'Quarterly historicals'!J57</f>
        <v>6.7039999999999997</v>
      </c>
      <c r="AG58" s="202">
        <f>'Quarterly historicals'!K57</f>
        <v>26.613999999999997</v>
      </c>
      <c r="AH58" s="202">
        <f>'Quarterly historicals'!L57</f>
        <v>2</v>
      </c>
      <c r="AI58" s="202">
        <f>'Quarterly historicals'!M57</f>
        <v>0</v>
      </c>
      <c r="AJ58" s="202">
        <f>'Quarterly historicals'!N57</f>
        <v>4.9000000000000004</v>
      </c>
      <c r="AK58" s="202">
        <f>'Quarterly historicals'!O57</f>
        <v>20.8</v>
      </c>
      <c r="AL58" s="202">
        <f>'Quarterly historicals'!P57</f>
        <v>2</v>
      </c>
      <c r="AM58" s="202">
        <f>'Quarterly historicals'!Q57</f>
        <v>0</v>
      </c>
      <c r="AN58" s="202">
        <f>'Quarterly historicals'!R57</f>
        <v>7</v>
      </c>
      <c r="AO58" s="202">
        <f>'Quarterly historicals'!S57</f>
        <v>10</v>
      </c>
      <c r="AP58" s="202">
        <f>'Quarterly historicals'!T57</f>
        <v>9</v>
      </c>
      <c r="AQ58" s="202">
        <f>'Quarterly historicals'!U57</f>
        <v>0</v>
      </c>
      <c r="AR58" s="202">
        <f>'Quarterly historicals'!V57</f>
        <v>0</v>
      </c>
      <c r="AS58" s="202">
        <f>'Quarterly historicals'!W57</f>
        <v>0</v>
      </c>
      <c r="AT58" s="202">
        <f>'Quarterly historicals'!X57</f>
        <v>8</v>
      </c>
      <c r="AU58" s="202">
        <f>'Quarterly historicals'!Y57</f>
        <v>6.5</v>
      </c>
      <c r="AV58" s="202">
        <f>'Quarterly historicals'!Z57</f>
        <v>6.5</v>
      </c>
      <c r="AW58" s="202">
        <f>'Quarterly historicals'!AA57</f>
        <v>5</v>
      </c>
      <c r="AX58" s="202">
        <f>'Quarterly historicals'!AB57</f>
        <v>37.200000000000003</v>
      </c>
      <c r="AY58" s="202">
        <f>'Quarterly historicals'!AC57</f>
        <v>12.1</v>
      </c>
      <c r="AZ58" s="202">
        <f>'Quarterly historicals'!AD57</f>
        <v>52.5</v>
      </c>
      <c r="BA58" s="202">
        <f>'Quarterly historicals'!AE57</f>
        <v>54.3</v>
      </c>
      <c r="BB58" s="202">
        <f>'Quarterly historicals'!AF57</f>
        <v>2</v>
      </c>
      <c r="BC58" s="202">
        <f>'Quarterly historicals'!AG57</f>
        <v>0</v>
      </c>
      <c r="BD58" s="202">
        <f>'Quarterly historicals'!AH57</f>
        <v>42.4</v>
      </c>
      <c r="BE58" s="202">
        <f>'Quarterly historicals'!AI57</f>
        <v>0</v>
      </c>
      <c r="BF58" s="202">
        <f>'Quarterly historicals'!AJ57</f>
        <v>0</v>
      </c>
      <c r="BG58" s="202">
        <f>'Quarterly historicals'!AK57</f>
        <v>0</v>
      </c>
      <c r="BH58" s="202">
        <f>'Quarterly historicals'!AL57</f>
        <v>0</v>
      </c>
      <c r="BI58" s="202">
        <f>'Quarterly historicals'!AM57</f>
        <v>58.7</v>
      </c>
      <c r="BJ58" s="202">
        <f>'Quarterly historicals'!AN57</f>
        <v>99.2</v>
      </c>
      <c r="BK58" s="202">
        <f>'Quarterly historicals'!AO57</f>
        <v>0</v>
      </c>
      <c r="BL58" s="202">
        <f>'Quarterly historicals'!AP57</f>
        <v>0</v>
      </c>
      <c r="BM58" s="202">
        <f>'Quarterly historicals'!AQ57</f>
        <v>21</v>
      </c>
      <c r="BN58" s="202">
        <f>'Quarterly historicals'!AR57</f>
        <v>0</v>
      </c>
      <c r="BO58" s="202">
        <f>'Quarterly historicals'!AS57</f>
        <v>9.6</v>
      </c>
      <c r="BP58" s="355">
        <f>'Quarterly historicals'!AT57</f>
        <v>0.4</v>
      </c>
      <c r="BQ58" s="614">
        <f t="shared" si="202"/>
        <v>37.900409914785143</v>
      </c>
      <c r="BR58" s="614">
        <f t="shared" si="202"/>
        <v>0</v>
      </c>
      <c r="BS58" s="2031">
        <f t="shared" si="203"/>
        <v>23.783796126543351</v>
      </c>
      <c r="BT58" s="2038">
        <f t="shared" si="204"/>
        <v>0.34077163047531533</v>
      </c>
      <c r="BU58" s="614">
        <f t="shared" si="204"/>
        <v>40.398967907104939</v>
      </c>
      <c r="BV58" s="614">
        <f t="shared" si="204"/>
        <v>0</v>
      </c>
      <c r="BW58" s="2031">
        <f>$O58-SUM(BT58:BV58)</f>
        <v>25.437324326398773</v>
      </c>
      <c r="BX58" s="2038">
        <f t="shared" si="205"/>
        <v>0.34923357287456458</v>
      </c>
      <c r="BY58" s="614">
        <f t="shared" si="205"/>
        <v>41.402143373742867</v>
      </c>
      <c r="BZ58" s="614">
        <f t="shared" si="205"/>
        <v>0</v>
      </c>
      <c r="CA58" s="2031">
        <f>$P58-SUM(BX58:BZ58)</f>
        <v>26.068976594343646</v>
      </c>
      <c r="CB58" s="2038">
        <f t="shared" si="206"/>
        <v>0.36151589125629763</v>
      </c>
      <c r="CC58" s="614">
        <f t="shared" si="206"/>
        <v>42.858229918964888</v>
      </c>
      <c r="CD58" s="614">
        <f t="shared" si="206"/>
        <v>0</v>
      </c>
      <c r="CE58" s="2031">
        <f>$Q58-SUM(CB58:CD58)</f>
        <v>26.985805603027416</v>
      </c>
      <c r="CF58" s="2038">
        <f t="shared" si="207"/>
        <v>0.36986283222108057</v>
      </c>
      <c r="CG58" s="614">
        <f t="shared" si="207"/>
        <v>43.847771799808726</v>
      </c>
      <c r="CH58" s="614">
        <f t="shared" si="207"/>
        <v>0</v>
      </c>
      <c r="CI58" s="2031">
        <f>$R58-SUM(CF58:CH58)</f>
        <v>27.608873445143068</v>
      </c>
      <c r="CJ58" s="2038">
        <f t="shared" si="208"/>
        <v>0.37840299449253034</v>
      </c>
      <c r="CK58" s="614">
        <f t="shared" si="208"/>
        <v>44.860220345025169</v>
      </c>
      <c r="CL58" s="614">
        <f t="shared" si="208"/>
        <v>0</v>
      </c>
      <c r="CM58" s="2031">
        <f>$S58-SUM(CJ58:CL58)</f>
        <v>28.246364533224352</v>
      </c>
      <c r="CN58" s="2038">
        <f t="shared" si="209"/>
        <v>0.38714031786147718</v>
      </c>
      <c r="CO58" s="614">
        <f t="shared" si="209"/>
        <v>45.896042622495095</v>
      </c>
      <c r="CP58" s="614">
        <f t="shared" si="209"/>
        <v>0</v>
      </c>
      <c r="CQ58" s="2031">
        <f>$T58-SUM(CN58:CP58)</f>
        <v>28.898572957882585</v>
      </c>
      <c r="CR58" s="2038">
        <f t="shared" si="210"/>
        <v>0.39607938790172342</v>
      </c>
      <c r="CS58" s="614">
        <f t="shared" si="210"/>
        <v>46.955782258601431</v>
      </c>
      <c r="CT58" s="614">
        <f t="shared" si="210"/>
        <v>0</v>
      </c>
      <c r="CU58" s="2031">
        <f>$U58-SUM(CR58:CT58)</f>
        <v>29.565841015006285</v>
      </c>
    </row>
    <row r="59" spans="1:102">
      <c r="A59" s="157" t="s">
        <v>158</v>
      </c>
      <c r="B59" s="327">
        <f>'Annual historicals'!G35</f>
        <v>77.114999999999995</v>
      </c>
      <c r="C59" s="327">
        <f>'Annual historicals'!H35</f>
        <v>152.286</v>
      </c>
      <c r="D59" s="327">
        <f>'Annual historicals'!I35</f>
        <v>179.40899999999999</v>
      </c>
      <c r="E59" s="327">
        <f>'Annual historicals'!J35</f>
        <v>368.5</v>
      </c>
      <c r="F59" s="327">
        <f>'Annual historicals'!K35</f>
        <v>329.7</v>
      </c>
      <c r="G59" s="327">
        <f>'Annual historicals'!L35</f>
        <v>256.10000000000002</v>
      </c>
      <c r="H59" s="327">
        <f>'Annual historicals'!M35</f>
        <v>177.4</v>
      </c>
      <c r="I59" s="327">
        <f>'Annual historicals'!N35</f>
        <v>148.30000000000001</v>
      </c>
      <c r="J59" s="327">
        <f>'Annual historicals'!O35</f>
        <v>187.7</v>
      </c>
      <c r="K59" s="327">
        <f>'Annual historicals'!P35</f>
        <v>291.2</v>
      </c>
      <c r="L59" s="327">
        <f>'Annual historicals'!Q35</f>
        <v>261.10000000000002</v>
      </c>
      <c r="M59" s="358">
        <f>'Annual historicals'!R35</f>
        <v>240.1</v>
      </c>
      <c r="N59" s="699">
        <f>+N41/Inputs!$B$192/N$48</f>
        <v>316.80520133662543</v>
      </c>
      <c r="O59" s="699">
        <f>+O41/Inputs!$B$192/O$48</f>
        <v>337.69036246252972</v>
      </c>
      <c r="P59" s="699">
        <f>+P41/Inputs!$B$192/P$48</f>
        <v>346.07579170719367</v>
      </c>
      <c r="Q59" s="699">
        <f>+Q41/Inputs!$B$192/Q$48</f>
        <v>358.24705297217162</v>
      </c>
      <c r="R59" s="699">
        <f>+R41/Inputs!$B$192/R$48</f>
        <v>366.51852062902839</v>
      </c>
      <c r="S59" s="699">
        <f>+S41/Inputs!$B$192/S$48</f>
        <v>374.98146247929952</v>
      </c>
      <c r="T59" s="699">
        <f>+T41/Inputs!$B$192/T$48</f>
        <v>383.63978269010045</v>
      </c>
      <c r="U59" s="699">
        <f>+U41/Inputs!$B$192/U$48</f>
        <v>392.4980253723279</v>
      </c>
      <c r="V59" s="640"/>
      <c r="X59" s="202">
        <f>'Quarterly historicals'!B53</f>
        <v>37.607999999999997</v>
      </c>
      <c r="Y59" s="202">
        <f>'Quarterly historicals'!C53</f>
        <v>36.949000000000005</v>
      </c>
      <c r="Z59" s="202">
        <f>'Quarterly historicals'!D53</f>
        <v>42.625</v>
      </c>
      <c r="AA59" s="202">
        <f>'Quarterly historicals'!E53</f>
        <v>35.103999999999999</v>
      </c>
      <c r="AB59" s="202">
        <f>'Quarterly historicals'!F53</f>
        <v>31.641999999999999</v>
      </c>
      <c r="AC59" s="202">
        <f>'Quarterly historicals'!G53</f>
        <v>48.974999999999994</v>
      </c>
      <c r="AD59" s="202">
        <f>'Quarterly historicals'!H53</f>
        <v>49.372</v>
      </c>
      <c r="AE59" s="202">
        <f>'Quarterly historicals'!I53</f>
        <v>49.42</v>
      </c>
      <c r="AF59" s="202">
        <f>'Quarterly historicals'!J53</f>
        <v>48.243000000000002</v>
      </c>
      <c r="AG59" s="196">
        <f>'Quarterly historicals'!K53</f>
        <v>92.694999999999993</v>
      </c>
      <c r="AH59" s="196">
        <f>'Quarterly historicals'!L53</f>
        <v>85.3</v>
      </c>
      <c r="AI59" s="196">
        <f>'Quarterly historicals'!M53</f>
        <v>142.30000000000001</v>
      </c>
      <c r="AJ59" s="196">
        <f>'Quarterly historicals'!N53</f>
        <v>82.8</v>
      </c>
      <c r="AK59" s="196">
        <f>'Quarterly historicals'!O53</f>
        <v>80.099999999999994</v>
      </c>
      <c r="AL59" s="196">
        <f>'Quarterly historicals'!P53</f>
        <v>104.6</v>
      </c>
      <c r="AM59" s="196">
        <f>'Quarterly historicals'!Q53</f>
        <v>62.3</v>
      </c>
      <c r="AN59" s="196">
        <f>'Quarterly historicals'!R53</f>
        <v>65.099999999999994</v>
      </c>
      <c r="AO59" s="196">
        <f>'Quarterly historicals'!S53</f>
        <v>54.199999999999996</v>
      </c>
      <c r="AP59" s="196">
        <f>'Quarterly historicals'!T53</f>
        <v>81.5</v>
      </c>
      <c r="AQ59" s="196">
        <f>'Quarterly historicals'!U53</f>
        <v>55.3</v>
      </c>
      <c r="AR59" s="196">
        <f>'Quarterly historicals'!V53</f>
        <v>43.2</v>
      </c>
      <c r="AS59" s="196">
        <f>'Quarterly historicals'!W53</f>
        <v>34.4</v>
      </c>
      <c r="AT59" s="196">
        <f>'Quarterly historicals'!X53</f>
        <v>44.7</v>
      </c>
      <c r="AU59" s="196">
        <f>'Quarterly historicals'!Y53</f>
        <v>55.2</v>
      </c>
      <c r="AV59" s="196">
        <f>'Quarterly historicals'!Z53</f>
        <v>32.4</v>
      </c>
      <c r="AW59" s="196">
        <f>'Quarterly historicals'!AA53</f>
        <v>30.2</v>
      </c>
      <c r="AX59" s="196">
        <f>'Quarterly historicals'!AB53</f>
        <v>44.7</v>
      </c>
      <c r="AY59" s="196">
        <f>'Quarterly historicals'!AC53</f>
        <v>41</v>
      </c>
      <c r="AZ59" s="196">
        <f>'Quarterly historicals'!AD53</f>
        <v>44.5</v>
      </c>
      <c r="BA59" s="196">
        <f>'Quarterly historicals'!AE53</f>
        <v>32.200000000000003</v>
      </c>
      <c r="BB59" s="196">
        <f>'Quarterly historicals'!AF53</f>
        <v>49.3</v>
      </c>
      <c r="BC59" s="196">
        <f>'Quarterly historicals'!AG53</f>
        <v>61.699999999999996</v>
      </c>
      <c r="BD59" s="196">
        <f>'Quarterly historicals'!AH53</f>
        <v>42.4</v>
      </c>
      <c r="BE59" s="196">
        <f>'Quarterly historicals'!AI53</f>
        <v>49.9</v>
      </c>
      <c r="BF59" s="196">
        <f>'Quarterly historicals'!AJ53</f>
        <v>59</v>
      </c>
      <c r="BG59" s="202">
        <f>'Quarterly historicals'!AK53</f>
        <v>139.9</v>
      </c>
      <c r="BH59" s="202">
        <f>'Quarterly historicals'!AL53</f>
        <v>46.7</v>
      </c>
      <c r="BI59" s="202">
        <f>'Quarterly historicals'!AM53</f>
        <v>29.2</v>
      </c>
      <c r="BJ59" s="202">
        <f>'Quarterly historicals'!AN53</f>
        <v>99.3</v>
      </c>
      <c r="BK59" s="202">
        <f>'Quarterly historicals'!AO53</f>
        <v>85.9</v>
      </c>
      <c r="BL59" s="202">
        <f>'Quarterly historicals'!AP53</f>
        <v>60</v>
      </c>
      <c r="BM59" s="202">
        <f>'Quarterly historicals'!AQ53</f>
        <v>66.2</v>
      </c>
      <c r="BN59" s="202">
        <f>'Quarterly historicals'!AR53</f>
        <v>65.8</v>
      </c>
      <c r="BO59" s="202">
        <f>'Quarterly historicals'!AS53</f>
        <v>48.2</v>
      </c>
      <c r="BP59" s="355">
        <f>'Quarterly historicals'!AT53</f>
        <v>44.4</v>
      </c>
      <c r="BQ59" s="614">
        <f t="shared" si="202"/>
        <v>83.54409555567598</v>
      </c>
      <c r="BR59" s="614">
        <f t="shared" si="202"/>
        <v>97.005633873321273</v>
      </c>
      <c r="BS59" s="2031">
        <f t="shared" si="203"/>
        <v>91.855471907628186</v>
      </c>
      <c r="BT59" s="2038">
        <f t="shared" si="204"/>
        <v>53.338376042252456</v>
      </c>
      <c r="BU59" s="614">
        <f t="shared" si="204"/>
        <v>89.05168157205658</v>
      </c>
      <c r="BV59" s="614">
        <f t="shared" si="204"/>
        <v>103.40066237985158</v>
      </c>
      <c r="BW59" s="2031">
        <f>$O59-SUM(BT59:BV59)</f>
        <v>91.899642468369109</v>
      </c>
      <c r="BX59" s="2038">
        <f t="shared" si="205"/>
        <v>54.662859142883484</v>
      </c>
      <c r="BY59" s="614">
        <f t="shared" si="205"/>
        <v>91.262987128707408</v>
      </c>
      <c r="BZ59" s="614">
        <f t="shared" si="205"/>
        <v>105.96827767071983</v>
      </c>
      <c r="CA59" s="2031">
        <f>$P59-SUM(BX59:BZ59)</f>
        <v>94.181667764882945</v>
      </c>
      <c r="CB59" s="2038">
        <f t="shared" si="206"/>
        <v>56.585316465993877</v>
      </c>
      <c r="CC59" s="614">
        <f t="shared" si="206"/>
        <v>94.472647228555203</v>
      </c>
      <c r="CD59" s="614">
        <f t="shared" si="206"/>
        <v>109.69511330683187</v>
      </c>
      <c r="CE59" s="2031">
        <f>$Q59-SUM(CB59:CD59)</f>
        <v>97.4939759707907</v>
      </c>
      <c r="CF59" s="2038">
        <f t="shared" si="207"/>
        <v>57.891799271974783</v>
      </c>
      <c r="CG59" s="614">
        <f t="shared" si="207"/>
        <v>96.653900192189042</v>
      </c>
      <c r="CH59" s="614">
        <f t="shared" si="207"/>
        <v>112.22783360223981</v>
      </c>
      <c r="CI59" s="2031">
        <f>$R59-SUM(CF59:CH59)</f>
        <v>99.744987562624772</v>
      </c>
      <c r="CJ59" s="2038">
        <f t="shared" si="208"/>
        <v>59.228525530733698</v>
      </c>
      <c r="CK59" s="614">
        <f t="shared" si="208"/>
        <v>98.885646450262357</v>
      </c>
      <c r="CL59" s="614">
        <f t="shared" si="208"/>
        <v>114.81918322388411</v>
      </c>
      <c r="CM59" s="2031">
        <f>$S59-SUM(CJ59:CL59)</f>
        <v>102.04810727441935</v>
      </c>
      <c r="CN59" s="2038">
        <f t="shared" si="209"/>
        <v>60.596111907585588</v>
      </c>
      <c r="CO59" s="614">
        <f t="shared" si="209"/>
        <v>101.16891556324067</v>
      </c>
      <c r="CP59" s="614">
        <f t="shared" si="209"/>
        <v>117.47035762627178</v>
      </c>
      <c r="CQ59" s="2031">
        <f>$T59-SUM(CN59:CP59)</f>
        <v>104.40439759300239</v>
      </c>
      <c r="CR59" s="2038">
        <f t="shared" si="210"/>
        <v>61.995276147313056</v>
      </c>
      <c r="CS59" s="614">
        <f t="shared" si="210"/>
        <v>103.50490584994378</v>
      </c>
      <c r="CT59" s="614">
        <f t="shared" si="210"/>
        <v>120.18274821445571</v>
      </c>
      <c r="CU59" s="2031">
        <f>$U59-SUM(CR59:CT59)</f>
        <v>106.81509516061533</v>
      </c>
    </row>
    <row r="60" spans="1:102">
      <c r="A60" s="157" t="s">
        <v>159</v>
      </c>
      <c r="B60" s="327">
        <f>'Annual historicals'!G36</f>
        <v>55.238</v>
      </c>
      <c r="C60" s="327">
        <f>'Annual historicals'!H36</f>
        <v>29.602</v>
      </c>
      <c r="D60" s="327">
        <f>'Annual historicals'!I36</f>
        <v>35.268999999999998</v>
      </c>
      <c r="E60" s="327">
        <f>'Annual historicals'!J36</f>
        <v>20.9</v>
      </c>
      <c r="F60" s="327">
        <f>'Annual historicals'!K36</f>
        <v>59.1</v>
      </c>
      <c r="G60" s="327">
        <f>'Annual historicals'!L36</f>
        <v>26.3</v>
      </c>
      <c r="H60" s="327">
        <f>'Annual historicals'!M36</f>
        <v>40.200000000000003</v>
      </c>
      <c r="I60" s="327">
        <f>'Annual historicals'!N36</f>
        <v>32.299999999999997</v>
      </c>
      <c r="J60" s="327">
        <f>'Annual historicals'!O36</f>
        <v>63.5</v>
      </c>
      <c r="K60" s="327">
        <f>'Annual historicals'!P36</f>
        <v>47.8</v>
      </c>
      <c r="L60" s="327">
        <f>'Annual historicals'!Q36</f>
        <v>52.1</v>
      </c>
      <c r="M60" s="358">
        <f>'Annual historicals'!R36</f>
        <v>38.4</v>
      </c>
      <c r="N60" s="699">
        <f>+N42/Inputs!$B$192/N$48</f>
        <v>54.98238745173127</v>
      </c>
      <c r="O60" s="699">
        <f>+O42/Inputs!$B$192/O$48</f>
        <v>58.607062855327783</v>
      </c>
      <c r="P60" s="699">
        <f>+P42/Inputs!$B$192/P$48</f>
        <v>60.06237646045161</v>
      </c>
      <c r="Q60" s="699">
        <f>+Q42/Inputs!$B$192/Q$48</f>
        <v>62.174731307606393</v>
      </c>
      <c r="R60" s="699">
        <f>+R42/Inputs!$B$192/R$48</f>
        <v>63.610266575288215</v>
      </c>
      <c r="S60" s="699">
        <f>+S42/Inputs!$B$192/S$48</f>
        <v>65.079032699802241</v>
      </c>
      <c r="T60" s="699">
        <f>+T42/Inputs!$B$192/T$48</f>
        <v>66.581707259761785</v>
      </c>
      <c r="U60" s="699">
        <f>+U42/Inputs!$B$192/U$48</f>
        <v>68.119078897729864</v>
      </c>
      <c r="V60" s="640"/>
      <c r="X60" s="202">
        <f>'Quarterly historicals'!B54</f>
        <v>7.9370000000000003</v>
      </c>
      <c r="Y60" s="202">
        <f>'Quarterly historicals'!C54</f>
        <v>9.3019999999999996</v>
      </c>
      <c r="Z60" s="202">
        <f>'Quarterly historicals'!D54</f>
        <v>7.6609999999999996</v>
      </c>
      <c r="AA60" s="202">
        <f>'Quarterly historicals'!E54</f>
        <v>4.702</v>
      </c>
      <c r="AB60" s="202">
        <f>'Quarterly historicals'!F54</f>
        <v>10.018000000000001</v>
      </c>
      <c r="AC60" s="202">
        <f>'Quarterly historicals'!G54</f>
        <v>12.497</v>
      </c>
      <c r="AD60" s="202">
        <f>'Quarterly historicals'!H54</f>
        <v>2.71</v>
      </c>
      <c r="AE60" s="202">
        <f>'Quarterly historicals'!I54</f>
        <v>10.044</v>
      </c>
      <c r="AF60" s="202">
        <f>'Quarterly historicals'!J54</f>
        <v>0</v>
      </c>
      <c r="AG60" s="196">
        <f>'Quarterly historicals'!K54</f>
        <v>4.9509999999999996</v>
      </c>
      <c r="AH60" s="196">
        <f>'Quarterly historicals'!L54</f>
        <v>4</v>
      </c>
      <c r="AI60" s="196">
        <f>'Quarterly historicals'!M54</f>
        <v>12</v>
      </c>
      <c r="AJ60" s="196">
        <f>'Quarterly historicals'!N54</f>
        <v>12.4</v>
      </c>
      <c r="AK60" s="196">
        <f>'Quarterly historicals'!O54</f>
        <v>29.4</v>
      </c>
      <c r="AL60" s="196">
        <f>'Quarterly historicals'!P54</f>
        <v>7.3</v>
      </c>
      <c r="AM60" s="196">
        <f>'Quarterly historicals'!Q54</f>
        <v>10</v>
      </c>
      <c r="AN60" s="196">
        <f>'Quarterly historicals'!R54</f>
        <v>5.0999999999999996</v>
      </c>
      <c r="AO60" s="196">
        <f>'Quarterly historicals'!S54</f>
        <v>5.2</v>
      </c>
      <c r="AP60" s="196">
        <f>'Quarterly historicals'!T54</f>
        <v>10</v>
      </c>
      <c r="AQ60" s="196">
        <f>'Quarterly historicals'!U54</f>
        <v>6</v>
      </c>
      <c r="AR60" s="196">
        <f>'Quarterly historicals'!V54</f>
        <v>4.0999999999999996</v>
      </c>
      <c r="AS60" s="196">
        <f>'Quarterly historicals'!W54</f>
        <v>8.1</v>
      </c>
      <c r="AT60" s="196">
        <f>'Quarterly historicals'!X54</f>
        <v>16</v>
      </c>
      <c r="AU60" s="196">
        <f>'Quarterly historicals'!Y54</f>
        <v>12</v>
      </c>
      <c r="AV60" s="196">
        <f>'Quarterly historicals'!Z54</f>
        <v>5</v>
      </c>
      <c r="AW60" s="196">
        <f>'Quarterly historicals'!AA54</f>
        <v>10</v>
      </c>
      <c r="AX60" s="196">
        <f>'Quarterly historicals'!AB54</f>
        <v>5</v>
      </c>
      <c r="AY60" s="196">
        <f>'Quarterly historicals'!AC54</f>
        <v>12.3</v>
      </c>
      <c r="AZ60" s="196">
        <f>'Quarterly historicals'!AD54</f>
        <v>3.0999999999999943</v>
      </c>
      <c r="BA60" s="196">
        <f>'Quarterly historicals'!AE54</f>
        <v>35.200000000000003</v>
      </c>
      <c r="BB60" s="196">
        <f>'Quarterly historicals'!AF54</f>
        <v>18.2</v>
      </c>
      <c r="BC60" s="196">
        <f>'Quarterly historicals'!AG54</f>
        <v>7</v>
      </c>
      <c r="BD60" s="196">
        <f>'Quarterly historicals'!AH54</f>
        <v>0</v>
      </c>
      <c r="BE60" s="196">
        <f>'Quarterly historicals'!AI54</f>
        <v>18</v>
      </c>
      <c r="BF60" s="196">
        <f>'Quarterly historicals'!AJ54</f>
        <v>9.8000000000000007</v>
      </c>
      <c r="BG60" s="202">
        <f>'Quarterly historicals'!AK54</f>
        <v>20</v>
      </c>
      <c r="BH60" s="202">
        <f>'Quarterly historicals'!AL54</f>
        <v>0</v>
      </c>
      <c r="BI60" s="202">
        <f>'Quarterly historicals'!AM54</f>
        <v>28.4</v>
      </c>
      <c r="BJ60" s="202">
        <f>'Quarterly historicals'!AN54</f>
        <v>15</v>
      </c>
      <c r="BK60" s="202">
        <f>'Quarterly historicals'!AO54</f>
        <v>8.6999999999999993</v>
      </c>
      <c r="BL60" s="202">
        <f>'Quarterly historicals'!AP54</f>
        <v>8.5</v>
      </c>
      <c r="BM60" s="202">
        <f>'Quarterly historicals'!AQ54</f>
        <v>15.8</v>
      </c>
      <c r="BN60" s="202">
        <f>'Quarterly historicals'!AR54</f>
        <v>10</v>
      </c>
      <c r="BO60" s="202">
        <f>'Quarterly historicals'!AS54</f>
        <v>4</v>
      </c>
      <c r="BP60" s="355">
        <f>'Quarterly historicals'!AT54</f>
        <v>6</v>
      </c>
      <c r="BQ60" s="614">
        <f t="shared" si="202"/>
        <v>20.963027226865574</v>
      </c>
      <c r="BR60" s="614">
        <f t="shared" si="202"/>
        <v>15.590737123962661</v>
      </c>
      <c r="BS60" s="2031">
        <f t="shared" si="203"/>
        <v>12.428623100903039</v>
      </c>
      <c r="BT60" s="2038">
        <f t="shared" si="204"/>
        <v>7.7066119850588626</v>
      </c>
      <c r="BU60" s="614">
        <f t="shared" si="204"/>
        <v>22.345000122110431</v>
      </c>
      <c r="BV60" s="614">
        <f t="shared" si="204"/>
        <v>16.618545554922076</v>
      </c>
      <c r="BW60" s="2031">
        <f>$O60-SUM(BT60:BV60)</f>
        <v>11.936905193236413</v>
      </c>
      <c r="BX60" s="2038">
        <f t="shared" si="205"/>
        <v>7.8979803411041427</v>
      </c>
      <c r="BY60" s="614">
        <f t="shared" si="205"/>
        <v>22.899864691325824</v>
      </c>
      <c r="BZ60" s="614">
        <f t="shared" si="205"/>
        <v>17.031212463399466</v>
      </c>
      <c r="CA60" s="2031">
        <f>$P60-SUM(BX60:BZ60)</f>
        <v>12.233318964622178</v>
      </c>
      <c r="CB60" s="2038">
        <f t="shared" si="206"/>
        <v>8.1757471901606351</v>
      </c>
      <c r="CC60" s="614">
        <f t="shared" si="206"/>
        <v>23.705238088626579</v>
      </c>
      <c r="CD60" s="614">
        <f t="shared" si="206"/>
        <v>17.630189165955905</v>
      </c>
      <c r="CE60" s="2031">
        <f>$Q60-SUM(CB60:CD60)</f>
        <v>12.663556862863274</v>
      </c>
      <c r="CF60" s="2038">
        <f t="shared" si="207"/>
        <v>8.3645147679899647</v>
      </c>
      <c r="CG60" s="614">
        <f t="shared" si="207"/>
        <v>24.252561809844732</v>
      </c>
      <c r="CH60" s="614">
        <f t="shared" si="207"/>
        <v>18.037247753767371</v>
      </c>
      <c r="CI60" s="2031">
        <f>$R60-SUM(CF60:CH60)</f>
        <v>12.955942243686145</v>
      </c>
      <c r="CJ60" s="2038">
        <f t="shared" si="208"/>
        <v>8.5576520805758189</v>
      </c>
      <c r="CK60" s="614">
        <f t="shared" si="208"/>
        <v>24.812555394792557</v>
      </c>
      <c r="CL60" s="614">
        <f t="shared" si="208"/>
        <v>18.453729241843579</v>
      </c>
      <c r="CM60" s="2031">
        <f>$S60-SUM(CJ60:CL60)</f>
        <v>13.255095982590291</v>
      </c>
      <c r="CN60" s="2038">
        <f t="shared" si="209"/>
        <v>8.7552482269995675</v>
      </c>
      <c r="CO60" s="614">
        <f t="shared" si="209"/>
        <v>25.385477182541486</v>
      </c>
      <c r="CP60" s="614">
        <f t="shared" si="209"/>
        <v>18.879825763529958</v>
      </c>
      <c r="CQ60" s="2031">
        <f>$T60-SUM(CN60:CP60)</f>
        <v>13.561156086690772</v>
      </c>
      <c r="CR60" s="2038">
        <f t="shared" si="210"/>
        <v>8.9574069108411578</v>
      </c>
      <c r="CS60" s="614">
        <f t="shared" si="210"/>
        <v>25.971627857297626</v>
      </c>
      <c r="CT60" s="614">
        <f t="shared" si="210"/>
        <v>19.315760945326826</v>
      </c>
      <c r="CU60" s="2031">
        <f>$U60-SUM(CR60:CT60)</f>
        <v>13.874283184264257</v>
      </c>
    </row>
    <row r="61" spans="1:102">
      <c r="A61" s="251" t="s">
        <v>642</v>
      </c>
      <c r="B61" s="890" t="str">
        <f>'Annual historicals'!G40</f>
        <v>NA</v>
      </c>
      <c r="C61" s="890" t="str">
        <f>'Annual historicals'!H40</f>
        <v>NA</v>
      </c>
      <c r="D61" s="890" t="str">
        <f>'Annual historicals'!I40</f>
        <v>NA</v>
      </c>
      <c r="E61" s="890" t="str">
        <f>'Annual historicals'!J40</f>
        <v>NA</v>
      </c>
      <c r="F61" s="890" t="str">
        <f>'Annual historicals'!K40</f>
        <v>NA</v>
      </c>
      <c r="G61" s="327">
        <f>'Annual historicals'!L40</f>
        <v>184.4</v>
      </c>
      <c r="H61" s="327">
        <f>'Annual historicals'!M40</f>
        <v>249.4</v>
      </c>
      <c r="I61" s="327">
        <f>'Annual historicals'!N40</f>
        <v>260.60000000000002</v>
      </c>
      <c r="J61" s="327">
        <f>'Annual historicals'!O40</f>
        <v>445.5</v>
      </c>
      <c r="K61" s="327">
        <f>'Annual historicals'!P40</f>
        <v>639</v>
      </c>
      <c r="L61" s="327">
        <f>'Annual historicals'!Q40</f>
        <v>831.2</v>
      </c>
      <c r="M61" s="358">
        <f>'Annual historicals'!R40</f>
        <v>914.5</v>
      </c>
      <c r="N61" s="1704">
        <f>M61*(1+Inputs!P80)/N$50</f>
        <v>900.00000000000011</v>
      </c>
      <c r="O61" s="1704">
        <f>N61*(1+Inputs!Q80)/O$50</f>
        <v>900.00000000000011</v>
      </c>
      <c r="P61" s="1704">
        <f>O61*(1+Inputs!R80)/P$50</f>
        <v>918.75</v>
      </c>
      <c r="Q61" s="1704">
        <f>P61*(1+Inputs!S80)/Q$50</f>
        <v>937.5</v>
      </c>
      <c r="R61" s="1704">
        <f>Q61*(1+Inputs!T80)/R$50</f>
        <v>956.25</v>
      </c>
      <c r="S61" s="1704">
        <f>R61*(1+Inputs!U80)/S$50</f>
        <v>974.99999999999989</v>
      </c>
      <c r="T61" s="1704">
        <f>S61*(1+Inputs!V80)/T$50</f>
        <v>993.74999999999977</v>
      </c>
      <c r="U61" s="1704">
        <f>T61*(1+Inputs!W80)/U$50</f>
        <v>1012.4999999999998</v>
      </c>
      <c r="V61" s="640"/>
      <c r="X61" s="202">
        <f>'Quarterly historicals'!B58</f>
        <v>0</v>
      </c>
      <c r="Y61" s="202">
        <f>'Quarterly historicals'!C58</f>
        <v>0</v>
      </c>
      <c r="Z61" s="202">
        <f>'Quarterly historicals'!D58</f>
        <v>0</v>
      </c>
      <c r="AA61" s="202">
        <f>'Quarterly historicals'!E58</f>
        <v>0</v>
      </c>
      <c r="AB61" s="202">
        <f>'Quarterly historicals'!F58</f>
        <v>0</v>
      </c>
      <c r="AC61" s="202">
        <f>'Quarterly historicals'!G58</f>
        <v>0</v>
      </c>
      <c r="AD61" s="202">
        <f>'Quarterly historicals'!H58</f>
        <v>0</v>
      </c>
      <c r="AE61" s="202">
        <f>'Quarterly historicals'!I58</f>
        <v>0</v>
      </c>
      <c r="AF61" s="202">
        <f>'Quarterly historicals'!J58</f>
        <v>5.1409999999999982</v>
      </c>
      <c r="AG61" s="196">
        <f>'Quarterly historicals'!K58</f>
        <v>39.920999999999999</v>
      </c>
      <c r="AH61" s="196">
        <f>'Quarterly historicals'!L58</f>
        <v>50.13</v>
      </c>
      <c r="AI61" s="196">
        <f>'Quarterly historicals'!M58</f>
        <v>10.061</v>
      </c>
      <c r="AJ61" s="196">
        <f>'Quarterly historicals'!N58</f>
        <v>52.364999999999995</v>
      </c>
      <c r="AK61" s="196">
        <f>'Quarterly historicals'!O58</f>
        <v>64.102000000000004</v>
      </c>
      <c r="AL61" s="196">
        <f>'Quarterly historicals'!P58</f>
        <v>56.65</v>
      </c>
      <c r="AM61" s="196">
        <f>'Quarterly historicals'!Q58</f>
        <v>1E-3</v>
      </c>
      <c r="AN61" s="196">
        <f>'Quarterly historicals'!R58</f>
        <v>34.299074999999995</v>
      </c>
      <c r="AO61" s="196">
        <f>'Quarterly historicals'!S58</f>
        <v>63.900925000000015</v>
      </c>
      <c r="AP61" s="196">
        <f>'Quarterly historicals'!T58</f>
        <v>78.900000000000006</v>
      </c>
      <c r="AQ61" s="196">
        <f>'Quarterly historicals'!U58</f>
        <v>7.3</v>
      </c>
      <c r="AR61" s="196">
        <f>'Quarterly historicals'!V58</f>
        <v>31.8</v>
      </c>
      <c r="AS61" s="196">
        <f>'Quarterly historicals'!W58</f>
        <v>84</v>
      </c>
      <c r="AT61" s="196">
        <f>'Quarterly historicals'!X58</f>
        <v>78.900000000000006</v>
      </c>
      <c r="AU61" s="196">
        <f>'Quarterly historicals'!Y58</f>
        <v>54.7</v>
      </c>
      <c r="AV61" s="196">
        <f>'Quarterly historicals'!Z58</f>
        <v>45.5</v>
      </c>
      <c r="AW61" s="196">
        <f>'Quarterly historicals'!AA58</f>
        <v>81.2</v>
      </c>
      <c r="AX61" s="196">
        <f>'Quarterly historicals'!AB58</f>
        <v>104.1</v>
      </c>
      <c r="AY61" s="196">
        <f>'Quarterly historicals'!AC58</f>
        <v>29.9</v>
      </c>
      <c r="AZ61" s="196">
        <f>'Quarterly historicals'!AD58</f>
        <v>92.800000000000011</v>
      </c>
      <c r="BA61" s="196">
        <f>'Quarterly historicals'!AE58</f>
        <v>162.69999999999999</v>
      </c>
      <c r="BB61" s="196">
        <f>'Quarterly historicals'!AF58</f>
        <v>181.8</v>
      </c>
      <c r="BC61" s="196">
        <f>'Quarterly historicals'!AG58</f>
        <v>8.1999999999999993</v>
      </c>
      <c r="BD61" s="196">
        <f>'Quarterly historicals'!AH58</f>
        <v>191.8</v>
      </c>
      <c r="BE61" s="196">
        <f>'Quarterly historicals'!AI58</f>
        <v>233.9</v>
      </c>
      <c r="BF61" s="196">
        <f>'Quarterly historicals'!AJ58</f>
        <v>212.2</v>
      </c>
      <c r="BG61" s="202">
        <f>'Quarterly historicals'!AK58</f>
        <v>1.1000000000000001</v>
      </c>
      <c r="BH61" s="202">
        <f>'Quarterly historicals'!AL58</f>
        <v>272</v>
      </c>
      <c r="BI61" s="202">
        <f>'Quarterly historicals'!AM58</f>
        <v>307</v>
      </c>
      <c r="BJ61" s="202">
        <f>'Quarterly historicals'!AN58</f>
        <v>235.2</v>
      </c>
      <c r="BK61" s="202">
        <f>'Quarterly historicals'!AO58</f>
        <v>17</v>
      </c>
      <c r="BL61" s="202">
        <f>'Quarterly historicals'!AP58</f>
        <v>275.2</v>
      </c>
      <c r="BM61" s="202">
        <f>'Quarterly historicals'!AQ58</f>
        <v>285.89999999999998</v>
      </c>
      <c r="BN61" s="202">
        <f>'Quarterly historicals'!AR58</f>
        <v>185.5</v>
      </c>
      <c r="BO61" s="202">
        <f>'Quarterly historicals'!AS58</f>
        <v>168</v>
      </c>
      <c r="BP61" s="355">
        <f>'Quarterly historicals'!AT58</f>
        <v>310.60000000000002</v>
      </c>
      <c r="BQ61" s="2035">
        <f>$N61*BQ224</f>
        <v>288.23978065474824</v>
      </c>
      <c r="BR61" s="2035">
        <f>$N61*BR224</f>
        <v>180.77046992221662</v>
      </c>
      <c r="BS61" s="2036">
        <f t="shared" si="203"/>
        <v>120.38974942303525</v>
      </c>
      <c r="BT61" s="2040">
        <f>$O61*BT224</f>
        <v>321.11783502988044</v>
      </c>
      <c r="BU61" s="2035">
        <f>$O61*BU224</f>
        <v>288.23978065474824</v>
      </c>
      <c r="BV61" s="2035">
        <f>$O61*BV224</f>
        <v>180.77046992221662</v>
      </c>
      <c r="BW61" s="2036">
        <f>$O61-SUM(BT61:BV61)</f>
        <v>109.87191439315484</v>
      </c>
      <c r="BX61" s="2040">
        <f>$P61*BX224</f>
        <v>327.80778992633623</v>
      </c>
      <c r="BY61" s="2035">
        <f>$P61*BY224</f>
        <v>294.24477608505549</v>
      </c>
      <c r="BZ61" s="2035">
        <f>$P61*BZ224</f>
        <v>184.53652137892945</v>
      </c>
      <c r="CA61" s="2036">
        <f>$P61-SUM(BX61:BZ61)</f>
        <v>112.1609126096788</v>
      </c>
      <c r="CB61" s="2040">
        <f>$Q61*CB224</f>
        <v>334.49774482279207</v>
      </c>
      <c r="CC61" s="2035">
        <f>$Q61*CC224</f>
        <v>300.24977151536274</v>
      </c>
      <c r="CD61" s="2035">
        <f>$Q61*CD224</f>
        <v>188.30257283564228</v>
      </c>
      <c r="CE61" s="2036">
        <f>$Q61-SUM(CB61:CD61)</f>
        <v>114.44991082620288</v>
      </c>
      <c r="CF61" s="2040">
        <f>$R61*CF224</f>
        <v>341.18769971924792</v>
      </c>
      <c r="CG61" s="2035">
        <f>$R61*CG224</f>
        <v>306.25476694566999</v>
      </c>
      <c r="CH61" s="2035">
        <f>$R61*CH224</f>
        <v>192.06862429235514</v>
      </c>
      <c r="CI61" s="2036">
        <f>$R61-SUM(CF61:CH61)</f>
        <v>116.73890904272696</v>
      </c>
      <c r="CJ61" s="2040">
        <f>$S61*CJ224</f>
        <v>347.8776546157037</v>
      </c>
      <c r="CK61" s="2035">
        <f>$S61*CK224</f>
        <v>312.25976237597717</v>
      </c>
      <c r="CL61" s="2035">
        <f>$S61*CL224</f>
        <v>195.83467574906797</v>
      </c>
      <c r="CM61" s="2036">
        <f>$S61-SUM(CJ61:CL61)</f>
        <v>119.02790725925104</v>
      </c>
      <c r="CN61" s="2040">
        <f>$T61*CN224</f>
        <v>354.56760951215949</v>
      </c>
      <c r="CO61" s="2035">
        <f>$T61*CO224</f>
        <v>318.26475780628442</v>
      </c>
      <c r="CP61" s="2035">
        <f>$T61*CP224</f>
        <v>199.60072720578077</v>
      </c>
      <c r="CQ61" s="2036">
        <f>$T61-SUM(CN61:CP61)</f>
        <v>121.31690547577512</v>
      </c>
      <c r="CR61" s="2040">
        <f>$U61*CR224</f>
        <v>361.25756440861534</v>
      </c>
      <c r="CS61" s="2035">
        <f>$U61*CS224</f>
        <v>324.26975323659167</v>
      </c>
      <c r="CT61" s="2035">
        <f>$U61*CT224</f>
        <v>203.36677866249363</v>
      </c>
      <c r="CU61" s="2036">
        <f>$U61-SUM(CR61:CT61)</f>
        <v>123.60590369229919</v>
      </c>
    </row>
    <row r="62" spans="1:102" s="54" customFormat="1">
      <c r="A62" s="884"/>
      <c r="B62" s="1945"/>
      <c r="C62" s="1945"/>
      <c r="D62" s="1945"/>
      <c r="E62" s="1945"/>
      <c r="F62" s="1945"/>
      <c r="G62" s="1945"/>
      <c r="H62" s="1945"/>
      <c r="I62" s="1945"/>
      <c r="J62" s="1945"/>
      <c r="K62" s="1945"/>
      <c r="L62" s="1945"/>
      <c r="M62" s="2052"/>
      <c r="N62" s="219"/>
      <c r="O62" s="219"/>
      <c r="P62" s="219"/>
      <c r="Q62" s="219"/>
      <c r="R62" s="219"/>
      <c r="S62" s="219"/>
      <c r="T62" s="219"/>
      <c r="U62" s="219"/>
      <c r="V62" s="1944"/>
      <c r="W62" s="472"/>
      <c r="X62" s="1946"/>
      <c r="Y62" s="1946"/>
      <c r="Z62" s="1946"/>
      <c r="AA62" s="1946"/>
      <c r="AB62" s="1946"/>
      <c r="AC62" s="1946"/>
      <c r="AD62" s="1946"/>
      <c r="AE62" s="1946"/>
      <c r="AF62" s="1946"/>
      <c r="AG62" s="1946"/>
      <c r="AH62" s="1946"/>
      <c r="AI62" s="1946"/>
      <c r="AJ62" s="1946"/>
      <c r="AK62" s="1946"/>
      <c r="AL62" s="1946"/>
      <c r="AM62" s="1946"/>
      <c r="AN62" s="1946"/>
      <c r="AO62" s="1946"/>
      <c r="AP62" s="1946"/>
      <c r="AQ62" s="1946"/>
      <c r="AR62" s="1946"/>
      <c r="AS62" s="1946"/>
      <c r="AT62" s="1946"/>
      <c r="AU62" s="1946"/>
      <c r="AV62" s="1946"/>
      <c r="AW62" s="1946"/>
      <c r="AX62" s="1947"/>
      <c r="AY62" s="1946"/>
      <c r="AZ62" s="1946"/>
      <c r="BA62" s="1946"/>
      <c r="BB62" s="1946"/>
      <c r="BC62" s="1946"/>
      <c r="BD62" s="1946"/>
      <c r="BE62" s="1946"/>
      <c r="BF62" s="1946"/>
      <c r="BG62" s="1947"/>
      <c r="BH62" s="1947"/>
      <c r="BI62" s="1947"/>
      <c r="BJ62" s="1947"/>
      <c r="BK62" s="1947"/>
      <c r="BL62" s="1947"/>
      <c r="BM62" s="1947"/>
      <c r="BN62" s="1947"/>
      <c r="BO62" s="1947"/>
      <c r="BP62" s="1948"/>
      <c r="BQ62" s="1022"/>
      <c r="BR62" s="1022"/>
      <c r="BS62" s="1022"/>
      <c r="BT62" s="1022"/>
      <c r="BU62" s="1022"/>
      <c r="BV62" s="1022"/>
      <c r="BW62" s="1022"/>
      <c r="BX62" s="1022"/>
      <c r="BY62" s="1022"/>
      <c r="BZ62" s="1022"/>
      <c r="CA62" s="1022"/>
      <c r="CB62" s="1022"/>
      <c r="CC62" s="1022"/>
      <c r="CD62" s="1022"/>
      <c r="CE62" s="1022"/>
      <c r="CF62" s="1022"/>
      <c r="CG62" s="1022"/>
      <c r="CH62" s="1022"/>
      <c r="CI62" s="1022"/>
      <c r="CJ62" s="1022"/>
      <c r="CK62" s="1022"/>
      <c r="CL62" s="1022"/>
      <c r="CM62" s="1022"/>
      <c r="CN62" s="1022"/>
      <c r="CO62" s="1022"/>
      <c r="CP62" s="1022"/>
      <c r="CQ62" s="1022"/>
      <c r="CR62" s="1022"/>
      <c r="CS62" s="1022"/>
      <c r="CT62" s="1022"/>
      <c r="CU62" s="1022"/>
      <c r="CV62" s="1022"/>
      <c r="CW62" s="1022"/>
      <c r="CX62" s="1022"/>
    </row>
    <row r="63" spans="1:102">
      <c r="A63" s="630" t="s">
        <v>1494</v>
      </c>
      <c r="B63" s="633">
        <f t="shared" ref="B63:U63" si="211">B4</f>
        <v>2006</v>
      </c>
      <c r="C63" s="633">
        <f t="shared" si="211"/>
        <v>2007</v>
      </c>
      <c r="D63" s="633">
        <f t="shared" si="211"/>
        <v>2008</v>
      </c>
      <c r="E63" s="633">
        <f t="shared" si="211"/>
        <v>2009</v>
      </c>
      <c r="F63" s="633">
        <f t="shared" si="211"/>
        <v>2010</v>
      </c>
      <c r="G63" s="633">
        <f t="shared" si="211"/>
        <v>2011</v>
      </c>
      <c r="H63" s="633">
        <f t="shared" si="211"/>
        <v>2012</v>
      </c>
      <c r="I63" s="633">
        <f t="shared" si="211"/>
        <v>2013</v>
      </c>
      <c r="J63" s="633">
        <f t="shared" si="211"/>
        <v>2014</v>
      </c>
      <c r="K63" s="633">
        <f t="shared" si="211"/>
        <v>2015</v>
      </c>
      <c r="L63" s="633">
        <f t="shared" si="211"/>
        <v>2016</v>
      </c>
      <c r="M63" s="2079">
        <f t="shared" si="211"/>
        <v>2017</v>
      </c>
      <c r="N63" s="388">
        <f t="shared" si="211"/>
        <v>2018</v>
      </c>
      <c r="O63" s="388">
        <f t="shared" si="211"/>
        <v>2019</v>
      </c>
      <c r="P63" s="388">
        <f t="shared" si="211"/>
        <v>2020</v>
      </c>
      <c r="Q63" s="388">
        <f t="shared" si="211"/>
        <v>2021</v>
      </c>
      <c r="R63" s="388">
        <f t="shared" si="211"/>
        <v>2022</v>
      </c>
      <c r="S63" s="388">
        <f t="shared" si="211"/>
        <v>2023</v>
      </c>
      <c r="T63" s="388">
        <f t="shared" si="211"/>
        <v>2024</v>
      </c>
      <c r="U63" s="388">
        <f t="shared" si="211"/>
        <v>2025</v>
      </c>
      <c r="V63" s="219"/>
      <c r="W63" s="352"/>
      <c r="X63" s="352"/>
      <c r="Y63" s="352"/>
      <c r="Z63" s="352"/>
      <c r="AA63" s="352"/>
      <c r="AB63" s="352"/>
      <c r="AC63" s="352"/>
      <c r="AD63" s="352"/>
      <c r="AE63" s="352"/>
      <c r="AF63" s="352"/>
      <c r="AG63" s="352"/>
      <c r="AH63" s="352"/>
      <c r="AI63" s="352"/>
      <c r="AJ63" s="352"/>
      <c r="AK63" s="352"/>
      <c r="AL63" s="352"/>
      <c r="AM63" s="352"/>
      <c r="AN63" s="352"/>
      <c r="AO63" s="352"/>
      <c r="AP63" s="352"/>
      <c r="AQ63" s="389"/>
      <c r="AR63" s="389"/>
      <c r="AS63" s="389"/>
      <c r="AT63" s="389"/>
      <c r="AU63" s="389"/>
      <c r="AV63" s="389"/>
      <c r="AW63" s="389"/>
      <c r="AX63" s="756"/>
      <c r="AY63" s="756"/>
      <c r="AZ63" s="389"/>
      <c r="BA63" s="389"/>
      <c r="BB63" s="389"/>
      <c r="BC63" s="389"/>
      <c r="BD63" s="389"/>
      <c r="BE63" s="389"/>
      <c r="BF63" s="756"/>
      <c r="BI63" s="106"/>
      <c r="BJ63" s="106"/>
      <c r="BK63" s="106"/>
      <c r="BL63" s="106"/>
      <c r="BM63" s="106"/>
      <c r="BN63" s="106"/>
      <c r="BO63" s="106"/>
      <c r="BP63" s="381"/>
    </row>
    <row r="64" spans="1:102" s="2078" customFormat="1">
      <c r="A64" s="2261" t="s">
        <v>883</v>
      </c>
      <c r="B64" s="2326">
        <f>Inputs!D14</f>
        <v>13.545</v>
      </c>
      <c r="C64" s="2326">
        <f>Inputs!E14</f>
        <v>10.401666666666666</v>
      </c>
      <c r="D64" s="2326">
        <f>Inputs!F14</f>
        <v>12.4</v>
      </c>
      <c r="E64" s="2326">
        <f>Inputs!G14</f>
        <v>18.787500000000001</v>
      </c>
      <c r="F64" s="2326">
        <f>Inputs!H14</f>
        <v>23.440833333333334</v>
      </c>
      <c r="G64" s="2326">
        <f>Inputs!I14</f>
        <v>25.258333333333336</v>
      </c>
      <c r="H64" s="2326">
        <f>Inputs!J14</f>
        <v>20.410833333333333</v>
      </c>
      <c r="I64" s="2326">
        <f>Inputs!K14</f>
        <v>17.066666666666666</v>
      </c>
      <c r="J64" s="2326">
        <f>Inputs!L14</f>
        <v>15.978333333333333</v>
      </c>
      <c r="K64" s="2326">
        <f>Inputs!M14</f>
        <v>13.149166666666668</v>
      </c>
      <c r="L64" s="2326">
        <f>Inputs!N14</f>
        <v>19.252499999999998</v>
      </c>
      <c r="M64" s="2327">
        <f>Inputs!O14</f>
        <v>17.805000000000003</v>
      </c>
      <c r="N64" s="2326">
        <f>Inputs!P14</f>
        <v>16.244658605325153</v>
      </c>
      <c r="O64" s="2326">
        <f>Inputs!Q14</f>
        <v>16.31531880717511</v>
      </c>
      <c r="P64" s="2326">
        <f>Inputs!R14</f>
        <v>16.498655235130911</v>
      </c>
      <c r="Q64" s="2326">
        <f>Inputs!S14</f>
        <v>19.747444770453257</v>
      </c>
      <c r="R64" s="2326">
        <f>Inputs!T14</f>
        <v>20.93514679550681</v>
      </c>
      <c r="S64" s="2326">
        <f>Inputs!U14</f>
        <v>17.432162450241776</v>
      </c>
      <c r="T64" s="2326">
        <f>Inputs!V14</f>
        <v>15.017906650666538</v>
      </c>
      <c r="U64" s="2326">
        <f>Inputs!W14</f>
        <v>17.055276269110166</v>
      </c>
      <c r="V64" s="741"/>
      <c r="W64" s="741"/>
      <c r="X64" s="741"/>
      <c r="Y64" s="741"/>
      <c r="Z64" s="2075"/>
      <c r="AA64" s="2075"/>
      <c r="AB64" s="2075"/>
      <c r="AC64" s="2075"/>
      <c r="AD64" s="2075"/>
      <c r="AE64" s="2075"/>
      <c r="AF64" s="2075"/>
      <c r="AG64" s="2075"/>
      <c r="AH64" s="2075"/>
      <c r="AI64" s="2075"/>
      <c r="AJ64" s="2075"/>
      <c r="AK64" s="2075"/>
      <c r="AL64" s="2075"/>
      <c r="AM64" s="2075"/>
      <c r="AN64" s="2075"/>
      <c r="AO64" s="2075"/>
      <c r="AP64" s="2075"/>
      <c r="AQ64" s="2075"/>
      <c r="AR64" s="2075"/>
      <c r="AS64" s="2075"/>
      <c r="AT64" s="2075"/>
      <c r="AU64" s="2075"/>
      <c r="AV64" s="2075"/>
      <c r="AW64" s="2075"/>
      <c r="AX64" s="2075"/>
      <c r="AY64" s="2075"/>
      <c r="AZ64" s="2075"/>
      <c r="BA64" s="2075"/>
      <c r="BB64" s="2075"/>
      <c r="BC64" s="2075"/>
      <c r="BD64" s="2075"/>
      <c r="BE64" s="2075"/>
      <c r="BF64" s="2075"/>
      <c r="BG64" s="2076"/>
      <c r="BH64" s="2076"/>
      <c r="BI64" s="2076"/>
      <c r="BJ64" s="2076"/>
      <c r="BK64" s="2076"/>
      <c r="BL64" s="2076"/>
      <c r="BM64" s="2076"/>
      <c r="BN64" s="2076"/>
      <c r="BO64" s="2076"/>
      <c r="BP64" s="2077"/>
    </row>
    <row r="65" spans="1:101" s="54" customFormat="1">
      <c r="A65" s="552" t="s">
        <v>1691</v>
      </c>
      <c r="B65" s="747"/>
      <c r="C65" s="747"/>
      <c r="D65" s="747"/>
      <c r="E65" s="747">
        <f>+E64*Inputs!G155/Inputs!$B$193</f>
        <v>807.03485682819382</v>
      </c>
      <c r="F65" s="747">
        <f>+F64*Inputs!H155/Inputs!$B$193</f>
        <v>979.55834801762103</v>
      </c>
      <c r="G65" s="747">
        <f>+G64*Inputs!I155/Inputs!$B$193</f>
        <v>960.55383168135108</v>
      </c>
      <c r="H65" s="747">
        <f>+H64*Inputs!J155/Inputs!$B$193</f>
        <v>764.67568603157122</v>
      </c>
      <c r="I65" s="747">
        <f>+I64*Inputs!K155/Inputs!$B$193</f>
        <v>756.5157121879588</v>
      </c>
      <c r="J65" s="747">
        <f>+J64*Inputs!L155/Inputs!$B$193</f>
        <v>786.87132617474299</v>
      </c>
      <c r="K65" s="747">
        <f>+K64*Inputs!M155/Inputs!$B$193</f>
        <v>727.25897577092508</v>
      </c>
      <c r="L65" s="747">
        <f>+L64*Inputs!N155/Inputs!$B$193</f>
        <v>1522.6384547081495</v>
      </c>
      <c r="M65" s="2080">
        <f>+M64*Inputs!O155/Inputs!$B$193</f>
        <v>1297.0687582599121</v>
      </c>
      <c r="N65" s="699">
        <f>+N64*Inputs!P155/Inputs!$B$193</f>
        <v>1119.0566032633128</v>
      </c>
      <c r="O65" s="699">
        <f>+O64*Inputs!Q155/Inputs!$B$193</f>
        <v>1158.9626245184961</v>
      </c>
      <c r="P65" s="699">
        <f>+P64*Inputs!R155/Inputs!$B$193</f>
        <v>1199.2414598222908</v>
      </c>
      <c r="Q65" s="699">
        <f>+Q64*Inputs!S155/Inputs!$B$193</f>
        <v>1435.3869546805229</v>
      </c>
      <c r="R65" s="699">
        <f>+R64*Inputs!T155/Inputs!$B$193</f>
        <v>1521.7177186161337</v>
      </c>
      <c r="S65" s="699">
        <f>+S64*Inputs!U155/Inputs!$B$193</f>
        <v>1267.0955084977502</v>
      </c>
      <c r="T65" s="699">
        <f>+T64*Inputs!V155/Inputs!$B$193</f>
        <v>1091.6099547841313</v>
      </c>
      <c r="U65" s="699">
        <f>+U64*Inputs!W155/Inputs!$B$193</f>
        <v>1239.7006979749679</v>
      </c>
      <c r="V65" s="747"/>
      <c r="W65" s="747"/>
      <c r="X65" s="747"/>
      <c r="Y65" s="747"/>
      <c r="Z65" s="2074"/>
      <c r="AA65" s="2074"/>
      <c r="AB65" s="2074"/>
      <c r="AC65" s="2074"/>
      <c r="AD65" s="2074"/>
      <c r="AE65" s="2074"/>
      <c r="AF65" s="2074"/>
      <c r="AG65" s="2074"/>
      <c r="AH65" s="2074"/>
      <c r="AI65" s="2074"/>
      <c r="AJ65" s="2074"/>
      <c r="AK65" s="2074"/>
      <c r="AL65" s="2074"/>
      <c r="AM65" s="2074"/>
      <c r="AN65" s="2074"/>
      <c r="AO65" s="2074"/>
      <c r="AP65" s="2074"/>
      <c r="AQ65" s="2074"/>
      <c r="AR65" s="2074"/>
      <c r="AS65" s="2074"/>
      <c r="AT65" s="2074"/>
      <c r="AU65" s="2074"/>
      <c r="AV65" s="2074"/>
      <c r="AW65" s="2074"/>
      <c r="AX65" s="2074"/>
      <c r="AY65" s="2074"/>
      <c r="AZ65" s="2074"/>
      <c r="BA65" s="2074"/>
      <c r="BB65" s="2074"/>
      <c r="BC65" s="2074"/>
      <c r="BD65" s="2074"/>
      <c r="BE65" s="2074"/>
      <c r="BF65" s="2074"/>
      <c r="BG65" s="210"/>
      <c r="BH65" s="210"/>
      <c r="BI65" s="210"/>
      <c r="BJ65" s="210"/>
      <c r="BK65" s="210"/>
      <c r="BL65" s="210"/>
      <c r="BM65" s="210"/>
      <c r="BN65" s="210"/>
      <c r="BO65" s="210"/>
      <c r="BP65" s="397"/>
    </row>
    <row r="66" spans="1:101" s="54" customFormat="1">
      <c r="A66" s="415"/>
      <c r="B66" s="747"/>
      <c r="C66" s="747"/>
      <c r="D66" s="747"/>
      <c r="E66" s="747"/>
      <c r="F66" s="747"/>
      <c r="G66" s="747"/>
      <c r="H66" s="747"/>
      <c r="I66" s="747"/>
      <c r="J66" s="747"/>
      <c r="K66" s="747"/>
      <c r="L66" s="747"/>
      <c r="M66" s="2080"/>
      <c r="N66" s="747"/>
      <c r="O66" s="747"/>
      <c r="P66" s="747"/>
      <c r="Q66" s="747"/>
      <c r="R66" s="747"/>
      <c r="S66" s="747"/>
      <c r="T66" s="747"/>
      <c r="U66" s="747"/>
      <c r="V66" s="747"/>
      <c r="W66" s="747"/>
      <c r="X66" s="747"/>
      <c r="Y66" s="747"/>
      <c r="Z66" s="2074"/>
      <c r="AA66" s="2074"/>
      <c r="AB66" s="2074"/>
      <c r="AC66" s="2074"/>
      <c r="AD66" s="2074"/>
      <c r="AE66" s="2074"/>
      <c r="AF66" s="2074"/>
      <c r="AG66" s="2074"/>
      <c r="AH66" s="2074"/>
      <c r="AI66" s="2074"/>
      <c r="AJ66" s="2074"/>
      <c r="AK66" s="2074"/>
      <c r="AL66" s="2074"/>
      <c r="AM66" s="2074"/>
      <c r="AN66" s="2074"/>
      <c r="AO66" s="2074"/>
      <c r="AP66" s="2074"/>
      <c r="AQ66" s="2074"/>
      <c r="AR66" s="2074"/>
      <c r="AS66" s="2074"/>
      <c r="AT66" s="2074"/>
      <c r="AU66" s="2074"/>
      <c r="AV66" s="2074"/>
      <c r="AW66" s="2074"/>
      <c r="AX66" s="2074"/>
      <c r="AY66" s="2074"/>
      <c r="AZ66" s="2074"/>
      <c r="BA66" s="2074"/>
      <c r="BB66" s="2074"/>
      <c r="BC66" s="2074"/>
      <c r="BD66" s="2074"/>
      <c r="BE66" s="2074"/>
      <c r="BF66" s="2074"/>
      <c r="BG66" s="210"/>
      <c r="BH66" s="210"/>
      <c r="BI66" s="210"/>
      <c r="BJ66" s="210"/>
      <c r="BK66" s="210"/>
      <c r="BL66" s="210"/>
      <c r="BM66" s="210"/>
      <c r="BN66" s="210"/>
      <c r="BO66" s="210"/>
      <c r="BP66" s="397"/>
    </row>
    <row r="67" spans="1:101">
      <c r="A67" s="761" t="s">
        <v>1632</v>
      </c>
      <c r="B67" s="740"/>
      <c r="C67" s="740"/>
      <c r="D67" s="740"/>
      <c r="E67" s="740"/>
      <c r="F67" s="740"/>
      <c r="G67" s="740"/>
      <c r="H67" s="757"/>
      <c r="I67" s="757"/>
      <c r="J67" s="757"/>
      <c r="K67" s="757"/>
      <c r="L67" s="757"/>
      <c r="M67" s="749"/>
      <c r="N67" s="1595" t="s">
        <v>1363</v>
      </c>
      <c r="O67" s="1595" t="s">
        <v>1599</v>
      </c>
      <c r="P67" s="1595" t="s">
        <v>1600</v>
      </c>
      <c r="Q67" s="739"/>
      <c r="R67" s="739"/>
      <c r="S67" s="739"/>
      <c r="T67" s="739"/>
      <c r="U67" s="739"/>
      <c r="V67" s="747"/>
      <c r="W67" s="739"/>
      <c r="X67" s="739"/>
      <c r="Y67" s="742"/>
      <c r="Z67" s="740"/>
      <c r="AA67" s="742"/>
      <c r="AB67" s="742"/>
      <c r="AC67" s="742"/>
      <c r="AD67" s="742"/>
      <c r="AE67" s="742"/>
      <c r="AF67" s="742"/>
      <c r="AG67" s="742"/>
      <c r="AH67" s="742"/>
      <c r="AI67" s="742"/>
      <c r="AJ67" s="742"/>
      <c r="AK67" s="742"/>
      <c r="AL67" s="197"/>
      <c r="AM67" s="197"/>
      <c r="AN67" s="197"/>
      <c r="AO67" s="197"/>
      <c r="AP67" s="197"/>
      <c r="AQ67" s="197"/>
      <c r="AR67" s="197"/>
      <c r="AS67" s="197"/>
      <c r="AT67" s="197"/>
      <c r="AU67" s="197"/>
      <c r="AV67" s="197"/>
      <c r="AW67" s="197"/>
      <c r="AX67" s="735"/>
      <c r="AY67" s="735"/>
      <c r="AZ67" s="197"/>
      <c r="BA67" s="197"/>
      <c r="BB67" s="197"/>
      <c r="BC67" s="197"/>
      <c r="BD67" s="197"/>
      <c r="BE67" s="197"/>
      <c r="BF67" s="197"/>
      <c r="BG67" s="735"/>
      <c r="BH67" s="735"/>
      <c r="BI67" s="735"/>
      <c r="BJ67" s="735"/>
      <c r="BK67" s="735"/>
      <c r="BL67" s="735"/>
      <c r="BM67" s="735"/>
      <c r="BN67" s="735"/>
      <c r="BO67" s="735"/>
      <c r="BP67" s="465"/>
      <c r="BQ67" s="197"/>
      <c r="BR67" s="197"/>
      <c r="BS67" s="197"/>
      <c r="BT67" s="197"/>
      <c r="BU67" s="197"/>
      <c r="BV67" s="197"/>
      <c r="BW67" s="197"/>
      <c r="BX67" s="197"/>
      <c r="BY67" s="197"/>
      <c r="BZ67" s="197"/>
      <c r="CA67" s="412"/>
      <c r="CB67" s="412"/>
      <c r="CC67" s="412"/>
      <c r="CD67" s="412"/>
      <c r="CE67" s="412"/>
      <c r="CF67" s="412"/>
      <c r="CG67" s="382"/>
      <c r="CH67" s="382"/>
      <c r="CI67" s="382"/>
      <c r="CJ67" s="382"/>
      <c r="CK67" s="382"/>
      <c r="CL67" s="382"/>
      <c r="CM67" s="382"/>
      <c r="CN67" s="382"/>
      <c r="CO67" s="382"/>
      <c r="CP67" s="382"/>
      <c r="CQ67" s="382"/>
      <c r="CR67" s="382"/>
      <c r="CS67" s="382"/>
      <c r="CT67" s="382"/>
      <c r="CU67" s="382"/>
      <c r="CV67" s="382"/>
      <c r="CW67" s="382"/>
    </row>
    <row r="68" spans="1:101">
      <c r="A68" s="2058" t="s">
        <v>1633</v>
      </c>
      <c r="B68" s="740"/>
      <c r="C68" s="740"/>
      <c r="D68" s="740"/>
      <c r="E68" s="740"/>
      <c r="F68" s="740"/>
      <c r="G68" s="740"/>
      <c r="H68" s="742"/>
      <c r="I68" s="742"/>
      <c r="J68" s="742"/>
      <c r="K68" s="742"/>
      <c r="L68" s="742"/>
      <c r="M68" s="749"/>
      <c r="N68" s="1828">
        <v>502.56299999999999</v>
      </c>
      <c r="O68" s="2260">
        <v>0</v>
      </c>
      <c r="P68" s="2260">
        <f t="shared" ref="P68:U68" si="212">+O68</f>
        <v>0</v>
      </c>
      <c r="Q68" s="2260">
        <f t="shared" si="212"/>
        <v>0</v>
      </c>
      <c r="R68" s="2260">
        <f t="shared" si="212"/>
        <v>0</v>
      </c>
      <c r="S68" s="2260">
        <f t="shared" si="212"/>
        <v>0</v>
      </c>
      <c r="T68" s="2260">
        <f t="shared" si="212"/>
        <v>0</v>
      </c>
      <c r="U68" s="2260">
        <f t="shared" si="212"/>
        <v>0</v>
      </c>
      <c r="V68" s="747"/>
      <c r="W68" s="742"/>
      <c r="X68" s="742"/>
      <c r="Y68" s="740"/>
      <c r="Z68" s="742"/>
      <c r="AA68" s="742"/>
      <c r="AB68" s="742"/>
      <c r="AC68" s="742"/>
      <c r="AD68" s="742"/>
      <c r="AE68" s="742"/>
      <c r="AF68" s="742"/>
      <c r="AG68" s="742"/>
      <c r="AH68" s="742"/>
      <c r="AI68" s="742"/>
      <c r="AJ68" s="742"/>
      <c r="AK68" s="197"/>
      <c r="AL68" s="197"/>
      <c r="AM68" s="197"/>
      <c r="AN68" s="197"/>
      <c r="AO68" s="197"/>
      <c r="AP68" s="197"/>
      <c r="AQ68" s="197"/>
      <c r="AR68" s="197"/>
      <c r="AS68" s="197"/>
      <c r="AT68" s="197"/>
      <c r="AU68" s="197"/>
      <c r="AV68" s="197"/>
      <c r="AW68" s="197"/>
      <c r="AX68" s="735"/>
      <c r="AY68" s="735"/>
      <c r="AZ68" s="197"/>
      <c r="BA68" s="197"/>
      <c r="BB68" s="197"/>
      <c r="BC68" s="197"/>
      <c r="BD68" s="197"/>
      <c r="BE68" s="197"/>
      <c r="BF68" s="197"/>
      <c r="BG68" s="735"/>
      <c r="BH68" s="735"/>
      <c r="BI68" s="735"/>
      <c r="BJ68" s="735"/>
      <c r="BK68" s="735"/>
      <c r="BL68" s="735"/>
      <c r="BM68" s="735"/>
      <c r="BN68" s="735"/>
      <c r="BO68" s="735"/>
      <c r="BP68" s="465"/>
      <c r="BQ68" s="197"/>
      <c r="BR68" s="197"/>
      <c r="BS68" s="197"/>
      <c r="BT68" s="197"/>
      <c r="BU68" s="197"/>
      <c r="BV68" s="197"/>
      <c r="BW68" s="197"/>
      <c r="BX68" s="197"/>
      <c r="BY68" s="197"/>
      <c r="BZ68" s="197"/>
      <c r="CA68" s="412"/>
      <c r="CB68" s="412"/>
      <c r="CC68" s="412"/>
      <c r="CD68" s="412"/>
      <c r="CE68" s="412"/>
      <c r="CF68" s="382"/>
      <c r="CG68" s="382"/>
      <c r="CH68" s="382"/>
      <c r="CI68" s="382"/>
      <c r="CJ68" s="382"/>
      <c r="CK68" s="382"/>
      <c r="CL68" s="382"/>
      <c r="CM68" s="382"/>
      <c r="CN68" s="382"/>
      <c r="CO68" s="382"/>
      <c r="CP68" s="382"/>
      <c r="CQ68" s="382"/>
      <c r="CR68" s="382"/>
      <c r="CS68" s="382"/>
      <c r="CT68" s="382"/>
      <c r="CU68" s="382"/>
      <c r="CV68" s="382"/>
      <c r="CW68" s="382"/>
    </row>
    <row r="69" spans="1:101">
      <c r="A69" s="157" t="s">
        <v>884</v>
      </c>
      <c r="B69" s="740"/>
      <c r="C69" s="740"/>
      <c r="D69" s="740"/>
      <c r="E69" s="740"/>
      <c r="F69" s="740"/>
      <c r="G69" s="740"/>
      <c r="H69" s="742"/>
      <c r="I69" s="742"/>
      <c r="J69" s="742"/>
      <c r="K69" s="742"/>
      <c r="L69" s="742"/>
      <c r="M69" s="749"/>
      <c r="N69" s="1726">
        <v>19.23</v>
      </c>
      <c r="O69" s="2259">
        <v>0</v>
      </c>
      <c r="P69" s="2259">
        <v>0</v>
      </c>
      <c r="Q69" s="2259">
        <v>0</v>
      </c>
      <c r="R69" s="2259">
        <v>0</v>
      </c>
      <c r="S69" s="2259">
        <v>0</v>
      </c>
      <c r="T69" s="2259">
        <v>0</v>
      </c>
      <c r="U69" s="2259">
        <v>0</v>
      </c>
      <c r="V69" s="747"/>
      <c r="W69" s="742"/>
      <c r="X69" s="742"/>
      <c r="Y69" s="740"/>
      <c r="Z69" s="742"/>
      <c r="AA69" s="742"/>
      <c r="AB69" s="742"/>
      <c r="AC69" s="742"/>
      <c r="AD69" s="742"/>
      <c r="AE69" s="742"/>
      <c r="AF69" s="742"/>
      <c r="AG69" s="742"/>
      <c r="AH69" s="742"/>
      <c r="AI69" s="742"/>
      <c r="AJ69" s="742"/>
      <c r="AK69" s="197"/>
      <c r="AL69" s="197"/>
      <c r="AM69" s="197"/>
      <c r="AN69" s="197"/>
      <c r="AO69" s="197"/>
      <c r="AP69" s="197"/>
      <c r="AQ69" s="197"/>
      <c r="AR69" s="197"/>
      <c r="AS69" s="197"/>
      <c r="AT69" s="197"/>
      <c r="AU69" s="197"/>
      <c r="AV69" s="197"/>
      <c r="AW69" s="197"/>
      <c r="AX69" s="735"/>
      <c r="AY69" s="735"/>
      <c r="AZ69" s="197"/>
      <c r="BA69" s="197"/>
      <c r="BB69" s="197"/>
      <c r="BC69" s="197"/>
      <c r="BD69" s="197"/>
      <c r="BE69" s="197"/>
      <c r="BF69" s="197"/>
      <c r="BG69" s="735"/>
      <c r="BH69" s="735"/>
      <c r="BI69" s="735"/>
      <c r="BJ69" s="735"/>
      <c r="BK69" s="735"/>
      <c r="BL69" s="735"/>
      <c r="BM69" s="735"/>
      <c r="BN69" s="735"/>
      <c r="BO69" s="735"/>
      <c r="BP69" s="465"/>
      <c r="BQ69" s="197"/>
      <c r="BR69" s="197"/>
      <c r="BS69" s="197"/>
      <c r="BT69" s="197"/>
      <c r="BU69" s="197"/>
      <c r="BV69" s="197"/>
      <c r="BW69" s="197"/>
      <c r="BX69" s="197"/>
      <c r="BY69" s="197"/>
      <c r="BZ69" s="197"/>
      <c r="CA69" s="412"/>
      <c r="CB69" s="412"/>
      <c r="CC69" s="412"/>
      <c r="CD69" s="412"/>
      <c r="CE69" s="412"/>
      <c r="CF69" s="382"/>
      <c r="CG69" s="382"/>
      <c r="CH69" s="382"/>
      <c r="CI69" s="382"/>
      <c r="CJ69" s="382"/>
      <c r="CK69" s="382"/>
      <c r="CL69" s="382"/>
      <c r="CM69" s="382"/>
      <c r="CN69" s="382"/>
      <c r="CO69" s="382"/>
      <c r="CP69" s="382"/>
      <c r="CQ69" s="382"/>
      <c r="CR69" s="382"/>
      <c r="CS69" s="382"/>
      <c r="CT69" s="382"/>
      <c r="CU69" s="382"/>
      <c r="CV69" s="382"/>
      <c r="CW69" s="382"/>
    </row>
    <row r="70" spans="1:101">
      <c r="A70" s="157" t="s">
        <v>885</v>
      </c>
      <c r="B70" s="740"/>
      <c r="C70" s="740"/>
      <c r="D70" s="740"/>
      <c r="E70" s="740"/>
      <c r="F70" s="740"/>
      <c r="G70" s="740"/>
      <c r="H70" s="742"/>
      <c r="I70" s="742"/>
      <c r="J70" s="742"/>
      <c r="K70" s="742"/>
      <c r="L70" s="742"/>
      <c r="M70" s="749"/>
      <c r="N70" s="738">
        <f>+N68/N$53</f>
        <v>0.36025096582995902</v>
      </c>
      <c r="O70" s="738">
        <f t="shared" ref="O70:U70" si="213">+O68/O$53</f>
        <v>0</v>
      </c>
      <c r="P70" s="738">
        <f t="shared" si="213"/>
        <v>0</v>
      </c>
      <c r="Q70" s="738">
        <f t="shared" si="213"/>
        <v>0</v>
      </c>
      <c r="R70" s="738">
        <f t="shared" si="213"/>
        <v>0</v>
      </c>
      <c r="S70" s="738">
        <f t="shared" si="213"/>
        <v>0</v>
      </c>
      <c r="T70" s="738">
        <f t="shared" si="213"/>
        <v>0</v>
      </c>
      <c r="U70" s="738">
        <f t="shared" si="213"/>
        <v>0</v>
      </c>
      <c r="V70" s="747"/>
      <c r="W70" s="742"/>
      <c r="X70" s="742"/>
      <c r="Y70" s="740"/>
      <c r="Z70" s="742"/>
      <c r="AA70" s="742"/>
      <c r="AB70" s="742"/>
      <c r="AC70" s="742"/>
      <c r="AD70" s="742"/>
      <c r="AE70" s="742"/>
      <c r="AF70" s="742"/>
      <c r="AG70" s="742"/>
      <c r="AH70" s="742"/>
      <c r="AI70" s="742"/>
      <c r="AJ70" s="742"/>
      <c r="AK70" s="197"/>
      <c r="AL70" s="197"/>
      <c r="AM70" s="197"/>
      <c r="AN70" s="197"/>
      <c r="AO70" s="197"/>
      <c r="AP70" s="197"/>
      <c r="AQ70" s="197"/>
      <c r="AR70" s="197"/>
      <c r="AS70" s="197"/>
      <c r="AT70" s="197"/>
      <c r="AU70" s="197"/>
      <c r="AV70" s="197"/>
      <c r="AW70" s="197"/>
      <c r="AX70" s="735"/>
      <c r="AY70" s="735"/>
      <c r="AZ70" s="197"/>
      <c r="BA70" s="197"/>
      <c r="BB70" s="197"/>
      <c r="BC70" s="197"/>
      <c r="BD70" s="197"/>
      <c r="BE70" s="197"/>
      <c r="BF70" s="197"/>
      <c r="BG70" s="735"/>
      <c r="BH70" s="735"/>
      <c r="BI70" s="735"/>
      <c r="BJ70" s="735"/>
      <c r="BK70" s="735"/>
      <c r="BL70" s="735"/>
      <c r="BM70" s="735"/>
      <c r="BN70" s="735"/>
      <c r="BO70" s="735"/>
      <c r="BP70" s="465"/>
      <c r="BQ70" s="197"/>
      <c r="BR70" s="197"/>
      <c r="BS70" s="197"/>
      <c r="BT70" s="197"/>
      <c r="BU70" s="197"/>
      <c r="BV70" s="197"/>
      <c r="BW70" s="197"/>
      <c r="BX70" s="197"/>
      <c r="BY70" s="197"/>
      <c r="BZ70" s="197"/>
      <c r="CA70" s="412"/>
      <c r="CB70" s="412"/>
      <c r="CC70" s="412"/>
      <c r="CD70" s="412"/>
      <c r="CE70" s="412"/>
      <c r="CF70" s="382"/>
      <c r="CG70" s="382"/>
      <c r="CH70" s="382"/>
      <c r="CI70" s="382"/>
      <c r="CJ70" s="382"/>
      <c r="CK70" s="382"/>
      <c r="CL70" s="382"/>
      <c r="CM70" s="382"/>
      <c r="CN70" s="382"/>
      <c r="CO70" s="382"/>
      <c r="CP70" s="382"/>
      <c r="CQ70" s="382"/>
      <c r="CR70" s="382"/>
      <c r="CS70" s="382"/>
      <c r="CT70" s="382"/>
      <c r="CU70" s="382"/>
      <c r="CV70" s="382"/>
      <c r="CW70" s="382"/>
    </row>
    <row r="71" spans="1:101" s="1401" customFormat="1">
      <c r="A71" s="2058" t="s">
        <v>1634</v>
      </c>
      <c r="B71" s="740"/>
      <c r="C71" s="740"/>
      <c r="D71" s="740"/>
      <c r="E71" s="740"/>
      <c r="F71" s="740"/>
      <c r="G71" s="740"/>
      <c r="H71" s="742"/>
      <c r="I71" s="742"/>
      <c r="J71" s="742"/>
      <c r="K71" s="742"/>
      <c r="L71" s="742"/>
      <c r="M71" s="749"/>
      <c r="N71" s="1828">
        <v>372</v>
      </c>
      <c r="O71" s="2260"/>
      <c r="P71" s="2260"/>
      <c r="Q71" s="2260"/>
      <c r="R71" s="2260"/>
      <c r="S71" s="2260"/>
      <c r="T71" s="2260"/>
      <c r="U71" s="2260"/>
      <c r="V71" s="747"/>
      <c r="W71" s="742"/>
      <c r="X71" s="742"/>
      <c r="Y71" s="740"/>
      <c r="Z71" s="742"/>
      <c r="AA71" s="742"/>
      <c r="AB71" s="742"/>
      <c r="AC71" s="742"/>
      <c r="AD71" s="742"/>
      <c r="AE71" s="742"/>
      <c r="AF71" s="742"/>
      <c r="AG71" s="742"/>
      <c r="AH71" s="742"/>
      <c r="AI71" s="742"/>
      <c r="AJ71" s="742"/>
      <c r="AK71" s="197"/>
      <c r="AL71" s="197"/>
      <c r="AM71" s="197"/>
      <c r="AN71" s="197"/>
      <c r="AO71" s="197"/>
      <c r="AP71" s="197"/>
      <c r="AQ71" s="197"/>
      <c r="AR71" s="197"/>
      <c r="AS71" s="197"/>
      <c r="AT71" s="197"/>
      <c r="AU71" s="197"/>
      <c r="AV71" s="197"/>
      <c r="AW71" s="197"/>
      <c r="AX71" s="735"/>
      <c r="AY71" s="735"/>
      <c r="AZ71" s="197"/>
      <c r="BA71" s="197"/>
      <c r="BB71" s="197"/>
      <c r="BC71" s="197"/>
      <c r="BD71" s="197"/>
      <c r="BE71" s="197"/>
      <c r="BF71" s="197"/>
      <c r="BG71" s="735"/>
      <c r="BH71" s="735"/>
      <c r="BI71" s="735"/>
      <c r="BJ71" s="735"/>
      <c r="BK71" s="735"/>
      <c r="BL71" s="735"/>
      <c r="BM71" s="735"/>
      <c r="BN71" s="735"/>
      <c r="BO71" s="735"/>
      <c r="BP71" s="465"/>
      <c r="BQ71" s="197"/>
      <c r="BR71" s="197"/>
      <c r="BS71" s="197"/>
      <c r="BT71" s="197"/>
      <c r="BU71" s="197"/>
      <c r="BV71" s="197"/>
      <c r="BW71" s="197"/>
      <c r="BX71" s="197"/>
      <c r="BY71" s="197"/>
      <c r="BZ71" s="197"/>
      <c r="CA71" s="412"/>
      <c r="CB71" s="412"/>
      <c r="CC71" s="412"/>
      <c r="CD71" s="412"/>
      <c r="CE71" s="412"/>
      <c r="CF71" s="382"/>
      <c r="CG71" s="382"/>
      <c r="CH71" s="382"/>
      <c r="CI71" s="382"/>
      <c r="CJ71" s="382"/>
      <c r="CK71" s="382"/>
      <c r="CL71" s="382"/>
      <c r="CM71" s="382"/>
      <c r="CN71" s="382"/>
      <c r="CO71" s="382"/>
      <c r="CP71" s="382"/>
      <c r="CQ71" s="382"/>
      <c r="CR71" s="382"/>
      <c r="CS71" s="382"/>
      <c r="CT71" s="382"/>
      <c r="CU71" s="382"/>
      <c r="CV71" s="382"/>
      <c r="CW71" s="382"/>
    </row>
    <row r="72" spans="1:101" s="1401" customFormat="1">
      <c r="A72" s="157" t="s">
        <v>1047</v>
      </c>
      <c r="B72" s="740"/>
      <c r="C72" s="740"/>
      <c r="D72" s="740"/>
      <c r="E72" s="740"/>
      <c r="F72" s="740"/>
      <c r="G72" s="740"/>
      <c r="H72" s="742"/>
      <c r="I72" s="742"/>
      <c r="J72" s="742"/>
      <c r="K72" s="742"/>
      <c r="L72" s="742"/>
      <c r="M72" s="749"/>
      <c r="N72" s="1726">
        <v>1485.6</v>
      </c>
      <c r="O72" s="2259"/>
      <c r="P72" s="2259"/>
      <c r="Q72" s="2259"/>
      <c r="R72" s="2259"/>
      <c r="S72" s="2259"/>
      <c r="T72" s="2259"/>
      <c r="U72" s="2259"/>
      <c r="V72" s="747"/>
      <c r="W72" s="742"/>
      <c r="X72" s="742"/>
      <c r="Y72" s="740"/>
      <c r="Z72" s="742"/>
      <c r="AA72" s="742"/>
      <c r="AB72" s="742"/>
      <c r="AC72" s="742"/>
      <c r="AD72" s="742"/>
      <c r="AE72" s="742"/>
      <c r="AF72" s="742"/>
      <c r="AG72" s="742"/>
      <c r="AH72" s="742"/>
      <c r="AI72" s="742"/>
      <c r="AJ72" s="742"/>
      <c r="AK72" s="197"/>
      <c r="AL72" s="197"/>
      <c r="AM72" s="197"/>
      <c r="AN72" s="197"/>
      <c r="AO72" s="197"/>
      <c r="AP72" s="197"/>
      <c r="AQ72" s="197"/>
      <c r="AR72" s="197"/>
      <c r="AS72" s="197"/>
      <c r="AT72" s="197"/>
      <c r="AU72" s="197"/>
      <c r="AV72" s="197"/>
      <c r="AW72" s="197"/>
      <c r="AX72" s="735"/>
      <c r="AY72" s="735"/>
      <c r="AZ72" s="197"/>
      <c r="BA72" s="197"/>
      <c r="BB72" s="197"/>
      <c r="BC72" s="197"/>
      <c r="BD72" s="197"/>
      <c r="BE72" s="197"/>
      <c r="BF72" s="197"/>
      <c r="BG72" s="735"/>
      <c r="BH72" s="735"/>
      <c r="BI72" s="735"/>
      <c r="BJ72" s="735"/>
      <c r="BK72" s="735"/>
      <c r="BL72" s="735"/>
      <c r="BM72" s="735"/>
      <c r="BN72" s="735"/>
      <c r="BO72" s="735"/>
      <c r="BP72" s="465"/>
      <c r="BQ72" s="197"/>
      <c r="BR72" s="197"/>
      <c r="BS72" s="197"/>
      <c r="BT72" s="197"/>
      <c r="BU72" s="197"/>
      <c r="BV72" s="197"/>
      <c r="BW72" s="197"/>
      <c r="BX72" s="197"/>
      <c r="BY72" s="197"/>
      <c r="BZ72" s="197"/>
      <c r="CA72" s="412"/>
      <c r="CB72" s="412"/>
      <c r="CC72" s="412"/>
      <c r="CD72" s="412"/>
      <c r="CE72" s="412"/>
      <c r="CF72" s="382"/>
      <c r="CG72" s="382"/>
      <c r="CH72" s="382"/>
      <c r="CI72" s="382"/>
      <c r="CJ72" s="382"/>
      <c r="CK72" s="382"/>
      <c r="CL72" s="382"/>
      <c r="CM72" s="382"/>
      <c r="CN72" s="382"/>
      <c r="CO72" s="382"/>
      <c r="CP72" s="382"/>
      <c r="CQ72" s="382"/>
      <c r="CR72" s="382"/>
      <c r="CS72" s="382"/>
      <c r="CT72" s="382"/>
      <c r="CU72" s="382"/>
      <c r="CV72" s="382"/>
      <c r="CW72" s="382"/>
    </row>
    <row r="73" spans="1:101" s="1401" customFormat="1">
      <c r="A73" s="157" t="s">
        <v>884</v>
      </c>
      <c r="B73" s="740"/>
      <c r="C73" s="740"/>
      <c r="D73" s="740"/>
      <c r="E73" s="740"/>
      <c r="F73" s="740"/>
      <c r="G73" s="740"/>
      <c r="H73" s="742"/>
      <c r="I73" s="742"/>
      <c r="J73" s="742"/>
      <c r="K73" s="742"/>
      <c r="L73" s="742"/>
      <c r="M73" s="749"/>
      <c r="N73" s="2345">
        <f>N72/N79*Inputs!B193</f>
        <v>19.164266382525305</v>
      </c>
      <c r="O73" s="2259">
        <f>O72/O79*Inputs!C193</f>
        <v>0</v>
      </c>
      <c r="P73" s="2259">
        <f>P72/P79*Inputs!D193</f>
        <v>0</v>
      </c>
      <c r="Q73" s="2259">
        <f>Q72/Q79*Inputs!E193</f>
        <v>0</v>
      </c>
      <c r="R73" s="2259">
        <f>R72/R79*Inputs!F193</f>
        <v>0</v>
      </c>
      <c r="S73" s="2259">
        <f>S72/S79*Inputs!G193</f>
        <v>0</v>
      </c>
      <c r="T73" s="2259">
        <f>T72/T79*Inputs!H193</f>
        <v>0</v>
      </c>
      <c r="U73" s="2259">
        <f>U72/U79*Inputs!I193</f>
        <v>0</v>
      </c>
      <c r="V73" s="747"/>
      <c r="W73" s="742"/>
      <c r="X73" s="742"/>
      <c r="Y73" s="740"/>
      <c r="Z73" s="742"/>
      <c r="AA73" s="742"/>
      <c r="AB73" s="742"/>
      <c r="AC73" s="742"/>
      <c r="AD73" s="742"/>
      <c r="AE73" s="742"/>
      <c r="AF73" s="742"/>
      <c r="AG73" s="742"/>
      <c r="AH73" s="742"/>
      <c r="AI73" s="742"/>
      <c r="AJ73" s="742"/>
      <c r="AK73" s="197"/>
      <c r="AL73" s="197"/>
      <c r="AM73" s="197"/>
      <c r="AN73" s="197"/>
      <c r="AO73" s="197"/>
      <c r="AP73" s="197"/>
      <c r="AQ73" s="197"/>
      <c r="AR73" s="197"/>
      <c r="AS73" s="197"/>
      <c r="AT73" s="197"/>
      <c r="AU73" s="197"/>
      <c r="AV73" s="197"/>
      <c r="AW73" s="197"/>
      <c r="AX73" s="735"/>
      <c r="AY73" s="735"/>
      <c r="AZ73" s="197"/>
      <c r="BA73" s="197"/>
      <c r="BB73" s="197"/>
      <c r="BC73" s="197"/>
      <c r="BD73" s="197"/>
      <c r="BE73" s="197"/>
      <c r="BF73" s="197"/>
      <c r="BG73" s="735"/>
      <c r="BH73" s="735"/>
      <c r="BI73" s="735"/>
      <c r="BJ73" s="735"/>
      <c r="BK73" s="735"/>
      <c r="BL73" s="735"/>
      <c r="BM73" s="735"/>
      <c r="BN73" s="735"/>
      <c r="BO73" s="735"/>
      <c r="BP73" s="465"/>
      <c r="BQ73" s="197"/>
      <c r="BR73" s="197"/>
      <c r="BS73" s="197"/>
      <c r="BT73" s="197"/>
      <c r="BU73" s="197"/>
      <c r="BV73" s="197"/>
      <c r="BW73" s="197"/>
      <c r="BX73" s="197"/>
      <c r="BY73" s="197"/>
      <c r="BZ73" s="197"/>
      <c r="CA73" s="412"/>
      <c r="CB73" s="412"/>
      <c r="CC73" s="412"/>
      <c r="CD73" s="412"/>
      <c r="CE73" s="412"/>
      <c r="CF73" s="382"/>
      <c r="CG73" s="382"/>
      <c r="CH73" s="382"/>
      <c r="CI73" s="382"/>
      <c r="CJ73" s="382"/>
      <c r="CK73" s="382"/>
      <c r="CL73" s="382"/>
      <c r="CM73" s="382"/>
      <c r="CN73" s="382"/>
      <c r="CO73" s="382"/>
      <c r="CP73" s="382"/>
      <c r="CQ73" s="382"/>
      <c r="CR73" s="382"/>
      <c r="CS73" s="382"/>
      <c r="CT73" s="382"/>
      <c r="CU73" s="382"/>
      <c r="CV73" s="382"/>
      <c r="CW73" s="382"/>
    </row>
    <row r="74" spans="1:101" s="1401" customFormat="1">
      <c r="A74" s="157" t="s">
        <v>885</v>
      </c>
      <c r="B74" s="740"/>
      <c r="C74" s="740"/>
      <c r="D74" s="740"/>
      <c r="E74" s="740"/>
      <c r="F74" s="740"/>
      <c r="G74" s="740"/>
      <c r="H74" s="742"/>
      <c r="I74" s="742"/>
      <c r="J74" s="742"/>
      <c r="K74" s="742"/>
      <c r="L74" s="742"/>
      <c r="M74" s="749"/>
      <c r="N74" s="738">
        <f t="shared" ref="N74:U74" si="214">+N71/N$53</f>
        <v>0.26665982033843472</v>
      </c>
      <c r="O74" s="738">
        <f t="shared" si="214"/>
        <v>0</v>
      </c>
      <c r="P74" s="738">
        <f t="shared" si="214"/>
        <v>0</v>
      </c>
      <c r="Q74" s="738">
        <f t="shared" si="214"/>
        <v>0</v>
      </c>
      <c r="R74" s="738">
        <f t="shared" si="214"/>
        <v>0</v>
      </c>
      <c r="S74" s="738">
        <f t="shared" si="214"/>
        <v>0</v>
      </c>
      <c r="T74" s="738">
        <f t="shared" si="214"/>
        <v>0</v>
      </c>
      <c r="U74" s="738">
        <f t="shared" si="214"/>
        <v>0</v>
      </c>
      <c r="V74" s="747"/>
      <c r="W74" s="742"/>
      <c r="X74" s="742"/>
      <c r="Y74" s="740"/>
      <c r="Z74" s="742"/>
      <c r="AA74" s="742"/>
      <c r="AB74" s="742"/>
      <c r="AC74" s="742"/>
      <c r="AD74" s="742"/>
      <c r="AE74" s="742"/>
      <c r="AF74" s="742"/>
      <c r="AG74" s="742"/>
      <c r="AH74" s="742"/>
      <c r="AI74" s="742"/>
      <c r="AJ74" s="742"/>
      <c r="AK74" s="197"/>
      <c r="AL74" s="197"/>
      <c r="AM74" s="197"/>
      <c r="AN74" s="197"/>
      <c r="AO74" s="197"/>
      <c r="AP74" s="197"/>
      <c r="AQ74" s="197"/>
      <c r="AR74" s="197"/>
      <c r="AS74" s="197"/>
      <c r="AT74" s="197"/>
      <c r="AU74" s="197"/>
      <c r="AV74" s="197"/>
      <c r="AW74" s="197"/>
      <c r="AX74" s="735"/>
      <c r="AY74" s="735"/>
      <c r="AZ74" s="197"/>
      <c r="BA74" s="197"/>
      <c r="BB74" s="197"/>
      <c r="BC74" s="197"/>
      <c r="BD74" s="197"/>
      <c r="BE74" s="197"/>
      <c r="BF74" s="197"/>
      <c r="BG74" s="735"/>
      <c r="BH74" s="735"/>
      <c r="BI74" s="735"/>
      <c r="BJ74" s="735"/>
      <c r="BK74" s="735"/>
      <c r="BL74" s="735"/>
      <c r="BM74" s="735"/>
      <c r="BN74" s="735"/>
      <c r="BO74" s="735"/>
      <c r="BP74" s="465"/>
      <c r="BQ74" s="197"/>
      <c r="BR74" s="197"/>
      <c r="BS74" s="197"/>
      <c r="BT74" s="197"/>
      <c r="BU74" s="197"/>
      <c r="BV74" s="197"/>
      <c r="BW74" s="197"/>
      <c r="BX74" s="197"/>
      <c r="BY74" s="197"/>
      <c r="BZ74" s="197"/>
      <c r="CA74" s="412"/>
      <c r="CB74" s="412"/>
      <c r="CC74" s="412"/>
      <c r="CD74" s="412"/>
      <c r="CE74" s="412"/>
      <c r="CF74" s="382"/>
      <c r="CG74" s="382"/>
      <c r="CH74" s="382"/>
      <c r="CI74" s="382"/>
      <c r="CJ74" s="382"/>
      <c r="CK74" s="382"/>
      <c r="CL74" s="382"/>
      <c r="CM74" s="382"/>
      <c r="CN74" s="382"/>
      <c r="CO74" s="382"/>
      <c r="CP74" s="382"/>
      <c r="CQ74" s="382"/>
      <c r="CR74" s="382"/>
      <c r="CS74" s="382"/>
      <c r="CT74" s="382"/>
      <c r="CU74" s="382"/>
      <c r="CV74" s="382"/>
      <c r="CW74" s="382"/>
    </row>
    <row r="75" spans="1:101">
      <c r="A75" s="761" t="s">
        <v>1635</v>
      </c>
      <c r="B75" s="740"/>
      <c r="C75" s="740"/>
      <c r="D75" s="740"/>
      <c r="E75" s="740"/>
      <c r="F75" s="740"/>
      <c r="G75" s="740"/>
      <c r="H75" s="742"/>
      <c r="I75" s="742"/>
      <c r="J75" s="742"/>
      <c r="K75" s="742"/>
      <c r="L75" s="742"/>
      <c r="M75" s="749"/>
      <c r="N75" s="1827">
        <f>N69*N70+N74*N73+(1-N70-N74)*N64*0.9</f>
        <v>17.492602120613451</v>
      </c>
      <c r="O75" s="737">
        <f t="shared" ref="O75:U75" si="215">O69*O70+O74*O73+(1-O70-O74)*O64</f>
        <v>16.31531880717511</v>
      </c>
      <c r="P75" s="737">
        <f t="shared" si="215"/>
        <v>16.498655235130911</v>
      </c>
      <c r="Q75" s="737">
        <f t="shared" si="215"/>
        <v>19.747444770453257</v>
      </c>
      <c r="R75" s="737">
        <f t="shared" si="215"/>
        <v>20.93514679550681</v>
      </c>
      <c r="S75" s="737">
        <f t="shared" si="215"/>
        <v>17.432162450241776</v>
      </c>
      <c r="T75" s="737">
        <f t="shared" si="215"/>
        <v>15.017906650666538</v>
      </c>
      <c r="U75" s="737">
        <f t="shared" si="215"/>
        <v>17.055276269110166</v>
      </c>
      <c r="V75" s="747"/>
      <c r="W75" s="742"/>
      <c r="X75" s="742"/>
      <c r="Y75" s="740"/>
      <c r="Z75" s="742"/>
      <c r="AA75" s="742"/>
      <c r="AB75" s="742"/>
      <c r="AC75" s="742"/>
      <c r="AD75" s="742"/>
      <c r="AE75" s="742"/>
      <c r="AF75" s="742"/>
      <c r="AG75" s="742"/>
      <c r="AH75" s="742"/>
      <c r="AI75" s="742"/>
      <c r="AJ75" s="742"/>
      <c r="AK75" s="197"/>
      <c r="AL75" s="197"/>
      <c r="AM75" s="197"/>
      <c r="AN75" s="197"/>
      <c r="AO75" s="197"/>
      <c r="AP75" s="197"/>
      <c r="AQ75" s="197"/>
      <c r="AR75" s="197"/>
      <c r="AS75" s="197"/>
      <c r="AT75" s="197"/>
      <c r="AU75" s="197"/>
      <c r="AV75" s="197"/>
      <c r="AW75" s="197"/>
      <c r="AX75" s="735"/>
      <c r="AY75" s="735"/>
      <c r="AZ75" s="197"/>
      <c r="BA75" s="197"/>
      <c r="BB75" s="197"/>
      <c r="BC75" s="197"/>
      <c r="BD75" s="197"/>
      <c r="BE75" s="197"/>
      <c r="BF75" s="197"/>
      <c r="BG75" s="735"/>
      <c r="BH75" s="735"/>
      <c r="BI75" s="735"/>
      <c r="BJ75" s="735"/>
      <c r="BK75" s="735"/>
      <c r="BL75" s="735"/>
      <c r="BM75" s="735"/>
      <c r="BN75" s="735"/>
      <c r="BO75" s="735"/>
      <c r="BP75" s="465"/>
      <c r="BQ75" s="197"/>
      <c r="BR75" s="197"/>
      <c r="BS75" s="197"/>
      <c r="BT75" s="197"/>
      <c r="BU75" s="197"/>
      <c r="BV75" s="197"/>
      <c r="BW75" s="197"/>
      <c r="BX75" s="197"/>
      <c r="BY75" s="197"/>
      <c r="BZ75" s="197"/>
      <c r="CA75" s="412"/>
      <c r="CB75" s="412"/>
      <c r="CC75" s="412"/>
      <c r="CD75" s="412"/>
      <c r="CE75" s="412"/>
      <c r="CF75" s="382"/>
      <c r="CG75" s="382"/>
      <c r="CH75" s="382"/>
      <c r="CI75" s="382"/>
      <c r="CJ75" s="382"/>
      <c r="CK75" s="382"/>
      <c r="CL75" s="382"/>
      <c r="CM75" s="382"/>
      <c r="CN75" s="382"/>
      <c r="CO75" s="382"/>
      <c r="CP75" s="382"/>
      <c r="CQ75" s="382"/>
      <c r="CR75" s="382"/>
      <c r="CS75" s="382"/>
      <c r="CT75" s="382"/>
      <c r="CU75" s="382"/>
      <c r="CV75" s="382"/>
      <c r="CW75" s="382"/>
    </row>
    <row r="76" spans="1:101" s="1401" customFormat="1">
      <c r="A76" s="761"/>
      <c r="B76" s="740"/>
      <c r="C76" s="740"/>
      <c r="D76" s="740"/>
      <c r="E76" s="740"/>
      <c r="F76" s="740"/>
      <c r="G76" s="740"/>
      <c r="H76" s="742"/>
      <c r="I76" s="742"/>
      <c r="J76" s="742"/>
      <c r="K76" s="742"/>
      <c r="L76" s="742"/>
      <c r="M76" s="749"/>
      <c r="N76" s="737"/>
      <c r="O76" s="737"/>
      <c r="P76" s="737"/>
      <c r="Q76" s="737"/>
      <c r="R76" s="737"/>
      <c r="S76" s="737"/>
      <c r="T76" s="737"/>
      <c r="U76" s="737"/>
      <c r="V76" s="747"/>
      <c r="W76" s="737"/>
      <c r="X76" s="737"/>
      <c r="Y76" s="742"/>
      <c r="Z76" s="740"/>
      <c r="AA76" s="742"/>
      <c r="AB76" s="742"/>
      <c r="AC76" s="742"/>
      <c r="AD76" s="742"/>
      <c r="AE76" s="742"/>
      <c r="AF76" s="742"/>
      <c r="AG76" s="742"/>
      <c r="AH76" s="742"/>
      <c r="AI76" s="742"/>
      <c r="AJ76" s="742"/>
      <c r="AK76" s="742"/>
      <c r="AL76" s="197"/>
      <c r="AM76" s="197"/>
      <c r="AN76" s="197"/>
      <c r="AO76" s="197"/>
      <c r="AP76" s="197"/>
      <c r="AQ76" s="197"/>
      <c r="AR76" s="197"/>
      <c r="AS76" s="197"/>
      <c r="AT76" s="197"/>
      <c r="AU76" s="197"/>
      <c r="AV76" s="197"/>
      <c r="AW76" s="197"/>
      <c r="AX76" s="735"/>
      <c r="AY76" s="735"/>
      <c r="AZ76" s="197"/>
      <c r="BA76" s="197"/>
      <c r="BB76" s="197"/>
      <c r="BC76" s="197"/>
      <c r="BD76" s="197"/>
      <c r="BE76" s="197"/>
      <c r="BF76" s="197"/>
      <c r="BG76" s="735"/>
      <c r="BH76" s="735"/>
      <c r="BI76" s="735"/>
      <c r="BJ76" s="735"/>
      <c r="BK76" s="735"/>
      <c r="BL76" s="735"/>
      <c r="BM76" s="735"/>
      <c r="BN76" s="735"/>
      <c r="BO76" s="735"/>
      <c r="BP76" s="465"/>
      <c r="BQ76" s="197"/>
      <c r="BR76" s="197"/>
      <c r="BS76" s="197"/>
      <c r="BT76" s="197"/>
      <c r="BU76" s="197"/>
      <c r="BV76" s="197"/>
      <c r="BW76" s="197"/>
      <c r="BX76" s="197"/>
      <c r="BY76" s="197"/>
      <c r="BZ76" s="197"/>
      <c r="CA76" s="412"/>
      <c r="CB76" s="412"/>
      <c r="CC76" s="412"/>
      <c r="CD76" s="412"/>
      <c r="CE76" s="412"/>
      <c r="CF76" s="412"/>
      <c r="CG76" s="382"/>
      <c r="CH76" s="382"/>
      <c r="CI76" s="382"/>
      <c r="CJ76" s="382"/>
      <c r="CK76" s="382"/>
      <c r="CL76" s="382"/>
      <c r="CM76" s="382"/>
      <c r="CN76" s="382"/>
      <c r="CO76" s="382"/>
      <c r="CP76" s="382"/>
      <c r="CQ76" s="382"/>
      <c r="CR76" s="382"/>
      <c r="CS76" s="382"/>
      <c r="CT76" s="382"/>
      <c r="CU76" s="382"/>
      <c r="CV76" s="382"/>
      <c r="CW76" s="382"/>
    </row>
    <row r="77" spans="1:101">
      <c r="A77" s="2058" t="s">
        <v>1007</v>
      </c>
      <c r="B77" s="740"/>
      <c r="C77" s="740"/>
      <c r="D77" s="740"/>
      <c r="E77" s="740"/>
      <c r="F77" s="740"/>
      <c r="G77" s="740"/>
      <c r="H77" s="742"/>
      <c r="I77" s="742"/>
      <c r="J77" s="742"/>
      <c r="K77" s="742"/>
      <c r="L77" s="742"/>
      <c r="M77" s="749"/>
      <c r="N77" s="1827">
        <v>3.54</v>
      </c>
      <c r="O77" s="2328">
        <v>0</v>
      </c>
      <c r="P77" s="2328">
        <v>0</v>
      </c>
      <c r="Q77" s="2328">
        <v>0</v>
      </c>
      <c r="R77" s="2328">
        <v>0</v>
      </c>
      <c r="S77" s="2328">
        <v>0</v>
      </c>
      <c r="T77" s="2328">
        <v>0</v>
      </c>
      <c r="U77" s="2328">
        <v>0</v>
      </c>
      <c r="V77" s="747"/>
      <c r="W77" s="737"/>
      <c r="X77" s="737"/>
      <c r="Y77" s="742"/>
      <c r="Z77" s="740"/>
      <c r="AA77" s="742"/>
      <c r="AB77" s="742"/>
      <c r="AC77" s="742"/>
      <c r="AD77" s="742"/>
      <c r="AE77" s="742"/>
      <c r="AF77" s="742"/>
      <c r="AG77" s="742"/>
      <c r="AH77" s="742"/>
      <c r="AI77" s="742"/>
      <c r="AJ77" s="742"/>
      <c r="AK77" s="742"/>
      <c r="AL77" s="197"/>
      <c r="AM77" s="197"/>
      <c r="AN77" s="197"/>
      <c r="AO77" s="197"/>
      <c r="AP77" s="197"/>
      <c r="AQ77" s="197"/>
      <c r="AR77" s="197"/>
      <c r="AS77" s="197"/>
      <c r="AT77" s="197"/>
      <c r="AU77" s="197"/>
      <c r="AV77" s="197"/>
      <c r="AW77" s="197"/>
      <c r="AX77" s="735"/>
      <c r="AY77" s="735"/>
      <c r="AZ77" s="197"/>
      <c r="BA77" s="197"/>
      <c r="BB77" s="197"/>
      <c r="BC77" s="197"/>
      <c r="BD77" s="197"/>
      <c r="BE77" s="197"/>
      <c r="BF77" s="197"/>
      <c r="BG77" s="735"/>
      <c r="BH77" s="735"/>
      <c r="BI77" s="735"/>
      <c r="BJ77" s="735"/>
      <c r="BK77" s="735"/>
      <c r="BL77" s="735"/>
      <c r="BM77" s="735"/>
      <c r="BN77" s="735"/>
      <c r="BO77" s="735"/>
      <c r="BP77" s="465"/>
      <c r="BQ77" s="197"/>
      <c r="BR77" s="197"/>
      <c r="BS77" s="197"/>
      <c r="BT77" s="197"/>
      <c r="BU77" s="197"/>
      <c r="BV77" s="197"/>
      <c r="BW77" s="735"/>
      <c r="BX77" s="412"/>
      <c r="BY77" s="412"/>
      <c r="BZ77" s="412"/>
      <c r="CA77" s="412"/>
      <c r="CB77" s="412"/>
      <c r="CC77" s="412"/>
      <c r="CD77" s="412"/>
      <c r="CE77" s="412"/>
      <c r="CF77" s="412"/>
      <c r="CG77" s="382"/>
      <c r="CH77" s="382"/>
      <c r="CI77" s="382"/>
      <c r="CJ77" s="382"/>
      <c r="CK77" s="382"/>
      <c r="CL77" s="382"/>
      <c r="CM77" s="382"/>
      <c r="CN77" s="382"/>
      <c r="CO77" s="382"/>
      <c r="CP77" s="382"/>
      <c r="CQ77" s="382"/>
      <c r="CR77" s="382"/>
      <c r="CS77" s="382"/>
      <c r="CT77" s="382"/>
      <c r="CU77" s="382"/>
      <c r="CV77" s="382"/>
      <c r="CW77" s="382"/>
    </row>
    <row r="78" spans="1:101">
      <c r="A78" s="2058" t="s">
        <v>1008</v>
      </c>
      <c r="B78" s="740"/>
      <c r="C78" s="740"/>
      <c r="D78" s="740"/>
      <c r="E78" s="740"/>
      <c r="F78" s="740"/>
      <c r="G78" s="740"/>
      <c r="H78" s="742"/>
      <c r="I78" s="742"/>
      <c r="J78" s="742"/>
      <c r="K78" s="742"/>
      <c r="L78" s="742"/>
      <c r="M78" s="749"/>
      <c r="N78" s="1678">
        <v>0.95</v>
      </c>
      <c r="O78" s="2258"/>
      <c r="P78" s="2258"/>
      <c r="Q78" s="2258"/>
      <c r="R78" s="2258"/>
      <c r="S78" s="2258"/>
      <c r="T78" s="2258"/>
      <c r="U78" s="2258"/>
      <c r="V78" s="747"/>
      <c r="W78" s="737"/>
      <c r="X78" s="737"/>
      <c r="Y78" s="742"/>
      <c r="Z78" s="740"/>
      <c r="AA78" s="742"/>
      <c r="AB78" s="742"/>
      <c r="AC78" s="742"/>
      <c r="AD78" s="742"/>
      <c r="AE78" s="742"/>
      <c r="AF78" s="742"/>
      <c r="AG78" s="742"/>
      <c r="AH78" s="742"/>
      <c r="AI78" s="742"/>
      <c r="AJ78" s="742"/>
      <c r="AK78" s="742"/>
      <c r="AL78" s="197"/>
      <c r="AM78" s="197"/>
      <c r="AN78" s="197"/>
      <c r="AO78" s="197"/>
      <c r="AP78" s="197"/>
      <c r="AQ78" s="197"/>
      <c r="AR78" s="197"/>
      <c r="AS78" s="197"/>
      <c r="AT78" s="197"/>
      <c r="AU78" s="197"/>
      <c r="AV78" s="197"/>
      <c r="AW78" s="197"/>
      <c r="AX78" s="735"/>
      <c r="AY78" s="735"/>
      <c r="AZ78" s="197"/>
      <c r="BA78" s="197"/>
      <c r="BB78" s="197"/>
      <c r="BC78" s="197"/>
      <c r="BD78" s="197"/>
      <c r="BE78" s="197"/>
      <c r="BF78" s="197"/>
      <c r="BG78" s="735"/>
      <c r="BH78" s="735"/>
      <c r="BI78" s="735"/>
      <c r="BJ78" s="735"/>
      <c r="BK78" s="735"/>
      <c r="BL78" s="735"/>
      <c r="BM78" s="735"/>
      <c r="BN78" s="735"/>
      <c r="BO78" s="735"/>
      <c r="BP78" s="465"/>
      <c r="BQ78" s="197"/>
      <c r="BR78" s="197"/>
      <c r="BS78" s="197"/>
      <c r="BT78" s="197"/>
      <c r="BU78" s="197"/>
      <c r="BV78" s="197"/>
      <c r="BW78" s="735"/>
      <c r="BX78" s="412"/>
      <c r="BY78" s="412"/>
      <c r="BZ78" s="412"/>
      <c r="CA78" s="412"/>
      <c r="CB78" s="412"/>
      <c r="CC78" s="412"/>
      <c r="CD78" s="412"/>
      <c r="CE78" s="412"/>
      <c r="CF78" s="412"/>
      <c r="CG78" s="382"/>
      <c r="CH78" s="382"/>
      <c r="CI78" s="382"/>
      <c r="CJ78" s="382"/>
      <c r="CK78" s="382"/>
      <c r="CL78" s="382"/>
      <c r="CM78" s="382"/>
      <c r="CN78" s="382"/>
      <c r="CO78" s="382"/>
      <c r="CP78" s="382"/>
      <c r="CQ78" s="382"/>
      <c r="CR78" s="382"/>
      <c r="CS78" s="382"/>
      <c r="CT78" s="382"/>
      <c r="CU78" s="382"/>
      <c r="CV78" s="382"/>
      <c r="CW78" s="382"/>
    </row>
    <row r="79" spans="1:101">
      <c r="A79" s="761" t="s">
        <v>1009</v>
      </c>
      <c r="B79" s="933"/>
      <c r="C79" s="933"/>
      <c r="D79" s="933"/>
      <c r="E79" s="933"/>
      <c r="F79" s="933"/>
      <c r="G79" s="933"/>
      <c r="H79" s="933"/>
      <c r="I79" s="933"/>
      <c r="J79" s="933"/>
      <c r="K79" s="933"/>
      <c r="L79" s="933"/>
      <c r="M79" s="749"/>
      <c r="N79" s="932">
        <f>(N77*N78)+(1-N78)*Inputs!P155</f>
        <v>3.5193750000000001</v>
      </c>
      <c r="O79" s="932">
        <f>(O77*O78)+(1-O78)*Inputs!Q155</f>
        <v>3.2249999999999996</v>
      </c>
      <c r="P79" s="932">
        <f>(P77*P78)+(1-P78)*Inputs!R155</f>
        <v>3.3</v>
      </c>
      <c r="Q79" s="932">
        <f>(Q77*Q78)+(1-Q78)*Inputs!S155</f>
        <v>3.3</v>
      </c>
      <c r="R79" s="932">
        <f>(R77*R78)+(1-R78)*Inputs!T155</f>
        <v>3.3</v>
      </c>
      <c r="S79" s="932">
        <f>(S77*S78)+(1-S78)*Inputs!U155</f>
        <v>3.3</v>
      </c>
      <c r="T79" s="932">
        <f>(T77*T78)+(1-T78)*Inputs!V155</f>
        <v>3.3</v>
      </c>
      <c r="U79" s="932">
        <f>(U77*U78)+(1-U78)*Inputs!W155</f>
        <v>3.3</v>
      </c>
      <c r="V79" s="747"/>
      <c r="W79" s="737"/>
      <c r="X79" s="737"/>
      <c r="Y79" s="742"/>
      <c r="Z79" s="740"/>
      <c r="AA79" s="742"/>
      <c r="AB79" s="742"/>
      <c r="AC79" s="742"/>
      <c r="AD79" s="742"/>
      <c r="AE79" s="742"/>
      <c r="AF79" s="742"/>
      <c r="AG79" s="742"/>
      <c r="AH79" s="742"/>
      <c r="AI79" s="742"/>
      <c r="AJ79" s="742"/>
      <c r="AK79" s="742"/>
      <c r="AL79" s="197"/>
      <c r="AM79" s="197"/>
      <c r="AN79" s="197"/>
      <c r="AO79" s="197"/>
      <c r="AP79" s="197"/>
      <c r="AQ79" s="197"/>
      <c r="AR79" s="197"/>
      <c r="AS79" s="197"/>
      <c r="AT79" s="197"/>
      <c r="AU79" s="197"/>
      <c r="AV79" s="197"/>
      <c r="AW79" s="197"/>
      <c r="AX79" s="735"/>
      <c r="AY79" s="735"/>
      <c r="AZ79" s="197"/>
      <c r="BA79" s="197"/>
      <c r="BB79" s="197"/>
      <c r="BC79" s="197"/>
      <c r="BD79" s="197"/>
      <c r="BE79" s="197"/>
      <c r="BF79" s="197"/>
      <c r="BG79" s="735"/>
      <c r="BH79" s="735"/>
      <c r="BI79" s="735"/>
      <c r="BJ79" s="735"/>
      <c r="BK79" s="735"/>
      <c r="BL79" s="735"/>
      <c r="BM79" s="735"/>
      <c r="BN79" s="735"/>
      <c r="BO79" s="735"/>
      <c r="BP79" s="465"/>
      <c r="BQ79" s="197"/>
      <c r="BR79" s="197"/>
      <c r="BS79" s="197"/>
      <c r="BT79" s="197"/>
      <c r="BU79" s="197"/>
      <c r="BV79" s="197"/>
      <c r="BW79" s="735"/>
      <c r="BX79" s="412"/>
      <c r="BY79" s="412"/>
      <c r="BZ79" s="412"/>
      <c r="CA79" s="412"/>
      <c r="CB79" s="412"/>
      <c r="CC79" s="412"/>
      <c r="CD79" s="412"/>
      <c r="CE79" s="412"/>
      <c r="CF79" s="412"/>
      <c r="CG79" s="382"/>
      <c r="CH79" s="382"/>
      <c r="CI79" s="382"/>
      <c r="CJ79" s="382"/>
      <c r="CK79" s="382"/>
      <c r="CL79" s="382"/>
      <c r="CM79" s="382"/>
      <c r="CN79" s="382"/>
      <c r="CO79" s="382"/>
      <c r="CP79" s="382"/>
      <c r="CQ79" s="382"/>
      <c r="CR79" s="382"/>
      <c r="CS79" s="382"/>
      <c r="CT79" s="382"/>
      <c r="CU79" s="382"/>
      <c r="CV79" s="382"/>
      <c r="CW79" s="382"/>
    </row>
    <row r="80" spans="1:101">
      <c r="A80" s="761"/>
      <c r="B80" s="740"/>
      <c r="C80" s="740"/>
      <c r="D80" s="740"/>
      <c r="E80" s="740"/>
      <c r="F80" s="740"/>
      <c r="G80" s="740"/>
      <c r="H80" s="742"/>
      <c r="I80" s="742"/>
      <c r="J80" s="742"/>
      <c r="K80" s="742"/>
      <c r="L80" s="742"/>
      <c r="M80" s="391"/>
      <c r="N80" s="737"/>
      <c r="O80" s="737"/>
      <c r="P80" s="737"/>
      <c r="Q80" s="737"/>
      <c r="R80" s="737"/>
      <c r="S80" s="737"/>
      <c r="T80" s="737"/>
      <c r="U80" s="737"/>
      <c r="V80" s="747"/>
      <c r="W80" s="737"/>
      <c r="X80" s="737"/>
      <c r="Y80" s="742"/>
      <c r="Z80" s="740"/>
      <c r="AA80" s="742"/>
      <c r="AB80" s="742"/>
      <c r="AC80" s="742"/>
      <c r="AD80" s="742"/>
      <c r="AE80" s="742"/>
      <c r="AF80" s="742"/>
      <c r="AG80" s="742"/>
      <c r="AH80" s="742"/>
      <c r="AI80" s="742"/>
      <c r="AJ80" s="742"/>
      <c r="AK80" s="742"/>
      <c r="AL80" s="197"/>
      <c r="AM80" s="197"/>
      <c r="AN80" s="197"/>
      <c r="AO80" s="197"/>
      <c r="AP80" s="197"/>
      <c r="AQ80" s="197"/>
      <c r="AR80" s="197"/>
      <c r="AS80" s="197"/>
      <c r="AT80" s="197"/>
      <c r="AU80" s="197"/>
      <c r="AV80" s="197"/>
      <c r="AW80" s="197"/>
      <c r="AX80" s="735"/>
      <c r="AY80" s="735"/>
      <c r="AZ80" s="197"/>
      <c r="BA80" s="197"/>
      <c r="BB80" s="197"/>
      <c r="BC80" s="197"/>
      <c r="BD80" s="197"/>
      <c r="BE80" s="197"/>
      <c r="BF80" s="197"/>
      <c r="BG80" s="735"/>
      <c r="BH80" s="735"/>
      <c r="BI80" s="735"/>
      <c r="BJ80" s="735"/>
      <c r="BK80" s="735"/>
      <c r="BL80" s="735"/>
      <c r="BM80" s="735"/>
      <c r="BN80" s="735"/>
      <c r="BO80" s="735"/>
      <c r="BP80" s="465"/>
      <c r="BQ80" s="197"/>
      <c r="BR80" s="197"/>
      <c r="BS80" s="197"/>
      <c r="BT80" s="197"/>
      <c r="BU80" s="197"/>
      <c r="BV80" s="197"/>
      <c r="BW80" s="735"/>
      <c r="BX80" s="412"/>
      <c r="BY80" s="412"/>
      <c r="BZ80" s="412"/>
      <c r="CA80" s="412"/>
      <c r="CB80" s="412"/>
      <c r="CC80" s="412"/>
      <c r="CD80" s="412"/>
      <c r="CE80" s="412"/>
      <c r="CF80" s="412"/>
      <c r="CG80" s="382"/>
      <c r="CH80" s="382"/>
      <c r="CI80" s="382"/>
      <c r="CJ80" s="382"/>
      <c r="CK80" s="382"/>
      <c r="CL80" s="382"/>
      <c r="CM80" s="382"/>
      <c r="CN80" s="382"/>
      <c r="CO80" s="382"/>
      <c r="CP80" s="382"/>
      <c r="CQ80" s="382"/>
      <c r="CR80" s="382"/>
      <c r="CS80" s="382"/>
      <c r="CT80" s="382"/>
      <c r="CU80" s="382"/>
      <c r="CV80" s="382"/>
      <c r="CW80" s="382"/>
    </row>
    <row r="81" spans="1:99">
      <c r="A81" s="2059" t="s">
        <v>882</v>
      </c>
      <c r="B81" s="390">
        <f>'Annual historicals'!G67</f>
        <v>549.87709759784548</v>
      </c>
      <c r="C81" s="390">
        <f>'Annual historicals'!H67</f>
        <v>624.90574295252998</v>
      </c>
      <c r="D81" s="390">
        <f>'Annual historicals'!I67</f>
        <v>452.08478127006822</v>
      </c>
      <c r="E81" s="390">
        <f>'Annual historicals'!J67</f>
        <v>548.48455829542741</v>
      </c>
      <c r="F81" s="390">
        <f>'Annual historicals'!K67</f>
        <v>711.1921338707707</v>
      </c>
      <c r="G81" s="390">
        <f>'Annual historicals'!L67</f>
        <v>839.72135852666827</v>
      </c>
      <c r="H81" s="390">
        <f>'Annual historicals'!M67</f>
        <v>928.64219961240303</v>
      </c>
      <c r="I81" s="390">
        <f>'Annual historicals'!N67</f>
        <v>973.49518541282532</v>
      </c>
      <c r="J81" s="390">
        <f>'Annual historicals'!O67</f>
        <v>892.12469733656167</v>
      </c>
      <c r="K81" s="390">
        <f>'Annual historicals'!P67</f>
        <v>925.27992523999671</v>
      </c>
      <c r="L81" s="390">
        <f>'Annual historicals'!Q67</f>
        <v>1048.068276436303</v>
      </c>
      <c r="M81" s="391">
        <f>'Annual historicals'!R67</f>
        <v>1251.9068280429321</v>
      </c>
      <c r="N81" s="392">
        <f t="shared" ref="N81:U81" si="216">N105*1000/N53</f>
        <v>1407.8772144231391</v>
      </c>
      <c r="O81" s="392">
        <f t="shared" si="216"/>
        <v>1203.2894278945732</v>
      </c>
      <c r="P81" s="392">
        <f t="shared" si="216"/>
        <v>1245.1088064177579</v>
      </c>
      <c r="Q81" s="392">
        <f t="shared" si="216"/>
        <v>1490.2861498423542</v>
      </c>
      <c r="R81" s="392">
        <f t="shared" si="216"/>
        <v>1586.8475041008783</v>
      </c>
      <c r="S81" s="392">
        <f>S105*1000/S53</f>
        <v>1327.0967708404357</v>
      </c>
      <c r="T81" s="392">
        <f t="shared" si="216"/>
        <v>1148.2717115571372</v>
      </c>
      <c r="U81" s="392">
        <f t="shared" si="216"/>
        <v>1309.6939589258038</v>
      </c>
      <c r="V81" s="747"/>
      <c r="W81" s="348"/>
      <c r="X81" s="2121">
        <f t="shared" ref="X81:BC81" si="217">X105*1000/X53</f>
        <v>530.86401491058086</v>
      </c>
      <c r="Y81" s="2121">
        <f t="shared" si="217"/>
        <v>747.76834194865557</v>
      </c>
      <c r="Z81" s="390">
        <f t="shared" si="217"/>
        <v>581.3303756107797</v>
      </c>
      <c r="AA81" s="390">
        <f t="shared" si="217"/>
        <v>541.71727847801742</v>
      </c>
      <c r="AB81" s="390">
        <f t="shared" si="217"/>
        <v>467.79859484777529</v>
      </c>
      <c r="AC81" s="390">
        <f t="shared" si="217"/>
        <v>453.39606679723255</v>
      </c>
      <c r="AD81" s="390">
        <f t="shared" si="217"/>
        <v>402.51149435731548</v>
      </c>
      <c r="AE81" s="390">
        <f t="shared" si="217"/>
        <v>468.74823272151463</v>
      </c>
      <c r="AF81" s="390">
        <f t="shared" si="217"/>
        <v>400.9277481023334</v>
      </c>
      <c r="AG81" s="390">
        <f t="shared" si="217"/>
        <v>404.64459724056286</v>
      </c>
      <c r="AH81" s="390">
        <f t="shared" si="217"/>
        <v>587.89928057553959</v>
      </c>
      <c r="AI81" s="390">
        <f t="shared" si="217"/>
        <v>665.3413353338334</v>
      </c>
      <c r="AJ81" s="390">
        <f t="shared" si="217"/>
        <v>608.66434378629503</v>
      </c>
      <c r="AK81" s="390">
        <f t="shared" si="217"/>
        <v>601.74846625766872</v>
      </c>
      <c r="AL81" s="390">
        <f t="shared" si="217"/>
        <v>731.32917964693672</v>
      </c>
      <c r="AM81" s="390">
        <f t="shared" si="217"/>
        <v>882.88435976960579</v>
      </c>
      <c r="AN81" s="390">
        <f t="shared" si="217"/>
        <v>815.84827586206893</v>
      </c>
      <c r="AO81" s="390">
        <f t="shared" si="217"/>
        <v>790.14444444444439</v>
      </c>
      <c r="AP81" s="390">
        <f t="shared" si="217"/>
        <v>855.7279443720123</v>
      </c>
      <c r="AQ81" s="390">
        <f t="shared" si="217"/>
        <v>966.12658227848101</v>
      </c>
      <c r="AR81" s="390">
        <f t="shared" si="217"/>
        <v>899.0154968094804</v>
      </c>
      <c r="AS81" s="390">
        <f t="shared" si="217"/>
        <v>916.88403361344535</v>
      </c>
      <c r="AT81" s="390">
        <f t="shared" si="217"/>
        <v>963.25757575757575</v>
      </c>
      <c r="AU81" s="390">
        <f t="shared" si="217"/>
        <v>956.19133574007208</v>
      </c>
      <c r="AV81" s="390">
        <f t="shared" si="217"/>
        <v>1071.9338235294117</v>
      </c>
      <c r="AW81" s="390">
        <f t="shared" si="217"/>
        <v>983.59005311443741</v>
      </c>
      <c r="AX81" s="390">
        <f t="shared" si="217"/>
        <v>947.60207015526157</v>
      </c>
      <c r="AY81" s="390">
        <f t="shared" si="217"/>
        <v>920.93539437177958</v>
      </c>
      <c r="AZ81" s="390">
        <f t="shared" si="217"/>
        <v>892.09112149532689</v>
      </c>
      <c r="BA81" s="390">
        <f t="shared" si="217"/>
        <v>911.24038165589423</v>
      </c>
      <c r="BB81" s="390">
        <f t="shared" si="217"/>
        <v>912.65086206896558</v>
      </c>
      <c r="BC81" s="390">
        <f t="shared" si="217"/>
        <v>847.41402411790989</v>
      </c>
      <c r="BD81" s="390">
        <f t="shared" ref="BD81:CI81" si="218">BD105*1000/BD53</f>
        <v>871.58614792646426</v>
      </c>
      <c r="BE81" s="390">
        <f t="shared" si="218"/>
        <v>868.80347826086961</v>
      </c>
      <c r="BF81" s="390">
        <f t="shared" si="218"/>
        <v>899.80429292929284</v>
      </c>
      <c r="BG81" s="390">
        <f t="shared" si="218"/>
        <v>1022.2514015933906</v>
      </c>
      <c r="BH81" s="390">
        <f t="shared" si="218"/>
        <v>962.20907297830388</v>
      </c>
      <c r="BI81" s="390">
        <f t="shared" si="218"/>
        <v>1038.499820981024</v>
      </c>
      <c r="BJ81" s="390">
        <f t="shared" si="218"/>
        <v>1070.2975021049676</v>
      </c>
      <c r="BK81" s="390">
        <f t="shared" si="218"/>
        <v>1081.6050744622173</v>
      </c>
      <c r="BL81" s="390">
        <f t="shared" si="218"/>
        <v>1177.1801883925857</v>
      </c>
      <c r="BM81" s="390">
        <f t="shared" si="218"/>
        <v>1181.0354306658521</v>
      </c>
      <c r="BN81" s="390">
        <f t="shared" si="218"/>
        <v>1227.6958362738178</v>
      </c>
      <c r="BO81" s="390">
        <f t="shared" si="218"/>
        <v>1398.1273408239699</v>
      </c>
      <c r="BP81" s="391">
        <f t="shared" si="218"/>
        <v>1485.6263440860216</v>
      </c>
      <c r="BQ81" s="392">
        <f t="shared" si="218"/>
        <v>1408.3313146170381</v>
      </c>
      <c r="BR81" s="392">
        <f t="shared" si="218"/>
        <v>1407.1027539009983</v>
      </c>
      <c r="BS81" s="392">
        <f t="shared" si="218"/>
        <v>1337.1077796109391</v>
      </c>
      <c r="BT81" s="392">
        <f t="shared" si="218"/>
        <v>1203.5551625608605</v>
      </c>
      <c r="BU81" s="392">
        <f t="shared" si="218"/>
        <v>1203.6775398385169</v>
      </c>
      <c r="BV81" s="392">
        <f t="shared" si="218"/>
        <v>1202.6275092634123</v>
      </c>
      <c r="BW81" s="392">
        <f t="shared" si="218"/>
        <v>1202.8433325041178</v>
      </c>
      <c r="BX81" s="392">
        <f t="shared" si="218"/>
        <v>1245.383776483558</v>
      </c>
      <c r="BY81" s="392">
        <f t="shared" si="218"/>
        <v>1245.5104068873356</v>
      </c>
      <c r="BZ81" s="392">
        <f t="shared" si="218"/>
        <v>1244.4238833247059</v>
      </c>
      <c r="CA81" s="392">
        <f t="shared" si="218"/>
        <v>1244.6472073325479</v>
      </c>
      <c r="CB81" s="392">
        <f t="shared" si="218"/>
        <v>1490.6152649193427</v>
      </c>
      <c r="CC81" s="392">
        <f t="shared" si="218"/>
        <v>1490.7668304178167</v>
      </c>
      <c r="CD81" s="392">
        <f t="shared" si="218"/>
        <v>1489.4663569101851</v>
      </c>
      <c r="CE81" s="392">
        <f t="shared" si="218"/>
        <v>1489.7336561808186</v>
      </c>
      <c r="CF81" s="392">
        <f t="shared" si="218"/>
        <v>1587.2379505236511</v>
      </c>
      <c r="CG81" s="392">
        <f t="shared" si="218"/>
        <v>1587.4177605987056</v>
      </c>
      <c r="CH81" s="392">
        <f t="shared" si="218"/>
        <v>1585.8749408846656</v>
      </c>
      <c r="CI81" s="392">
        <f t="shared" si="218"/>
        <v>1586.1920519844775</v>
      </c>
      <c r="CJ81" s="392">
        <f t="shared" ref="CJ81:CU81" si="219">CJ105*1000/CJ53</f>
        <v>1327.4564722899215</v>
      </c>
      <c r="CK81" s="392">
        <f t="shared" si="219"/>
        <v>1327.6221235569251</v>
      </c>
      <c r="CL81" s="392">
        <f t="shared" si="219"/>
        <v>1326.2007902956436</v>
      </c>
      <c r="CM81" s="392">
        <f t="shared" si="219"/>
        <v>1326.4929310750094</v>
      </c>
      <c r="CN81" s="392">
        <f t="shared" si="219"/>
        <v>1148.6113930112581</v>
      </c>
      <c r="CO81" s="392">
        <f t="shared" si="219"/>
        <v>1148.767824583422</v>
      </c>
      <c r="CP81" s="392">
        <f t="shared" si="219"/>
        <v>1147.4255988301682</v>
      </c>
      <c r="CQ81" s="392">
        <f t="shared" si="219"/>
        <v>1147.7014798556277</v>
      </c>
      <c r="CR81" s="392">
        <f t="shared" si="219"/>
        <v>1310.1135613880729</v>
      </c>
      <c r="CS81" s="392">
        <f t="shared" si="219"/>
        <v>1310.3067985285181</v>
      </c>
      <c r="CT81" s="392">
        <f t="shared" si="219"/>
        <v>1308.6487709142527</v>
      </c>
      <c r="CU81" s="392">
        <f t="shared" si="219"/>
        <v>1308.989561841081</v>
      </c>
    </row>
    <row r="82" spans="1:99">
      <c r="A82" s="2060" t="s">
        <v>879</v>
      </c>
      <c r="B82" s="202">
        <f>'Annual historicals'!G68</f>
        <v>569.35259981877425</v>
      </c>
      <c r="C82" s="202">
        <f>'Annual historicals'!H68</f>
        <v>657.5547602731034</v>
      </c>
      <c r="D82" s="202">
        <f>'Annual historicals'!I68</f>
        <v>425.742129160194</v>
      </c>
      <c r="E82" s="202">
        <f>'Annual historicals'!J68</f>
        <v>497.57446808510639</v>
      </c>
      <c r="F82" s="202">
        <f>'Annual historicals'!K68</f>
        <v>782.66881028938906</v>
      </c>
      <c r="G82" s="202">
        <f>'Annual historicals'!L68</f>
        <v>948.32155477031802</v>
      </c>
      <c r="H82" s="202">
        <f>'Annual historicals'!M68</f>
        <v>986.0229132569558</v>
      </c>
      <c r="I82" s="202">
        <f>'Annual historicals'!N68</f>
        <v>923.91629297458883</v>
      </c>
      <c r="J82" s="202">
        <f>'Annual historicals'!O68</f>
        <v>914.94334277620408</v>
      </c>
      <c r="K82" s="202">
        <f>'Annual historicals'!P68</f>
        <v>816.03501544799178</v>
      </c>
      <c r="L82" s="202">
        <f>'Annual historicals'!Q68</f>
        <v>1053.9175257731958</v>
      </c>
      <c r="M82" s="355">
        <f>'Annual historicals'!R68</f>
        <v>1175.1125635439362</v>
      </c>
      <c r="N82" s="614">
        <f>((N75/Inputs!$B$193)*N79)</f>
        <v>1356.0138015029509</v>
      </c>
      <c r="O82" s="614">
        <f>((O75/Inputs!$B$193)*O79)</f>
        <v>1158.9626245184961</v>
      </c>
      <c r="P82" s="614">
        <f>((P75/Inputs!$B$193)*P79)</f>
        <v>1199.2414598222906</v>
      </c>
      <c r="Q82" s="614">
        <f>((Q75/Inputs!$B$193)*Q79)</f>
        <v>1435.3869546805229</v>
      </c>
      <c r="R82" s="614">
        <f>((R75/Inputs!$B$193)*R79)</f>
        <v>1521.7177186161334</v>
      </c>
      <c r="S82" s="614">
        <f>((S75/Inputs!$B$193)*S79)</f>
        <v>1267.09550849775</v>
      </c>
      <c r="T82" s="614">
        <f>((T75/Inputs!$B$193)*T79)</f>
        <v>1091.6099547841313</v>
      </c>
      <c r="U82" s="614">
        <f>((U75/Inputs!$B$193)*U79)</f>
        <v>1239.7006979749679</v>
      </c>
      <c r="V82" s="414"/>
      <c r="W82" s="348"/>
      <c r="X82" s="746"/>
      <c r="Y82" s="348"/>
      <c r="Z82" s="386"/>
      <c r="AA82" s="386"/>
      <c r="AB82" s="386"/>
      <c r="AC82" s="386"/>
      <c r="AD82" s="386"/>
      <c r="AE82" s="386"/>
      <c r="AF82" s="386"/>
      <c r="AG82" s="386"/>
      <c r="AH82" s="386"/>
      <c r="AI82" s="386"/>
      <c r="AJ82" s="386"/>
      <c r="AK82" s="386"/>
      <c r="AL82" s="386"/>
      <c r="AM82" s="386"/>
      <c r="AN82" s="386"/>
      <c r="AO82" s="386"/>
      <c r="AP82" s="386"/>
      <c r="AQ82" s="386"/>
      <c r="AR82" s="386"/>
      <c r="AS82" s="386"/>
      <c r="AT82" s="386"/>
      <c r="AU82" s="386"/>
      <c r="AV82" s="386"/>
      <c r="AW82" s="386"/>
      <c r="AX82" s="386"/>
      <c r="AY82" s="386"/>
      <c r="AZ82" s="386"/>
      <c r="BA82" s="386"/>
      <c r="BB82" s="386"/>
      <c r="BC82" s="386"/>
      <c r="BD82" s="386"/>
      <c r="BE82" s="386"/>
      <c r="BF82" s="386"/>
      <c r="BI82" s="106"/>
      <c r="BJ82" s="106"/>
      <c r="BK82" s="106"/>
      <c r="BL82" s="106"/>
      <c r="BM82" s="106"/>
      <c r="BN82" s="106"/>
      <c r="BO82" s="106"/>
      <c r="BP82" s="381"/>
      <c r="BQ82" s="382"/>
      <c r="BR82" s="382"/>
      <c r="BS82" s="382"/>
      <c r="BT82" s="382"/>
      <c r="BU82" s="382"/>
      <c r="BV82" s="382"/>
      <c r="BW82" s="382"/>
      <c r="BX82" s="382"/>
      <c r="BY82" s="382"/>
      <c r="BZ82" s="382"/>
      <c r="CA82" s="382"/>
      <c r="CB82" s="382"/>
      <c r="CC82" s="382"/>
      <c r="CD82" s="382"/>
      <c r="CE82" s="382"/>
      <c r="CF82" s="382"/>
      <c r="CG82" s="382"/>
      <c r="CH82" s="382"/>
      <c r="CI82" s="382"/>
      <c r="CJ82" s="382"/>
      <c r="CK82" s="382"/>
      <c r="CL82" s="382"/>
      <c r="CM82" s="382"/>
      <c r="CN82" s="382"/>
      <c r="CO82" s="382"/>
      <c r="CP82" s="382"/>
      <c r="CQ82" s="382"/>
      <c r="CR82" s="382"/>
      <c r="CS82" s="382"/>
      <c r="CT82" s="382"/>
      <c r="CU82" s="382"/>
    </row>
    <row r="83" spans="1:99">
      <c r="A83" s="2060" t="s">
        <v>880</v>
      </c>
      <c r="B83" s="202">
        <f>'Annual historicals'!G69</f>
        <v>540.3086016310989</v>
      </c>
      <c r="C83" s="202">
        <f>'Annual historicals'!H69</f>
        <v>611.48812864167292</v>
      </c>
      <c r="D83" s="202">
        <f>'Annual historicals'!I69</f>
        <v>465.08904045410384</v>
      </c>
      <c r="E83" s="202">
        <f>'Annual historicals'!J69</f>
        <v>554.93930401942271</v>
      </c>
      <c r="F83" s="202">
        <f>'Annual historicals'!K69</f>
        <v>705.31526768010576</v>
      </c>
      <c r="G83" s="202">
        <f>'Annual historicals'!L69</f>
        <v>831.83683940482297</v>
      </c>
      <c r="H83" s="202">
        <f>'Annual historicals'!M69</f>
        <v>924.05624591236096</v>
      </c>
      <c r="I83" s="202">
        <f>'Annual historicals'!N69</f>
        <v>977.14285714285722</v>
      </c>
      <c r="J83" s="202">
        <f>'Annual historicals'!O69</f>
        <v>890.37475559417771</v>
      </c>
      <c r="K83" s="202">
        <f>'Annual historicals'!P69</f>
        <v>935.10185185185185</v>
      </c>
      <c r="L83" s="202">
        <f>'Annual historicals'!Q69</f>
        <v>1047.554347826087</v>
      </c>
      <c r="M83" s="355">
        <f>'Annual historicals'!R69</f>
        <v>1260.8988095238096</v>
      </c>
      <c r="N83" s="614">
        <f>((N75/Inputs!$B$193)*(1+N84)*N79)</f>
        <v>1412.9663811660748</v>
      </c>
      <c r="O83" s="614">
        <f>((O75/Inputs!$B$193)*(1+O84)*O79)</f>
        <v>1207.6390547482731</v>
      </c>
      <c r="P83" s="614">
        <f>((P75/Inputs!$B$193)*(1+P84)*P79)</f>
        <v>1249.609601134827</v>
      </c>
      <c r="Q83" s="614">
        <f>((Q75/Inputs!$B$193)*(1+Q84)*Q79)</f>
        <v>1495.673206777105</v>
      </c>
      <c r="R83" s="614">
        <f>((R75/Inputs!$B$193)*(1+R84)*R79)</f>
        <v>1593.2384513910918</v>
      </c>
      <c r="S83" s="614">
        <f>((S75/Inputs!$B$193)*(1+S84)*S79)</f>
        <v>1332.9844749396332</v>
      </c>
      <c r="T83" s="614">
        <f>((T75/Inputs!$B$193)*(1+T84)*T79)</f>
        <v>1153.8317222068267</v>
      </c>
      <c r="U83" s="614">
        <f>((U75/Inputs!$B$193)*(1+U84)*U79)</f>
        <v>1316.5621412494158</v>
      </c>
      <c r="V83" s="414"/>
      <c r="W83" s="348"/>
      <c r="X83" s="746"/>
      <c r="Y83" s="348"/>
      <c r="Z83" s="386"/>
      <c r="AA83" s="386"/>
      <c r="AB83" s="386"/>
      <c r="AC83" s="386"/>
      <c r="AD83" s="386"/>
      <c r="AE83" s="386"/>
      <c r="AF83" s="386"/>
      <c r="AG83" s="386"/>
      <c r="AH83" s="386"/>
      <c r="AI83" s="386"/>
      <c r="AJ83" s="386"/>
      <c r="AK83" s="386"/>
      <c r="AL83" s="386"/>
      <c r="AM83" s="386"/>
      <c r="AN83" s="386"/>
      <c r="AO83" s="386"/>
      <c r="AP83" s="386"/>
      <c r="AQ83" s="386"/>
      <c r="AR83" s="386"/>
      <c r="AS83" s="386"/>
      <c r="AT83" s="386"/>
      <c r="AU83" s="386"/>
      <c r="AV83" s="386"/>
      <c r="AW83" s="386"/>
      <c r="AX83" s="386"/>
      <c r="AY83" s="386"/>
      <c r="AZ83" s="386"/>
      <c r="BA83" s="386"/>
      <c r="BB83" s="386"/>
      <c r="BC83" s="386"/>
      <c r="BD83" s="386"/>
      <c r="BE83" s="386"/>
      <c r="BF83" s="386"/>
      <c r="BI83" s="106"/>
      <c r="BJ83" s="106"/>
      <c r="BK83" s="106"/>
      <c r="BL83" s="106"/>
      <c r="BM83" s="106"/>
      <c r="BN83" s="106"/>
      <c r="BO83" s="106"/>
      <c r="BP83" s="381"/>
      <c r="BQ83" s="382"/>
      <c r="BR83" s="382"/>
      <c r="BS83" s="382"/>
      <c r="BT83" s="382"/>
      <c r="BU83" s="382"/>
      <c r="BV83" s="382"/>
      <c r="BW83" s="382"/>
      <c r="BX83" s="382"/>
      <c r="BY83" s="382"/>
      <c r="BZ83" s="382"/>
      <c r="CA83" s="382"/>
      <c r="CB83" s="382"/>
      <c r="CC83" s="382"/>
      <c r="CD83" s="382"/>
      <c r="CE83" s="382"/>
      <c r="CF83" s="382"/>
      <c r="CG83" s="382"/>
      <c r="CH83" s="382"/>
      <c r="CI83" s="382"/>
      <c r="CJ83" s="382"/>
      <c r="CK83" s="382"/>
      <c r="CL83" s="382"/>
      <c r="CM83" s="382"/>
      <c r="CN83" s="382"/>
      <c r="CO83" s="382"/>
      <c r="CP83" s="382"/>
      <c r="CQ83" s="382"/>
      <c r="CR83" s="382"/>
      <c r="CS83" s="382"/>
      <c r="CT83" s="382"/>
      <c r="CU83" s="382"/>
    </row>
    <row r="84" spans="1:99">
      <c r="A84" s="2072" t="s">
        <v>881</v>
      </c>
      <c r="B84" s="488">
        <f t="shared" ref="B84:L84" si="220">B83/B82-1</f>
        <v>-5.101232206003814E-2</v>
      </c>
      <c r="C84" s="488">
        <f t="shared" si="220"/>
        <v>-7.0057483292034206E-2</v>
      </c>
      <c r="D84" s="488">
        <f t="shared" si="220"/>
        <v>9.2419585939320426E-2</v>
      </c>
      <c r="E84" s="488">
        <f t="shared" si="220"/>
        <v>0.11528894590408223</v>
      </c>
      <c r="F84" s="488">
        <f t="shared" si="220"/>
        <v>-9.8833046101175381E-2</v>
      </c>
      <c r="G84" s="488">
        <f t="shared" si="220"/>
        <v>-0.12283250842453697</v>
      </c>
      <c r="H84" s="488">
        <f t="shared" si="220"/>
        <v>-6.2845058174065382E-2</v>
      </c>
      <c r="I84" s="488">
        <f t="shared" si="220"/>
        <v>5.7609725656967425E-2</v>
      </c>
      <c r="J84" s="488">
        <f t="shared" si="220"/>
        <v>-2.6852577677081269E-2</v>
      </c>
      <c r="K84" s="488">
        <f t="shared" si="220"/>
        <v>0.14590897957790938</v>
      </c>
      <c r="L84" s="488">
        <f t="shared" si="220"/>
        <v>-6.0376431660917884E-3</v>
      </c>
      <c r="M84" s="759">
        <f t="shared" ref="M84" si="221">M83/M82-1</f>
        <v>7.3002577490242304E-2</v>
      </c>
      <c r="N84" s="1667">
        <f>+Inputs!P34</f>
        <v>4.2000000000000003E-2</v>
      </c>
      <c r="O84" s="1667">
        <f>+Inputs!Q34</f>
        <v>4.2000000000000003E-2</v>
      </c>
      <c r="P84" s="1667">
        <f>+Inputs!R34</f>
        <v>4.2000000000000003E-2</v>
      </c>
      <c r="Q84" s="1667">
        <f>+Inputs!S34</f>
        <v>4.2000000000000003E-2</v>
      </c>
      <c r="R84" s="1667">
        <f>+Inputs!T34</f>
        <v>4.7E-2</v>
      </c>
      <c r="S84" s="1667">
        <f>+Inputs!U34</f>
        <v>5.1999999999999998E-2</v>
      </c>
      <c r="T84" s="1667">
        <f>+Inputs!V34</f>
        <v>5.6999999999999995E-2</v>
      </c>
      <c r="U84" s="1667">
        <f>+Inputs!W34</f>
        <v>6.1999999999999993E-2</v>
      </c>
      <c r="V84" s="747"/>
      <c r="W84" s="348"/>
      <c r="X84" s="746"/>
      <c r="Y84" s="348"/>
      <c r="Z84" s="386"/>
      <c r="AA84" s="386"/>
      <c r="AB84" s="386"/>
      <c r="AC84" s="386"/>
      <c r="AD84" s="386"/>
      <c r="AE84" s="386"/>
      <c r="AF84" s="386"/>
      <c r="AG84" s="386"/>
      <c r="AH84" s="386"/>
      <c r="AI84" s="386"/>
      <c r="AJ84" s="386"/>
      <c r="AK84" s="386"/>
      <c r="AL84" s="386"/>
      <c r="AM84" s="386"/>
      <c r="AN84" s="386"/>
      <c r="AO84" s="386"/>
      <c r="AP84" s="386"/>
      <c r="AQ84" s="386"/>
      <c r="AR84" s="386"/>
      <c r="AS84" s="386"/>
      <c r="AT84" s="386"/>
      <c r="AU84" s="386"/>
      <c r="AV84" s="386"/>
      <c r="AW84" s="386"/>
      <c r="AX84" s="386"/>
      <c r="AY84" s="386"/>
      <c r="AZ84" s="386"/>
      <c r="BA84" s="386"/>
      <c r="BB84" s="386"/>
      <c r="BC84" s="386"/>
      <c r="BD84" s="386"/>
      <c r="BE84" s="386"/>
      <c r="BF84" s="386"/>
      <c r="BI84" s="106"/>
      <c r="BJ84" s="106"/>
      <c r="BK84" s="106"/>
      <c r="BL84" s="106"/>
      <c r="BM84" s="106"/>
      <c r="BN84" s="106"/>
      <c r="BO84" s="106"/>
      <c r="BP84" s="381"/>
      <c r="BQ84" s="382"/>
      <c r="BR84" s="382"/>
      <c r="BS84" s="382"/>
      <c r="BT84" s="382"/>
      <c r="BU84" s="382"/>
      <c r="BV84" s="382"/>
      <c r="BW84" s="382"/>
      <c r="BX84" s="382"/>
      <c r="BY84" s="382"/>
      <c r="BZ84" s="382"/>
      <c r="CA84" s="382"/>
      <c r="CB84" s="382"/>
      <c r="CC84" s="382"/>
      <c r="CD84" s="382"/>
      <c r="CE84" s="382"/>
      <c r="CF84" s="382"/>
      <c r="CG84" s="382"/>
      <c r="CH84" s="382"/>
      <c r="CI84" s="382"/>
      <c r="CJ84" s="382"/>
      <c r="CK84" s="382"/>
      <c r="CL84" s="382"/>
      <c r="CM84" s="382"/>
      <c r="CN84" s="382"/>
      <c r="CO84" s="382"/>
      <c r="CP84" s="382"/>
      <c r="CQ84" s="382"/>
      <c r="CR84" s="382"/>
      <c r="CS84" s="382"/>
      <c r="CT84" s="382"/>
      <c r="CU84" s="382"/>
    </row>
    <row r="85" spans="1:99" s="61" customFormat="1">
      <c r="A85" s="2071" t="s">
        <v>1020</v>
      </c>
      <c r="B85" s="754"/>
      <c r="C85" s="343">
        <f t="shared" ref="C85" si="222">C81/B81-1</f>
        <v>0.13644620894823478</v>
      </c>
      <c r="D85" s="343">
        <f t="shared" ref="D85" si="223">D81/C81-1</f>
        <v>-0.27655524634151085</v>
      </c>
      <c r="E85" s="343">
        <f t="shared" ref="E85" si="224">E81/D81-1</f>
        <v>0.21323384687831703</v>
      </c>
      <c r="F85" s="343">
        <f t="shared" ref="F85" si="225">F81/E81-1</f>
        <v>0.29664932788810616</v>
      </c>
      <c r="G85" s="343">
        <f t="shared" ref="G85" si="226">G81/F81-1</f>
        <v>0.18072363083708165</v>
      </c>
      <c r="H85" s="343">
        <f t="shared" ref="H85" si="227">H81/G81-1</f>
        <v>0.10589327064605181</v>
      </c>
      <c r="I85" s="343">
        <f t="shared" ref="I85" si="228">I81/H81-1</f>
        <v>4.8299534329953042E-2</v>
      </c>
      <c r="J85" s="343">
        <f t="shared" ref="J85" si="229">J81/I81-1</f>
        <v>-8.3585917316845615E-2</v>
      </c>
      <c r="K85" s="343">
        <f t="shared" ref="K85" si="230">K81/J81-1</f>
        <v>3.7164342610870316E-2</v>
      </c>
      <c r="L85" s="343">
        <f t="shared" ref="L85:M85" si="231">L81/K81-1</f>
        <v>0.13270400432005247</v>
      </c>
      <c r="M85" s="781">
        <f t="shared" si="231"/>
        <v>0.19448976387276184</v>
      </c>
      <c r="N85" s="1632">
        <f t="shared" ref="N85:U85" si="232">N81/M81-1</f>
        <v>0.12458625744859209</v>
      </c>
      <c r="O85" s="1632">
        <f t="shared" si="232"/>
        <v>-0.14531649808139924</v>
      </c>
      <c r="P85" s="1632">
        <f t="shared" si="232"/>
        <v>3.4754214201280886E-2</v>
      </c>
      <c r="Q85" s="1632">
        <f t="shared" si="232"/>
        <v>0.19691238401082733</v>
      </c>
      <c r="R85" s="1632">
        <f t="shared" si="232"/>
        <v>6.4793834572466791E-2</v>
      </c>
      <c r="S85" s="1632">
        <f t="shared" si="232"/>
        <v>-0.16368978908759069</v>
      </c>
      <c r="T85" s="1632">
        <f t="shared" si="232"/>
        <v>-0.13474907272214265</v>
      </c>
      <c r="U85" s="1632">
        <f t="shared" si="232"/>
        <v>0.14057844127307351</v>
      </c>
      <c r="V85" s="755"/>
      <c r="W85" s="754"/>
      <c r="X85" s="754"/>
      <c r="Y85" s="754"/>
      <c r="Z85" s="760"/>
      <c r="AA85" s="760"/>
      <c r="AB85" s="760"/>
      <c r="AC85" s="760"/>
      <c r="AD85" s="760"/>
      <c r="AE85" s="760"/>
      <c r="AF85" s="760"/>
      <c r="AG85" s="760"/>
      <c r="AH85" s="760"/>
      <c r="AI85" s="760"/>
      <c r="AJ85" s="760"/>
      <c r="AK85" s="760"/>
      <c r="AL85" s="760"/>
      <c r="AM85" s="760"/>
      <c r="AN85" s="760"/>
      <c r="AO85" s="760"/>
      <c r="AP85" s="760"/>
      <c r="AQ85" s="760"/>
      <c r="AR85" s="760"/>
      <c r="AS85" s="760"/>
      <c r="AT85" s="760"/>
      <c r="AU85" s="760"/>
      <c r="AV85" s="760"/>
      <c r="AW85" s="760"/>
      <c r="AX85" s="760"/>
      <c r="AY85" s="760"/>
      <c r="AZ85" s="760"/>
      <c r="BA85" s="760"/>
      <c r="BB85" s="760"/>
      <c r="BC85" s="760"/>
      <c r="BD85" s="760"/>
      <c r="BE85" s="760"/>
      <c r="BF85" s="760"/>
      <c r="BG85" s="939"/>
      <c r="BH85" s="939"/>
      <c r="BI85" s="939"/>
      <c r="BJ85" s="939"/>
      <c r="BK85" s="939"/>
      <c r="BL85" s="939"/>
      <c r="BM85" s="939"/>
      <c r="BN85" s="939"/>
      <c r="BO85" s="939"/>
      <c r="BP85" s="962"/>
      <c r="BQ85" s="1609"/>
      <c r="BR85" s="1609"/>
      <c r="BS85" s="1609"/>
      <c r="BT85" s="1609"/>
      <c r="BU85" s="1609"/>
      <c r="BV85" s="1609"/>
      <c r="BW85" s="1609"/>
      <c r="BX85" s="1609"/>
      <c r="BY85" s="1609"/>
      <c r="BZ85" s="1609"/>
      <c r="CA85" s="1609"/>
      <c r="CB85" s="1609"/>
      <c r="CC85" s="1609"/>
      <c r="CD85" s="1609"/>
      <c r="CE85" s="1609"/>
      <c r="CF85" s="1609"/>
      <c r="CG85" s="1609"/>
      <c r="CH85" s="1609"/>
      <c r="CI85" s="1609"/>
      <c r="CJ85" s="1609"/>
      <c r="CK85" s="1609"/>
      <c r="CL85" s="1609"/>
      <c r="CM85" s="1609"/>
      <c r="CN85" s="1609"/>
      <c r="CO85" s="1609"/>
      <c r="CP85" s="1609"/>
      <c r="CQ85" s="1609"/>
      <c r="CR85" s="1609"/>
      <c r="CS85" s="1609"/>
      <c r="CT85" s="1609"/>
      <c r="CU85" s="1609"/>
    </row>
    <row r="86" spans="1:99">
      <c r="A86" s="2256" t="s">
        <v>53</v>
      </c>
      <c r="B86" s="370">
        <f t="shared" ref="B86:U86" si="233">(B105*1000/B53)-B81</f>
        <v>0</v>
      </c>
      <c r="C86" s="370">
        <f t="shared" si="233"/>
        <v>0</v>
      </c>
      <c r="D86" s="370">
        <f t="shared" si="233"/>
        <v>0</v>
      </c>
      <c r="E86" s="370">
        <f t="shared" si="233"/>
        <v>0</v>
      </c>
      <c r="F86" s="370">
        <f t="shared" si="233"/>
        <v>0</v>
      </c>
      <c r="G86" s="370">
        <f t="shared" si="233"/>
        <v>0</v>
      </c>
      <c r="H86" s="370">
        <f t="shared" si="233"/>
        <v>0</v>
      </c>
      <c r="I86" s="370">
        <f t="shared" si="233"/>
        <v>0</v>
      </c>
      <c r="J86" s="370">
        <f t="shared" si="233"/>
        <v>0</v>
      </c>
      <c r="K86" s="370">
        <f t="shared" si="233"/>
        <v>0</v>
      </c>
      <c r="L86" s="370">
        <f t="shared" si="233"/>
        <v>0</v>
      </c>
      <c r="M86" s="2257">
        <f t="shared" si="233"/>
        <v>0</v>
      </c>
      <c r="N86" s="370">
        <f t="shared" si="233"/>
        <v>0</v>
      </c>
      <c r="O86" s="370">
        <f t="shared" si="233"/>
        <v>0</v>
      </c>
      <c r="P86" s="370">
        <f t="shared" si="233"/>
        <v>0</v>
      </c>
      <c r="Q86" s="370">
        <f t="shared" si="233"/>
        <v>0</v>
      </c>
      <c r="R86" s="370">
        <f t="shared" si="233"/>
        <v>0</v>
      </c>
      <c r="S86" s="370">
        <f t="shared" si="233"/>
        <v>0</v>
      </c>
      <c r="T86" s="370">
        <f t="shared" si="233"/>
        <v>0</v>
      </c>
      <c r="U86" s="370">
        <f t="shared" si="233"/>
        <v>0</v>
      </c>
      <c r="V86" s="414"/>
      <c r="W86" s="348"/>
      <c r="X86" s="746"/>
      <c r="Y86" s="348"/>
      <c r="Z86" s="386"/>
      <c r="AA86" s="386"/>
      <c r="AB86" s="386"/>
      <c r="AC86" s="386"/>
      <c r="AD86" s="386"/>
      <c r="AE86" s="386"/>
      <c r="AF86" s="386"/>
      <c r="AG86" s="386"/>
      <c r="AH86" s="386"/>
      <c r="AI86" s="386"/>
      <c r="AJ86" s="386"/>
      <c r="AK86" s="386"/>
      <c r="AL86" s="386"/>
      <c r="AM86" s="386"/>
      <c r="AN86" s="386"/>
      <c r="AO86" s="386"/>
      <c r="AP86" s="386"/>
      <c r="AQ86" s="386"/>
      <c r="AR86" s="386"/>
      <c r="AS86" s="386"/>
      <c r="AT86" s="386"/>
      <c r="AU86" s="386"/>
      <c r="AV86" s="386"/>
      <c r="AW86" s="386"/>
      <c r="AX86" s="386"/>
      <c r="AY86" s="386"/>
      <c r="AZ86" s="386"/>
      <c r="BA86" s="386"/>
      <c r="BB86" s="386"/>
      <c r="BC86" s="386"/>
      <c r="BD86" s="386"/>
      <c r="BE86" s="386"/>
      <c r="BF86" s="386"/>
      <c r="BI86" s="106"/>
      <c r="BJ86" s="106"/>
      <c r="BK86" s="106"/>
      <c r="BL86" s="106"/>
      <c r="BM86" s="106"/>
      <c r="BN86" s="106"/>
      <c r="BO86" s="106"/>
      <c r="BP86" s="381"/>
      <c r="BQ86" s="382"/>
      <c r="BR86" s="382"/>
      <c r="BS86" s="382"/>
      <c r="BT86" s="382"/>
      <c r="BU86" s="382"/>
      <c r="BV86" s="382"/>
      <c r="BW86" s="382"/>
      <c r="BX86" s="382"/>
      <c r="BY86" s="382"/>
      <c r="BZ86" s="382"/>
      <c r="CA86" s="382"/>
      <c r="CB86" s="382"/>
      <c r="CC86" s="382"/>
      <c r="CD86" s="382"/>
      <c r="CE86" s="382"/>
      <c r="CF86" s="382"/>
      <c r="CG86" s="382"/>
      <c r="CH86" s="382"/>
      <c r="CI86" s="382"/>
      <c r="CJ86" s="382"/>
      <c r="CK86" s="382"/>
      <c r="CL86" s="382"/>
      <c r="CM86" s="382"/>
      <c r="CN86" s="382"/>
      <c r="CO86" s="382"/>
      <c r="CP86" s="382"/>
      <c r="CQ86" s="382"/>
      <c r="CR86" s="382"/>
      <c r="CS86" s="382"/>
      <c r="CT86" s="382"/>
      <c r="CU86" s="382"/>
    </row>
    <row r="87" spans="1:99">
      <c r="A87" s="761" t="s">
        <v>1143</v>
      </c>
      <c r="B87" s="390">
        <f>'Annual historicals'!G70</f>
        <v>850.76573527607229</v>
      </c>
      <c r="C87" s="390">
        <f>'Annual historicals'!H70</f>
        <v>916.0210009941004</v>
      </c>
      <c r="D87" s="390">
        <f>'Annual historicals'!I70</f>
        <v>749.30788867466026</v>
      </c>
      <c r="E87" s="390">
        <f>'Annual historicals'!J70</f>
        <v>769.57647434872933</v>
      </c>
      <c r="F87" s="390">
        <f>'Annual historicals'!K70</f>
        <v>857.95536593370525</v>
      </c>
      <c r="G87" s="390">
        <f>'Annual historicals'!L70</f>
        <v>994.76608745464966</v>
      </c>
      <c r="H87" s="390">
        <f>'Annual historicals'!M70</f>
        <v>1258.2710513203785</v>
      </c>
      <c r="I87" s="390">
        <f>'Annual historicals'!N70</f>
        <v>1211.548358473824</v>
      </c>
      <c r="J87" s="390">
        <f>'Annual historicals'!O70</f>
        <v>1317.1515815847165</v>
      </c>
      <c r="K87" s="390">
        <f>'Annual historicals'!P70</f>
        <v>1349.1070927950659</v>
      </c>
      <c r="L87" s="390">
        <f>'Annual historicals'!Q70</f>
        <v>1637.3106918238993</v>
      </c>
      <c r="M87" s="391">
        <f>'Annual historicals'!R70</f>
        <v>1773.8788659793813</v>
      </c>
      <c r="N87" s="392">
        <f t="shared" ref="N87:U87" si="234">N108*1000/N56</f>
        <v>1691.3685141076389</v>
      </c>
      <c r="O87" s="392">
        <f t="shared" si="234"/>
        <v>1841.1499524966634</v>
      </c>
      <c r="P87" s="392">
        <f t="shared" si="234"/>
        <v>1970.8083998555833</v>
      </c>
      <c r="Q87" s="392">
        <f t="shared" si="234"/>
        <v>2045.2427213153921</v>
      </c>
      <c r="R87" s="392">
        <f t="shared" si="234"/>
        <v>2094.3285466269617</v>
      </c>
      <c r="S87" s="392">
        <f t="shared" si="234"/>
        <v>2144.5924317460085</v>
      </c>
      <c r="T87" s="392">
        <f t="shared" si="234"/>
        <v>2196.0626501079128</v>
      </c>
      <c r="U87" s="392">
        <f t="shared" si="234"/>
        <v>2343.940671516048</v>
      </c>
      <c r="V87" s="747"/>
      <c r="W87" s="746"/>
      <c r="X87" s="390">
        <f t="shared" ref="X87:BC87" si="235">X108*1000/X56</f>
        <v>814.27056214444144</v>
      </c>
      <c r="Y87" s="390">
        <f t="shared" si="235"/>
        <v>955.86163444962665</v>
      </c>
      <c r="Z87" s="390">
        <f t="shared" si="235"/>
        <v>842.63086469631514</v>
      </c>
      <c r="AA87" s="390">
        <f t="shared" si="235"/>
        <v>868.84348352826066</v>
      </c>
      <c r="AB87" s="390">
        <f t="shared" si="235"/>
        <v>774.7569983614012</v>
      </c>
      <c r="AC87" s="390">
        <f t="shared" si="235"/>
        <v>673.51857213280232</v>
      </c>
      <c r="AD87" s="390">
        <f t="shared" si="235"/>
        <v>733.11971141853905</v>
      </c>
      <c r="AE87" s="390">
        <f t="shared" si="235"/>
        <v>793.7395310989109</v>
      </c>
      <c r="AF87" s="390">
        <f t="shared" si="235"/>
        <v>721.75162285835927</v>
      </c>
      <c r="AG87" s="390">
        <f t="shared" si="235"/>
        <v>755.9787112361256</v>
      </c>
      <c r="AH87" s="390">
        <f t="shared" si="235"/>
        <v>782.60697827518106</v>
      </c>
      <c r="AI87" s="390">
        <f t="shared" si="235"/>
        <v>792.32023010546493</v>
      </c>
      <c r="AJ87" s="390">
        <f t="shared" si="235"/>
        <v>637.78805120910386</v>
      </c>
      <c r="AK87" s="390">
        <f t="shared" si="235"/>
        <v>749.32518906340897</v>
      </c>
      <c r="AL87" s="390">
        <f t="shared" si="235"/>
        <v>949.57109283196235</v>
      </c>
      <c r="AM87" s="390">
        <f t="shared" si="235"/>
        <v>1126.6061562746647</v>
      </c>
      <c r="AN87" s="390">
        <f t="shared" si="235"/>
        <v>777.47349823321565</v>
      </c>
      <c r="AO87" s="390">
        <f t="shared" si="235"/>
        <v>883.78546099290782</v>
      </c>
      <c r="AP87" s="390">
        <f t="shared" si="235"/>
        <v>1059.7610294117646</v>
      </c>
      <c r="AQ87" s="390">
        <f t="shared" si="235"/>
        <v>1191.1887072808322</v>
      </c>
      <c r="AR87" s="390">
        <f t="shared" si="235"/>
        <v>1340.5084745762713</v>
      </c>
      <c r="AS87" s="390">
        <f t="shared" si="235"/>
        <v>1189.5026881720432</v>
      </c>
      <c r="AT87" s="390">
        <f t="shared" si="235"/>
        <v>1300.9318715740017</v>
      </c>
      <c r="AU87" s="390">
        <f t="shared" si="235"/>
        <v>1195.1668092386651</v>
      </c>
      <c r="AV87" s="390">
        <f t="shared" si="235"/>
        <v>1220.0342075256558</v>
      </c>
      <c r="AW87" s="390">
        <f t="shared" si="235"/>
        <v>1157.0300333704115</v>
      </c>
      <c r="AX87" s="390">
        <f t="shared" si="235"/>
        <v>1198.840104849279</v>
      </c>
      <c r="AY87" s="390">
        <f t="shared" si="235"/>
        <v>1261.0604805302401</v>
      </c>
      <c r="AZ87" s="390">
        <f t="shared" si="235"/>
        <v>1290.1111761263896</v>
      </c>
      <c r="BA87" s="390">
        <f t="shared" si="235"/>
        <v>1286.920903954802</v>
      </c>
      <c r="BB87" s="390">
        <f t="shared" si="235"/>
        <v>1263.2633158289577</v>
      </c>
      <c r="BC87" s="390">
        <f t="shared" si="235"/>
        <v>1426.1372299872935</v>
      </c>
      <c r="BD87" s="390">
        <f t="shared" ref="BD87:CI87" si="236">BD108*1000/BD56</f>
        <v>1438.1727962638645</v>
      </c>
      <c r="BE87" s="390">
        <f t="shared" si="236"/>
        <v>1267.8388554216867</v>
      </c>
      <c r="BF87" s="390">
        <f t="shared" si="236"/>
        <v>1298.2398452611217</v>
      </c>
      <c r="BG87" s="390">
        <f t="shared" si="236"/>
        <v>1377.7821470703893</v>
      </c>
      <c r="BH87" s="390">
        <f t="shared" si="236"/>
        <v>1351.8462697814621</v>
      </c>
      <c r="BI87" s="390">
        <f t="shared" si="236"/>
        <v>1421.2828947368423</v>
      </c>
      <c r="BJ87" s="390">
        <f t="shared" si="236"/>
        <v>1675.8772293654083</v>
      </c>
      <c r="BK87" s="390">
        <f t="shared" si="236"/>
        <v>1994.0959232613909</v>
      </c>
      <c r="BL87" s="390">
        <f t="shared" si="236"/>
        <v>1617.3687500000001</v>
      </c>
      <c r="BM87" s="390">
        <f t="shared" si="236"/>
        <v>1633.4643995749202</v>
      </c>
      <c r="BN87" s="390">
        <f t="shared" si="236"/>
        <v>1992.4445740956828</v>
      </c>
      <c r="BO87" s="390">
        <f t="shared" si="236"/>
        <v>1851.1682504192288</v>
      </c>
      <c r="BP87" s="391">
        <f t="shared" si="236"/>
        <v>1602.7272727272725</v>
      </c>
      <c r="BQ87" s="392">
        <f t="shared" si="236"/>
        <v>1693.4261010425971</v>
      </c>
      <c r="BR87" s="392">
        <f t="shared" si="236"/>
        <v>1680.9140248840508</v>
      </c>
      <c r="BS87" s="392">
        <f t="shared" si="236"/>
        <v>1747.1454111187877</v>
      </c>
      <c r="BT87" s="392">
        <f t="shared" si="236"/>
        <v>1851.0618396371667</v>
      </c>
      <c r="BU87" s="392">
        <f t="shared" si="236"/>
        <v>1843.3897518401875</v>
      </c>
      <c r="BV87" s="392">
        <f t="shared" si="236"/>
        <v>1829.7696517657248</v>
      </c>
      <c r="BW87" s="392">
        <f t="shared" si="236"/>
        <v>1843.3495835916415</v>
      </c>
      <c r="BX87" s="392">
        <f t="shared" si="236"/>
        <v>1981.4183072172489</v>
      </c>
      <c r="BY87" s="392">
        <f t="shared" si="236"/>
        <v>1973.2059315472429</v>
      </c>
      <c r="BZ87" s="392">
        <f t="shared" si="236"/>
        <v>1958.6266694957051</v>
      </c>
      <c r="CA87" s="392">
        <f t="shared" si="236"/>
        <v>1973.1629345488002</v>
      </c>
      <c r="CB87" s="392">
        <f t="shared" si="236"/>
        <v>2056.2533481256223</v>
      </c>
      <c r="CC87" s="392">
        <f t="shared" si="236"/>
        <v>2047.730803993469</v>
      </c>
      <c r="CD87" s="392">
        <f t="shared" si="236"/>
        <v>2032.6009062341323</v>
      </c>
      <c r="CE87" s="392">
        <f t="shared" si="236"/>
        <v>2047.6861830662845</v>
      </c>
      <c r="CF87" s="392">
        <f t="shared" si="236"/>
        <v>2105.6034284806374</v>
      </c>
      <c r="CG87" s="392">
        <f t="shared" si="236"/>
        <v>2096.8763432893124</v>
      </c>
      <c r="CH87" s="392">
        <f t="shared" si="236"/>
        <v>2081.3833279837518</v>
      </c>
      <c r="CI87" s="392">
        <f t="shared" si="236"/>
        <v>2096.8306514598767</v>
      </c>
      <c r="CJ87" s="392">
        <f t="shared" ref="CJ87:CU87" si="237">CJ108*1000/CJ56</f>
        <v>2156.1379107641724</v>
      </c>
      <c r="CK87" s="392">
        <f t="shared" si="237"/>
        <v>2147.201375528256</v>
      </c>
      <c r="CL87" s="392">
        <f t="shared" si="237"/>
        <v>2131.3365278553615</v>
      </c>
      <c r="CM87" s="392">
        <f t="shared" si="237"/>
        <v>2147.1545870949126</v>
      </c>
      <c r="CN87" s="392">
        <f t="shared" si="237"/>
        <v>2207.8852206225133</v>
      </c>
      <c r="CO87" s="392">
        <f t="shared" si="237"/>
        <v>2198.7342085409346</v>
      </c>
      <c r="CP87" s="392">
        <f t="shared" si="237"/>
        <v>2182.4886045238909</v>
      </c>
      <c r="CQ87" s="392">
        <f t="shared" si="237"/>
        <v>2198.686297185192</v>
      </c>
      <c r="CR87" s="392">
        <f t="shared" si="237"/>
        <v>2356.5593478865408</v>
      </c>
      <c r="CS87" s="392">
        <f t="shared" si="237"/>
        <v>2346.7921268090849</v>
      </c>
      <c r="CT87" s="392">
        <f t="shared" si="237"/>
        <v>2329.4525796030789</v>
      </c>
      <c r="CU87" s="392">
        <f t="shared" si="237"/>
        <v>2346.7409892081837</v>
      </c>
    </row>
    <row r="88" spans="1:99" s="1401" customFormat="1">
      <c r="A88" s="761" t="s">
        <v>1499</v>
      </c>
      <c r="B88" s="390">
        <f t="shared" ref="B88:U88" si="238">+(B109+B110)*1000/(B57+B58)</f>
        <v>885.84200604430521</v>
      </c>
      <c r="C88" s="390">
        <f t="shared" si="238"/>
        <v>989.41292785411542</v>
      </c>
      <c r="D88" s="390">
        <f t="shared" si="238"/>
        <v>798.29748521671331</v>
      </c>
      <c r="E88" s="390">
        <f t="shared" si="238"/>
        <v>833.1146847228099</v>
      </c>
      <c r="F88" s="390">
        <f t="shared" si="238"/>
        <v>941.09700815956489</v>
      </c>
      <c r="G88" s="390">
        <f t="shared" si="238"/>
        <v>1071.5209283050144</v>
      </c>
      <c r="H88" s="390">
        <f t="shared" si="238"/>
        <v>1361.3873775843308</v>
      </c>
      <c r="I88" s="390">
        <f t="shared" si="238"/>
        <v>1271.2102146558107</v>
      </c>
      <c r="J88" s="390">
        <f t="shared" si="238"/>
        <v>1367.124419204956</v>
      </c>
      <c r="K88" s="390">
        <f t="shared" si="238"/>
        <v>1420.1949786324788</v>
      </c>
      <c r="L88" s="390">
        <f t="shared" si="238"/>
        <v>1659.9730178497305</v>
      </c>
      <c r="M88" s="391">
        <f t="shared" si="238"/>
        <v>1818.1281257442247</v>
      </c>
      <c r="N88" s="392">
        <f t="shared" si="238"/>
        <v>1760.45550164777</v>
      </c>
      <c r="O88" s="392">
        <f t="shared" si="238"/>
        <v>1916.3550321506148</v>
      </c>
      <c r="P88" s="392">
        <f t="shared" si="238"/>
        <v>2051.3096118795311</v>
      </c>
      <c r="Q88" s="392">
        <f t="shared" si="238"/>
        <v>2128.7843370103074</v>
      </c>
      <c r="R88" s="392">
        <f t="shared" si="238"/>
        <v>2179.8751610985546</v>
      </c>
      <c r="S88" s="392">
        <f t="shared" si="238"/>
        <v>2232.1921649649203</v>
      </c>
      <c r="T88" s="392">
        <f t="shared" si="238"/>
        <v>2285.7647769240784</v>
      </c>
      <c r="U88" s="392">
        <f t="shared" si="238"/>
        <v>2439.683141957667</v>
      </c>
      <c r="V88" s="747"/>
      <c r="W88" s="746"/>
      <c r="X88" s="390">
        <f t="shared" ref="X88:BC88" si="239">+(X109+X110)*1000/(X57+X58)</f>
        <v>983.82188601392602</v>
      </c>
      <c r="Y88" s="390">
        <f t="shared" si="239"/>
        <v>1026.6221738746949</v>
      </c>
      <c r="Z88" s="390">
        <f t="shared" si="239"/>
        <v>933.78743647961937</v>
      </c>
      <c r="AA88" s="390">
        <f t="shared" si="239"/>
        <v>896.93296841739436</v>
      </c>
      <c r="AB88" s="390">
        <f t="shared" si="239"/>
        <v>827.92411518897779</v>
      </c>
      <c r="AC88" s="390">
        <f t="shared" si="239"/>
        <v>728.82838059915275</v>
      </c>
      <c r="AD88" s="390">
        <f t="shared" si="239"/>
        <v>777.17057830955662</v>
      </c>
      <c r="AE88" s="390">
        <f t="shared" si="239"/>
        <v>825.20591430574711</v>
      </c>
      <c r="AF88" s="390">
        <f t="shared" si="239"/>
        <v>791.06436022481239</v>
      </c>
      <c r="AG88" s="390">
        <f t="shared" si="239"/>
        <v>818.31994790536146</v>
      </c>
      <c r="AH88" s="390">
        <f t="shared" si="239"/>
        <v>889.98402555910536</v>
      </c>
      <c r="AI88" s="390">
        <f t="shared" si="239"/>
        <v>822.41252302025782</v>
      </c>
      <c r="AJ88" s="390">
        <f t="shared" si="239"/>
        <v>663.61233480176213</v>
      </c>
      <c r="AK88" s="390">
        <f t="shared" si="239"/>
        <v>791.02564102564099</v>
      </c>
      <c r="AL88" s="390">
        <f t="shared" si="239"/>
        <v>1054.3567753001714</v>
      </c>
      <c r="AM88" s="390">
        <f t="shared" si="239"/>
        <v>1225.1838235294117</v>
      </c>
      <c r="AN88" s="390">
        <f t="shared" si="239"/>
        <v>833.30232558139539</v>
      </c>
      <c r="AO88" s="390">
        <f t="shared" si="239"/>
        <v>930.7677902621723</v>
      </c>
      <c r="AP88" s="390">
        <f t="shared" si="239"/>
        <v>1137.7963737796374</v>
      </c>
      <c r="AQ88" s="390">
        <f t="shared" si="239"/>
        <v>1247.9263301500682</v>
      </c>
      <c r="AR88" s="390">
        <f t="shared" si="239"/>
        <v>1666.4872521246459</v>
      </c>
      <c r="AS88" s="390">
        <f t="shared" si="239"/>
        <v>1308.3385579937305</v>
      </c>
      <c r="AT88" s="390">
        <f t="shared" si="239"/>
        <v>1334.8358208955224</v>
      </c>
      <c r="AU88" s="390">
        <f t="shared" si="239"/>
        <v>1211.7907444668008</v>
      </c>
      <c r="AV88" s="390">
        <f t="shared" si="239"/>
        <v>1247.4751491053678</v>
      </c>
      <c r="AW88" s="390">
        <f t="shared" si="239"/>
        <v>1188.3299798792755</v>
      </c>
      <c r="AX88" s="390">
        <f t="shared" si="239"/>
        <v>1285.5976676384839</v>
      </c>
      <c r="AY88" s="390">
        <f t="shared" si="239"/>
        <v>1326.1869436201778</v>
      </c>
      <c r="AZ88" s="390">
        <f t="shared" si="239"/>
        <v>1317.6561232765609</v>
      </c>
      <c r="BA88" s="390">
        <f t="shared" si="239"/>
        <v>1334.6624087591242</v>
      </c>
      <c r="BB88" s="390">
        <f t="shared" si="239"/>
        <v>1340.8054711246205</v>
      </c>
      <c r="BC88" s="390">
        <f t="shared" si="239"/>
        <v>1495.5129650507326</v>
      </c>
      <c r="BD88" s="390">
        <f t="shared" ref="BD88:CI88" si="240">+(BD109+BD110)*1000/(BD57+BD58)</f>
        <v>1476.8425135764157</v>
      </c>
      <c r="BE88" s="390">
        <f t="shared" si="240"/>
        <v>1344.8998459167949</v>
      </c>
      <c r="BF88" s="390">
        <f t="shared" si="240"/>
        <v>1350.2201622247971</v>
      </c>
      <c r="BG88" s="390">
        <f t="shared" si="240"/>
        <v>1457.0762711864406</v>
      </c>
      <c r="BH88" s="390">
        <f t="shared" si="240"/>
        <v>1391.546511627907</v>
      </c>
      <c r="BI88" s="390">
        <f t="shared" si="240"/>
        <v>1429.9291237113403</v>
      </c>
      <c r="BJ88" s="390">
        <f t="shared" si="240"/>
        <v>1739.6687697160883</v>
      </c>
      <c r="BK88" s="390">
        <f t="shared" si="240"/>
        <v>2085.9262510974536</v>
      </c>
      <c r="BL88" s="390">
        <f t="shared" si="240"/>
        <v>1653.4098360655737</v>
      </c>
      <c r="BM88" s="390">
        <f t="shared" si="240"/>
        <v>1631.2900188323918</v>
      </c>
      <c r="BN88" s="390">
        <f t="shared" si="240"/>
        <v>2067.1338912133892</v>
      </c>
      <c r="BO88" s="390">
        <f t="shared" si="240"/>
        <v>1904.3725335438044</v>
      </c>
      <c r="BP88" s="391">
        <f t="shared" si="240"/>
        <v>1642.5843881856538</v>
      </c>
      <c r="BQ88" s="392">
        <f t="shared" si="240"/>
        <v>1760.4555016477705</v>
      </c>
      <c r="BR88" s="392">
        <f t="shared" si="240"/>
        <v>1760.4555016477702</v>
      </c>
      <c r="BS88" s="392">
        <f t="shared" si="240"/>
        <v>1829.482822201637</v>
      </c>
      <c r="BT88" s="392">
        <f t="shared" si="240"/>
        <v>1916.3550321506148</v>
      </c>
      <c r="BU88" s="392">
        <f t="shared" si="240"/>
        <v>1916.3550321506152</v>
      </c>
      <c r="BV88" s="392">
        <f t="shared" si="240"/>
        <v>1916.3550321506145</v>
      </c>
      <c r="BW88" s="392">
        <f t="shared" si="240"/>
        <v>1916.3550321506145</v>
      </c>
      <c r="BX88" s="392">
        <f t="shared" si="240"/>
        <v>2051.3096118795311</v>
      </c>
      <c r="BY88" s="392">
        <f t="shared" si="240"/>
        <v>2051.3096118795315</v>
      </c>
      <c r="BZ88" s="392">
        <f t="shared" si="240"/>
        <v>2051.3096118795311</v>
      </c>
      <c r="CA88" s="392">
        <f t="shared" si="240"/>
        <v>2051.309611879532</v>
      </c>
      <c r="CB88" s="392">
        <f t="shared" si="240"/>
        <v>2128.7843370103069</v>
      </c>
      <c r="CC88" s="392">
        <f t="shared" si="240"/>
        <v>2128.7843370103074</v>
      </c>
      <c r="CD88" s="392">
        <f t="shared" si="240"/>
        <v>2128.7843370103074</v>
      </c>
      <c r="CE88" s="392">
        <f t="shared" si="240"/>
        <v>2128.7843370103074</v>
      </c>
      <c r="CF88" s="392">
        <f t="shared" si="240"/>
        <v>2179.8751610985551</v>
      </c>
      <c r="CG88" s="392">
        <f t="shared" si="240"/>
        <v>2179.8751610985555</v>
      </c>
      <c r="CH88" s="392">
        <f t="shared" si="240"/>
        <v>2179.8751610985551</v>
      </c>
      <c r="CI88" s="392">
        <f t="shared" si="240"/>
        <v>2179.8751610985546</v>
      </c>
      <c r="CJ88" s="392">
        <f t="shared" ref="CJ88:CU88" si="241">+(CJ109+CJ110)*1000/(CJ57+CJ58)</f>
        <v>2232.1921649649198</v>
      </c>
      <c r="CK88" s="392">
        <f t="shared" si="241"/>
        <v>2232.1921649649198</v>
      </c>
      <c r="CL88" s="392">
        <f t="shared" si="241"/>
        <v>2232.1921649649203</v>
      </c>
      <c r="CM88" s="392">
        <f t="shared" si="241"/>
        <v>2232.1921649649203</v>
      </c>
      <c r="CN88" s="392">
        <f t="shared" si="241"/>
        <v>2285.7647769240789</v>
      </c>
      <c r="CO88" s="392">
        <f t="shared" si="241"/>
        <v>2285.7647769240784</v>
      </c>
      <c r="CP88" s="392">
        <f t="shared" si="241"/>
        <v>2285.7647769240789</v>
      </c>
      <c r="CQ88" s="392">
        <f t="shared" si="241"/>
        <v>2285.7647769240789</v>
      </c>
      <c r="CR88" s="392">
        <f t="shared" si="241"/>
        <v>2439.6831419576674</v>
      </c>
      <c r="CS88" s="392">
        <f t="shared" si="241"/>
        <v>2439.6831419576674</v>
      </c>
      <c r="CT88" s="392">
        <f t="shared" si="241"/>
        <v>2439.683141957667</v>
      </c>
      <c r="CU88" s="392">
        <f t="shared" si="241"/>
        <v>2439.6831419576665</v>
      </c>
    </row>
    <row r="89" spans="1:99">
      <c r="A89" s="157" t="s">
        <v>413</v>
      </c>
      <c r="B89" s="202">
        <f>'Annual historicals'!G71</f>
        <v>903.5510352385819</v>
      </c>
      <c r="C89" s="202">
        <f>'Annual historicals'!H71</f>
        <v>927.91699819595544</v>
      </c>
      <c r="D89" s="202">
        <f>'Annual historicals'!I71</f>
        <v>774.38401796315884</v>
      </c>
      <c r="E89" s="202">
        <f>'Annual historicals'!J71</f>
        <v>834.66169154228851</v>
      </c>
      <c r="F89" s="202">
        <f>'Annual historicals'!K71</f>
        <v>965.17884914463446</v>
      </c>
      <c r="G89" s="202">
        <f>'Annual historicals'!L71</f>
        <v>1083.1258708778448</v>
      </c>
      <c r="H89" s="202">
        <f>'Annual historicals'!M71</f>
        <v>1367.3612750885477</v>
      </c>
      <c r="I89" s="202">
        <f>'Annual historicals'!N71</f>
        <v>1249.0262529832935</v>
      </c>
      <c r="J89" s="202">
        <f>'Annual historicals'!O71</f>
        <v>1364.8528356066042</v>
      </c>
      <c r="K89" s="202">
        <f>'Annual historicals'!P71</f>
        <v>1400.4698795180723</v>
      </c>
      <c r="L89" s="202">
        <f>'Annual historicals'!Q71</f>
        <v>1681.9115044247787</v>
      </c>
      <c r="M89" s="355">
        <f>'Annual historicals'!R71</f>
        <v>1850.5625481633701</v>
      </c>
      <c r="N89" s="485">
        <f>Inputs!P24</f>
        <v>1760.4555016477702</v>
      </c>
      <c r="O89" s="485">
        <f>Inputs!Q24</f>
        <v>1916.3550321506148</v>
      </c>
      <c r="P89" s="485">
        <f>Inputs!R24</f>
        <v>2051.3096118795311</v>
      </c>
      <c r="Q89" s="485">
        <f>Inputs!S24</f>
        <v>2128.7843370103074</v>
      </c>
      <c r="R89" s="485">
        <f>Inputs!T24</f>
        <v>2179.8751610985551</v>
      </c>
      <c r="S89" s="485">
        <f>Inputs!U24</f>
        <v>2232.1921649649203</v>
      </c>
      <c r="T89" s="485">
        <f>Inputs!V24</f>
        <v>2285.7647769240784</v>
      </c>
      <c r="U89" s="485">
        <f>Inputs!W24</f>
        <v>2439.683141957667</v>
      </c>
      <c r="V89" s="747"/>
      <c r="W89" s="746"/>
      <c r="X89" s="202"/>
      <c r="Y89" s="202"/>
      <c r="Z89" s="202"/>
      <c r="AA89" s="202"/>
      <c r="AB89" s="202"/>
      <c r="AC89" s="202"/>
      <c r="AD89" s="202"/>
      <c r="AE89" s="202"/>
      <c r="AF89" s="202"/>
      <c r="AG89" s="202"/>
      <c r="AH89" s="202"/>
      <c r="AI89" s="202"/>
      <c r="AJ89" s="202"/>
      <c r="AK89" s="202"/>
      <c r="AL89" s="202"/>
      <c r="AM89" s="202"/>
      <c r="AN89" s="202"/>
      <c r="AO89" s="202"/>
      <c r="AP89" s="202"/>
      <c r="AQ89" s="202"/>
      <c r="AR89" s="202"/>
      <c r="AS89" s="202"/>
      <c r="AT89" s="202"/>
      <c r="AU89" s="202"/>
      <c r="AV89" s="202"/>
      <c r="AW89" s="202"/>
      <c r="AX89" s="202"/>
      <c r="AY89" s="202"/>
      <c r="AZ89" s="202"/>
      <c r="BA89" s="202"/>
      <c r="BB89" s="202"/>
      <c r="BC89" s="202"/>
      <c r="BD89" s="202"/>
      <c r="BE89" s="202"/>
      <c r="BF89" s="202"/>
      <c r="BG89" s="202"/>
      <c r="BH89" s="202"/>
      <c r="BI89" s="202"/>
      <c r="BJ89" s="202"/>
      <c r="BK89" s="202"/>
      <c r="BL89" s="202"/>
      <c r="BM89" s="202"/>
      <c r="BN89" s="202"/>
      <c r="BO89" s="202"/>
      <c r="BP89" s="355"/>
      <c r="BQ89" s="357"/>
      <c r="BR89" s="357"/>
      <c r="BS89" s="357"/>
      <c r="BT89" s="357"/>
      <c r="BU89" s="357"/>
      <c r="BV89" s="357"/>
      <c r="BW89" s="357"/>
      <c r="BX89" s="357"/>
      <c r="BY89" s="357"/>
      <c r="BZ89" s="357"/>
      <c r="CA89" s="357"/>
      <c r="CB89" s="357"/>
      <c r="CC89" s="357"/>
      <c r="CD89" s="357"/>
      <c r="CE89" s="357"/>
      <c r="CF89" s="357"/>
      <c r="CG89" s="357"/>
      <c r="CH89" s="357"/>
      <c r="CI89" s="357"/>
      <c r="CJ89" s="357"/>
      <c r="CK89" s="357"/>
      <c r="CL89" s="357"/>
      <c r="CM89" s="357"/>
      <c r="CN89" s="357"/>
      <c r="CO89" s="357"/>
      <c r="CP89" s="357"/>
      <c r="CQ89" s="357"/>
      <c r="CR89" s="357"/>
      <c r="CS89" s="357"/>
      <c r="CT89" s="357"/>
      <c r="CU89" s="357"/>
    </row>
    <row r="90" spans="1:99">
      <c r="A90" s="157" t="s">
        <v>161</v>
      </c>
      <c r="B90" s="202">
        <f>'Annual historicals'!G72</f>
        <v>711.53175157013254</v>
      </c>
      <c r="C90" s="202">
        <f>'Annual historicals'!H72</f>
        <v>1074.6911085134973</v>
      </c>
      <c r="D90" s="202">
        <f>'Annual historicals'!I72</f>
        <v>846.79459550624961</v>
      </c>
      <c r="E90" s="202">
        <f>'Annual historicals'!J72</f>
        <v>824.3059490084986</v>
      </c>
      <c r="F90" s="202">
        <f>'Annual historicals'!K72</f>
        <v>773.39350180505414</v>
      </c>
      <c r="G90" s="202">
        <f>'Annual historicals'!L72</f>
        <v>975.42307692307691</v>
      </c>
      <c r="H90" s="202">
        <f>'Annual historicals'!M72</f>
        <v>1291.1111111111111</v>
      </c>
      <c r="I90" s="202">
        <f>'Annual historicals'!N72</f>
        <v>1347.7759472817133</v>
      </c>
      <c r="J90" s="202">
        <f>'Annual historicals'!O72</f>
        <v>1372.9411764705883</v>
      </c>
      <c r="K90" s="202">
        <f>'Annual historicals'!P72</f>
        <v>1574.6462264150944</v>
      </c>
      <c r="L90" s="202">
        <f>'Annual historicals'!Q72</f>
        <v>1559.4322132097336</v>
      </c>
      <c r="M90" s="355">
        <f>'Annual historicals'!R72</f>
        <v>1405.4901960784314</v>
      </c>
      <c r="N90" s="614">
        <f t="shared" ref="N90:U90" si="242">N89*(1+N91)</f>
        <v>1760.4555016477702</v>
      </c>
      <c r="O90" s="614">
        <f t="shared" si="242"/>
        <v>1916.3550321506148</v>
      </c>
      <c r="P90" s="614">
        <f t="shared" si="242"/>
        <v>2051.3096118795311</v>
      </c>
      <c r="Q90" s="614">
        <f t="shared" si="242"/>
        <v>2128.7843370103074</v>
      </c>
      <c r="R90" s="614">
        <f t="shared" si="242"/>
        <v>2179.8751610985551</v>
      </c>
      <c r="S90" s="614">
        <f t="shared" si="242"/>
        <v>2232.1921649649203</v>
      </c>
      <c r="T90" s="614">
        <f t="shared" si="242"/>
        <v>2285.7647769240784</v>
      </c>
      <c r="U90" s="614">
        <f t="shared" si="242"/>
        <v>2439.683141957667</v>
      </c>
      <c r="V90" s="747"/>
      <c r="W90" s="746"/>
      <c r="X90" s="202"/>
      <c r="Y90" s="202"/>
      <c r="Z90" s="202"/>
      <c r="AA90" s="202"/>
      <c r="AB90" s="202"/>
      <c r="AC90" s="202"/>
      <c r="AD90" s="202"/>
      <c r="AE90" s="202"/>
      <c r="AF90" s="202"/>
      <c r="AG90" s="202"/>
      <c r="AH90" s="202"/>
      <c r="AI90" s="202"/>
      <c r="AJ90" s="202"/>
      <c r="AK90" s="202"/>
      <c r="AL90" s="202"/>
      <c r="AM90" s="202"/>
      <c r="AN90" s="202"/>
      <c r="AO90" s="202"/>
      <c r="AP90" s="202"/>
      <c r="AQ90" s="202"/>
      <c r="AR90" s="202"/>
      <c r="AS90" s="202"/>
      <c r="AT90" s="202"/>
      <c r="AU90" s="202"/>
      <c r="AV90" s="202"/>
      <c r="AW90" s="202"/>
      <c r="AX90" s="202"/>
      <c r="AY90" s="202"/>
      <c r="AZ90" s="202"/>
      <c r="BA90" s="202"/>
      <c r="BB90" s="202"/>
      <c r="BC90" s="202"/>
      <c r="BD90" s="202"/>
      <c r="BE90" s="202"/>
      <c r="BF90" s="202"/>
      <c r="BG90" s="202"/>
      <c r="BH90" s="202"/>
      <c r="BI90" s="202"/>
      <c r="BJ90" s="202"/>
      <c r="BK90" s="202"/>
      <c r="BL90" s="202"/>
      <c r="BM90" s="202"/>
      <c r="BN90" s="202"/>
      <c r="BO90" s="202"/>
      <c r="BP90" s="355"/>
      <c r="BQ90" s="357"/>
      <c r="BR90" s="357"/>
      <c r="BS90" s="357"/>
      <c r="BT90" s="357"/>
      <c r="BU90" s="357"/>
      <c r="BV90" s="357"/>
      <c r="BW90" s="357"/>
      <c r="BX90" s="357"/>
      <c r="BY90" s="357"/>
      <c r="BZ90" s="357"/>
      <c r="CA90" s="357"/>
      <c r="CB90" s="357"/>
      <c r="CC90" s="357"/>
      <c r="CD90" s="357"/>
      <c r="CE90" s="357"/>
      <c r="CF90" s="357"/>
      <c r="CG90" s="357"/>
      <c r="CH90" s="357"/>
      <c r="CI90" s="357"/>
      <c r="CJ90" s="357"/>
      <c r="CK90" s="357"/>
      <c r="CL90" s="357"/>
      <c r="CM90" s="357"/>
      <c r="CN90" s="357"/>
      <c r="CO90" s="357"/>
      <c r="CP90" s="357"/>
      <c r="CQ90" s="357"/>
      <c r="CR90" s="357"/>
      <c r="CS90" s="357"/>
      <c r="CT90" s="357"/>
      <c r="CU90" s="357"/>
    </row>
    <row r="91" spans="1:99" s="61" customFormat="1">
      <c r="A91" s="2073" t="s">
        <v>887</v>
      </c>
      <c r="B91" s="488">
        <f t="shared" ref="B91:L91" si="243">B90/B89-1</f>
        <v>-0.21251625661382467</v>
      </c>
      <c r="C91" s="488">
        <f t="shared" si="243"/>
        <v>0.15817590431353046</v>
      </c>
      <c r="D91" s="488">
        <f t="shared" si="243"/>
        <v>9.3507324355105226E-2</v>
      </c>
      <c r="E91" s="488">
        <f t="shared" si="243"/>
        <v>-1.24071137308992E-2</v>
      </c>
      <c r="F91" s="488">
        <f t="shared" si="243"/>
        <v>-0.19870446550869325</v>
      </c>
      <c r="G91" s="488">
        <f t="shared" si="243"/>
        <v>-9.9437006215609691E-2</v>
      </c>
      <c r="H91" s="488">
        <f t="shared" si="243"/>
        <v>-5.5764460619596501E-2</v>
      </c>
      <c r="I91" s="488">
        <f t="shared" si="243"/>
        <v>7.906134403705023E-2</v>
      </c>
      <c r="J91" s="488">
        <f t="shared" si="243"/>
        <v>5.9261633584029028E-3</v>
      </c>
      <c r="K91" s="488">
        <f t="shared" si="243"/>
        <v>0.1243699342944522</v>
      </c>
      <c r="L91" s="488">
        <f t="shared" si="243"/>
        <v>-7.2821483706381751E-2</v>
      </c>
      <c r="M91" s="759">
        <f t="shared" ref="M91" si="244">M90/M89-1</f>
        <v>-0.2405065165328566</v>
      </c>
      <c r="N91" s="1667">
        <f>+Inputs!P39</f>
        <v>0</v>
      </c>
      <c r="O91" s="1667">
        <f>+Inputs!Q39</f>
        <v>0</v>
      </c>
      <c r="P91" s="1667">
        <f>+Inputs!R39</f>
        <v>0</v>
      </c>
      <c r="Q91" s="1667">
        <f>+Inputs!S39</f>
        <v>0</v>
      </c>
      <c r="R91" s="1667">
        <f>+Inputs!T39</f>
        <v>0</v>
      </c>
      <c r="S91" s="1667">
        <f>+Inputs!U39</f>
        <v>0</v>
      </c>
      <c r="T91" s="1667">
        <f>+Inputs!V39</f>
        <v>0</v>
      </c>
      <c r="U91" s="1667">
        <f>+Inputs!W39</f>
        <v>0</v>
      </c>
      <c r="V91" s="755"/>
      <c r="W91" s="754"/>
      <c r="X91" s="695"/>
      <c r="Y91" s="695"/>
      <c r="Z91" s="695"/>
      <c r="AA91" s="695"/>
      <c r="AB91" s="695"/>
      <c r="AC91" s="695"/>
      <c r="AD91" s="695"/>
      <c r="AE91" s="695"/>
      <c r="AF91" s="695"/>
      <c r="AG91" s="695"/>
      <c r="AH91" s="695"/>
      <c r="AI91" s="695"/>
      <c r="AJ91" s="695"/>
      <c r="AK91" s="695"/>
      <c r="AL91" s="695"/>
      <c r="AM91" s="695"/>
      <c r="AN91" s="695"/>
      <c r="AO91" s="695"/>
      <c r="AP91" s="695"/>
      <c r="AQ91" s="695"/>
      <c r="AR91" s="695"/>
      <c r="AS91" s="695"/>
      <c r="AT91" s="695"/>
      <c r="AU91" s="695"/>
      <c r="AV91" s="695"/>
      <c r="AW91" s="695"/>
      <c r="AX91" s="695"/>
      <c r="AY91" s="695"/>
      <c r="AZ91" s="695"/>
      <c r="BA91" s="695"/>
      <c r="BB91" s="695"/>
      <c r="BC91" s="695"/>
      <c r="BD91" s="695"/>
      <c r="BE91" s="695"/>
      <c r="BF91" s="695"/>
      <c r="BG91" s="695"/>
      <c r="BH91" s="695"/>
      <c r="BI91" s="695"/>
      <c r="BJ91" s="695"/>
      <c r="BK91" s="695"/>
      <c r="BL91" s="695"/>
      <c r="BM91" s="695"/>
      <c r="BN91" s="695"/>
      <c r="BO91" s="695"/>
      <c r="BP91" s="2125"/>
      <c r="BQ91" s="2126"/>
      <c r="BR91" s="2126"/>
      <c r="BS91" s="2126"/>
      <c r="BT91" s="2126"/>
      <c r="BU91" s="2126"/>
      <c r="BV91" s="2126"/>
      <c r="BW91" s="2126"/>
      <c r="BX91" s="2126"/>
      <c r="BY91" s="2126"/>
      <c r="BZ91" s="2126"/>
      <c r="CA91" s="2126"/>
      <c r="CB91" s="2126"/>
      <c r="CC91" s="2126"/>
      <c r="CD91" s="2126"/>
      <c r="CE91" s="2126"/>
      <c r="CF91" s="2126"/>
      <c r="CG91" s="2126"/>
      <c r="CH91" s="2126"/>
      <c r="CI91" s="2126"/>
      <c r="CJ91" s="2126"/>
      <c r="CK91" s="2126"/>
      <c r="CL91" s="2126"/>
      <c r="CM91" s="2126"/>
      <c r="CN91" s="2126"/>
      <c r="CO91" s="2126"/>
      <c r="CP91" s="2126"/>
      <c r="CQ91" s="2126"/>
      <c r="CR91" s="2126"/>
      <c r="CS91" s="2126"/>
      <c r="CT91" s="2126"/>
      <c r="CU91" s="2126"/>
    </row>
    <row r="92" spans="1:99" s="14" customFormat="1">
      <c r="A92" s="761" t="s">
        <v>1504</v>
      </c>
      <c r="B92" s="390">
        <f t="shared" ref="B92:U92" si="245">+(B111+B112)*1000/(B59+B60)</f>
        <v>751.93611025061762</v>
      </c>
      <c r="C92" s="390">
        <f t="shared" si="245"/>
        <v>827.86659922589718</v>
      </c>
      <c r="D92" s="390">
        <f t="shared" si="245"/>
        <v>675.56060704869617</v>
      </c>
      <c r="E92" s="390">
        <f t="shared" si="245"/>
        <v>731.01951720595798</v>
      </c>
      <c r="F92" s="390">
        <f t="shared" si="245"/>
        <v>810.7818930041152</v>
      </c>
      <c r="G92" s="390">
        <f t="shared" si="245"/>
        <v>929.18201133144464</v>
      </c>
      <c r="H92" s="390">
        <f t="shared" si="245"/>
        <v>1171.1718749999998</v>
      </c>
      <c r="I92" s="390">
        <f t="shared" si="245"/>
        <v>1122.2868217054263</v>
      </c>
      <c r="J92" s="390">
        <f t="shared" si="245"/>
        <v>1240.0835987261148</v>
      </c>
      <c r="K92" s="390">
        <f t="shared" si="245"/>
        <v>1270.5958702064897</v>
      </c>
      <c r="L92" s="390">
        <f t="shared" si="245"/>
        <v>1602.4489144316728</v>
      </c>
      <c r="M92" s="391">
        <f t="shared" si="245"/>
        <v>1707.1633752244165</v>
      </c>
      <c r="N92" s="620">
        <f t="shared" si="245"/>
        <v>1597.0129998680177</v>
      </c>
      <c r="O92" s="620">
        <f t="shared" si="245"/>
        <v>1738.4386574056975</v>
      </c>
      <c r="P92" s="620">
        <f t="shared" si="245"/>
        <v>1860.8639149694791</v>
      </c>
      <c r="Q92" s="620">
        <f t="shared" si="245"/>
        <v>1931.1458068316952</v>
      </c>
      <c r="R92" s="620">
        <f t="shared" si="245"/>
        <v>1977.4933061956558</v>
      </c>
      <c r="S92" s="620">
        <f t="shared" si="245"/>
        <v>2024.9531455443516</v>
      </c>
      <c r="T92" s="620">
        <f t="shared" si="245"/>
        <v>2073.5520210374161</v>
      </c>
      <c r="U92" s="620">
        <f t="shared" si="245"/>
        <v>2213.1804465483119</v>
      </c>
      <c r="V92" s="753"/>
      <c r="W92" s="752"/>
      <c r="X92" s="390">
        <f t="shared" ref="X92:BC92" si="246">+(X111+X112)*1000/(X59+X60)</f>
        <v>597.73850038423541</v>
      </c>
      <c r="Y92" s="390">
        <f t="shared" si="246"/>
        <v>851.78698838944013</v>
      </c>
      <c r="Z92" s="390">
        <f t="shared" si="246"/>
        <v>758.79966591098912</v>
      </c>
      <c r="AA92" s="390">
        <f t="shared" si="246"/>
        <v>836.35632819172997</v>
      </c>
      <c r="AB92" s="390">
        <f t="shared" si="246"/>
        <v>679.16466634661549</v>
      </c>
      <c r="AC92" s="390">
        <f t="shared" si="246"/>
        <v>613.84044768349827</v>
      </c>
      <c r="AD92" s="390">
        <f t="shared" si="246"/>
        <v>689.00963864674952</v>
      </c>
      <c r="AE92" s="390">
        <f t="shared" si="246"/>
        <v>725.06054083142726</v>
      </c>
      <c r="AF92" s="390">
        <f t="shared" si="246"/>
        <v>656.05372800198995</v>
      </c>
      <c r="AG92" s="390">
        <f t="shared" si="246"/>
        <v>708.9179280257257</v>
      </c>
      <c r="AH92" s="390">
        <f t="shared" si="246"/>
        <v>707.33482642777165</v>
      </c>
      <c r="AI92" s="390">
        <f t="shared" si="246"/>
        <v>781.73039533376539</v>
      </c>
      <c r="AJ92" s="390">
        <f t="shared" si="246"/>
        <v>625.47268907563023</v>
      </c>
      <c r="AK92" s="390">
        <f t="shared" si="246"/>
        <v>725.56164383561656</v>
      </c>
      <c r="AL92" s="390">
        <f t="shared" si="246"/>
        <v>894.97765862377128</v>
      </c>
      <c r="AM92" s="390">
        <f t="shared" si="246"/>
        <v>1052.4343015214386</v>
      </c>
      <c r="AN92" s="390">
        <f t="shared" si="246"/>
        <v>743.27635327635346</v>
      </c>
      <c r="AO92" s="390">
        <f t="shared" si="246"/>
        <v>841.54882154882159</v>
      </c>
      <c r="AP92" s="390">
        <f t="shared" si="246"/>
        <v>998.61202185792354</v>
      </c>
      <c r="AQ92" s="390">
        <f t="shared" si="246"/>
        <v>1123.3442088091354</v>
      </c>
      <c r="AR92" s="390">
        <f t="shared" si="246"/>
        <v>1097.2304439746299</v>
      </c>
      <c r="AS92" s="390">
        <f t="shared" si="246"/>
        <v>1100.3058823529414</v>
      </c>
      <c r="AT92" s="390">
        <f t="shared" si="246"/>
        <v>1263.5090609555189</v>
      </c>
      <c r="AU92" s="390">
        <f t="shared" si="246"/>
        <v>1182.8720238095239</v>
      </c>
      <c r="AV92" s="390">
        <f t="shared" si="246"/>
        <v>1183.1283422459894</v>
      </c>
      <c r="AW92" s="390">
        <f t="shared" si="246"/>
        <v>1118.3333333333333</v>
      </c>
      <c r="AX92" s="390">
        <f t="shared" si="246"/>
        <v>1019.215291750503</v>
      </c>
      <c r="AY92" s="390">
        <f t="shared" si="246"/>
        <v>1178.705440900563</v>
      </c>
      <c r="AZ92" s="390">
        <f t="shared" si="246"/>
        <v>1218.760504201681</v>
      </c>
      <c r="BA92" s="390">
        <f t="shared" si="246"/>
        <v>1209.2878338278931</v>
      </c>
      <c r="BB92" s="390">
        <f t="shared" si="246"/>
        <v>1187.674074074074</v>
      </c>
      <c r="BC92" s="390">
        <f t="shared" si="246"/>
        <v>1336.5647743813686</v>
      </c>
      <c r="BD92" s="390">
        <f t="shared" ref="BD92:CI92" si="247">+(BD111+BD112)*1000/(BD59+BD60)</f>
        <v>1320.6132075471698</v>
      </c>
      <c r="BE92" s="390">
        <f t="shared" si="247"/>
        <v>1194.1826215022093</v>
      </c>
      <c r="BF92" s="390">
        <f t="shared" si="247"/>
        <v>1233.0377906976744</v>
      </c>
      <c r="BG92" s="390">
        <f t="shared" si="247"/>
        <v>1330.9693558474046</v>
      </c>
      <c r="BH92" s="390">
        <f t="shared" si="247"/>
        <v>1278.7366167023554</v>
      </c>
      <c r="BI92" s="390">
        <f t="shared" si="247"/>
        <v>1397.9861111111113</v>
      </c>
      <c r="BJ92" s="390">
        <f t="shared" si="247"/>
        <v>1605.1093613298337</v>
      </c>
      <c r="BK92" s="390">
        <f t="shared" si="247"/>
        <v>1883.5306553911203</v>
      </c>
      <c r="BL92" s="390">
        <f t="shared" si="247"/>
        <v>1569.2262773722628</v>
      </c>
      <c r="BM92" s="390">
        <f t="shared" si="247"/>
        <v>1636.280487804878</v>
      </c>
      <c r="BN92" s="390">
        <f t="shared" si="247"/>
        <v>1898.2453825857519</v>
      </c>
      <c r="BO92" s="390">
        <f t="shared" si="247"/>
        <v>1722.030651340996</v>
      </c>
      <c r="BP92" s="391">
        <f t="shared" si="247"/>
        <v>1527.7579365079366</v>
      </c>
      <c r="BQ92" s="364">
        <f t="shared" si="247"/>
        <v>1610.7942013902671</v>
      </c>
      <c r="BR92" s="364">
        <f t="shared" si="247"/>
        <v>1594.5495576657702</v>
      </c>
      <c r="BS92" s="364">
        <f t="shared" si="247"/>
        <v>1619.3327613399422</v>
      </c>
      <c r="BT92" s="364">
        <f t="shared" si="247"/>
        <v>1732.2784381340512</v>
      </c>
      <c r="BU92" s="364">
        <f t="shared" si="247"/>
        <v>1753.4402719659779</v>
      </c>
      <c r="BV92" s="364">
        <f t="shared" si="247"/>
        <v>1735.7570617298795</v>
      </c>
      <c r="BW92" s="364">
        <f t="shared" si="247"/>
        <v>1729.0658825659029</v>
      </c>
      <c r="BX92" s="364">
        <f t="shared" si="247"/>
        <v>1854.2698774392657</v>
      </c>
      <c r="BY92" s="364">
        <f t="shared" si="247"/>
        <v>1876.9219812593565</v>
      </c>
      <c r="BZ92" s="364">
        <f t="shared" si="247"/>
        <v>1857.9934745277583</v>
      </c>
      <c r="CA92" s="364">
        <f t="shared" si="247"/>
        <v>1850.8310855635018</v>
      </c>
      <c r="CB92" s="364">
        <f t="shared" si="247"/>
        <v>1924.3027229156041</v>
      </c>
      <c r="CC92" s="364">
        <f t="shared" si="247"/>
        <v>1947.8103609304999</v>
      </c>
      <c r="CD92" s="364">
        <f t="shared" si="247"/>
        <v>1928.1669543867652</v>
      </c>
      <c r="CE92" s="364">
        <f t="shared" si="247"/>
        <v>1920.7340533003626</v>
      </c>
      <c r="CF92" s="364">
        <f t="shared" si="247"/>
        <v>1970.4859882655785</v>
      </c>
      <c r="CG92" s="364">
        <f t="shared" si="247"/>
        <v>1994.5578095928317</v>
      </c>
      <c r="CH92" s="364">
        <f t="shared" si="247"/>
        <v>1974.4429612920471</v>
      </c>
      <c r="CI92" s="364">
        <f t="shared" si="247"/>
        <v>1966.831670579573</v>
      </c>
      <c r="CJ92" s="364">
        <f t="shared" ref="CJ92:CU92" si="248">+(CJ111+CJ112)*1000/(CJ59+CJ60)</f>
        <v>2017.7776519839522</v>
      </c>
      <c r="CK92" s="364">
        <f t="shared" si="248"/>
        <v>2042.4271970230598</v>
      </c>
      <c r="CL92" s="364">
        <f t="shared" si="248"/>
        <v>2021.8295923630558</v>
      </c>
      <c r="CM92" s="364">
        <f t="shared" si="248"/>
        <v>2014.0356306734818</v>
      </c>
      <c r="CN92" s="364">
        <f t="shared" si="248"/>
        <v>2066.2043156315676</v>
      </c>
      <c r="CO92" s="364">
        <f t="shared" si="248"/>
        <v>2091.4454497516135</v>
      </c>
      <c r="CP92" s="364">
        <f t="shared" si="248"/>
        <v>2070.3535025797696</v>
      </c>
      <c r="CQ92" s="364">
        <f t="shared" si="248"/>
        <v>2062.3724858096466</v>
      </c>
      <c r="CR92" s="364">
        <f t="shared" si="248"/>
        <v>2205.337962845836</v>
      </c>
      <c r="CS92" s="364">
        <f t="shared" si="248"/>
        <v>2232.278779336777</v>
      </c>
      <c r="CT92" s="364">
        <f t="shared" si="248"/>
        <v>2209.7665469033709</v>
      </c>
      <c r="CU92" s="364">
        <f t="shared" si="248"/>
        <v>2201.2481060443974</v>
      </c>
    </row>
    <row r="93" spans="1:99">
      <c r="A93" s="157" t="s">
        <v>876</v>
      </c>
      <c r="B93" s="202">
        <f>'Annual historicals'!G73</f>
        <v>827.76372949491031</v>
      </c>
      <c r="C93" s="202">
        <f>'Annual historicals'!H73</f>
        <v>794.00601499809568</v>
      </c>
      <c r="D93" s="202">
        <f>'Annual historicals'!I73</f>
        <v>654.08647280794162</v>
      </c>
      <c r="E93" s="202">
        <f>'Annual historicals'!J73</f>
        <v>709.83989145183182</v>
      </c>
      <c r="F93" s="202">
        <f>'Annual historicals'!K73</f>
        <v>815.88110403397036</v>
      </c>
      <c r="G93" s="202">
        <f>'Annual historicals'!L73</f>
        <v>924.83404919953136</v>
      </c>
      <c r="H93" s="202">
        <f>'Annual historicals'!M73</f>
        <v>1169.9887260428411</v>
      </c>
      <c r="I93" s="202">
        <f>'Annual historicals'!N73</f>
        <v>1115.4619015509102</v>
      </c>
      <c r="J93" s="202">
        <f>'Annual historicals'!O73</f>
        <v>1252.514651038892</v>
      </c>
      <c r="K93" s="202">
        <f>'Annual historicals'!P73</f>
        <v>1275.5631868131868</v>
      </c>
      <c r="L93" s="202">
        <f>'Annual historicals'!Q73</f>
        <v>1592.9337418613557</v>
      </c>
      <c r="M93" s="355">
        <f>'Annual historicals'!R73</f>
        <v>1668.5589337775928</v>
      </c>
      <c r="N93" s="485">
        <f>Inputs!P19</f>
        <v>1558.3423668032785</v>
      </c>
      <c r="O93" s="485">
        <f>Inputs!Q19</f>
        <v>1696.3434938524588</v>
      </c>
      <c r="P93" s="485">
        <f>Inputs!R19</f>
        <v>1815.8043032786882</v>
      </c>
      <c r="Q93" s="485">
        <f>Inputs!S19</f>
        <v>1884.384364754098</v>
      </c>
      <c r="R93" s="485">
        <f>Inputs!T19</f>
        <v>1929.6095895081964</v>
      </c>
      <c r="S93" s="485">
        <f>Inputs!U19</f>
        <v>1975.9202196563931</v>
      </c>
      <c r="T93" s="485">
        <f>Inputs!V19</f>
        <v>2023.3423049281466</v>
      </c>
      <c r="U93" s="485">
        <f>Inputs!W19</f>
        <v>2159.5897187573682</v>
      </c>
      <c r="V93" s="747"/>
      <c r="W93" s="746"/>
      <c r="X93" s="746"/>
      <c r="Y93" s="746"/>
      <c r="Z93" s="386"/>
      <c r="AA93" s="386"/>
      <c r="AB93" s="386"/>
      <c r="AC93" s="386"/>
      <c r="AD93" s="386"/>
      <c r="AE93" s="386"/>
      <c r="AF93" s="386"/>
      <c r="AG93" s="386"/>
      <c r="AH93" s="386"/>
      <c r="AI93" s="386"/>
      <c r="AJ93" s="386"/>
      <c r="AK93" s="386"/>
      <c r="AL93" s="386"/>
      <c r="AM93" s="386"/>
      <c r="AN93" s="386"/>
      <c r="AO93" s="386"/>
      <c r="AP93" s="386"/>
      <c r="AQ93" s="386"/>
      <c r="AR93" s="386"/>
      <c r="AS93" s="386"/>
      <c r="AT93" s="386"/>
      <c r="AU93" s="386"/>
      <c r="AV93" s="386"/>
      <c r="AW93" s="386"/>
      <c r="AX93" s="386"/>
      <c r="AY93" s="386"/>
      <c r="AZ93" s="386"/>
      <c r="BA93" s="386"/>
      <c r="BB93" s="386"/>
      <c r="BC93" s="386"/>
      <c r="BD93" s="386"/>
      <c r="BE93" s="386"/>
      <c r="BF93" s="386"/>
      <c r="BI93" s="106"/>
      <c r="BJ93" s="106"/>
      <c r="BK93" s="106"/>
      <c r="BL93" s="106"/>
      <c r="BM93" s="106"/>
      <c r="BN93" s="106"/>
      <c r="BO93" s="106"/>
      <c r="BP93" s="381"/>
      <c r="BQ93" s="382"/>
      <c r="BR93" s="382"/>
      <c r="BS93" s="382"/>
      <c r="BT93" s="382"/>
      <c r="BU93" s="382"/>
      <c r="BV93" s="382"/>
      <c r="BW93" s="382"/>
      <c r="BX93" s="382"/>
      <c r="BY93" s="382"/>
      <c r="BZ93" s="382"/>
      <c r="CA93" s="382"/>
      <c r="CB93" s="382"/>
      <c r="CC93" s="382"/>
      <c r="CD93" s="382"/>
      <c r="CE93" s="382"/>
      <c r="CF93" s="382"/>
      <c r="CG93" s="382"/>
      <c r="CH93" s="382"/>
      <c r="CI93" s="382"/>
      <c r="CJ93" s="382"/>
      <c r="CK93" s="382"/>
      <c r="CL93" s="382"/>
      <c r="CM93" s="382"/>
      <c r="CN93" s="382"/>
      <c r="CO93" s="382"/>
      <c r="CP93" s="382"/>
      <c r="CQ93" s="382"/>
      <c r="CR93" s="382"/>
      <c r="CS93" s="382"/>
      <c r="CT93" s="382"/>
      <c r="CU93" s="382"/>
    </row>
    <row r="94" spans="1:99">
      <c r="A94" s="157" t="s">
        <v>159</v>
      </c>
      <c r="B94" s="202">
        <f>'Annual historicals'!G74</f>
        <v>646.07697599478615</v>
      </c>
      <c r="C94" s="202">
        <f>'Annual historicals'!H74</f>
        <v>1002.0606715762449</v>
      </c>
      <c r="D94" s="202">
        <f>'Annual historicals'!I74</f>
        <v>784.79684708951208</v>
      </c>
      <c r="E94" s="202">
        <f>'Annual historicals'!J74</f>
        <v>1104.4497607655503</v>
      </c>
      <c r="F94" s="202">
        <f>'Annual historicals'!K74</f>
        <v>782.33502538071059</v>
      </c>
      <c r="G94" s="202">
        <f>'Annual historicals'!L74</f>
        <v>971.5209125475285</v>
      </c>
      <c r="H94" s="202">
        <f>'Annual historicals'!M74</f>
        <v>1176.3930348258705</v>
      </c>
      <c r="I94" s="202">
        <f>'Annual historicals'!N74</f>
        <v>1153.622291021672</v>
      </c>
      <c r="J94" s="202">
        <f>'Annual historicals'!O74</f>
        <v>1203.3385826771653</v>
      </c>
      <c r="K94" s="202">
        <f>'Annual historicals'!P74</f>
        <v>1240.3347280334729</v>
      </c>
      <c r="L94" s="202">
        <f>'Annual historicals'!Q74</f>
        <v>1650.1343570057581</v>
      </c>
      <c r="M94" s="355">
        <f>'Annual historicals'!R74</f>
        <v>1948.5416666666667</v>
      </c>
      <c r="N94" s="614">
        <f t="shared" ref="N94:U94" si="249">N93*(1+N95)</f>
        <v>1819.8308559431932</v>
      </c>
      <c r="O94" s="614">
        <f t="shared" si="249"/>
        <v>1980.98845167372</v>
      </c>
      <c r="P94" s="614">
        <f t="shared" si="249"/>
        <v>2120.4946806648268</v>
      </c>
      <c r="Q94" s="614">
        <f t="shared" si="249"/>
        <v>2200.5824166040416</v>
      </c>
      <c r="R94" s="614">
        <f t="shared" si="249"/>
        <v>2253.3963946025387</v>
      </c>
      <c r="S94" s="614">
        <f t="shared" si="249"/>
        <v>2307.4779080729995</v>
      </c>
      <c r="T94" s="614">
        <f t="shared" si="249"/>
        <v>2362.8573778667519</v>
      </c>
      <c r="U94" s="614">
        <f t="shared" si="249"/>
        <v>2521.9669888295261</v>
      </c>
      <c r="V94" s="747"/>
      <c r="W94" s="746"/>
      <c r="X94" s="746"/>
      <c r="Y94" s="746"/>
      <c r="Z94" s="386"/>
      <c r="AA94" s="386"/>
      <c r="AB94" s="386"/>
      <c r="AC94" s="386"/>
      <c r="AD94" s="386"/>
      <c r="AE94" s="386"/>
      <c r="AF94" s="386"/>
      <c r="AG94" s="386"/>
      <c r="AH94" s="386"/>
      <c r="AI94" s="386"/>
      <c r="AJ94" s="386"/>
      <c r="AK94" s="386"/>
      <c r="AL94" s="386"/>
      <c r="AM94" s="386"/>
      <c r="AN94" s="386"/>
      <c r="AO94" s="386"/>
      <c r="AP94" s="386"/>
      <c r="AQ94" s="386"/>
      <c r="AR94" s="386"/>
      <c r="AS94" s="386"/>
      <c r="AT94" s="386"/>
      <c r="AU94" s="386"/>
      <c r="AV94" s="386"/>
      <c r="AW94" s="386"/>
      <c r="AX94" s="386"/>
      <c r="AY94" s="386"/>
      <c r="AZ94" s="386"/>
      <c r="BA94" s="386"/>
      <c r="BB94" s="386"/>
      <c r="BC94" s="386"/>
      <c r="BD94" s="386"/>
      <c r="BE94" s="386"/>
      <c r="BF94" s="386"/>
      <c r="BI94" s="106"/>
      <c r="BJ94" s="106"/>
      <c r="BK94" s="106"/>
      <c r="BL94" s="106"/>
      <c r="BM94" s="106"/>
      <c r="BN94" s="106"/>
      <c r="BO94" s="106"/>
      <c r="BP94" s="381"/>
      <c r="BQ94" s="382"/>
      <c r="BR94" s="382"/>
      <c r="BS94" s="382"/>
      <c r="BT94" s="382"/>
      <c r="BU94" s="382"/>
      <c r="BV94" s="382"/>
      <c r="BW94" s="382"/>
      <c r="BX94" s="382"/>
      <c r="BY94" s="382"/>
      <c r="BZ94" s="382"/>
      <c r="CA94" s="382"/>
      <c r="CB94" s="382"/>
      <c r="CC94" s="382"/>
      <c r="CD94" s="382"/>
      <c r="CE94" s="382"/>
      <c r="CF94" s="382"/>
      <c r="CG94" s="382"/>
      <c r="CH94" s="382"/>
      <c r="CI94" s="382"/>
      <c r="CJ94" s="382"/>
      <c r="CK94" s="382"/>
      <c r="CL94" s="382"/>
      <c r="CM94" s="382"/>
      <c r="CN94" s="382"/>
      <c r="CO94" s="382"/>
      <c r="CP94" s="382"/>
      <c r="CQ94" s="382"/>
      <c r="CR94" s="382"/>
      <c r="CS94" s="382"/>
      <c r="CT94" s="382"/>
      <c r="CU94" s="382"/>
    </row>
    <row r="95" spans="1:99" s="61" customFormat="1">
      <c r="A95" s="2073" t="s">
        <v>887</v>
      </c>
      <c r="B95" s="488">
        <f t="shared" ref="B95:L95" si="250">B94/B93-1</f>
        <v>-0.21949107822226865</v>
      </c>
      <c r="C95" s="488">
        <f t="shared" si="250"/>
        <v>0.26203158747940747</v>
      </c>
      <c r="D95" s="488">
        <f t="shared" si="250"/>
        <v>0.19983653494688736</v>
      </c>
      <c r="E95" s="488">
        <f t="shared" si="250"/>
        <v>0.55591390969395227</v>
      </c>
      <c r="F95" s="488">
        <f t="shared" si="250"/>
        <v>-4.1116381403365598E-2</v>
      </c>
      <c r="G95" s="488">
        <f t="shared" si="250"/>
        <v>5.0481341369736477E-2</v>
      </c>
      <c r="H95" s="488">
        <f t="shared" si="250"/>
        <v>5.4738209356000045E-3</v>
      </c>
      <c r="I95" s="488">
        <f t="shared" si="250"/>
        <v>3.4210392499918196E-2</v>
      </c>
      <c r="J95" s="488">
        <f t="shared" si="250"/>
        <v>-3.9261870766092777E-2</v>
      </c>
      <c r="K95" s="488">
        <f t="shared" si="250"/>
        <v>-2.7617964475540546E-2</v>
      </c>
      <c r="L95" s="488">
        <f t="shared" si="250"/>
        <v>3.5908973261852717E-2</v>
      </c>
      <c r="M95" s="759">
        <f t="shared" ref="M95" si="251">M94/M93-1</f>
        <v>0.16779912727157753</v>
      </c>
      <c r="N95" s="1667">
        <f>+Inputs!P44</f>
        <v>0.16779912727157753</v>
      </c>
      <c r="O95" s="1667">
        <f>+Inputs!Q44</f>
        <v>0.16779912727157753</v>
      </c>
      <c r="P95" s="1667">
        <f>+Inputs!R44</f>
        <v>0.16779912727157753</v>
      </c>
      <c r="Q95" s="1667">
        <f>+Inputs!S44</f>
        <v>0.16779912727157753</v>
      </c>
      <c r="R95" s="1667">
        <f>+Inputs!T44</f>
        <v>0.16779912727157753</v>
      </c>
      <c r="S95" s="1667">
        <f>+Inputs!U44</f>
        <v>0.16779912727157753</v>
      </c>
      <c r="T95" s="1667">
        <f>+Inputs!V44</f>
        <v>0.16779912727157753</v>
      </c>
      <c r="U95" s="1667">
        <f>+Inputs!W44</f>
        <v>0.16779912727157753</v>
      </c>
      <c r="V95" s="755"/>
      <c r="W95" s="754"/>
      <c r="X95" s="754"/>
      <c r="Y95" s="754"/>
      <c r="Z95" s="760"/>
      <c r="AA95" s="760"/>
      <c r="AB95" s="760"/>
      <c r="AC95" s="760"/>
      <c r="AD95" s="760"/>
      <c r="AE95" s="760"/>
      <c r="AF95" s="760"/>
      <c r="AG95" s="760"/>
      <c r="AH95" s="760"/>
      <c r="AI95" s="760"/>
      <c r="AJ95" s="760"/>
      <c r="AK95" s="760"/>
      <c r="AL95" s="760"/>
      <c r="AM95" s="760"/>
      <c r="AN95" s="760"/>
      <c r="AO95" s="760"/>
      <c r="AP95" s="760"/>
      <c r="AQ95" s="760"/>
      <c r="AR95" s="760"/>
      <c r="AS95" s="760"/>
      <c r="AT95" s="760"/>
      <c r="AU95" s="760"/>
      <c r="AV95" s="760"/>
      <c r="AW95" s="760"/>
      <c r="AX95" s="760"/>
      <c r="AY95" s="760"/>
      <c r="AZ95" s="760"/>
      <c r="BA95" s="760"/>
      <c r="BB95" s="760"/>
      <c r="BC95" s="760"/>
      <c r="BD95" s="760"/>
      <c r="BE95" s="760"/>
      <c r="BF95" s="760"/>
      <c r="BG95" s="939"/>
      <c r="BH95" s="939"/>
      <c r="BI95" s="939"/>
      <c r="BJ95" s="939"/>
      <c r="BK95" s="939"/>
      <c r="BL95" s="939"/>
      <c r="BM95" s="939"/>
      <c r="BN95" s="939"/>
      <c r="BO95" s="939"/>
      <c r="BP95" s="962"/>
      <c r="BQ95" s="1609"/>
      <c r="BR95" s="1609"/>
      <c r="BS95" s="1609"/>
      <c r="BT95" s="1609"/>
      <c r="BU95" s="1609"/>
      <c r="BV95" s="1609"/>
      <c r="BW95" s="1609"/>
      <c r="BX95" s="1609"/>
      <c r="BY95" s="1609"/>
      <c r="BZ95" s="1609"/>
      <c r="CA95" s="1609"/>
      <c r="CB95" s="1609"/>
      <c r="CC95" s="1609"/>
      <c r="CD95" s="1609"/>
      <c r="CE95" s="1609"/>
      <c r="CF95" s="1609"/>
      <c r="CG95" s="1609"/>
      <c r="CH95" s="1609"/>
      <c r="CI95" s="1609"/>
      <c r="CJ95" s="1609"/>
      <c r="CK95" s="1609"/>
      <c r="CL95" s="1609"/>
      <c r="CM95" s="1609"/>
      <c r="CN95" s="1609"/>
      <c r="CO95" s="1609"/>
      <c r="CP95" s="1609"/>
      <c r="CQ95" s="1609"/>
      <c r="CR95" s="1609"/>
      <c r="CS95" s="1609"/>
      <c r="CT95" s="1609"/>
      <c r="CU95" s="1609"/>
    </row>
    <row r="96" spans="1:99">
      <c r="A96" s="2058"/>
      <c r="B96" s="746"/>
      <c r="C96" s="746"/>
      <c r="D96" s="746"/>
      <c r="E96" s="746"/>
      <c r="F96" s="746"/>
      <c r="G96" s="746"/>
      <c r="H96" s="746"/>
      <c r="I96" s="746"/>
      <c r="J96" s="746"/>
      <c r="K96" s="746"/>
      <c r="L96" s="746"/>
      <c r="M96" s="749"/>
      <c r="N96" s="746"/>
      <c r="O96" s="746"/>
      <c r="P96" s="746"/>
      <c r="Q96" s="746"/>
      <c r="R96" s="746"/>
      <c r="S96" s="746"/>
      <c r="T96" s="746"/>
      <c r="U96" s="746"/>
      <c r="V96" s="747"/>
      <c r="W96" s="746"/>
      <c r="X96" s="746"/>
      <c r="Y96" s="746"/>
      <c r="Z96" s="386"/>
      <c r="AA96" s="386"/>
      <c r="AB96" s="386"/>
      <c r="AC96" s="386"/>
      <c r="AD96" s="386"/>
      <c r="AE96" s="386"/>
      <c r="AF96" s="386"/>
      <c r="AG96" s="386"/>
      <c r="AH96" s="386"/>
      <c r="AI96" s="386"/>
      <c r="AJ96" s="386"/>
      <c r="AK96" s="386"/>
      <c r="AL96" s="386"/>
      <c r="AM96" s="386"/>
      <c r="AN96" s="386"/>
      <c r="AO96" s="386"/>
      <c r="AP96" s="386"/>
      <c r="AQ96" s="386"/>
      <c r="AR96" s="386"/>
      <c r="AS96" s="386"/>
      <c r="AT96" s="386"/>
      <c r="AU96" s="386"/>
      <c r="AV96" s="386"/>
      <c r="AW96" s="386"/>
      <c r="AX96" s="386"/>
      <c r="AY96" s="386"/>
      <c r="AZ96" s="386"/>
      <c r="BA96" s="386"/>
      <c r="BB96" s="386"/>
      <c r="BC96" s="386"/>
      <c r="BD96" s="386"/>
      <c r="BE96" s="386"/>
      <c r="BF96" s="386"/>
      <c r="BI96" s="106"/>
      <c r="BJ96" s="106"/>
      <c r="BK96" s="106"/>
      <c r="BL96" s="106"/>
      <c r="BM96" s="106"/>
      <c r="BN96" s="106"/>
      <c r="BO96" s="106"/>
      <c r="BP96" s="381"/>
      <c r="BQ96" s="382"/>
      <c r="BR96" s="382"/>
      <c r="BS96" s="382"/>
      <c r="BT96" s="382"/>
      <c r="BU96" s="382"/>
      <c r="BV96" s="382"/>
      <c r="BW96" s="382"/>
      <c r="BX96" s="382"/>
      <c r="BY96" s="382"/>
      <c r="BZ96" s="382"/>
      <c r="CA96" s="382"/>
      <c r="CB96" s="382"/>
      <c r="CC96" s="382"/>
      <c r="CD96" s="382"/>
      <c r="CE96" s="382"/>
      <c r="CF96" s="382"/>
      <c r="CG96" s="382"/>
      <c r="CH96" s="382"/>
      <c r="CI96" s="382"/>
      <c r="CJ96" s="382"/>
      <c r="CK96" s="382"/>
      <c r="CL96" s="382"/>
      <c r="CM96" s="382"/>
      <c r="CN96" s="382"/>
      <c r="CO96" s="382"/>
      <c r="CP96" s="382"/>
      <c r="CQ96" s="382"/>
      <c r="CR96" s="382"/>
      <c r="CS96" s="382"/>
      <c r="CT96" s="382"/>
      <c r="CU96" s="382"/>
    </row>
    <row r="97" spans="1:102">
      <c r="A97" s="761" t="s">
        <v>818</v>
      </c>
      <c r="B97" s="993"/>
      <c r="C97" s="993"/>
      <c r="D97" s="993"/>
      <c r="E97" s="993"/>
      <c r="F97" s="993"/>
      <c r="G97" s="993"/>
      <c r="H97" s="993"/>
      <c r="I97" s="746"/>
      <c r="J97" s="746"/>
      <c r="K97" s="746"/>
      <c r="L97" s="746"/>
      <c r="M97" s="749"/>
      <c r="N97" s="746"/>
      <c r="O97" s="746"/>
      <c r="P97" s="746"/>
      <c r="Q97" s="746"/>
      <c r="R97" s="746"/>
      <c r="S97" s="746"/>
      <c r="T97" s="746"/>
      <c r="U97" s="746"/>
      <c r="V97" s="747"/>
      <c r="W97" s="746"/>
      <c r="X97" s="746"/>
      <c r="Y97" s="746"/>
      <c r="Z97" s="386"/>
      <c r="AA97" s="386"/>
      <c r="AB97" s="386"/>
      <c r="AC97" s="386"/>
      <c r="AD97" s="386"/>
      <c r="AE97" s="386"/>
      <c r="AF97" s="386"/>
      <c r="AG97" s="386"/>
      <c r="AH97" s="386"/>
      <c r="AI97" s="386"/>
      <c r="AJ97" s="386"/>
      <c r="AK97" s="386"/>
      <c r="AL97" s="386"/>
      <c r="AM97" s="386"/>
      <c r="AN97" s="386"/>
      <c r="AO97" s="386"/>
      <c r="AP97" s="386"/>
      <c r="AQ97" s="386"/>
      <c r="AR97" s="386"/>
      <c r="AS97" s="386"/>
      <c r="AT97" s="386"/>
      <c r="AU97" s="386"/>
      <c r="AV97" s="386"/>
      <c r="AW97" s="386"/>
      <c r="AX97" s="386"/>
      <c r="AY97" s="386"/>
      <c r="AZ97" s="386"/>
      <c r="BA97" s="386"/>
      <c r="BB97" s="386"/>
      <c r="BC97" s="386"/>
      <c r="BD97" s="386"/>
      <c r="BE97" s="386"/>
      <c r="BF97" s="386"/>
      <c r="BI97" s="106"/>
      <c r="BJ97" s="106"/>
      <c r="BK97" s="106"/>
      <c r="BL97" s="106"/>
      <c r="BM97" s="106"/>
      <c r="BN97" s="106"/>
      <c r="BO97" s="106"/>
      <c r="BP97" s="381"/>
      <c r="BQ97" s="382"/>
      <c r="BR97" s="382"/>
      <c r="BS97" s="382"/>
      <c r="BT97" s="382"/>
      <c r="BU97" s="382"/>
      <c r="BV97" s="382"/>
      <c r="BW97" s="382"/>
      <c r="BX97" s="382"/>
      <c r="BY97" s="382"/>
      <c r="BZ97" s="382"/>
      <c r="CA97" s="382"/>
      <c r="CB97" s="382"/>
      <c r="CC97" s="382"/>
      <c r="CD97" s="382"/>
      <c r="CE97" s="382"/>
      <c r="CF97" s="382"/>
      <c r="CG97" s="382"/>
      <c r="CH97" s="382"/>
      <c r="CI97" s="382"/>
      <c r="CJ97" s="382"/>
      <c r="CK97" s="382"/>
      <c r="CL97" s="382"/>
      <c r="CM97" s="382"/>
      <c r="CN97" s="382"/>
      <c r="CO97" s="382"/>
      <c r="CP97" s="382"/>
      <c r="CQ97" s="382"/>
      <c r="CR97" s="382"/>
      <c r="CS97" s="382"/>
      <c r="CT97" s="382"/>
      <c r="CU97" s="382"/>
    </row>
    <row r="98" spans="1:102">
      <c r="A98" s="157" t="s">
        <v>1034</v>
      </c>
      <c r="B98" s="935" t="str">
        <f>'Annual historicals'!G75</f>
        <v>NA</v>
      </c>
      <c r="C98" s="935" t="str">
        <f>'Annual historicals'!H75</f>
        <v>NA</v>
      </c>
      <c r="D98" s="935" t="str">
        <f>'Annual historicals'!I75</f>
        <v>NA</v>
      </c>
      <c r="E98" s="935" t="str">
        <f>'Annual historicals'!J75</f>
        <v>NA</v>
      </c>
      <c r="F98" s="935" t="str">
        <f>'Annual historicals'!K75</f>
        <v>NA</v>
      </c>
      <c r="G98" s="935">
        <f>'Annual historicals'!L75</f>
        <v>129.8590021691974</v>
      </c>
      <c r="H98" s="935">
        <f>'Annual historicals'!M75</f>
        <v>110.63753007217322</v>
      </c>
      <c r="I98" s="202">
        <f>'Annual historicals'!N75</f>
        <v>170.40675364543361</v>
      </c>
      <c r="J98" s="202">
        <f>'Annual historicals'!O75</f>
        <v>173.45230078563412</v>
      </c>
      <c r="K98" s="202">
        <f>'Annual historicals'!P75</f>
        <v>295.95305164319251</v>
      </c>
      <c r="L98" s="202">
        <f>'Annual historicals'!Q75</f>
        <v>223.25914340712222</v>
      </c>
      <c r="M98" s="355">
        <f>'Annual historicals'!R75</f>
        <v>166.30836522689995</v>
      </c>
      <c r="N98" s="356">
        <f t="shared" ref="N98:U98" si="252">N100*N101+(1-N100)*N99</f>
        <v>183.49999999999997</v>
      </c>
      <c r="O98" s="356">
        <f t="shared" si="252"/>
        <v>181.66666666666666</v>
      </c>
      <c r="P98" s="356">
        <f t="shared" si="252"/>
        <v>187.24</v>
      </c>
      <c r="Q98" s="356">
        <f t="shared" si="252"/>
        <v>193.05856</v>
      </c>
      <c r="R98" s="356">
        <f t="shared" si="252"/>
        <v>199.13313664</v>
      </c>
      <c r="S98" s="356">
        <f t="shared" si="252"/>
        <v>205.47499465216001</v>
      </c>
      <c r="T98" s="356">
        <f t="shared" si="252"/>
        <v>212.09589441685506</v>
      </c>
      <c r="U98" s="356">
        <f t="shared" si="252"/>
        <v>219.00811377119669</v>
      </c>
      <c r="V98" s="747"/>
      <c r="W98" s="746"/>
      <c r="X98" s="390"/>
      <c r="Y98" s="390"/>
      <c r="Z98" s="390"/>
      <c r="AA98" s="390"/>
      <c r="AB98" s="390"/>
      <c r="AC98" s="390"/>
      <c r="AD98" s="390"/>
      <c r="AE98" s="390"/>
      <c r="AF98" s="390">
        <f t="shared" ref="AF98:BK98" si="253">AF113*1000/AF61</f>
        <v>249.17331258510026</v>
      </c>
      <c r="AG98" s="390">
        <f t="shared" si="253"/>
        <v>181.70887502818067</v>
      </c>
      <c r="AH98" s="390">
        <f t="shared" si="253"/>
        <v>139.97606223818073</v>
      </c>
      <c r="AI98" s="390">
        <f t="shared" si="253"/>
        <v>88.758572706490412</v>
      </c>
      <c r="AJ98" s="390">
        <f t="shared" si="253"/>
        <v>103.77160317005635</v>
      </c>
      <c r="AK98" s="390">
        <f t="shared" si="253"/>
        <v>140.4792362172787</v>
      </c>
      <c r="AL98" s="390">
        <f t="shared" si="253"/>
        <v>138.7819947043248</v>
      </c>
      <c r="AM98" s="390">
        <f t="shared" si="253"/>
        <v>0</v>
      </c>
      <c r="AN98" s="390">
        <f t="shared" si="253"/>
        <v>166.73919048837325</v>
      </c>
      <c r="AO98" s="390">
        <f t="shared" si="253"/>
        <v>165.05238382699463</v>
      </c>
      <c r="AP98" s="390">
        <f t="shared" si="253"/>
        <v>87.655259822560197</v>
      </c>
      <c r="AQ98" s="390">
        <f t="shared" si="253"/>
        <v>104.79452054794521</v>
      </c>
      <c r="AR98" s="390">
        <f t="shared" si="253"/>
        <v>126.06918238993711</v>
      </c>
      <c r="AS98" s="390">
        <f t="shared" si="253"/>
        <v>121.85714285714286</v>
      </c>
      <c r="AT98" s="390">
        <f t="shared" si="253"/>
        <v>110.54499366286437</v>
      </c>
      <c r="AU98" s="390">
        <f t="shared" si="253"/>
        <v>84.57038391224863</v>
      </c>
      <c r="AV98" s="390">
        <f t="shared" si="253"/>
        <v>153.31868131868131</v>
      </c>
      <c r="AW98" s="390">
        <f t="shared" si="253"/>
        <v>160.03694581280789</v>
      </c>
      <c r="AX98" s="390">
        <f t="shared" si="253"/>
        <v>184.4956772334294</v>
      </c>
      <c r="AY98" s="390">
        <f t="shared" si="253"/>
        <v>174.98327759197326</v>
      </c>
      <c r="AZ98" s="390">
        <f t="shared" si="253"/>
        <v>95.560344827586192</v>
      </c>
      <c r="BA98" s="390">
        <f t="shared" si="253"/>
        <v>156.75476336816229</v>
      </c>
      <c r="BB98" s="390">
        <f t="shared" si="253"/>
        <v>222.84928492849284</v>
      </c>
      <c r="BC98" s="390">
        <f t="shared" si="253"/>
        <v>291.34146341463418</v>
      </c>
      <c r="BD98" s="390">
        <f t="shared" si="253"/>
        <v>256.89781021897807</v>
      </c>
      <c r="BE98" s="390">
        <f t="shared" si="253"/>
        <v>264.78837109876014</v>
      </c>
      <c r="BF98" s="390">
        <f t="shared" si="253"/>
        <v>345.63619227144204</v>
      </c>
      <c r="BG98" s="390">
        <f t="shared" si="253"/>
        <v>593.63636363636363</v>
      </c>
      <c r="BH98" s="390">
        <f t="shared" si="253"/>
        <v>249.30882352941177</v>
      </c>
      <c r="BI98" s="390">
        <f t="shared" si="253"/>
        <v>214.34853420195441</v>
      </c>
      <c r="BJ98" s="390">
        <f t="shared" si="253"/>
        <v>208.47363945578232</v>
      </c>
      <c r="BK98" s="390">
        <f t="shared" si="253"/>
        <v>171.94117647058823</v>
      </c>
      <c r="BL98" s="390">
        <f t="shared" ref="BL98:CU98" si="254">BL113*1000/BL61</f>
        <v>158.82994186046511</v>
      </c>
      <c r="BM98" s="390">
        <f t="shared" si="254"/>
        <v>170.3707590066457</v>
      </c>
      <c r="BN98" s="390">
        <f t="shared" si="254"/>
        <v>164.67924528301887</v>
      </c>
      <c r="BO98" s="390">
        <f t="shared" si="254"/>
        <v>173.3452380952381</v>
      </c>
      <c r="BP98" s="391">
        <f t="shared" si="254"/>
        <v>213.17450096587248</v>
      </c>
      <c r="BQ98" s="364">
        <f t="shared" si="254"/>
        <v>183.5</v>
      </c>
      <c r="BR98" s="364">
        <f t="shared" si="254"/>
        <v>183.49999999999997</v>
      </c>
      <c r="BS98" s="364">
        <f t="shared" si="254"/>
        <v>106.94115637608874</v>
      </c>
      <c r="BT98" s="364">
        <f t="shared" si="254"/>
        <v>181.66666666666666</v>
      </c>
      <c r="BU98" s="364">
        <f t="shared" si="254"/>
        <v>181.66666666666669</v>
      </c>
      <c r="BV98" s="364">
        <f t="shared" si="254"/>
        <v>181.66666666666666</v>
      </c>
      <c r="BW98" s="364">
        <f t="shared" si="254"/>
        <v>181.66666666666654</v>
      </c>
      <c r="BX98" s="364">
        <f t="shared" si="254"/>
        <v>187.23999999999998</v>
      </c>
      <c r="BY98" s="364">
        <f t="shared" si="254"/>
        <v>187.23999999999998</v>
      </c>
      <c r="BZ98" s="364">
        <f t="shared" si="254"/>
        <v>187.23999999999998</v>
      </c>
      <c r="CA98" s="364">
        <f t="shared" si="254"/>
        <v>187.2399999999999</v>
      </c>
      <c r="CB98" s="364">
        <f t="shared" si="254"/>
        <v>193.05856</v>
      </c>
      <c r="CC98" s="364">
        <f t="shared" si="254"/>
        <v>193.05856</v>
      </c>
      <c r="CD98" s="364">
        <f t="shared" si="254"/>
        <v>193.05856</v>
      </c>
      <c r="CE98" s="364">
        <f t="shared" si="254"/>
        <v>193.05856000000006</v>
      </c>
      <c r="CF98" s="364">
        <f t="shared" si="254"/>
        <v>199.13313664</v>
      </c>
      <c r="CG98" s="364">
        <f t="shared" si="254"/>
        <v>199.13313664000003</v>
      </c>
      <c r="CH98" s="364">
        <f t="shared" si="254"/>
        <v>199.13313664</v>
      </c>
      <c r="CI98" s="364">
        <f t="shared" si="254"/>
        <v>199.13313663999992</v>
      </c>
      <c r="CJ98" s="364">
        <f t="shared" si="254"/>
        <v>205.47499465216001</v>
      </c>
      <c r="CK98" s="364">
        <f t="shared" si="254"/>
        <v>205.47499465216004</v>
      </c>
      <c r="CL98" s="364">
        <f t="shared" si="254"/>
        <v>205.47499465216001</v>
      </c>
      <c r="CM98" s="364">
        <f t="shared" si="254"/>
        <v>205.47499465216001</v>
      </c>
      <c r="CN98" s="364">
        <f t="shared" si="254"/>
        <v>212.09589441685506</v>
      </c>
      <c r="CO98" s="364">
        <f t="shared" si="254"/>
        <v>212.09589441685506</v>
      </c>
      <c r="CP98" s="364">
        <f t="shared" si="254"/>
        <v>212.09589441685509</v>
      </c>
      <c r="CQ98" s="364">
        <f t="shared" si="254"/>
        <v>212.09589441685509</v>
      </c>
      <c r="CR98" s="364">
        <f t="shared" si="254"/>
        <v>219.00811377119666</v>
      </c>
      <c r="CS98" s="364">
        <f t="shared" si="254"/>
        <v>219.00811377119669</v>
      </c>
      <c r="CT98" s="364">
        <f t="shared" si="254"/>
        <v>219.00811377119669</v>
      </c>
      <c r="CU98" s="364">
        <f t="shared" si="254"/>
        <v>219.00811377119672</v>
      </c>
    </row>
    <row r="99" spans="1:102">
      <c r="A99" s="157" t="s">
        <v>1033</v>
      </c>
      <c r="B99" s="485">
        <f>Inputs!D29</f>
        <v>69.778333333333336</v>
      </c>
      <c r="C99" s="485">
        <f>Inputs!E29</f>
        <v>99.167500000000004</v>
      </c>
      <c r="D99" s="485">
        <f>Inputs!F29</f>
        <v>147.42750000000001</v>
      </c>
      <c r="E99" s="485">
        <f>Inputs!G29</f>
        <v>43.956666666666656</v>
      </c>
      <c r="F99" s="485">
        <f>Inputs!H29</f>
        <v>70.436666666666653</v>
      </c>
      <c r="G99" s="485">
        <f>Inputs!I29</f>
        <v>33.543333333333337</v>
      </c>
      <c r="H99" s="485">
        <f>Inputs!J29</f>
        <v>143.88833333333335</v>
      </c>
      <c r="I99" s="485">
        <f>Inputs!K29</f>
        <v>266.16666666666669</v>
      </c>
      <c r="J99" s="485">
        <f>Inputs!L29</f>
        <v>678.09749999999997</v>
      </c>
      <c r="K99" s="485">
        <f>Inputs!M29</f>
        <v>310.76166666666671</v>
      </c>
      <c r="L99" s="485">
        <f>Inputs!N29</f>
        <v>107.17333333333333</v>
      </c>
      <c r="M99" s="2081">
        <f>Inputs!O29</f>
        <v>190</v>
      </c>
      <c r="N99" s="678">
        <f>Inputs!P29</f>
        <v>160</v>
      </c>
      <c r="O99" s="678">
        <f>Inputs!Q29</f>
        <v>150</v>
      </c>
      <c r="P99" s="678">
        <f>Inputs!R29</f>
        <v>150</v>
      </c>
      <c r="Q99" s="678">
        <f>Inputs!S29</f>
        <v>150</v>
      </c>
      <c r="R99" s="678">
        <f>Inputs!T29</f>
        <v>150</v>
      </c>
      <c r="S99" s="678">
        <f>Inputs!U29</f>
        <v>150</v>
      </c>
      <c r="T99" s="678">
        <f>Inputs!V29</f>
        <v>150</v>
      </c>
      <c r="U99" s="678">
        <f>Inputs!W29</f>
        <v>150</v>
      </c>
      <c r="V99" s="747"/>
      <c r="W99" s="746"/>
      <c r="X99" s="746"/>
      <c r="Y99" s="746"/>
      <c r="Z99" s="386"/>
      <c r="AA99" s="386"/>
      <c r="AB99" s="386"/>
      <c r="AC99" s="386"/>
      <c r="AD99" s="386"/>
      <c r="AE99" s="386"/>
      <c r="AF99" s="386"/>
      <c r="AG99" s="386"/>
      <c r="AH99" s="386"/>
      <c r="AI99" s="386"/>
      <c r="AJ99" s="386"/>
      <c r="AK99" s="386"/>
      <c r="AL99" s="386"/>
      <c r="AM99" s="386"/>
      <c r="AN99" s="386"/>
      <c r="AO99" s="386"/>
      <c r="AP99" s="386"/>
      <c r="AQ99" s="386"/>
      <c r="AR99" s="386"/>
      <c r="AS99" s="386"/>
      <c r="AT99" s="386"/>
      <c r="AU99" s="386"/>
      <c r="AV99" s="386"/>
      <c r="AW99" s="386"/>
      <c r="AX99" s="386"/>
      <c r="AY99" s="386"/>
      <c r="AZ99" s="386"/>
      <c r="BA99" s="386"/>
      <c r="BB99" s="386"/>
      <c r="BC99" s="386"/>
      <c r="BD99" s="386"/>
      <c r="BE99" s="386"/>
      <c r="BF99" s="386"/>
      <c r="BI99" s="106"/>
      <c r="BJ99" s="106"/>
      <c r="BK99" s="106"/>
      <c r="BL99" s="106"/>
      <c r="BM99" s="106"/>
      <c r="BN99" s="106"/>
      <c r="BO99" s="106"/>
      <c r="BP99" s="381"/>
    </row>
    <row r="100" spans="1:102">
      <c r="A100" s="157" t="s">
        <v>1032</v>
      </c>
      <c r="B100" s="202"/>
      <c r="C100" s="202"/>
      <c r="D100" s="202"/>
      <c r="E100" s="202"/>
      <c r="F100" s="202"/>
      <c r="G100" s="202"/>
      <c r="H100" s="202"/>
      <c r="I100" s="202"/>
      <c r="J100" s="202"/>
      <c r="K100" s="202"/>
      <c r="L100" s="202"/>
      <c r="M100" s="2082"/>
      <c r="N100" s="1678">
        <f>(570+165)/N61</f>
        <v>0.81666666666666654</v>
      </c>
      <c r="O100" s="1678">
        <f>570/O61</f>
        <v>0.6333333333333333</v>
      </c>
      <c r="P100" s="1678">
        <f t="shared" ref="P100:U100" si="255">O100</f>
        <v>0.6333333333333333</v>
      </c>
      <c r="Q100" s="1678">
        <f t="shared" si="255"/>
        <v>0.6333333333333333</v>
      </c>
      <c r="R100" s="1678">
        <f t="shared" si="255"/>
        <v>0.6333333333333333</v>
      </c>
      <c r="S100" s="1678">
        <f t="shared" si="255"/>
        <v>0.6333333333333333</v>
      </c>
      <c r="T100" s="1678">
        <f t="shared" si="255"/>
        <v>0.6333333333333333</v>
      </c>
      <c r="U100" s="1678">
        <f t="shared" si="255"/>
        <v>0.6333333333333333</v>
      </c>
      <c r="V100" s="747"/>
      <c r="W100" s="746"/>
      <c r="X100" s="746"/>
      <c r="Y100" s="746"/>
      <c r="Z100" s="386"/>
      <c r="AA100" s="386"/>
      <c r="AB100" s="386"/>
      <c r="AC100" s="386"/>
      <c r="AD100" s="386"/>
      <c r="AE100" s="386"/>
      <c r="AF100" s="386"/>
      <c r="AG100" s="386"/>
      <c r="AH100" s="386"/>
      <c r="AI100" s="386"/>
      <c r="AJ100" s="386"/>
      <c r="AK100" s="386"/>
      <c r="AL100" s="386"/>
      <c r="AM100" s="386"/>
      <c r="AN100" s="386"/>
      <c r="AO100" s="386"/>
      <c r="AP100" s="386"/>
      <c r="AQ100" s="386"/>
      <c r="AR100" s="386"/>
      <c r="AS100" s="386"/>
      <c r="AT100" s="386"/>
      <c r="AU100" s="386"/>
      <c r="AV100" s="386"/>
      <c r="AW100" s="386"/>
      <c r="AX100" s="386"/>
      <c r="AY100" s="386"/>
      <c r="AZ100" s="386"/>
      <c r="BA100" s="386"/>
      <c r="BB100" s="386"/>
      <c r="BC100" s="386"/>
      <c r="BD100" s="386"/>
      <c r="BE100" s="386"/>
      <c r="BF100" s="386"/>
      <c r="BI100" s="106"/>
      <c r="BJ100" s="106"/>
      <c r="BK100" s="106"/>
      <c r="BL100" s="106"/>
      <c r="BM100" s="106"/>
      <c r="BN100" s="106"/>
      <c r="BO100" s="106"/>
      <c r="BP100" s="381"/>
    </row>
    <row r="101" spans="1:102">
      <c r="A101" s="157" t="s">
        <v>1035</v>
      </c>
      <c r="B101" s="202"/>
      <c r="C101" s="202"/>
      <c r="D101" s="202"/>
      <c r="E101" s="202"/>
      <c r="F101" s="202"/>
      <c r="G101" s="202">
        <f>'Annual historicals'!L46</f>
        <v>129.80000000000001</v>
      </c>
      <c r="H101" s="202">
        <f>'Annual historicals'!M46</f>
        <v>110.6</v>
      </c>
      <c r="I101" s="202">
        <f>'Annual historicals'!N46</f>
        <v>170.4</v>
      </c>
      <c r="J101" s="202">
        <f>'Annual historicals'!O46</f>
        <v>177.8</v>
      </c>
      <c r="K101" s="202">
        <f>'Annual historicals'!P46</f>
        <v>295.89999999999998</v>
      </c>
      <c r="L101" s="202">
        <f>'Annual historicals'!Q46</f>
        <v>223.3</v>
      </c>
      <c r="M101" s="355">
        <f>'Annual historicals'!R46</f>
        <v>166.3</v>
      </c>
      <c r="N101" s="758">
        <f>+(570*200+165*150)/(570+165)</f>
        <v>188.77551020408163</v>
      </c>
      <c r="O101" s="485">
        <v>200</v>
      </c>
      <c r="P101" s="485">
        <f>O101*(1+Inputs!R144)</f>
        <v>208.8</v>
      </c>
      <c r="Q101" s="485">
        <f>P101*(1+Inputs!S144)</f>
        <v>217.98720000000003</v>
      </c>
      <c r="R101" s="485">
        <f>Q101*(1+Inputs!T144)</f>
        <v>227.57863680000003</v>
      </c>
      <c r="S101" s="485">
        <f>R101*(1+Inputs!U144)</f>
        <v>237.59209681920004</v>
      </c>
      <c r="T101" s="485">
        <f>S101*(1+Inputs!V144)</f>
        <v>248.04614907924486</v>
      </c>
      <c r="U101" s="485">
        <f>T101*(1+Inputs!W144)</f>
        <v>258.96017963873163</v>
      </c>
      <c r="V101" s="747"/>
      <c r="W101" s="746"/>
      <c r="X101" s="746"/>
      <c r="Y101" s="746"/>
      <c r="Z101" s="386"/>
      <c r="AA101" s="386"/>
      <c r="AB101" s="386"/>
      <c r="AC101" s="386"/>
      <c r="AD101" s="386"/>
      <c r="AE101" s="386"/>
      <c r="AF101" s="386"/>
      <c r="AG101" s="386"/>
      <c r="AH101" s="386"/>
      <c r="AI101" s="386"/>
      <c r="AJ101" s="386"/>
      <c r="AK101" s="386"/>
      <c r="AL101" s="386"/>
      <c r="AM101" s="386"/>
      <c r="AN101" s="386"/>
      <c r="AO101" s="386"/>
      <c r="AP101" s="386"/>
      <c r="AQ101" s="386"/>
      <c r="AR101" s="386"/>
      <c r="AS101" s="386"/>
      <c r="AT101" s="386"/>
      <c r="AU101" s="386"/>
      <c r="AV101" s="386"/>
      <c r="AW101" s="386"/>
      <c r="AX101" s="386"/>
      <c r="AY101" s="386"/>
      <c r="AZ101" s="386"/>
      <c r="BA101" s="386"/>
      <c r="BB101" s="386"/>
      <c r="BC101" s="386"/>
      <c r="BD101" s="386"/>
      <c r="BE101" s="386"/>
      <c r="BF101" s="386"/>
      <c r="BI101" s="106"/>
      <c r="BJ101" s="106"/>
      <c r="BK101" s="106"/>
      <c r="BL101" s="106"/>
      <c r="BM101" s="106"/>
      <c r="BN101" s="106"/>
      <c r="BO101" s="106"/>
      <c r="BP101" s="381"/>
    </row>
    <row r="102" spans="1:102" s="54" customFormat="1">
      <c r="A102" s="884"/>
      <c r="B102" s="1945"/>
      <c r="C102" s="1945"/>
      <c r="D102" s="1945"/>
      <c r="E102" s="1945"/>
      <c r="F102" s="1945"/>
      <c r="G102" s="1945"/>
      <c r="H102" s="1945"/>
      <c r="I102" s="1945"/>
      <c r="J102" s="1945"/>
      <c r="K102" s="1945"/>
      <c r="L102" s="1945"/>
      <c r="M102" s="2052"/>
      <c r="N102" s="356"/>
      <c r="O102" s="2336"/>
      <c r="P102" s="2336"/>
      <c r="Q102" s="219"/>
      <c r="R102" s="219"/>
      <c r="S102" s="219"/>
      <c r="T102" s="219"/>
      <c r="U102" s="219"/>
      <c r="V102" s="1944"/>
      <c r="W102" s="472"/>
      <c r="X102" s="1946"/>
      <c r="Y102" s="1946"/>
      <c r="Z102" s="1946"/>
      <c r="AA102" s="1946"/>
      <c r="AB102" s="1946"/>
      <c r="AC102" s="1946"/>
      <c r="AD102" s="1946"/>
      <c r="AE102" s="1946"/>
      <c r="AF102" s="1946"/>
      <c r="AG102" s="1946"/>
      <c r="AH102" s="1946"/>
      <c r="AI102" s="1946"/>
      <c r="AJ102" s="1946"/>
      <c r="AK102" s="1946"/>
      <c r="AL102" s="1946"/>
      <c r="AM102" s="1946"/>
      <c r="AN102" s="1946"/>
      <c r="AO102" s="1946"/>
      <c r="AP102" s="1946"/>
      <c r="AQ102" s="1946"/>
      <c r="AR102" s="1946"/>
      <c r="AS102" s="1946"/>
      <c r="AT102" s="1946"/>
      <c r="AU102" s="1946"/>
      <c r="AV102" s="1946"/>
      <c r="AW102" s="1946"/>
      <c r="AX102" s="1947"/>
      <c r="AY102" s="1946"/>
      <c r="AZ102" s="1946"/>
      <c r="BA102" s="1946"/>
      <c r="BB102" s="1946"/>
      <c r="BC102" s="1946"/>
      <c r="BD102" s="1946"/>
      <c r="BE102" s="1946"/>
      <c r="BF102" s="1946"/>
      <c r="BG102" s="1947"/>
      <c r="BH102" s="1947"/>
      <c r="BI102" s="1947"/>
      <c r="BJ102" s="1947"/>
      <c r="BK102" s="1947"/>
      <c r="BL102" s="1947"/>
      <c r="BM102" s="1947"/>
      <c r="BN102" s="1947"/>
      <c r="BO102" s="1947"/>
      <c r="BP102" s="1948"/>
      <c r="BQ102" s="1022"/>
      <c r="BR102" s="1022"/>
      <c r="BS102" s="1022"/>
      <c r="BT102" s="1022"/>
      <c r="BU102" s="1022"/>
      <c r="BV102" s="1022"/>
      <c r="BW102" s="1022"/>
      <c r="BX102" s="1022"/>
      <c r="BY102" s="1022"/>
      <c r="BZ102" s="1022"/>
      <c r="CA102" s="1022"/>
      <c r="CB102" s="1022"/>
      <c r="CC102" s="1022"/>
      <c r="CD102" s="1022"/>
      <c r="CE102" s="1022"/>
      <c r="CF102" s="1022"/>
      <c r="CG102" s="1022"/>
      <c r="CH102" s="1022"/>
      <c r="CI102" s="1022"/>
      <c r="CJ102" s="1022"/>
      <c r="CK102" s="1022"/>
      <c r="CL102" s="1022"/>
      <c r="CM102" s="1022"/>
      <c r="CN102" s="1022"/>
      <c r="CO102" s="1022"/>
      <c r="CP102" s="1022"/>
      <c r="CQ102" s="1022"/>
      <c r="CR102" s="1022"/>
      <c r="CS102" s="1022"/>
      <c r="CT102" s="1022"/>
      <c r="CU102" s="1022"/>
      <c r="CV102" s="1022"/>
      <c r="CW102" s="1022"/>
      <c r="CX102" s="1022"/>
    </row>
    <row r="103" spans="1:102" s="1401" customFormat="1">
      <c r="A103" s="630" t="s">
        <v>1496</v>
      </c>
      <c r="B103" s="633">
        <f t="shared" ref="B103:U103" si="256">+B4</f>
        <v>2006</v>
      </c>
      <c r="C103" s="633">
        <f t="shared" si="256"/>
        <v>2007</v>
      </c>
      <c r="D103" s="633">
        <f t="shared" si="256"/>
        <v>2008</v>
      </c>
      <c r="E103" s="633">
        <f t="shared" si="256"/>
        <v>2009</v>
      </c>
      <c r="F103" s="633">
        <f t="shared" si="256"/>
        <v>2010</v>
      </c>
      <c r="G103" s="633">
        <f t="shared" si="256"/>
        <v>2011</v>
      </c>
      <c r="H103" s="633">
        <f t="shared" si="256"/>
        <v>2012</v>
      </c>
      <c r="I103" s="633">
        <f t="shared" si="256"/>
        <v>2013</v>
      </c>
      <c r="J103" s="633">
        <f t="shared" si="256"/>
        <v>2014</v>
      </c>
      <c r="K103" s="633">
        <f t="shared" si="256"/>
        <v>2015</v>
      </c>
      <c r="L103" s="633">
        <f t="shared" si="256"/>
        <v>2016</v>
      </c>
      <c r="M103" s="2079">
        <f t="shared" si="256"/>
        <v>2017</v>
      </c>
      <c r="N103" s="388">
        <f t="shared" si="256"/>
        <v>2018</v>
      </c>
      <c r="O103" s="388">
        <f t="shared" si="256"/>
        <v>2019</v>
      </c>
      <c r="P103" s="388">
        <f t="shared" si="256"/>
        <v>2020</v>
      </c>
      <c r="Q103" s="388">
        <f t="shared" si="256"/>
        <v>2021</v>
      </c>
      <c r="R103" s="388">
        <f t="shared" si="256"/>
        <v>2022</v>
      </c>
      <c r="S103" s="388">
        <f t="shared" si="256"/>
        <v>2023</v>
      </c>
      <c r="T103" s="388">
        <f t="shared" si="256"/>
        <v>2024</v>
      </c>
      <c r="U103" s="388">
        <f t="shared" si="256"/>
        <v>2025</v>
      </c>
      <c r="V103" s="219"/>
      <c r="W103" s="352"/>
      <c r="X103" s="352"/>
      <c r="Y103" s="352"/>
      <c r="Z103" s="352"/>
      <c r="AA103" s="352"/>
      <c r="AB103" s="352"/>
      <c r="AC103" s="352"/>
      <c r="AD103" s="352"/>
      <c r="AE103" s="352"/>
      <c r="AF103" s="352"/>
      <c r="AG103" s="352"/>
      <c r="AH103" s="352"/>
      <c r="AI103" s="352"/>
      <c r="AJ103" s="352"/>
      <c r="AK103" s="352"/>
      <c r="AL103" s="352"/>
      <c r="AM103" s="352"/>
      <c r="AN103" s="352"/>
      <c r="AO103" s="352"/>
      <c r="AP103" s="352"/>
      <c r="AQ103" s="756"/>
      <c r="AR103" s="756"/>
      <c r="AS103" s="756"/>
      <c r="AT103" s="756"/>
      <c r="AU103" s="756"/>
      <c r="AV103" s="756"/>
      <c r="AW103" s="756"/>
      <c r="AX103" s="756"/>
      <c r="AY103" s="756"/>
      <c r="AZ103" s="756"/>
      <c r="BA103" s="756"/>
      <c r="BB103" s="756"/>
      <c r="BC103" s="756"/>
      <c r="BD103" s="756"/>
      <c r="BE103" s="756"/>
      <c r="BF103" s="756"/>
      <c r="BG103" s="106"/>
      <c r="BH103" s="106"/>
      <c r="BI103" s="106"/>
      <c r="BJ103" s="106"/>
      <c r="BK103" s="106"/>
      <c r="BL103" s="106"/>
      <c r="BM103" s="106"/>
      <c r="BN103" s="106"/>
      <c r="BO103" s="106"/>
      <c r="BP103" s="381"/>
    </row>
    <row r="104" spans="1:102">
      <c r="A104" s="251" t="s">
        <v>873</v>
      </c>
      <c r="B104" s="390">
        <f t="shared" ref="B104:J104" si="257">+B105+B108+B115+B113+B120</f>
        <v>808.02199999999993</v>
      </c>
      <c r="C104" s="390">
        <f t="shared" si="257"/>
        <v>826.53599999999994</v>
      </c>
      <c r="D104" s="390">
        <f t="shared" si="257"/>
        <v>712.41899999999998</v>
      </c>
      <c r="E104" s="390">
        <f t="shared" si="257"/>
        <v>774.44299999999998</v>
      </c>
      <c r="F104" s="390">
        <f t="shared" si="257"/>
        <v>1183.2869999999998</v>
      </c>
      <c r="G104" s="390">
        <f t="shared" si="257"/>
        <v>1295.0449999999998</v>
      </c>
      <c r="H104" s="390">
        <f t="shared" si="257"/>
        <v>1366.9900000000002</v>
      </c>
      <c r="I104" s="390">
        <f t="shared" si="257"/>
        <v>1635.954</v>
      </c>
      <c r="J104" s="390">
        <f t="shared" si="257"/>
        <v>1971.172</v>
      </c>
      <c r="K104" s="390">
        <f>+K105+K108+K115+K113+K120+K114</f>
        <v>2325.1620000000003</v>
      </c>
      <c r="L104" s="390">
        <f>+L105+L108+L115+L113+L120+L114</f>
        <v>2727.3789999999999</v>
      </c>
      <c r="M104" s="391">
        <f>+M105+M108+M115+M113+M120+M114</f>
        <v>3002.8820000000005</v>
      </c>
      <c r="N104" s="392">
        <f t="shared" ref="N104:U104" si="258">+N105+N108+N115+N113+N120+N114</f>
        <v>3656.7611338954334</v>
      </c>
      <c r="O104" s="392">
        <f t="shared" si="258"/>
        <v>3782.0958344005958</v>
      </c>
      <c r="P104" s="392">
        <f t="shared" si="258"/>
        <v>4084.7849487160179</v>
      </c>
      <c r="Q104" s="392">
        <f t="shared" si="258"/>
        <v>4701.0846333566287</v>
      </c>
      <c r="R104" s="392">
        <f t="shared" si="258"/>
        <v>5031.1990094477269</v>
      </c>
      <c r="S104" s="392">
        <f t="shared" si="258"/>
        <v>4788.1568893299891</v>
      </c>
      <c r="T104" s="392">
        <f t="shared" si="258"/>
        <v>4665.5521600540633</v>
      </c>
      <c r="U104" s="392">
        <f t="shared" si="258"/>
        <v>5221.0482727477674</v>
      </c>
      <c r="V104" s="1944"/>
      <c r="W104" s="472"/>
      <c r="X104" s="1031">
        <f t="shared" ref="X104:BK104" si="259">X105+X108+X113+X115+X120+X114</f>
        <v>163.631</v>
      </c>
      <c r="Y104" s="1031">
        <f t="shared" si="259"/>
        <v>259.54000000000002</v>
      </c>
      <c r="Z104" s="1031">
        <f t="shared" si="259"/>
        <v>187.602</v>
      </c>
      <c r="AA104" s="1031">
        <f t="shared" si="259"/>
        <v>183.76700000000002</v>
      </c>
      <c r="AB104" s="1031">
        <f t="shared" si="259"/>
        <v>174.56399999999999</v>
      </c>
      <c r="AC104" s="1031">
        <f t="shared" si="259"/>
        <v>179.07199999999997</v>
      </c>
      <c r="AD104" s="1031">
        <f t="shared" si="259"/>
        <v>127.286</v>
      </c>
      <c r="AE104" s="1031">
        <f t="shared" si="259"/>
        <v>231.49900000000002</v>
      </c>
      <c r="AF104" s="1031">
        <f t="shared" si="259"/>
        <v>92.054000000000002</v>
      </c>
      <c r="AG104" s="1031">
        <f t="shared" si="259"/>
        <v>194.31400000000002</v>
      </c>
      <c r="AH104" s="1031">
        <f t="shared" si="259"/>
        <v>220.81299999999999</v>
      </c>
      <c r="AI104" s="1031">
        <f t="shared" si="259"/>
        <v>267.25900000000001</v>
      </c>
      <c r="AJ104" s="1031">
        <f t="shared" si="259"/>
        <v>217.45600000000002</v>
      </c>
      <c r="AK104" s="1031">
        <f t="shared" si="259"/>
        <v>286.29699999999997</v>
      </c>
      <c r="AL104" s="1031">
        <f t="shared" si="259"/>
        <v>324.15700000000004</v>
      </c>
      <c r="AM104" s="1031">
        <f t="shared" si="259"/>
        <v>355.37800000000004</v>
      </c>
      <c r="AN104" s="1031">
        <f t="shared" si="259"/>
        <v>285.48199999999997</v>
      </c>
      <c r="AO104" s="1031">
        <f t="shared" si="259"/>
        <v>338.75</v>
      </c>
      <c r="AP104" s="1031">
        <f t="shared" si="259"/>
        <v>390.286</v>
      </c>
      <c r="AQ104" s="1031">
        <f t="shared" si="259"/>
        <v>280.55799999999999</v>
      </c>
      <c r="AR104" s="1031">
        <f t="shared" si="259"/>
        <v>328.94600000000003</v>
      </c>
      <c r="AS104" s="1031">
        <f t="shared" si="259"/>
        <v>398.12100000000004</v>
      </c>
      <c r="AT104" s="1031">
        <f t="shared" si="259"/>
        <v>380.43700000000001</v>
      </c>
      <c r="AU104" s="1031">
        <f t="shared" si="259"/>
        <v>259.476</v>
      </c>
      <c r="AV104" s="1031">
        <f t="shared" si="259"/>
        <v>290.31199999999995</v>
      </c>
      <c r="AW104" s="1031">
        <f t="shared" si="259"/>
        <v>546.91399999999999</v>
      </c>
      <c r="AX104" s="1031">
        <f t="shared" si="259"/>
        <v>394.916</v>
      </c>
      <c r="AY104" s="1031">
        <f t="shared" si="259"/>
        <v>403.81400000000002</v>
      </c>
      <c r="AZ104" s="1031">
        <f t="shared" si="259"/>
        <v>493.74899999999997</v>
      </c>
      <c r="BA104" s="1031">
        <f t="shared" si="259"/>
        <v>614.49400000000003</v>
      </c>
      <c r="BB104" s="1031">
        <f t="shared" si="259"/>
        <v>424.81200000000007</v>
      </c>
      <c r="BC104" s="1031">
        <f t="shared" si="259"/>
        <v>438.12300000000005</v>
      </c>
      <c r="BD104" s="1031">
        <f t="shared" si="259"/>
        <v>498.23400000000004</v>
      </c>
      <c r="BE104" s="1031">
        <f t="shared" si="259"/>
        <v>507.1509999999999</v>
      </c>
      <c r="BF104" s="1031">
        <f t="shared" si="259"/>
        <v>583.70699999999999</v>
      </c>
      <c r="BG104" s="1031">
        <f t="shared" si="259"/>
        <v>696.85500000000002</v>
      </c>
      <c r="BH104" s="1031">
        <f t="shared" si="259"/>
        <v>451.12</v>
      </c>
      <c r="BI104" s="1031">
        <f t="shared" si="259"/>
        <v>660.75600000000009</v>
      </c>
      <c r="BJ104" s="1031">
        <f t="shared" si="259"/>
        <v>802.05700000000002</v>
      </c>
      <c r="BK104" s="1031">
        <f t="shared" si="259"/>
        <v>813.44600000000003</v>
      </c>
      <c r="BL104" s="1031">
        <f t="shared" ref="BL104:BM104" si="260">BL105+BL108+BL113+BL115+BL120+BL114</f>
        <v>641.4380000000001</v>
      </c>
      <c r="BM104" s="1031">
        <f t="shared" si="260"/>
        <v>724.447</v>
      </c>
      <c r="BN104" s="1031">
        <f t="shared" ref="BN104:BO104" si="261">BN105+BN108+BN113+BN115+BN120+BN114</f>
        <v>736.92499999999995</v>
      </c>
      <c r="BO104" s="1031">
        <f t="shared" si="261"/>
        <v>900.072</v>
      </c>
      <c r="BP104" s="2315">
        <f t="shared" ref="BP104" si="262">BP105+BP108+BP113+BP115+BP120+BP114</f>
        <v>812.34699999999998</v>
      </c>
      <c r="BQ104" s="2067">
        <f t="shared" ref="BQ104:CU104" si="263">BQ105+BQ108+BQ115+BQ113+BQ120+BQ114</f>
        <v>916.69511232353398</v>
      </c>
      <c r="BR104" s="2067">
        <f t="shared" si="263"/>
        <v>887.61064818875047</v>
      </c>
      <c r="BS104" s="2061">
        <f t="shared" si="263"/>
        <v>1040.1083733831492</v>
      </c>
      <c r="BT104" s="2066">
        <f t="shared" si="263"/>
        <v>1184.6992214143891</v>
      </c>
      <c r="BU104" s="2067">
        <f t="shared" si="263"/>
        <v>946.95058578120745</v>
      </c>
      <c r="BV104" s="2067">
        <f t="shared" si="263"/>
        <v>913.28117219698765</v>
      </c>
      <c r="BW104" s="2061">
        <f t="shared" si="263"/>
        <v>737.16485500801218</v>
      </c>
      <c r="BX104" s="2066">
        <f t="shared" si="263"/>
        <v>1270.6108839582423</v>
      </c>
      <c r="BY104" s="2067">
        <f t="shared" si="263"/>
        <v>1025.519903401153</v>
      </c>
      <c r="BZ104" s="2067">
        <f t="shared" si="263"/>
        <v>987.70738151310616</v>
      </c>
      <c r="CA104" s="2061">
        <f t="shared" si="263"/>
        <v>800.94677984351722</v>
      </c>
      <c r="CB104" s="2066">
        <f t="shared" si="263"/>
        <v>1501.4294834795614</v>
      </c>
      <c r="CC104" s="2067">
        <f t="shared" si="263"/>
        <v>1170.7958835857437</v>
      </c>
      <c r="CD104" s="2067">
        <f t="shared" si="263"/>
        <v>1130.9959576958342</v>
      </c>
      <c r="CE104" s="2061">
        <f t="shared" si="263"/>
        <v>897.86330859548946</v>
      </c>
      <c r="CF104" s="2066">
        <f t="shared" si="263"/>
        <v>1617.9581718899722</v>
      </c>
      <c r="CG104" s="2067">
        <f t="shared" si="263"/>
        <v>1251.4150949342525</v>
      </c>
      <c r="CH104" s="2067">
        <f t="shared" si="263"/>
        <v>1208.5162425853471</v>
      </c>
      <c r="CI104" s="2061">
        <f t="shared" si="263"/>
        <v>953.30950003815497</v>
      </c>
      <c r="CJ104" s="2066">
        <f t="shared" si="263"/>
        <v>1482.0523034075889</v>
      </c>
      <c r="CK104" s="2067">
        <f t="shared" si="263"/>
        <v>1206.8948315293439</v>
      </c>
      <c r="CL104" s="2067">
        <f t="shared" si="263"/>
        <v>1158.29587155067</v>
      </c>
      <c r="CM104" s="2061">
        <f t="shared" si="263"/>
        <v>940.91388284238724</v>
      </c>
      <c r="CN104" s="2066">
        <f t="shared" si="263"/>
        <v>1398.2268745948106</v>
      </c>
      <c r="CO104" s="2067">
        <f t="shared" si="263"/>
        <v>1188.4235269001581</v>
      </c>
      <c r="CP104" s="2067">
        <f t="shared" si="263"/>
        <v>1135.1571026100767</v>
      </c>
      <c r="CQ104" s="2061">
        <f t="shared" si="263"/>
        <v>943.74465594901744</v>
      </c>
      <c r="CR104" s="2066">
        <f t="shared" si="263"/>
        <v>1584.9557287764851</v>
      </c>
      <c r="CS104" s="2067">
        <f t="shared" si="263"/>
        <v>1322.4876867503706</v>
      </c>
      <c r="CT104" s="2067">
        <f t="shared" si="263"/>
        <v>1267.9275261659968</v>
      </c>
      <c r="CU104" s="2061">
        <f t="shared" si="263"/>
        <v>1045.6773310549142</v>
      </c>
    </row>
    <row r="105" spans="1:102">
      <c r="A105" s="251" t="s">
        <v>411</v>
      </c>
      <c r="B105" s="390">
        <f t="shared" ref="B105:T105" si="264">SUM(B106:B107)</f>
        <v>346.29500000000002</v>
      </c>
      <c r="C105" s="390">
        <f t="shared" si="264"/>
        <v>422.65</v>
      </c>
      <c r="D105" s="390">
        <f t="shared" si="264"/>
        <v>273.84899999999999</v>
      </c>
      <c r="E105" s="390">
        <f t="shared" si="264"/>
        <v>229.102</v>
      </c>
      <c r="F105" s="390">
        <f t="shared" si="264"/>
        <v>582.25300000000004</v>
      </c>
      <c r="G105" s="390">
        <f t="shared" si="264"/>
        <v>702.17499999999995</v>
      </c>
      <c r="H105" s="390">
        <f t="shared" si="264"/>
        <v>766.68700000000001</v>
      </c>
      <c r="I105" s="390">
        <f t="shared" si="264"/>
        <v>950.32600000000002</v>
      </c>
      <c r="J105" s="390">
        <f t="shared" si="264"/>
        <v>884.274</v>
      </c>
      <c r="K105" s="390">
        <f t="shared" si="264"/>
        <v>1089.1469999999999</v>
      </c>
      <c r="L105" s="390">
        <f t="shared" si="264"/>
        <v>1258.73</v>
      </c>
      <c r="M105" s="391">
        <f t="shared" ref="M105" si="265">SUM(M106:M107)</f>
        <v>1644.63</v>
      </c>
      <c r="N105" s="392">
        <f t="shared" si="264"/>
        <v>1964.0391383325343</v>
      </c>
      <c r="O105" s="392">
        <f t="shared" si="264"/>
        <v>1777.9307125647576</v>
      </c>
      <c r="P105" s="392">
        <f t="shared" si="264"/>
        <v>1886.329158677735</v>
      </c>
      <c r="Q105" s="392">
        <f t="shared" si="264"/>
        <v>2337.0932331010231</v>
      </c>
      <c r="R105" s="392">
        <f t="shared" si="264"/>
        <v>2545.985218926261</v>
      </c>
      <c r="S105" s="392">
        <f t="shared" si="264"/>
        <v>2178.3972873266416</v>
      </c>
      <c r="T105" s="392">
        <f t="shared" si="264"/>
        <v>1928.3817042516089</v>
      </c>
      <c r="U105" s="392">
        <f>SUM(U106:U107)</f>
        <v>2250.2563740321998</v>
      </c>
      <c r="V105" s="1944"/>
      <c r="W105" s="472"/>
      <c r="X105" s="1031">
        <f t="shared" ref="X105:BC105" si="266">SUM(X106:X107)</f>
        <v>71.775999999999996</v>
      </c>
      <c r="Y105" s="1031">
        <f t="shared" si="266"/>
        <v>137.715</v>
      </c>
      <c r="Z105" s="1031">
        <f t="shared" si="266"/>
        <v>96.962999999999994</v>
      </c>
      <c r="AA105" s="1031">
        <f t="shared" si="266"/>
        <v>103.02000000000001</v>
      </c>
      <c r="AB105" s="1031">
        <f t="shared" si="266"/>
        <v>76.704000000000008</v>
      </c>
      <c r="AC105" s="1031">
        <f t="shared" si="266"/>
        <v>78.24799999999999</v>
      </c>
      <c r="AD105" s="1031">
        <f t="shared" si="266"/>
        <v>44.298000000000002</v>
      </c>
      <c r="AE105" s="1031">
        <f t="shared" si="266"/>
        <v>74.597999999999999</v>
      </c>
      <c r="AF105" s="1031">
        <f t="shared" si="266"/>
        <v>14.260999999999999</v>
      </c>
      <c r="AG105" s="1031">
        <f t="shared" si="266"/>
        <v>44.432000000000002</v>
      </c>
      <c r="AH105" s="1031">
        <f t="shared" si="266"/>
        <v>81.718000000000004</v>
      </c>
      <c r="AI105" s="1031">
        <f t="shared" si="266"/>
        <v>88.69</v>
      </c>
      <c r="AJ105" s="1031">
        <f t="shared" si="266"/>
        <v>104.812</v>
      </c>
      <c r="AK105" s="1031">
        <f t="shared" si="266"/>
        <v>137.31899999999999</v>
      </c>
      <c r="AL105" s="1031">
        <f t="shared" si="266"/>
        <v>140.85400000000001</v>
      </c>
      <c r="AM105" s="1031">
        <f t="shared" si="266"/>
        <v>199.26700000000002</v>
      </c>
      <c r="AN105" s="1031">
        <f t="shared" si="266"/>
        <v>177.447</v>
      </c>
      <c r="AO105" s="1031">
        <f t="shared" si="266"/>
        <v>213.339</v>
      </c>
      <c r="AP105" s="1031">
        <f t="shared" si="266"/>
        <v>196.90300000000002</v>
      </c>
      <c r="AQ105" s="1031">
        <f t="shared" si="266"/>
        <v>114.486</v>
      </c>
      <c r="AR105" s="1031">
        <f t="shared" si="266"/>
        <v>197.244</v>
      </c>
      <c r="AS105" s="1031">
        <f t="shared" si="266"/>
        <v>272.77300000000002</v>
      </c>
      <c r="AT105" s="1031">
        <f t="shared" si="266"/>
        <v>190.72499999999999</v>
      </c>
      <c r="AU105" s="1031">
        <f t="shared" si="266"/>
        <v>105.946</v>
      </c>
      <c r="AV105" s="1031">
        <f t="shared" si="266"/>
        <v>145.78299999999999</v>
      </c>
      <c r="AW105" s="1031">
        <f t="shared" si="266"/>
        <v>407.40299999999996</v>
      </c>
      <c r="AX105" s="1031">
        <f t="shared" si="266"/>
        <v>164.78800000000001</v>
      </c>
      <c r="AY105" s="1031">
        <f t="shared" si="266"/>
        <v>232.352</v>
      </c>
      <c r="AZ105" s="1031">
        <f t="shared" si="266"/>
        <v>229.089</v>
      </c>
      <c r="BA105" s="1031">
        <f t="shared" si="266"/>
        <v>296.06200000000001</v>
      </c>
      <c r="BB105" s="1031">
        <f t="shared" si="266"/>
        <v>169.38800000000001</v>
      </c>
      <c r="BC105" s="1031">
        <f t="shared" si="266"/>
        <v>189.73600000000002</v>
      </c>
      <c r="BD105" s="1031">
        <f t="shared" ref="BD105:CI105" si="267">SUM(BD106:BD107)</f>
        <v>203.864</v>
      </c>
      <c r="BE105" s="1031">
        <f t="shared" si="267"/>
        <v>249.78100000000001</v>
      </c>
      <c r="BF105" s="1031">
        <f t="shared" si="267"/>
        <v>285.05799999999999</v>
      </c>
      <c r="BG105" s="1031">
        <f t="shared" si="267"/>
        <v>346.44100000000003</v>
      </c>
      <c r="BH105" s="1031">
        <f t="shared" si="267"/>
        <v>195.13600000000002</v>
      </c>
      <c r="BI105" s="1031">
        <f t="shared" si="267"/>
        <v>290.053</v>
      </c>
      <c r="BJ105" s="1031">
        <f t="shared" si="267"/>
        <v>381.34699999999998</v>
      </c>
      <c r="BK105" s="1031">
        <f t="shared" si="267"/>
        <v>392.19</v>
      </c>
      <c r="BL105" s="1031">
        <f t="shared" ref="BL105:BM105" si="268">SUM(BL106:BL107)</f>
        <v>387.41</v>
      </c>
      <c r="BM105" s="1031">
        <f t="shared" si="268"/>
        <v>386.67099999999999</v>
      </c>
      <c r="BN105" s="1031">
        <f t="shared" ref="BN105:BO105" si="269">SUM(BN106:BN107)</f>
        <v>347.92899999999997</v>
      </c>
      <c r="BO105" s="1031">
        <f t="shared" si="269"/>
        <v>522.62</v>
      </c>
      <c r="BP105" s="2315">
        <f t="shared" ref="BP105" si="270">SUM(BP106:BP107)</f>
        <v>552.65300000000002</v>
      </c>
      <c r="BQ105" s="1605">
        <f t="shared" si="267"/>
        <v>428.4763692156717</v>
      </c>
      <c r="BR105" s="1605">
        <f t="shared" si="267"/>
        <v>438.39737667186228</v>
      </c>
      <c r="BS105" s="2062">
        <f t="shared" si="267"/>
        <v>544.51239244500039</v>
      </c>
      <c r="BT105" s="2068">
        <f t="shared" si="267"/>
        <v>780.35970645678697</v>
      </c>
      <c r="BU105" s="1605">
        <f t="shared" si="267"/>
        <v>387.87480430942293</v>
      </c>
      <c r="BV105" s="1605">
        <f t="shared" si="267"/>
        <v>396.85571691532982</v>
      </c>
      <c r="BW105" s="2062">
        <f t="shared" si="267"/>
        <v>212.84048488321804</v>
      </c>
      <c r="BX105" s="2068">
        <f t="shared" si="267"/>
        <v>827.93736456871056</v>
      </c>
      <c r="BY105" s="1605">
        <f t="shared" si="267"/>
        <v>411.52309711205106</v>
      </c>
      <c r="BZ105" s="1605">
        <f t="shared" si="267"/>
        <v>421.05156591026446</v>
      </c>
      <c r="CA105" s="2062">
        <f t="shared" si="267"/>
        <v>225.81713108670903</v>
      </c>
      <c r="CB105" s="2068">
        <f t="shared" si="267"/>
        <v>1025.7842875743845</v>
      </c>
      <c r="CC105" s="1605">
        <f t="shared" si="267"/>
        <v>509.86215269000166</v>
      </c>
      <c r="CD105" s="1605">
        <f t="shared" si="267"/>
        <v>521.6675790376114</v>
      </c>
      <c r="CE105" s="2062">
        <f t="shared" si="267"/>
        <v>279.77921379902574</v>
      </c>
      <c r="CF105" s="2068">
        <f t="shared" si="267"/>
        <v>1117.4981919632157</v>
      </c>
      <c r="CG105" s="1605">
        <f t="shared" si="267"/>
        <v>555.45464307571763</v>
      </c>
      <c r="CH105" s="1605">
        <f t="shared" si="267"/>
        <v>568.25909786026784</v>
      </c>
      <c r="CI105" s="2062">
        <f t="shared" si="267"/>
        <v>304.77328602706007</v>
      </c>
      <c r="CJ105" s="2068">
        <f t="shared" ref="CJ105:CU105" si="271">SUM(CJ106:CJ107)</f>
        <v>956.17831434533412</v>
      </c>
      <c r="CK105" s="1605">
        <f t="shared" si="271"/>
        <v>475.27575180906399</v>
      </c>
      <c r="CL105" s="1605">
        <f t="shared" si="271"/>
        <v>486.18387804100087</v>
      </c>
      <c r="CM105" s="2062">
        <f t="shared" si="271"/>
        <v>260.75934313124282</v>
      </c>
      <c r="CN105" s="2068">
        <f t="shared" si="271"/>
        <v>846.45828811970853</v>
      </c>
      <c r="CO105" s="1605">
        <f t="shared" si="271"/>
        <v>420.74337000266559</v>
      </c>
      <c r="CP105" s="1605">
        <f t="shared" si="271"/>
        <v>430.35776880589691</v>
      </c>
      <c r="CQ105" s="2062">
        <f t="shared" si="271"/>
        <v>230.82227732333786</v>
      </c>
      <c r="CR105" s="2068">
        <f t="shared" si="271"/>
        <v>987.76861717120539</v>
      </c>
      <c r="CS105" s="1605">
        <f t="shared" si="271"/>
        <v>490.98910142942844</v>
      </c>
      <c r="CT105" s="1605">
        <f t="shared" si="271"/>
        <v>502.15992854364208</v>
      </c>
      <c r="CU105" s="2062">
        <f t="shared" si="271"/>
        <v>269.33872688792405</v>
      </c>
    </row>
    <row r="106" spans="1:102">
      <c r="A106" s="157" t="s">
        <v>875</v>
      </c>
      <c r="B106" s="202">
        <f>'Annual historicals'!G50</f>
        <v>118.127</v>
      </c>
      <c r="C106" s="202">
        <f>'Annual historicals'!H50</f>
        <v>129.535</v>
      </c>
      <c r="D106" s="202">
        <f>'Annual historicals'!I50</f>
        <v>85.233999999999995</v>
      </c>
      <c r="E106" s="202">
        <f>'Annual historicals'!J50</f>
        <v>23.385999999999999</v>
      </c>
      <c r="F106" s="202">
        <f>'Annual historicals'!K50</f>
        <v>48.682000000000002</v>
      </c>
      <c r="G106" s="202">
        <f>'Annual historicals'!L50</f>
        <v>53.674999999999997</v>
      </c>
      <c r="H106" s="202">
        <f>'Annual historicals'!M50</f>
        <v>60.246000000000002</v>
      </c>
      <c r="I106" s="202">
        <f>'Annual historicals'!N50</f>
        <v>61.81</v>
      </c>
      <c r="J106" s="202">
        <f>'Annual historicals'!O50</f>
        <v>64.594999999999999</v>
      </c>
      <c r="K106" s="202">
        <f>'Annual historicals'!P50</f>
        <v>79.236999999999995</v>
      </c>
      <c r="L106" s="202">
        <f>'Annual historicals'!Q50</f>
        <v>102.23</v>
      </c>
      <c r="M106" s="355">
        <f>'Annual historicals'!R50</f>
        <v>161.81299999999999</v>
      </c>
      <c r="N106" s="356">
        <f t="shared" ref="N106:U107" si="272">N54/1000*N82</f>
        <v>169.0373780676592</v>
      </c>
      <c r="O106" s="356">
        <f t="shared" si="272"/>
        <v>153.01973375798752</v>
      </c>
      <c r="P106" s="356">
        <f t="shared" si="272"/>
        <v>162.34917570235868</v>
      </c>
      <c r="Q106" s="356">
        <f t="shared" si="272"/>
        <v>201.14472502745917</v>
      </c>
      <c r="R106" s="356">
        <f t="shared" si="272"/>
        <v>218.16649911050004</v>
      </c>
      <c r="S106" s="356">
        <f t="shared" si="272"/>
        <v>185.85623143818037</v>
      </c>
      <c r="T106" s="356">
        <f t="shared" si="272"/>
        <v>163.81327930370304</v>
      </c>
      <c r="U106" s="356">
        <f t="shared" si="272"/>
        <v>190.33221520819663</v>
      </c>
      <c r="V106" s="1944"/>
      <c r="W106" s="472"/>
      <c r="X106" s="1015">
        <f>'Quarterly historicals'!B75</f>
        <v>19.091999999999999</v>
      </c>
      <c r="Y106" s="1015">
        <f>'Quarterly historicals'!C75</f>
        <v>39.134</v>
      </c>
      <c r="Z106" s="1015">
        <f>'Quarterly historicals'!D75</f>
        <v>31.175000000000001</v>
      </c>
      <c r="AA106" s="1015">
        <f>'Quarterly historicals'!E75</f>
        <v>22.79</v>
      </c>
      <c r="AB106" s="1015">
        <f>'Quarterly historicals'!F75</f>
        <v>20.436</v>
      </c>
      <c r="AC106" s="1015">
        <f>'Quarterly historicals'!G75</f>
        <v>18.805</v>
      </c>
      <c r="AD106" s="1015">
        <f>'Quarterly historicals'!H75</f>
        <v>22.663</v>
      </c>
      <c r="AE106" s="1015">
        <f>'Quarterly historicals'!I75</f>
        <v>23.33</v>
      </c>
      <c r="AF106" s="1015">
        <f>'Quarterly historicals'!J75</f>
        <v>1.61</v>
      </c>
      <c r="AG106" s="1015">
        <f>'Quarterly historicals'!K75</f>
        <v>6.8689999999999998</v>
      </c>
      <c r="AH106" s="1015">
        <f>'Quarterly historicals'!L75</f>
        <v>6.9409999999999998</v>
      </c>
      <c r="AI106" s="1015">
        <f>'Quarterly historicals'!M75</f>
        <v>7.9649999999999999</v>
      </c>
      <c r="AJ106" s="1015">
        <f>'Quarterly historicals'!N75</f>
        <v>11.131</v>
      </c>
      <c r="AK106" s="1015">
        <f>'Quarterly historicals'!O75</f>
        <v>10.855</v>
      </c>
      <c r="AL106" s="1015">
        <f>'Quarterly historicals'!P75</f>
        <v>11.847</v>
      </c>
      <c r="AM106" s="1015">
        <f>'Quarterly historicals'!Q75</f>
        <v>14.848000000000001</v>
      </c>
      <c r="AN106" s="1015">
        <f>'Quarterly historicals'!R75</f>
        <v>9.7530000000000001</v>
      </c>
      <c r="AO106" s="1015">
        <f>'Quarterly historicals'!S75</f>
        <v>9.61</v>
      </c>
      <c r="AP106" s="1015">
        <f>'Quarterly historicals'!T75</f>
        <v>13.686999999999999</v>
      </c>
      <c r="AQ106" s="1015">
        <f>'Quarterly historicals'!U75</f>
        <v>20.625</v>
      </c>
      <c r="AR106" s="1015">
        <f>'Quarterly historicals'!V75</f>
        <v>11.673</v>
      </c>
      <c r="AS106" s="1015">
        <f>'Quarterly historicals'!W75</f>
        <v>12.744</v>
      </c>
      <c r="AT106" s="1015">
        <f>'Quarterly historicals'!X75</f>
        <v>19.946000000000002</v>
      </c>
      <c r="AU106" s="1015">
        <f>'Quarterly historicals'!Y75</f>
        <v>15.884</v>
      </c>
      <c r="AV106" s="1015">
        <f>'Quarterly historicals'!Z75</f>
        <v>10.797000000000001</v>
      </c>
      <c r="AW106" s="1015">
        <f>'Quarterly historicals'!AA75</f>
        <v>15.77</v>
      </c>
      <c r="AX106" s="1015">
        <f>'Quarterly historicals'!AB75</f>
        <v>17.625</v>
      </c>
      <c r="AY106" s="1015">
        <f>'Quarterly historicals'!AC75</f>
        <v>17.617999999999999</v>
      </c>
      <c r="AZ106" s="1015">
        <f>'Quarterly historicals'!AD75</f>
        <v>13.019</v>
      </c>
      <c r="BA106" s="1015">
        <f>'Quarterly historicals'!AE75</f>
        <v>19.308</v>
      </c>
      <c r="BB106" s="1015">
        <f>'Quarterly historicals'!AF75</f>
        <v>14.433999999999999</v>
      </c>
      <c r="BC106" s="1015">
        <f>'Quarterly historicals'!AG75</f>
        <v>17.835000000000001</v>
      </c>
      <c r="BD106" s="1015">
        <f>'Quarterly historicals'!AH75</f>
        <v>16.675000000000001</v>
      </c>
      <c r="BE106" s="1015">
        <f>'Quarterly historicals'!AI75</f>
        <v>16.908000000000001</v>
      </c>
      <c r="BF106" s="1015">
        <f>'Quarterly historicals'!AJ75</f>
        <v>21.965</v>
      </c>
      <c r="BG106" s="1015">
        <f>'Quarterly historicals'!AK75</f>
        <v>23.689</v>
      </c>
      <c r="BH106" s="1015">
        <f>'Quarterly historicals'!AL75</f>
        <v>22.960999999999999</v>
      </c>
      <c r="BI106" s="1015">
        <f>'Quarterly historicals'!AM75</f>
        <v>22.882999999999999</v>
      </c>
      <c r="BJ106" s="1015">
        <f>'Quarterly historicals'!AN75</f>
        <v>26.596</v>
      </c>
      <c r="BK106" s="1015">
        <f>'Quarterly historicals'!AO75</f>
        <v>29.786000000000001</v>
      </c>
      <c r="BL106" s="1015">
        <f>'Quarterly historicals'!AP75</f>
        <v>27.5</v>
      </c>
      <c r="BM106" s="1015">
        <f>'Quarterly historicals'!AQ75</f>
        <v>32.140999999999998</v>
      </c>
      <c r="BN106" s="1015">
        <f>'Quarterly historicals'!AR75</f>
        <v>41.637999999999998</v>
      </c>
      <c r="BO106" s="1015">
        <f>'Quarterly historicals'!AS75</f>
        <v>60.533999999999999</v>
      </c>
      <c r="BP106" s="1032">
        <f>'Quarterly historicals'!AT75</f>
        <v>42.118000000000002</v>
      </c>
      <c r="BQ106" s="1606">
        <f>$N106*BQ216</f>
        <v>33.575981957399186</v>
      </c>
      <c r="BR106" s="1606">
        <f>$N106*BR216</f>
        <v>43.496989413589723</v>
      </c>
      <c r="BS106" s="2063">
        <f t="shared" ref="BS106:BS107" si="273">$N106-SUM(BP106:BR106)</f>
        <v>49.8464066966703</v>
      </c>
      <c r="BT106" s="2069">
        <f t="shared" ref="BT106:BV107" si="274">$O106*BT216</f>
        <v>63.045459534941394</v>
      </c>
      <c r="BU106" s="1606">
        <f t="shared" si="274"/>
        <v>30.394388971933509</v>
      </c>
      <c r="BV106" s="1606">
        <f t="shared" si="274"/>
        <v>39.375301577840375</v>
      </c>
      <c r="BW106" s="2063">
        <f t="shared" ref="BW106:BW107" si="275">$O106-SUM(BT106:BV106)</f>
        <v>20.204583673272225</v>
      </c>
      <c r="BX106" s="2069">
        <f t="shared" ref="BX106:BZ107" si="276">$P106*BX216</f>
        <v>66.889270657483848</v>
      </c>
      <c r="BY106" s="1606">
        <f t="shared" si="276"/>
        <v>32.247500857468253</v>
      </c>
      <c r="BZ106" s="1606">
        <f t="shared" si="276"/>
        <v>41.775969655681621</v>
      </c>
      <c r="CA106" s="2063">
        <f t="shared" ref="CA106:CA107" si="277">$P106-SUM(BX106:BZ106)</f>
        <v>21.436434531724956</v>
      </c>
      <c r="CB106" s="2069">
        <f t="shared" ref="CB106:CD107" si="278">$Q106*CB216</f>
        <v>82.873373982221025</v>
      </c>
      <c r="CC106" s="1606">
        <f t="shared" si="278"/>
        <v>39.953480913817586</v>
      </c>
      <c r="CD106" s="1606">
        <f t="shared" si="278"/>
        <v>51.75890726142736</v>
      </c>
      <c r="CE106" s="2063">
        <f t="shared" ref="CE106:CE107" si="279">$Q106-SUM(CB106:CD106)</f>
        <v>26.558962869993195</v>
      </c>
      <c r="CF106" s="2069">
        <f t="shared" ref="CF106:CH107" si="280">$R106*CF216</f>
        <v>89.886492766380783</v>
      </c>
      <c r="CG106" s="1606">
        <f t="shared" si="280"/>
        <v>43.334524716250129</v>
      </c>
      <c r="CH106" s="1606">
        <f t="shared" si="280"/>
        <v>56.138979500800311</v>
      </c>
      <c r="CI106" s="2063">
        <f t="shared" ref="CI106:CI107" si="281">$R106-SUM(CF106:CH106)</f>
        <v>28.806502127068825</v>
      </c>
      <c r="CJ106" s="2069">
        <f t="shared" ref="CJ106:CL107" si="282">$S106*CJ216</f>
        <v>76.574381817867092</v>
      </c>
      <c r="CK106" s="1606">
        <f t="shared" si="282"/>
        <v>36.916719513602466</v>
      </c>
      <c r="CL106" s="1606">
        <f t="shared" si="282"/>
        <v>47.824845745539321</v>
      </c>
      <c r="CM106" s="2063">
        <f t="shared" ref="CM106:CM107" si="283">$S106-SUM(CJ106:CL106)</f>
        <v>24.540284361171473</v>
      </c>
      <c r="CN106" s="2069">
        <f t="shared" ref="CN106:CP107" si="284">$T106*CN216</f>
        <v>67.492494059372035</v>
      </c>
      <c r="CO106" s="1606">
        <f t="shared" si="284"/>
        <v>32.538316514126301</v>
      </c>
      <c r="CP106" s="1606">
        <f t="shared" si="284"/>
        <v>42.152715317357611</v>
      </c>
      <c r="CQ106" s="2063">
        <f t="shared" ref="CQ106:CQ107" si="285">$T106-SUM(CN106:CP106)</f>
        <v>21.629753412847094</v>
      </c>
      <c r="CR106" s="2069">
        <f t="shared" ref="CR106:CT107" si="286">$U106*CR216</f>
        <v>78.418526012353283</v>
      </c>
      <c r="CS106" s="1606">
        <f t="shared" si="286"/>
        <v>37.805786488147724</v>
      </c>
      <c r="CT106" s="1606">
        <f t="shared" si="286"/>
        <v>48.976613602361311</v>
      </c>
      <c r="CU106" s="2063">
        <f t="shared" ref="CU106:CU107" si="287">$U106-SUM(CR106:CT106)</f>
        <v>25.131289105334304</v>
      </c>
    </row>
    <row r="107" spans="1:102">
      <c r="A107" s="157" t="s">
        <v>424</v>
      </c>
      <c r="B107" s="202">
        <f>'Annual historicals'!G51</f>
        <v>228.16800000000001</v>
      </c>
      <c r="C107" s="202">
        <f>'Annual historicals'!H51</f>
        <v>293.11500000000001</v>
      </c>
      <c r="D107" s="202">
        <f>'Annual historicals'!I51</f>
        <v>188.61500000000001</v>
      </c>
      <c r="E107" s="202">
        <f>'Annual historicals'!J51</f>
        <v>205.71600000000001</v>
      </c>
      <c r="F107" s="202">
        <f>'Annual historicals'!K51</f>
        <v>533.57100000000003</v>
      </c>
      <c r="G107" s="202">
        <f>'Annual historicals'!L51</f>
        <v>648.5</v>
      </c>
      <c r="H107" s="202">
        <f>'Annual historicals'!M51</f>
        <v>706.44100000000003</v>
      </c>
      <c r="I107" s="202">
        <f>'Annual historicals'!N51</f>
        <v>888.51599999999996</v>
      </c>
      <c r="J107" s="202">
        <f>'Annual historicals'!O51</f>
        <v>819.67899999999997</v>
      </c>
      <c r="K107" s="202">
        <f>'Annual historicals'!P51</f>
        <v>1009.91</v>
      </c>
      <c r="L107" s="202">
        <f>'Annual historicals'!Q51</f>
        <v>1156.5</v>
      </c>
      <c r="M107" s="355">
        <f>'Annual historicals'!R51</f>
        <v>1482.817</v>
      </c>
      <c r="N107" s="356">
        <f t="shared" si="272"/>
        <v>1795.0017602648752</v>
      </c>
      <c r="O107" s="356">
        <f t="shared" si="272"/>
        <v>1624.9109788067701</v>
      </c>
      <c r="P107" s="356">
        <f t="shared" si="272"/>
        <v>1723.9799829753763</v>
      </c>
      <c r="Q107" s="356">
        <f t="shared" si="272"/>
        <v>2135.948508073564</v>
      </c>
      <c r="R107" s="356">
        <f t="shared" si="272"/>
        <v>2327.8187198157611</v>
      </c>
      <c r="S107" s="356">
        <f t="shared" si="272"/>
        <v>1992.5410558884614</v>
      </c>
      <c r="T107" s="356">
        <f t="shared" si="272"/>
        <v>1764.5684249479059</v>
      </c>
      <c r="U107" s="356">
        <f t="shared" si="272"/>
        <v>2059.9241588240034</v>
      </c>
      <c r="V107" s="1944"/>
      <c r="W107" s="472"/>
      <c r="X107" s="1015">
        <f>'Quarterly historicals'!B76</f>
        <v>52.683999999999997</v>
      </c>
      <c r="Y107" s="1015">
        <f>'Quarterly historicals'!C76</f>
        <v>98.581000000000003</v>
      </c>
      <c r="Z107" s="1015">
        <f>'Quarterly historicals'!D76</f>
        <v>65.787999999999997</v>
      </c>
      <c r="AA107" s="1015">
        <f>'Quarterly historicals'!E76</f>
        <v>80.23</v>
      </c>
      <c r="AB107" s="1015">
        <f>'Quarterly historicals'!F76</f>
        <v>56.268000000000001</v>
      </c>
      <c r="AC107" s="1015">
        <f>'Quarterly historicals'!G76</f>
        <v>59.442999999999998</v>
      </c>
      <c r="AD107" s="1015">
        <f>'Quarterly historicals'!H76</f>
        <v>21.635000000000002</v>
      </c>
      <c r="AE107" s="1015">
        <f>'Quarterly historicals'!I76</f>
        <v>51.268000000000001</v>
      </c>
      <c r="AF107" s="1015">
        <f>'Quarterly historicals'!J76</f>
        <v>12.651</v>
      </c>
      <c r="AG107" s="1015">
        <f>'Quarterly historicals'!K76</f>
        <v>37.563000000000002</v>
      </c>
      <c r="AH107" s="1015">
        <f>'Quarterly historicals'!L76</f>
        <v>74.777000000000001</v>
      </c>
      <c r="AI107" s="1015">
        <f>'Quarterly historicals'!M76</f>
        <v>80.724999999999994</v>
      </c>
      <c r="AJ107" s="1015">
        <f>'Quarterly historicals'!N76</f>
        <v>93.680999999999997</v>
      </c>
      <c r="AK107" s="1015">
        <f>'Quarterly historicals'!O76</f>
        <v>126.464</v>
      </c>
      <c r="AL107" s="1015">
        <f>'Quarterly historicals'!P76</f>
        <v>129.00700000000001</v>
      </c>
      <c r="AM107" s="1015">
        <f>'Quarterly historicals'!Q76</f>
        <v>184.41900000000001</v>
      </c>
      <c r="AN107" s="1015">
        <f>'Quarterly historicals'!R76</f>
        <v>167.69399999999999</v>
      </c>
      <c r="AO107" s="1015">
        <f>'Quarterly historicals'!S76</f>
        <v>203.72900000000001</v>
      </c>
      <c r="AP107" s="1015">
        <f>'Quarterly historicals'!T76</f>
        <v>183.21600000000001</v>
      </c>
      <c r="AQ107" s="1015">
        <f>'Quarterly historicals'!U76</f>
        <v>93.861000000000004</v>
      </c>
      <c r="AR107" s="1015">
        <f>'Quarterly historicals'!V76</f>
        <v>185.571</v>
      </c>
      <c r="AS107" s="1015">
        <f>'Quarterly historicals'!W76</f>
        <v>260.029</v>
      </c>
      <c r="AT107" s="1015">
        <f>'Quarterly historicals'!X76</f>
        <v>170.779</v>
      </c>
      <c r="AU107" s="1015">
        <f>'Quarterly historicals'!Y76</f>
        <v>90.061999999999998</v>
      </c>
      <c r="AV107" s="1015">
        <f>'Quarterly historicals'!Z76</f>
        <v>134.98599999999999</v>
      </c>
      <c r="AW107" s="1015">
        <f>'Quarterly historicals'!AA76</f>
        <v>391.63299999999998</v>
      </c>
      <c r="AX107" s="1015">
        <f>'Quarterly historicals'!AB76</f>
        <v>147.16300000000001</v>
      </c>
      <c r="AY107" s="1015">
        <f>'Quarterly historicals'!AC76</f>
        <v>214.73400000000001</v>
      </c>
      <c r="AZ107" s="1015">
        <f>'Quarterly historicals'!AD76</f>
        <v>216.07</v>
      </c>
      <c r="BA107" s="1015">
        <f>'Quarterly historicals'!AE76</f>
        <v>276.75400000000002</v>
      </c>
      <c r="BB107" s="1015">
        <f>'Quarterly historicals'!AF76</f>
        <v>154.95400000000001</v>
      </c>
      <c r="BC107" s="1015">
        <f>'Quarterly historicals'!AG76</f>
        <v>171.90100000000001</v>
      </c>
      <c r="BD107" s="1015">
        <f>'Quarterly historicals'!AH76</f>
        <v>187.18899999999999</v>
      </c>
      <c r="BE107" s="1015">
        <f>'Quarterly historicals'!AI76</f>
        <v>232.87299999999999</v>
      </c>
      <c r="BF107" s="1015">
        <f>'Quarterly historicals'!AJ76</f>
        <v>263.09300000000002</v>
      </c>
      <c r="BG107" s="1015">
        <f>'Quarterly historicals'!AK76</f>
        <v>322.75200000000001</v>
      </c>
      <c r="BH107" s="1015">
        <f>'Quarterly historicals'!AL76</f>
        <v>172.17500000000001</v>
      </c>
      <c r="BI107" s="1015">
        <f>'Quarterly historicals'!AM76</f>
        <v>267.17</v>
      </c>
      <c r="BJ107" s="1015">
        <f>'Quarterly historicals'!AN76</f>
        <v>354.75099999999998</v>
      </c>
      <c r="BK107" s="1015">
        <f>'Quarterly historicals'!AO76</f>
        <v>362.404</v>
      </c>
      <c r="BL107" s="1015">
        <f>'Quarterly historicals'!AP76</f>
        <v>359.91</v>
      </c>
      <c r="BM107" s="1015">
        <f>'Quarterly historicals'!AQ76</f>
        <v>354.53</v>
      </c>
      <c r="BN107" s="1015">
        <f>'Quarterly historicals'!AR76</f>
        <v>306.291</v>
      </c>
      <c r="BO107" s="1015">
        <f>'Quarterly historicals'!AS76</f>
        <v>462.08600000000001</v>
      </c>
      <c r="BP107" s="1032">
        <f>'Quarterly historicals'!AT76</f>
        <v>510.53500000000003</v>
      </c>
      <c r="BQ107" s="1606">
        <f>$N107*BQ217</f>
        <v>394.90038725827253</v>
      </c>
      <c r="BR107" s="1606">
        <f>$N107*BR217</f>
        <v>394.90038725827253</v>
      </c>
      <c r="BS107" s="2063">
        <f t="shared" si="273"/>
        <v>494.66598574833006</v>
      </c>
      <c r="BT107" s="2069">
        <f t="shared" si="274"/>
        <v>717.31424692184555</v>
      </c>
      <c r="BU107" s="1606">
        <f t="shared" si="274"/>
        <v>357.48041533748943</v>
      </c>
      <c r="BV107" s="1606">
        <f t="shared" si="274"/>
        <v>357.48041533748943</v>
      </c>
      <c r="BW107" s="2063">
        <f t="shared" si="275"/>
        <v>192.63590120994581</v>
      </c>
      <c r="BX107" s="2069">
        <f t="shared" si="276"/>
        <v>761.04809391122672</v>
      </c>
      <c r="BY107" s="1606">
        <f t="shared" si="276"/>
        <v>379.27559625458281</v>
      </c>
      <c r="BZ107" s="1606">
        <f t="shared" si="276"/>
        <v>379.27559625458281</v>
      </c>
      <c r="CA107" s="2063">
        <f t="shared" si="277"/>
        <v>204.38069655498407</v>
      </c>
      <c r="CB107" s="2069">
        <f t="shared" si="278"/>
        <v>942.91091359216341</v>
      </c>
      <c r="CC107" s="1606">
        <f t="shared" si="278"/>
        <v>469.90867177618406</v>
      </c>
      <c r="CD107" s="1606">
        <f t="shared" si="278"/>
        <v>469.90867177618406</v>
      </c>
      <c r="CE107" s="2063">
        <f t="shared" si="279"/>
        <v>253.22025092903255</v>
      </c>
      <c r="CF107" s="2069">
        <f t="shared" si="280"/>
        <v>1027.6116991968349</v>
      </c>
      <c r="CG107" s="1606">
        <f t="shared" si="280"/>
        <v>512.12011835946748</v>
      </c>
      <c r="CH107" s="1606">
        <f t="shared" si="280"/>
        <v>512.12011835946748</v>
      </c>
      <c r="CI107" s="2063">
        <f t="shared" si="281"/>
        <v>275.96678389999124</v>
      </c>
      <c r="CJ107" s="2069">
        <f t="shared" si="282"/>
        <v>879.60393252746701</v>
      </c>
      <c r="CK107" s="1606">
        <f t="shared" si="282"/>
        <v>438.35903229546153</v>
      </c>
      <c r="CL107" s="1606">
        <f t="shared" si="282"/>
        <v>438.35903229546153</v>
      </c>
      <c r="CM107" s="2063">
        <f t="shared" si="283"/>
        <v>236.21905877007134</v>
      </c>
      <c r="CN107" s="2069">
        <f t="shared" si="284"/>
        <v>778.96579406033652</v>
      </c>
      <c r="CO107" s="1606">
        <f t="shared" si="284"/>
        <v>388.20505348853931</v>
      </c>
      <c r="CP107" s="1606">
        <f t="shared" si="284"/>
        <v>388.20505348853931</v>
      </c>
      <c r="CQ107" s="2063">
        <f t="shared" si="285"/>
        <v>209.19252391049076</v>
      </c>
      <c r="CR107" s="2069">
        <f t="shared" si="286"/>
        <v>909.35009115885214</v>
      </c>
      <c r="CS107" s="1606">
        <f t="shared" si="286"/>
        <v>453.18331494128074</v>
      </c>
      <c r="CT107" s="1606">
        <f t="shared" si="286"/>
        <v>453.18331494128074</v>
      </c>
      <c r="CU107" s="2063">
        <f t="shared" si="287"/>
        <v>244.20743778258975</v>
      </c>
    </row>
    <row r="108" spans="1:102">
      <c r="A108" s="251" t="s">
        <v>412</v>
      </c>
      <c r="B108" s="390">
        <f t="shared" ref="B108:U108" si="288">+SUM(B109:B112)</f>
        <v>429.86299999999994</v>
      </c>
      <c r="C108" s="390">
        <f t="shared" si="288"/>
        <v>366.74</v>
      </c>
      <c r="D108" s="390">
        <f t="shared" si="288"/>
        <v>403.01299999999998</v>
      </c>
      <c r="E108" s="390">
        <f t="shared" si="288"/>
        <v>481.524</v>
      </c>
      <c r="F108" s="390">
        <f t="shared" si="288"/>
        <v>522.83799999999997</v>
      </c>
      <c r="G108" s="390">
        <f t="shared" si="288"/>
        <v>520.95900000000006</v>
      </c>
      <c r="H108" s="390">
        <f t="shared" si="288"/>
        <v>505.07</v>
      </c>
      <c r="I108" s="390">
        <f t="shared" si="288"/>
        <v>546.16599999999994</v>
      </c>
      <c r="J108" s="390">
        <f t="shared" si="288"/>
        <v>841.13300000000004</v>
      </c>
      <c r="K108" s="390">
        <f t="shared" si="288"/>
        <v>962.45299999999997</v>
      </c>
      <c r="L108" s="390">
        <f t="shared" si="288"/>
        <v>1301.662</v>
      </c>
      <c r="M108" s="391">
        <f t="shared" ref="M108" si="289">+SUM(M109:M112)</f>
        <v>1238.877</v>
      </c>
      <c r="N108" s="392">
        <f t="shared" si="288"/>
        <v>1487.6537955628992</v>
      </c>
      <c r="O108" s="392">
        <f t="shared" si="288"/>
        <v>1726.1524818358384</v>
      </c>
      <c r="P108" s="392">
        <f t="shared" si="288"/>
        <v>1893.594377638283</v>
      </c>
      <c r="Q108" s="392">
        <f t="shared" si="288"/>
        <v>2034.2241783676059</v>
      </c>
      <c r="R108" s="392">
        <f t="shared" si="288"/>
        <v>2131.1404245326653</v>
      </c>
      <c r="S108" s="392">
        <f>+SUM(S109:S112)</f>
        <v>2232.676993814548</v>
      </c>
      <c r="T108" s="392">
        <f t="shared" si="288"/>
        <v>2339.0510030185833</v>
      </c>
      <c r="U108" s="392">
        <f t="shared" si="288"/>
        <v>2554.2030595068245</v>
      </c>
      <c r="V108" s="1944"/>
      <c r="W108" s="472"/>
      <c r="X108" s="1031">
        <f t="shared" ref="X108:BC108" si="290">SUM(X109:X112)</f>
        <v>84.448000000000008</v>
      </c>
      <c r="Y108" s="1031">
        <f t="shared" si="290"/>
        <v>109.233</v>
      </c>
      <c r="Z108" s="1031">
        <f t="shared" si="290"/>
        <v>81.34</v>
      </c>
      <c r="AA108" s="1031">
        <f t="shared" si="290"/>
        <v>74.584999999999994</v>
      </c>
      <c r="AB108" s="1031">
        <f t="shared" si="290"/>
        <v>90.308000000000007</v>
      </c>
      <c r="AC108" s="1031">
        <f t="shared" si="290"/>
        <v>86.075000000000003</v>
      </c>
      <c r="AD108" s="1031">
        <f t="shared" si="290"/>
        <v>76.415999999999997</v>
      </c>
      <c r="AE108" s="1031">
        <f t="shared" si="290"/>
        <v>150.21600000000001</v>
      </c>
      <c r="AF108" s="1031">
        <f t="shared" si="290"/>
        <v>67.823000000000008</v>
      </c>
      <c r="AG108" s="1031">
        <f t="shared" si="290"/>
        <v>129.54300000000001</v>
      </c>
      <c r="AH108" s="1031">
        <f t="shared" si="290"/>
        <v>118.878</v>
      </c>
      <c r="AI108" s="1031">
        <f t="shared" si="290"/>
        <v>165.27799999999999</v>
      </c>
      <c r="AJ108" s="1031">
        <f t="shared" si="290"/>
        <v>89.673000000000002</v>
      </c>
      <c r="AK108" s="1031">
        <f t="shared" si="290"/>
        <v>128.809</v>
      </c>
      <c r="AL108" s="1031">
        <f t="shared" si="290"/>
        <v>161.61699999999999</v>
      </c>
      <c r="AM108" s="1031">
        <f t="shared" si="290"/>
        <v>142.74100000000001</v>
      </c>
      <c r="AN108" s="1031">
        <f t="shared" si="290"/>
        <v>88.01</v>
      </c>
      <c r="AO108" s="1031">
        <f t="shared" si="290"/>
        <v>99.691000000000003</v>
      </c>
      <c r="AP108" s="1031">
        <f t="shared" si="290"/>
        <v>172.95299999999997</v>
      </c>
      <c r="AQ108" s="1031">
        <f t="shared" si="290"/>
        <v>160.334</v>
      </c>
      <c r="AR108" s="1031">
        <f t="shared" si="290"/>
        <v>110.726</v>
      </c>
      <c r="AS108" s="1031">
        <f t="shared" si="290"/>
        <v>88.498999999999995</v>
      </c>
      <c r="AT108" s="1031">
        <f t="shared" si="290"/>
        <v>166.12900000000002</v>
      </c>
      <c r="AU108" s="1031">
        <f t="shared" si="290"/>
        <v>139.71499999999997</v>
      </c>
      <c r="AV108" s="1031">
        <f t="shared" si="290"/>
        <v>106.997</v>
      </c>
      <c r="AW108" s="1031">
        <f t="shared" si="290"/>
        <v>104.017</v>
      </c>
      <c r="AX108" s="1031">
        <f t="shared" si="290"/>
        <v>182.94300000000001</v>
      </c>
      <c r="AY108" s="1031">
        <f t="shared" si="290"/>
        <v>152.20999999999998</v>
      </c>
      <c r="AZ108" s="1031">
        <f t="shared" si="290"/>
        <v>220.48</v>
      </c>
      <c r="BA108" s="1031">
        <f t="shared" si="290"/>
        <v>227.78499999999997</v>
      </c>
      <c r="BB108" s="1031">
        <f t="shared" si="290"/>
        <v>168.39300000000003</v>
      </c>
      <c r="BC108" s="1031">
        <f t="shared" si="290"/>
        <v>224.47399999999999</v>
      </c>
      <c r="BD108" s="1031">
        <f t="shared" ref="BD108:CI108" si="291">SUM(BD109:BD112)</f>
        <v>246.35900000000001</v>
      </c>
      <c r="BE108" s="1031">
        <f t="shared" si="291"/>
        <v>168.369</v>
      </c>
      <c r="BF108" s="1031">
        <f t="shared" si="291"/>
        <v>201.357</v>
      </c>
      <c r="BG108" s="1031">
        <f t="shared" si="291"/>
        <v>350.37</v>
      </c>
      <c r="BH108" s="1031">
        <f t="shared" si="291"/>
        <v>179.39</v>
      </c>
      <c r="BI108" s="1031">
        <f t="shared" si="291"/>
        <v>302.44900000000001</v>
      </c>
      <c r="BJ108" s="1031">
        <f t="shared" si="291"/>
        <v>404.05399999999997</v>
      </c>
      <c r="BK108" s="1031">
        <f t="shared" si="291"/>
        <v>415.76900000000001</v>
      </c>
      <c r="BL108" s="1031">
        <f t="shared" ref="BL108:BM108" si="292">SUM(BL109:BL112)</f>
        <v>258.779</v>
      </c>
      <c r="BM108" s="1031">
        <f t="shared" si="292"/>
        <v>307.41800000000001</v>
      </c>
      <c r="BN108" s="1031">
        <f t="shared" ref="BN108:BO108" si="293">SUM(BN109:BN112)</f>
        <v>341.505</v>
      </c>
      <c r="BO108" s="1031">
        <f t="shared" si="293"/>
        <v>331.17399999999998</v>
      </c>
      <c r="BP108" s="2315">
        <f t="shared" ref="BP108" si="294">SUM(BP109:BP112)</f>
        <v>232.71600000000001</v>
      </c>
      <c r="BQ108" s="1605">
        <f t="shared" si="291"/>
        <v>395.14484335771596</v>
      </c>
      <c r="BR108" s="1605">
        <f t="shared" si="291"/>
        <v>394.76459028616131</v>
      </c>
      <c r="BS108" s="2062">
        <f t="shared" si="291"/>
        <v>465.02836191902185</v>
      </c>
      <c r="BT108" s="2068">
        <f t="shared" si="291"/>
        <v>318.56760216374823</v>
      </c>
      <c r="BU108" s="1605">
        <f t="shared" si="291"/>
        <v>458.4939413195051</v>
      </c>
      <c r="BV108" s="1605">
        <f t="shared" si="291"/>
        <v>458.05272657912172</v>
      </c>
      <c r="BW108" s="2062">
        <f t="shared" si="291"/>
        <v>491.03821177346322</v>
      </c>
      <c r="BX108" s="2068">
        <f t="shared" si="291"/>
        <v>349.46960173148398</v>
      </c>
      <c r="BY108" s="1605">
        <f t="shared" si="291"/>
        <v>502.96920961493601</v>
      </c>
      <c r="BZ108" s="1605">
        <f t="shared" si="291"/>
        <v>502.48519573985084</v>
      </c>
      <c r="CA108" s="2062">
        <f t="shared" si="291"/>
        <v>538.6703705520124</v>
      </c>
      <c r="CB108" s="2068">
        <f t="shared" si="291"/>
        <v>375.42333344553236</v>
      </c>
      <c r="CC108" s="1605">
        <f t="shared" si="291"/>
        <v>540.32275299065714</v>
      </c>
      <c r="CD108" s="1605">
        <f t="shared" si="291"/>
        <v>539.80279331027862</v>
      </c>
      <c r="CE108" s="2062">
        <f t="shared" si="291"/>
        <v>578.6752986211377</v>
      </c>
      <c r="CF108" s="2068">
        <f t="shared" si="291"/>
        <v>393.30957262567608</v>
      </c>
      <c r="CG108" s="1605">
        <f t="shared" si="291"/>
        <v>566.06527119209113</v>
      </c>
      <c r="CH108" s="1605">
        <f t="shared" si="291"/>
        <v>565.52053914841292</v>
      </c>
      <c r="CI108" s="2062">
        <f t="shared" si="291"/>
        <v>606.24504156648527</v>
      </c>
      <c r="CJ108" s="2068">
        <f t="shared" ref="CJ108:CU108" si="295">SUM(CJ109:CJ112)</f>
        <v>412.04850892964674</v>
      </c>
      <c r="CK108" s="1605">
        <f t="shared" si="295"/>
        <v>593.03502173730328</v>
      </c>
      <c r="CL108" s="1605">
        <f t="shared" si="295"/>
        <v>592.46433634852576</v>
      </c>
      <c r="CM108" s="2062">
        <f t="shared" si="295"/>
        <v>635.12912679907231</v>
      </c>
      <c r="CN108" s="2068">
        <f t="shared" si="295"/>
        <v>431.68021203888395</v>
      </c>
      <c r="CO108" s="1605">
        <f t="shared" si="295"/>
        <v>621.28967435179561</v>
      </c>
      <c r="CP108" s="1605">
        <f t="shared" si="295"/>
        <v>620.69179913978496</v>
      </c>
      <c r="CQ108" s="2062">
        <f t="shared" si="295"/>
        <v>665.38931748811888</v>
      </c>
      <c r="CR108" s="2068">
        <f t="shared" si="295"/>
        <v>471.38729206646207</v>
      </c>
      <c r="CS108" s="1605">
        <f t="shared" si="295"/>
        <v>678.43753087103914</v>
      </c>
      <c r="CT108" s="1605">
        <f t="shared" si="295"/>
        <v>677.78466152627061</v>
      </c>
      <c r="CU108" s="2062">
        <f t="shared" si="295"/>
        <v>726.59357504305262</v>
      </c>
    </row>
    <row r="109" spans="1:102">
      <c r="A109" s="157" t="s">
        <v>413</v>
      </c>
      <c r="B109" s="202">
        <f>'Annual historicals'!G53</f>
        <v>305.87099999999998</v>
      </c>
      <c r="C109" s="202">
        <f>'Annual historicals'!H53</f>
        <v>117.78700000000001</v>
      </c>
      <c r="D109" s="202">
        <f>'Annual historicals'!I53</f>
        <v>167.61</v>
      </c>
      <c r="E109" s="202">
        <f>'Annual historicals'!J53</f>
        <v>167.767</v>
      </c>
      <c r="F109" s="202">
        <f>'Annual historicals'!K53</f>
        <v>186.18299999999999</v>
      </c>
      <c r="G109" s="202">
        <f>'Annual historicals'!L53</f>
        <v>233.197</v>
      </c>
      <c r="H109" s="202">
        <f>'Annual historicals'!M53</f>
        <v>231.631</v>
      </c>
      <c r="I109" s="202">
        <f>'Annual historicals'!N53</f>
        <v>261.67099999999999</v>
      </c>
      <c r="J109" s="202">
        <f>'Annual historicals'!O53</f>
        <v>380.24799999999999</v>
      </c>
      <c r="K109" s="202">
        <f>'Annual historicals'!P53</f>
        <v>464.95600000000002</v>
      </c>
      <c r="L109" s="202">
        <f>'Annual historicals'!Q53</f>
        <v>665.19600000000003</v>
      </c>
      <c r="M109" s="355">
        <f>'Annual historicals'!R53</f>
        <v>720.42399999999998</v>
      </c>
      <c r="N109" s="356">
        <f t="shared" ref="N109:U110" si="296">N57/1000*N89</f>
        <v>784.6077009874183</v>
      </c>
      <c r="O109" s="356">
        <f t="shared" si="296"/>
        <v>910.39496848423858</v>
      </c>
      <c r="P109" s="356">
        <f t="shared" si="296"/>
        <v>998.70597290366447</v>
      </c>
      <c r="Q109" s="356">
        <f t="shared" si="296"/>
        <v>1072.8759343353177</v>
      </c>
      <c r="R109" s="356">
        <f t="shared" si="296"/>
        <v>1123.9908061681997</v>
      </c>
      <c r="S109" s="356">
        <f t="shared" si="296"/>
        <v>1177.542495699744</v>
      </c>
      <c r="T109" s="356">
        <f t="shared" si="296"/>
        <v>1233.6455131190705</v>
      </c>
      <c r="U109" s="356">
        <f t="shared" si="296"/>
        <v>1347.1194684892307</v>
      </c>
      <c r="V109" s="1944"/>
      <c r="W109" s="472"/>
      <c r="X109" s="1015">
        <f>'Quarterly historicals'!B81</f>
        <v>33.414999999999999</v>
      </c>
      <c r="Y109" s="1015">
        <f>'Quarterly historicals'!C81</f>
        <v>21.876000000000001</v>
      </c>
      <c r="Z109" s="1015">
        <f>'Quarterly historicals'!D81</f>
        <v>25.289000000000001</v>
      </c>
      <c r="AA109" s="1015">
        <f>'Quarterly historicals'!E81</f>
        <v>31.643000000000001</v>
      </c>
      <c r="AB109" s="1015">
        <f>'Quarterly historicals'!F81</f>
        <v>36.222999999999999</v>
      </c>
      <c r="AC109" s="1015">
        <f>'Quarterly historicals'!G81</f>
        <v>24.39</v>
      </c>
      <c r="AD109" s="1015">
        <f>'Quarterly historicals'!H81</f>
        <v>34.112000000000002</v>
      </c>
      <c r="AE109" s="1015">
        <f>'Quarterly historicals'!I81</f>
        <v>72.887</v>
      </c>
      <c r="AF109" s="1015">
        <f>'Quarterly historicals'!J81</f>
        <v>30.658999999999999</v>
      </c>
      <c r="AG109" s="1015">
        <f>'Quarterly historicals'!K81</f>
        <v>39.427999999999997</v>
      </c>
      <c r="AH109" s="1015">
        <f>'Quarterly historicals'!L81</f>
        <v>53.021999999999998</v>
      </c>
      <c r="AI109" s="1015">
        <f>'Quarterly historicals'!M81</f>
        <v>44.656999999999996</v>
      </c>
      <c r="AJ109" s="1015">
        <f>'Quarterly historicals'!N81</f>
        <v>26.448</v>
      </c>
      <c r="AK109" s="1015">
        <f>'Quarterly historicals'!O81</f>
        <v>33.316000000000003</v>
      </c>
      <c r="AL109" s="1015">
        <f>'Quarterly historicals'!P81</f>
        <v>59.77</v>
      </c>
      <c r="AM109" s="1015">
        <f>'Quarterly historicals'!Q81</f>
        <v>66.650000000000006</v>
      </c>
      <c r="AN109" s="1015">
        <f>'Quarterly historicals'!R81</f>
        <v>28.663</v>
      </c>
      <c r="AO109" s="1015">
        <f>'Quarterly historicals'!S81</f>
        <v>39.966999999999999</v>
      </c>
      <c r="AP109" s="1015">
        <f>'Quarterly historicals'!T81</f>
        <v>73.123999999999995</v>
      </c>
      <c r="AQ109" s="1015">
        <f>'Quarterly historicals'!U81</f>
        <v>91.472999999999999</v>
      </c>
      <c r="AR109" s="1015">
        <f>'Quarterly historicals'!V81</f>
        <v>58.826999999999998</v>
      </c>
      <c r="AS109" s="1015">
        <f>'Quarterly historicals'!W81</f>
        <v>41.735999999999997</v>
      </c>
      <c r="AT109" s="1015">
        <f>'Quarterly historicals'!X81</f>
        <v>78.98</v>
      </c>
      <c r="AU109" s="1015">
        <f>'Quarterly historicals'!Y81</f>
        <v>52.088000000000001</v>
      </c>
      <c r="AV109" s="1015">
        <f>'Quarterly historicals'!Z81</f>
        <v>54.536999999999999</v>
      </c>
      <c r="AW109" s="1015">
        <f>'Quarterly historicals'!AA81</f>
        <v>52.738999999999997</v>
      </c>
      <c r="AX109" s="1015">
        <f>'Quarterly historicals'!AB81</f>
        <v>81.16</v>
      </c>
      <c r="AY109" s="1015">
        <f>'Quarterly historicals'!AC81</f>
        <v>73.233999999999995</v>
      </c>
      <c r="AZ109" s="1015">
        <f>'Quarterly historicals'!AD81</f>
        <v>93.853999999999999</v>
      </c>
      <c r="BA109" s="1015">
        <f>'Quarterly historicals'!AE81</f>
        <v>68.447999999999993</v>
      </c>
      <c r="BB109" s="1015">
        <f>'Quarterly historicals'!AF81</f>
        <v>85.293000000000006</v>
      </c>
      <c r="BC109" s="1015">
        <f>'Quarterly historicals'!AG81</f>
        <v>132.65199999999999</v>
      </c>
      <c r="BD109" s="1015">
        <f>'Quarterly historicals'!AH81</f>
        <v>123.6</v>
      </c>
      <c r="BE109" s="1015">
        <f>'Quarterly historicals'!AI81</f>
        <v>87.284000000000006</v>
      </c>
      <c r="BF109" s="1015">
        <f>'Quarterly historicals'!AJ81</f>
        <v>116.524</v>
      </c>
      <c r="BG109" s="1015">
        <f>'Quarterly historicals'!AK81</f>
        <v>137.548</v>
      </c>
      <c r="BH109" s="1015">
        <f>'Quarterly historicals'!AL81</f>
        <v>119.673</v>
      </c>
      <c r="BI109" s="1015">
        <f>'Quarterly historicals'!AM81</f>
        <v>131.726</v>
      </c>
      <c r="BJ109" s="1015">
        <f>'Quarterly historicals'!AN81</f>
        <v>176.21</v>
      </c>
      <c r="BK109" s="1015">
        <f>'Quarterly historicals'!AO81</f>
        <v>237.58699999999999</v>
      </c>
      <c r="BL109" s="1015">
        <f>'Quarterly historicals'!AP81</f>
        <v>151.28700000000001</v>
      </c>
      <c r="BM109" s="1015">
        <f>'Quarterly historicals'!AQ81</f>
        <v>146.988</v>
      </c>
      <c r="BN109" s="1015">
        <f>'Quarterly historicals'!AR81</f>
        <v>197.61799999999999</v>
      </c>
      <c r="BO109" s="1015">
        <f>'Quarterly historicals'!AS81</f>
        <v>224.53100000000001</v>
      </c>
      <c r="BP109" s="1032">
        <f>'Quarterly historicals'!AT81</f>
        <v>155.024</v>
      </c>
      <c r="BQ109" s="1606">
        <f t="shared" ref="BQ109:BR112" si="297">$N109*BQ219</f>
        <v>160.08339082642811</v>
      </c>
      <c r="BR109" s="1606">
        <f t="shared" si="297"/>
        <v>215.2240967176713</v>
      </c>
      <c r="BS109" s="2063">
        <f t="shared" ref="BS109:BS117" si="298">$N109-SUM(BP109:BR109)</f>
        <v>254.27621344331885</v>
      </c>
      <c r="BT109" s="2069">
        <f t="shared" ref="BT109:BV112" si="299">$O109*BT219</f>
        <v>212.16764621901004</v>
      </c>
      <c r="BU109" s="1606">
        <f t="shared" si="299"/>
        <v>185.74774803110566</v>
      </c>
      <c r="BV109" s="1606">
        <f t="shared" si="299"/>
        <v>249.72853886311154</v>
      </c>
      <c r="BW109" s="2063">
        <f t="shared" ref="BW109:BW114" si="300">$O109-SUM(BT109:BV109)</f>
        <v>262.75103537101131</v>
      </c>
      <c r="BX109" s="2069">
        <f t="shared" ref="BX109:BZ112" si="301">$P109*BX219</f>
        <v>232.74853538418404</v>
      </c>
      <c r="BY109" s="1606">
        <f t="shared" si="301"/>
        <v>203.76582893568767</v>
      </c>
      <c r="BZ109" s="1606">
        <f t="shared" si="301"/>
        <v>273.9529457004158</v>
      </c>
      <c r="CA109" s="2063">
        <f t="shared" ref="CA109:CA114" si="302">$P109-SUM(BX109:BZ109)</f>
        <v>288.23866288337706</v>
      </c>
      <c r="CB109" s="2069">
        <f t="shared" ref="CB109:CD112" si="303">$Q109*CB219</f>
        <v>250.03385294619673</v>
      </c>
      <c r="CC109" s="1606">
        <f t="shared" si="303"/>
        <v>218.89871497351515</v>
      </c>
      <c r="CD109" s="1606">
        <f t="shared" si="303"/>
        <v>294.29835262494976</v>
      </c>
      <c r="CE109" s="2063">
        <f t="shared" ref="CE109:CE114" si="304">$Q109-SUM(CB109:CD109)</f>
        <v>309.64501379065598</v>
      </c>
      <c r="CF109" s="2069">
        <f t="shared" ref="CF109:CH112" si="305">$R109*CF219</f>
        <v>261.94617937482934</v>
      </c>
      <c r="CG109" s="1606">
        <f t="shared" si="305"/>
        <v>229.32767455977501</v>
      </c>
      <c r="CH109" s="1606">
        <f t="shared" si="305"/>
        <v>308.31956616290864</v>
      </c>
      <c r="CI109" s="2063">
        <f t="shared" ref="CI109:CI114" si="306">$R109-SUM(CF109:CH109)</f>
        <v>324.39738607068671</v>
      </c>
      <c r="CJ109" s="2069">
        <f t="shared" ref="CJ109:CL112" si="307">$S109*CJ219</f>
        <v>274.42640643262604</v>
      </c>
      <c r="CK109" s="1606">
        <f t="shared" si="307"/>
        <v>240.25381769334999</v>
      </c>
      <c r="CL109" s="1606">
        <f t="shared" si="307"/>
        <v>323.00921806490624</v>
      </c>
      <c r="CM109" s="2063">
        <f t="shared" ref="CM109:CM114" si="308">$S109-SUM(CJ109:CL109)</f>
        <v>339.85305350886176</v>
      </c>
      <c r="CN109" s="2069">
        <f t="shared" ref="CN109:CP112" si="309">$T109*CN219</f>
        <v>287.50122073159008</v>
      </c>
      <c r="CO109" s="1606">
        <f t="shared" si="309"/>
        <v>251.70050787084543</v>
      </c>
      <c r="CP109" s="1606">
        <f t="shared" si="309"/>
        <v>338.398719381315</v>
      </c>
      <c r="CQ109" s="2063">
        <f t="shared" ref="CQ109:CQ114" si="310">$T109-SUM(CN109:CP109)</f>
        <v>356.04506513531999</v>
      </c>
      <c r="CR109" s="2069">
        <f t="shared" ref="CR109:CT112" si="311">$U109*CR219</f>
        <v>313.94633834700522</v>
      </c>
      <c r="CS109" s="1606">
        <f t="shared" si="311"/>
        <v>274.85258186053636</v>
      </c>
      <c r="CT109" s="1606">
        <f t="shared" si="311"/>
        <v>369.52552264208964</v>
      </c>
      <c r="CU109" s="2063">
        <f t="shared" ref="CU109:CU114" si="312">$U109-SUM(CR109:CT109)</f>
        <v>388.79502563959943</v>
      </c>
    </row>
    <row r="110" spans="1:102">
      <c r="A110" s="157" t="s">
        <v>161</v>
      </c>
      <c r="B110" s="202">
        <f>'Annual historicals'!G54</f>
        <v>24.471</v>
      </c>
      <c r="C110" s="202">
        <f>'Annual historicals'!H54</f>
        <v>98.373999999999995</v>
      </c>
      <c r="D110" s="202">
        <f>'Annual historicals'!I54</f>
        <v>90.375</v>
      </c>
      <c r="E110" s="202">
        <f>'Annual historicals'!J54</f>
        <v>29.097999999999999</v>
      </c>
      <c r="F110" s="202">
        <f>'Annual historicals'!K54</f>
        <v>21.422999999999998</v>
      </c>
      <c r="G110" s="202">
        <f>'Annual historicals'!L54</f>
        <v>25.361000000000001</v>
      </c>
      <c r="H110" s="202">
        <f>'Annual historicals'!M54</f>
        <v>18.591999999999999</v>
      </c>
      <c r="I110" s="202">
        <f>'Annual historicals'!N54</f>
        <v>81.81</v>
      </c>
      <c r="J110" s="202">
        <f>'Annual historicals'!O54</f>
        <v>149.376</v>
      </c>
      <c r="K110" s="202">
        <f>'Annual historicals'!P54</f>
        <v>66.765000000000001</v>
      </c>
      <c r="L110" s="202">
        <f>'Annual historicals'!Q54</f>
        <v>134.57900000000001</v>
      </c>
      <c r="M110" s="355">
        <f>'Annual historicals'!R54</f>
        <v>43.008000000000003</v>
      </c>
      <c r="N110" s="356">
        <f t="shared" si="296"/>
        <v>109.29648209089048</v>
      </c>
      <c r="O110" s="356">
        <f t="shared" si="296"/>
        <v>126.81874934868883</v>
      </c>
      <c r="P110" s="356">
        <f t="shared" si="296"/>
        <v>139.12054309964145</v>
      </c>
      <c r="Q110" s="356">
        <f t="shared" si="296"/>
        <v>149.45247821969545</v>
      </c>
      <c r="R110" s="356">
        <f t="shared" si="296"/>
        <v>156.57282086587389</v>
      </c>
      <c r="S110" s="356">
        <f t="shared" si="296"/>
        <v>164.03261417207699</v>
      </c>
      <c r="T110" s="356">
        <f t="shared" si="296"/>
        <v>171.84780949949916</v>
      </c>
      <c r="U110" s="356">
        <f t="shared" si="296"/>
        <v>187.65482250139695</v>
      </c>
      <c r="V110" s="1944"/>
      <c r="W110" s="472"/>
      <c r="X110" s="1015">
        <f>'Quarterly historicals'!B82</f>
        <v>23.809000000000001</v>
      </c>
      <c r="Y110" s="1015">
        <f>'Quarterly historicals'!C82</f>
        <v>47.960999999999999</v>
      </c>
      <c r="Z110" s="1015">
        <f>'Quarterly historicals'!D82</f>
        <v>17.893999999999998</v>
      </c>
      <c r="AA110" s="1015">
        <f>'Quarterly historicals'!E82</f>
        <v>9.65</v>
      </c>
      <c r="AB110" s="1015">
        <f>'Quarterly historicals'!F82</f>
        <v>25.791</v>
      </c>
      <c r="AC110" s="1015">
        <f>'Quarterly historicals'!G82</f>
        <v>23.951000000000001</v>
      </c>
      <c r="AD110" s="1015">
        <f>'Quarterly historicals'!H82</f>
        <v>6.4189999999999996</v>
      </c>
      <c r="AE110" s="1015">
        <f>'Quarterly historicals'!I82</f>
        <v>34.213999999999999</v>
      </c>
      <c r="AF110" s="1015">
        <f>'Quarterly historicals'!J82</f>
        <v>5.5140000000000002</v>
      </c>
      <c r="AG110" s="1015">
        <f>'Quarterly historicals'!K82</f>
        <v>20.891999999999999</v>
      </c>
      <c r="AH110" s="1015">
        <f>'Quarterly historicals'!L82</f>
        <v>2.6909999999999998</v>
      </c>
      <c r="AI110" s="1015">
        <f>'Quarterly historicals'!M82</f>
        <v>0</v>
      </c>
      <c r="AJ110" s="1015">
        <f>'Quarterly historicals'!N82</f>
        <v>3.68</v>
      </c>
      <c r="AK110" s="1015">
        <f>'Quarterly historicals'!O82</f>
        <v>16.044</v>
      </c>
      <c r="AL110" s="1015">
        <f>'Quarterly historicals'!P82</f>
        <v>1.6990000000000001</v>
      </c>
      <c r="AM110" s="1015">
        <f>'Quarterly historicals'!Q82</f>
        <v>0</v>
      </c>
      <c r="AN110" s="1015">
        <f>'Quarterly historicals'!R82</f>
        <v>7.1689999999999996</v>
      </c>
      <c r="AO110" s="1015">
        <f>'Quarterly historicals'!S82</f>
        <v>9.7360000000000007</v>
      </c>
      <c r="AP110" s="1015">
        <f>'Quarterly historicals'!T82</f>
        <v>8.4559999999999995</v>
      </c>
      <c r="AQ110" s="1015">
        <f>'Quarterly historicals'!U82</f>
        <v>0</v>
      </c>
      <c r="AR110" s="1015">
        <f>'Quarterly historicals'!V82</f>
        <v>0</v>
      </c>
      <c r="AS110" s="1015">
        <f>'Quarterly historicals'!W82</f>
        <v>0</v>
      </c>
      <c r="AT110" s="1015">
        <f>'Quarterly historicals'!X82</f>
        <v>10.454000000000001</v>
      </c>
      <c r="AU110" s="1015">
        <f>'Quarterly historicals'!Y82</f>
        <v>8.1379999999999999</v>
      </c>
      <c r="AV110" s="1015">
        <f>'Quarterly historicals'!Z82</f>
        <v>8.2110000000000003</v>
      </c>
      <c r="AW110" s="1015">
        <f>'Quarterly historicals'!AA82</f>
        <v>6.3209999999999997</v>
      </c>
      <c r="AX110" s="1015">
        <f>'Quarterly historicals'!AB82</f>
        <v>51.128</v>
      </c>
      <c r="AY110" s="1015">
        <f>'Quarterly historicals'!AC82</f>
        <v>16.151</v>
      </c>
      <c r="AZ110" s="1015">
        <f>'Quarterly historicals'!AD82</f>
        <v>68.613</v>
      </c>
      <c r="BA110" s="1015">
        <f>'Quarterly historicals'!AE82</f>
        <v>77.831000000000003</v>
      </c>
      <c r="BB110" s="1015">
        <f>'Quarterly historicals'!AF82</f>
        <v>2.9319999999999999</v>
      </c>
      <c r="BC110" s="1015">
        <f>'Quarterly historicals'!AG82</f>
        <v>0</v>
      </c>
      <c r="BD110" s="1015">
        <f>'Quarterly historicals'!AH82</f>
        <v>66.765000000000001</v>
      </c>
      <c r="BE110" s="1015">
        <f>'Quarterly historicals'!AI82</f>
        <v>0</v>
      </c>
      <c r="BF110" s="1015">
        <f>'Quarterly historicals'!AJ82</f>
        <v>0</v>
      </c>
      <c r="BG110" s="1015">
        <f>'Quarterly historicals'!AK82</f>
        <v>0</v>
      </c>
      <c r="BH110" s="1015">
        <f>'Quarterly historicals'!AL82</f>
        <v>0</v>
      </c>
      <c r="BI110" s="1015">
        <f>'Quarterly historicals'!AM82</f>
        <v>90.198999999999998</v>
      </c>
      <c r="BJ110" s="1015">
        <f>'Quarterly historicals'!AN82</f>
        <v>44.38</v>
      </c>
      <c r="BK110" s="1015">
        <f>'Quarterly historicals'!AO82</f>
        <v>0</v>
      </c>
      <c r="BL110" s="1015">
        <f>'Quarterly historicals'!AP82</f>
        <v>0</v>
      </c>
      <c r="BM110" s="1015">
        <f>'Quarterly historicals'!AQ82</f>
        <v>26.254999999999999</v>
      </c>
      <c r="BN110" s="1015">
        <f>'Quarterly historicals'!AR82</f>
        <v>0</v>
      </c>
      <c r="BO110" s="1015">
        <f>'Quarterly historicals'!AS82</f>
        <v>16.753</v>
      </c>
      <c r="BP110" s="1032">
        <f>'Quarterly historicals'!AT82</f>
        <v>0.69299999999999995</v>
      </c>
      <c r="BQ110" s="1606">
        <f t="shared" si="297"/>
        <v>66.721985149189209</v>
      </c>
      <c r="BR110" s="1606">
        <f t="shared" si="297"/>
        <v>0</v>
      </c>
      <c r="BS110" s="2063">
        <f t="shared" si="298"/>
        <v>41.881496941701272</v>
      </c>
      <c r="BT110" s="2069">
        <f t="shared" si="299"/>
        <v>0.65303942887554034</v>
      </c>
      <c r="BU110" s="1606">
        <f t="shared" si="299"/>
        <v>77.418765442471752</v>
      </c>
      <c r="BV110" s="1606">
        <f t="shared" si="299"/>
        <v>0</v>
      </c>
      <c r="BW110" s="2063">
        <f t="shared" si="300"/>
        <v>48.746944477341529</v>
      </c>
      <c r="BX110" s="2069">
        <f t="shared" si="301"/>
        <v>0.71638618482862493</v>
      </c>
      <c r="BY110" s="1606">
        <f t="shared" si="301"/>
        <v>84.928614654973174</v>
      </c>
      <c r="BZ110" s="1606">
        <f t="shared" si="301"/>
        <v>0</v>
      </c>
      <c r="CA110" s="2063">
        <f t="shared" si="302"/>
        <v>53.475542259839656</v>
      </c>
      <c r="CB110" s="2069">
        <f t="shared" si="303"/>
        <v>0.76958936688672774</v>
      </c>
      <c r="CC110" s="1606">
        <f t="shared" si="303"/>
        <v>91.235928563478979</v>
      </c>
      <c r="CD110" s="1606">
        <f t="shared" si="303"/>
        <v>0</v>
      </c>
      <c r="CE110" s="2063">
        <f t="shared" si="304"/>
        <v>57.446960289329738</v>
      </c>
      <c r="CF110" s="2069">
        <f t="shared" si="305"/>
        <v>0.80625480097229585</v>
      </c>
      <c r="CG110" s="1606">
        <f t="shared" si="305"/>
        <v>95.582668615920738</v>
      </c>
      <c r="CH110" s="1606">
        <f t="shared" si="305"/>
        <v>0</v>
      </c>
      <c r="CI110" s="2063">
        <f t="shared" si="306"/>
        <v>60.183897448980858</v>
      </c>
      <c r="CJ110" s="2069">
        <f t="shared" si="307"/>
        <v>0.8446681995054901</v>
      </c>
      <c r="CK110" s="1606">
        <f t="shared" si="307"/>
        <v>100.13663237276509</v>
      </c>
      <c r="CL110" s="1606">
        <f t="shared" si="307"/>
        <v>0</v>
      </c>
      <c r="CM110" s="2063">
        <f t="shared" si="308"/>
        <v>63.051313599806406</v>
      </c>
      <c r="CN110" s="2069">
        <f t="shared" si="309"/>
        <v>0.88491170229495619</v>
      </c>
      <c r="CO110" s="1606">
        <f t="shared" si="309"/>
        <v>104.90755762670551</v>
      </c>
      <c r="CP110" s="1606">
        <f t="shared" si="309"/>
        <v>0</v>
      </c>
      <c r="CQ110" s="2063">
        <f t="shared" si="310"/>
        <v>66.055340170498695</v>
      </c>
      <c r="CR110" s="2069">
        <f t="shared" si="311"/>
        <v>0.96630820554074615</v>
      </c>
      <c r="CS110" s="1606">
        <f t="shared" si="311"/>
        <v>114.5572303937448</v>
      </c>
      <c r="CT110" s="1606">
        <f t="shared" si="311"/>
        <v>0</v>
      </c>
      <c r="CU110" s="2063">
        <f t="shared" si="312"/>
        <v>72.131283902111406</v>
      </c>
    </row>
    <row r="111" spans="1:102">
      <c r="A111" s="157" t="s">
        <v>1064</v>
      </c>
      <c r="B111" s="202">
        <f>'Annual historicals'!G55</f>
        <v>63.832999999999998</v>
      </c>
      <c r="C111" s="202">
        <f>'Annual historicals'!H55</f>
        <v>120.916</v>
      </c>
      <c r="D111" s="202">
        <f>'Annual historicals'!I55</f>
        <v>117.349</v>
      </c>
      <c r="E111" s="202">
        <f>'Annual historicals'!J55</f>
        <v>261.57600000000002</v>
      </c>
      <c r="F111" s="202">
        <f>'Annual historicals'!K55</f>
        <v>268.99599999999998</v>
      </c>
      <c r="G111" s="202">
        <f>'Annual historicals'!L55</f>
        <v>236.85</v>
      </c>
      <c r="H111" s="202">
        <f>'Annual historicals'!M55</f>
        <v>207.55600000000001</v>
      </c>
      <c r="I111" s="202">
        <f>'Annual historicals'!N55</f>
        <v>165.423</v>
      </c>
      <c r="J111" s="202">
        <f>'Annual historicals'!O55</f>
        <v>235.09700000000001</v>
      </c>
      <c r="K111" s="202">
        <f>'Annual historicals'!P55</f>
        <v>371.44400000000002</v>
      </c>
      <c r="L111" s="202">
        <f>'Annual historicals'!Q55</f>
        <v>415.91500000000002</v>
      </c>
      <c r="M111" s="355">
        <f>'Annual historicals'!R55</f>
        <v>400.62099999999998</v>
      </c>
      <c r="N111" s="356">
        <f t="shared" ref="N111:U112" si="313">N59/1000*N93</f>
        <v>493.69096726650605</v>
      </c>
      <c r="O111" s="356">
        <f t="shared" si="313"/>
        <v>572.83884929999078</v>
      </c>
      <c r="P111" s="356">
        <f t="shared" si="313"/>
        <v>628.40591184250115</v>
      </c>
      <c r="Q111" s="356">
        <f t="shared" si="313"/>
        <v>675.07514533999336</v>
      </c>
      <c r="R111" s="356">
        <f t="shared" si="313"/>
        <v>707.2376521381309</v>
      </c>
      <c r="S111" s="356">
        <f t="shared" si="313"/>
        <v>740.93345370917302</v>
      </c>
      <c r="T111" s="356">
        <f t="shared" si="313"/>
        <v>776.23460217032118</v>
      </c>
      <c r="U111" s="356">
        <f t="shared" si="313"/>
        <v>847.63470022664808</v>
      </c>
      <c r="V111" s="1944"/>
      <c r="W111" s="472"/>
      <c r="X111" s="1015">
        <f>'Quarterly historicals'!B78</f>
        <v>19.558</v>
      </c>
      <c r="Y111" s="1015">
        <f>'Quarterly historicals'!C78</f>
        <v>30.073</v>
      </c>
      <c r="Z111" s="1015">
        <f>'Quarterly historicals'!D78</f>
        <v>30.768999999999998</v>
      </c>
      <c r="AA111" s="1015">
        <f>'Quarterly historicals'!E78</f>
        <v>28.099</v>
      </c>
      <c r="AB111" s="1015">
        <f>'Quarterly historicals'!F78</f>
        <v>20.350000000000001</v>
      </c>
      <c r="AC111" s="1015">
        <f>'Quarterly historicals'!G78</f>
        <v>28.222000000000001</v>
      </c>
      <c r="AD111" s="1015">
        <f>'Quarterly historicals'!H78</f>
        <v>33.932000000000002</v>
      </c>
      <c r="AE111" s="1015">
        <f>'Quarterly historicals'!I78</f>
        <v>34.845999999999997</v>
      </c>
      <c r="AF111" s="1015">
        <f>'Quarterly historicals'!J78</f>
        <v>31.65</v>
      </c>
      <c r="AG111" s="1015">
        <f>'Quarterly historicals'!K78</f>
        <v>65.119</v>
      </c>
      <c r="AH111" s="1015">
        <f>'Quarterly historicals'!L78</f>
        <v>58.648000000000003</v>
      </c>
      <c r="AI111" s="1015">
        <f>'Quarterly historicals'!M78</f>
        <v>106.15900000000001</v>
      </c>
      <c r="AJ111" s="1015">
        <f>'Quarterly historicals'!N78</f>
        <v>50.121000000000002</v>
      </c>
      <c r="AK111" s="1015">
        <f>'Quarterly historicals'!O78</f>
        <v>56.84</v>
      </c>
      <c r="AL111" s="1015">
        <f>'Quarterly historicals'!P78</f>
        <v>95.506</v>
      </c>
      <c r="AM111" s="1015">
        <f>'Quarterly historicals'!Q78</f>
        <v>66.528999999999996</v>
      </c>
      <c r="AN111" s="1015">
        <f>'Quarterly historicals'!R78</f>
        <v>47.618000000000002</v>
      </c>
      <c r="AO111" s="1015">
        <f>'Quarterly historicals'!S78</f>
        <v>44.215000000000003</v>
      </c>
      <c r="AP111" s="1015">
        <f>'Quarterly historicals'!T78</f>
        <v>80.762</v>
      </c>
      <c r="AQ111" s="1015">
        <f>'Quarterly historicals'!U78</f>
        <v>64.254000000000005</v>
      </c>
      <c r="AR111" s="1015">
        <f>'Quarterly historicals'!V78</f>
        <v>50.122</v>
      </c>
      <c r="AS111" s="1015">
        <f>'Quarterly historicals'!W78</f>
        <v>39.862000000000002</v>
      </c>
      <c r="AT111" s="1015">
        <f>'Quarterly historicals'!X78</f>
        <v>55.192</v>
      </c>
      <c r="AU111" s="1015">
        <f>'Quarterly historicals'!Y78</f>
        <v>62.378999999999998</v>
      </c>
      <c r="AV111" s="1015">
        <f>'Quarterly historicals'!Z78</f>
        <v>36.99</v>
      </c>
      <c r="AW111" s="1015">
        <f>'Quarterly historicals'!AA78</f>
        <v>31.687999999999999</v>
      </c>
      <c r="AX111" s="1015">
        <f>'Quarterly historicals'!AB78</f>
        <v>48.308</v>
      </c>
      <c r="AY111" s="1015">
        <f>'Quarterly historicals'!AC78</f>
        <v>48.438000000000002</v>
      </c>
      <c r="AZ111" s="1015">
        <f>'Quarterly historicals'!AD78</f>
        <v>54.715000000000003</v>
      </c>
      <c r="BA111" s="1015">
        <f>'Quarterly historicals'!AE78</f>
        <v>36.204999999999998</v>
      </c>
      <c r="BB111" s="1015">
        <f>'Quarterly historicals'!AF78</f>
        <v>61.13</v>
      </c>
      <c r="BC111" s="1015">
        <f>'Quarterly historicals'!AG78</f>
        <v>83.046999999999997</v>
      </c>
      <c r="BD111" s="1015">
        <f>'Quarterly historicals'!AH78</f>
        <v>55.994</v>
      </c>
      <c r="BE111" s="1015">
        <f>'Quarterly historicals'!AI78</f>
        <v>62.238</v>
      </c>
      <c r="BF111" s="1015">
        <f>'Quarterly historicals'!AJ78</f>
        <v>70.596000000000004</v>
      </c>
      <c r="BG111" s="1015">
        <f>'Quarterly historicals'!AK78</f>
        <v>182.61600000000001</v>
      </c>
      <c r="BH111" s="1015">
        <f>'Quarterly historicals'!AL78</f>
        <v>59.716999999999999</v>
      </c>
      <c r="BI111" s="1015">
        <f>'Quarterly historicals'!AM78</f>
        <v>35.872999999999998</v>
      </c>
      <c r="BJ111" s="1015">
        <f>'Quarterly historicals'!AN78</f>
        <v>159.09399999999999</v>
      </c>
      <c r="BK111" s="1015">
        <f>'Quarterly historicals'!AO78</f>
        <v>161.23099999999999</v>
      </c>
      <c r="BL111" s="1015">
        <f>'Quarterly historicals'!AP78</f>
        <v>90.122</v>
      </c>
      <c r="BM111" s="1015">
        <f>'Quarterly historicals'!AQ78</f>
        <v>105.64700000000001</v>
      </c>
      <c r="BN111" s="1015">
        <f>'Quarterly historicals'!AR78</f>
        <v>122.67</v>
      </c>
      <c r="BO111" s="1015">
        <f>'Quarterly historicals'!AS78</f>
        <v>82.180999999999997</v>
      </c>
      <c r="BP111" s="1032">
        <f>'Quarterly historicals'!AT78</f>
        <v>65.694000000000003</v>
      </c>
      <c r="BQ111" s="1606">
        <f t="shared" si="297"/>
        <v>130.19030360067137</v>
      </c>
      <c r="BR111" s="1606">
        <f t="shared" si="297"/>
        <v>151.16798908340377</v>
      </c>
      <c r="BS111" s="2063">
        <f t="shared" si="298"/>
        <v>146.63867458243089</v>
      </c>
      <c r="BT111" s="2069">
        <f t="shared" si="299"/>
        <v>90.4802071719308</v>
      </c>
      <c r="BU111" s="1606">
        <f t="shared" si="299"/>
        <v>151.06224065137906</v>
      </c>
      <c r="BV111" s="1606">
        <f t="shared" si="299"/>
        <v>175.40304088809592</v>
      </c>
      <c r="BW111" s="2063">
        <f t="shared" si="300"/>
        <v>155.89336058858498</v>
      </c>
      <c r="BX111" s="2069">
        <f t="shared" si="301"/>
        <v>99.257054861164605</v>
      </c>
      <c r="BY111" s="1606">
        <f t="shared" si="301"/>
        <v>165.71572475837442</v>
      </c>
      <c r="BZ111" s="1606">
        <f t="shared" si="301"/>
        <v>192.41765460552398</v>
      </c>
      <c r="CA111" s="2063">
        <f t="shared" si="302"/>
        <v>171.01547761743814</v>
      </c>
      <c r="CB111" s="2069">
        <f t="shared" si="303"/>
        <v>106.62848562318149</v>
      </c>
      <c r="CC111" s="1606">
        <f t="shared" si="303"/>
        <v>178.02277933441903</v>
      </c>
      <c r="CD111" s="1606">
        <f t="shared" si="303"/>
        <v>206.70775640532321</v>
      </c>
      <c r="CE111" s="2063">
        <f t="shared" si="304"/>
        <v>183.71612397706963</v>
      </c>
      <c r="CF111" s="2069">
        <f t="shared" si="305"/>
        <v>111.70857102908617</v>
      </c>
      <c r="CG111" s="1606">
        <f t="shared" si="305"/>
        <v>186.50429267421606</v>
      </c>
      <c r="CH111" s="1606">
        <f t="shared" si="305"/>
        <v>216.55590392861214</v>
      </c>
      <c r="CI111" s="2063">
        <f t="shared" si="306"/>
        <v>192.46888450621657</v>
      </c>
      <c r="CJ111" s="2069">
        <f t="shared" si="307"/>
        <v>117.0308411766116</v>
      </c>
      <c r="CK111" s="1606">
        <f t="shared" si="307"/>
        <v>195.39014825486683</v>
      </c>
      <c r="CL111" s="1606">
        <f t="shared" si="307"/>
        <v>226.87354573650472</v>
      </c>
      <c r="CM111" s="2063">
        <f t="shared" si="308"/>
        <v>201.63891854118981</v>
      </c>
      <c r="CN111" s="2069">
        <f t="shared" si="309"/>
        <v>122.60667673677816</v>
      </c>
      <c r="CO111" s="1606">
        <f t="shared" si="309"/>
        <v>204.69934680280846</v>
      </c>
      <c r="CP111" s="1606">
        <f t="shared" si="309"/>
        <v>237.68274416027444</v>
      </c>
      <c r="CQ111" s="2063">
        <f t="shared" si="310"/>
        <v>211.24583447046018</v>
      </c>
      <c r="CR111" s="2069">
        <f t="shared" si="311"/>
        <v>133.8843609792612</v>
      </c>
      <c r="CS111" s="1606">
        <f t="shared" si="311"/>
        <v>223.528130514488</v>
      </c>
      <c r="CT111" s="1606">
        <f t="shared" si="311"/>
        <v>259.54542741594406</v>
      </c>
      <c r="CU111" s="2063">
        <f t="shared" si="312"/>
        <v>230.67678131695482</v>
      </c>
    </row>
    <row r="112" spans="1:102">
      <c r="A112" s="157" t="s">
        <v>1065</v>
      </c>
      <c r="B112" s="202">
        <f>'Annual historicals'!G56</f>
        <v>35.688000000000002</v>
      </c>
      <c r="C112" s="202">
        <f>'Annual historicals'!H56</f>
        <v>29.663</v>
      </c>
      <c r="D112" s="202">
        <f>'Annual historicals'!I56</f>
        <v>27.678999999999998</v>
      </c>
      <c r="E112" s="202">
        <f>'Annual historicals'!J56</f>
        <v>23.082999999999998</v>
      </c>
      <c r="F112" s="202">
        <f>'Annual historicals'!K56</f>
        <v>46.235999999999997</v>
      </c>
      <c r="G112" s="202">
        <f>'Annual historicals'!L56</f>
        <v>25.550999999999998</v>
      </c>
      <c r="H112" s="202">
        <f>'Annual historicals'!M56</f>
        <v>47.290999999999997</v>
      </c>
      <c r="I112" s="202">
        <f>'Annual historicals'!N56</f>
        <v>37.262</v>
      </c>
      <c r="J112" s="202">
        <f>'Annual historicals'!O56</f>
        <v>76.412000000000006</v>
      </c>
      <c r="K112" s="202">
        <f>'Annual historicals'!P56</f>
        <v>59.287999999999997</v>
      </c>
      <c r="L112" s="202">
        <f>'Annual historicals'!Q56</f>
        <v>85.971999999999994</v>
      </c>
      <c r="M112" s="355">
        <f>'Annual historicals'!R56</f>
        <v>74.823999999999998</v>
      </c>
      <c r="N112" s="356">
        <f t="shared" si="313"/>
        <v>100.05864521808441</v>
      </c>
      <c r="O112" s="356">
        <f t="shared" si="313"/>
        <v>116.09991470292017</v>
      </c>
      <c r="P112" s="356">
        <f t="shared" si="313"/>
        <v>127.36194979247594</v>
      </c>
      <c r="Q112" s="356">
        <f t="shared" si="313"/>
        <v>136.82062047259944</v>
      </c>
      <c r="R112" s="356">
        <f t="shared" si="313"/>
        <v>143.33914536046086</v>
      </c>
      <c r="S112" s="356">
        <f t="shared" si="313"/>
        <v>150.16843023355401</v>
      </c>
      <c r="T112" s="356">
        <f t="shared" si="313"/>
        <v>157.32307822969241</v>
      </c>
      <c r="U112" s="356">
        <f t="shared" si="313"/>
        <v>171.7940682895487</v>
      </c>
      <c r="V112" s="1944"/>
      <c r="W112" s="472"/>
      <c r="X112" s="1015">
        <f>'Quarterly historicals'!B79</f>
        <v>7.6660000000000004</v>
      </c>
      <c r="Y112" s="1015">
        <f>'Quarterly historicals'!C79</f>
        <v>9.3230000000000004</v>
      </c>
      <c r="Z112" s="1015">
        <f>'Quarterly historicals'!D79</f>
        <v>7.3879999999999999</v>
      </c>
      <c r="AA112" s="1015">
        <f>'Quarterly historicals'!E79</f>
        <v>5.1929999999999996</v>
      </c>
      <c r="AB112" s="1015">
        <f>'Quarterly historicals'!F79</f>
        <v>7.944</v>
      </c>
      <c r="AC112" s="1015">
        <f>'Quarterly historicals'!G79</f>
        <v>9.5120000000000005</v>
      </c>
      <c r="AD112" s="1015">
        <f>'Quarterly historicals'!H79</f>
        <v>1.9530000000000001</v>
      </c>
      <c r="AE112" s="1015">
        <f>'Quarterly historicals'!I79</f>
        <v>8.2690000000000001</v>
      </c>
      <c r="AF112" s="1015">
        <f>'Quarterly historicals'!J79</f>
        <v>0</v>
      </c>
      <c r="AG112" s="1015">
        <f>'Quarterly historicals'!K79</f>
        <v>4.1040000000000001</v>
      </c>
      <c r="AH112" s="1015">
        <f>'Quarterly historicals'!L79</f>
        <v>4.5170000000000003</v>
      </c>
      <c r="AI112" s="1015">
        <f>'Quarterly historicals'!M79</f>
        <v>14.462</v>
      </c>
      <c r="AJ112" s="1015">
        <f>'Quarterly historicals'!N79</f>
        <v>9.4239999999999995</v>
      </c>
      <c r="AK112" s="1015">
        <f>'Quarterly historicals'!O79</f>
        <v>22.609000000000002</v>
      </c>
      <c r="AL112" s="1015">
        <f>'Quarterly historicals'!P79</f>
        <v>4.6420000000000003</v>
      </c>
      <c r="AM112" s="1015">
        <f>'Quarterly historicals'!Q79</f>
        <v>9.5619999999999994</v>
      </c>
      <c r="AN112" s="1015">
        <f>'Quarterly historicals'!R79</f>
        <v>4.5599999999999996</v>
      </c>
      <c r="AO112" s="1015">
        <f>'Quarterly historicals'!S79</f>
        <v>5.7729999999999997</v>
      </c>
      <c r="AP112" s="1015">
        <f>'Quarterly historicals'!T79</f>
        <v>10.611000000000001</v>
      </c>
      <c r="AQ112" s="1015">
        <f>'Quarterly historicals'!U79</f>
        <v>4.6070000000000002</v>
      </c>
      <c r="AR112" s="1015">
        <f>'Quarterly historicals'!V79</f>
        <v>1.7769999999999999</v>
      </c>
      <c r="AS112" s="1015">
        <f>'Quarterly historicals'!W79</f>
        <v>6.9009999999999998</v>
      </c>
      <c r="AT112" s="1015">
        <f>'Quarterly historicals'!X79</f>
        <v>21.503</v>
      </c>
      <c r="AU112" s="1015">
        <f>'Quarterly historicals'!Y79</f>
        <v>17.11</v>
      </c>
      <c r="AV112" s="1015">
        <f>'Quarterly historicals'!Z79</f>
        <v>7.2590000000000003</v>
      </c>
      <c r="AW112" s="1015">
        <f>'Quarterly historicals'!AA79</f>
        <v>13.269</v>
      </c>
      <c r="AX112" s="1015">
        <f>'Quarterly historicals'!AB79</f>
        <v>2.347</v>
      </c>
      <c r="AY112" s="1015">
        <f>'Quarterly historicals'!AC79</f>
        <v>14.387</v>
      </c>
      <c r="AZ112" s="1015">
        <f>'Quarterly historicals'!AD79</f>
        <v>3.298</v>
      </c>
      <c r="BA112" s="1015">
        <f>'Quarterly historicals'!AE79</f>
        <v>45.301000000000002</v>
      </c>
      <c r="BB112" s="1015">
        <f>'Quarterly historicals'!AF79</f>
        <v>19.038</v>
      </c>
      <c r="BC112" s="1015">
        <f>'Quarterly historicals'!AG79</f>
        <v>8.7750000000000004</v>
      </c>
      <c r="BD112" s="1015">
        <f>'Quarterly historicals'!AH79</f>
        <v>0</v>
      </c>
      <c r="BE112" s="1015">
        <f>'Quarterly historicals'!AI79</f>
        <v>18.847000000000001</v>
      </c>
      <c r="BF112" s="1015">
        <f>'Quarterly historicals'!AJ79</f>
        <v>14.237</v>
      </c>
      <c r="BG112" s="1015">
        <f>'Quarterly historicals'!AK79</f>
        <v>30.206</v>
      </c>
      <c r="BH112" s="1015">
        <f>'Quarterly historicals'!AL79</f>
        <v>0</v>
      </c>
      <c r="BI112" s="1015">
        <f>'Quarterly historicals'!AM79</f>
        <v>44.651000000000003</v>
      </c>
      <c r="BJ112" s="1015">
        <f>'Quarterly historicals'!AN79</f>
        <v>24.37</v>
      </c>
      <c r="BK112" s="1015">
        <f>'Quarterly historicals'!AO79</f>
        <v>16.951000000000001</v>
      </c>
      <c r="BL112" s="1015">
        <f>'Quarterly historicals'!AP79</f>
        <v>17.37</v>
      </c>
      <c r="BM112" s="1015">
        <f>'Quarterly historicals'!AQ79</f>
        <v>28.527999999999999</v>
      </c>
      <c r="BN112" s="1015">
        <f>'Quarterly historicals'!AR79</f>
        <v>21.216999999999999</v>
      </c>
      <c r="BO112" s="1015">
        <f>'Quarterly historicals'!AS79</f>
        <v>7.7089999999999996</v>
      </c>
      <c r="BP112" s="1032">
        <f>'Quarterly historicals'!AT79</f>
        <v>11.305</v>
      </c>
      <c r="BQ112" s="1606">
        <f t="shared" si="297"/>
        <v>38.149163781427241</v>
      </c>
      <c r="BR112" s="1606">
        <f t="shared" si="297"/>
        <v>28.372504485086292</v>
      </c>
      <c r="BS112" s="2063">
        <f t="shared" si="298"/>
        <v>22.231976951570871</v>
      </c>
      <c r="BT112" s="2069">
        <f t="shared" si="299"/>
        <v>15.26670934393189</v>
      </c>
      <c r="BU112" s="1606">
        <f t="shared" si="299"/>
        <v>44.265187194548631</v>
      </c>
      <c r="BV112" s="1606">
        <f t="shared" si="299"/>
        <v>32.921146827914264</v>
      </c>
      <c r="BW112" s="2063">
        <f t="shared" si="300"/>
        <v>23.646871336525393</v>
      </c>
      <c r="BX112" s="2069">
        <f t="shared" si="301"/>
        <v>16.747625301306709</v>
      </c>
      <c r="BY112" s="1606">
        <f t="shared" si="301"/>
        <v>48.559041265900696</v>
      </c>
      <c r="BZ112" s="1606">
        <f t="shared" si="301"/>
        <v>36.11459543391107</v>
      </c>
      <c r="CA112" s="2063">
        <f t="shared" si="302"/>
        <v>25.940687791357476</v>
      </c>
      <c r="CB112" s="2069">
        <f t="shared" si="303"/>
        <v>17.991405509267395</v>
      </c>
      <c r="CC112" s="1606">
        <f t="shared" si="303"/>
        <v>52.165330119244054</v>
      </c>
      <c r="CD112" s="1606">
        <f t="shared" si="303"/>
        <v>38.796684280005643</v>
      </c>
      <c r="CE112" s="2063">
        <f t="shared" si="304"/>
        <v>27.867200564082339</v>
      </c>
      <c r="CF112" s="2069">
        <f t="shared" si="305"/>
        <v>18.848567420788278</v>
      </c>
      <c r="CG112" s="1606">
        <f t="shared" si="305"/>
        <v>54.650635342179349</v>
      </c>
      <c r="CH112" s="1606">
        <f t="shared" si="305"/>
        <v>40.64506905689214</v>
      </c>
      <c r="CI112" s="2063">
        <f t="shared" si="306"/>
        <v>29.194873540601094</v>
      </c>
      <c r="CJ112" s="2069">
        <f t="shared" si="307"/>
        <v>19.74659312090364</v>
      </c>
      <c r="CK112" s="1606">
        <f t="shared" si="307"/>
        <v>57.254423416321352</v>
      </c>
      <c r="CL112" s="1606">
        <f t="shared" si="307"/>
        <v>42.58157254711476</v>
      </c>
      <c r="CM112" s="2063">
        <f t="shared" si="308"/>
        <v>30.585841149214261</v>
      </c>
      <c r="CN112" s="2069">
        <f t="shared" si="309"/>
        <v>20.68740286822073</v>
      </c>
      <c r="CO112" s="1606">
        <f t="shared" si="309"/>
        <v>59.982262051436237</v>
      </c>
      <c r="CP112" s="1606">
        <f t="shared" si="309"/>
        <v>44.610335598195547</v>
      </c>
      <c r="CQ112" s="2063">
        <f t="shared" si="310"/>
        <v>32.043077711839899</v>
      </c>
      <c r="CR112" s="2069">
        <f t="shared" si="311"/>
        <v>22.590284534654863</v>
      </c>
      <c r="CS112" s="1606">
        <f t="shared" si="311"/>
        <v>65.499588102269925</v>
      </c>
      <c r="CT112" s="1606">
        <f t="shared" si="311"/>
        <v>48.713711468236852</v>
      </c>
      <c r="CU112" s="2063">
        <f t="shared" si="312"/>
        <v>34.990484184387071</v>
      </c>
    </row>
    <row r="113" spans="1:100" s="14" customFormat="1">
      <c r="A113" s="251" t="s">
        <v>874</v>
      </c>
      <c r="B113" s="390">
        <f>'Annual historicals'!G57</f>
        <v>0</v>
      </c>
      <c r="C113" s="390">
        <f>'Annual historicals'!H57</f>
        <v>0</v>
      </c>
      <c r="D113" s="390">
        <f>'Annual historicals'!I57</f>
        <v>0</v>
      </c>
      <c r="E113" s="390">
        <f>'Annual historicals'!J57</f>
        <v>16.445</v>
      </c>
      <c r="F113" s="390">
        <f>'Annual historicals'!K57</f>
        <v>22.300999999999998</v>
      </c>
      <c r="G113" s="390">
        <f>'Annual historicals'!L57</f>
        <v>23.946000000000002</v>
      </c>
      <c r="H113" s="390">
        <f>'Annual historicals'!M57</f>
        <v>27.593</v>
      </c>
      <c r="I113" s="390">
        <f>'Annual historicals'!N57</f>
        <v>44.408000000000001</v>
      </c>
      <c r="J113" s="390">
        <f>'Annual historicals'!O57</f>
        <v>77.272999999999996</v>
      </c>
      <c r="K113" s="390">
        <f>'Annual historicals'!P57</f>
        <v>189.114</v>
      </c>
      <c r="L113" s="390">
        <f>'Annual historicals'!Q57</f>
        <v>185.57300000000001</v>
      </c>
      <c r="M113" s="391">
        <f>'Annual historicals'!R57</f>
        <v>152.089</v>
      </c>
      <c r="N113" s="392">
        <f t="shared" ref="N113:U113" si="314">N61/1000*N98</f>
        <v>165.15</v>
      </c>
      <c r="O113" s="392">
        <f t="shared" si="314"/>
        <v>163.50000000000003</v>
      </c>
      <c r="P113" s="392">
        <f t="shared" si="314"/>
        <v>172.02674999999999</v>
      </c>
      <c r="Q113" s="392">
        <f t="shared" si="314"/>
        <v>180.9924</v>
      </c>
      <c r="R113" s="392">
        <f t="shared" si="314"/>
        <v>190.421061912</v>
      </c>
      <c r="S113" s="392">
        <f t="shared" si="314"/>
        <v>200.33811978585598</v>
      </c>
      <c r="T113" s="392">
        <f t="shared" si="314"/>
        <v>210.77029507674968</v>
      </c>
      <c r="U113" s="392">
        <f t="shared" si="314"/>
        <v>221.74571519333659</v>
      </c>
      <c r="V113" s="1944"/>
      <c r="W113" s="472"/>
      <c r="X113" s="1031">
        <f>'Quarterly historicals'!B83</f>
        <v>0</v>
      </c>
      <c r="Y113" s="1031">
        <f>'Quarterly historicals'!C83</f>
        <v>0</v>
      </c>
      <c r="Z113" s="1031">
        <f>'Quarterly historicals'!D83</f>
        <v>0</v>
      </c>
      <c r="AA113" s="1031">
        <f>'Quarterly historicals'!E83</f>
        <v>0</v>
      </c>
      <c r="AB113" s="1031">
        <f>'Quarterly historicals'!F83</f>
        <v>0</v>
      </c>
      <c r="AC113" s="1031">
        <f>'Quarterly historicals'!G83</f>
        <v>0</v>
      </c>
      <c r="AD113" s="1031">
        <f>'Quarterly historicals'!H83</f>
        <v>0</v>
      </c>
      <c r="AE113" s="1031">
        <f>'Quarterly historicals'!I83</f>
        <v>0</v>
      </c>
      <c r="AF113" s="1031">
        <f>'Quarterly historicals'!J83</f>
        <v>1.2809999999999999</v>
      </c>
      <c r="AG113" s="1031">
        <f>'Quarterly historicals'!K83</f>
        <v>7.2539999999999996</v>
      </c>
      <c r="AH113" s="1031">
        <f>'Quarterly historicals'!L83</f>
        <v>7.0170000000000003</v>
      </c>
      <c r="AI113" s="1031">
        <f>'Quarterly historicals'!M83</f>
        <v>0.89300000000000002</v>
      </c>
      <c r="AJ113" s="1031">
        <f>'Quarterly historicals'!N83</f>
        <v>5.4340000000000002</v>
      </c>
      <c r="AK113" s="1031">
        <f>'Quarterly historicals'!O83</f>
        <v>9.0050000000000008</v>
      </c>
      <c r="AL113" s="1031">
        <f>'Quarterly historicals'!P83</f>
        <v>7.8620000000000001</v>
      </c>
      <c r="AM113" s="1031">
        <f>'Quarterly historicals'!Q83</f>
        <v>0</v>
      </c>
      <c r="AN113" s="1031">
        <f>'Quarterly historicals'!R83</f>
        <v>5.7190000000000003</v>
      </c>
      <c r="AO113" s="1031">
        <f>'Quarterly historicals'!S83</f>
        <v>10.547000000000001</v>
      </c>
      <c r="AP113" s="1031">
        <f>'Quarterly historicals'!T83</f>
        <v>6.9160000000000004</v>
      </c>
      <c r="AQ113" s="1031">
        <f>'Quarterly historicals'!U83</f>
        <v>0.76500000000000001</v>
      </c>
      <c r="AR113" s="1031">
        <f>'Quarterly historicals'!V83</f>
        <v>4.0090000000000003</v>
      </c>
      <c r="AS113" s="1031">
        <f>'Quarterly historicals'!W83</f>
        <v>10.236000000000001</v>
      </c>
      <c r="AT113" s="1031">
        <f>'Quarterly historicals'!X83</f>
        <v>8.7219999999999995</v>
      </c>
      <c r="AU113" s="1031">
        <f>'Quarterly historicals'!Y83</f>
        <v>4.6260000000000003</v>
      </c>
      <c r="AV113" s="1031">
        <f>'Quarterly historicals'!Z83</f>
        <v>6.976</v>
      </c>
      <c r="AW113" s="1031">
        <f>'Quarterly historicals'!AA83</f>
        <v>12.994999999999999</v>
      </c>
      <c r="AX113" s="1031">
        <f>'Quarterly historicals'!AB83</f>
        <v>19.206</v>
      </c>
      <c r="AY113" s="1031">
        <f>'Quarterly historicals'!AC83</f>
        <v>5.2320000000000002</v>
      </c>
      <c r="AZ113" s="1031">
        <f>'Quarterly historicals'!AD83</f>
        <v>8.8680000000000003</v>
      </c>
      <c r="BA113" s="1031">
        <f>'Quarterly historicals'!AE83</f>
        <v>25.504000000000001</v>
      </c>
      <c r="BB113" s="1031">
        <f>'Quarterly historicals'!AF83</f>
        <v>40.514000000000003</v>
      </c>
      <c r="BC113" s="1031">
        <f>'Quarterly historicals'!AG83</f>
        <v>2.3889999999999998</v>
      </c>
      <c r="BD113" s="1031">
        <f>'Quarterly historicals'!AH83</f>
        <v>49.273000000000003</v>
      </c>
      <c r="BE113" s="1031">
        <f>'Quarterly historicals'!AI83</f>
        <v>61.933999999999997</v>
      </c>
      <c r="BF113" s="1031">
        <f>'Quarterly historicals'!AJ83</f>
        <v>73.343999999999994</v>
      </c>
      <c r="BG113" s="1031">
        <f>'Quarterly historicals'!AK83</f>
        <v>0.65300000000000002</v>
      </c>
      <c r="BH113" s="1031">
        <f>'Quarterly historicals'!AL83</f>
        <v>67.811999999999998</v>
      </c>
      <c r="BI113" s="1031">
        <f>'Quarterly historicals'!AM83</f>
        <v>65.805000000000007</v>
      </c>
      <c r="BJ113" s="1031">
        <f>'Quarterly historicals'!AN83</f>
        <v>49.033000000000001</v>
      </c>
      <c r="BK113" s="1031">
        <f>'Quarterly historicals'!AO83</f>
        <v>2.923</v>
      </c>
      <c r="BL113" s="1031">
        <f>'Quarterly historicals'!AP83</f>
        <v>43.71</v>
      </c>
      <c r="BM113" s="1031">
        <f>'Quarterly historicals'!AQ83</f>
        <v>48.709000000000003</v>
      </c>
      <c r="BN113" s="1031">
        <f>'Quarterly historicals'!AR83</f>
        <v>30.547999999999998</v>
      </c>
      <c r="BO113" s="1031">
        <f>'Quarterly historicals'!AS83</f>
        <v>29.122</v>
      </c>
      <c r="BP113" s="2315">
        <f>'Quarterly historicals'!AT83</f>
        <v>66.212000000000003</v>
      </c>
      <c r="BQ113" s="1605">
        <f>$N113*BQ224</f>
        <v>52.891999750146297</v>
      </c>
      <c r="BR113" s="1605">
        <f>$N113*BR224</f>
        <v>33.171381230726745</v>
      </c>
      <c r="BS113" s="2031">
        <f t="shared" si="298"/>
        <v>12.874619019126953</v>
      </c>
      <c r="BT113" s="2068">
        <f>$O113*BT224</f>
        <v>58.336406697094944</v>
      </c>
      <c r="BU113" s="1605">
        <f>$O113*BU224</f>
        <v>52.36356015227927</v>
      </c>
      <c r="BV113" s="1605">
        <f>$O113*BV224</f>
        <v>32.839968702536019</v>
      </c>
      <c r="BW113" s="2062">
        <f t="shared" si="300"/>
        <v>19.960064448089781</v>
      </c>
      <c r="BX113" s="2068">
        <f>$P113*BX224</f>
        <v>61.37873058580719</v>
      </c>
      <c r="BY113" s="1605">
        <f>$P113*BY224</f>
        <v>55.094391874165787</v>
      </c>
      <c r="BZ113" s="1605">
        <f>$P113*BZ224</f>
        <v>34.552618262990748</v>
      </c>
      <c r="CA113" s="2062">
        <f t="shared" si="302"/>
        <v>21.001009277036246</v>
      </c>
      <c r="CB113" s="2068">
        <f>$Q113*CB224</f>
        <v>64.577652938735696</v>
      </c>
      <c r="CC113" s="1605">
        <f>$Q113*CC224</f>
        <v>57.965788529084946</v>
      </c>
      <c r="CD113" s="1605">
        <f>$Q113*CD224</f>
        <v>36.353423555944218</v>
      </c>
      <c r="CE113" s="2062">
        <f t="shared" si="304"/>
        <v>22.095534976235143</v>
      </c>
      <c r="CF113" s="2068">
        <f>$R113*CF224</f>
        <v>67.941776828080279</v>
      </c>
      <c r="CG113" s="1605">
        <f>$R113*CG224</f>
        <v>60.985472352843459</v>
      </c>
      <c r="CH113" s="1605">
        <f>$R113*CH224</f>
        <v>38.247227605466378</v>
      </c>
      <c r="CI113" s="2062">
        <f t="shared" si="306"/>
        <v>23.246585125609869</v>
      </c>
      <c r="CJ113" s="2068">
        <f>$S113*CJ224</f>
        <v>71.480159221767678</v>
      </c>
      <c r="CK113" s="1605">
        <f>$S113*CK224</f>
        <v>64.16157300428867</v>
      </c>
      <c r="CL113" s="1605">
        <f>$S113*CL224</f>
        <v>40.239128952247228</v>
      </c>
      <c r="CM113" s="2062">
        <f t="shared" si="308"/>
        <v>24.457258607552404</v>
      </c>
      <c r="CN113" s="2068">
        <f>$T113*CN224</f>
        <v>75.202334270727675</v>
      </c>
      <c r="CO113" s="1605">
        <f>$T113*CO224</f>
        <v>67.502648468287646</v>
      </c>
      <c r="CP113" s="1605">
        <f>$T113*CP224</f>
        <v>42.334494762964773</v>
      </c>
      <c r="CQ113" s="2062">
        <f t="shared" si="310"/>
        <v>25.730817574769588</v>
      </c>
      <c r="CR113" s="2068">
        <f>$U113*CR224</f>
        <v>79.118337766707441</v>
      </c>
      <c r="CS113" s="1605">
        <f>$U113*CS224</f>
        <v>71.017707009397341</v>
      </c>
      <c r="CT113" s="1605">
        <f>$U113*CT224</f>
        <v>44.538974598597179</v>
      </c>
      <c r="CU113" s="2062">
        <f t="shared" si="312"/>
        <v>27.070695818634647</v>
      </c>
    </row>
    <row r="114" spans="1:100" s="14" customFormat="1">
      <c r="A114" s="251" t="s">
        <v>1502</v>
      </c>
      <c r="B114" s="390"/>
      <c r="C114" s="390"/>
      <c r="D114" s="390"/>
      <c r="E114" s="390"/>
      <c r="F114" s="390"/>
      <c r="G114" s="390"/>
      <c r="H114" s="390"/>
      <c r="I114" s="390"/>
      <c r="J114" s="390"/>
      <c r="K114" s="390">
        <f>+'Annual historicals'!P58</f>
        <v>31.177</v>
      </c>
      <c r="L114" s="390">
        <f>+'Annual historicals'!Q58</f>
        <v>23.21</v>
      </c>
      <c r="M114" s="391">
        <f>+'Annual historicals'!R58</f>
        <v>21.289000000000001</v>
      </c>
      <c r="N114" s="1832">
        <f>+M114*(1+Inputs!P113)</f>
        <v>23.417900000000003</v>
      </c>
      <c r="O114" s="1832">
        <f>+N114*(1+Inputs!Q113)</f>
        <v>28.101480000000002</v>
      </c>
      <c r="P114" s="1832">
        <f>+O114*(1+Inputs!R113)</f>
        <v>32.597716800000001</v>
      </c>
      <c r="Q114" s="1832">
        <f>+P114*(1+Inputs!S113)</f>
        <v>36.509442816000004</v>
      </c>
      <c r="R114" s="1832">
        <f>+Q114*(1+Inputs!T113)</f>
        <v>40.160387097600008</v>
      </c>
      <c r="S114" s="1832">
        <f>+R114*(1+Inputs!U113)</f>
        <v>43.373218065408011</v>
      </c>
      <c r="T114" s="1832">
        <f>+S114*(1+Inputs!V113)</f>
        <v>45.975611149332494</v>
      </c>
      <c r="U114" s="1832">
        <f>+T114*(1+Inputs!W113)</f>
        <v>47.814635595305795</v>
      </c>
      <c r="V114" s="1944"/>
      <c r="W114" s="472"/>
      <c r="X114" s="1031">
        <f>'Quarterly historicals'!B84</f>
        <v>0</v>
      </c>
      <c r="Y114" s="1031">
        <f>'Quarterly historicals'!C84</f>
        <v>0</v>
      </c>
      <c r="Z114" s="1031">
        <f>'Quarterly historicals'!D84</f>
        <v>0</v>
      </c>
      <c r="AA114" s="1031">
        <f>'Quarterly historicals'!E84</f>
        <v>0</v>
      </c>
      <c r="AB114" s="1031">
        <f>'Quarterly historicals'!F84</f>
        <v>0</v>
      </c>
      <c r="AC114" s="1031">
        <f>'Quarterly historicals'!G84</f>
        <v>0</v>
      </c>
      <c r="AD114" s="1031">
        <f>'Quarterly historicals'!H84</f>
        <v>0</v>
      </c>
      <c r="AE114" s="1031">
        <f>'Quarterly historicals'!I84</f>
        <v>0</v>
      </c>
      <c r="AF114" s="1031">
        <f>'Quarterly historicals'!J84</f>
        <v>0</v>
      </c>
      <c r="AG114" s="1031">
        <f>'Quarterly historicals'!K84</f>
        <v>0</v>
      </c>
      <c r="AH114" s="1031">
        <f>'Quarterly historicals'!L84</f>
        <v>0</v>
      </c>
      <c r="AI114" s="1031">
        <f>'Quarterly historicals'!M84</f>
        <v>0</v>
      </c>
      <c r="AJ114" s="1031">
        <f>'Quarterly historicals'!N84</f>
        <v>0</v>
      </c>
      <c r="AK114" s="1031">
        <f>'Quarterly historicals'!O84</f>
        <v>0</v>
      </c>
      <c r="AL114" s="1031">
        <f>'Quarterly historicals'!P84</f>
        <v>0</v>
      </c>
      <c r="AM114" s="1031">
        <f>'Quarterly historicals'!Q84</f>
        <v>0</v>
      </c>
      <c r="AN114" s="1031">
        <f>'Quarterly historicals'!R84</f>
        <v>0</v>
      </c>
      <c r="AO114" s="1031">
        <f>'Quarterly historicals'!S84</f>
        <v>0</v>
      </c>
      <c r="AP114" s="1031">
        <f>'Quarterly historicals'!T84</f>
        <v>0</v>
      </c>
      <c r="AQ114" s="1031">
        <f>'Quarterly historicals'!U84</f>
        <v>0</v>
      </c>
      <c r="AR114" s="1031">
        <f>'Quarterly historicals'!V84</f>
        <v>0</v>
      </c>
      <c r="AS114" s="1031">
        <f>'Quarterly historicals'!W84</f>
        <v>0</v>
      </c>
      <c r="AT114" s="1031">
        <f>'Quarterly historicals'!X84</f>
        <v>0</v>
      </c>
      <c r="AU114" s="1031">
        <f>'Quarterly historicals'!Y84</f>
        <v>0</v>
      </c>
      <c r="AV114" s="1031">
        <f>'Quarterly historicals'!Z84</f>
        <v>0</v>
      </c>
      <c r="AW114" s="1031">
        <f>'Quarterly historicals'!AA84</f>
        <v>0</v>
      </c>
      <c r="AX114" s="1031">
        <f>'Quarterly historicals'!AB84</f>
        <v>0</v>
      </c>
      <c r="AY114" s="1031">
        <f>'Quarterly historicals'!AC84</f>
        <v>0</v>
      </c>
      <c r="AZ114" s="1031">
        <f>'Quarterly historicals'!AD84</f>
        <v>0</v>
      </c>
      <c r="BA114" s="1031">
        <f>'Quarterly historicals'!AE84</f>
        <v>0</v>
      </c>
      <c r="BB114" s="1031">
        <f>'Quarterly historicals'!AF84</f>
        <v>0</v>
      </c>
      <c r="BC114" s="1031">
        <f>'Quarterly historicals'!AG84</f>
        <v>0</v>
      </c>
      <c r="BD114" s="1031">
        <f>'Quarterly historicals'!AH84</f>
        <v>0</v>
      </c>
      <c r="BE114" s="1031">
        <f>'Quarterly historicals'!AI84</f>
        <v>18.364000000000001</v>
      </c>
      <c r="BF114" s="1031">
        <f>'Quarterly historicals'!AJ84</f>
        <v>7.92</v>
      </c>
      <c r="BG114" s="1031">
        <f>'Quarterly historicals'!AK84</f>
        <v>5.8579999999999997</v>
      </c>
      <c r="BH114" s="1031">
        <f>'Quarterly historicals'!AL84</f>
        <v>13.942</v>
      </c>
      <c r="BI114" s="1031">
        <f>'Quarterly historicals'!AM84</f>
        <v>5.3360000000000003</v>
      </c>
      <c r="BJ114" s="1031">
        <f>'Quarterly historicals'!AN84</f>
        <v>14.574999999999999</v>
      </c>
      <c r="BK114" s="1031">
        <f>'Quarterly historicals'!AO84</f>
        <v>0.33300000000000002</v>
      </c>
      <c r="BL114" s="1031">
        <f>'Quarterly historicals'!AP84</f>
        <v>5.077</v>
      </c>
      <c r="BM114" s="1031">
        <f>'Quarterly historicals'!AQ84</f>
        <v>13.036</v>
      </c>
      <c r="BN114" s="1031">
        <f>'Quarterly historicals'!AR84</f>
        <v>2.8580000000000001</v>
      </c>
      <c r="BO114" s="1031">
        <f>'Quarterly historicals'!AS84</f>
        <v>0.32</v>
      </c>
      <c r="BP114" s="2315">
        <f>'Quarterly historicals'!AT84</f>
        <v>1.1060000000000001</v>
      </c>
      <c r="BQ114" s="1605">
        <f>$N114*BQ223</f>
        <v>14.339600000000001</v>
      </c>
      <c r="BR114" s="1605">
        <f>$N114*BR223</f>
        <v>3.1438000000000001</v>
      </c>
      <c r="BS114" s="2031">
        <f t="shared" si="298"/>
        <v>4.8285000000000018</v>
      </c>
      <c r="BT114" s="2068">
        <f>$O114*BT223</f>
        <v>0.90915102322588237</v>
      </c>
      <c r="BU114" s="1605">
        <f>$O114*BU223</f>
        <v>17.207519999999999</v>
      </c>
      <c r="BV114" s="1605">
        <f>$O114*BV223</f>
        <v>3.7725599999999999</v>
      </c>
      <c r="BW114" s="2062">
        <f t="shared" si="300"/>
        <v>6.2122489767741236</v>
      </c>
      <c r="BX114" s="2068">
        <f>$P114*BX223</f>
        <v>1.0546151869420235</v>
      </c>
      <c r="BY114" s="1605">
        <f>$P114*BY223</f>
        <v>19.9607232</v>
      </c>
      <c r="BZ114" s="1605">
        <f>$P114*BZ223</f>
        <v>4.3761695999999999</v>
      </c>
      <c r="CA114" s="2062">
        <f t="shared" si="302"/>
        <v>7.2062088130579767</v>
      </c>
      <c r="CB114" s="2068">
        <f>$Q114*CB223</f>
        <v>1.1811690093750664</v>
      </c>
      <c r="CC114" s="1605">
        <f>$Q114*CC223</f>
        <v>22.356009984</v>
      </c>
      <c r="CD114" s="1605">
        <f>$Q114*CD223</f>
        <v>4.9013099520000001</v>
      </c>
      <c r="CE114" s="2062">
        <f t="shared" si="304"/>
        <v>8.0709538706249404</v>
      </c>
      <c r="CF114" s="2068">
        <f>$R114*CF223</f>
        <v>1.2992859103125731</v>
      </c>
      <c r="CG114" s="1605">
        <f>$R114*CG223</f>
        <v>24.591610982400002</v>
      </c>
      <c r="CH114" s="1605">
        <f>$R114*CH223</f>
        <v>5.3914409472000004</v>
      </c>
      <c r="CI114" s="2062">
        <f t="shared" si="306"/>
        <v>8.878049257687433</v>
      </c>
      <c r="CJ114" s="2068">
        <f>$S114*CJ223</f>
        <v>1.4032287831375791</v>
      </c>
      <c r="CK114" s="1605">
        <f>$S114*CK223</f>
        <v>26.558939860992005</v>
      </c>
      <c r="CL114" s="1605">
        <f>$S114*CL223</f>
        <v>5.8227562229760013</v>
      </c>
      <c r="CM114" s="2062">
        <f t="shared" si="308"/>
        <v>9.5882931983024235</v>
      </c>
      <c r="CN114" s="2068">
        <f>$T114*CN223</f>
        <v>1.4874225101258338</v>
      </c>
      <c r="CO114" s="1605">
        <f>$T114*CO223</f>
        <v>28.152476252651528</v>
      </c>
      <c r="CP114" s="1605">
        <f>$T114*CP223</f>
        <v>6.1721215963545619</v>
      </c>
      <c r="CQ114" s="2062">
        <f t="shared" si="310"/>
        <v>10.163590790200566</v>
      </c>
      <c r="CR114" s="2068">
        <f>$U114*CR223</f>
        <v>1.5469194105308672</v>
      </c>
      <c r="CS114" s="1605">
        <f>$U114*CS223</f>
        <v>29.278575302757588</v>
      </c>
      <c r="CT114" s="1605">
        <f>$U114*CT223</f>
        <v>6.4190064602087444</v>
      </c>
      <c r="CU114" s="2062">
        <f t="shared" si="312"/>
        <v>10.570134421808596</v>
      </c>
    </row>
    <row r="115" spans="1:100" s="14" customFormat="1">
      <c r="A115" s="251" t="s">
        <v>222</v>
      </c>
      <c r="B115" s="390">
        <f t="shared" ref="B115:J115" si="315">SUM(B116:B117)</f>
        <v>31.863999999999997</v>
      </c>
      <c r="C115" s="390">
        <f t="shared" si="315"/>
        <v>37.146000000000001</v>
      </c>
      <c r="D115" s="390">
        <f t="shared" si="315"/>
        <v>35.557000000000002</v>
      </c>
      <c r="E115" s="390">
        <f t="shared" si="315"/>
        <v>47.372</v>
      </c>
      <c r="F115" s="390">
        <f t="shared" si="315"/>
        <v>55.895000000000003</v>
      </c>
      <c r="G115" s="390">
        <f t="shared" si="315"/>
        <v>47.965000000000003</v>
      </c>
      <c r="H115" s="390">
        <f t="shared" si="315"/>
        <v>67.64</v>
      </c>
      <c r="I115" s="390">
        <f t="shared" si="315"/>
        <v>95.054000000000002</v>
      </c>
      <c r="J115" s="390">
        <f t="shared" si="315"/>
        <v>168.49199999999999</v>
      </c>
      <c r="K115" s="390">
        <f>'Annual historicals'!P59</f>
        <v>109.05</v>
      </c>
      <c r="L115" s="390">
        <f>'Annual historicals'!Q59</f>
        <v>61.948999999999998</v>
      </c>
      <c r="M115" s="391">
        <f>'Annual historicals'!R59</f>
        <v>65.462999999999994</v>
      </c>
      <c r="N115" s="1832">
        <f>M115*(1+Inputs!P113)</f>
        <v>72.009299999999996</v>
      </c>
      <c r="O115" s="1832">
        <f>N115*(1+Inputs!Q113)</f>
        <v>86.411159999999995</v>
      </c>
      <c r="P115" s="1832">
        <f>O115*(1+Inputs!R113)</f>
        <v>100.23694559999998</v>
      </c>
      <c r="Q115" s="1832">
        <f>P115*(1+Inputs!S113)</f>
        <v>112.26537907199999</v>
      </c>
      <c r="R115" s="1832">
        <f>Q115*(1+Inputs!T113)</f>
        <v>123.4919169792</v>
      </c>
      <c r="S115" s="1832">
        <f>R115*(1+Inputs!U113)</f>
        <v>133.371270337536</v>
      </c>
      <c r="T115" s="1832">
        <f>S115*(1+Inputs!V113)</f>
        <v>141.37354655778816</v>
      </c>
      <c r="U115" s="1832">
        <f>T115*(1+Inputs!W113)</f>
        <v>147.02848842009968</v>
      </c>
      <c r="V115" s="1944"/>
      <c r="W115" s="472"/>
      <c r="X115" s="1031">
        <f t="shared" ref="X115:BC115" si="316">SUM(X116:X117)</f>
        <v>7.407</v>
      </c>
      <c r="Y115" s="1031">
        <f t="shared" si="316"/>
        <v>12.591999999999999</v>
      </c>
      <c r="Z115" s="1031">
        <f t="shared" si="316"/>
        <v>9.2989999999999995</v>
      </c>
      <c r="AA115" s="1031">
        <f t="shared" si="316"/>
        <v>6.1619999999999999</v>
      </c>
      <c r="AB115" s="1031">
        <f t="shared" si="316"/>
        <v>7.5519999999999996</v>
      </c>
      <c r="AC115" s="1031">
        <f t="shared" si="316"/>
        <v>14.749000000000001</v>
      </c>
      <c r="AD115" s="1031">
        <f t="shared" si="316"/>
        <v>6.5719999999999992</v>
      </c>
      <c r="AE115" s="1031">
        <f t="shared" si="316"/>
        <v>6.6850000000000005</v>
      </c>
      <c r="AF115" s="1031">
        <f t="shared" si="316"/>
        <v>8.6890000000000001</v>
      </c>
      <c r="AG115" s="1031">
        <f t="shared" si="316"/>
        <v>13.085000000000001</v>
      </c>
      <c r="AH115" s="1031">
        <f t="shared" si="316"/>
        <v>13.2</v>
      </c>
      <c r="AI115" s="1031">
        <f t="shared" si="316"/>
        <v>12.398</v>
      </c>
      <c r="AJ115" s="1031">
        <f t="shared" si="316"/>
        <v>17.536999999999999</v>
      </c>
      <c r="AK115" s="1031">
        <f t="shared" si="316"/>
        <v>11.164000000000001</v>
      </c>
      <c r="AL115" s="1031">
        <f t="shared" si="316"/>
        <v>13.824</v>
      </c>
      <c r="AM115" s="1031">
        <f t="shared" si="316"/>
        <v>13.37</v>
      </c>
      <c r="AN115" s="1031">
        <f t="shared" si="316"/>
        <v>14.306000000000001</v>
      </c>
      <c r="AO115" s="1031">
        <f t="shared" si="316"/>
        <v>15.173000000000002</v>
      </c>
      <c r="AP115" s="1031">
        <f t="shared" si="316"/>
        <v>13.513999999999999</v>
      </c>
      <c r="AQ115" s="1031">
        <f t="shared" si="316"/>
        <v>4.9729999999999999</v>
      </c>
      <c r="AR115" s="1031">
        <f t="shared" si="316"/>
        <v>16.966999999999999</v>
      </c>
      <c r="AS115" s="1031">
        <f t="shared" si="316"/>
        <v>26.613</v>
      </c>
      <c r="AT115" s="1031">
        <f t="shared" si="316"/>
        <v>14.861000000000001</v>
      </c>
      <c r="AU115" s="1031">
        <f t="shared" si="316"/>
        <v>9.1890000000000001</v>
      </c>
      <c r="AV115" s="1031">
        <f t="shared" si="316"/>
        <v>30.555999999999997</v>
      </c>
      <c r="AW115" s="1031">
        <f t="shared" si="316"/>
        <v>22.499000000000002</v>
      </c>
      <c r="AX115" s="1031">
        <f t="shared" si="316"/>
        <v>27.978999999999999</v>
      </c>
      <c r="AY115" s="1031">
        <f t="shared" si="316"/>
        <v>14.02</v>
      </c>
      <c r="AZ115" s="1031">
        <f t="shared" si="316"/>
        <v>35.312000000000005</v>
      </c>
      <c r="BA115" s="1031">
        <f t="shared" si="316"/>
        <v>65.143000000000001</v>
      </c>
      <c r="BB115" s="1031">
        <f t="shared" si="316"/>
        <v>46.516999999999996</v>
      </c>
      <c r="BC115" s="1031">
        <f t="shared" si="316"/>
        <v>21.524000000000001</v>
      </c>
      <c r="BD115" s="1031">
        <f t="shared" ref="BD115:CI115" si="317">SUM(BD116:BD117)</f>
        <v>5.125</v>
      </c>
      <c r="BE115" s="1031">
        <f t="shared" si="317"/>
        <v>27.422999999999998</v>
      </c>
      <c r="BF115" s="1031">
        <f t="shared" si="317"/>
        <v>25.229999999999997</v>
      </c>
      <c r="BG115" s="1031">
        <f t="shared" si="317"/>
        <v>15.003</v>
      </c>
      <c r="BH115" s="1031">
        <f t="shared" si="317"/>
        <v>20.426000000000002</v>
      </c>
      <c r="BI115" s="1031">
        <f t="shared" si="317"/>
        <v>19.956</v>
      </c>
      <c r="BJ115" s="1031">
        <f t="shared" si="317"/>
        <v>3.6640000000000001</v>
      </c>
      <c r="BK115" s="1031">
        <f t="shared" si="317"/>
        <v>6.931</v>
      </c>
      <c r="BL115" s="1031">
        <f t="shared" ref="BL115:BM115" si="318">SUM(BL116:BL117)</f>
        <v>14.45</v>
      </c>
      <c r="BM115" s="1031">
        <f t="shared" si="318"/>
        <v>23.492999999999999</v>
      </c>
      <c r="BN115" s="1031">
        <f t="shared" ref="BN115:BO115" si="319">SUM(BN116:BN117)</f>
        <v>16.484999999999999</v>
      </c>
      <c r="BO115" s="1031">
        <f t="shared" si="319"/>
        <v>11.034000000000001</v>
      </c>
      <c r="BP115" s="2315">
        <f t="shared" ref="BP115" si="320">SUM(BP116:BP117)</f>
        <v>15.169</v>
      </c>
      <c r="BQ115" s="1605">
        <f t="shared" si="317"/>
        <v>25.842299999999998</v>
      </c>
      <c r="BR115" s="1605">
        <f t="shared" si="317"/>
        <v>18.133500000000002</v>
      </c>
      <c r="BS115" s="2062">
        <f t="shared" si="317"/>
        <v>12.864500000000001</v>
      </c>
      <c r="BT115" s="2068">
        <f t="shared" si="317"/>
        <v>26.526355073533036</v>
      </c>
      <c r="BU115" s="1605">
        <f t="shared" si="317"/>
        <v>31.010759999999998</v>
      </c>
      <c r="BV115" s="1605">
        <f t="shared" si="317"/>
        <v>21.760200000000001</v>
      </c>
      <c r="BW115" s="2062">
        <f t="shared" si="317"/>
        <v>7.1138449264669568</v>
      </c>
      <c r="BX115" s="2068">
        <f t="shared" si="317"/>
        <v>30.770571885298317</v>
      </c>
      <c r="BY115" s="1605">
        <f t="shared" si="317"/>
        <v>35.972481599999995</v>
      </c>
      <c r="BZ115" s="1605">
        <f t="shared" si="317"/>
        <v>25.241831999999999</v>
      </c>
      <c r="CA115" s="2062">
        <f t="shared" si="317"/>
        <v>8.2520601147016706</v>
      </c>
      <c r="CB115" s="2068">
        <f t="shared" si="317"/>
        <v>34.463040511534118</v>
      </c>
      <c r="CC115" s="1605">
        <f t="shared" si="317"/>
        <v>40.289179391999994</v>
      </c>
      <c r="CD115" s="1605">
        <f t="shared" si="317"/>
        <v>28.270851839999995</v>
      </c>
      <c r="CE115" s="2062">
        <f t="shared" si="317"/>
        <v>9.2423073284658877</v>
      </c>
      <c r="CF115" s="2068">
        <f t="shared" si="317"/>
        <v>37.909344562687536</v>
      </c>
      <c r="CG115" s="1605">
        <f t="shared" si="317"/>
        <v>44.318097331200001</v>
      </c>
      <c r="CH115" s="1605">
        <f t="shared" si="317"/>
        <v>31.097937024000004</v>
      </c>
      <c r="CI115" s="2062">
        <f t="shared" si="317"/>
        <v>10.166538061312451</v>
      </c>
      <c r="CJ115" s="2068">
        <f t="shared" ref="CJ115:CU115" si="321">SUM(CJ116:CJ117)</f>
        <v>40.942092127702537</v>
      </c>
      <c r="CK115" s="1605">
        <f t="shared" si="321"/>
        <v>47.863545117695999</v>
      </c>
      <c r="CL115" s="1605">
        <f t="shared" si="321"/>
        <v>33.585771985919997</v>
      </c>
      <c r="CM115" s="2062">
        <f t="shared" si="321"/>
        <v>10.979861106217466</v>
      </c>
      <c r="CN115" s="2068">
        <f t="shared" si="321"/>
        <v>43.398617655364689</v>
      </c>
      <c r="CO115" s="1605">
        <f t="shared" si="321"/>
        <v>50.735357824757756</v>
      </c>
      <c r="CP115" s="1605">
        <f t="shared" si="321"/>
        <v>35.600918305075197</v>
      </c>
      <c r="CQ115" s="2062">
        <f t="shared" si="321"/>
        <v>11.638652772590518</v>
      </c>
      <c r="CR115" s="2068">
        <f t="shared" si="321"/>
        <v>45.13456236157927</v>
      </c>
      <c r="CS115" s="1605">
        <f t="shared" si="321"/>
        <v>52.764772137748061</v>
      </c>
      <c r="CT115" s="1605">
        <f t="shared" si="321"/>
        <v>37.024955037278204</v>
      </c>
      <c r="CU115" s="2062">
        <f t="shared" si="321"/>
        <v>12.104198883494128</v>
      </c>
    </row>
    <row r="116" spans="1:100">
      <c r="A116" s="157" t="s">
        <v>163</v>
      </c>
      <c r="B116" s="202">
        <f>'Annual historicals'!G60</f>
        <v>18.725999999999999</v>
      </c>
      <c r="C116" s="202">
        <f>'Annual historicals'!H60</f>
        <v>20.100000000000001</v>
      </c>
      <c r="D116" s="202">
        <f>'Annual historicals'!I60</f>
        <v>23.97</v>
      </c>
      <c r="E116" s="202">
        <f>'Annual historicals'!J60</f>
        <v>29.186</v>
      </c>
      <c r="F116" s="202">
        <f>'Annual historicals'!K60</f>
        <v>34.840000000000003</v>
      </c>
      <c r="G116" s="202">
        <f>'Annual historicals'!L60</f>
        <v>35.151000000000003</v>
      </c>
      <c r="H116" s="202">
        <f>'Annual historicals'!M60</f>
        <v>49.808</v>
      </c>
      <c r="I116" s="202">
        <f>'Annual historicals'!N60</f>
        <v>64.567999999999998</v>
      </c>
      <c r="J116" s="202">
        <f>'Annual historicals'!O60</f>
        <v>135.91499999999999</v>
      </c>
      <c r="K116" s="202">
        <f>'Annual historicals'!P60</f>
        <v>76.335999999999999</v>
      </c>
      <c r="L116" s="202">
        <f>'Annual historicals'!Q60</f>
        <v>50.999000000000002</v>
      </c>
      <c r="M116" s="355">
        <f>'Annual historicals'!R60</f>
        <v>65.078999999999994</v>
      </c>
      <c r="N116" s="614">
        <f t="shared" ref="N116:U116" si="322">M116/M$115*N$115</f>
        <v>71.5869</v>
      </c>
      <c r="O116" s="614">
        <f t="shared" si="322"/>
        <v>85.90428</v>
      </c>
      <c r="P116" s="614">
        <f t="shared" si="322"/>
        <v>99.648964799999987</v>
      </c>
      <c r="Q116" s="614">
        <f t="shared" si="322"/>
        <v>111.60684057599998</v>
      </c>
      <c r="R116" s="614">
        <f t="shared" si="322"/>
        <v>122.7675246336</v>
      </c>
      <c r="S116" s="614">
        <f t="shared" si="322"/>
        <v>132.58892660428799</v>
      </c>
      <c r="T116" s="614">
        <f t="shared" si="322"/>
        <v>140.54426220054526</v>
      </c>
      <c r="U116" s="614">
        <f t="shared" si="322"/>
        <v>146.16603268856707</v>
      </c>
      <c r="V116" s="1944"/>
      <c r="W116" s="472"/>
      <c r="X116" s="1015">
        <f>'Quarterly historicals'!B86</f>
        <v>4.7939999999999996</v>
      </c>
      <c r="Y116" s="1015">
        <f>'Quarterly historicals'!C86</f>
        <v>8.5449999999999999</v>
      </c>
      <c r="Z116" s="1015">
        <f>'Quarterly historicals'!D86</f>
        <v>3.4969999999999999</v>
      </c>
      <c r="AA116" s="1015">
        <f>'Quarterly historicals'!E86</f>
        <v>1.2050000000000001</v>
      </c>
      <c r="AB116" s="1015">
        <f>'Quarterly historicals'!F86</f>
        <v>4.9390000000000001</v>
      </c>
      <c r="AC116" s="1015">
        <f>'Quarterly historicals'!G86</f>
        <v>11.721</v>
      </c>
      <c r="AD116" s="1015">
        <f>'Quarterly historicals'!H86</f>
        <v>4.7249999999999996</v>
      </c>
      <c r="AE116" s="1015">
        <f>'Quarterly historicals'!I86</f>
        <v>2.5859999999999999</v>
      </c>
      <c r="AF116" s="1015">
        <f>'Quarterly historicals'!J86</f>
        <v>5.8529999999999998</v>
      </c>
      <c r="AG116" s="1015">
        <f>'Quarterly historicals'!K86</f>
        <v>10.529</v>
      </c>
      <c r="AH116" s="1015">
        <f>'Quarterly historicals'!L86</f>
        <v>7.9210000000000003</v>
      </c>
      <c r="AI116" s="1015">
        <f>'Quarterly historicals'!M86</f>
        <v>4.883</v>
      </c>
      <c r="AJ116" s="1015">
        <f>'Quarterly historicals'!N86</f>
        <v>11.842000000000001</v>
      </c>
      <c r="AK116" s="1015">
        <f>'Quarterly historicals'!O86</f>
        <v>9.5210000000000008</v>
      </c>
      <c r="AL116" s="1015">
        <f>'Quarterly historicals'!P86</f>
        <v>9.2530000000000001</v>
      </c>
      <c r="AM116" s="1015">
        <f>'Quarterly historicals'!Q86</f>
        <v>4.2249999999999996</v>
      </c>
      <c r="AN116" s="1015">
        <f>'Quarterly historicals'!R86</f>
        <v>11.887</v>
      </c>
      <c r="AO116" s="1015">
        <f>'Quarterly historicals'!S86</f>
        <v>12.851000000000001</v>
      </c>
      <c r="AP116" s="1015">
        <f>'Quarterly historicals'!T86</f>
        <v>8.3170000000000002</v>
      </c>
      <c r="AQ116" s="1015">
        <f>'Quarterly historicals'!U86</f>
        <v>2.9689999999999999</v>
      </c>
      <c r="AR116" s="1015">
        <f>'Quarterly historicals'!V86</f>
        <v>11.574</v>
      </c>
      <c r="AS116" s="1015">
        <f>'Quarterly historicals'!W86</f>
        <v>22.84</v>
      </c>
      <c r="AT116" s="1015">
        <f>'Quarterly historicals'!X86</f>
        <v>9.9339999999999993</v>
      </c>
      <c r="AU116" s="1015">
        <f>'Quarterly historicals'!Y86</f>
        <v>5.4660000000000002</v>
      </c>
      <c r="AV116" s="1015">
        <f>'Quarterly historicals'!Z86</f>
        <v>27.414999999999999</v>
      </c>
      <c r="AW116" s="1015">
        <f>'Quarterly historicals'!AA86</f>
        <v>16.224</v>
      </c>
      <c r="AX116" s="1015">
        <f>'Quarterly historicals'!AB86</f>
        <v>15.614000000000001</v>
      </c>
      <c r="AY116" s="1015">
        <f>'Quarterly historicals'!AC86</f>
        <v>5.3150000000000004</v>
      </c>
      <c r="AZ116" s="1015">
        <f>'Quarterly historicals'!AD86</f>
        <v>32.447000000000003</v>
      </c>
      <c r="BA116" s="1015">
        <f>'Quarterly historicals'!AE86</f>
        <v>59.128</v>
      </c>
      <c r="BB116" s="1015">
        <f>'Quarterly historicals'!AF86</f>
        <v>32.61</v>
      </c>
      <c r="BC116" s="1015">
        <f>'Quarterly historicals'!AG86</f>
        <v>11.728999999999999</v>
      </c>
      <c r="BD116" s="757">
        <f>'Quarterly historicals'!AH86-6.4</f>
        <v>1.3689999999999998</v>
      </c>
      <c r="BE116" s="757">
        <f>'Quarterly historicals'!AI86-18.72</f>
        <v>17.283999999999999</v>
      </c>
      <c r="BF116" s="757">
        <f>'Quarterly historicals'!AJ86-9.2</f>
        <v>15.86</v>
      </c>
      <c r="BG116" s="757">
        <f>'Quarterly historicals'!AK86-'Quarterly historicals'!AK190</f>
        <v>5.5549999999999997</v>
      </c>
      <c r="BH116" s="757">
        <f>'Quarterly historicals'!AL86-'Quarterly historicals'!AL190</f>
        <v>11.995000000000001</v>
      </c>
      <c r="BI116" s="757">
        <f>'Quarterly historicals'!AM86-'Quarterly historicals'!AM190</f>
        <v>17.501999999999999</v>
      </c>
      <c r="BJ116" s="757">
        <f>'Quarterly historicals'!AN86-'Quarterly historicals'!AN190</f>
        <v>3.5990000000000002</v>
      </c>
      <c r="BK116" s="757">
        <f>'Quarterly historicals'!AO86-'Quarterly historicals'!AO190</f>
        <v>6.931</v>
      </c>
      <c r="BL116" s="757">
        <f>'Quarterly historicals'!AP86-'Quarterly historicals'!AP190</f>
        <v>14.45</v>
      </c>
      <c r="BM116" s="757">
        <f>'Quarterly historicals'!AQ86-'Quarterly historicals'!AQ190</f>
        <v>23.492999999999999</v>
      </c>
      <c r="BN116" s="757">
        <f>'Quarterly historicals'!AR86-'Quarterly historicals'!AR190</f>
        <v>16.484999999999999</v>
      </c>
      <c r="BO116" s="757">
        <f>'Quarterly historicals'!AS86-'Quarterly historicals'!AS190</f>
        <v>10.65</v>
      </c>
      <c r="BP116" s="2316">
        <f>'Quarterly historicals'!AT86-'Quarterly historicals'!AT190</f>
        <v>12.298</v>
      </c>
      <c r="BQ116" s="1606">
        <f>$N116*BQ226</f>
        <v>25.842299999999998</v>
      </c>
      <c r="BR116" s="1606">
        <f>$N116*BR226</f>
        <v>18.133500000000002</v>
      </c>
      <c r="BS116" s="2063">
        <f t="shared" si="298"/>
        <v>15.313100000000006</v>
      </c>
      <c r="BT116" s="2069">
        <f t="shared" ref="BT116:BV117" si="323">$O116*BT226</f>
        <v>26.393455303670024</v>
      </c>
      <c r="BU116" s="1606">
        <f t="shared" si="323"/>
        <v>31.010759999999998</v>
      </c>
      <c r="BV116" s="1606">
        <f t="shared" si="323"/>
        <v>21.760200000000001</v>
      </c>
      <c r="BW116" s="2063">
        <f t="shared" ref="BW116:BW117" si="324">$O116-SUM(BT116:BV116)</f>
        <v>6.739864696329974</v>
      </c>
      <c r="BX116" s="2069">
        <f t="shared" ref="BX116:BZ117" si="325">$P116*BX226</f>
        <v>30.616408152257222</v>
      </c>
      <c r="BY116" s="1606">
        <f t="shared" si="325"/>
        <v>35.972481599999995</v>
      </c>
      <c r="BZ116" s="1606">
        <f t="shared" si="325"/>
        <v>25.241831999999999</v>
      </c>
      <c r="CA116" s="2063">
        <f t="shared" ref="CA116:CA117" si="326">$P116-SUM(BX116:BZ116)</f>
        <v>7.8182430477427687</v>
      </c>
      <c r="CB116" s="2069">
        <f t="shared" ref="CB116:CD117" si="327">$Q116*CB226</f>
        <v>34.290377130528086</v>
      </c>
      <c r="CC116" s="1606">
        <f t="shared" si="327"/>
        <v>40.289179391999994</v>
      </c>
      <c r="CD116" s="1606">
        <f t="shared" si="327"/>
        <v>28.270851839999995</v>
      </c>
      <c r="CE116" s="2063">
        <f t="shared" ref="CE116:CE117" si="328">$Q116-SUM(CB116:CD116)</f>
        <v>8.7564322134719106</v>
      </c>
      <c r="CF116" s="2069">
        <f t="shared" ref="CF116:CH117" si="329">$R116*CF226</f>
        <v>37.719414843580907</v>
      </c>
      <c r="CG116" s="1606">
        <f t="shared" si="329"/>
        <v>44.318097331200001</v>
      </c>
      <c r="CH116" s="1606">
        <f t="shared" si="329"/>
        <v>31.097937024000004</v>
      </c>
      <c r="CI116" s="2063">
        <f t="shared" ref="CI116:CI117" si="330">$R116-SUM(CF116:CH116)</f>
        <v>9.632075434819086</v>
      </c>
      <c r="CJ116" s="2069">
        <f t="shared" ref="CJ116:CL117" si="331">$S116*CJ226</f>
        <v>40.73696803106737</v>
      </c>
      <c r="CK116" s="1606">
        <f t="shared" si="331"/>
        <v>47.863545117695999</v>
      </c>
      <c r="CL116" s="1606">
        <f t="shared" si="331"/>
        <v>33.585771985919997</v>
      </c>
      <c r="CM116" s="2063">
        <f t="shared" ref="CM116:CM117" si="332">$S116-SUM(CJ116:CL116)</f>
        <v>10.402641469604617</v>
      </c>
      <c r="CN116" s="2069">
        <f t="shared" ref="CN116:CP117" si="333">$T116*CN226</f>
        <v>43.181186112931414</v>
      </c>
      <c r="CO116" s="1606">
        <f t="shared" si="333"/>
        <v>50.735357824757756</v>
      </c>
      <c r="CP116" s="1606">
        <f t="shared" si="333"/>
        <v>35.600918305075197</v>
      </c>
      <c r="CQ116" s="2063">
        <f t="shared" ref="CQ116:CQ117" si="334">$T116-SUM(CN116:CP116)</f>
        <v>11.026799957780895</v>
      </c>
      <c r="CR116" s="2069">
        <f t="shared" ref="CR116:CT117" si="335">$U116*CR226</f>
        <v>44.908433557448667</v>
      </c>
      <c r="CS116" s="1606">
        <f t="shared" si="335"/>
        <v>52.764772137748061</v>
      </c>
      <c r="CT116" s="1606">
        <f t="shared" si="335"/>
        <v>37.024955037278204</v>
      </c>
      <c r="CU116" s="2063">
        <f t="shared" ref="CU116:CU117" si="336">$U116-SUM(CR116:CT116)</f>
        <v>11.467871956092125</v>
      </c>
    </row>
    <row r="117" spans="1:100">
      <c r="A117" s="157" t="s">
        <v>164</v>
      </c>
      <c r="B117" s="327">
        <f t="shared" ref="B117:L117" si="337">B118+B119</f>
        <v>13.138</v>
      </c>
      <c r="C117" s="327">
        <f t="shared" si="337"/>
        <v>17.045999999999999</v>
      </c>
      <c r="D117" s="327">
        <f t="shared" si="337"/>
        <v>11.587</v>
      </c>
      <c r="E117" s="327">
        <f t="shared" si="337"/>
        <v>18.186</v>
      </c>
      <c r="F117" s="327">
        <f t="shared" si="337"/>
        <v>21.055</v>
      </c>
      <c r="G117" s="327">
        <f t="shared" si="337"/>
        <v>12.814</v>
      </c>
      <c r="H117" s="327">
        <f t="shared" si="337"/>
        <v>17.831999999999997</v>
      </c>
      <c r="I117" s="327">
        <f t="shared" si="337"/>
        <v>30.486000000000001</v>
      </c>
      <c r="J117" s="327">
        <f t="shared" si="337"/>
        <v>32.576999999999998</v>
      </c>
      <c r="K117" s="327">
        <f t="shared" si="337"/>
        <v>32.713999999999999</v>
      </c>
      <c r="L117" s="327">
        <f t="shared" si="337"/>
        <v>10.95</v>
      </c>
      <c r="M117" s="358">
        <f t="shared" ref="M117" si="338">M118+M119</f>
        <v>0.38400000000000001</v>
      </c>
      <c r="N117" s="614">
        <f t="shared" ref="N117:U117" si="339">N115-N116</f>
        <v>0.42239999999999611</v>
      </c>
      <c r="O117" s="614">
        <f t="shared" si="339"/>
        <v>0.50687999999999533</v>
      </c>
      <c r="P117" s="614">
        <f t="shared" si="339"/>
        <v>0.58798079999999686</v>
      </c>
      <c r="Q117" s="614">
        <f t="shared" si="339"/>
        <v>0.65853849600000558</v>
      </c>
      <c r="R117" s="614">
        <f t="shared" si="339"/>
        <v>0.72439234559999477</v>
      </c>
      <c r="S117" s="614">
        <f t="shared" si="339"/>
        <v>0.78234373324801254</v>
      </c>
      <c r="T117" s="614">
        <f t="shared" si="339"/>
        <v>0.82928435724289784</v>
      </c>
      <c r="U117" s="614">
        <f t="shared" si="339"/>
        <v>0.8624557315326058</v>
      </c>
      <c r="V117" s="1944"/>
      <c r="W117" s="472"/>
      <c r="X117" s="1015">
        <f>'Quarterly historicals'!B87</f>
        <v>2.613</v>
      </c>
      <c r="Y117" s="1015">
        <f>'Quarterly historicals'!C87</f>
        <v>4.0469999999999997</v>
      </c>
      <c r="Z117" s="1015">
        <f>'Quarterly historicals'!D87</f>
        <v>5.8019999999999996</v>
      </c>
      <c r="AA117" s="1015">
        <f>'Quarterly historicals'!E87</f>
        <v>4.9569999999999999</v>
      </c>
      <c r="AB117" s="1015">
        <f>'Quarterly historicals'!F87</f>
        <v>2.613</v>
      </c>
      <c r="AC117" s="1015">
        <f>'Quarterly historicals'!G87</f>
        <v>3.028</v>
      </c>
      <c r="AD117" s="1015">
        <f>'Quarterly historicals'!H87</f>
        <v>1.847</v>
      </c>
      <c r="AE117" s="1015">
        <f>'Quarterly historicals'!I87</f>
        <v>4.0990000000000002</v>
      </c>
      <c r="AF117" s="1015">
        <f>'Quarterly historicals'!J87</f>
        <v>2.8359999999999999</v>
      </c>
      <c r="AG117" s="1015">
        <f>'Quarterly historicals'!K87</f>
        <v>2.556</v>
      </c>
      <c r="AH117" s="1015">
        <f>'Quarterly historicals'!L87</f>
        <v>5.2789999999999999</v>
      </c>
      <c r="AI117" s="1015">
        <f>'Quarterly historicals'!M87</f>
        <v>7.5149999999999997</v>
      </c>
      <c r="AJ117" s="1015">
        <f>'Quarterly historicals'!N87</f>
        <v>5.6950000000000003</v>
      </c>
      <c r="AK117" s="1015">
        <f>'Quarterly historicals'!O87</f>
        <v>1.643</v>
      </c>
      <c r="AL117" s="1015">
        <f>'Quarterly historicals'!P87</f>
        <v>4.5709999999999997</v>
      </c>
      <c r="AM117" s="1015">
        <f>'Quarterly historicals'!Q87</f>
        <v>9.1449999999999996</v>
      </c>
      <c r="AN117" s="1015">
        <f>'Quarterly historicals'!R87</f>
        <v>2.419</v>
      </c>
      <c r="AO117" s="1015">
        <f>'Quarterly historicals'!S87</f>
        <v>2.3220000000000001</v>
      </c>
      <c r="AP117" s="1015">
        <f>'Quarterly historicals'!T87</f>
        <v>5.1970000000000001</v>
      </c>
      <c r="AQ117" s="1015">
        <f>'Quarterly historicals'!U87</f>
        <v>2.004</v>
      </c>
      <c r="AR117" s="1015">
        <f>'Quarterly historicals'!V87</f>
        <v>5.3929999999999998</v>
      </c>
      <c r="AS117" s="1015">
        <f>'Quarterly historicals'!W87</f>
        <v>3.7730000000000001</v>
      </c>
      <c r="AT117" s="1015">
        <f>'Quarterly historicals'!X87</f>
        <v>4.9270000000000005</v>
      </c>
      <c r="AU117" s="1015">
        <f>'Quarterly historicals'!Y87</f>
        <v>3.7229999999999999</v>
      </c>
      <c r="AV117" s="1015">
        <f>'Quarterly historicals'!Z87</f>
        <v>3.141</v>
      </c>
      <c r="AW117" s="1015">
        <f>'Quarterly historicals'!AA87</f>
        <v>6.2750000000000004</v>
      </c>
      <c r="AX117" s="1015">
        <f>'Quarterly historicals'!AB87</f>
        <v>12.365</v>
      </c>
      <c r="AY117" s="1015">
        <f>'Quarterly historicals'!AC87</f>
        <v>8.7050000000000001</v>
      </c>
      <c r="AZ117" s="1015">
        <f>'Quarterly historicals'!AD87</f>
        <v>2.8650000000000002</v>
      </c>
      <c r="BA117" s="1015">
        <f>'Quarterly historicals'!AE87</f>
        <v>6.0149999999999997</v>
      </c>
      <c r="BB117" s="1015">
        <f>'Quarterly historicals'!AF87</f>
        <v>13.907</v>
      </c>
      <c r="BC117" s="1015">
        <f>'Quarterly historicals'!AG87</f>
        <v>9.7949999999999999</v>
      </c>
      <c r="BD117" s="1015">
        <f>'Quarterly historicals'!AH87</f>
        <v>3.7559999999999998</v>
      </c>
      <c r="BE117" s="1015">
        <f>'Quarterly historicals'!AI87</f>
        <v>10.138999999999999</v>
      </c>
      <c r="BF117" s="1015">
        <f>'Quarterly historicals'!AJ87</f>
        <v>9.3699999999999992</v>
      </c>
      <c r="BG117" s="1015">
        <f>'Quarterly historicals'!AK87</f>
        <v>9.4480000000000004</v>
      </c>
      <c r="BH117" s="1015">
        <f>'Quarterly historicals'!AL87</f>
        <v>8.4309999999999992</v>
      </c>
      <c r="BI117" s="1015">
        <f>'Quarterly historicals'!AM87</f>
        <v>2.4540000000000002</v>
      </c>
      <c r="BJ117" s="1015">
        <f>'Quarterly historicals'!AN87</f>
        <v>6.5000000000000002E-2</v>
      </c>
      <c r="BK117" s="1015">
        <f>'Quarterly historicals'!AO87</f>
        <v>0</v>
      </c>
      <c r="BL117" s="1015">
        <f>'Quarterly historicals'!AP87</f>
        <v>0</v>
      </c>
      <c r="BM117" s="1015">
        <f>'Quarterly historicals'!AQ87</f>
        <v>0</v>
      </c>
      <c r="BN117" s="1015">
        <f>'Quarterly historicals'!AR87</f>
        <v>0</v>
      </c>
      <c r="BO117" s="1015">
        <f>'Quarterly historicals'!AS87</f>
        <v>0.38400000000000001</v>
      </c>
      <c r="BP117" s="1032">
        <f>'Quarterly historicals'!AT87</f>
        <v>2.871</v>
      </c>
      <c r="BQ117" s="2347">
        <f>$N117*BQ227</f>
        <v>0</v>
      </c>
      <c r="BR117" s="2348">
        <f>$N117*BR227</f>
        <v>0</v>
      </c>
      <c r="BS117" s="2349">
        <f t="shared" si="298"/>
        <v>-2.4486000000000039</v>
      </c>
      <c r="BT117" s="2350">
        <f t="shared" si="323"/>
        <v>0.1328997698630125</v>
      </c>
      <c r="BU117" s="2348">
        <f t="shared" si="323"/>
        <v>0</v>
      </c>
      <c r="BV117" s="2348">
        <f t="shared" si="323"/>
        <v>0</v>
      </c>
      <c r="BW117" s="2349">
        <f t="shared" si="324"/>
        <v>0.37398023013698284</v>
      </c>
      <c r="BX117" s="2350">
        <f t="shared" si="325"/>
        <v>0.1541637330410951</v>
      </c>
      <c r="BY117" s="2348">
        <f t="shared" si="325"/>
        <v>0</v>
      </c>
      <c r="BZ117" s="2348">
        <f t="shared" si="325"/>
        <v>0</v>
      </c>
      <c r="CA117" s="2349">
        <f t="shared" si="326"/>
        <v>0.43381706695890176</v>
      </c>
      <c r="CB117" s="2350">
        <f t="shared" si="327"/>
        <v>0.17266338100602888</v>
      </c>
      <c r="CC117" s="2348">
        <f t="shared" si="327"/>
        <v>0</v>
      </c>
      <c r="CD117" s="2348">
        <f t="shared" si="327"/>
        <v>0</v>
      </c>
      <c r="CE117" s="2349">
        <f t="shared" si="328"/>
        <v>0.48587511499397673</v>
      </c>
      <c r="CF117" s="2350">
        <f t="shared" si="329"/>
        <v>0.18992971910662879</v>
      </c>
      <c r="CG117" s="2348">
        <f t="shared" si="329"/>
        <v>0</v>
      </c>
      <c r="CH117" s="2348">
        <f t="shared" si="329"/>
        <v>0</v>
      </c>
      <c r="CI117" s="2349">
        <f t="shared" si="330"/>
        <v>0.53446262649336596</v>
      </c>
      <c r="CJ117" s="2350">
        <f t="shared" si="331"/>
        <v>0.20512409663516387</v>
      </c>
      <c r="CK117" s="2348">
        <f t="shared" si="331"/>
        <v>0</v>
      </c>
      <c r="CL117" s="2348">
        <f t="shared" si="331"/>
        <v>0</v>
      </c>
      <c r="CM117" s="2349">
        <f t="shared" si="332"/>
        <v>0.5772196366128487</v>
      </c>
      <c r="CN117" s="2350">
        <f t="shared" si="333"/>
        <v>0.21743154243327489</v>
      </c>
      <c r="CO117" s="2348">
        <f t="shared" si="333"/>
        <v>0</v>
      </c>
      <c r="CP117" s="2348">
        <f t="shared" si="333"/>
        <v>0</v>
      </c>
      <c r="CQ117" s="2349">
        <f t="shared" si="334"/>
        <v>0.61185281480962295</v>
      </c>
      <c r="CR117" s="2350">
        <f t="shared" si="335"/>
        <v>0.22612880413060379</v>
      </c>
      <c r="CS117" s="2348">
        <f t="shared" si="335"/>
        <v>0</v>
      </c>
      <c r="CT117" s="2348">
        <f t="shared" si="335"/>
        <v>0</v>
      </c>
      <c r="CU117" s="2349">
        <f t="shared" si="336"/>
        <v>0.63632692740200203</v>
      </c>
    </row>
    <row r="118" spans="1:100">
      <c r="A118" s="874" t="s">
        <v>164</v>
      </c>
      <c r="B118" s="202">
        <f>'Annual historicals'!G62</f>
        <v>0.66700000000000004</v>
      </c>
      <c r="C118" s="202">
        <f>'Annual historicals'!H62</f>
        <v>0</v>
      </c>
      <c r="D118" s="202">
        <f>'Annual historicals'!I62</f>
        <v>0</v>
      </c>
      <c r="E118" s="202">
        <f>'Annual historicals'!J62</f>
        <v>0</v>
      </c>
      <c r="F118" s="202">
        <f>'Annual historicals'!K62</f>
        <v>0</v>
      </c>
      <c r="G118" s="202">
        <f>'Annual historicals'!L62</f>
        <v>0</v>
      </c>
      <c r="H118" s="202">
        <f>'Annual historicals'!M62</f>
        <v>0.64400000000000002</v>
      </c>
      <c r="I118" s="202">
        <f>'Annual historicals'!N62</f>
        <v>0.65500000000000003</v>
      </c>
      <c r="J118" s="202">
        <f>'Annual historicals'!O62</f>
        <v>1.458</v>
      </c>
      <c r="K118" s="202">
        <f>'Annual historicals'!P62</f>
        <v>0.23899999999999999</v>
      </c>
      <c r="L118" s="202">
        <f>'Annual historicals'!Q62</f>
        <v>10.95</v>
      </c>
      <c r="M118" s="355">
        <f>'Annual historicals'!R62</f>
        <v>0.38400000000000001</v>
      </c>
      <c r="N118" s="2346">
        <v>0</v>
      </c>
      <c r="O118" s="2346">
        <v>0</v>
      </c>
      <c r="P118" s="2346">
        <v>0</v>
      </c>
      <c r="Q118" s="2346">
        <v>0</v>
      </c>
      <c r="R118" s="2346">
        <v>0</v>
      </c>
      <c r="S118" s="2346">
        <v>0</v>
      </c>
      <c r="T118" s="2346">
        <v>0</v>
      </c>
      <c r="U118" s="2346">
        <v>0</v>
      </c>
      <c r="V118" s="1944"/>
      <c r="W118" s="472"/>
      <c r="X118" s="1015">
        <f>'Quarterly historicals'!B88</f>
        <v>0</v>
      </c>
      <c r="Y118" s="1015">
        <f>'Quarterly historicals'!C88</f>
        <v>0</v>
      </c>
      <c r="Z118" s="1015">
        <f>'Quarterly historicals'!D88</f>
        <v>0</v>
      </c>
      <c r="AA118" s="1015">
        <f>'Quarterly historicals'!E88</f>
        <v>0</v>
      </c>
      <c r="AB118" s="1015">
        <f>'Quarterly historicals'!F88</f>
        <v>0</v>
      </c>
      <c r="AC118" s="1015">
        <f>'Quarterly historicals'!G88</f>
        <v>0</v>
      </c>
      <c r="AD118" s="1015">
        <f>'Quarterly historicals'!H88</f>
        <v>0</v>
      </c>
      <c r="AE118" s="1015">
        <f>'Quarterly historicals'!I88</f>
        <v>0</v>
      </c>
      <c r="AF118" s="1015">
        <f>'Quarterly historicals'!J88</f>
        <v>0</v>
      </c>
      <c r="AG118" s="1015">
        <f>'Quarterly historicals'!K88</f>
        <v>0</v>
      </c>
      <c r="AH118" s="1015">
        <f>'Quarterly historicals'!L88</f>
        <v>0</v>
      </c>
      <c r="AI118" s="1015">
        <f>'Quarterly historicals'!M88</f>
        <v>0</v>
      </c>
      <c r="AJ118" s="1015">
        <f>'Quarterly historicals'!N88</f>
        <v>0</v>
      </c>
      <c r="AK118" s="1015">
        <f>'Quarterly historicals'!O88</f>
        <v>0</v>
      </c>
      <c r="AL118" s="1015">
        <f>'Quarterly historicals'!P88</f>
        <v>0</v>
      </c>
      <c r="AM118" s="1015">
        <f>'Quarterly historicals'!Q88</f>
        <v>0</v>
      </c>
      <c r="AN118" s="1015">
        <f>'Quarterly historicals'!R88</f>
        <v>0</v>
      </c>
      <c r="AO118" s="1015">
        <f>'Quarterly historicals'!S88</f>
        <v>0</v>
      </c>
      <c r="AP118" s="1015">
        <f>'Quarterly historicals'!T88</f>
        <v>0</v>
      </c>
      <c r="AQ118" s="1015">
        <f>'Quarterly historicals'!U88</f>
        <v>0</v>
      </c>
      <c r="AR118" s="1015">
        <f>'Quarterly historicals'!V88</f>
        <v>0</v>
      </c>
      <c r="AS118" s="1015">
        <f>'Quarterly historicals'!W88</f>
        <v>8.4000000000000005E-2</v>
      </c>
      <c r="AT118" s="1015">
        <f>'Quarterly historicals'!X88</f>
        <v>0.14699999999999999</v>
      </c>
      <c r="AU118" s="1015">
        <f>'Quarterly historicals'!Y88</f>
        <v>0.27100000000000002</v>
      </c>
      <c r="AV118" s="1015" t="str">
        <f>'Quarterly historicals'!Z88</f>
        <v>ND</v>
      </c>
      <c r="AW118" s="1015" t="str">
        <f>'Quarterly historicals'!AA88</f>
        <v>ND</v>
      </c>
      <c r="AX118" s="1015" t="str">
        <f>'Quarterly historicals'!AB88</f>
        <v>ND</v>
      </c>
      <c r="AY118" s="1015" t="str">
        <f>'Quarterly historicals'!AC88</f>
        <v>ND</v>
      </c>
      <c r="AZ118" s="1015" t="str">
        <f>'Quarterly historicals'!AD88</f>
        <v>ND</v>
      </c>
      <c r="BA118" s="1015" t="str">
        <f>'Quarterly historicals'!AE88</f>
        <v>ND</v>
      </c>
      <c r="BB118" s="1015" t="str">
        <f>'Quarterly historicals'!AF88</f>
        <v>ND</v>
      </c>
      <c r="BC118" s="1015" t="str">
        <f>'Quarterly historicals'!AG88</f>
        <v>ND</v>
      </c>
      <c r="BD118" s="1015">
        <f>'Quarterly historicals'!AH88</f>
        <v>0</v>
      </c>
      <c r="BE118" s="1015">
        <f>'Quarterly historicals'!AI88</f>
        <v>0</v>
      </c>
      <c r="BF118" s="1015">
        <f>'Quarterly historicals'!AJ88</f>
        <v>0</v>
      </c>
      <c r="BG118" s="1015">
        <f>'Quarterly historicals'!AK88</f>
        <v>0</v>
      </c>
      <c r="BH118" s="1015">
        <f>'Quarterly historicals'!AL88</f>
        <v>0</v>
      </c>
      <c r="BI118" s="1015">
        <f>'Quarterly historicals'!AM88</f>
        <v>0</v>
      </c>
      <c r="BJ118" s="1015">
        <f>'Quarterly historicals'!AN88</f>
        <v>0</v>
      </c>
      <c r="BK118" s="1015">
        <f>'Quarterly historicals'!AO88</f>
        <v>0</v>
      </c>
      <c r="BL118" s="1015">
        <f>'Quarterly historicals'!AP88</f>
        <v>0</v>
      </c>
      <c r="BM118" s="1015">
        <f>'Quarterly historicals'!AQ88</f>
        <v>0</v>
      </c>
      <c r="BN118" s="1015">
        <f>'Quarterly historicals'!AR88</f>
        <v>0</v>
      </c>
      <c r="BO118" s="1015">
        <f>'Quarterly historicals'!AS88</f>
        <v>0</v>
      </c>
      <c r="BP118" s="1032">
        <f>'Quarterly historicals'!AT88</f>
        <v>0</v>
      </c>
      <c r="BQ118" s="2351">
        <v>0</v>
      </c>
      <c r="BR118" s="1606">
        <v>0</v>
      </c>
      <c r="BS118" s="2063">
        <v>0</v>
      </c>
      <c r="BT118" s="2069">
        <v>0</v>
      </c>
      <c r="BU118" s="1606">
        <v>0</v>
      </c>
      <c r="BV118" s="1606">
        <v>0</v>
      </c>
      <c r="BW118" s="2063">
        <v>0</v>
      </c>
      <c r="BX118" s="2069">
        <v>0</v>
      </c>
      <c r="BY118" s="1606">
        <v>0</v>
      </c>
      <c r="BZ118" s="1606">
        <v>0</v>
      </c>
      <c r="CA118" s="2063">
        <v>0</v>
      </c>
      <c r="CB118" s="2069">
        <v>0</v>
      </c>
      <c r="CC118" s="1606">
        <v>0</v>
      </c>
      <c r="CD118" s="1606">
        <v>0</v>
      </c>
      <c r="CE118" s="2063">
        <v>0</v>
      </c>
      <c r="CF118" s="2069">
        <v>0</v>
      </c>
      <c r="CG118" s="1606">
        <v>0</v>
      </c>
      <c r="CH118" s="1606">
        <v>0</v>
      </c>
      <c r="CI118" s="2063">
        <v>0</v>
      </c>
      <c r="CJ118" s="2069">
        <v>0</v>
      </c>
      <c r="CK118" s="1606">
        <v>0</v>
      </c>
      <c r="CL118" s="1606">
        <v>0</v>
      </c>
      <c r="CM118" s="2063">
        <v>0</v>
      </c>
      <c r="CN118" s="2069">
        <v>0</v>
      </c>
      <c r="CO118" s="1606">
        <v>0</v>
      </c>
      <c r="CP118" s="1606">
        <v>0</v>
      </c>
      <c r="CQ118" s="2063">
        <v>0</v>
      </c>
      <c r="CR118" s="2069">
        <v>0</v>
      </c>
      <c r="CS118" s="1606">
        <v>0</v>
      </c>
      <c r="CT118" s="1606">
        <v>0</v>
      </c>
      <c r="CU118" s="2063">
        <v>0</v>
      </c>
    </row>
    <row r="119" spans="1:100">
      <c r="A119" s="874" t="s">
        <v>878</v>
      </c>
      <c r="B119" s="202">
        <f>'Annual historicals'!G63</f>
        <v>12.471</v>
      </c>
      <c r="C119" s="202">
        <f>'Annual historicals'!H63</f>
        <v>17.045999999999999</v>
      </c>
      <c r="D119" s="202">
        <f>'Annual historicals'!I63</f>
        <v>11.587</v>
      </c>
      <c r="E119" s="202">
        <f>'Annual historicals'!J63</f>
        <v>18.186</v>
      </c>
      <c r="F119" s="202">
        <f>'Annual historicals'!K63</f>
        <v>21.055</v>
      </c>
      <c r="G119" s="202">
        <f>'Annual historicals'!L63</f>
        <v>12.814</v>
      </c>
      <c r="H119" s="202">
        <f>'Annual historicals'!M63</f>
        <v>17.187999999999999</v>
      </c>
      <c r="I119" s="202">
        <f>'Annual historicals'!N63</f>
        <v>29.831</v>
      </c>
      <c r="J119" s="202">
        <f>'Annual historicals'!O63</f>
        <v>31.119</v>
      </c>
      <c r="K119" s="202">
        <f>'Annual historicals'!P63</f>
        <v>32.475000000000001</v>
      </c>
      <c r="L119" s="202">
        <f>'Annual historicals'!Q63</f>
        <v>0</v>
      </c>
      <c r="M119" s="355">
        <f>'Annual historicals'!R63</f>
        <v>0</v>
      </c>
      <c r="N119" s="614">
        <f>+N117-N118</f>
        <v>0.42239999999999611</v>
      </c>
      <c r="O119" s="614">
        <f t="shared" ref="O119:U119" si="340">+O117-O118</f>
        <v>0.50687999999999533</v>
      </c>
      <c r="P119" s="614">
        <f t="shared" si="340"/>
        <v>0.58798079999999686</v>
      </c>
      <c r="Q119" s="614">
        <f t="shared" si="340"/>
        <v>0.65853849600000558</v>
      </c>
      <c r="R119" s="614">
        <f t="shared" si="340"/>
        <v>0.72439234559999477</v>
      </c>
      <c r="S119" s="614">
        <f t="shared" si="340"/>
        <v>0.78234373324801254</v>
      </c>
      <c r="T119" s="614">
        <f t="shared" si="340"/>
        <v>0.82928435724289784</v>
      </c>
      <c r="U119" s="614">
        <f t="shared" si="340"/>
        <v>0.8624557315326058</v>
      </c>
      <c r="V119" s="1944"/>
      <c r="W119" s="472"/>
      <c r="X119" s="1015">
        <f>'Quarterly historicals'!B89</f>
        <v>2.613</v>
      </c>
      <c r="Y119" s="1015">
        <f>'Quarterly historicals'!C89</f>
        <v>4.0469999999999997</v>
      </c>
      <c r="Z119" s="1015">
        <f>'Quarterly historicals'!D89</f>
        <v>5.8019999999999996</v>
      </c>
      <c r="AA119" s="1015">
        <f>'Quarterly historicals'!E89</f>
        <v>4.9569999999999999</v>
      </c>
      <c r="AB119" s="1015">
        <f>'Quarterly historicals'!F89</f>
        <v>2.613</v>
      </c>
      <c r="AC119" s="1015">
        <f>'Quarterly historicals'!G89</f>
        <v>3.028</v>
      </c>
      <c r="AD119" s="1015">
        <f>'Quarterly historicals'!H89</f>
        <v>1.847</v>
      </c>
      <c r="AE119" s="1015">
        <f>'Quarterly historicals'!I89</f>
        <v>4.0990000000000002</v>
      </c>
      <c r="AF119" s="1015">
        <f>'Quarterly historicals'!J89</f>
        <v>2.8359999999999999</v>
      </c>
      <c r="AG119" s="1015">
        <f>'Quarterly historicals'!K89</f>
        <v>2.556</v>
      </c>
      <c r="AH119" s="1015">
        <f>'Quarterly historicals'!L89</f>
        <v>5.2789999999999999</v>
      </c>
      <c r="AI119" s="1015">
        <f>'Quarterly historicals'!M89</f>
        <v>7.5149999999999997</v>
      </c>
      <c r="AJ119" s="1015">
        <f>'Quarterly historicals'!N89</f>
        <v>5.6950000000000003</v>
      </c>
      <c r="AK119" s="1015">
        <f>'Quarterly historicals'!O89</f>
        <v>1.643</v>
      </c>
      <c r="AL119" s="1015">
        <f>'Quarterly historicals'!P89</f>
        <v>4.5709999999999997</v>
      </c>
      <c r="AM119" s="1015">
        <f>'Quarterly historicals'!Q89</f>
        <v>9.1449999999999996</v>
      </c>
      <c r="AN119" s="1015">
        <f>'Quarterly historicals'!R89</f>
        <v>2.419</v>
      </c>
      <c r="AO119" s="1015">
        <f>'Quarterly historicals'!S89</f>
        <v>2.3220000000000001</v>
      </c>
      <c r="AP119" s="1015">
        <f>'Quarterly historicals'!T89</f>
        <v>5.1970000000000001</v>
      </c>
      <c r="AQ119" s="1015">
        <f>'Quarterly historicals'!U89</f>
        <v>2.004</v>
      </c>
      <c r="AR119" s="1015">
        <f>'Quarterly historicals'!V89</f>
        <v>5.3929999999999998</v>
      </c>
      <c r="AS119" s="1015">
        <f>'Quarterly historicals'!W89</f>
        <v>3.6890000000000001</v>
      </c>
      <c r="AT119" s="1015">
        <f>'Quarterly historicals'!X89</f>
        <v>4.78</v>
      </c>
      <c r="AU119" s="1015">
        <f>'Quarterly historicals'!Y89</f>
        <v>3.452</v>
      </c>
      <c r="AV119" s="1015" t="str">
        <f>'Quarterly historicals'!Z89</f>
        <v>ND</v>
      </c>
      <c r="AW119" s="1015" t="str">
        <f>'Quarterly historicals'!AA89</f>
        <v>ND</v>
      </c>
      <c r="AX119" s="1015" t="str">
        <f>'Quarterly historicals'!AB89</f>
        <v>ND</v>
      </c>
      <c r="AY119" s="1015" t="str">
        <f>'Quarterly historicals'!AC89</f>
        <v>ND</v>
      </c>
      <c r="AZ119" s="1015" t="str">
        <f>'Quarterly historicals'!AD89</f>
        <v>ND</v>
      </c>
      <c r="BA119" s="1015" t="str">
        <f>'Quarterly historicals'!AE89</f>
        <v>ND</v>
      </c>
      <c r="BB119" s="1015" t="str">
        <f>'Quarterly historicals'!AF89</f>
        <v>ND</v>
      </c>
      <c r="BC119" s="1015" t="str">
        <f>'Quarterly historicals'!AG89</f>
        <v>ND</v>
      </c>
      <c r="BD119" s="1015">
        <f>'Quarterly historicals'!AH89</f>
        <v>3.7559999999999998</v>
      </c>
      <c r="BE119" s="1015">
        <f>'Quarterly historicals'!AI89</f>
        <v>10.138999999999999</v>
      </c>
      <c r="BF119" s="1015">
        <f>'Quarterly historicals'!AJ89</f>
        <v>9.3699999999999992</v>
      </c>
      <c r="BG119" s="1015">
        <f>'Quarterly historicals'!AK89</f>
        <v>9.4480000000000004</v>
      </c>
      <c r="BH119" s="1015">
        <f>'Quarterly historicals'!AL89</f>
        <v>8.4309999999999992</v>
      </c>
      <c r="BI119" s="1015">
        <f>'Quarterly historicals'!AM89</f>
        <v>2.4540000000000002</v>
      </c>
      <c r="BJ119" s="1015">
        <f>'Quarterly historicals'!AN89</f>
        <v>6.5000000000000002E-2</v>
      </c>
      <c r="BK119" s="1015">
        <f>'Quarterly historicals'!AO89</f>
        <v>0</v>
      </c>
      <c r="BL119" s="1015">
        <f>'Quarterly historicals'!AP89</f>
        <v>0</v>
      </c>
      <c r="BM119" s="1015">
        <f>'Quarterly historicals'!AQ89</f>
        <v>0</v>
      </c>
      <c r="BN119" s="1015">
        <f>'Quarterly historicals'!AR89</f>
        <v>0</v>
      </c>
      <c r="BO119" s="1015">
        <f>'Quarterly historicals'!AS89</f>
        <v>0</v>
      </c>
      <c r="BP119" s="1032">
        <f>'Quarterly historicals'!AT89</f>
        <v>0</v>
      </c>
      <c r="BQ119" s="2352">
        <f>$N119*BQ228</f>
        <v>0</v>
      </c>
      <c r="BR119" s="2064">
        <f>$N119*BR228</f>
        <v>0</v>
      </c>
      <c r="BS119" s="2065">
        <f t="shared" ref="BS119" si="341">$N119-SUM(BP119:BR119)</f>
        <v>0.42239999999999611</v>
      </c>
      <c r="BT119" s="2070">
        <f>$O119*BT228</f>
        <v>0</v>
      </c>
      <c r="BU119" s="2064">
        <f>$O119*BU228</f>
        <v>0</v>
      </c>
      <c r="BV119" s="2064">
        <f>$O119*BV228</f>
        <v>0</v>
      </c>
      <c r="BW119" s="2065">
        <f t="shared" ref="BW119" si="342">$O119-SUM(BT119:BV119)</f>
        <v>0.50687999999999533</v>
      </c>
      <c r="BX119" s="2070">
        <f>$P119*BX228</f>
        <v>0</v>
      </c>
      <c r="BY119" s="2064">
        <f>$P119*BY228</f>
        <v>0</v>
      </c>
      <c r="BZ119" s="2064">
        <f>$P119*BZ228</f>
        <v>0</v>
      </c>
      <c r="CA119" s="2065">
        <f t="shared" ref="CA119" si="343">$P119-SUM(BX119:BZ119)</f>
        <v>0.58798079999999686</v>
      </c>
      <c r="CB119" s="2070">
        <f>$Q119*CB228</f>
        <v>0</v>
      </c>
      <c r="CC119" s="2064">
        <f>$Q119*CC228</f>
        <v>0</v>
      </c>
      <c r="CD119" s="2064">
        <f>$Q119*CD228</f>
        <v>0</v>
      </c>
      <c r="CE119" s="2065">
        <f t="shared" ref="CE119" si="344">$Q119-SUM(CB119:CD119)</f>
        <v>0.65853849600000558</v>
      </c>
      <c r="CF119" s="2070">
        <f>$R119*CF228</f>
        <v>0</v>
      </c>
      <c r="CG119" s="2064">
        <f>$R119*CG228</f>
        <v>0</v>
      </c>
      <c r="CH119" s="2064">
        <f>$R119*CH228</f>
        <v>0</v>
      </c>
      <c r="CI119" s="2065">
        <f t="shared" ref="CI119" si="345">$R119-SUM(CF119:CH119)</f>
        <v>0.72439234559999477</v>
      </c>
      <c r="CJ119" s="2070">
        <f>$S119*CJ228</f>
        <v>0</v>
      </c>
      <c r="CK119" s="2064">
        <f>$S119*CK228</f>
        <v>0</v>
      </c>
      <c r="CL119" s="2064">
        <f>$S119*CL228</f>
        <v>0</v>
      </c>
      <c r="CM119" s="2065">
        <f t="shared" ref="CM119" si="346">$S119-SUM(CJ119:CL119)</f>
        <v>0.78234373324801254</v>
      </c>
      <c r="CN119" s="2070">
        <f>$T119*CN228</f>
        <v>0</v>
      </c>
      <c r="CO119" s="2064">
        <f>$T119*CO228</f>
        <v>0</v>
      </c>
      <c r="CP119" s="2064">
        <f>$T119*CP228</f>
        <v>0</v>
      </c>
      <c r="CQ119" s="2065">
        <f t="shared" ref="CQ119" si="347">$T119-SUM(CN119:CP119)</f>
        <v>0.82928435724289784</v>
      </c>
      <c r="CR119" s="2070">
        <f>$U119*CR228</f>
        <v>0</v>
      </c>
      <c r="CS119" s="2064">
        <f>$U119*CS228</f>
        <v>0</v>
      </c>
      <c r="CT119" s="2064">
        <f>$U119*CT228</f>
        <v>0</v>
      </c>
      <c r="CU119" s="2065">
        <f t="shared" ref="CU119" si="348">$U119-SUM(CR119:CT119)</f>
        <v>0.8624557315326058</v>
      </c>
    </row>
    <row r="120" spans="1:100">
      <c r="A120" s="886" t="s">
        <v>1196</v>
      </c>
      <c r="B120" s="202">
        <f>'Annual historicals'!G64</f>
        <v>0</v>
      </c>
      <c r="C120" s="202">
        <f>'Annual historicals'!H64</f>
        <v>0</v>
      </c>
      <c r="D120" s="202">
        <f>'Annual historicals'!I64</f>
        <v>0</v>
      </c>
      <c r="E120" s="202">
        <f>'Annual historicals'!J64</f>
        <v>0</v>
      </c>
      <c r="F120" s="202">
        <f>'Annual historicals'!K64</f>
        <v>0</v>
      </c>
      <c r="G120" s="202">
        <f>'Annual historicals'!L64</f>
        <v>0</v>
      </c>
      <c r="H120" s="202">
        <f>'Annual historicals'!M64</f>
        <v>0</v>
      </c>
      <c r="I120" s="202">
        <f>'Annual historicals'!N64</f>
        <v>0</v>
      </c>
      <c r="J120" s="202">
        <f>'Annual historicals'!O64</f>
        <v>0</v>
      </c>
      <c r="K120" s="202">
        <f>'Annual historicals'!P64</f>
        <v>-55.778999999999996</v>
      </c>
      <c r="L120" s="202">
        <f>'Annual historicals'!Q64</f>
        <v>-103.745</v>
      </c>
      <c r="M120" s="355">
        <f>'Annual historicals'!R64</f>
        <v>-119.46600000000001</v>
      </c>
      <c r="N120" s="2346">
        <f t="array" ref="N120">SUM(($BD120:$CU120)*(RIGHT(Q_Financials!$AH$5:$BY$5,2)=RIGHT(N$4,2)))</f>
        <v>-55.509</v>
      </c>
      <c r="O120" s="2346">
        <f t="array" ref="O120">SUM(($BD120:$CU120)*(RIGHT(Q_Financials!$AH$5:$BY$5,2)=RIGHT(O$4,2)))</f>
        <v>0</v>
      </c>
      <c r="P120" s="2346">
        <f t="array" ref="P120">SUM(($BD120:$CU120)*(RIGHT(Q_Financials!$AH$5:$BY$5,2)=RIGHT(P$4,2)))</f>
        <v>0</v>
      </c>
      <c r="Q120" s="2346">
        <f t="array" ref="Q120">SUM(($BD120:$CU120)*(RIGHT(Q_Financials!$AH$5:$BY$5,2)=RIGHT(Q$4,2)))</f>
        <v>0</v>
      </c>
      <c r="R120" s="2346">
        <f t="array" ref="R120">SUM(($BD120:$CU120)*(RIGHT(Q_Financials!$AH$5:$BY$5,2)=RIGHT(R$4,2)))</f>
        <v>0</v>
      </c>
      <c r="S120" s="2346">
        <f t="array" ref="S120">SUM(($BD120:$CU120)*(RIGHT(Q_Financials!$AH$5:$BY$5,2)=RIGHT(S$4,2)))</f>
        <v>0</v>
      </c>
      <c r="T120" s="2346">
        <f t="array" ref="T120">SUM(($BD120:$CU120)*(RIGHT(Q_Financials!$AH$5:$BY$5,2)=RIGHT(T$4,2)))</f>
        <v>0</v>
      </c>
      <c r="U120" s="2346">
        <f t="array" ref="U120">SUM(($BD120:$CU120)*(RIGHT(Q_Financials!$AH$5:$BY$5,2)=RIGHT(U$4,2)))</f>
        <v>0</v>
      </c>
      <c r="V120" s="1944"/>
      <c r="W120" s="472"/>
      <c r="X120" s="1015">
        <f>'Quarterly historicals'!B90</f>
        <v>0</v>
      </c>
      <c r="Y120" s="1015">
        <f>'Quarterly historicals'!C90</f>
        <v>0</v>
      </c>
      <c r="Z120" s="1015">
        <f>'Quarterly historicals'!D90</f>
        <v>0</v>
      </c>
      <c r="AA120" s="1015">
        <f>'Quarterly historicals'!E90</f>
        <v>0</v>
      </c>
      <c r="AB120" s="1015">
        <f>'Quarterly historicals'!F90</f>
        <v>0</v>
      </c>
      <c r="AC120" s="1015">
        <f>'Quarterly historicals'!G90</f>
        <v>0</v>
      </c>
      <c r="AD120" s="1015">
        <f>'Quarterly historicals'!H90</f>
        <v>0</v>
      </c>
      <c r="AE120" s="1015">
        <f>'Quarterly historicals'!I90</f>
        <v>0</v>
      </c>
      <c r="AF120" s="1015">
        <f>'Quarterly historicals'!J90</f>
        <v>0</v>
      </c>
      <c r="AG120" s="1015">
        <f>'Quarterly historicals'!K90</f>
        <v>0</v>
      </c>
      <c r="AH120" s="1015">
        <f>'Quarterly historicals'!L90</f>
        <v>0</v>
      </c>
      <c r="AI120" s="1015">
        <f>'Quarterly historicals'!M90</f>
        <v>0</v>
      </c>
      <c r="AJ120" s="1015">
        <f>'Quarterly historicals'!N90</f>
        <v>0</v>
      </c>
      <c r="AK120" s="1015">
        <f>'Quarterly historicals'!O90</f>
        <v>0</v>
      </c>
      <c r="AL120" s="1015">
        <f>'Quarterly historicals'!P90</f>
        <v>0</v>
      </c>
      <c r="AM120" s="1015">
        <f>'Quarterly historicals'!Q90</f>
        <v>0</v>
      </c>
      <c r="AN120" s="1015">
        <f>'Quarterly historicals'!R90</f>
        <v>0</v>
      </c>
      <c r="AO120" s="1015">
        <f>'Quarterly historicals'!S90</f>
        <v>0</v>
      </c>
      <c r="AP120" s="1015">
        <f>'Quarterly historicals'!T90</f>
        <v>0</v>
      </c>
      <c r="AQ120" s="1015">
        <f>'Quarterly historicals'!U90</f>
        <v>0</v>
      </c>
      <c r="AR120" s="1015">
        <f>'Quarterly historicals'!V90</f>
        <v>0</v>
      </c>
      <c r="AS120" s="1015">
        <f>'Quarterly historicals'!W90</f>
        <v>0</v>
      </c>
      <c r="AT120" s="1015">
        <f>'Quarterly historicals'!X90</f>
        <v>0</v>
      </c>
      <c r="AU120" s="1015">
        <f>'Quarterly historicals'!Y90</f>
        <v>0</v>
      </c>
      <c r="AV120" s="1015">
        <f>'Quarterly historicals'!Z90</f>
        <v>0</v>
      </c>
      <c r="AW120" s="1015">
        <f>'Quarterly historicals'!AA90</f>
        <v>0</v>
      </c>
      <c r="AX120" s="1015">
        <f>'Quarterly historicals'!AB90</f>
        <v>0</v>
      </c>
      <c r="AY120" s="1015">
        <f>'Quarterly historicals'!AC90</f>
        <v>0</v>
      </c>
      <c r="AZ120" s="1015">
        <f>'Quarterly historicals'!AD90</f>
        <v>0</v>
      </c>
      <c r="BA120" s="1015">
        <f>'Quarterly historicals'!AE90</f>
        <v>0</v>
      </c>
      <c r="BB120" s="1015">
        <f>'Quarterly historicals'!AF90</f>
        <v>0</v>
      </c>
      <c r="BC120" s="1015">
        <f>'Quarterly historicals'!AG90</f>
        <v>0</v>
      </c>
      <c r="BD120" s="1015">
        <f>'Quarterly historicals'!AH90</f>
        <v>-6.3869999999999996</v>
      </c>
      <c r="BE120" s="1015">
        <f>'Quarterly historicals'!AI90</f>
        <v>-18.72</v>
      </c>
      <c r="BF120" s="1015">
        <f>'Quarterly historicals'!AJ90</f>
        <v>-9.202</v>
      </c>
      <c r="BG120" s="1015">
        <f>'Quarterly historicals'!AK90</f>
        <v>-21.47</v>
      </c>
      <c r="BH120" s="1015">
        <f>'Quarterly historicals'!AL90</f>
        <v>-25.585999999999999</v>
      </c>
      <c r="BI120" s="1015">
        <f>'Quarterly historicals'!AM90</f>
        <v>-22.843</v>
      </c>
      <c r="BJ120" s="1015">
        <f>'Quarterly historicals'!AN90</f>
        <v>-50.616</v>
      </c>
      <c r="BK120" s="1015">
        <f>'Quarterly historicals'!AO90</f>
        <v>-4.7</v>
      </c>
      <c r="BL120" s="1015">
        <f>'Quarterly historicals'!AP90</f>
        <v>-67.988</v>
      </c>
      <c r="BM120" s="1015">
        <f>'Quarterly historicals'!AQ90</f>
        <v>-54.88</v>
      </c>
      <c r="BN120" s="1015">
        <f>'Quarterly historicals'!AR90</f>
        <v>-2.4</v>
      </c>
      <c r="BO120" s="1015">
        <f>'Quarterly historicals'!AS90</f>
        <v>5.8019999999999996</v>
      </c>
      <c r="BP120" s="1032">
        <f>'Quarterly historicals'!AT90</f>
        <v>-55.509</v>
      </c>
      <c r="BQ120" s="2088">
        <v>0</v>
      </c>
      <c r="BR120" s="2088">
        <v>0</v>
      </c>
      <c r="BS120" s="2112">
        <v>0</v>
      </c>
      <c r="BT120" s="2090">
        <v>0</v>
      </c>
      <c r="BU120" s="2088">
        <v>0</v>
      </c>
      <c r="BV120" s="2088">
        <v>0</v>
      </c>
      <c r="BW120" s="2112">
        <v>0</v>
      </c>
      <c r="BX120" s="2090">
        <v>0</v>
      </c>
      <c r="BY120" s="2088">
        <v>0</v>
      </c>
      <c r="BZ120" s="2088">
        <v>0</v>
      </c>
      <c r="CA120" s="2112">
        <v>0</v>
      </c>
      <c r="CB120" s="2090">
        <v>0</v>
      </c>
      <c r="CC120" s="2088">
        <v>0</v>
      </c>
      <c r="CD120" s="2088">
        <v>0</v>
      </c>
      <c r="CE120" s="2112">
        <v>0</v>
      </c>
      <c r="CF120" s="2090">
        <v>0</v>
      </c>
      <c r="CG120" s="2088">
        <v>0</v>
      </c>
      <c r="CH120" s="2088">
        <v>0</v>
      </c>
      <c r="CI120" s="2112">
        <v>0</v>
      </c>
      <c r="CJ120" s="2090">
        <v>0</v>
      </c>
      <c r="CK120" s="2088">
        <v>0</v>
      </c>
      <c r="CL120" s="2088">
        <v>0</v>
      </c>
      <c r="CM120" s="2112">
        <v>0</v>
      </c>
      <c r="CN120" s="2090">
        <v>0</v>
      </c>
      <c r="CO120" s="2088">
        <v>0</v>
      </c>
      <c r="CP120" s="2088">
        <v>0</v>
      </c>
      <c r="CQ120" s="2112">
        <v>0</v>
      </c>
      <c r="CR120" s="2090">
        <v>0</v>
      </c>
      <c r="CS120" s="2088">
        <v>0</v>
      </c>
      <c r="CT120" s="2088">
        <v>0</v>
      </c>
      <c r="CU120" s="2112">
        <v>0</v>
      </c>
    </row>
    <row r="121" spans="1:100" customFormat="1" ht="12.75">
      <c r="M121" s="2083"/>
      <c r="BP121" s="381"/>
    </row>
    <row r="122" spans="1:100" s="1401" customFormat="1">
      <c r="A122" s="630" t="s">
        <v>1493</v>
      </c>
      <c r="B122" s="633">
        <f>B$4</f>
        <v>2006</v>
      </c>
      <c r="C122" s="633">
        <f t="shared" ref="C122:U122" si="349">C$4</f>
        <v>2007</v>
      </c>
      <c r="D122" s="633">
        <f t="shared" si="349"/>
        <v>2008</v>
      </c>
      <c r="E122" s="633">
        <f t="shared" si="349"/>
        <v>2009</v>
      </c>
      <c r="F122" s="633">
        <f t="shared" si="349"/>
        <v>2010</v>
      </c>
      <c r="G122" s="633">
        <f t="shared" si="349"/>
        <v>2011</v>
      </c>
      <c r="H122" s="633">
        <f t="shared" si="349"/>
        <v>2012</v>
      </c>
      <c r="I122" s="633">
        <f t="shared" si="349"/>
        <v>2013</v>
      </c>
      <c r="J122" s="633">
        <f t="shared" si="349"/>
        <v>2014</v>
      </c>
      <c r="K122" s="633">
        <f t="shared" si="349"/>
        <v>2015</v>
      </c>
      <c r="L122" s="633">
        <f t="shared" si="349"/>
        <v>2016</v>
      </c>
      <c r="M122" s="2079">
        <f t="shared" si="349"/>
        <v>2017</v>
      </c>
      <c r="N122" s="388">
        <f t="shared" si="349"/>
        <v>2018</v>
      </c>
      <c r="O122" s="388">
        <f t="shared" si="349"/>
        <v>2019</v>
      </c>
      <c r="P122" s="388">
        <f t="shared" si="349"/>
        <v>2020</v>
      </c>
      <c r="Q122" s="388">
        <f t="shared" si="349"/>
        <v>2021</v>
      </c>
      <c r="R122" s="388">
        <f t="shared" si="349"/>
        <v>2022</v>
      </c>
      <c r="S122" s="388">
        <f t="shared" si="349"/>
        <v>2023</v>
      </c>
      <c r="T122" s="388">
        <f t="shared" si="349"/>
        <v>2024</v>
      </c>
      <c r="U122" s="388">
        <f t="shared" si="349"/>
        <v>2025</v>
      </c>
      <c r="V122" s="219"/>
      <c r="W122" s="352"/>
      <c r="X122" s="352"/>
      <c r="Y122" s="352"/>
      <c r="Z122" s="352"/>
      <c r="AA122" s="352"/>
      <c r="AB122" s="352"/>
      <c r="AC122" s="352"/>
      <c r="AD122" s="352"/>
      <c r="AE122" s="352"/>
      <c r="AF122" s="352"/>
      <c r="AG122" s="352"/>
      <c r="AH122" s="352"/>
      <c r="AI122" s="352"/>
      <c r="AJ122" s="352"/>
      <c r="AK122" s="352"/>
      <c r="AL122" s="352"/>
      <c r="AM122" s="352"/>
      <c r="AN122" s="352"/>
      <c r="AO122" s="352"/>
      <c r="AP122" s="352"/>
      <c r="AQ122" s="756"/>
      <c r="AR122" s="756"/>
      <c r="AS122" s="756"/>
      <c r="AT122" s="756"/>
      <c r="AU122" s="756"/>
      <c r="AV122" s="756"/>
      <c r="AW122" s="756"/>
      <c r="AX122" s="756"/>
      <c r="AY122" s="756"/>
      <c r="AZ122" s="756"/>
      <c r="BA122" s="756"/>
      <c r="BB122" s="756"/>
      <c r="BC122" s="756"/>
      <c r="BD122" s="756"/>
      <c r="BE122" s="756"/>
      <c r="BF122" s="756"/>
      <c r="BG122" s="106"/>
      <c r="BH122" s="106"/>
      <c r="BI122" s="106"/>
      <c r="BJ122" s="106"/>
      <c r="BK122" s="106"/>
      <c r="BL122" s="106"/>
      <c r="BM122" s="106"/>
      <c r="BN122" s="106"/>
      <c r="BO122" s="106"/>
      <c r="BP122" s="381"/>
    </row>
    <row r="123" spans="1:100">
      <c r="A123" s="765" t="s">
        <v>1019</v>
      </c>
      <c r="B123" s="390">
        <f>Financials!D42</f>
        <v>-372.45499999999998</v>
      </c>
      <c r="C123" s="390">
        <f>Financials!E42</f>
        <v>-296.49299999999999</v>
      </c>
      <c r="D123" s="390">
        <f>Financials!F42</f>
        <v>-432.36899999999997</v>
      </c>
      <c r="E123" s="390">
        <f>Financials!G42</f>
        <v>-434.53500000000003</v>
      </c>
      <c r="F123" s="390">
        <f t="shared" ref="F123:U123" si="350">SUM(F124:F126,F129)</f>
        <v>-627.75300000000004</v>
      </c>
      <c r="G123" s="390">
        <f t="shared" si="350"/>
        <v>-565.33399999999983</v>
      </c>
      <c r="H123" s="390">
        <f t="shared" si="350"/>
        <v>-638.81099999999992</v>
      </c>
      <c r="I123" s="390">
        <f t="shared" si="350"/>
        <v>-780.74499999999989</v>
      </c>
      <c r="J123" s="390">
        <f t="shared" si="350"/>
        <v>-992.93299999999988</v>
      </c>
      <c r="K123" s="390">
        <f t="shared" si="350"/>
        <v>-1044.027</v>
      </c>
      <c r="L123" s="390">
        <f t="shared" si="350"/>
        <v>-1237.6200000000001</v>
      </c>
      <c r="M123" s="391">
        <f t="shared" ref="M123" si="351">SUM(M124:M126,M129)</f>
        <v>-1436.1219999999998</v>
      </c>
      <c r="N123" s="392">
        <f t="shared" si="350"/>
        <v>-1607.4748353231146</v>
      </c>
      <c r="O123" s="392">
        <f t="shared" si="350"/>
        <v>-1692.6128879189498</v>
      </c>
      <c r="P123" s="392">
        <f t="shared" si="350"/>
        <v>-1805.6630380194817</v>
      </c>
      <c r="Q123" s="392">
        <f t="shared" si="350"/>
        <v>-2057.2582494033295</v>
      </c>
      <c r="R123" s="392">
        <f t="shared" si="350"/>
        <v>-2209.5484185174632</v>
      </c>
      <c r="S123" s="392">
        <f t="shared" si="350"/>
        <v>-2178.364019461967</v>
      </c>
      <c r="T123" s="392">
        <f t="shared" si="350"/>
        <v>-2171.892145374688</v>
      </c>
      <c r="U123" s="392">
        <f t="shared" si="350"/>
        <v>-2142.3506189739287</v>
      </c>
      <c r="V123" s="1944"/>
      <c r="W123" s="472"/>
      <c r="X123" s="390">
        <f>Q_Financials!B12</f>
        <v>-87.703000000000003</v>
      </c>
      <c r="Y123" s="390">
        <f>Q_Financials!C12</f>
        <v>-135.816</v>
      </c>
      <c r="Z123" s="390">
        <f>Q_Financials!D12</f>
        <v>-107.453</v>
      </c>
      <c r="AA123" s="390">
        <f>Q_Financials!E12</f>
        <v>-100.36599999999999</v>
      </c>
      <c r="AB123" s="390">
        <f>Q_Financials!F12</f>
        <v>-108.90199999999999</v>
      </c>
      <c r="AC123" s="390">
        <f>Q_Financials!G12</f>
        <v>-116.58099999999999</v>
      </c>
      <c r="AD123" s="390">
        <f>Q_Financials!H12</f>
        <v>-81.536999999999992</v>
      </c>
      <c r="AE123" s="390">
        <f>Q_Financials!I12</f>
        <v>-125.34899999999999</v>
      </c>
      <c r="AF123" s="390">
        <f>Q_Financials!J12</f>
        <v>-60.234999999999999</v>
      </c>
      <c r="AG123" s="390">
        <f>Q_Financials!K12</f>
        <v>-106.443</v>
      </c>
      <c r="AH123" s="390">
        <f>Q_Financials!L12</f>
        <v>-112.273</v>
      </c>
      <c r="AI123" s="390">
        <f>Q_Financials!M12</f>
        <v>-155.584</v>
      </c>
      <c r="AJ123" s="390">
        <f>Q_Financials!N12</f>
        <v>-137.054</v>
      </c>
      <c r="AK123" s="390">
        <f>Q_Financials!O12</f>
        <v>-157.18599999999998</v>
      </c>
      <c r="AL123" s="390">
        <f>Q_Financials!P12</f>
        <v>-168.733</v>
      </c>
      <c r="AM123" s="390">
        <f>Q_Financials!Q12</f>
        <v>-164.78</v>
      </c>
      <c r="AN123" s="390">
        <f>Q_Financials!R12</f>
        <v>-124.80499999999999</v>
      </c>
      <c r="AO123" s="390">
        <f>Q_Financials!S12</f>
        <v>-140.256</v>
      </c>
      <c r="AP123" s="390">
        <f>Q_Financials!T12</f>
        <v>-167.553</v>
      </c>
      <c r="AQ123" s="390">
        <f>Q_Financials!U12</f>
        <v>-132.72000000000003</v>
      </c>
      <c r="AR123" s="390">
        <f>Q_Financials!V12</f>
        <v>-145.73999999999998</v>
      </c>
      <c r="AS123" s="390">
        <f>Q_Financials!W12</f>
        <v>-156.80500000000001</v>
      </c>
      <c r="AT123" s="390">
        <f>Q_Financials!X12</f>
        <v>-186.005</v>
      </c>
      <c r="AU123" s="390">
        <f>Q_Financials!Y12</f>
        <v>-150.26100000000002</v>
      </c>
      <c r="AV123" s="390">
        <f>Q_Financials!Z12</f>
        <v>-130.755</v>
      </c>
      <c r="AW123" s="390">
        <f>Q_Financials!AA12</f>
        <v>-249.45400000000001</v>
      </c>
      <c r="AX123" s="390">
        <f>Q_Financials!AB12</f>
        <v>-193.82799999999997</v>
      </c>
      <c r="AY123" s="390">
        <f>Q_Financials!AC12</f>
        <v>-206.70800000000003</v>
      </c>
      <c r="AZ123" s="390">
        <f>Q_Financials!AD12</f>
        <v>-225.14400000000001</v>
      </c>
      <c r="BA123" s="390">
        <f>Q_Financials!AE12</f>
        <v>-309.69</v>
      </c>
      <c r="BB123" s="390">
        <f>Q_Financials!AF12</f>
        <v>-215.05599999999998</v>
      </c>
      <c r="BC123" s="390">
        <f>Q_Financials!AG12</f>
        <v>-243.04300000000001</v>
      </c>
      <c r="BD123" s="390">
        <f>Q_Financials!AH12</f>
        <v>-227.00500000000002</v>
      </c>
      <c r="BE123" s="390">
        <f>Q_Financials!AI12</f>
        <v>-216.15699999999998</v>
      </c>
      <c r="BF123" s="390">
        <f>Q_Financials!AJ12</f>
        <v>-242.44799999999998</v>
      </c>
      <c r="BG123" s="390">
        <f>Q_Financials!AK12</f>
        <v>-358.41699999999992</v>
      </c>
      <c r="BH123" s="390">
        <f>Q_Financials!AL12</f>
        <v>-208.459</v>
      </c>
      <c r="BI123" s="390">
        <f>Q_Financials!AM12</f>
        <v>-255.69300000000004</v>
      </c>
      <c r="BJ123" s="390">
        <f>Q_Financials!AN12</f>
        <v>-379.51900000000001</v>
      </c>
      <c r="BK123" s="390">
        <f>Q_Financials!AO12</f>
        <v>-393.94900000000007</v>
      </c>
      <c r="BL123" s="390">
        <f>Q_Financials!AP12</f>
        <v>-294.38099999999997</v>
      </c>
      <c r="BM123" s="390">
        <f>Q_Financials!AQ12</f>
        <v>-334.149</v>
      </c>
      <c r="BN123" s="390">
        <f>Q_Financials!AR12</f>
        <v>-354.64800000000002</v>
      </c>
      <c r="BO123" s="390">
        <f>Q_Financials!AS12</f>
        <v>-452.94399999999996</v>
      </c>
      <c r="BP123" s="391">
        <f>Q_Financials!AT12</f>
        <v>-334.84999999999997</v>
      </c>
      <c r="BQ123" s="2088">
        <f>$N123*BQ229</f>
        <v>-374.01843906602886</v>
      </c>
      <c r="BR123" s="2088">
        <f>$N123*BR229</f>
        <v>-396.96330492651185</v>
      </c>
      <c r="BS123" s="2089">
        <f t="shared" ref="BS123" si="352">$N123-SUM(BP123:BR123)</f>
        <v>-501.64309133057395</v>
      </c>
      <c r="BT123" s="2090">
        <f>$O123*BT229</f>
        <v>-457.95270399610564</v>
      </c>
      <c r="BU123" s="2088">
        <f>$O123*BU229</f>
        <v>-393.82789476467127</v>
      </c>
      <c r="BV123" s="2088">
        <f>$O123*BV229</f>
        <v>-417.9880090094573</v>
      </c>
      <c r="BW123" s="2089">
        <f t="shared" ref="BW123" si="353">$O123-SUM(BT123:BV123)</f>
        <v>-422.8442801487156</v>
      </c>
      <c r="BX123" s="2090">
        <f>$P123*BX229</f>
        <v>-488.53950993101552</v>
      </c>
      <c r="BY123" s="2088">
        <f>$P123*BY229</f>
        <v>-420.13178441049706</v>
      </c>
      <c r="BZ123" s="2088">
        <f>$P123*BZ229</f>
        <v>-445.90556032672242</v>
      </c>
      <c r="CA123" s="2089">
        <f t="shared" ref="CA123" si="354">$P123-SUM(BX123:BZ123)</f>
        <v>-451.08618335124675</v>
      </c>
      <c r="CB123" s="2090">
        <f>$Q123*CB229</f>
        <v>-556.61101534615216</v>
      </c>
      <c r="CC123" s="2088">
        <f>$Q123*CC229</f>
        <v>-478.67157997710029</v>
      </c>
      <c r="CD123" s="2088">
        <f>$Q123*CD229</f>
        <v>-508.03658995154461</v>
      </c>
      <c r="CE123" s="2089">
        <f t="shared" ref="CE123" si="355">$Q123-SUM(CB123:CD123)</f>
        <v>-513.93906412853244</v>
      </c>
      <c r="CF123" s="2090">
        <f>$R123*CF229</f>
        <v>-597.81458601232407</v>
      </c>
      <c r="CG123" s="2088">
        <f>$R123*CG229</f>
        <v>-514.10562229336495</v>
      </c>
      <c r="CH123" s="2088">
        <f>$R123*CH229</f>
        <v>-545.64440035761686</v>
      </c>
      <c r="CI123" s="2089">
        <f t="shared" ref="CI123" si="356">$R123-SUM(CF123:CH123)</f>
        <v>-551.98380985415747</v>
      </c>
      <c r="CJ123" s="2090">
        <f>$S123*CJ229</f>
        <v>-589.37734677594062</v>
      </c>
      <c r="CK123" s="2088">
        <f>$S123*CK229</f>
        <v>-506.84980714674447</v>
      </c>
      <c r="CL123" s="2088">
        <f>$S123*CL229</f>
        <v>-537.94346355960556</v>
      </c>
      <c r="CM123" s="2089">
        <f t="shared" ref="CM123" si="357">$S123-SUM(CJ123:CL123)</f>
        <v>-544.19340197967631</v>
      </c>
      <c r="CN123" s="2090">
        <f>$T123*CN229</f>
        <v>-587.62631896601067</v>
      </c>
      <c r="CO123" s="2088">
        <f>$T123*CO229</f>
        <v>-505.34396693651843</v>
      </c>
      <c r="CP123" s="2088">
        <f>$T123*CP229</f>
        <v>-536.34524474441753</v>
      </c>
      <c r="CQ123" s="2089">
        <f t="shared" ref="CQ123" si="358">$T123-SUM(CN123:CP123)</f>
        <v>-542.57661472774134</v>
      </c>
      <c r="CR123" s="2090">
        <f>$U123*CR229</f>
        <v>-579.63357473491055</v>
      </c>
      <c r="CS123" s="2088">
        <f>$U123*CS229</f>
        <v>-498.47040639967872</v>
      </c>
      <c r="CT123" s="2088">
        <f>$U123*CT229</f>
        <v>-529.05001268545846</v>
      </c>
      <c r="CU123" s="2089">
        <f t="shared" ref="CU123" si="359">$U123-SUM(CR123:CT123)</f>
        <v>-535.19662515388109</v>
      </c>
      <c r="CV123" s="198"/>
    </row>
    <row r="124" spans="1:100">
      <c r="A124" s="417" t="s">
        <v>54</v>
      </c>
      <c r="B124" s="935" t="str">
        <f>'Annual historicals'!G78</f>
        <v>NA</v>
      </c>
      <c r="C124" s="935" t="str">
        <f>'Annual historicals'!H78</f>
        <v>NA</v>
      </c>
      <c r="D124" s="935" t="str">
        <f>'Annual historicals'!I78</f>
        <v>NA</v>
      </c>
      <c r="E124" s="935" t="str">
        <f>'Annual historicals'!J78</f>
        <v>NA</v>
      </c>
      <c r="F124" s="202">
        <f>'Annual historicals'!K78</f>
        <v>-235.63200000000001</v>
      </c>
      <c r="G124" s="202">
        <f>'Annual historicals'!L78</f>
        <v>-256.96800000000002</v>
      </c>
      <c r="H124" s="202">
        <f>'Annual historicals'!M78</f>
        <v>-326.22199999999998</v>
      </c>
      <c r="I124" s="202">
        <f>'Annual historicals'!N78</f>
        <v>-392.18200000000002</v>
      </c>
      <c r="J124" s="202">
        <f>'Annual historicals'!O78</f>
        <v>-414.01499999999999</v>
      </c>
      <c r="K124" s="202">
        <f>'Annual historicals'!P78</f>
        <v>-467.78699999999998</v>
      </c>
      <c r="L124" s="202">
        <f>'Annual historicals'!Q78</f>
        <v>-571.72</v>
      </c>
      <c r="M124" s="355">
        <f>'Annual historicals'!R78</f>
        <v>-703.12199999999996</v>
      </c>
      <c r="N124" s="356">
        <f t="shared" ref="N124:U124" si="360">N45*N132/1000</f>
        <v>-707.46524499153611</v>
      </c>
      <c r="O124" s="356">
        <f t="shared" si="360"/>
        <v>-759.56130720411898</v>
      </c>
      <c r="P124" s="356">
        <f t="shared" si="360"/>
        <v>-810.0062482595182</v>
      </c>
      <c r="Q124" s="356">
        <f t="shared" si="360"/>
        <v>-926.6564644768082</v>
      </c>
      <c r="R124" s="356">
        <f t="shared" si="360"/>
        <v>-995.8896642009862</v>
      </c>
      <c r="S124" s="356">
        <f t="shared" si="360"/>
        <v>-977.58914501929428</v>
      </c>
      <c r="T124" s="356">
        <f t="shared" si="360"/>
        <v>-971.15925484528657</v>
      </c>
      <c r="U124" s="356">
        <f t="shared" si="360"/>
        <v>-953.8399891580774</v>
      </c>
      <c r="V124" s="202"/>
      <c r="W124" s="202"/>
      <c r="X124" s="327"/>
      <c r="Y124" s="327"/>
      <c r="Z124" s="327"/>
      <c r="AA124" s="327"/>
      <c r="AB124" s="327"/>
      <c r="AC124" s="327"/>
      <c r="AD124" s="327"/>
      <c r="AE124" s="327"/>
      <c r="AF124" s="327"/>
      <c r="AG124" s="327"/>
      <c r="AH124" s="327"/>
      <c r="AI124" s="327"/>
      <c r="AJ124" s="327">
        <f>'Quarterly historicals'!N95</f>
        <v>-54.615000000000002</v>
      </c>
      <c r="AK124" s="327">
        <f>'Quarterly historicals'!O95</f>
        <v>-71.576999999999998</v>
      </c>
      <c r="AL124" s="327">
        <f>'Quarterly historicals'!P95</f>
        <v>-63.481999999999999</v>
      </c>
      <c r="AM124" s="327">
        <f>'Quarterly historicals'!Q95</f>
        <v>-75.573999999999998</v>
      </c>
      <c r="AN124" s="327">
        <f>'Quarterly historicals'!R95</f>
        <v>-59.107999999999997</v>
      </c>
      <c r="AO124" s="327">
        <f>'Quarterly historicals'!S95</f>
        <v>-76.495000000000005</v>
      </c>
      <c r="AP124" s="327">
        <f>'Quarterly historicals'!T95</f>
        <v>-72.418999999999997</v>
      </c>
      <c r="AQ124" s="327">
        <f>'Quarterly historicals'!U95</f>
        <v>-48.946000000000033</v>
      </c>
      <c r="AR124" s="327">
        <f>'Quarterly historicals'!V95</f>
        <v>-86.31</v>
      </c>
      <c r="AS124" s="327">
        <f>'Quarterly historicals'!W95</f>
        <v>-200.98599999999999</v>
      </c>
      <c r="AT124" s="327">
        <f>'Quarterly historicals'!X95</f>
        <v>-74.040999999999997</v>
      </c>
      <c r="AU124" s="327">
        <f>'Quarterly historicals'!Y95</f>
        <v>-51.195999999999998</v>
      </c>
      <c r="AV124" s="327">
        <f>'Quarterly historicals'!Z95</f>
        <v>-55.466999999999999</v>
      </c>
      <c r="AW124" s="327">
        <f>'Quarterly historicals'!AA95</f>
        <v>-167.74199999999999</v>
      </c>
      <c r="AX124" s="327">
        <f>'Quarterly historicals'!AB95</f>
        <v>-63.805</v>
      </c>
      <c r="AY124" s="327">
        <f>'Quarterly historicals'!AC95</f>
        <v>-105.16200000000001</v>
      </c>
      <c r="AZ124" s="327">
        <f>'Quarterly historicals'!AD95</f>
        <v>-97.159000000000006</v>
      </c>
      <c r="BA124" s="327">
        <f>'Quarterly historicals'!AE95</f>
        <v>-131.19499999999999</v>
      </c>
      <c r="BB124" s="327">
        <f>'Quarterly historicals'!AF95</f>
        <v>-80.103999999999999</v>
      </c>
      <c r="BC124" s="327">
        <f>'Quarterly historicals'!AG95</f>
        <v>-105.554</v>
      </c>
      <c r="BD124" s="327">
        <f>'Quarterly historicals'!AH95</f>
        <v>-103.88500000000001</v>
      </c>
      <c r="BE124" s="327">
        <f>'Quarterly historicals'!AI95</f>
        <v>-110.316</v>
      </c>
      <c r="BF124" s="327">
        <f>'Quarterly historicals'!AJ95</f>
        <v>-118.598</v>
      </c>
      <c r="BG124" s="327">
        <f>'Quarterly historicals'!AK95</f>
        <v>-134.99100000000001</v>
      </c>
      <c r="BH124" s="327">
        <f>'Quarterly historicals'!AL95</f>
        <v>-92.421000000000006</v>
      </c>
      <c r="BI124" s="327">
        <f>'Quarterly historicals'!AM95</f>
        <v>-122.553</v>
      </c>
      <c r="BJ124" s="327">
        <f>'Quarterly historicals'!AN95</f>
        <v>-172.715</v>
      </c>
      <c r="BK124" s="327">
        <f>'Quarterly historicals'!AO95</f>
        <v>-210.35599999999999</v>
      </c>
      <c r="BL124" s="327">
        <f>'Quarterly historicals'!AP95</f>
        <v>-154.67599999999999</v>
      </c>
      <c r="BM124" s="327">
        <f>'Quarterly historicals'!AQ95</f>
        <v>-162.12200000000001</v>
      </c>
      <c r="BN124" s="327">
        <f>'Quarterly historicals'!AR95</f>
        <v>-163.095</v>
      </c>
      <c r="BO124" s="327">
        <f>'Quarterly historicals'!AS95</f>
        <v>-223.22899999999993</v>
      </c>
      <c r="BP124" s="358">
        <f>'Quarterly historicals'!AT95</f>
        <v>-163.06299999999999</v>
      </c>
    </row>
    <row r="125" spans="1:100">
      <c r="A125" s="417" t="s">
        <v>42</v>
      </c>
      <c r="B125" s="935" t="str">
        <f>'Annual historicals'!G79</f>
        <v>NA</v>
      </c>
      <c r="C125" s="935" t="str">
        <f>'Annual historicals'!H79</f>
        <v>NA</v>
      </c>
      <c r="D125" s="935" t="str">
        <f>'Annual historicals'!I79</f>
        <v>NA</v>
      </c>
      <c r="E125" s="935" t="str">
        <f>'Annual historicals'!J79</f>
        <v>NA</v>
      </c>
      <c r="F125" s="202">
        <f>'Annual historicals'!K79</f>
        <v>-291.16699999999997</v>
      </c>
      <c r="G125" s="202">
        <f>'Annual historicals'!L79</f>
        <v>-227.815</v>
      </c>
      <c r="H125" s="202">
        <f>'Annual historicals'!M79</f>
        <v>-284.202</v>
      </c>
      <c r="I125" s="202">
        <f>'Annual historicals'!N79</f>
        <v>-311.94900000000001</v>
      </c>
      <c r="J125" s="202">
        <f>'Annual historicals'!O79</f>
        <v>-433.11099999999999</v>
      </c>
      <c r="K125" s="202">
        <f>'Annual historicals'!P79</f>
        <v>-484.74900000000002</v>
      </c>
      <c r="L125" s="202">
        <f>'Annual historicals'!Q79</f>
        <v>-626.08299999999997</v>
      </c>
      <c r="M125" s="355">
        <f>'Annual historicals'!R79</f>
        <v>-629.08100000000002</v>
      </c>
      <c r="N125" s="356">
        <f t="shared" ref="N125:U125" si="361">N47*N133/1000</f>
        <v>-774.95797033157862</v>
      </c>
      <c r="O125" s="356">
        <f t="shared" si="361"/>
        <v>-832.0240367148308</v>
      </c>
      <c r="P125" s="356">
        <f t="shared" si="361"/>
        <v>-887.28146371996365</v>
      </c>
      <c r="Q125" s="356">
        <f t="shared" si="361"/>
        <v>-1015.0601997617212</v>
      </c>
      <c r="R125" s="356">
        <f t="shared" si="361"/>
        <v>-1090.8982996791972</v>
      </c>
      <c r="S125" s="356">
        <f t="shared" si="361"/>
        <v>-1070.8518969739621</v>
      </c>
      <c r="T125" s="356">
        <f t="shared" si="361"/>
        <v>-1063.8085903606973</v>
      </c>
      <c r="U125" s="356">
        <f t="shared" si="361"/>
        <v>-1044.8370534836406</v>
      </c>
      <c r="V125" s="202"/>
      <c r="W125" s="202"/>
      <c r="X125" s="327"/>
      <c r="Y125" s="327"/>
      <c r="Z125" s="327"/>
      <c r="AA125" s="327"/>
      <c r="AB125" s="327"/>
      <c r="AC125" s="327"/>
      <c r="AD125" s="327"/>
      <c r="AE125" s="327"/>
      <c r="AF125" s="327"/>
      <c r="AG125" s="327"/>
      <c r="AH125" s="327"/>
      <c r="AI125" s="327"/>
      <c r="AJ125" s="327">
        <f>'Quarterly historicals'!N96</f>
        <v>-65.554000000000002</v>
      </c>
      <c r="AK125" s="327">
        <f>'Quarterly historicals'!O96</f>
        <v>-82.94</v>
      </c>
      <c r="AL125" s="327">
        <f>'Quarterly historicals'!P96</f>
        <v>-93.656999999999996</v>
      </c>
      <c r="AM125" s="327">
        <f>'Quarterly historicals'!Q96</f>
        <v>-88.091999999999999</v>
      </c>
      <c r="AN125" s="327">
        <f>'Quarterly historicals'!R96</f>
        <v>-41.170999999999999</v>
      </c>
      <c r="AO125" s="327">
        <f>'Quarterly historicals'!S96</f>
        <v>-43.973999999999997</v>
      </c>
      <c r="AP125" s="327">
        <f>'Quarterly historicals'!T96</f>
        <v>-71.762</v>
      </c>
      <c r="AQ125" s="327">
        <f>'Quarterly historicals'!U96</f>
        <v>-70.908000000000015</v>
      </c>
      <c r="AR125" s="327">
        <f>'Quarterly historicals'!V96</f>
        <v>-43.951000000000001</v>
      </c>
      <c r="AS125" s="327">
        <f>'Quarterly historicals'!W96</f>
        <v>-91.722999999999999</v>
      </c>
      <c r="AT125" s="327">
        <f>'Quarterly historicals'!X96</f>
        <v>-96.507000000000005</v>
      </c>
      <c r="AU125" s="327">
        <f>'Quarterly historicals'!Y96</f>
        <v>-92.588999999999999</v>
      </c>
      <c r="AV125" s="327">
        <f>'Quarterly historicals'!Z96</f>
        <v>-63.5</v>
      </c>
      <c r="AW125" s="327">
        <f>'Quarterly historicals'!AA96</f>
        <v>-58.738</v>
      </c>
      <c r="AX125" s="327">
        <f>'Quarterly historicals'!AB96</f>
        <v>-103.274</v>
      </c>
      <c r="AY125" s="327">
        <f>'Quarterly historicals'!AC96</f>
        <v>-86.432000000000002</v>
      </c>
      <c r="AZ125" s="327">
        <f>'Quarterly historicals'!AD96</f>
        <v>-101.105</v>
      </c>
      <c r="BA125" s="327">
        <f>'Quarterly historicals'!AE96</f>
        <v>-112.58199999999999</v>
      </c>
      <c r="BB125" s="327">
        <f>'Quarterly historicals'!AF96</f>
        <v>-91.536000000000001</v>
      </c>
      <c r="BC125" s="327">
        <f>'Quarterly historicals'!AG96</f>
        <v>-127.887</v>
      </c>
      <c r="BD125" s="327">
        <f>'Quarterly historicals'!AH96</f>
        <v>-117.461</v>
      </c>
      <c r="BE125" s="327">
        <f>'Quarterly historicals'!AI96</f>
        <v>-81.956000000000003</v>
      </c>
      <c r="BF125" s="327">
        <f>'Quarterly historicals'!AJ96</f>
        <v>-99.590999999999994</v>
      </c>
      <c r="BG125" s="327">
        <f>'Quarterly historicals'!AK96</f>
        <v>-185.74199999999999</v>
      </c>
      <c r="BH125" s="327">
        <f>'Quarterly historicals'!AL96</f>
        <v>-91.912000000000006</v>
      </c>
      <c r="BI125" s="327">
        <f>'Quarterly historicals'!AM96</f>
        <v>-146.42099999999999</v>
      </c>
      <c r="BJ125" s="327">
        <f>'Quarterly historicals'!AN96</f>
        <v>-173.45400000000001</v>
      </c>
      <c r="BK125" s="327">
        <f>'Quarterly historicals'!AO96</f>
        <v>-185.24199999999996</v>
      </c>
      <c r="BL125" s="327">
        <f>'Quarterly historicals'!AP96</f>
        <v>-111.95099999999999</v>
      </c>
      <c r="BM125" s="327">
        <f>'Quarterly historicals'!AQ96</f>
        <v>-152.291</v>
      </c>
      <c r="BN125" s="327">
        <f>'Quarterly historicals'!AR96</f>
        <v>-158.892</v>
      </c>
      <c r="BO125" s="327">
        <f>'Quarterly historicals'!AS96</f>
        <v>-205.94700000000006</v>
      </c>
      <c r="BP125" s="358">
        <f>'Quarterly historicals'!AT96</f>
        <v>-130.34899999999999</v>
      </c>
    </row>
    <row r="126" spans="1:100">
      <c r="A126" s="417" t="s">
        <v>46</v>
      </c>
      <c r="B126" s="935" t="str">
        <f>'Annual historicals'!G81</f>
        <v>NA</v>
      </c>
      <c r="C126" s="935" t="str">
        <f>'Annual historicals'!H81</f>
        <v>NA</v>
      </c>
      <c r="D126" s="935" t="str">
        <f>'Annual historicals'!I81</f>
        <v>NA</v>
      </c>
      <c r="E126" s="935" t="str">
        <f>'Annual historicals'!J81</f>
        <v>NA</v>
      </c>
      <c r="F126" s="202">
        <f>'Annual historicals'!K81</f>
        <v>-57.762999999999998</v>
      </c>
      <c r="G126" s="202">
        <f>'Annual historicals'!L81</f>
        <v>-49.155999999999999</v>
      </c>
      <c r="H126" s="202">
        <f>'Annual historicals'!M81</f>
        <v>-65.814999999999998</v>
      </c>
      <c r="I126" s="202">
        <f>'Annual historicals'!N81</f>
        <v>-91.042000000000002</v>
      </c>
      <c r="J126" s="202">
        <f>'Annual historicals'!O81</f>
        <v>-149.578</v>
      </c>
      <c r="K126" s="202">
        <f>'Annual historicals'!P81</f>
        <v>-70.710999999999999</v>
      </c>
      <c r="L126" s="202">
        <f>'Annual historicals'!Q81</f>
        <v>-39.153000000000006</v>
      </c>
      <c r="M126" s="355">
        <f>'Annual historicals'!R81</f>
        <v>-45.021999999999998</v>
      </c>
      <c r="N126" s="356">
        <f t="shared" ref="N126:U126" si="362">N127+N128</f>
        <v>-98.639620000000008</v>
      </c>
      <c r="O126" s="356">
        <f t="shared" si="362"/>
        <v>-101.02754400000001</v>
      </c>
      <c r="P126" s="356">
        <f t="shared" si="362"/>
        <v>-108.37532603999999</v>
      </c>
      <c r="Q126" s="356">
        <f t="shared" si="362"/>
        <v>-115.5415851648</v>
      </c>
      <c r="R126" s="356">
        <f t="shared" si="362"/>
        <v>-122.76045463727999</v>
      </c>
      <c r="S126" s="356">
        <f t="shared" si="362"/>
        <v>-129.9229774687104</v>
      </c>
      <c r="T126" s="356">
        <f t="shared" si="362"/>
        <v>-136.92430016870418</v>
      </c>
      <c r="U126" s="356">
        <f t="shared" si="362"/>
        <v>-143.67357633221081</v>
      </c>
      <c r="V126" s="202"/>
      <c r="W126" s="202"/>
      <c r="X126" s="327"/>
      <c r="Y126" s="327"/>
      <c r="Z126" s="327"/>
      <c r="AA126" s="327"/>
      <c r="AB126" s="327"/>
      <c r="AC126" s="327"/>
      <c r="AD126" s="327"/>
      <c r="AE126" s="327"/>
      <c r="AF126" s="327"/>
      <c r="AG126" s="327"/>
      <c r="AH126" s="327"/>
      <c r="AI126" s="327"/>
      <c r="AJ126" s="327">
        <f>'Quarterly historicals'!N97</f>
        <v>-18.28</v>
      </c>
      <c r="AK126" s="327">
        <f>'Quarterly historicals'!O97</f>
        <v>-13.878</v>
      </c>
      <c r="AL126" s="327">
        <f>'Quarterly historicals'!P97</f>
        <v>-15.010999999999999</v>
      </c>
      <c r="AM126" s="327">
        <f>'Quarterly historicals'!Q97</f>
        <v>-10.590999999999999</v>
      </c>
      <c r="AN126" s="327">
        <f>'Quarterly historicals'!R97</f>
        <v>-12.718999999999999</v>
      </c>
      <c r="AO126" s="327">
        <f>'Quarterly historicals'!S97</f>
        <v>-16.795999999999999</v>
      </c>
      <c r="AP126" s="327">
        <f>'Quarterly historicals'!T97</f>
        <v>-13.805999999999999</v>
      </c>
      <c r="AQ126" s="327">
        <f>'Quarterly historicals'!U97</f>
        <v>-5.8350000000000026</v>
      </c>
      <c r="AR126" s="327">
        <f>'Quarterly historicals'!V97</f>
        <v>-19.969000000000001</v>
      </c>
      <c r="AS126" s="327">
        <f>'Quarterly historicals'!W97</f>
        <v>-43.874000000000002</v>
      </c>
      <c r="AT126" s="327">
        <f>'Quarterly historicals'!X97</f>
        <v>-15.728</v>
      </c>
      <c r="AU126" s="327">
        <f>'Quarterly historicals'!Y97</f>
        <v>-9.5939999999999994</v>
      </c>
      <c r="AV126" s="327">
        <f>'Quarterly historicals'!Z97</f>
        <v>-27.489000000000001</v>
      </c>
      <c r="AW126" s="327">
        <f>'Quarterly historicals'!AA97</f>
        <v>-20.98</v>
      </c>
      <c r="AX126" s="327">
        <f>'Quarterly historicals'!AB97</f>
        <v>-24.306000000000001</v>
      </c>
      <c r="AY126" s="327">
        <f>'Quarterly historicals'!AC97</f>
        <v>-18.277000000000001</v>
      </c>
      <c r="AZ126" s="327">
        <f>'Quarterly historicals'!AD97</f>
        <v>-30.859000000000002</v>
      </c>
      <c r="BA126" s="327">
        <f>'Quarterly historicals'!AE97</f>
        <v>-64.247</v>
      </c>
      <c r="BB126" s="327">
        <f>'Quarterly historicals'!AF97</f>
        <v>-42.972999999999999</v>
      </c>
      <c r="BC126" s="327">
        <f>'Quarterly historicals'!AG97</f>
        <v>-11.502000000000001</v>
      </c>
      <c r="BD126" s="327">
        <f>'Quarterly historicals'!AH97</f>
        <v>-11.403</v>
      </c>
      <c r="BE126" s="327">
        <f>'Quarterly historicals'!AI97</f>
        <v>-23.86</v>
      </c>
      <c r="BF126" s="327">
        <f>'Quarterly historicals'!AJ97</f>
        <v>-24.872</v>
      </c>
      <c r="BG126" s="890">
        <f>'Quarterly historicals'!AK97</f>
        <v>-10.576000000000001</v>
      </c>
      <c r="BH126" s="890">
        <f>'Quarterly historicals'!AL97</f>
        <v>-23.33099999999996</v>
      </c>
      <c r="BI126" s="890">
        <f>'Quarterly historicals'!AM97</f>
        <v>-29.905999999999999</v>
      </c>
      <c r="BJ126" s="890">
        <f>'Quarterly historicals'!AN97</f>
        <v>-27.254999999999967</v>
      </c>
      <c r="BK126" s="890">
        <f>'Quarterly historicals'!AO97</f>
        <v>-6.2220000000000653</v>
      </c>
      <c r="BL126" s="890">
        <f>'Quarterly historicals'!AP97</f>
        <v>-41.81</v>
      </c>
      <c r="BM126" s="890">
        <f>'Quarterly historicals'!AQ97</f>
        <v>-24.207999999999998</v>
      </c>
      <c r="BN126" s="890">
        <f>'Quarterly historicals'!AR97</f>
        <v>-15.716999999999999</v>
      </c>
      <c r="BO126" s="890">
        <f>'Quarterly historicals'!AS97</f>
        <v>-9.3299999999999983</v>
      </c>
      <c r="BP126" s="974">
        <f>'Quarterly historicals'!AT97</f>
        <v>-15.026</v>
      </c>
    </row>
    <row r="127" spans="1:100" hidden="1" outlineLevel="1">
      <c r="A127" s="1040" t="s">
        <v>1052</v>
      </c>
      <c r="B127" s="935">
        <v>0</v>
      </c>
      <c r="C127" s="935">
        <v>0</v>
      </c>
      <c r="D127" s="935">
        <v>0</v>
      </c>
      <c r="E127" s="935">
        <v>0</v>
      </c>
      <c r="F127" s="202">
        <f t="shared" ref="F127:U127" si="363">-F135*F113</f>
        <v>-4.4601999999999995</v>
      </c>
      <c r="G127" s="202">
        <f t="shared" si="363"/>
        <v>-4.7892000000000001</v>
      </c>
      <c r="H127" s="202">
        <f t="shared" si="363"/>
        <v>-5.5186000000000002</v>
      </c>
      <c r="I127" s="202">
        <f t="shared" si="363"/>
        <v>-8.8816000000000006</v>
      </c>
      <c r="J127" s="202">
        <f t="shared" si="363"/>
        <v>-15.454599999999999</v>
      </c>
      <c r="K127" s="202">
        <f t="shared" si="363"/>
        <v>-37.822800000000001</v>
      </c>
      <c r="L127" s="202">
        <f t="shared" si="363"/>
        <v>-37.114600000000003</v>
      </c>
      <c r="M127" s="355">
        <f t="shared" ref="M127" si="364">-M135*M113</f>
        <v>-30.4178</v>
      </c>
      <c r="N127" s="356">
        <f t="shared" si="363"/>
        <v>-82.575000000000003</v>
      </c>
      <c r="O127" s="356">
        <f t="shared" si="363"/>
        <v>-81.750000000000014</v>
      </c>
      <c r="P127" s="356">
        <f t="shared" si="363"/>
        <v>-86.013374999999996</v>
      </c>
      <c r="Q127" s="356">
        <f t="shared" si="363"/>
        <v>-90.496200000000002</v>
      </c>
      <c r="R127" s="356">
        <f t="shared" si="363"/>
        <v>-95.210530955999999</v>
      </c>
      <c r="S127" s="356">
        <f t="shared" si="363"/>
        <v>-100.16905989292799</v>
      </c>
      <c r="T127" s="356">
        <f t="shared" si="363"/>
        <v>-105.38514753837484</v>
      </c>
      <c r="U127" s="356">
        <f t="shared" si="363"/>
        <v>-110.8728575966683</v>
      </c>
      <c r="V127" s="202"/>
      <c r="W127" s="202"/>
      <c r="X127" s="327"/>
      <c r="Y127" s="327"/>
      <c r="Z127" s="327"/>
      <c r="AA127" s="327"/>
      <c r="AB127" s="327"/>
      <c r="AC127" s="327"/>
      <c r="AD127" s="327"/>
      <c r="AE127" s="327"/>
      <c r="AF127" s="327"/>
      <c r="AG127" s="327"/>
      <c r="AH127" s="327"/>
      <c r="AI127" s="327"/>
      <c r="AJ127" s="327">
        <f t="shared" ref="AJ127:BK127" si="365">-AJ135*AJ113</f>
        <v>-1.0868</v>
      </c>
      <c r="AK127" s="327">
        <f t="shared" si="365"/>
        <v>-1.8010000000000002</v>
      </c>
      <c r="AL127" s="327">
        <f t="shared" si="365"/>
        <v>-1.5724</v>
      </c>
      <c r="AM127" s="327">
        <f t="shared" si="365"/>
        <v>0</v>
      </c>
      <c r="AN127" s="327">
        <f t="shared" si="365"/>
        <v>-1.1438000000000001</v>
      </c>
      <c r="AO127" s="327">
        <f t="shared" si="365"/>
        <v>-2.1094000000000004</v>
      </c>
      <c r="AP127" s="327">
        <f t="shared" si="365"/>
        <v>-1.3832000000000002</v>
      </c>
      <c r="AQ127" s="327">
        <f t="shared" si="365"/>
        <v>-0.15300000000000002</v>
      </c>
      <c r="AR127" s="327">
        <f t="shared" si="365"/>
        <v>-0.80180000000000007</v>
      </c>
      <c r="AS127" s="327">
        <f t="shared" si="365"/>
        <v>-2.0472000000000001</v>
      </c>
      <c r="AT127" s="327">
        <f t="shared" si="365"/>
        <v>-1.7444</v>
      </c>
      <c r="AU127" s="327">
        <f t="shared" si="365"/>
        <v>-0.92520000000000013</v>
      </c>
      <c r="AV127" s="327">
        <f t="shared" si="365"/>
        <v>-1.3952</v>
      </c>
      <c r="AW127" s="327">
        <f t="shared" si="365"/>
        <v>-2.5990000000000002</v>
      </c>
      <c r="AX127" s="327">
        <f t="shared" si="365"/>
        <v>-3.8412000000000002</v>
      </c>
      <c r="AY127" s="327">
        <f t="shared" si="365"/>
        <v>-1.0464</v>
      </c>
      <c r="AZ127" s="327">
        <f t="shared" si="365"/>
        <v>-1.7736000000000001</v>
      </c>
      <c r="BA127" s="327">
        <f t="shared" si="365"/>
        <v>-5.1008000000000004</v>
      </c>
      <c r="BB127" s="327">
        <f t="shared" si="365"/>
        <v>-8.1028000000000002</v>
      </c>
      <c r="BC127" s="327">
        <f t="shared" si="365"/>
        <v>-0.4778</v>
      </c>
      <c r="BD127" s="327">
        <f t="shared" si="365"/>
        <v>-9.8546000000000014</v>
      </c>
      <c r="BE127" s="327">
        <f t="shared" si="365"/>
        <v>-12.386800000000001</v>
      </c>
      <c r="BF127" s="933">
        <f t="shared" si="365"/>
        <v>-14.668799999999999</v>
      </c>
      <c r="BG127" s="890">
        <f t="shared" si="365"/>
        <v>-0.13060000000000002</v>
      </c>
      <c r="BH127" s="890">
        <f t="shared" si="365"/>
        <v>-13.5624</v>
      </c>
      <c r="BI127" s="890">
        <f t="shared" si="365"/>
        <v>-13.161000000000001</v>
      </c>
      <c r="BJ127" s="890">
        <f t="shared" si="365"/>
        <v>-9.8066000000000013</v>
      </c>
      <c r="BK127" s="890">
        <f t="shared" si="365"/>
        <v>-0.58460000000000001</v>
      </c>
      <c r="BL127" s="890">
        <f t="shared" ref="BL127:BM127" si="366">-BL135*BL113</f>
        <v>-8.7420000000000009</v>
      </c>
      <c r="BM127" s="890">
        <f t="shared" si="366"/>
        <v>-9.7418000000000013</v>
      </c>
      <c r="BN127" s="890">
        <f t="shared" ref="BN127:BO127" si="367">-BN135*BN113</f>
        <v>-6.1096000000000004</v>
      </c>
      <c r="BO127" s="890">
        <f t="shared" si="367"/>
        <v>-5.8244000000000007</v>
      </c>
      <c r="BP127" s="974">
        <f t="shared" ref="BP127" si="368">-BP135*BP113</f>
        <v>-13.242400000000002</v>
      </c>
    </row>
    <row r="128" spans="1:100" hidden="1" outlineLevel="1">
      <c r="A128" s="1040" t="s">
        <v>222</v>
      </c>
      <c r="B128" s="935">
        <f>'Annual historicals'!G83</f>
        <v>0</v>
      </c>
      <c r="C128" s="935">
        <f>'Annual historicals'!H83</f>
        <v>0</v>
      </c>
      <c r="D128" s="935">
        <f>'Annual historicals'!I83</f>
        <v>0</v>
      </c>
      <c r="E128" s="935">
        <f>'Annual historicals'!J83</f>
        <v>0</v>
      </c>
      <c r="F128" s="202">
        <f t="shared" ref="F128:L128" si="369">F126-F127</f>
        <v>-53.302799999999998</v>
      </c>
      <c r="G128" s="202">
        <f t="shared" si="369"/>
        <v>-44.366799999999998</v>
      </c>
      <c r="H128" s="202">
        <f t="shared" si="369"/>
        <v>-60.296399999999998</v>
      </c>
      <c r="I128" s="202">
        <f t="shared" si="369"/>
        <v>-82.160399999999996</v>
      </c>
      <c r="J128" s="202">
        <f t="shared" si="369"/>
        <v>-134.1234</v>
      </c>
      <c r="K128" s="202">
        <f t="shared" si="369"/>
        <v>-32.888199999999998</v>
      </c>
      <c r="L128" s="202">
        <f t="shared" si="369"/>
        <v>-2.0384000000000029</v>
      </c>
      <c r="M128" s="355">
        <f t="shared" ref="M128" si="370">M126-M127</f>
        <v>-14.604199999999999</v>
      </c>
      <c r="N128" s="356">
        <f t="shared" ref="N128:U128" si="371">-N136*N115</f>
        <v>-16.064620000000001</v>
      </c>
      <c r="O128" s="356">
        <f t="shared" si="371"/>
        <v>-19.277543999999999</v>
      </c>
      <c r="P128" s="356">
        <f t="shared" si="371"/>
        <v>-22.361951039999997</v>
      </c>
      <c r="Q128" s="356">
        <f t="shared" si="371"/>
        <v>-25.045385164799999</v>
      </c>
      <c r="R128" s="356">
        <f t="shared" si="371"/>
        <v>-27.549923681279999</v>
      </c>
      <c r="S128" s="356">
        <f t="shared" si="371"/>
        <v>-29.753917575782403</v>
      </c>
      <c r="T128" s="356">
        <f t="shared" si="371"/>
        <v>-31.539152630329344</v>
      </c>
      <c r="U128" s="356">
        <f t="shared" si="371"/>
        <v>-32.800718735542517</v>
      </c>
      <c r="V128" s="202"/>
      <c r="W128" s="202"/>
      <c r="X128" s="327"/>
      <c r="Y128" s="327"/>
      <c r="Z128" s="327"/>
      <c r="AA128" s="327"/>
      <c r="AB128" s="327"/>
      <c r="AC128" s="327"/>
      <c r="AD128" s="327"/>
      <c r="AE128" s="327"/>
      <c r="AF128" s="327"/>
      <c r="AG128" s="327"/>
      <c r="AH128" s="327"/>
      <c r="AI128" s="327"/>
      <c r="AJ128" s="327">
        <f t="shared" ref="AJ128:BF128" si="372">AJ126-AJ127</f>
        <v>-17.193200000000001</v>
      </c>
      <c r="AK128" s="327">
        <f t="shared" si="372"/>
        <v>-12.077</v>
      </c>
      <c r="AL128" s="327">
        <f t="shared" si="372"/>
        <v>-13.438599999999999</v>
      </c>
      <c r="AM128" s="327">
        <f t="shared" si="372"/>
        <v>-10.590999999999999</v>
      </c>
      <c r="AN128" s="327">
        <f t="shared" si="372"/>
        <v>-11.575199999999999</v>
      </c>
      <c r="AO128" s="327">
        <f t="shared" si="372"/>
        <v>-14.686599999999999</v>
      </c>
      <c r="AP128" s="327">
        <f t="shared" si="372"/>
        <v>-12.422799999999999</v>
      </c>
      <c r="AQ128" s="327">
        <f t="shared" si="372"/>
        <v>-5.6820000000000022</v>
      </c>
      <c r="AR128" s="327">
        <f t="shared" si="372"/>
        <v>-19.167200000000001</v>
      </c>
      <c r="AS128" s="327">
        <f t="shared" si="372"/>
        <v>-41.826800000000006</v>
      </c>
      <c r="AT128" s="327">
        <f t="shared" si="372"/>
        <v>-13.983599999999999</v>
      </c>
      <c r="AU128" s="327">
        <f t="shared" si="372"/>
        <v>-8.6687999999999992</v>
      </c>
      <c r="AV128" s="327">
        <f t="shared" si="372"/>
        <v>-26.093800000000002</v>
      </c>
      <c r="AW128" s="327">
        <f t="shared" si="372"/>
        <v>-18.381</v>
      </c>
      <c r="AX128" s="327">
        <f t="shared" si="372"/>
        <v>-20.4648</v>
      </c>
      <c r="AY128" s="327">
        <f t="shared" si="372"/>
        <v>-17.230600000000003</v>
      </c>
      <c r="AZ128" s="327">
        <f t="shared" si="372"/>
        <v>-29.0854</v>
      </c>
      <c r="BA128" s="327">
        <f t="shared" si="372"/>
        <v>-59.1462</v>
      </c>
      <c r="BB128" s="327">
        <f t="shared" si="372"/>
        <v>-34.870199999999997</v>
      </c>
      <c r="BC128" s="327">
        <f t="shared" si="372"/>
        <v>-11.0242</v>
      </c>
      <c r="BD128" s="327">
        <f t="shared" si="372"/>
        <v>-1.5483999999999991</v>
      </c>
      <c r="BE128" s="327">
        <f t="shared" si="372"/>
        <v>-11.473199999999999</v>
      </c>
      <c r="BF128" s="327">
        <f t="shared" si="372"/>
        <v>-10.203200000000001</v>
      </c>
      <c r="BG128" s="890">
        <f t="shared" ref="BG128:BL128" si="373">IF(ISERROR(BG126-BG127),"ND",BG126-BG127)</f>
        <v>-10.445400000000001</v>
      </c>
      <c r="BH128" s="890">
        <f t="shared" si="373"/>
        <v>-9.7685999999999602</v>
      </c>
      <c r="BI128" s="890">
        <f t="shared" si="373"/>
        <v>-16.744999999999997</v>
      </c>
      <c r="BJ128" s="890">
        <f t="shared" si="373"/>
        <v>-17.448399999999964</v>
      </c>
      <c r="BK128" s="890">
        <f t="shared" si="373"/>
        <v>-5.6374000000000652</v>
      </c>
      <c r="BL128" s="890">
        <f t="shared" si="373"/>
        <v>-33.067999999999998</v>
      </c>
      <c r="BM128" s="890">
        <f t="shared" ref="BM128:BO128" si="374">IF(ISERROR(BM126-BM127),"ND",BM126-BM127)</f>
        <v>-14.466199999999997</v>
      </c>
      <c r="BN128" s="890">
        <f t="shared" si="374"/>
        <v>-9.6073999999999984</v>
      </c>
      <c r="BO128" s="890">
        <f t="shared" si="374"/>
        <v>-3.5055999999999976</v>
      </c>
      <c r="BP128" s="974">
        <f t="shared" ref="BP128" si="375">IF(ISERROR(BP126-BP127),"ND",BP126-BP127)</f>
        <v>-1.7835999999999981</v>
      </c>
      <c r="BQ128" s="382"/>
      <c r="BR128" s="382"/>
      <c r="BS128" s="382"/>
      <c r="BT128" s="382"/>
      <c r="BU128" s="382"/>
      <c r="BV128" s="382"/>
      <c r="BW128" s="382"/>
      <c r="BX128" s="382"/>
      <c r="BY128" s="382"/>
      <c r="BZ128" s="382"/>
      <c r="CA128" s="382"/>
      <c r="CB128" s="382"/>
      <c r="CC128" s="382"/>
      <c r="CD128" s="382"/>
      <c r="CE128" s="382"/>
    </row>
    <row r="129" spans="1:83" collapsed="1">
      <c r="A129" s="417" t="s">
        <v>1016</v>
      </c>
      <c r="B129" s="890"/>
      <c r="C129" s="890"/>
      <c r="D129" s="890"/>
      <c r="E129" s="890"/>
      <c r="F129" s="327">
        <f>+SUM('Quarterly historicals'!N154:Q154)-SUM('Quarterly historicals'!N164:Q164)-SUM(F124:F126)</f>
        <v>-43.191000000000031</v>
      </c>
      <c r="G129" s="327">
        <f>+SUM('Quarterly historicals'!R154:U154)-SUM('Quarterly historicals'!R164:U164)-SUM(G124:G126)</f>
        <v>-31.394999999999868</v>
      </c>
      <c r="H129" s="327">
        <f>+SUM('Quarterly historicals'!V154:Y154)-SUM('Quarterly historicals'!V164:Y164)-SUM(H124:H126)</f>
        <v>37.428000000000111</v>
      </c>
      <c r="I129" s="327">
        <f>+SUM('Quarterly historicals'!Z154:AC154)-SUM('Quarterly historicals'!Z164:AC164)-SUM(I124:I126)</f>
        <v>14.428000000000225</v>
      </c>
      <c r="J129" s="327">
        <f>+SUM('Quarterly historicals'!AD154:AG154)-SUM('Quarterly historicals'!AD164:AG164)-SUM(J124:J126)</f>
        <v>3.7710000000000719</v>
      </c>
      <c r="K129" s="327">
        <f>+SUM('Quarterly historicals'!AH154:AK154)-SUM('Quarterly historicals'!AH164:AK164)-SUM(K124:K126)</f>
        <v>-20.779999999999973</v>
      </c>
      <c r="L129" s="327">
        <f>SUM('Quarterly historicals'!$AL$154:$AO$154)-SUM('Quarterly historicals'!$AL$164:$AO$164)-SUM(L124:L126)</f>
        <v>-0.66400000000021464</v>
      </c>
      <c r="M129" s="358">
        <f>SUM('Quarterly historicals'!$AP$154:$AS$154)-SUM('Quarterly historicals'!$AP$164:$AS$164)-SUM(M124:M126)</f>
        <v>-58.896999999999935</v>
      </c>
      <c r="N129" s="2346">
        <f t="array" ref="N129">SUM(($BD129:$CU129)*(RIGHT(Q_Financials!$AH$5:$BY$5,2)=RIGHT(N$4,2)))</f>
        <v>-26.411999999999978</v>
      </c>
      <c r="O129" s="2346">
        <f t="array" ref="O129">SUM(($BD129:$CU129)*(RIGHT(Q_Financials!$AH$5:$BY$5,2)=RIGHT(O$4,2)))</f>
        <v>0</v>
      </c>
      <c r="P129" s="2346">
        <f t="array" ref="P129">SUM(($BD129:$CU129)*(RIGHT(Q_Financials!$AH$5:$BY$5,2)=RIGHT(P$4,2)))</f>
        <v>0</v>
      </c>
      <c r="Q129" s="2346">
        <f t="array" ref="Q129">SUM(($BD129:$CU129)*(RIGHT(Q_Financials!$AH$5:$BY$5,2)=RIGHT(Q$4,2)))</f>
        <v>0</v>
      </c>
      <c r="R129" s="2346">
        <f t="array" ref="R129">SUM(($BD129:$CU129)*(RIGHT(Q_Financials!$AH$5:$BY$5,2)=RIGHT(R$4,2)))</f>
        <v>0</v>
      </c>
      <c r="S129" s="2346">
        <f t="array" ref="S129">SUM(($BD129:$CU129)*(RIGHT(Q_Financials!$AH$5:$BY$5,2)=RIGHT(S$4,2)))</f>
        <v>0</v>
      </c>
      <c r="T129" s="2346">
        <f t="array" ref="T129">SUM(($BD129:$CU129)*(RIGHT(Q_Financials!$AH$5:$BY$5,2)=RIGHT(T$4,2)))</f>
        <v>0</v>
      </c>
      <c r="U129" s="2346">
        <f t="array" ref="U129">SUM(($BD129:$CU129)*(RIGHT(Q_Financials!$AH$5:$BY$5,2)=RIGHT(U$4,2)))</f>
        <v>0</v>
      </c>
      <c r="V129" s="202"/>
      <c r="W129" s="202"/>
      <c r="X129" s="327"/>
      <c r="Y129" s="327"/>
      <c r="Z129" s="327"/>
      <c r="AA129" s="327"/>
      <c r="AB129" s="327"/>
      <c r="AC129" s="327"/>
      <c r="AD129" s="327"/>
      <c r="AE129" s="327"/>
      <c r="AF129" s="327"/>
      <c r="AG129" s="327"/>
      <c r="AH129" s="327"/>
      <c r="AI129" s="327"/>
      <c r="AJ129" s="327">
        <f>AJ123-SUM(AJ124:AJ126)</f>
        <v>1.3950000000000102</v>
      </c>
      <c r="AK129" s="327">
        <f>AK123-SUM(AK124:AK126)</f>
        <v>11.209000000000003</v>
      </c>
      <c r="AL129" s="327"/>
      <c r="AM129" s="327">
        <f t="shared" ref="AM129:BK129" si="376">AM123-SUM(AM124:AM126)</f>
        <v>9.4770000000000039</v>
      </c>
      <c r="AN129" s="327">
        <f t="shared" si="376"/>
        <v>-11.807000000000002</v>
      </c>
      <c r="AO129" s="327">
        <f t="shared" si="376"/>
        <v>-2.9910000000000139</v>
      </c>
      <c r="AP129" s="327">
        <f t="shared" si="376"/>
        <v>-9.5660000000000025</v>
      </c>
      <c r="AQ129" s="327">
        <f t="shared" si="376"/>
        <v>-7.0309999999999775</v>
      </c>
      <c r="AR129" s="327">
        <f t="shared" si="376"/>
        <v>4.4900000000000091</v>
      </c>
      <c r="AS129" s="327">
        <f t="shared" si="376"/>
        <v>179.77800000000002</v>
      </c>
      <c r="AT129" s="327">
        <f t="shared" si="376"/>
        <v>0.27100000000001501</v>
      </c>
      <c r="AU129" s="327">
        <f t="shared" si="376"/>
        <v>3.1179999999999666</v>
      </c>
      <c r="AV129" s="327">
        <f t="shared" si="376"/>
        <v>15.700999999999993</v>
      </c>
      <c r="AW129" s="327">
        <f t="shared" si="376"/>
        <v>-1.9940000000000282</v>
      </c>
      <c r="AX129" s="327">
        <f t="shared" si="376"/>
        <v>-2.4429999999999552</v>
      </c>
      <c r="AY129" s="327">
        <f t="shared" si="376"/>
        <v>3.1629999999999541</v>
      </c>
      <c r="AZ129" s="327">
        <f t="shared" si="376"/>
        <v>3.9790000000000134</v>
      </c>
      <c r="BA129" s="327">
        <f t="shared" si="376"/>
        <v>-1.6659999999999968</v>
      </c>
      <c r="BB129" s="327">
        <f t="shared" si="376"/>
        <v>-0.44299999999998363</v>
      </c>
      <c r="BC129" s="327">
        <f t="shared" si="376"/>
        <v>1.9000000000000057</v>
      </c>
      <c r="BD129" s="327">
        <f t="shared" si="376"/>
        <v>5.7439999999999714</v>
      </c>
      <c r="BE129" s="327">
        <f t="shared" si="376"/>
        <v>-2.4999999999977263E-2</v>
      </c>
      <c r="BF129" s="327">
        <f t="shared" si="376"/>
        <v>0.61299999999999955</v>
      </c>
      <c r="BG129" s="327">
        <f t="shared" si="376"/>
        <v>-27.10799999999989</v>
      </c>
      <c r="BH129" s="327">
        <f t="shared" si="376"/>
        <v>-0.79500000000001592</v>
      </c>
      <c r="BI129" s="327">
        <f t="shared" si="376"/>
        <v>43.186999999999955</v>
      </c>
      <c r="BJ129" s="327">
        <f t="shared" si="376"/>
        <v>-6.0950000000000273</v>
      </c>
      <c r="BK129" s="327">
        <f t="shared" si="376"/>
        <v>7.8709999999999809</v>
      </c>
      <c r="BL129" s="327">
        <f t="shared" ref="BL129:BM129" si="377">BL123-SUM(BL124:BL126)</f>
        <v>14.055999999999983</v>
      </c>
      <c r="BM129" s="327">
        <f t="shared" si="377"/>
        <v>4.47199999999998</v>
      </c>
      <c r="BN129" s="327">
        <f t="shared" ref="BN129:BO129" si="378">BN123-SUM(BN124:BN126)</f>
        <v>-16.944000000000074</v>
      </c>
      <c r="BO129" s="327">
        <f t="shared" si="378"/>
        <v>-14.437999999999988</v>
      </c>
      <c r="BP129" s="358">
        <f t="shared" ref="BP129" si="379">BP123-SUM(BP124:BP126)</f>
        <v>-26.411999999999978</v>
      </c>
      <c r="BQ129" s="382"/>
      <c r="BR129" s="382"/>
      <c r="BS129" s="382"/>
      <c r="BT129" s="382"/>
      <c r="BU129" s="382"/>
      <c r="BV129" s="382"/>
      <c r="BW129" s="382"/>
      <c r="BX129" s="382"/>
      <c r="BY129" s="382"/>
      <c r="BZ129" s="382"/>
      <c r="CA129" s="382"/>
      <c r="CB129" s="382"/>
      <c r="CC129" s="382"/>
      <c r="CD129" s="382"/>
      <c r="CE129" s="382"/>
    </row>
    <row r="130" spans="1:83">
      <c r="A130" s="417"/>
      <c r="B130" s="202"/>
      <c r="C130" s="202"/>
      <c r="D130" s="202"/>
      <c r="E130" s="202"/>
      <c r="F130" s="2387">
        <f t="shared" ref="F130:H130" si="380">+F65/E65-1</f>
        <v>0.21377452253732709</v>
      </c>
      <c r="G130" s="2387">
        <f t="shared" si="380"/>
        <v>-1.9401107013921393E-2</v>
      </c>
      <c r="H130" s="2387">
        <f t="shared" si="380"/>
        <v>-0.20392209076602741</v>
      </c>
      <c r="I130" s="2387">
        <f t="shared" ref="I130:L130" si="381">+I65/H65-1</f>
        <v>-1.0671156403520787E-2</v>
      </c>
      <c r="J130" s="2387">
        <f t="shared" si="381"/>
        <v>4.012555654527139E-2</v>
      </c>
      <c r="K130" s="2387">
        <f t="shared" si="381"/>
        <v>-7.5758702116665577E-2</v>
      </c>
      <c r="L130" s="2387">
        <f t="shared" si="381"/>
        <v>1.0936674629475545</v>
      </c>
      <c r="M130" s="2388">
        <f>+M65/L65-1</f>
        <v>-0.14814396401900498</v>
      </c>
      <c r="N130" s="178">
        <f t="shared" ref="N130:U130" si="382">+N65/M65-1</f>
        <v>-0.13724188009540239</v>
      </c>
      <c r="O130" s="178">
        <f t="shared" si="382"/>
        <v>3.5660413547279113E-2</v>
      </c>
      <c r="P130" s="178">
        <f t="shared" si="382"/>
        <v>3.4754214201281108E-2</v>
      </c>
      <c r="Q130" s="178">
        <f t="shared" si="382"/>
        <v>0.19691238401082733</v>
      </c>
      <c r="R130" s="178">
        <f t="shared" si="382"/>
        <v>6.0144592825023713E-2</v>
      </c>
      <c r="S130" s="178">
        <f t="shared" si="382"/>
        <v>-0.16732552102366238</v>
      </c>
      <c r="T130" s="178">
        <f t="shared" si="382"/>
        <v>-0.13849433806428058</v>
      </c>
      <c r="U130" s="178">
        <f t="shared" si="382"/>
        <v>0.13566269026936628</v>
      </c>
      <c r="V130" s="202"/>
      <c r="W130" s="202"/>
      <c r="X130" s="202"/>
      <c r="Y130" s="202"/>
      <c r="Z130" s="202"/>
      <c r="AA130" s="202"/>
      <c r="AB130" s="202"/>
      <c r="AC130" s="202"/>
      <c r="AD130" s="202"/>
      <c r="AE130" s="202"/>
      <c r="AF130" s="202"/>
      <c r="AG130" s="202"/>
      <c r="AH130" s="202"/>
      <c r="AI130" s="202"/>
      <c r="AJ130" s="202"/>
      <c r="AK130" s="202"/>
      <c r="AL130" s="202"/>
      <c r="AM130" s="202"/>
      <c r="AN130" s="202"/>
      <c r="AO130" s="178"/>
      <c r="AP130" s="178"/>
      <c r="AQ130" s="178"/>
      <c r="AR130" s="178"/>
      <c r="AS130" s="178"/>
      <c r="AT130" s="178"/>
      <c r="AU130" s="178"/>
      <c r="AV130" s="178"/>
      <c r="AW130" s="178"/>
      <c r="AX130" s="178"/>
      <c r="AY130" s="178"/>
      <c r="AZ130" s="178"/>
      <c r="BA130" s="178"/>
      <c r="BB130" s="178"/>
      <c r="BC130" s="178"/>
      <c r="BD130" s="178"/>
      <c r="BE130" s="178"/>
      <c r="BF130" s="178"/>
      <c r="BG130" s="178"/>
      <c r="BH130" s="178"/>
      <c r="BI130" s="178"/>
      <c r="BJ130" s="178"/>
      <c r="BK130" s="178"/>
      <c r="BL130" s="178"/>
      <c r="BM130" s="178"/>
      <c r="BN130" s="178"/>
      <c r="BO130" s="178"/>
      <c r="BP130" s="426"/>
    </row>
    <row r="131" spans="1:83">
      <c r="A131" s="770" t="s">
        <v>918</v>
      </c>
      <c r="B131" s="202"/>
      <c r="C131" s="202"/>
      <c r="D131" s="202"/>
      <c r="E131" s="202"/>
      <c r="F131" s="2387" t="e">
        <f t="shared" ref="F131" si="383">+F132/E132-1</f>
        <v>#VALUE!</v>
      </c>
      <c r="G131" s="2387">
        <f t="shared" ref="G131" si="384">+G132/F132-1</f>
        <v>-0.12306451646775429</v>
      </c>
      <c r="H131" s="2387">
        <f t="shared" ref="H131" si="385">+H132/G132-1</f>
        <v>0.43188284053828419</v>
      </c>
      <c r="I131" s="2387">
        <f t="shared" ref="I131:L131" si="386">+I132/H132-1</f>
        <v>-3.973390606214644E-2</v>
      </c>
      <c r="J131" s="2387">
        <f t="shared" si="386"/>
        <v>3.7469364593039955E-2</v>
      </c>
      <c r="K131" s="2387">
        <f t="shared" si="386"/>
        <v>-9.499509239104742E-2</v>
      </c>
      <c r="L131" s="2387">
        <f t="shared" si="386"/>
        <v>0.22317382271873765</v>
      </c>
      <c r="M131" s="2388">
        <f>+M132/L132-1</f>
        <v>0.16271992982272332</v>
      </c>
      <c r="N131" s="178">
        <f t="shared" ref="N131:U131" si="387">+N132/M132-1</f>
        <v>-6.1646752038160946E-2</v>
      </c>
      <c r="O131" s="178">
        <f t="shared" si="387"/>
        <v>1.0664165418911686E-2</v>
      </c>
      <c r="P131" s="178">
        <f t="shared" si="387"/>
        <v>4.0301685680512511E-2</v>
      </c>
      <c r="Q131" s="178">
        <f t="shared" si="387"/>
        <v>0.10516495360433087</v>
      </c>
      <c r="R131" s="178">
        <f t="shared" si="387"/>
        <v>5.0457837130009509E-2</v>
      </c>
      <c r="S131" s="178">
        <f t="shared" si="387"/>
        <v>-4.0530208409465085E-2</v>
      </c>
      <c r="T131" s="178">
        <f t="shared" si="387"/>
        <v>-2.899773522571214E-2</v>
      </c>
      <c r="U131" s="178">
        <f t="shared" si="387"/>
        <v>-4.0000000000000036E-2</v>
      </c>
      <c r="V131" s="202"/>
      <c r="W131" s="202"/>
      <c r="X131" s="202"/>
      <c r="Y131" s="202"/>
      <c r="Z131" s="202"/>
      <c r="AA131" s="202"/>
      <c r="AB131" s="202"/>
      <c r="AC131" s="202"/>
      <c r="AD131" s="202"/>
      <c r="AE131" s="202"/>
      <c r="AF131" s="202"/>
      <c r="AG131" s="202"/>
      <c r="AH131" s="202"/>
      <c r="AI131" s="202"/>
      <c r="AJ131" s="202"/>
      <c r="AK131" s="202"/>
      <c r="AL131" s="202"/>
      <c r="AM131" s="202"/>
      <c r="AN131" s="202"/>
      <c r="AO131" s="178"/>
      <c r="AP131" s="178"/>
      <c r="AQ131" s="178"/>
      <c r="AR131" s="178"/>
      <c r="AS131" s="178"/>
      <c r="AT131" s="178"/>
      <c r="AU131" s="178"/>
      <c r="AV131" s="178"/>
      <c r="AW131" s="178"/>
      <c r="AX131" s="178"/>
      <c r="AY131" s="178"/>
      <c r="AZ131" s="178"/>
      <c r="BA131" s="178"/>
      <c r="BB131" s="178"/>
      <c r="BC131" s="178"/>
      <c r="BD131" s="178"/>
      <c r="BE131" s="178"/>
      <c r="BF131" s="178"/>
      <c r="BG131" s="202"/>
      <c r="BH131" s="202"/>
      <c r="BI131" s="202"/>
      <c r="BJ131" s="202"/>
      <c r="BK131" s="202"/>
      <c r="BL131" s="202"/>
      <c r="BM131" s="202"/>
      <c r="BN131" s="202"/>
      <c r="BO131" s="202"/>
      <c r="BP131" s="426"/>
    </row>
    <row r="132" spans="1:83">
      <c r="A132" s="771" t="s">
        <v>814</v>
      </c>
      <c r="B132" s="776" t="s">
        <v>972</v>
      </c>
      <c r="C132" s="776" t="s">
        <v>972</v>
      </c>
      <c r="D132" s="776" t="s">
        <v>972</v>
      </c>
      <c r="E132" s="776" t="s">
        <v>972</v>
      </c>
      <c r="F132" s="776">
        <f t="shared" ref="F132:M132" si="388">F124/F45*1000</f>
        <v>-335.65811965811963</v>
      </c>
      <c r="G132" s="776">
        <f t="shared" si="388"/>
        <v>-294.35051546391753</v>
      </c>
      <c r="H132" s="776">
        <f t="shared" si="388"/>
        <v>-421.47545219638238</v>
      </c>
      <c r="I132" s="776">
        <f t="shared" si="388"/>
        <v>-404.72858617131061</v>
      </c>
      <c r="J132" s="776">
        <f t="shared" si="388"/>
        <v>-419.89350912778906</v>
      </c>
      <c r="K132" s="776">
        <f t="shared" si="388"/>
        <v>-380.00568643379364</v>
      </c>
      <c r="L132" s="776">
        <f t="shared" si="388"/>
        <v>-464.8130081300813</v>
      </c>
      <c r="M132" s="355">
        <f t="shared" si="388"/>
        <v>-540.44734819369705</v>
      </c>
      <c r="N132" s="485">
        <f>M132*(1+Inputs!P99)</f>
        <v>-507.1305245299186</v>
      </c>
      <c r="O132" s="485">
        <f>N132*(1+Inputs!Q99)</f>
        <v>-512.53864833248508</v>
      </c>
      <c r="P132" s="485">
        <f>O132*(1+Inputs!R99)</f>
        <v>-533.19481983669561</v>
      </c>
      <c r="Q132" s="485">
        <f>P132*(1+Inputs!S99)</f>
        <v>-589.26822832689129</v>
      </c>
      <c r="R132" s="485">
        <f>Q132*(1+Inputs!T99)</f>
        <v>-619.00142861769882</v>
      </c>
      <c r="S132" s="485">
        <f>R132*(1+Inputs!U99)</f>
        <v>-593.91317171006688</v>
      </c>
      <c r="T132" s="485">
        <f>S132*(1+Inputs!V99)</f>
        <v>-576.69103480975548</v>
      </c>
      <c r="U132" s="485">
        <f>T132*(1+Inputs!W99)</f>
        <v>-553.62339341736526</v>
      </c>
      <c r="V132" s="202"/>
      <c r="W132" s="202"/>
      <c r="X132" s="1389" t="s">
        <v>972</v>
      </c>
      <c r="Y132" s="1389" t="s">
        <v>972</v>
      </c>
      <c r="Z132" s="1389" t="s">
        <v>972</v>
      </c>
      <c r="AA132" s="1389" t="s">
        <v>972</v>
      </c>
      <c r="AB132" s="875" t="str">
        <f>'Quarterly historicals'!F144</f>
        <v>NA</v>
      </c>
      <c r="AC132" s="875" t="str">
        <f>'Quarterly historicals'!G144</f>
        <v>NA</v>
      </c>
      <c r="AD132" s="875" t="str">
        <f>'Quarterly historicals'!H144</f>
        <v>NA</v>
      </c>
      <c r="AE132" s="875" t="str">
        <f>'Quarterly historicals'!I144</f>
        <v>NA</v>
      </c>
      <c r="AF132" s="875" t="str">
        <f>'Quarterly historicals'!J144</f>
        <v>NA</v>
      </c>
      <c r="AG132" s="875" t="str">
        <f>'Quarterly historicals'!K144</f>
        <v>NA</v>
      </c>
      <c r="AH132" s="875" t="str">
        <f>'Quarterly historicals'!L144</f>
        <v>NA</v>
      </c>
      <c r="AI132" s="875" t="str">
        <f>'Quarterly historicals'!M144</f>
        <v>NA</v>
      </c>
      <c r="AJ132" s="875" t="str">
        <f>'Quarterly historicals'!N144</f>
        <v>NA</v>
      </c>
      <c r="AK132" s="875" t="str">
        <f>'Quarterly historicals'!O144</f>
        <v>NA</v>
      </c>
      <c r="AL132" s="875" t="str">
        <f>'Quarterly historicals'!P144</f>
        <v>NA</v>
      </c>
      <c r="AM132" s="875" t="str">
        <f>'Quarterly historicals'!Q144</f>
        <v>NA</v>
      </c>
      <c r="AN132" s="875" t="str">
        <f>'Quarterly historicals'!R144</f>
        <v>NA</v>
      </c>
      <c r="AO132" s="875" t="str">
        <f>'Quarterly historicals'!S144</f>
        <v>NA</v>
      </c>
      <c r="AP132" s="875" t="str">
        <f>'Quarterly historicals'!T144</f>
        <v>NA</v>
      </c>
      <c r="AQ132" s="875" t="str">
        <f>'Quarterly historicals'!U144</f>
        <v>NA</v>
      </c>
      <c r="AR132" s="875">
        <f>'Quarterly historicals'!V144</f>
        <v>-393.5</v>
      </c>
      <c r="AS132" s="875" t="str">
        <f>'Quarterly historicals'!W144</f>
        <v>NA</v>
      </c>
      <c r="AT132" s="875">
        <f>'Quarterly historicals'!X144</f>
        <v>-374.1</v>
      </c>
      <c r="AU132" s="875">
        <f>'Quarterly historicals'!Y144</f>
        <v>-462.1</v>
      </c>
      <c r="AV132" s="875">
        <f>'Quarterly historicals'!Z144</f>
        <v>-408</v>
      </c>
      <c r="AW132" s="875">
        <f>'Quarterly historicals'!AA144</f>
        <v>-405</v>
      </c>
      <c r="AX132" s="875">
        <f>'Quarterly historicals'!AB144</f>
        <v>-367</v>
      </c>
      <c r="AY132" s="875">
        <f>'Quarterly historicals'!AC144</f>
        <v>-416.9</v>
      </c>
      <c r="AZ132" s="875">
        <f>'Quarterly historicals'!AD144</f>
        <v>-378.5</v>
      </c>
      <c r="BA132" s="875">
        <f>'Quarterly historicals'!AE144</f>
        <v>-403.8</v>
      </c>
      <c r="BB132" s="875">
        <f>'Quarterly historicals'!AF144</f>
        <v>-431.5</v>
      </c>
      <c r="BC132" s="875">
        <f>'Quarterly historicals'!AG144</f>
        <v>-471.4</v>
      </c>
      <c r="BD132" s="875">
        <f>'Quarterly historicals'!AH144</f>
        <v>-444.2</v>
      </c>
      <c r="BE132" s="875">
        <f>'Quarterly historicals'!AI144</f>
        <v>-383.7</v>
      </c>
      <c r="BF132" s="875">
        <f>'Quarterly historicals'!AJ144</f>
        <v>-374.4</v>
      </c>
      <c r="BG132" s="875">
        <f>'Quarterly historicals'!AK144</f>
        <v>-398.3</v>
      </c>
      <c r="BH132" s="875">
        <f>'Quarterly historicals'!AL144</f>
        <v>-398.3</v>
      </c>
      <c r="BI132" s="875">
        <f>'Quarterly historicals'!AM144</f>
        <v>-438.8</v>
      </c>
      <c r="BJ132" s="875">
        <f>'Quarterly historicals'!AN144</f>
        <v>-485</v>
      </c>
      <c r="BK132" s="875">
        <f>'Quarterly historicals'!AO144</f>
        <v>-581.29999999999995</v>
      </c>
      <c r="BL132" s="875">
        <f>'Quarterly historicals'!AP144</f>
        <v>-470</v>
      </c>
      <c r="BM132" s="875">
        <f>'Quarterly historicals'!AQ144</f>
        <v>-495.1</v>
      </c>
      <c r="BN132" s="875">
        <f>'Quarterly historicals'!AR144</f>
        <v>-575.5</v>
      </c>
      <c r="BO132" s="875">
        <f>'Quarterly historicals'!AS144</f>
        <v>-597.1</v>
      </c>
      <c r="BP132" s="1597">
        <f>'Quarterly historicals'!AT144</f>
        <v>-501.5</v>
      </c>
    </row>
    <row r="133" spans="1:83">
      <c r="A133" s="771" t="s">
        <v>893</v>
      </c>
      <c r="B133" s="776" t="s">
        <v>972</v>
      </c>
      <c r="C133" s="776" t="s">
        <v>972</v>
      </c>
      <c r="D133" s="776" t="s">
        <v>972</v>
      </c>
      <c r="E133" s="776" t="s">
        <v>972</v>
      </c>
      <c r="F133" s="776">
        <f t="shared" ref="F133:M133" si="389">F125/F47*1000</f>
        <v>-491.00674536256315</v>
      </c>
      <c r="G133" s="776">
        <f t="shared" si="389"/>
        <v>-403.21238938053096</v>
      </c>
      <c r="H133" s="776">
        <f t="shared" si="389"/>
        <v>-749.8733509234828</v>
      </c>
      <c r="I133" s="776">
        <f t="shared" si="389"/>
        <v>-691.68292682926835</v>
      </c>
      <c r="J133" s="776">
        <f t="shared" si="389"/>
        <v>-676.73593749999998</v>
      </c>
      <c r="K133" s="776">
        <f t="shared" si="389"/>
        <v>-612.83059418457651</v>
      </c>
      <c r="L133" s="776">
        <f t="shared" si="389"/>
        <v>-833.66577896138483</v>
      </c>
      <c r="M133" s="355">
        <f t="shared" si="389"/>
        <v>-943.14992503748135</v>
      </c>
      <c r="N133" s="485">
        <f>M133*(1+Inputs!P104)</f>
        <v>-885.00779547388561</v>
      </c>
      <c r="O133" s="485">
        <f>N133*(1+Inputs!Q104)</f>
        <v>-894.44566500184544</v>
      </c>
      <c r="P133" s="485">
        <f>O133*(1+Inputs!R104)</f>
        <v>-930.49333305104676</v>
      </c>
      <c r="Q133" s="485">
        <f>P133*(1+Inputs!S104)</f>
        <v>-1028.3486212504993</v>
      </c>
      <c r="R133" s="485">
        <f>Q133*(1+Inputs!T104)</f>
        <v>-1080.2368684944267</v>
      </c>
      <c r="S133" s="485">
        <f>R133*(1+Inputs!U104)</f>
        <v>-1036.4546430827597</v>
      </c>
      <c r="T133" s="485">
        <f>S133*(1+Inputs!V104)</f>
        <v>-1006.3998057691858</v>
      </c>
      <c r="U133" s="485">
        <f>T133*(1+Inputs!W104)</f>
        <v>-966.14381353841839</v>
      </c>
      <c r="V133" s="202"/>
      <c r="W133" s="202"/>
      <c r="X133" s="1389" t="s">
        <v>972</v>
      </c>
      <c r="Y133" s="1389" t="s">
        <v>972</v>
      </c>
      <c r="Z133" s="1389" t="s">
        <v>972</v>
      </c>
      <c r="AA133" s="1389" t="s">
        <v>972</v>
      </c>
      <c r="AB133" s="875" t="str">
        <f>'Quarterly historicals'!F145</f>
        <v>NA</v>
      </c>
      <c r="AC133" s="875" t="str">
        <f>'Quarterly historicals'!G145</f>
        <v>NA</v>
      </c>
      <c r="AD133" s="875" t="str">
        <f>'Quarterly historicals'!H145</f>
        <v>NA</v>
      </c>
      <c r="AE133" s="875" t="str">
        <f>'Quarterly historicals'!I145</f>
        <v>NA</v>
      </c>
      <c r="AF133" s="875" t="str">
        <f>'Quarterly historicals'!J145</f>
        <v>NA</v>
      </c>
      <c r="AG133" s="875" t="str">
        <f>'Quarterly historicals'!K145</f>
        <v>NA</v>
      </c>
      <c r="AH133" s="875" t="str">
        <f>'Quarterly historicals'!L145</f>
        <v>NA</v>
      </c>
      <c r="AI133" s="875" t="str">
        <f>'Quarterly historicals'!M145</f>
        <v>NA</v>
      </c>
      <c r="AJ133" s="875" t="str">
        <f>'Quarterly historicals'!N145</f>
        <v>NA</v>
      </c>
      <c r="AK133" s="875" t="str">
        <f>'Quarterly historicals'!O145</f>
        <v>NA</v>
      </c>
      <c r="AL133" s="875" t="str">
        <f>'Quarterly historicals'!P145</f>
        <v>NA</v>
      </c>
      <c r="AM133" s="875" t="str">
        <f>'Quarterly historicals'!Q145</f>
        <v>NA</v>
      </c>
      <c r="AN133" s="875" t="str">
        <f>'Quarterly historicals'!R145</f>
        <v>NA</v>
      </c>
      <c r="AO133" s="875" t="str">
        <f>'Quarterly historicals'!S145</f>
        <v>NA</v>
      </c>
      <c r="AP133" s="875" t="str">
        <f>'Quarterly historicals'!T145</f>
        <v>NA</v>
      </c>
      <c r="AQ133" s="875" t="str">
        <f>'Quarterly historicals'!U145</f>
        <v>NA</v>
      </c>
      <c r="AR133" s="875">
        <f>'Quarterly historicals'!V145</f>
        <v>-532.5</v>
      </c>
      <c r="AS133" s="875" t="str">
        <f>'Quarterly historicals'!W145</f>
        <v>NA</v>
      </c>
      <c r="AT133" s="875">
        <f>'Quarterly historicals'!X145</f>
        <v>-756.2</v>
      </c>
      <c r="AU133" s="875">
        <f>'Quarterly historicals'!Y145</f>
        <v>-792</v>
      </c>
      <c r="AV133" s="875">
        <f>'Quarterly historicals'!Z145</f>
        <v>-724</v>
      </c>
      <c r="AW133" s="875">
        <f>'Quarterly historicals'!AA145</f>
        <v>-653.1</v>
      </c>
      <c r="AX133" s="875">
        <f>'Quarterly historicals'!AB145</f>
        <v>-677</v>
      </c>
      <c r="AY133" s="875">
        <f>'Quarterly historicals'!AC145</f>
        <v>-716.3</v>
      </c>
      <c r="AZ133" s="875">
        <f>'Quarterly historicals'!AD145</f>
        <v>-591.70000000000005</v>
      </c>
      <c r="BA133" s="875">
        <f>'Quarterly historicals'!AE145</f>
        <v>-636.20000000000005</v>
      </c>
      <c r="BB133" s="875">
        <f>'Quarterly historicals'!AF145</f>
        <v>-686.6</v>
      </c>
      <c r="BC133" s="875">
        <f>'Quarterly historicals'!AG145</f>
        <v>-812.3</v>
      </c>
      <c r="BD133" s="875">
        <f>'Quarterly historicals'!AH145</f>
        <v>-685.7</v>
      </c>
      <c r="BE133" s="875">
        <f>'Quarterly historicals'!AI145</f>
        <v>-617.20000000000005</v>
      </c>
      <c r="BF133" s="875">
        <f>'Quarterly historicals'!AJ145</f>
        <v>-642.29999999999995</v>
      </c>
      <c r="BG133" s="875">
        <f>'Quarterly historicals'!AK145</f>
        <v>-730.6</v>
      </c>
      <c r="BH133" s="875">
        <f>'Quarterly historicals'!AL145</f>
        <v>-730.6</v>
      </c>
      <c r="BI133" s="875">
        <f>'Quarterly historicals'!AM145</f>
        <v>-688.1</v>
      </c>
      <c r="BJ133" s="875">
        <f>'Quarterly historicals'!AN145</f>
        <v>-719</v>
      </c>
      <c r="BK133" s="875">
        <f>'Quarterly historicals'!AO145</f>
        <v>-776.6</v>
      </c>
      <c r="BL133" s="875">
        <f>'Quarterly historicals'!AP145</f>
        <v>-771.6</v>
      </c>
      <c r="BM133" s="875">
        <f>'Quarterly historicals'!AQ145</f>
        <v>-809.1</v>
      </c>
      <c r="BN133" s="875">
        <f>'Quarterly historicals'!AR145</f>
        <v>-928.9</v>
      </c>
      <c r="BO133" s="875">
        <f>'Quarterly historicals'!AS145</f>
        <v>-999.2</v>
      </c>
      <c r="BP133" s="1597">
        <f>'Quarterly historicals'!AT145</f>
        <v>-827.4</v>
      </c>
    </row>
    <row r="134" spans="1:83" s="54" customFormat="1">
      <c r="A134" s="786" t="s">
        <v>1079</v>
      </c>
      <c r="B134" s="776"/>
      <c r="C134" s="776"/>
      <c r="D134" s="776"/>
      <c r="E134" s="776"/>
      <c r="F134" s="776"/>
      <c r="G134" s="776"/>
      <c r="H134" s="776"/>
      <c r="I134" s="776"/>
      <c r="J134" s="776"/>
      <c r="K134" s="776"/>
      <c r="L134" s="776"/>
      <c r="M134" s="358"/>
      <c r="N134" s="485"/>
      <c r="O134" s="485"/>
      <c r="P134" s="485"/>
      <c r="Q134" s="485"/>
      <c r="R134" s="485"/>
      <c r="S134" s="485"/>
      <c r="T134" s="485"/>
      <c r="U134" s="485"/>
      <c r="V134" s="327"/>
      <c r="W134" s="327"/>
      <c r="X134" s="875"/>
      <c r="Y134" s="875"/>
      <c r="Z134" s="875"/>
      <c r="AA134" s="875"/>
      <c r="AB134" s="875"/>
      <c r="AC134" s="875"/>
      <c r="AD134" s="875"/>
      <c r="AE134" s="875"/>
      <c r="AF134" s="875"/>
      <c r="AG134" s="875"/>
      <c r="AH134" s="875"/>
      <c r="AI134" s="875"/>
      <c r="AJ134" s="875"/>
      <c r="AK134" s="875"/>
      <c r="AL134" s="875"/>
      <c r="AM134" s="875"/>
      <c r="AN134" s="875"/>
      <c r="AO134" s="875"/>
      <c r="AP134" s="875"/>
      <c r="AQ134" s="875"/>
      <c r="AR134" s="274"/>
      <c r="AS134" s="875"/>
      <c r="AT134" s="274"/>
      <c r="AU134" s="274"/>
      <c r="AV134" s="274"/>
      <c r="AW134" s="274"/>
      <c r="AX134" s="274"/>
      <c r="AY134" s="274"/>
      <c r="AZ134" s="274"/>
      <c r="BA134" s="274"/>
      <c r="BB134" s="274"/>
      <c r="BC134" s="274"/>
      <c r="BD134" s="274"/>
      <c r="BE134" s="274"/>
      <c r="BF134" s="274"/>
      <c r="BG134" s="327"/>
      <c r="BH134" s="327"/>
      <c r="BI134" s="327"/>
      <c r="BJ134" s="327"/>
      <c r="BK134" s="327"/>
      <c r="BL134" s="327"/>
      <c r="BM134" s="327"/>
      <c r="BN134" s="327"/>
      <c r="BO134" s="327"/>
      <c r="BP134" s="365"/>
    </row>
    <row r="135" spans="1:83">
      <c r="A135" s="771" t="s">
        <v>1080</v>
      </c>
      <c r="B135" s="776" t="s">
        <v>972</v>
      </c>
      <c r="C135" s="776" t="s">
        <v>972</v>
      </c>
      <c r="D135" s="776" t="s">
        <v>972</v>
      </c>
      <c r="E135" s="776" t="s">
        <v>972</v>
      </c>
      <c r="F135" s="1039">
        <v>0.2</v>
      </c>
      <c r="G135" s="1831">
        <f t="shared" ref="G135:M135" si="390">F135</f>
        <v>0.2</v>
      </c>
      <c r="H135" s="1831">
        <f t="shared" si="390"/>
        <v>0.2</v>
      </c>
      <c r="I135" s="1831">
        <f t="shared" si="390"/>
        <v>0.2</v>
      </c>
      <c r="J135" s="1831">
        <f t="shared" si="390"/>
        <v>0.2</v>
      </c>
      <c r="K135" s="1831">
        <f t="shared" si="390"/>
        <v>0.2</v>
      </c>
      <c r="L135" s="1831">
        <f t="shared" si="390"/>
        <v>0.2</v>
      </c>
      <c r="M135" s="1831">
        <f t="shared" si="390"/>
        <v>0.2</v>
      </c>
      <c r="N135" s="1039">
        <v>0.5</v>
      </c>
      <c r="O135" s="622">
        <f t="shared" ref="O135:U135" si="391">+N135</f>
        <v>0.5</v>
      </c>
      <c r="P135" s="622">
        <f t="shared" si="391"/>
        <v>0.5</v>
      </c>
      <c r="Q135" s="622">
        <f t="shared" si="391"/>
        <v>0.5</v>
      </c>
      <c r="R135" s="622">
        <f t="shared" si="391"/>
        <v>0.5</v>
      </c>
      <c r="S135" s="622">
        <f t="shared" si="391"/>
        <v>0.5</v>
      </c>
      <c r="T135" s="622">
        <f t="shared" si="391"/>
        <v>0.5</v>
      </c>
      <c r="U135" s="622">
        <f t="shared" si="391"/>
        <v>0.5</v>
      </c>
      <c r="V135" s="202"/>
      <c r="W135" s="202"/>
      <c r="X135" s="875"/>
      <c r="Y135" s="875"/>
      <c r="Z135" s="875"/>
      <c r="AA135" s="875"/>
      <c r="AB135" s="875"/>
      <c r="AC135" s="875"/>
      <c r="AD135" s="875"/>
      <c r="AE135" s="875"/>
      <c r="AF135" s="875"/>
      <c r="AG135" s="875"/>
      <c r="AH135" s="875"/>
      <c r="AI135" s="875"/>
      <c r="AJ135" s="1039">
        <v>0.2</v>
      </c>
      <c r="AK135" s="1772">
        <f t="shared" ref="AK135:BP135" si="392">AJ135</f>
        <v>0.2</v>
      </c>
      <c r="AL135" s="1772">
        <f t="shared" si="392"/>
        <v>0.2</v>
      </c>
      <c r="AM135" s="1772">
        <f t="shared" si="392"/>
        <v>0.2</v>
      </c>
      <c r="AN135" s="1772">
        <f t="shared" si="392"/>
        <v>0.2</v>
      </c>
      <c r="AO135" s="1772">
        <f t="shared" si="392"/>
        <v>0.2</v>
      </c>
      <c r="AP135" s="1772">
        <f t="shared" si="392"/>
        <v>0.2</v>
      </c>
      <c r="AQ135" s="1772">
        <f t="shared" si="392"/>
        <v>0.2</v>
      </c>
      <c r="AR135" s="1772">
        <f t="shared" si="392"/>
        <v>0.2</v>
      </c>
      <c r="AS135" s="1772">
        <f t="shared" si="392"/>
        <v>0.2</v>
      </c>
      <c r="AT135" s="1773">
        <f t="shared" si="392"/>
        <v>0.2</v>
      </c>
      <c r="AU135" s="1773">
        <f t="shared" si="392"/>
        <v>0.2</v>
      </c>
      <c r="AV135" s="1773">
        <f t="shared" si="392"/>
        <v>0.2</v>
      </c>
      <c r="AW135" s="1773">
        <f t="shared" si="392"/>
        <v>0.2</v>
      </c>
      <c r="AX135" s="1773">
        <f t="shared" si="392"/>
        <v>0.2</v>
      </c>
      <c r="AY135" s="1773">
        <f t="shared" si="392"/>
        <v>0.2</v>
      </c>
      <c r="AZ135" s="1773">
        <f t="shared" si="392"/>
        <v>0.2</v>
      </c>
      <c r="BA135" s="1773">
        <f t="shared" si="392"/>
        <v>0.2</v>
      </c>
      <c r="BB135" s="1773">
        <f t="shared" si="392"/>
        <v>0.2</v>
      </c>
      <c r="BC135" s="1773">
        <f t="shared" si="392"/>
        <v>0.2</v>
      </c>
      <c r="BD135" s="1773">
        <f t="shared" si="392"/>
        <v>0.2</v>
      </c>
      <c r="BE135" s="1773">
        <f t="shared" si="392"/>
        <v>0.2</v>
      </c>
      <c r="BF135" s="1773">
        <f t="shared" si="392"/>
        <v>0.2</v>
      </c>
      <c r="BG135" s="1773">
        <f t="shared" si="392"/>
        <v>0.2</v>
      </c>
      <c r="BH135" s="1773">
        <f t="shared" si="392"/>
        <v>0.2</v>
      </c>
      <c r="BI135" s="1773">
        <f t="shared" si="392"/>
        <v>0.2</v>
      </c>
      <c r="BJ135" s="1773">
        <f t="shared" si="392"/>
        <v>0.2</v>
      </c>
      <c r="BK135" s="1773">
        <f t="shared" si="392"/>
        <v>0.2</v>
      </c>
      <c r="BL135" s="1773">
        <f t="shared" si="392"/>
        <v>0.2</v>
      </c>
      <c r="BM135" s="1773">
        <f t="shared" si="392"/>
        <v>0.2</v>
      </c>
      <c r="BN135" s="1773">
        <f t="shared" si="392"/>
        <v>0.2</v>
      </c>
      <c r="BO135" s="1773">
        <f t="shared" si="392"/>
        <v>0.2</v>
      </c>
      <c r="BP135" s="1774">
        <f t="shared" si="392"/>
        <v>0.2</v>
      </c>
    </row>
    <row r="136" spans="1:83">
      <c r="A136" s="771" t="s">
        <v>1081</v>
      </c>
      <c r="B136" s="776" t="s">
        <v>972</v>
      </c>
      <c r="C136" s="776" t="s">
        <v>972</v>
      </c>
      <c r="D136" s="776" t="s">
        <v>972</v>
      </c>
      <c r="E136" s="776" t="s">
        <v>972</v>
      </c>
      <c r="F136" s="178">
        <f t="shared" ref="F136:L136" si="393">-F128/F115</f>
        <v>0.95362375883352701</v>
      </c>
      <c r="G136" s="178">
        <f t="shared" si="393"/>
        <v>0.92498279995830279</v>
      </c>
      <c r="H136" s="178">
        <f t="shared" si="393"/>
        <v>0.8914311058545239</v>
      </c>
      <c r="I136" s="178">
        <f t="shared" si="393"/>
        <v>0.86435499821154282</v>
      </c>
      <c r="J136" s="178">
        <f t="shared" si="393"/>
        <v>0.79602236307955276</v>
      </c>
      <c r="K136" s="178">
        <f t="shared" si="393"/>
        <v>0.30158826226501606</v>
      </c>
      <c r="L136" s="178">
        <f t="shared" si="393"/>
        <v>3.2904485948118664E-2</v>
      </c>
      <c r="M136" s="426">
        <f t="shared" ref="M136" si="394">-M128/M115</f>
        <v>0.22309090631349007</v>
      </c>
      <c r="N136" s="1831">
        <f>+M136</f>
        <v>0.22309090631349007</v>
      </c>
      <c r="O136" s="1831">
        <f>+N136</f>
        <v>0.22309090631349007</v>
      </c>
      <c r="P136" s="1831">
        <f t="shared" ref="P136:U136" si="395">O136</f>
        <v>0.22309090631349007</v>
      </c>
      <c r="Q136" s="1831">
        <f t="shared" si="395"/>
        <v>0.22309090631349007</v>
      </c>
      <c r="R136" s="1831">
        <f t="shared" si="395"/>
        <v>0.22309090631349007</v>
      </c>
      <c r="S136" s="1831">
        <f t="shared" si="395"/>
        <v>0.22309090631349007</v>
      </c>
      <c r="T136" s="1831">
        <f t="shared" si="395"/>
        <v>0.22309090631349007</v>
      </c>
      <c r="U136" s="1831">
        <f t="shared" si="395"/>
        <v>0.22309090631349007</v>
      </c>
      <c r="V136" s="202"/>
      <c r="W136" s="202"/>
      <c r="X136" s="274"/>
      <c r="Y136" s="274"/>
      <c r="Z136" s="274"/>
      <c r="AA136" s="274"/>
      <c r="AB136" s="274"/>
      <c r="AC136" s="274"/>
      <c r="AD136" s="274"/>
      <c r="AE136" s="274"/>
      <c r="AF136" s="274"/>
      <c r="AG136" s="274"/>
      <c r="AH136" s="274"/>
      <c r="AI136" s="274"/>
      <c r="AJ136" s="178">
        <f t="shared" ref="AJ136:BK136" si="396">-AJ128/AJ115</f>
        <v>0.98039573473228048</v>
      </c>
      <c r="AK136" s="336">
        <f t="shared" si="396"/>
        <v>1.0817807237549264</v>
      </c>
      <c r="AL136" s="336">
        <f t="shared" si="396"/>
        <v>0.97212094907407398</v>
      </c>
      <c r="AM136" s="336">
        <f t="shared" si="396"/>
        <v>0.79214659685863875</v>
      </c>
      <c r="AN136" s="336">
        <f t="shared" si="396"/>
        <v>0.80911505661960004</v>
      </c>
      <c r="AO136" s="336">
        <f t="shared" si="396"/>
        <v>0.9679430567455346</v>
      </c>
      <c r="AP136" s="336">
        <f t="shared" si="396"/>
        <v>0.91925410685215325</v>
      </c>
      <c r="AQ136" s="336">
        <f t="shared" si="396"/>
        <v>1.1425698773376236</v>
      </c>
      <c r="AR136" s="336">
        <f t="shared" si="396"/>
        <v>1.1296752519596867</v>
      </c>
      <c r="AS136" s="336">
        <f t="shared" si="396"/>
        <v>1.5716679818133996</v>
      </c>
      <c r="AT136" s="336">
        <f t="shared" si="396"/>
        <v>0.94095955857613878</v>
      </c>
      <c r="AU136" s="336">
        <f t="shared" si="396"/>
        <v>0.94338883447600386</v>
      </c>
      <c r="AV136" s="336">
        <f t="shared" si="396"/>
        <v>0.85396648776017814</v>
      </c>
      <c r="AW136" s="336">
        <f t="shared" si="396"/>
        <v>0.81696964309524855</v>
      </c>
      <c r="AX136" s="336">
        <f t="shared" si="396"/>
        <v>0.73143429000321669</v>
      </c>
      <c r="AY136" s="336">
        <f t="shared" si="396"/>
        <v>1.2290014265335238</v>
      </c>
      <c r="AZ136" s="336">
        <f t="shared" si="396"/>
        <v>0.82366900770276386</v>
      </c>
      <c r="BA136" s="336">
        <f t="shared" si="396"/>
        <v>0.9079440615261809</v>
      </c>
      <c r="BB136" s="336">
        <f t="shared" si="396"/>
        <v>0.74962271857600449</v>
      </c>
      <c r="BC136" s="336">
        <f t="shared" si="396"/>
        <v>0.51218175060397697</v>
      </c>
      <c r="BD136" s="336">
        <f t="shared" si="396"/>
        <v>0.30212682926829248</v>
      </c>
      <c r="BE136" s="336">
        <f t="shared" si="396"/>
        <v>0.41837873318017721</v>
      </c>
      <c r="BF136" s="336">
        <f t="shared" si="396"/>
        <v>0.40440745144669055</v>
      </c>
      <c r="BG136" s="178">
        <f t="shared" si="396"/>
        <v>0.69622075584883025</v>
      </c>
      <c r="BH136" s="178">
        <f t="shared" si="396"/>
        <v>0.47824341525506509</v>
      </c>
      <c r="BI136" s="178">
        <f t="shared" si="396"/>
        <v>0.83909601122469424</v>
      </c>
      <c r="BJ136" s="178">
        <f t="shared" si="396"/>
        <v>4.7621179039301209</v>
      </c>
      <c r="BK136" s="178">
        <f t="shared" si="396"/>
        <v>0.813360265473967</v>
      </c>
      <c r="BL136" s="178">
        <f t="shared" ref="BL136:BM136" si="397">-BL128/BL115</f>
        <v>2.2884429065743945</v>
      </c>
      <c r="BM136" s="178">
        <f t="shared" si="397"/>
        <v>0.61576639850168124</v>
      </c>
      <c r="BN136" s="178">
        <f t="shared" ref="BN136:BO136" si="398">-BN128/BN115</f>
        <v>0.58279648164998477</v>
      </c>
      <c r="BO136" s="178">
        <f t="shared" si="398"/>
        <v>0.31770889976436445</v>
      </c>
      <c r="BP136" s="365">
        <f t="shared" ref="BP136" si="399">-BP128/BP115</f>
        <v>0.11758191047531136</v>
      </c>
    </row>
    <row r="137" spans="1:83">
      <c r="A137" s="770"/>
      <c r="B137" s="202"/>
      <c r="C137" s="202"/>
      <c r="D137" s="202"/>
      <c r="E137" s="202"/>
      <c r="F137" s="202"/>
      <c r="G137" s="202"/>
      <c r="H137" s="202"/>
      <c r="I137" s="202"/>
      <c r="J137" s="202"/>
      <c r="K137" s="202"/>
      <c r="L137" s="202"/>
      <c r="M137" s="355"/>
      <c r="N137" s="202"/>
      <c r="O137" s="202"/>
      <c r="P137" s="202"/>
      <c r="Q137" s="202"/>
      <c r="R137" s="202"/>
      <c r="S137" s="202"/>
      <c r="T137" s="202"/>
      <c r="U137" s="202"/>
      <c r="V137" s="202"/>
      <c r="W137" s="202"/>
      <c r="X137" s="876"/>
      <c r="Y137" s="876"/>
      <c r="Z137" s="876"/>
      <c r="AA137" s="876"/>
      <c r="AB137" s="876"/>
      <c r="AC137" s="876"/>
      <c r="AD137" s="876"/>
      <c r="AE137" s="876"/>
      <c r="AF137" s="876"/>
      <c r="AG137" s="876"/>
      <c r="AH137" s="876"/>
      <c r="AI137" s="876"/>
      <c r="AJ137" s="876"/>
      <c r="AK137" s="876"/>
      <c r="AL137" s="876"/>
      <c r="AM137" s="876"/>
      <c r="AN137" s="876"/>
      <c r="AO137" s="876"/>
      <c r="AP137" s="876"/>
      <c r="AQ137" s="876"/>
      <c r="AR137" s="876"/>
      <c r="AS137" s="876"/>
      <c r="AT137" s="876"/>
      <c r="AU137" s="876"/>
      <c r="AV137" s="876"/>
      <c r="AW137" s="876"/>
      <c r="AX137" s="876"/>
      <c r="AY137" s="876"/>
      <c r="AZ137" s="876"/>
      <c r="BA137" s="876"/>
      <c r="BB137" s="876"/>
      <c r="BC137" s="876"/>
      <c r="BD137" s="876"/>
      <c r="BE137" s="876"/>
      <c r="BF137" s="876"/>
      <c r="BG137" s="202"/>
      <c r="BH137" s="202"/>
      <c r="BI137" s="202"/>
      <c r="BJ137" s="202"/>
      <c r="BK137" s="202"/>
      <c r="BL137" s="202"/>
      <c r="BM137" s="202"/>
      <c r="BN137" s="202"/>
      <c r="BO137" s="202"/>
      <c r="BP137" s="355"/>
    </row>
    <row r="138" spans="1:83">
      <c r="A138" s="770" t="s">
        <v>896</v>
      </c>
      <c r="B138" s="390">
        <f>Financials!D43</f>
        <v>435.56699999999995</v>
      </c>
      <c r="C138" s="390">
        <f>Financials!E43</f>
        <v>530.04399999999987</v>
      </c>
      <c r="D138" s="390">
        <f>Financials!F43</f>
        <v>280.0510000000001</v>
      </c>
      <c r="E138" s="390">
        <f>Financials!G43</f>
        <v>339.90799999999996</v>
      </c>
      <c r="F138" s="390">
        <f t="shared" ref="F138:U138" si="400">SUM(F139:F141)</f>
        <v>555.53399999999999</v>
      </c>
      <c r="G138" s="390">
        <f t="shared" si="400"/>
        <v>729.71100000000013</v>
      </c>
      <c r="H138" s="390">
        <f t="shared" si="400"/>
        <v>728.1790000000002</v>
      </c>
      <c r="I138" s="390">
        <f t="shared" si="400"/>
        <v>855.20900000000006</v>
      </c>
      <c r="J138" s="390">
        <f t="shared" si="400"/>
        <v>978.23900000000015</v>
      </c>
      <c r="K138" s="390">
        <f t="shared" si="400"/>
        <v>1281.1349999999998</v>
      </c>
      <c r="L138" s="390">
        <f t="shared" si="400"/>
        <v>1489.7589999999998</v>
      </c>
      <c r="M138" s="391">
        <f t="shared" ref="M138" si="401">SUM(M139:M141)</f>
        <v>1566.7600000000002</v>
      </c>
      <c r="N138" s="392">
        <f t="shared" si="400"/>
        <v>2049.2862985723186</v>
      </c>
      <c r="O138" s="392">
        <f t="shared" si="400"/>
        <v>2089.4829464816462</v>
      </c>
      <c r="P138" s="392">
        <f t="shared" si="400"/>
        <v>2279.1219106965364</v>
      </c>
      <c r="Q138" s="392">
        <f t="shared" si="400"/>
        <v>2643.8263839532997</v>
      </c>
      <c r="R138" s="392">
        <f t="shared" si="400"/>
        <v>2821.6505909302628</v>
      </c>
      <c r="S138" s="392">
        <f t="shared" si="400"/>
        <v>2609.792869868023</v>
      </c>
      <c r="T138" s="392">
        <f t="shared" si="400"/>
        <v>2493.6600146793744</v>
      </c>
      <c r="U138" s="392">
        <f t="shared" si="400"/>
        <v>3078.6976537738374</v>
      </c>
      <c r="V138" s="202"/>
      <c r="W138" s="202"/>
      <c r="X138" s="390">
        <f t="shared" ref="X138:BK138" si="402">SUM(X139:X141)</f>
        <v>163.631</v>
      </c>
      <c r="Y138" s="390">
        <f t="shared" si="402"/>
        <v>259.54000000000002</v>
      </c>
      <c r="Z138" s="390">
        <f t="shared" si="402"/>
        <v>187.602</v>
      </c>
      <c r="AA138" s="390">
        <f t="shared" si="402"/>
        <v>183.76700000000002</v>
      </c>
      <c r="AB138" s="390">
        <f t="shared" si="402"/>
        <v>174.56399999999999</v>
      </c>
      <c r="AC138" s="390">
        <f t="shared" si="402"/>
        <v>179.07199999999997</v>
      </c>
      <c r="AD138" s="390">
        <f t="shared" si="402"/>
        <v>127.286</v>
      </c>
      <c r="AE138" s="390">
        <f t="shared" si="402"/>
        <v>231.49900000000002</v>
      </c>
      <c r="AF138" s="390">
        <f t="shared" si="402"/>
        <v>92.054000000000002</v>
      </c>
      <c r="AG138" s="390">
        <f t="shared" si="402"/>
        <v>194.31400000000002</v>
      </c>
      <c r="AH138" s="390">
        <f t="shared" si="402"/>
        <v>220.81299999999999</v>
      </c>
      <c r="AI138" s="390">
        <f t="shared" si="402"/>
        <v>267.25900000000001</v>
      </c>
      <c r="AJ138" s="390">
        <f t="shared" si="402"/>
        <v>80.402000000000015</v>
      </c>
      <c r="AK138" s="475">
        <f t="shared" si="402"/>
        <v>129.11099999999999</v>
      </c>
      <c r="AL138" s="475">
        <f t="shared" si="402"/>
        <v>152.00700000000001</v>
      </c>
      <c r="AM138" s="475">
        <f t="shared" si="402"/>
        <v>190.59800000000004</v>
      </c>
      <c r="AN138" s="475">
        <f t="shared" si="402"/>
        <v>160.67699999999999</v>
      </c>
      <c r="AO138" s="475">
        <f t="shared" si="402"/>
        <v>198.494</v>
      </c>
      <c r="AP138" s="475">
        <f t="shared" si="402"/>
        <v>222.733</v>
      </c>
      <c r="AQ138" s="475">
        <f t="shared" si="402"/>
        <v>147.83799999999997</v>
      </c>
      <c r="AR138" s="475">
        <f t="shared" si="402"/>
        <v>183.20600000000002</v>
      </c>
      <c r="AS138" s="475">
        <f t="shared" si="402"/>
        <v>241.31600000000003</v>
      </c>
      <c r="AT138" s="475">
        <f t="shared" si="402"/>
        <v>194.43200000000002</v>
      </c>
      <c r="AU138" s="475">
        <f t="shared" si="402"/>
        <v>109.21499999999995</v>
      </c>
      <c r="AV138" s="475">
        <f t="shared" si="402"/>
        <v>159.55699999999999</v>
      </c>
      <c r="AW138" s="475">
        <f t="shared" si="402"/>
        <v>297.45999999999992</v>
      </c>
      <c r="AX138" s="475">
        <f t="shared" si="402"/>
        <v>201.08800000000005</v>
      </c>
      <c r="AY138" s="475">
        <f t="shared" si="402"/>
        <v>197.10599999999991</v>
      </c>
      <c r="AZ138" s="475">
        <f t="shared" si="402"/>
        <v>268.60500000000002</v>
      </c>
      <c r="BA138" s="475">
        <f t="shared" si="402"/>
        <v>304.80399999999997</v>
      </c>
      <c r="BB138" s="475">
        <f t="shared" si="402"/>
        <v>209.75600000000003</v>
      </c>
      <c r="BC138" s="475">
        <f t="shared" si="402"/>
        <v>195.08</v>
      </c>
      <c r="BD138" s="475">
        <f t="shared" si="402"/>
        <v>277.61599999999999</v>
      </c>
      <c r="BE138" s="475">
        <f t="shared" si="402"/>
        <v>309.714</v>
      </c>
      <c r="BF138" s="475">
        <f t="shared" si="402"/>
        <v>350.46100000000001</v>
      </c>
      <c r="BG138" s="390">
        <f t="shared" si="402"/>
        <v>359.90800000000013</v>
      </c>
      <c r="BH138" s="390">
        <f t="shared" si="402"/>
        <v>268.24700000000001</v>
      </c>
      <c r="BI138" s="390">
        <f t="shared" si="402"/>
        <v>427.90599999999995</v>
      </c>
      <c r="BJ138" s="390">
        <f t="shared" si="402"/>
        <v>473.154</v>
      </c>
      <c r="BK138" s="390">
        <f t="shared" si="402"/>
        <v>424.19699999999995</v>
      </c>
      <c r="BL138" s="390">
        <f t="shared" ref="BL138:BM138" si="403">SUM(BL139:BL141)</f>
        <v>415.04499999999996</v>
      </c>
      <c r="BM138" s="390">
        <f t="shared" si="403"/>
        <v>445.178</v>
      </c>
      <c r="BN138" s="390">
        <f t="shared" ref="BN138:BO138" si="404">SUM(BN139:BN141)</f>
        <v>384.67699999999991</v>
      </c>
      <c r="BO138" s="390">
        <f t="shared" si="404"/>
        <v>441.32600000000002</v>
      </c>
      <c r="BP138" s="391">
        <f t="shared" ref="BP138" si="405">SUM(BP139:BP141)</f>
        <v>533.00600000000009</v>
      </c>
    </row>
    <row r="139" spans="1:83" hidden="1" outlineLevel="1">
      <c r="A139" s="771" t="s">
        <v>54</v>
      </c>
      <c r="B139" s="776" t="s">
        <v>972</v>
      </c>
      <c r="C139" s="776" t="s">
        <v>972</v>
      </c>
      <c r="D139" s="776" t="s">
        <v>972</v>
      </c>
      <c r="E139" s="776" t="s">
        <v>972</v>
      </c>
      <c r="F139" s="202">
        <f t="shared" ref="F139:U139" si="406">F105+F124</f>
        <v>346.62100000000004</v>
      </c>
      <c r="G139" s="202">
        <f t="shared" si="406"/>
        <v>445.20699999999994</v>
      </c>
      <c r="H139" s="202">
        <f t="shared" si="406"/>
        <v>440.46500000000003</v>
      </c>
      <c r="I139" s="202">
        <f t="shared" si="406"/>
        <v>558.14400000000001</v>
      </c>
      <c r="J139" s="202">
        <f t="shared" si="406"/>
        <v>470.25900000000001</v>
      </c>
      <c r="K139" s="202">
        <f t="shared" si="406"/>
        <v>621.3599999999999</v>
      </c>
      <c r="L139" s="202">
        <f t="shared" si="406"/>
        <v>687.01</v>
      </c>
      <c r="M139" s="355">
        <f>M105+M124</f>
        <v>941.50800000000015</v>
      </c>
      <c r="N139" s="356">
        <f t="shared" si="406"/>
        <v>1256.5738933409982</v>
      </c>
      <c r="O139" s="356">
        <f t="shared" si="406"/>
        <v>1018.3694053606387</v>
      </c>
      <c r="P139" s="356">
        <f t="shared" si="406"/>
        <v>1076.3229104182169</v>
      </c>
      <c r="Q139" s="356">
        <f t="shared" si="406"/>
        <v>1410.4367686242149</v>
      </c>
      <c r="R139" s="356">
        <f t="shared" si="406"/>
        <v>1550.0955547252747</v>
      </c>
      <c r="S139" s="356">
        <f t="shared" si="406"/>
        <v>1200.8081423073472</v>
      </c>
      <c r="T139" s="356">
        <f t="shared" si="406"/>
        <v>957.22244940632231</v>
      </c>
      <c r="U139" s="356">
        <f t="shared" si="406"/>
        <v>1296.4163848741223</v>
      </c>
      <c r="V139" s="202"/>
      <c r="W139" s="202"/>
      <c r="X139" s="202">
        <f t="shared" ref="X139:BK139" si="407">X105+X124</f>
        <v>71.775999999999996</v>
      </c>
      <c r="Y139" s="202">
        <f t="shared" si="407"/>
        <v>137.715</v>
      </c>
      <c r="Z139" s="202">
        <f t="shared" si="407"/>
        <v>96.962999999999994</v>
      </c>
      <c r="AA139" s="202">
        <f t="shared" si="407"/>
        <v>103.02000000000001</v>
      </c>
      <c r="AB139" s="202">
        <f t="shared" si="407"/>
        <v>76.704000000000008</v>
      </c>
      <c r="AC139" s="202">
        <f t="shared" si="407"/>
        <v>78.24799999999999</v>
      </c>
      <c r="AD139" s="202">
        <f t="shared" si="407"/>
        <v>44.298000000000002</v>
      </c>
      <c r="AE139" s="202">
        <f t="shared" si="407"/>
        <v>74.597999999999999</v>
      </c>
      <c r="AF139" s="202">
        <f t="shared" si="407"/>
        <v>14.260999999999999</v>
      </c>
      <c r="AG139" s="202">
        <f t="shared" si="407"/>
        <v>44.432000000000002</v>
      </c>
      <c r="AH139" s="202">
        <f t="shared" si="407"/>
        <v>81.718000000000004</v>
      </c>
      <c r="AI139" s="202">
        <f t="shared" si="407"/>
        <v>88.69</v>
      </c>
      <c r="AJ139" s="202">
        <f t="shared" si="407"/>
        <v>50.196999999999996</v>
      </c>
      <c r="AK139" s="202">
        <f t="shared" si="407"/>
        <v>65.74199999999999</v>
      </c>
      <c r="AL139" s="202">
        <f t="shared" si="407"/>
        <v>77.372000000000014</v>
      </c>
      <c r="AM139" s="202">
        <f t="shared" si="407"/>
        <v>123.69300000000003</v>
      </c>
      <c r="AN139" s="202">
        <f t="shared" si="407"/>
        <v>118.339</v>
      </c>
      <c r="AO139" s="877">
        <f t="shared" si="407"/>
        <v>136.84399999999999</v>
      </c>
      <c r="AP139" s="877">
        <f t="shared" si="407"/>
        <v>124.48400000000002</v>
      </c>
      <c r="AQ139" s="878">
        <f t="shared" si="407"/>
        <v>65.539999999999964</v>
      </c>
      <c r="AR139" s="878">
        <f t="shared" si="407"/>
        <v>110.934</v>
      </c>
      <c r="AS139" s="878">
        <f t="shared" si="407"/>
        <v>71.787000000000035</v>
      </c>
      <c r="AT139" s="878">
        <f t="shared" si="407"/>
        <v>116.684</v>
      </c>
      <c r="AU139" s="878">
        <f t="shared" si="407"/>
        <v>54.75</v>
      </c>
      <c r="AV139" s="877">
        <f t="shared" si="407"/>
        <v>90.315999999999988</v>
      </c>
      <c r="AW139" s="877">
        <f t="shared" si="407"/>
        <v>239.66099999999997</v>
      </c>
      <c r="AX139" s="877">
        <f t="shared" si="407"/>
        <v>100.983</v>
      </c>
      <c r="AY139" s="877">
        <f t="shared" si="407"/>
        <v>127.19</v>
      </c>
      <c r="AZ139" s="877">
        <f t="shared" si="407"/>
        <v>131.93</v>
      </c>
      <c r="BA139" s="877">
        <f t="shared" si="407"/>
        <v>164.86700000000002</v>
      </c>
      <c r="BB139" s="274">
        <f t="shared" si="407"/>
        <v>89.284000000000006</v>
      </c>
      <c r="BC139" s="274">
        <f t="shared" si="407"/>
        <v>84.182000000000016</v>
      </c>
      <c r="BD139" s="877">
        <f t="shared" si="407"/>
        <v>99.978999999999999</v>
      </c>
      <c r="BE139" s="79">
        <f t="shared" si="407"/>
        <v>139.465</v>
      </c>
      <c r="BF139" s="79">
        <f t="shared" si="407"/>
        <v>166.45999999999998</v>
      </c>
      <c r="BG139" s="202">
        <f t="shared" si="407"/>
        <v>211.45000000000002</v>
      </c>
      <c r="BH139" s="202">
        <f t="shared" si="407"/>
        <v>102.71500000000002</v>
      </c>
      <c r="BI139" s="202">
        <f t="shared" si="407"/>
        <v>167.5</v>
      </c>
      <c r="BJ139" s="202">
        <f t="shared" si="407"/>
        <v>208.63199999999998</v>
      </c>
      <c r="BK139" s="202">
        <f t="shared" si="407"/>
        <v>181.834</v>
      </c>
      <c r="BL139" s="202">
        <f t="shared" ref="BL139:BM139" si="408">BL105+BL124</f>
        <v>232.73400000000004</v>
      </c>
      <c r="BM139" s="202">
        <f t="shared" si="408"/>
        <v>224.54899999999998</v>
      </c>
      <c r="BN139" s="202">
        <f t="shared" ref="BN139:BO139" si="409">BN105+BN124</f>
        <v>184.83399999999997</v>
      </c>
      <c r="BO139" s="202">
        <f t="shared" si="409"/>
        <v>299.39100000000008</v>
      </c>
      <c r="BP139" s="355">
        <f t="shared" ref="BP139" si="410">BP105+BP124</f>
        <v>389.59000000000003</v>
      </c>
    </row>
    <row r="140" spans="1:83" hidden="1" outlineLevel="1">
      <c r="A140" s="771" t="s">
        <v>42</v>
      </c>
      <c r="B140" s="776" t="s">
        <v>972</v>
      </c>
      <c r="C140" s="776" t="s">
        <v>972</v>
      </c>
      <c r="D140" s="776" t="s">
        <v>972</v>
      </c>
      <c r="E140" s="776" t="s">
        <v>972</v>
      </c>
      <c r="F140" s="202">
        <f t="shared" ref="F140:U140" si="411">F108+F125</f>
        <v>231.67099999999999</v>
      </c>
      <c r="G140" s="202">
        <f t="shared" si="411"/>
        <v>293.14400000000006</v>
      </c>
      <c r="H140" s="202">
        <f t="shared" si="411"/>
        <v>220.86799999999999</v>
      </c>
      <c r="I140" s="202">
        <f t="shared" si="411"/>
        <v>234.21699999999993</v>
      </c>
      <c r="J140" s="202">
        <f t="shared" si="411"/>
        <v>408.02200000000005</v>
      </c>
      <c r="K140" s="202">
        <f t="shared" si="411"/>
        <v>477.70399999999995</v>
      </c>
      <c r="L140" s="202">
        <f t="shared" si="411"/>
        <v>675.57900000000006</v>
      </c>
      <c r="M140" s="358">
        <f t="shared" ref="M140" si="412">M108+M125</f>
        <v>609.79599999999994</v>
      </c>
      <c r="N140" s="356">
        <f t="shared" si="411"/>
        <v>712.69582523132055</v>
      </c>
      <c r="O140" s="356">
        <f t="shared" si="411"/>
        <v>894.12844512100764</v>
      </c>
      <c r="P140" s="356">
        <f t="shared" si="411"/>
        <v>1006.3129139183194</v>
      </c>
      <c r="Q140" s="356">
        <f t="shared" si="411"/>
        <v>1019.1639786058847</v>
      </c>
      <c r="R140" s="356">
        <f t="shared" si="411"/>
        <v>1040.2421248534681</v>
      </c>
      <c r="S140" s="356">
        <f t="shared" si="411"/>
        <v>1161.825096840586</v>
      </c>
      <c r="T140" s="356">
        <f t="shared" si="411"/>
        <v>1275.242412657886</v>
      </c>
      <c r="U140" s="356">
        <f t="shared" si="411"/>
        <v>1509.3660060231839</v>
      </c>
      <c r="V140" s="202"/>
      <c r="W140" s="202"/>
      <c r="X140" s="202">
        <f t="shared" ref="X140:BK140" si="413">X108+X125</f>
        <v>84.448000000000008</v>
      </c>
      <c r="Y140" s="202">
        <f t="shared" si="413"/>
        <v>109.233</v>
      </c>
      <c r="Z140" s="202">
        <f t="shared" si="413"/>
        <v>81.34</v>
      </c>
      <c r="AA140" s="202">
        <f t="shared" si="413"/>
        <v>74.584999999999994</v>
      </c>
      <c r="AB140" s="202">
        <f t="shared" si="413"/>
        <v>90.308000000000007</v>
      </c>
      <c r="AC140" s="202">
        <f t="shared" si="413"/>
        <v>86.075000000000003</v>
      </c>
      <c r="AD140" s="202">
        <f t="shared" si="413"/>
        <v>76.415999999999997</v>
      </c>
      <c r="AE140" s="202">
        <f t="shared" si="413"/>
        <v>150.21600000000001</v>
      </c>
      <c r="AF140" s="202">
        <f t="shared" si="413"/>
        <v>67.823000000000008</v>
      </c>
      <c r="AG140" s="202">
        <f t="shared" si="413"/>
        <v>129.54300000000001</v>
      </c>
      <c r="AH140" s="202">
        <f t="shared" si="413"/>
        <v>118.878</v>
      </c>
      <c r="AI140" s="202">
        <f t="shared" si="413"/>
        <v>165.27799999999999</v>
      </c>
      <c r="AJ140" s="202">
        <f t="shared" si="413"/>
        <v>24.119</v>
      </c>
      <c r="AK140" s="202">
        <f t="shared" si="413"/>
        <v>45.869</v>
      </c>
      <c r="AL140" s="202">
        <f t="shared" si="413"/>
        <v>67.959999999999994</v>
      </c>
      <c r="AM140" s="202">
        <f t="shared" si="413"/>
        <v>54.649000000000015</v>
      </c>
      <c r="AN140" s="202">
        <f t="shared" si="413"/>
        <v>46.839000000000006</v>
      </c>
      <c r="AO140" s="202">
        <f t="shared" si="413"/>
        <v>55.717000000000006</v>
      </c>
      <c r="AP140" s="877">
        <f t="shared" si="413"/>
        <v>101.19099999999997</v>
      </c>
      <c r="AQ140" s="878">
        <f t="shared" si="413"/>
        <v>89.425999999999988</v>
      </c>
      <c r="AR140" s="878">
        <f t="shared" si="413"/>
        <v>66.775000000000006</v>
      </c>
      <c r="AS140" s="878">
        <f t="shared" si="413"/>
        <v>-3.2240000000000038</v>
      </c>
      <c r="AT140" s="878">
        <f t="shared" si="413"/>
        <v>69.622000000000014</v>
      </c>
      <c r="AU140" s="878">
        <f t="shared" si="413"/>
        <v>47.125999999999976</v>
      </c>
      <c r="AV140" s="877">
        <f t="shared" si="413"/>
        <v>43.497</v>
      </c>
      <c r="AW140" s="877">
        <f t="shared" si="413"/>
        <v>45.278999999999996</v>
      </c>
      <c r="AX140" s="877">
        <f t="shared" si="413"/>
        <v>79.669000000000011</v>
      </c>
      <c r="AY140" s="877">
        <f t="shared" si="413"/>
        <v>65.777999999999977</v>
      </c>
      <c r="AZ140" s="877">
        <f t="shared" si="413"/>
        <v>119.37499999999999</v>
      </c>
      <c r="BA140" s="877">
        <f t="shared" si="413"/>
        <v>115.20299999999997</v>
      </c>
      <c r="BB140" s="274">
        <f t="shared" si="413"/>
        <v>76.857000000000028</v>
      </c>
      <c r="BC140" s="274">
        <f t="shared" si="413"/>
        <v>96.586999999999989</v>
      </c>
      <c r="BD140" s="877">
        <f t="shared" si="413"/>
        <v>128.89800000000002</v>
      </c>
      <c r="BE140" s="79">
        <f t="shared" si="413"/>
        <v>86.412999999999997</v>
      </c>
      <c r="BF140" s="79">
        <f t="shared" si="413"/>
        <v>101.76600000000001</v>
      </c>
      <c r="BG140" s="202">
        <f t="shared" si="413"/>
        <v>164.62800000000001</v>
      </c>
      <c r="BH140" s="202">
        <f t="shared" si="413"/>
        <v>87.47799999999998</v>
      </c>
      <c r="BI140" s="202">
        <f t="shared" si="413"/>
        <v>156.02800000000002</v>
      </c>
      <c r="BJ140" s="202">
        <f t="shared" si="413"/>
        <v>230.59999999999997</v>
      </c>
      <c r="BK140" s="202">
        <f t="shared" si="413"/>
        <v>230.52700000000004</v>
      </c>
      <c r="BL140" s="202">
        <f t="shared" ref="BL140:BM140" si="414">BL108+BL125</f>
        <v>146.828</v>
      </c>
      <c r="BM140" s="202">
        <f t="shared" si="414"/>
        <v>155.12700000000001</v>
      </c>
      <c r="BN140" s="202">
        <f t="shared" ref="BN140:BO140" si="415">BN108+BN125</f>
        <v>182.613</v>
      </c>
      <c r="BO140" s="202">
        <f t="shared" si="415"/>
        <v>125.22699999999992</v>
      </c>
      <c r="BP140" s="355">
        <f t="shared" ref="BP140" si="416">BP108+BP125</f>
        <v>102.36700000000002</v>
      </c>
    </row>
    <row r="141" spans="1:83" hidden="1" outlineLevel="1">
      <c r="A141" s="771" t="s">
        <v>1017</v>
      </c>
      <c r="B141" s="776" t="s">
        <v>972</v>
      </c>
      <c r="C141" s="776" t="s">
        <v>972</v>
      </c>
      <c r="D141" s="776" t="s">
        <v>972</v>
      </c>
      <c r="E141" s="776" t="s">
        <v>972</v>
      </c>
      <c r="F141" s="202">
        <f t="shared" ref="F141:U141" si="417">SUM(F113:F115)+F126+F129+F120</f>
        <v>-22.758000000000031</v>
      </c>
      <c r="G141" s="202">
        <f t="shared" si="417"/>
        <v>-8.6399999999998656</v>
      </c>
      <c r="H141" s="202">
        <f t="shared" si="417"/>
        <v>66.846000000000117</v>
      </c>
      <c r="I141" s="202">
        <f t="shared" si="417"/>
        <v>62.848000000000212</v>
      </c>
      <c r="J141" s="202">
        <f t="shared" si="417"/>
        <v>99.958000000000055</v>
      </c>
      <c r="K141" s="202">
        <f t="shared" si="417"/>
        <v>182.07100000000003</v>
      </c>
      <c r="L141" s="202">
        <f t="shared" si="417"/>
        <v>127.16999999999979</v>
      </c>
      <c r="M141" s="358">
        <f t="shared" ref="M141" si="418">SUM(M113:M115)+M126+M129+M120</f>
        <v>15.456000000000046</v>
      </c>
      <c r="N141" s="356">
        <f t="shared" si="417"/>
        <v>80.016580000000019</v>
      </c>
      <c r="O141" s="356">
        <f t="shared" si="417"/>
        <v>176.98509600000003</v>
      </c>
      <c r="P141" s="356">
        <f t="shared" si="417"/>
        <v>196.48608635999994</v>
      </c>
      <c r="Q141" s="356">
        <f t="shared" si="417"/>
        <v>214.22563672320001</v>
      </c>
      <c r="R141" s="356">
        <f t="shared" si="417"/>
        <v>231.31291135152</v>
      </c>
      <c r="S141" s="356">
        <f t="shared" si="417"/>
        <v>247.15963072008961</v>
      </c>
      <c r="T141" s="356">
        <f t="shared" si="417"/>
        <v>261.19515261516614</v>
      </c>
      <c r="U141" s="356">
        <f t="shared" si="417"/>
        <v>272.91526287653124</v>
      </c>
      <c r="V141" s="202"/>
      <c r="W141" s="202"/>
      <c r="X141" s="202">
        <f t="shared" ref="X141:BK141" si="419">SUM(X113:X115)+X126+X129</f>
        <v>7.407</v>
      </c>
      <c r="Y141" s="202">
        <f t="shared" si="419"/>
        <v>12.591999999999999</v>
      </c>
      <c r="Z141" s="202">
        <f t="shared" si="419"/>
        <v>9.2989999999999995</v>
      </c>
      <c r="AA141" s="202">
        <f t="shared" si="419"/>
        <v>6.1619999999999999</v>
      </c>
      <c r="AB141" s="202">
        <f t="shared" si="419"/>
        <v>7.5519999999999996</v>
      </c>
      <c r="AC141" s="202">
        <f t="shared" si="419"/>
        <v>14.749000000000001</v>
      </c>
      <c r="AD141" s="202">
        <f t="shared" si="419"/>
        <v>6.5719999999999992</v>
      </c>
      <c r="AE141" s="202">
        <f t="shared" si="419"/>
        <v>6.6850000000000005</v>
      </c>
      <c r="AF141" s="202">
        <f t="shared" si="419"/>
        <v>9.9700000000000006</v>
      </c>
      <c r="AG141" s="202">
        <f t="shared" si="419"/>
        <v>20.338999999999999</v>
      </c>
      <c r="AH141" s="202">
        <f t="shared" si="419"/>
        <v>20.216999999999999</v>
      </c>
      <c r="AI141" s="202">
        <f t="shared" si="419"/>
        <v>13.291</v>
      </c>
      <c r="AJ141" s="202">
        <f t="shared" si="419"/>
        <v>6.0860000000000092</v>
      </c>
      <c r="AK141" s="202">
        <f t="shared" si="419"/>
        <v>17.500000000000007</v>
      </c>
      <c r="AL141" s="877">
        <f t="shared" si="419"/>
        <v>6.6750000000000007</v>
      </c>
      <c r="AM141" s="877">
        <f t="shared" si="419"/>
        <v>12.256000000000004</v>
      </c>
      <c r="AN141" s="877">
        <f t="shared" si="419"/>
        <v>-4.5009999999999994</v>
      </c>
      <c r="AO141" s="877">
        <f t="shared" si="419"/>
        <v>5.9329999999999892</v>
      </c>
      <c r="AP141" s="877">
        <f t="shared" si="419"/>
        <v>-2.9420000000000019</v>
      </c>
      <c r="AQ141" s="878">
        <f t="shared" si="419"/>
        <v>-7.1279999999999806</v>
      </c>
      <c r="AR141" s="878">
        <f t="shared" si="419"/>
        <v>5.497000000000007</v>
      </c>
      <c r="AS141" s="878">
        <f t="shared" si="419"/>
        <v>172.75300000000001</v>
      </c>
      <c r="AT141" s="878">
        <f t="shared" si="419"/>
        <v>8.1260000000000137</v>
      </c>
      <c r="AU141" s="878">
        <f t="shared" si="419"/>
        <v>7.3389999999999684</v>
      </c>
      <c r="AV141" s="877">
        <f t="shared" si="419"/>
        <v>25.743999999999989</v>
      </c>
      <c r="AW141" s="877">
        <f t="shared" si="419"/>
        <v>12.519999999999971</v>
      </c>
      <c r="AX141" s="877">
        <f t="shared" si="419"/>
        <v>20.436000000000046</v>
      </c>
      <c r="AY141" s="877">
        <f t="shared" si="419"/>
        <v>4.1379999999999519</v>
      </c>
      <c r="AZ141" s="877">
        <f t="shared" si="419"/>
        <v>17.300000000000018</v>
      </c>
      <c r="BA141" s="877">
        <f t="shared" si="419"/>
        <v>24.734000000000009</v>
      </c>
      <c r="BB141" s="274">
        <f t="shared" si="419"/>
        <v>43.615000000000023</v>
      </c>
      <c r="BC141" s="274">
        <f t="shared" si="419"/>
        <v>14.311000000000005</v>
      </c>
      <c r="BD141" s="877">
        <f t="shared" si="419"/>
        <v>48.738999999999976</v>
      </c>
      <c r="BE141" s="79">
        <f t="shared" si="419"/>
        <v>83.836000000000027</v>
      </c>
      <c r="BF141" s="79">
        <f t="shared" si="419"/>
        <v>82.234999999999999</v>
      </c>
      <c r="BG141" s="202">
        <f t="shared" si="419"/>
        <v>-16.169999999999892</v>
      </c>
      <c r="BH141" s="202">
        <f t="shared" si="419"/>
        <v>78.054000000000016</v>
      </c>
      <c r="BI141" s="202">
        <f t="shared" si="419"/>
        <v>104.37799999999996</v>
      </c>
      <c r="BJ141" s="202">
        <f t="shared" si="419"/>
        <v>33.922000000000011</v>
      </c>
      <c r="BK141" s="202">
        <f t="shared" si="419"/>
        <v>11.835999999999917</v>
      </c>
      <c r="BL141" s="202">
        <f t="shared" ref="BL141:BM141" si="420">SUM(BL113:BL115)+BL126+BL129</f>
        <v>35.482999999999976</v>
      </c>
      <c r="BM141" s="202">
        <f t="shared" si="420"/>
        <v>65.501999999999981</v>
      </c>
      <c r="BN141" s="202">
        <f t="shared" ref="BN141" si="421">SUM(BN113:BN115)+BN126+BN129</f>
        <v>17.229999999999926</v>
      </c>
      <c r="BO141" s="202">
        <f t="shared" ref="BO141:BP141" si="422">SUM(BO113:BO115)+BO126+BO129</f>
        <v>16.708000000000013</v>
      </c>
      <c r="BP141" s="355">
        <f t="shared" si="422"/>
        <v>41.049000000000021</v>
      </c>
    </row>
    <row r="142" spans="1:83" collapsed="1">
      <c r="L142" s="1401"/>
      <c r="M142" s="381"/>
      <c r="N142" s="382"/>
      <c r="O142" s="382"/>
      <c r="P142" s="382"/>
      <c r="Q142" s="382"/>
      <c r="R142" s="382"/>
      <c r="S142" s="382"/>
      <c r="T142" s="382"/>
      <c r="U142" s="382"/>
      <c r="BM142" s="1401"/>
      <c r="BN142" s="1401"/>
      <c r="BO142" s="1401"/>
      <c r="BP142" s="381"/>
    </row>
    <row r="143" spans="1:83" s="1401" customFormat="1">
      <c r="A143" s="770" t="s">
        <v>1108</v>
      </c>
      <c r="B143" s="2245">
        <f t="shared" ref="B143:F143" si="423">B138/B104</f>
        <v>0.53905339211061087</v>
      </c>
      <c r="C143" s="2245">
        <f t="shared" si="423"/>
        <v>0.64128362224996838</v>
      </c>
      <c r="D143" s="2245">
        <f t="shared" si="423"/>
        <v>0.39309872420583969</v>
      </c>
      <c r="E143" s="2245">
        <f t="shared" si="423"/>
        <v>0.43890641402917963</v>
      </c>
      <c r="F143" s="2245">
        <f t="shared" si="423"/>
        <v>0.46948373471524668</v>
      </c>
      <c r="G143" s="2245">
        <f t="shared" ref="G143:J143" si="424">G138/G104</f>
        <v>0.56346381785961119</v>
      </c>
      <c r="H143" s="2245">
        <f t="shared" si="424"/>
        <v>0.53268787628292824</v>
      </c>
      <c r="I143" s="2245">
        <f t="shared" si="424"/>
        <v>0.52275858612161474</v>
      </c>
      <c r="J143" s="2245">
        <f t="shared" si="424"/>
        <v>0.49627277579024059</v>
      </c>
      <c r="K143" s="2245">
        <f t="shared" ref="K143:L143" si="425">K138/K104</f>
        <v>0.55098741507043358</v>
      </c>
      <c r="L143" s="2245">
        <f t="shared" si="425"/>
        <v>0.54622368215051886</v>
      </c>
      <c r="M143" s="1023">
        <f t="shared" ref="M143" si="426">M138/M104</f>
        <v>0.5217521034792576</v>
      </c>
      <c r="N143" s="700">
        <f>N138/N104</f>
        <v>0.56041021645547784</v>
      </c>
      <c r="O143" s="700">
        <f t="shared" ref="O143:U143" si="427">O138/O104</f>
        <v>0.55246694900654125</v>
      </c>
      <c r="P143" s="700">
        <f t="shared" si="427"/>
        <v>0.55795395334408959</v>
      </c>
      <c r="Q143" s="700">
        <f t="shared" si="427"/>
        <v>0.56238646826180982</v>
      </c>
      <c r="R143" s="700">
        <f t="shared" si="427"/>
        <v>0.56083064606104593</v>
      </c>
      <c r="S143" s="700">
        <f t="shared" si="427"/>
        <v>0.54505166187927767</v>
      </c>
      <c r="T143" s="700">
        <f t="shared" si="427"/>
        <v>0.53448336426925269</v>
      </c>
      <c r="U143" s="700">
        <f t="shared" si="427"/>
        <v>0.58967040581556629</v>
      </c>
      <c r="AX143" s="106"/>
      <c r="BE143" s="106"/>
      <c r="BF143" s="106"/>
      <c r="BG143" s="106"/>
      <c r="BH143" s="106"/>
      <c r="BP143" s="381"/>
    </row>
    <row r="144" spans="1:83" s="1401" customFormat="1">
      <c r="A144" s="771" t="str">
        <f>A139</f>
        <v>Sugar</v>
      </c>
      <c r="B144" s="194"/>
      <c r="C144" s="194"/>
      <c r="D144" s="194"/>
      <c r="E144" s="194"/>
      <c r="F144" s="194">
        <f t="shared" ref="F144" si="428">F139/F105</f>
        <v>0.59530994258509617</v>
      </c>
      <c r="G144" s="194">
        <f t="shared" ref="G144:J144" si="429">G139/G105</f>
        <v>0.63403994730658308</v>
      </c>
      <c r="H144" s="194">
        <f t="shared" si="429"/>
        <v>0.57450432836346521</v>
      </c>
      <c r="I144" s="194">
        <f t="shared" si="429"/>
        <v>0.58731845703474383</v>
      </c>
      <c r="J144" s="194">
        <f t="shared" si="429"/>
        <v>0.53180235990202129</v>
      </c>
      <c r="K144" s="194">
        <f t="shared" ref="K144:L144" si="430">K139/K105</f>
        <v>0.57050150255199705</v>
      </c>
      <c r="L144" s="194">
        <f t="shared" si="430"/>
        <v>0.54579615962120553</v>
      </c>
      <c r="M144" s="961">
        <f t="shared" ref="M144" si="431">M139/M105</f>
        <v>0.57247405191441236</v>
      </c>
      <c r="N144" s="1644">
        <f>N139/N105</f>
        <v>0.63979065835104854</v>
      </c>
      <c r="O144" s="1644">
        <f t="shared" ref="O144:U144" si="432">O139/O105</f>
        <v>0.57278351634501423</v>
      </c>
      <c r="P144" s="1644">
        <f t="shared" si="432"/>
        <v>0.57059124886384605</v>
      </c>
      <c r="Q144" s="1644">
        <f t="shared" si="432"/>
        <v>0.60350042892929268</v>
      </c>
      <c r="R144" s="1644">
        <f t="shared" si="432"/>
        <v>0.60883918068424969</v>
      </c>
      <c r="S144" s="1644">
        <f t="shared" si="432"/>
        <v>0.55123468491874372</v>
      </c>
      <c r="T144" s="1644">
        <f t="shared" si="432"/>
        <v>0.49638639865534995</v>
      </c>
      <c r="U144" s="1644">
        <f t="shared" si="432"/>
        <v>0.57611941458523397</v>
      </c>
      <c r="AX144" s="106"/>
      <c r="BE144" s="106"/>
      <c r="BF144" s="106"/>
      <c r="BG144" s="106"/>
      <c r="BH144" s="106"/>
      <c r="BP144" s="381"/>
    </row>
    <row r="145" spans="1:99" s="1401" customFormat="1">
      <c r="A145" s="771" t="str">
        <f t="shared" ref="A145" si="433">A140</f>
        <v>Ethanol</v>
      </c>
      <c r="B145" s="194"/>
      <c r="C145" s="194"/>
      <c r="D145" s="194"/>
      <c r="E145" s="194"/>
      <c r="F145" s="194">
        <f t="shared" ref="F145" si="434">F140/F108</f>
        <v>0.44310283491253505</v>
      </c>
      <c r="G145" s="194">
        <f t="shared" ref="G145:J145" si="435">G140/G108</f>
        <v>0.56270071157231194</v>
      </c>
      <c r="H145" s="194">
        <f t="shared" si="435"/>
        <v>0.43730176015205813</v>
      </c>
      <c r="I145" s="194">
        <f t="shared" si="435"/>
        <v>0.42883848500272803</v>
      </c>
      <c r="J145" s="194">
        <f t="shared" si="435"/>
        <v>0.485086187321149</v>
      </c>
      <c r="K145" s="194">
        <f t="shared" ref="K145:L145" si="436">K140/K108</f>
        <v>0.49634008102213817</v>
      </c>
      <c r="L145" s="194">
        <f t="shared" si="436"/>
        <v>0.51901261617839356</v>
      </c>
      <c r="M145" s="961">
        <f t="shared" ref="M145" si="437">M140/M108</f>
        <v>0.49221674145213767</v>
      </c>
      <c r="N145" s="1644">
        <f>N140/N108</f>
        <v>0.47907371147576061</v>
      </c>
      <c r="O145" s="1644">
        <f t="shared" ref="O145:U145" si="438">O140/O108</f>
        <v>0.51798925907754279</v>
      </c>
      <c r="P145" s="1644">
        <f t="shared" si="438"/>
        <v>0.53143002841686016</v>
      </c>
      <c r="Q145" s="1644">
        <f t="shared" si="438"/>
        <v>0.5010086840201301</v>
      </c>
      <c r="R145" s="1644">
        <f t="shared" si="438"/>
        <v>0.4881152423738484</v>
      </c>
      <c r="S145" s="1644">
        <f t="shared" si="438"/>
        <v>0.5203731216200681</v>
      </c>
      <c r="T145" s="1644">
        <f t="shared" si="438"/>
        <v>0.54519649678958049</v>
      </c>
      <c r="U145" s="1644">
        <f t="shared" si="438"/>
        <v>0.59093422521959482</v>
      </c>
      <c r="AX145" s="106"/>
      <c r="BE145" s="106"/>
      <c r="BF145" s="106"/>
      <c r="BG145" s="106"/>
      <c r="BH145" s="106"/>
      <c r="BP145" s="381"/>
    </row>
    <row r="146" spans="1:99" s="1401" customFormat="1">
      <c r="A146" s="771" t="s">
        <v>1052</v>
      </c>
      <c r="B146" s="194"/>
      <c r="C146" s="194"/>
      <c r="D146" s="194"/>
      <c r="E146" s="194"/>
      <c r="F146" s="194">
        <f t="shared" ref="F146" si="439">1-F135</f>
        <v>0.8</v>
      </c>
      <c r="G146" s="194">
        <f t="shared" ref="G146:J146" si="440">1-G135</f>
        <v>0.8</v>
      </c>
      <c r="H146" s="194">
        <f t="shared" si="440"/>
        <v>0.8</v>
      </c>
      <c r="I146" s="194">
        <f t="shared" si="440"/>
        <v>0.8</v>
      </c>
      <c r="J146" s="194">
        <f t="shared" si="440"/>
        <v>0.8</v>
      </c>
      <c r="K146" s="194">
        <f t="shared" ref="K146:L146" si="441">1-K135</f>
        <v>0.8</v>
      </c>
      <c r="L146" s="194">
        <f t="shared" si="441"/>
        <v>0.8</v>
      </c>
      <c r="M146" s="961">
        <f t="shared" ref="M146" si="442">1-M135</f>
        <v>0.8</v>
      </c>
      <c r="N146" s="1644">
        <f>1-N135</f>
        <v>0.5</v>
      </c>
      <c r="O146" s="1644">
        <f t="shared" ref="O146:U146" si="443">1-O135</f>
        <v>0.5</v>
      </c>
      <c r="P146" s="1644">
        <f t="shared" si="443"/>
        <v>0.5</v>
      </c>
      <c r="Q146" s="1644">
        <f t="shared" si="443"/>
        <v>0.5</v>
      </c>
      <c r="R146" s="1644">
        <f t="shared" si="443"/>
        <v>0.5</v>
      </c>
      <c r="S146" s="1644">
        <f t="shared" si="443"/>
        <v>0.5</v>
      </c>
      <c r="T146" s="1644">
        <f t="shared" si="443"/>
        <v>0.5</v>
      </c>
      <c r="U146" s="1644">
        <f t="shared" si="443"/>
        <v>0.5</v>
      </c>
      <c r="AX146" s="106"/>
      <c r="BE146" s="106"/>
      <c r="BF146" s="106"/>
      <c r="BG146" s="106"/>
      <c r="BH146" s="106"/>
      <c r="BP146" s="381"/>
    </row>
    <row r="147" spans="1:99" s="1401" customFormat="1">
      <c r="A147" s="771" t="str">
        <f>A141</f>
        <v>Other (incl. bio. assets)</v>
      </c>
      <c r="B147" s="194"/>
      <c r="C147" s="194"/>
      <c r="D147" s="194"/>
      <c r="E147" s="194"/>
      <c r="F147" s="194">
        <f t="shared" ref="F147" si="444">1-(F128+F129)/(F114+F115)</f>
        <v>2.7263404597906793</v>
      </c>
      <c r="G147" s="194">
        <f t="shared" ref="G147:J147" si="445">1-(G128+G129)/(G114+G115)</f>
        <v>2.5795225685395571</v>
      </c>
      <c r="H147" s="194">
        <f t="shared" si="445"/>
        <v>1.3380898876404479</v>
      </c>
      <c r="I147" s="194">
        <f t="shared" si="445"/>
        <v>1.712567593157571</v>
      </c>
      <c r="J147" s="194">
        <f t="shared" si="445"/>
        <v>1.7736414785271699</v>
      </c>
      <c r="K147" s="194">
        <f t="shared" ref="K147:L147" si="446">1-(K128+K129)/(K114+K115)</f>
        <v>1.3827237265291275</v>
      </c>
      <c r="L147" s="194">
        <f t="shared" si="446"/>
        <v>1.0317335807137262</v>
      </c>
      <c r="M147" s="961">
        <f t="shared" ref="M147" si="447">1-(M128+M129)/(M114+M115)</f>
        <v>1.8472565473994829</v>
      </c>
      <c r="N147" s="1644">
        <f>1-(N128+N129)/(N114+N115)</f>
        <v>1.4451206783810064</v>
      </c>
      <c r="O147" s="1644">
        <f t="shared" ref="O147:U147" si="448">1-(O128+O129)/(O114+O115)</f>
        <v>1.168344245665806</v>
      </c>
      <c r="P147" s="1644">
        <f t="shared" si="448"/>
        <v>1.168344245665806</v>
      </c>
      <c r="Q147" s="1644">
        <f t="shared" si="448"/>
        <v>1.168344245665806</v>
      </c>
      <c r="R147" s="1644">
        <f t="shared" si="448"/>
        <v>1.168344245665806</v>
      </c>
      <c r="S147" s="1644">
        <f t="shared" si="448"/>
        <v>1.168344245665806</v>
      </c>
      <c r="T147" s="1644">
        <f t="shared" si="448"/>
        <v>1.168344245665806</v>
      </c>
      <c r="U147" s="1644">
        <f t="shared" si="448"/>
        <v>1.168344245665806</v>
      </c>
      <c r="AX147" s="106"/>
      <c r="BE147" s="106"/>
      <c r="BF147" s="106"/>
      <c r="BG147" s="106"/>
      <c r="BH147" s="106"/>
      <c r="BP147" s="381"/>
    </row>
    <row r="148" spans="1:99" s="1401" customFormat="1">
      <c r="A148" s="771"/>
      <c r="M148" s="381"/>
      <c r="AX148" s="106"/>
      <c r="BE148" s="106"/>
      <c r="BF148" s="106"/>
      <c r="BG148" s="106"/>
      <c r="BH148" s="106"/>
      <c r="BP148" s="381"/>
    </row>
    <row r="149" spans="1:99" s="1401" customFormat="1">
      <c r="A149" s="630" t="s">
        <v>1630</v>
      </c>
      <c r="B149" s="633">
        <f>B$4</f>
        <v>2006</v>
      </c>
      <c r="C149" s="633">
        <f t="shared" ref="C149:U149" si="449">C$4</f>
        <v>2007</v>
      </c>
      <c r="D149" s="633">
        <f t="shared" si="449"/>
        <v>2008</v>
      </c>
      <c r="E149" s="633">
        <f t="shared" si="449"/>
        <v>2009</v>
      </c>
      <c r="F149" s="633">
        <f t="shared" si="449"/>
        <v>2010</v>
      </c>
      <c r="G149" s="633">
        <f t="shared" si="449"/>
        <v>2011</v>
      </c>
      <c r="H149" s="633">
        <f t="shared" si="449"/>
        <v>2012</v>
      </c>
      <c r="I149" s="633">
        <f t="shared" si="449"/>
        <v>2013</v>
      </c>
      <c r="J149" s="633">
        <f t="shared" si="449"/>
        <v>2014</v>
      </c>
      <c r="K149" s="633">
        <f t="shared" si="449"/>
        <v>2015</v>
      </c>
      <c r="L149" s="633">
        <f t="shared" si="449"/>
        <v>2016</v>
      </c>
      <c r="M149" s="2079">
        <f t="shared" si="449"/>
        <v>2017</v>
      </c>
      <c r="N149" s="388">
        <f t="shared" si="449"/>
        <v>2018</v>
      </c>
      <c r="O149" s="388">
        <f t="shared" si="449"/>
        <v>2019</v>
      </c>
      <c r="P149" s="388">
        <f t="shared" si="449"/>
        <v>2020</v>
      </c>
      <c r="Q149" s="388">
        <f t="shared" si="449"/>
        <v>2021</v>
      </c>
      <c r="R149" s="388">
        <f t="shared" si="449"/>
        <v>2022</v>
      </c>
      <c r="S149" s="388">
        <f t="shared" si="449"/>
        <v>2023</v>
      </c>
      <c r="T149" s="388">
        <f t="shared" si="449"/>
        <v>2024</v>
      </c>
      <c r="U149" s="388">
        <f t="shared" si="449"/>
        <v>2025</v>
      </c>
      <c r="V149" s="219"/>
      <c r="W149" s="352"/>
      <c r="X149" s="352"/>
      <c r="Y149" s="352"/>
      <c r="Z149" s="352"/>
      <c r="AA149" s="352"/>
      <c r="AB149" s="352"/>
      <c r="AC149" s="352"/>
      <c r="AD149" s="352"/>
      <c r="AE149" s="352"/>
      <c r="AF149" s="352"/>
      <c r="AG149" s="352"/>
      <c r="AH149" s="352"/>
      <c r="AI149" s="352"/>
      <c r="AJ149" s="352"/>
      <c r="AK149" s="352"/>
      <c r="AL149" s="352"/>
      <c r="AM149" s="352"/>
      <c r="AN149" s="352"/>
      <c r="AO149" s="352"/>
      <c r="AP149" s="352"/>
      <c r="AQ149" s="756"/>
      <c r="AR149" s="756"/>
      <c r="AS149" s="756"/>
      <c r="AT149" s="756"/>
      <c r="AU149" s="756"/>
      <c r="AV149" s="756"/>
      <c r="AW149" s="756"/>
      <c r="AX149" s="756"/>
      <c r="AY149" s="756"/>
      <c r="AZ149" s="756"/>
      <c r="BA149" s="756"/>
      <c r="BB149" s="756"/>
      <c r="BC149" s="756"/>
      <c r="BD149" s="756"/>
      <c r="BE149" s="756"/>
      <c r="BF149" s="756"/>
      <c r="BG149" s="106"/>
      <c r="BH149" s="106"/>
      <c r="BI149" s="106"/>
      <c r="BJ149" s="106"/>
      <c r="BK149" s="106"/>
      <c r="BL149" s="106"/>
      <c r="BM149" s="106"/>
      <c r="BN149" s="106"/>
      <c r="BO149" s="106"/>
      <c r="BP149" s="381"/>
    </row>
    <row r="150" spans="1:99" s="14" customFormat="1">
      <c r="A150" s="410" t="s">
        <v>1689</v>
      </c>
      <c r="B150" s="390">
        <f t="shared" ref="B150:U150" si="450">B165+B153</f>
        <v>-108.011</v>
      </c>
      <c r="C150" s="390">
        <f t="shared" si="450"/>
        <v>-129.761</v>
      </c>
      <c r="D150" s="390">
        <f t="shared" si="450"/>
        <v>-133.84699999999998</v>
      </c>
      <c r="E150" s="390">
        <f t="shared" si="450"/>
        <v>-135.15499999999997</v>
      </c>
      <c r="F150" s="390">
        <f t="shared" si="450"/>
        <v>-154.392</v>
      </c>
      <c r="G150" s="390">
        <f t="shared" si="450"/>
        <v>-159.33500000000001</v>
      </c>
      <c r="H150" s="390">
        <f t="shared" si="450"/>
        <v>-172.07900000000001</v>
      </c>
      <c r="I150" s="390">
        <f t="shared" si="450"/>
        <v>-200.02699999999999</v>
      </c>
      <c r="J150" s="390">
        <f t="shared" si="450"/>
        <v>-228.37900000000002</v>
      </c>
      <c r="K150" s="390">
        <f t="shared" si="450"/>
        <v>-257.88499999999999</v>
      </c>
      <c r="L150" s="390">
        <f t="shared" si="450"/>
        <v>-265.12700000000001</v>
      </c>
      <c r="M150" s="363">
        <f t="shared" si="450"/>
        <v>-271.05899999999997</v>
      </c>
      <c r="N150" s="392">
        <f t="shared" si="450"/>
        <v>-290.53124576885551</v>
      </c>
      <c r="O150" s="392">
        <f t="shared" si="450"/>
        <v>-309.95804533239152</v>
      </c>
      <c r="P150" s="392">
        <f t="shared" si="450"/>
        <v>-326.75703856970108</v>
      </c>
      <c r="Q150" s="392">
        <f t="shared" si="450"/>
        <v>-345.82312765801805</v>
      </c>
      <c r="R150" s="392">
        <f t="shared" si="450"/>
        <v>-364.26914162267832</v>
      </c>
      <c r="S150" s="392">
        <f t="shared" si="450"/>
        <v>-383.70443851835552</v>
      </c>
      <c r="T150" s="392">
        <f t="shared" si="450"/>
        <v>-404.17332802563897</v>
      </c>
      <c r="U150" s="392">
        <f t="shared" si="450"/>
        <v>-425.72579279402635</v>
      </c>
      <c r="V150" s="1401"/>
      <c r="W150" s="1401"/>
      <c r="X150" s="390">
        <f t="shared" ref="X150:BP150" si="451">X165+X153</f>
        <v>-27.901</v>
      </c>
      <c r="Y150" s="390">
        <f t="shared" si="451"/>
        <v>-38.959000000000003</v>
      </c>
      <c r="Z150" s="390">
        <f t="shared" si="451"/>
        <v>-34.856999999999999</v>
      </c>
      <c r="AA150" s="390">
        <f t="shared" si="451"/>
        <v>-28.044</v>
      </c>
      <c r="AB150" s="390">
        <f t="shared" si="451"/>
        <v>-36.563000000000002</v>
      </c>
      <c r="AC150" s="390">
        <f t="shared" si="451"/>
        <v>-36.884999999999998</v>
      </c>
      <c r="AD150" s="390">
        <f t="shared" si="451"/>
        <v>-26.439</v>
      </c>
      <c r="AE150" s="390">
        <f t="shared" si="451"/>
        <v>-33.96</v>
      </c>
      <c r="AF150" s="390">
        <f t="shared" si="451"/>
        <v>-25.344000000000001</v>
      </c>
      <c r="AG150" s="390">
        <f t="shared" si="451"/>
        <v>-42.347999999999999</v>
      </c>
      <c r="AH150" s="390">
        <f t="shared" si="451"/>
        <v>-31.823999999999998</v>
      </c>
      <c r="AI150" s="390">
        <f t="shared" si="451"/>
        <v>-35.638999999999996</v>
      </c>
      <c r="AJ150" s="390">
        <f t="shared" si="451"/>
        <v>-36</v>
      </c>
      <c r="AK150" s="390">
        <f t="shared" si="451"/>
        <v>-43.323999999999998</v>
      </c>
      <c r="AL150" s="390">
        <f t="shared" si="451"/>
        <v>-31.918999999999997</v>
      </c>
      <c r="AM150" s="390">
        <f t="shared" si="451"/>
        <v>-43.148000000000003</v>
      </c>
      <c r="AN150" s="390">
        <f t="shared" si="451"/>
        <v>-35.733000000000004</v>
      </c>
      <c r="AO150" s="390">
        <f t="shared" si="451"/>
        <v>-52.78</v>
      </c>
      <c r="AP150" s="390">
        <f t="shared" si="451"/>
        <v>-43.521000000000001</v>
      </c>
      <c r="AQ150" s="390">
        <f t="shared" si="451"/>
        <v>-27.292000000000002</v>
      </c>
      <c r="AR150" s="390">
        <f t="shared" si="451"/>
        <v>-36.987000000000002</v>
      </c>
      <c r="AS150" s="390">
        <f t="shared" si="451"/>
        <v>-53.132999999999996</v>
      </c>
      <c r="AT150" s="390">
        <f t="shared" si="451"/>
        <v>-42.396999999999998</v>
      </c>
      <c r="AU150" s="390">
        <f t="shared" si="451"/>
        <v>-39.561999999999998</v>
      </c>
      <c r="AV150" s="390">
        <f t="shared" si="451"/>
        <v>-38.997</v>
      </c>
      <c r="AW150" s="390">
        <f t="shared" si="451"/>
        <v>-63.878999999999998</v>
      </c>
      <c r="AX150" s="390">
        <f t="shared" si="451"/>
        <v>-43.802999999999997</v>
      </c>
      <c r="AY150" s="390">
        <f t="shared" si="451"/>
        <v>-53.347999999999999</v>
      </c>
      <c r="AZ150" s="390">
        <f t="shared" si="451"/>
        <v>-55.304000000000002</v>
      </c>
      <c r="BA150" s="390">
        <f t="shared" si="451"/>
        <v>-73.64500000000001</v>
      </c>
      <c r="BB150" s="390">
        <f t="shared" si="451"/>
        <v>-49.156000000000006</v>
      </c>
      <c r="BC150" s="390">
        <f t="shared" si="451"/>
        <v>-50.274000000000001</v>
      </c>
      <c r="BD150" s="390">
        <f t="shared" si="451"/>
        <v>-55.22</v>
      </c>
      <c r="BE150" s="390">
        <f t="shared" si="451"/>
        <v>-58.677999999999997</v>
      </c>
      <c r="BF150" s="390">
        <f t="shared" si="451"/>
        <v>-70.905000000000001</v>
      </c>
      <c r="BG150" s="390">
        <f t="shared" si="451"/>
        <v>-73.081999999999994</v>
      </c>
      <c r="BH150" s="390">
        <f t="shared" si="451"/>
        <v>-48.082000000000001</v>
      </c>
      <c r="BI150" s="390">
        <f t="shared" si="451"/>
        <v>-69.11099999999999</v>
      </c>
      <c r="BJ150" s="390">
        <f t="shared" si="451"/>
        <v>-70.622</v>
      </c>
      <c r="BK150" s="390">
        <f t="shared" si="451"/>
        <v>-77.312999999999988</v>
      </c>
      <c r="BL150" s="390">
        <f t="shared" si="451"/>
        <v>-70.075000000000003</v>
      </c>
      <c r="BM150" s="390">
        <f t="shared" si="451"/>
        <v>-75.33</v>
      </c>
      <c r="BN150" s="390">
        <f t="shared" si="451"/>
        <v>-62.72</v>
      </c>
      <c r="BO150" s="390">
        <f t="shared" si="451"/>
        <v>-62.933999999999997</v>
      </c>
      <c r="BP150" s="391">
        <f t="shared" si="451"/>
        <v>-74.587999999999994</v>
      </c>
      <c r="BQ150" s="251"/>
      <c r="BR150" s="251"/>
      <c r="BS150" s="251"/>
      <c r="BT150" s="251"/>
      <c r="BU150" s="251"/>
      <c r="BV150" s="251"/>
      <c r="BW150" s="251"/>
      <c r="BX150" s="251"/>
      <c r="BY150" s="251"/>
      <c r="BZ150" s="251"/>
      <c r="CA150" s="251"/>
      <c r="CB150" s="251"/>
      <c r="CC150" s="251"/>
      <c r="CD150" s="251"/>
      <c r="CE150" s="251"/>
      <c r="CF150" s="251"/>
      <c r="CG150" s="251"/>
    </row>
    <row r="151" spans="1:99">
      <c r="A151" s="396" t="s">
        <v>2</v>
      </c>
      <c r="B151" s="107">
        <f>-B150/Financials!D$36</f>
        <v>0.13367334057736052</v>
      </c>
      <c r="C151" s="107">
        <f>-C150/Financials!E$36</f>
        <v>0.15699357681507303</v>
      </c>
      <c r="D151" s="107">
        <f>-D150/Financials!F$36</f>
        <v>0.18787653350551636</v>
      </c>
      <c r="E151" s="107">
        <f>-E150/Financials!G$36</f>
        <v>0.17451897686466269</v>
      </c>
      <c r="F151" s="107">
        <f>-F150/Financials!H$36</f>
        <v>0.13047733176932713</v>
      </c>
      <c r="G151" s="107">
        <f>-G150/Financials!I$36</f>
        <v>0.12303594980185759</v>
      </c>
      <c r="H151" s="107">
        <f>-H150/Financials!J$36</f>
        <v>0.1258816816509265</v>
      </c>
      <c r="I151" s="107">
        <f>-I150/Financials!K$36</f>
        <v>0.12226925557243322</v>
      </c>
      <c r="J151" s="107">
        <f>-J150/Financials!L$36</f>
        <v>0.11582906034924355</v>
      </c>
      <c r="K151" s="107">
        <f>-K150/Financials!M$36</f>
        <v>0.11091055160887715</v>
      </c>
      <c r="L151" s="107">
        <f>-L150/Financials!N$36</f>
        <v>9.7209445405277387E-2</v>
      </c>
      <c r="M151" s="469">
        <f>-M150/Financials!O$36</f>
        <v>9.0266284189655127E-2</v>
      </c>
      <c r="N151" s="407">
        <f>-N150/Financials!P$36</f>
        <v>7.9450430348279727E-2</v>
      </c>
      <c r="O151" s="407">
        <f>-O150/Financials!Q$36</f>
        <v>8.1954043182386763E-2</v>
      </c>
      <c r="P151" s="407">
        <f>-P150/Financials!R$36</f>
        <v>7.9993694324694262E-2</v>
      </c>
      <c r="Q151" s="407">
        <f>-Q150/Financials!S$36</f>
        <v>7.3562412640739108E-2</v>
      </c>
      <c r="R151" s="407">
        <f>-R150/Financials!T$36</f>
        <v>7.2402053852102355E-2</v>
      </c>
      <c r="S151" s="407">
        <f>-S150/Financials!U$36</f>
        <v>8.013614578365405E-2</v>
      </c>
      <c r="T151" s="407">
        <f>-T150/Financials!V$36</f>
        <v>8.6629259337431888E-2</v>
      </c>
      <c r="U151" s="407">
        <f>-U150/Financials!W$36</f>
        <v>8.1540290484610409E-2</v>
      </c>
      <c r="V151" s="178"/>
      <c r="W151" s="178"/>
      <c r="X151" s="178"/>
      <c r="Y151" s="178"/>
      <c r="Z151" s="178"/>
      <c r="AA151" s="178"/>
      <c r="AB151" s="178"/>
      <c r="AC151" s="178"/>
      <c r="AD151" s="178"/>
      <c r="AE151" s="178"/>
      <c r="AF151" s="178"/>
      <c r="AG151" s="178"/>
      <c r="AH151" s="178"/>
      <c r="AI151" s="178"/>
      <c r="AJ151" s="178"/>
      <c r="AK151" s="178"/>
      <c r="AL151" s="178"/>
      <c r="AM151" s="178"/>
      <c r="AN151" s="178"/>
      <c r="AO151" s="178"/>
      <c r="AP151" s="178"/>
      <c r="AQ151" s="178"/>
      <c r="AR151" s="178"/>
      <c r="AS151" s="178"/>
      <c r="AT151" s="178"/>
      <c r="AU151" s="178"/>
      <c r="AV151" s="178"/>
      <c r="AW151" s="178"/>
      <c r="AX151" s="178"/>
      <c r="AY151" s="178"/>
      <c r="AZ151" s="178"/>
      <c r="BA151" s="178"/>
      <c r="BB151" s="178"/>
      <c r="BC151" s="178"/>
      <c r="BD151" s="178"/>
      <c r="BE151" s="178"/>
      <c r="BF151" s="178"/>
      <c r="BG151" s="178"/>
      <c r="BH151" s="178"/>
      <c r="BI151" s="178"/>
      <c r="BJ151" s="178"/>
      <c r="BK151" s="178"/>
      <c r="BL151" s="178"/>
      <c r="BM151" s="178"/>
      <c r="BN151" s="178"/>
      <c r="BO151" s="178"/>
      <c r="BP151" s="426"/>
      <c r="BQ151" s="412"/>
      <c r="BR151" s="412"/>
      <c r="BS151" s="412"/>
      <c r="BT151" s="412"/>
      <c r="BU151" s="412"/>
      <c r="BV151" s="412"/>
      <c r="BW151" s="412"/>
      <c r="BX151" s="412"/>
      <c r="BY151" s="412"/>
      <c r="BZ151" s="412"/>
      <c r="CA151" s="412"/>
      <c r="CB151" s="412"/>
      <c r="CC151" s="412"/>
      <c r="CD151" s="412"/>
      <c r="CE151" s="412"/>
      <c r="CF151" s="54"/>
      <c r="CG151" s="54"/>
    </row>
    <row r="152" spans="1:99">
      <c r="B152" s="202"/>
      <c r="C152" s="202"/>
      <c r="D152" s="202"/>
      <c r="E152" s="202"/>
      <c r="F152" s="202"/>
      <c r="G152" s="202"/>
      <c r="H152" s="202"/>
      <c r="I152" s="202"/>
      <c r="J152" s="202"/>
      <c r="K152" s="202"/>
      <c r="L152" s="202"/>
      <c r="M152" s="358"/>
      <c r="N152" s="202"/>
      <c r="O152" s="202"/>
      <c r="P152" s="202"/>
      <c r="Q152" s="202"/>
      <c r="R152" s="202"/>
      <c r="S152" s="202"/>
      <c r="T152" s="202"/>
      <c r="U152" s="202"/>
      <c r="V152" s="178"/>
      <c r="W152" s="178"/>
      <c r="X152" s="178"/>
      <c r="Y152" s="178"/>
      <c r="Z152" s="178"/>
      <c r="AA152" s="178"/>
      <c r="AB152" s="178"/>
      <c r="AC152" s="178"/>
      <c r="AD152" s="178"/>
      <c r="AE152" s="178"/>
      <c r="AF152" s="178"/>
      <c r="AG152" s="178"/>
      <c r="AH152" s="178"/>
      <c r="AI152" s="178"/>
      <c r="AJ152" s="178"/>
      <c r="AK152" s="178"/>
      <c r="AL152" s="178"/>
      <c r="AM152" s="178"/>
      <c r="AN152" s="178"/>
      <c r="AO152" s="178"/>
      <c r="AP152" s="178"/>
      <c r="AQ152" s="178"/>
      <c r="AR152" s="178"/>
      <c r="AS152" s="178"/>
      <c r="AT152" s="178"/>
      <c r="AU152" s="178"/>
      <c r="AV152" s="178"/>
      <c r="AW152" s="178"/>
      <c r="AX152" s="178"/>
      <c r="AY152" s="178"/>
      <c r="AZ152" s="178"/>
      <c r="BA152" s="178"/>
      <c r="BB152" s="178"/>
      <c r="BC152" s="178"/>
      <c r="BD152" s="178"/>
      <c r="BE152" s="178"/>
      <c r="BF152" s="178"/>
      <c r="BG152" s="178"/>
      <c r="BH152" s="178"/>
      <c r="BI152" s="178"/>
      <c r="BJ152" s="178"/>
      <c r="BK152" s="178"/>
      <c r="BL152" s="178"/>
      <c r="BM152" s="178"/>
      <c r="BN152" s="178"/>
      <c r="BO152" s="178"/>
      <c r="BP152" s="426"/>
      <c r="BQ152" s="412"/>
      <c r="BR152" s="412"/>
      <c r="BS152" s="412"/>
      <c r="BT152" s="412"/>
      <c r="BU152" s="412"/>
      <c r="BV152" s="412"/>
      <c r="BW152" s="412"/>
      <c r="BX152" s="412"/>
      <c r="BY152" s="412"/>
      <c r="BZ152" s="412"/>
      <c r="CA152" s="412"/>
      <c r="CB152" s="412"/>
      <c r="CC152" s="412"/>
      <c r="CD152" s="412"/>
      <c r="CE152" s="412"/>
      <c r="CF152" s="54"/>
      <c r="CG152" s="54"/>
    </row>
    <row r="153" spans="1:99" s="14" customFormat="1">
      <c r="A153" s="399" t="s">
        <v>3</v>
      </c>
      <c r="B153" s="1013">
        <f>Financials!D51</f>
        <v>-39.162999999999997</v>
      </c>
      <c r="C153" s="1013">
        <f>Financials!E51</f>
        <v>-54.848999999999997</v>
      </c>
      <c r="D153" s="1013">
        <f>Financials!F51</f>
        <v>-42.623999999999995</v>
      </c>
      <c r="E153" s="1013">
        <f>Financials!G51</f>
        <v>-34.978999999999999</v>
      </c>
      <c r="F153" s="1013">
        <f>'Annual historicals'!K121</f>
        <v>-61.453999999999994</v>
      </c>
      <c r="G153" s="1013">
        <f>'Annual historicals'!L121</f>
        <v>-58.205000000000005</v>
      </c>
      <c r="H153" s="1013">
        <f>'Annual historicals'!M121</f>
        <v>-53.747999999999998</v>
      </c>
      <c r="I153" s="1013">
        <f>'Annual historicals'!N121</f>
        <v>-72.465999999999994</v>
      </c>
      <c r="J153" s="1013">
        <f>'Annual historicals'!O121</f>
        <v>-90.328999999999994</v>
      </c>
      <c r="K153" s="1013">
        <f>'Annual historicals'!P121</f>
        <v>-94.217999999999989</v>
      </c>
      <c r="L153" s="1013">
        <f>'Annual historicals'!Q121</f>
        <v>-109.14399999999999</v>
      </c>
      <c r="M153" s="1449">
        <f>'Annual historicals'!R121</f>
        <v>-106.82000000000001</v>
      </c>
      <c r="N153" s="392">
        <f t="shared" ref="N153:U153" si="452">SUM(N155,N158,N161)</f>
        <v>-120.36791326885553</v>
      </c>
      <c r="O153" s="392">
        <f t="shared" si="452"/>
        <v>-132.80705820239154</v>
      </c>
      <c r="P153" s="392">
        <f t="shared" si="452"/>
        <v>-142.31094000598114</v>
      </c>
      <c r="Q153" s="392">
        <f t="shared" si="452"/>
        <v>-153.76093275749434</v>
      </c>
      <c r="R153" s="392">
        <f t="shared" si="452"/>
        <v>-164.25574214653162</v>
      </c>
      <c r="S153" s="392">
        <f t="shared" si="452"/>
        <v>-175.38998146525833</v>
      </c>
      <c r="T153" s="392">
        <f t="shared" si="452"/>
        <v>-187.19256686220547</v>
      </c>
      <c r="U153" s="392">
        <f t="shared" si="452"/>
        <v>-199.69741013940182</v>
      </c>
      <c r="V153" s="1944"/>
      <c r="W153" s="472"/>
      <c r="X153" s="952">
        <f>Q_Financials!B18</f>
        <v>-9.3949999999999996</v>
      </c>
      <c r="Y153" s="952">
        <f>Q_Financials!C18</f>
        <v>-18.834</v>
      </c>
      <c r="Z153" s="952">
        <f>Q_Financials!D18</f>
        <v>-13.651999999999999</v>
      </c>
      <c r="AA153" s="952">
        <f>Q_Financials!E18</f>
        <v>-12.968</v>
      </c>
      <c r="AB153" s="952">
        <f>Q_Financials!F18</f>
        <v>-13.904</v>
      </c>
      <c r="AC153" s="952">
        <f>Q_Financials!G18</f>
        <v>-12.289</v>
      </c>
      <c r="AD153" s="952">
        <f>Q_Financials!H18</f>
        <v>-4.9489999999999998</v>
      </c>
      <c r="AE153" s="952">
        <f>Q_Financials!I18</f>
        <v>-11.481999999999999</v>
      </c>
      <c r="AF153" s="952">
        <f>Q_Financials!J18</f>
        <v>-2.87</v>
      </c>
      <c r="AG153" s="952">
        <f>Q_Financials!K18</f>
        <v>-11.409000000000001</v>
      </c>
      <c r="AH153" s="952">
        <f>Q_Financials!L18</f>
        <v>-10.706</v>
      </c>
      <c r="AI153" s="952">
        <f>Q_Financials!M18</f>
        <v>-9.9939999999999998</v>
      </c>
      <c r="AJ153" s="952">
        <f>Q_Financials!N18</f>
        <v>-14.475</v>
      </c>
      <c r="AK153" s="952">
        <f>Q_Financials!O18</f>
        <v>-19.484000000000002</v>
      </c>
      <c r="AL153" s="952">
        <f>Q_Financials!P18</f>
        <v>-13.196</v>
      </c>
      <c r="AM153" s="952">
        <f>Q_Financials!Q18</f>
        <v>-14.298</v>
      </c>
      <c r="AN153" s="952">
        <f>Q_Financials!R18</f>
        <v>-14.308</v>
      </c>
      <c r="AO153" s="952">
        <f>Q_Financials!S18</f>
        <v>-18.446000000000002</v>
      </c>
      <c r="AP153" s="952">
        <f>Q_Financials!T18</f>
        <v>-18.071999999999999</v>
      </c>
      <c r="AQ153" s="952">
        <f>Q_Financials!U18</f>
        <v>-7.37</v>
      </c>
      <c r="AR153" s="952">
        <f>Q_Financials!V18</f>
        <v>-13.406000000000001</v>
      </c>
      <c r="AS153" s="952">
        <f>Q_Financials!W18</f>
        <v>-18.710999999999999</v>
      </c>
      <c r="AT153" s="952">
        <f>Q_Financials!X18</f>
        <v>-14.119</v>
      </c>
      <c r="AU153" s="952">
        <f>Q_Financials!Y18</f>
        <v>-7.5119999999999996</v>
      </c>
      <c r="AV153" s="952">
        <f>Q_Financials!Z18</f>
        <v>-8.9779999999999998</v>
      </c>
      <c r="AW153" s="952">
        <f>Q_Financials!AA18</f>
        <v>-28.195</v>
      </c>
      <c r="AX153" s="952">
        <f>Q_Financials!AB18</f>
        <v>-17.344999999999999</v>
      </c>
      <c r="AY153" s="952">
        <f>Q_Financials!AC18</f>
        <v>-17.948</v>
      </c>
      <c r="AZ153" s="952">
        <f>Q_Financials!AD18</f>
        <v>-22.882000000000001</v>
      </c>
      <c r="BA153" s="952">
        <f>Q_Financials!AE18</f>
        <v>-33.225000000000001</v>
      </c>
      <c r="BB153" s="952">
        <f>Q_Financials!AF18</f>
        <v>-17.478000000000002</v>
      </c>
      <c r="BC153" s="952">
        <f>Q_Financials!AG18</f>
        <v>-16.744</v>
      </c>
      <c r="BD153" s="952">
        <f>Q_Financials!AH18</f>
        <v>-19.77</v>
      </c>
      <c r="BE153" s="952">
        <f>Q_Financials!AI18</f>
        <v>-23.202999999999999</v>
      </c>
      <c r="BF153" s="952">
        <f>Q_Financials!AJ18</f>
        <v>-23.195</v>
      </c>
      <c r="BG153" s="952">
        <f>Q_Financials!AK18</f>
        <v>-28.05</v>
      </c>
      <c r="BH153" s="952">
        <f>Q_Financials!AL18</f>
        <v>-14.656000000000001</v>
      </c>
      <c r="BI153" s="952">
        <f>Q_Financials!AM18</f>
        <v>-27.9</v>
      </c>
      <c r="BJ153" s="952">
        <f>Q_Financials!AN18</f>
        <v>-32.923000000000002</v>
      </c>
      <c r="BK153" s="952">
        <f>Q_Financials!AO18</f>
        <v>-33.665999999999997</v>
      </c>
      <c r="BL153" s="952">
        <f>Q_Financials!AP18</f>
        <v>-27.132000000000001</v>
      </c>
      <c r="BM153" s="952">
        <f>Q_Financials!AQ18</f>
        <v>-29.850999999999999</v>
      </c>
      <c r="BN153" s="952">
        <f>Q_Financials!AR18</f>
        <v>-21.079000000000001</v>
      </c>
      <c r="BO153" s="952">
        <f>Q_Financials!AS18</f>
        <v>-28.757999999999999</v>
      </c>
      <c r="BP153" s="967">
        <f>Q_Financials!AT18</f>
        <v>-29.013999999999999</v>
      </c>
      <c r="BQ153" s="2088">
        <f>$N153*BQ229</f>
        <v>-28.006546693717397</v>
      </c>
      <c r="BR153" s="2088">
        <f>$N153*BR229</f>
        <v>-29.724661069862506</v>
      </c>
      <c r="BS153" s="2089">
        <f>$N153-BR153-BQ153-BP153</f>
        <v>-33.622705505275633</v>
      </c>
      <c r="BT153" s="2090">
        <f>$O153*BT229</f>
        <v>-35.93222753274091</v>
      </c>
      <c r="BU153" s="2088">
        <f>$O153*BU229</f>
        <v>-30.900818796224094</v>
      </c>
      <c r="BV153" s="2088">
        <f>$O153*BV229</f>
        <v>-32.796487747810957</v>
      </c>
      <c r="BW153" s="2089">
        <f>$O153-BV153-BU153-BT153</f>
        <v>-33.177524125615577</v>
      </c>
      <c r="BX153" s="2090">
        <f>$P153*BX229</f>
        <v>-38.503594205816633</v>
      </c>
      <c r="BY153" s="2088">
        <f>$P153*BY229</f>
        <v>-33.11212995278855</v>
      </c>
      <c r="BZ153" s="2088">
        <f>$P153*BZ229</f>
        <v>-35.143455953770783</v>
      </c>
      <c r="CA153" s="2089">
        <f>$P153-BZ153-BY153-BX153</f>
        <v>-35.551759893605173</v>
      </c>
      <c r="CB153" s="2090">
        <f>$Q153*CB229</f>
        <v>-41.601499922308122</v>
      </c>
      <c r="CC153" s="2088">
        <f>$Q153*CC229</f>
        <v>-35.776251544077724</v>
      </c>
      <c r="CD153" s="2088">
        <f>$Q153*CD229</f>
        <v>-37.97101310374736</v>
      </c>
      <c r="CE153" s="2089">
        <f>$Q153-CD153-CC153-CB153</f>
        <v>-38.412168187361132</v>
      </c>
      <c r="CF153" s="2090">
        <f>$R153-CE153-CD153-CC153</f>
        <v>-52.096309311345408</v>
      </c>
      <c r="CG153" s="2088">
        <f>$R153-CF153-CE153-CD153</f>
        <v>-35.776251544077716</v>
      </c>
      <c r="CH153" s="2088">
        <f>$R153-CG153-CF153-CE153</f>
        <v>-37.971013103747353</v>
      </c>
      <c r="CI153" s="2089">
        <f>$R153-CH153-CG153-CF153</f>
        <v>-38.412168187361146</v>
      </c>
      <c r="CJ153" s="2090">
        <f>$S153-CI153-CH153-CG153</f>
        <v>-63.230548630072114</v>
      </c>
      <c r="CK153" s="2088">
        <f>$S153-CJ153-CI153-CH153</f>
        <v>-35.776251544077709</v>
      </c>
      <c r="CL153" s="2088">
        <f>$S153-CK153-CJ153-CI153</f>
        <v>-37.971013103747339</v>
      </c>
      <c r="CM153" s="2089">
        <f>$S153-CL153-CK153-CJ153</f>
        <v>-38.412168187361168</v>
      </c>
      <c r="CN153" s="2090">
        <f>$T153-CM153-CL153-CK153</f>
        <v>-75.033134027019244</v>
      </c>
      <c r="CO153" s="2088">
        <f>$T153-CN153-CM153-CL153</f>
        <v>-35.776251544077724</v>
      </c>
      <c r="CP153" s="2088">
        <f>$T153-CO153-CN153-CM153</f>
        <v>-37.971013103747332</v>
      </c>
      <c r="CQ153" s="2089">
        <f>$T153-CP153-CO153-CN153</f>
        <v>-38.412168187361161</v>
      </c>
      <c r="CR153" s="2090">
        <f>$U153-CQ153-CP153-CO153</f>
        <v>-87.537977304215616</v>
      </c>
      <c r="CS153" s="2088">
        <f>$U153-CR153-CQ153-CP153</f>
        <v>-35.776251544077716</v>
      </c>
      <c r="CT153" s="2088">
        <f>$U153-CS153-CR153-CQ153</f>
        <v>-37.971013103747325</v>
      </c>
      <c r="CU153" s="2089">
        <f>$U153-CT153-CS153-CR153</f>
        <v>-38.412168187361146</v>
      </c>
    </row>
    <row r="154" spans="1:99">
      <c r="A154" s="396" t="s">
        <v>4</v>
      </c>
      <c r="B154" s="1014">
        <f>-B153/Financials!D$36</f>
        <v>4.8467739739759562E-2</v>
      </c>
      <c r="C154" s="1014">
        <f>-C153/Financials!E$36</f>
        <v>6.6360005662178465E-2</v>
      </c>
      <c r="D154" s="1014">
        <f>-D153/Financials!F$36</f>
        <v>5.982987563515902E-2</v>
      </c>
      <c r="E154" s="1014">
        <f>-E153/Financials!G$36</f>
        <v>4.5166655260619568E-2</v>
      </c>
      <c r="F154" s="1014">
        <f>-F153/Financials!H$36</f>
        <v>5.1935035147884792E-2</v>
      </c>
      <c r="G154" s="1014">
        <f>-G153/Financials!I$36</f>
        <v>4.4944974162720815E-2</v>
      </c>
      <c r="H154" s="900">
        <f>-H153/Financials!J$36</f>
        <v>3.9318502695703694E-2</v>
      </c>
      <c r="I154" s="900">
        <f>-I153/Financials!K$36</f>
        <v>4.4295839433236242E-2</v>
      </c>
      <c r="J154" s="900">
        <f>-J153/Financials!L$36</f>
        <v>4.5812982771125277E-2</v>
      </c>
      <c r="K154" s="900">
        <f>-K153/Financials!M$36</f>
        <v>4.0521047565717998E-2</v>
      </c>
      <c r="L154" s="900">
        <f>-L153/Financials!N$36</f>
        <v>4.0017907302212122E-2</v>
      </c>
      <c r="M154" s="2084">
        <f>-M153/Financials!O$36</f>
        <v>3.5572493358047373E-2</v>
      </c>
      <c r="N154" s="407">
        <f>-N153/Financials!P$36</f>
        <v>3.2916537028665954E-2</v>
      </c>
      <c r="O154" s="407">
        <f>-O153/Financials!Q$36</f>
        <v>3.5114672926694734E-2</v>
      </c>
      <c r="P154" s="407">
        <f>-P153/Financials!R$36</f>
        <v>3.4839273497302259E-2</v>
      </c>
      <c r="Q154" s="407">
        <f>-Q153/Financials!S$36</f>
        <v>3.2707544056212248E-2</v>
      </c>
      <c r="R154" s="407">
        <f>-R153/Financials!T$36</f>
        <v>3.2647434903307855E-2</v>
      </c>
      <c r="S154" s="407">
        <f>-S153/Financials!U$36</f>
        <v>3.6629957104392374E-2</v>
      </c>
      <c r="T154" s="407">
        <f>-T153/Financials!V$36</f>
        <v>4.0122275014933352E-2</v>
      </c>
      <c r="U154" s="407">
        <f>-U153/Financials!W$36</f>
        <v>3.8248527825678155E-2</v>
      </c>
      <c r="V154" s="178"/>
      <c r="W154" s="178"/>
      <c r="X154" s="1044">
        <f t="shared" ref="X154:AL154" si="453">-X153/AF$104</f>
        <v>0.1020596606339757</v>
      </c>
      <c r="Y154" s="1044">
        <f t="shared" si="453"/>
        <v>9.6925594656072117E-2</v>
      </c>
      <c r="Z154" s="1044">
        <f t="shared" si="453"/>
        <v>6.1826070023051176E-2</v>
      </c>
      <c r="AA154" s="1044">
        <f t="shared" si="453"/>
        <v>4.8522220018783278E-2</v>
      </c>
      <c r="AB154" s="1044">
        <f t="shared" si="453"/>
        <v>6.3939371642999038E-2</v>
      </c>
      <c r="AC154" s="1044">
        <f t="shared" si="453"/>
        <v>4.2923956590533607E-2</v>
      </c>
      <c r="AD154" s="1044">
        <f t="shared" si="453"/>
        <v>1.5267293317744178E-2</v>
      </c>
      <c r="AE154" s="1044">
        <f t="shared" si="453"/>
        <v>3.2309259436431065E-2</v>
      </c>
      <c r="AF154" s="1044">
        <f t="shared" si="453"/>
        <v>1.0053173229835857E-2</v>
      </c>
      <c r="AG154" s="1044">
        <f t="shared" si="453"/>
        <v>3.3679704797047974E-2</v>
      </c>
      <c r="AH154" s="1044">
        <f t="shared" si="453"/>
        <v>2.743116586298253E-2</v>
      </c>
      <c r="AI154" s="1044">
        <f t="shared" si="453"/>
        <v>3.5621867849072203E-2</v>
      </c>
      <c r="AJ154" s="1044">
        <f t="shared" si="453"/>
        <v>4.4004183057401516E-2</v>
      </c>
      <c r="AK154" s="1044">
        <f t="shared" si="453"/>
        <v>4.8939895157502369E-2</v>
      </c>
      <c r="AL154" s="1044">
        <f t="shared" si="453"/>
        <v>3.4686426399114699E-2</v>
      </c>
      <c r="AM154" s="1044">
        <f>-AM153/AM$104</f>
        <v>4.0233216462470939E-2</v>
      </c>
      <c r="AN154" s="1044">
        <f t="shared" ref="AN154:BP154" si="454">-AN153/AV$104</f>
        <v>4.9284907272176146E-2</v>
      </c>
      <c r="AO154" s="1044">
        <f t="shared" si="454"/>
        <v>3.3727423324325219E-2</v>
      </c>
      <c r="AP154" s="1044">
        <f t="shared" si="454"/>
        <v>4.5761630321384798E-2</v>
      </c>
      <c r="AQ154" s="1044">
        <f t="shared" si="454"/>
        <v>1.8250976934925486E-2</v>
      </c>
      <c r="AR154" s="1044">
        <f t="shared" si="454"/>
        <v>2.7151447395336498E-2</v>
      </c>
      <c r="AS154" s="1044">
        <f t="shared" si="454"/>
        <v>3.0449442956318528E-2</v>
      </c>
      <c r="AT154" s="1044">
        <f t="shared" si="454"/>
        <v>3.3235878459177227E-2</v>
      </c>
      <c r="AU154" s="1044">
        <f t="shared" si="454"/>
        <v>1.7145869995412243E-2</v>
      </c>
      <c r="AV154" s="1044">
        <f t="shared" si="454"/>
        <v>1.8019645387508679E-2</v>
      </c>
      <c r="AW154" s="1044">
        <f t="shared" si="454"/>
        <v>5.5594881997669342E-2</v>
      </c>
      <c r="AX154" s="1044">
        <f t="shared" si="454"/>
        <v>2.9715250973519246E-2</v>
      </c>
      <c r="AY154" s="1044">
        <f t="shared" si="454"/>
        <v>2.5755716755996586E-2</v>
      </c>
      <c r="AZ154" s="1044">
        <f t="shared" si="454"/>
        <v>5.0722645859194893E-2</v>
      </c>
      <c r="BA154" s="1044">
        <f t="shared" si="454"/>
        <v>5.0283311842798245E-2</v>
      </c>
      <c r="BB154" s="1044">
        <f t="shared" si="454"/>
        <v>2.1791468686140764E-2</v>
      </c>
      <c r="BC154" s="1044">
        <f t="shared" si="454"/>
        <v>2.0584033851048501E-2</v>
      </c>
      <c r="BD154" s="1044">
        <f t="shared" si="454"/>
        <v>3.0821373227030512E-2</v>
      </c>
      <c r="BE154" s="1044">
        <f t="shared" si="454"/>
        <v>3.202856799738283E-2</v>
      </c>
      <c r="BF154" s="1044">
        <f t="shared" si="454"/>
        <v>3.1475387590324665E-2</v>
      </c>
      <c r="BG154" s="1044">
        <f t="shared" si="454"/>
        <v>3.1164173532784046E-2</v>
      </c>
      <c r="BH154" s="1044">
        <f t="shared" si="454"/>
        <v>1.804155120902767E-2</v>
      </c>
      <c r="BI154" s="1044">
        <f t="shared" si="454"/>
        <v>3.0435419175828558E-2</v>
      </c>
      <c r="BJ154" s="1044">
        <f t="shared" si="454"/>
        <v>3.7091713655286074E-2</v>
      </c>
      <c r="BK154" s="1044">
        <f t="shared" si="454"/>
        <v>3.2367780955839212E-2</v>
      </c>
      <c r="BL154" s="1044">
        <f t="shared" si="454"/>
        <v>2.2902015557676861E-2</v>
      </c>
      <c r="BM154" s="1044">
        <f t="shared" si="454"/>
        <v>3.1523292184643163E-2</v>
      </c>
      <c r="BN154" s="1044">
        <f t="shared" si="454"/>
        <v>2.3080515225439711E-2</v>
      </c>
      <c r="BO154" s="1044">
        <f t="shared" si="454"/>
        <v>3.9011626510175167E-2</v>
      </c>
      <c r="BP154" s="1045">
        <f t="shared" si="454"/>
        <v>2.2834685556615712E-2</v>
      </c>
      <c r="BQ154" s="412"/>
      <c r="BR154" s="412"/>
      <c r="BS154" s="412"/>
      <c r="BT154" s="412"/>
      <c r="BU154" s="412"/>
      <c r="BV154" s="412"/>
      <c r="BW154" s="412"/>
      <c r="BX154" s="412"/>
      <c r="BY154" s="412"/>
      <c r="BZ154" s="412"/>
      <c r="CA154" s="412"/>
      <c r="CB154" s="412"/>
      <c r="CC154" s="412"/>
      <c r="CD154" s="412"/>
      <c r="CE154" s="412"/>
      <c r="CF154" s="412"/>
      <c r="CG154" s="412"/>
      <c r="CH154" s="412"/>
      <c r="CI154" s="412"/>
      <c r="CJ154" s="412"/>
      <c r="CK154" s="412"/>
      <c r="CL154" s="412"/>
      <c r="CM154" s="412"/>
      <c r="CN154" s="412"/>
      <c r="CO154" s="412"/>
      <c r="CP154" s="412"/>
      <c r="CQ154" s="412"/>
      <c r="CR154" s="412"/>
      <c r="CS154" s="412"/>
      <c r="CT154" s="412"/>
      <c r="CU154" s="412"/>
    </row>
    <row r="155" spans="1:99" s="14" customFormat="1">
      <c r="A155" s="2341" t="s">
        <v>54</v>
      </c>
      <c r="B155" s="1031" t="s">
        <v>972</v>
      </c>
      <c r="C155" s="1031" t="s">
        <v>972</v>
      </c>
      <c r="D155" s="1031" t="s">
        <v>972</v>
      </c>
      <c r="E155" s="1031" t="s">
        <v>972</v>
      </c>
      <c r="F155" s="1013">
        <f>'Annual historicals'!K122</f>
        <v>-46.046999999999997</v>
      </c>
      <c r="G155" s="1013">
        <f>'Annual historicals'!L122</f>
        <v>-47.274000000000001</v>
      </c>
      <c r="H155" s="1013">
        <f>'Annual historicals'!M122</f>
        <v>-43.994999999999997</v>
      </c>
      <c r="I155" s="1013">
        <f>'Annual historicals'!N122</f>
        <v>-57.265000000000001</v>
      </c>
      <c r="J155" s="1013">
        <f>'Annual historicals'!O122</f>
        <v>-62.015000000000001</v>
      </c>
      <c r="K155" s="1013">
        <f>'Annual historicals'!P122</f>
        <v>-76.153999999999996</v>
      </c>
      <c r="L155" s="1013">
        <f>'Annual historicals'!Q122</f>
        <v>-78.983999999999995</v>
      </c>
      <c r="M155" s="1449">
        <f>'Annual historicals'!R122</f>
        <v>-86.766000000000005</v>
      </c>
      <c r="N155" s="620">
        <f t="shared" ref="N155:U155" si="455">-N$53*N156/1000</f>
        <v>-95.708337214069715</v>
      </c>
      <c r="O155" s="620">
        <f t="shared" si="455"/>
        <v>-105.83020641464459</v>
      </c>
      <c r="P155" s="620">
        <f t="shared" si="455"/>
        <v>-113.28582819105331</v>
      </c>
      <c r="Q155" s="620">
        <f t="shared" si="455"/>
        <v>-122.42561152275267</v>
      </c>
      <c r="R155" s="620">
        <f t="shared" si="455"/>
        <v>-130.76366758164579</v>
      </c>
      <c r="S155" s="620">
        <f t="shared" si="455"/>
        <v>-139.66944319877152</v>
      </c>
      <c r="T155" s="620">
        <f t="shared" si="455"/>
        <v>-149.18176530716104</v>
      </c>
      <c r="U155" s="620">
        <f t="shared" si="455"/>
        <v>-159.34193261249391</v>
      </c>
      <c r="V155" s="1401"/>
      <c r="W155" s="1401"/>
      <c r="X155" s="952" t="str">
        <f>'Quarterly historicals'!B119</f>
        <v>NA</v>
      </c>
      <c r="Y155" s="952" t="str">
        <f>'Quarterly historicals'!C119</f>
        <v>NA</v>
      </c>
      <c r="Z155" s="952" t="str">
        <f>'Quarterly historicals'!D119</f>
        <v>NA</v>
      </c>
      <c r="AA155" s="952" t="str">
        <f>'Quarterly historicals'!E119</f>
        <v>NA</v>
      </c>
      <c r="AB155" s="952" t="str">
        <f>'Quarterly historicals'!F119</f>
        <v>NA</v>
      </c>
      <c r="AC155" s="952" t="str">
        <f>'Quarterly historicals'!G119</f>
        <v>NA</v>
      </c>
      <c r="AD155" s="952" t="str">
        <f>'Quarterly historicals'!H119</f>
        <v>NA</v>
      </c>
      <c r="AE155" s="952" t="str">
        <f>'Quarterly historicals'!I119</f>
        <v>NA</v>
      </c>
      <c r="AF155" s="952" t="str">
        <f>'Quarterly historicals'!J119</f>
        <v>NA</v>
      </c>
      <c r="AG155" s="952" t="str">
        <f>'Quarterly historicals'!K119</f>
        <v>NA</v>
      </c>
      <c r="AH155" s="952" t="str">
        <f>'Quarterly historicals'!L119</f>
        <v>NA</v>
      </c>
      <c r="AI155" s="952" t="str">
        <f>'Quarterly historicals'!M119</f>
        <v>NA</v>
      </c>
      <c r="AJ155" s="952">
        <f>'Quarterly historicals'!N119</f>
        <v>-10.462999999999999</v>
      </c>
      <c r="AK155" s="952">
        <f>'Quarterly historicals'!O119</f>
        <v>-12.836</v>
      </c>
      <c r="AL155" s="952">
        <f>'Quarterly historicals'!P119</f>
        <v>-10.420999999999999</v>
      </c>
      <c r="AM155" s="952">
        <f>'Quarterly historicals'!Q119</f>
        <v>-12.326999999999998</v>
      </c>
      <c r="AN155" s="952">
        <f>'Quarterly historicals'!R119</f>
        <v>-11.446</v>
      </c>
      <c r="AO155" s="952">
        <f>'Quarterly historicals'!S119</f>
        <v>-15.459999999999999</v>
      </c>
      <c r="AP155" s="952">
        <f>'Quarterly historicals'!T119</f>
        <v>-14.920000000000002</v>
      </c>
      <c r="AQ155" s="952">
        <f>'Quarterly historicals'!U119</f>
        <v>-5.4480000000000004</v>
      </c>
      <c r="AR155" s="952">
        <f>'Quarterly historicals'!V119</f>
        <v>-12.076000000000001</v>
      </c>
      <c r="AS155" s="952">
        <f>'Quarterly historicals'!W119</f>
        <v>-16.468</v>
      </c>
      <c r="AT155" s="952">
        <f>'Quarterly historicals'!X119</f>
        <v>-10.641000000000002</v>
      </c>
      <c r="AU155" s="952">
        <f>'Quarterly historicals'!Y119</f>
        <v>-4.8099999999999952</v>
      </c>
      <c r="AV155" s="952">
        <f>'Quarterly historicals'!Z119</f>
        <v>-7.008</v>
      </c>
      <c r="AW155" s="952">
        <f>'Quarterly historicals'!AA119</f>
        <v>-25.647000000000002</v>
      </c>
      <c r="AX155" s="952">
        <f>'Quarterly historicals'!AB119</f>
        <v>-10.438000000000002</v>
      </c>
      <c r="AY155" s="952">
        <f>'Quarterly historicals'!AC119</f>
        <v>-14.171999999999997</v>
      </c>
      <c r="AZ155" s="952">
        <f>'Quarterly historicals'!AD119</f>
        <v>-15.343</v>
      </c>
      <c r="BA155" s="952">
        <f>'Quarterly historicals'!AE119</f>
        <v>-21.127999999999997</v>
      </c>
      <c r="BB155" s="952">
        <f>'Quarterly historicals'!AF119</f>
        <v>-12.511000000000003</v>
      </c>
      <c r="BC155" s="952">
        <f>'Quarterly historicals'!AG119</f>
        <v>-13.033000000000001</v>
      </c>
      <c r="BD155" s="952">
        <f>'Quarterly historicals'!AH119</f>
        <v>-13.784000000000001</v>
      </c>
      <c r="BE155" s="952">
        <f>'Quarterly historicals'!AI119</f>
        <v>-18.812000000000001</v>
      </c>
      <c r="BF155" s="952">
        <f>'Quarterly historicals'!AJ119</f>
        <v>-20.071999999999999</v>
      </c>
      <c r="BG155" s="952">
        <f>'Quarterly historicals'!AK119</f>
        <v>-23.48599999999999</v>
      </c>
      <c r="BH155" s="952">
        <f>'Quarterly historicals'!AL119</f>
        <v>-11.651999999999999</v>
      </c>
      <c r="BI155" s="952">
        <f>'Quarterly historicals'!AM119</f>
        <v>-16.081</v>
      </c>
      <c r="BJ155" s="952">
        <f>'Quarterly historicals'!AN119</f>
        <v>-22.859000000000002</v>
      </c>
      <c r="BK155" s="952">
        <f>'Quarterly historicals'!AO119</f>
        <v>-28.391999999999996</v>
      </c>
      <c r="BL155" s="952">
        <f>'Quarterly historicals'!AP119</f>
        <v>-21.581</v>
      </c>
      <c r="BM155" s="952">
        <f>'Quarterly historicals'!AQ119</f>
        <v>-23.808</v>
      </c>
      <c r="BN155" s="952">
        <f>'Quarterly historicals'!AR119</f>
        <v>-17.507999999999999</v>
      </c>
      <c r="BO155" s="952">
        <f>'Quarterly historicals'!AS119</f>
        <v>-23.869000000000014</v>
      </c>
      <c r="BP155" s="967">
        <f>'Quarterly historicals'!AT119</f>
        <v>-21.581</v>
      </c>
      <c r="BQ155" s="2342"/>
      <c r="BR155" s="2342"/>
      <c r="BS155" s="2342"/>
      <c r="BT155" s="2342"/>
      <c r="BU155" s="2342"/>
      <c r="BV155" s="2342"/>
      <c r="BW155" s="2342"/>
      <c r="BX155" s="2342"/>
      <c r="BY155" s="2342"/>
      <c r="BZ155" s="2342"/>
      <c r="CA155" s="2342"/>
      <c r="CB155" s="2342"/>
      <c r="CC155" s="2342"/>
      <c r="CD155" s="2342"/>
      <c r="CE155" s="2342"/>
      <c r="CF155" s="2342"/>
      <c r="CG155" s="2342"/>
      <c r="CH155" s="2342"/>
      <c r="CI155" s="2342"/>
      <c r="CJ155" s="2342"/>
      <c r="CK155" s="2342"/>
      <c r="CL155" s="2342"/>
      <c r="CM155" s="2342"/>
      <c r="CN155" s="2342"/>
      <c r="CO155" s="2342"/>
      <c r="CP155" s="2342"/>
      <c r="CQ155" s="2342"/>
      <c r="CR155" s="2342"/>
      <c r="CS155" s="2342"/>
      <c r="CT155" s="2342"/>
      <c r="CU155" s="2342"/>
    </row>
    <row r="156" spans="1:99" s="61" customFormat="1">
      <c r="A156" s="2095" t="s">
        <v>1047</v>
      </c>
      <c r="B156" s="1015" t="s">
        <v>972</v>
      </c>
      <c r="C156" s="1015" t="s">
        <v>972</v>
      </c>
      <c r="D156" s="1015" t="s">
        <v>972</v>
      </c>
      <c r="E156" s="1015" t="s">
        <v>972</v>
      </c>
      <c r="F156" s="1016">
        <f t="shared" ref="F156:L156" si="456">-F155*1000/F$53</f>
        <v>56.244045437889334</v>
      </c>
      <c r="G156" s="1016">
        <f t="shared" si="456"/>
        <v>56.534321932552018</v>
      </c>
      <c r="H156" s="1016">
        <f t="shared" si="456"/>
        <v>53.288517441860463</v>
      </c>
      <c r="I156" s="1016">
        <f t="shared" si="456"/>
        <v>58.661135013316944</v>
      </c>
      <c r="J156" s="1016">
        <f t="shared" si="456"/>
        <v>62.565577078288939</v>
      </c>
      <c r="K156" s="1016">
        <f t="shared" si="456"/>
        <v>64.69628748619489</v>
      </c>
      <c r="L156" s="1016">
        <f t="shared" si="456"/>
        <v>65.765195670274764</v>
      </c>
      <c r="M156" s="2086">
        <f t="shared" ref="M156" si="457">-M155*1000/M$53</f>
        <v>66.047042703813659</v>
      </c>
      <c r="N156" s="2096">
        <f>+M156*(1+Inputs!P144)</f>
        <v>68.606365608586444</v>
      </c>
      <c r="O156" s="2096">
        <f>+N156*(1+Inputs!Q144)</f>
        <v>71.62504569536425</v>
      </c>
      <c r="P156" s="2096">
        <f>+O156*(1+Inputs!R144)</f>
        <v>74.776547705960283</v>
      </c>
      <c r="Q156" s="2096">
        <f>+P156*(1+Inputs!S144)</f>
        <v>78.06671580502254</v>
      </c>
      <c r="R156" s="2096">
        <f>+Q156*(1+Inputs!T144)</f>
        <v>81.501651300443541</v>
      </c>
      <c r="S156" s="2096">
        <f>+R156*(1+Inputs!U144)</f>
        <v>85.087723957663059</v>
      </c>
      <c r="T156" s="2096">
        <f>+S156*(1+Inputs!V144)</f>
        <v>88.831583811800243</v>
      </c>
      <c r="U156" s="2096">
        <f>+T156*(1+Inputs!W144)</f>
        <v>92.740173499519457</v>
      </c>
      <c r="V156" s="1401"/>
      <c r="X156" s="1042" t="str">
        <f t="shared" ref="X156:BP156" si="458">IFERROR(-X155*1000/X53,"NA")</f>
        <v>NA</v>
      </c>
      <c r="Y156" s="1042" t="str">
        <f t="shared" si="458"/>
        <v>NA</v>
      </c>
      <c r="Z156" s="1042" t="str">
        <f t="shared" si="458"/>
        <v>NA</v>
      </c>
      <c r="AA156" s="1042" t="str">
        <f t="shared" si="458"/>
        <v>NA</v>
      </c>
      <c r="AB156" s="1042" t="str">
        <f t="shared" si="458"/>
        <v>NA</v>
      </c>
      <c r="AC156" s="1042" t="str">
        <f t="shared" si="458"/>
        <v>NA</v>
      </c>
      <c r="AD156" s="1042" t="str">
        <f t="shared" si="458"/>
        <v>NA</v>
      </c>
      <c r="AE156" s="1042" t="str">
        <f t="shared" si="458"/>
        <v>NA</v>
      </c>
      <c r="AF156" s="1042" t="str">
        <f t="shared" si="458"/>
        <v>NA</v>
      </c>
      <c r="AG156" s="1042" t="str">
        <f t="shared" si="458"/>
        <v>NA</v>
      </c>
      <c r="AH156" s="1042" t="str">
        <f t="shared" si="458"/>
        <v>NA</v>
      </c>
      <c r="AI156" s="1042" t="str">
        <f t="shared" si="458"/>
        <v>NA</v>
      </c>
      <c r="AJ156" s="1042">
        <f t="shared" si="458"/>
        <v>60.760743321718934</v>
      </c>
      <c r="AK156" s="1042">
        <f t="shared" si="458"/>
        <v>56.248904469763367</v>
      </c>
      <c r="AL156" s="1042">
        <f t="shared" si="458"/>
        <v>54.106957424714437</v>
      </c>
      <c r="AM156" s="1042">
        <f t="shared" si="458"/>
        <v>54.616747895436411</v>
      </c>
      <c r="AN156" s="1042">
        <f t="shared" si="458"/>
        <v>52.625287356321842</v>
      </c>
      <c r="AO156" s="1042">
        <f t="shared" si="458"/>
        <v>57.259259259259252</v>
      </c>
      <c r="AP156" s="1042">
        <f t="shared" si="458"/>
        <v>64.841373315949596</v>
      </c>
      <c r="AQ156" s="1042">
        <f t="shared" si="458"/>
        <v>45.974683544303801</v>
      </c>
      <c r="AR156" s="1042">
        <f t="shared" si="458"/>
        <v>55.041020966271645</v>
      </c>
      <c r="AS156" s="1042">
        <f t="shared" si="458"/>
        <v>55.354621848739498</v>
      </c>
      <c r="AT156" s="1042">
        <f t="shared" si="458"/>
        <v>53.742424242424249</v>
      </c>
      <c r="AU156" s="1042">
        <f t="shared" si="458"/>
        <v>43.411552346570353</v>
      </c>
      <c r="AV156" s="1042">
        <f t="shared" si="458"/>
        <v>51.529411764705884</v>
      </c>
      <c r="AW156" s="1042">
        <f t="shared" si="458"/>
        <v>61.91936262675037</v>
      </c>
      <c r="AX156" s="1042">
        <f t="shared" si="458"/>
        <v>60.02300172512939</v>
      </c>
      <c r="AY156" s="1042">
        <f t="shared" si="458"/>
        <v>56.17122473246134</v>
      </c>
      <c r="AZ156" s="1042">
        <f t="shared" si="458"/>
        <v>59.746884735202478</v>
      </c>
      <c r="BA156" s="1042">
        <f t="shared" si="458"/>
        <v>65.029239766081858</v>
      </c>
      <c r="BB156" s="1042">
        <f t="shared" si="458"/>
        <v>67.408405172413808</v>
      </c>
      <c r="BC156" s="1042">
        <f t="shared" si="458"/>
        <v>58.209021884769996</v>
      </c>
      <c r="BD156" s="1042">
        <f t="shared" si="458"/>
        <v>58.931167165455321</v>
      </c>
      <c r="BE156" s="1042">
        <f t="shared" si="458"/>
        <v>65.433043478260871</v>
      </c>
      <c r="BF156" s="1042">
        <f t="shared" si="458"/>
        <v>63.358585858585855</v>
      </c>
      <c r="BG156" s="1042">
        <f t="shared" si="458"/>
        <v>69.300678666273214</v>
      </c>
      <c r="BH156" s="1042">
        <f t="shared" si="458"/>
        <v>57.455621301775146</v>
      </c>
      <c r="BI156" s="1042">
        <f t="shared" si="458"/>
        <v>57.57608306480487</v>
      </c>
      <c r="BJ156" s="1042">
        <f t="shared" si="458"/>
        <v>64.156609598652821</v>
      </c>
      <c r="BK156" s="1042">
        <f t="shared" si="458"/>
        <v>78.301158301158296</v>
      </c>
      <c r="BL156" s="1042">
        <f t="shared" si="458"/>
        <v>65.575812822850196</v>
      </c>
      <c r="BM156" s="1042">
        <f t="shared" si="458"/>
        <v>72.718387293830176</v>
      </c>
      <c r="BN156" s="1042">
        <f t="shared" si="458"/>
        <v>61.778405081157366</v>
      </c>
      <c r="BO156" s="1042">
        <f t="shared" si="458"/>
        <v>63.855002675227432</v>
      </c>
      <c r="BP156" s="1445">
        <f t="shared" si="458"/>
        <v>58.013440860215056</v>
      </c>
      <c r="BQ156" s="1608"/>
      <c r="BR156" s="1608"/>
      <c r="BS156" s="1608"/>
      <c r="BT156" s="1608"/>
      <c r="BU156" s="1608"/>
      <c r="BV156" s="1608"/>
      <c r="BW156" s="1608"/>
      <c r="BX156" s="1608"/>
      <c r="BY156" s="1608"/>
      <c r="BZ156" s="1608"/>
      <c r="CA156" s="1608"/>
      <c r="CB156" s="1608"/>
      <c r="CC156" s="1608"/>
      <c r="CD156" s="1608"/>
      <c r="CE156" s="1608"/>
      <c r="CF156" s="1608"/>
      <c r="CG156" s="1608"/>
      <c r="CH156" s="1608"/>
      <c r="CI156" s="1608"/>
      <c r="CJ156" s="1608"/>
      <c r="CK156" s="1608"/>
      <c r="CL156" s="1608"/>
      <c r="CM156" s="1608"/>
      <c r="CN156" s="1608"/>
      <c r="CO156" s="1608"/>
      <c r="CP156" s="1608"/>
      <c r="CQ156" s="1608"/>
      <c r="CR156" s="1608"/>
      <c r="CS156" s="1608"/>
      <c r="CT156" s="1608"/>
      <c r="CU156" s="1608"/>
    </row>
    <row r="157" spans="1:99" s="1401" customFormat="1">
      <c r="A157" s="2095" t="s">
        <v>1629</v>
      </c>
      <c r="B157" s="1015" t="s">
        <v>972</v>
      </c>
      <c r="C157" s="1015" t="s">
        <v>972</v>
      </c>
      <c r="D157" s="1015" t="s">
        <v>972</v>
      </c>
      <c r="E157" s="1015" t="s">
        <v>972</v>
      </c>
      <c r="F157" s="1015" t="s">
        <v>972</v>
      </c>
      <c r="G157" s="900">
        <f t="shared" ref="G157" si="459">+G156/F156-1</f>
        <v>5.161017355752584E-3</v>
      </c>
      <c r="H157" s="900">
        <f t="shared" ref="H157" si="460">+H156/G156-1</f>
        <v>-5.7412990546945042E-2</v>
      </c>
      <c r="I157" s="900">
        <f t="shared" ref="I157" si="461">+I156/H156-1</f>
        <v>0.10082129939753304</v>
      </c>
      <c r="J157" s="900">
        <f t="shared" ref="J157" si="462">+J156/I156-1</f>
        <v>6.6559265586757288E-2</v>
      </c>
      <c r="K157" s="900">
        <f t="shared" ref="K157" si="463">+K156/J156-1</f>
        <v>3.4055634222629694E-2</v>
      </c>
      <c r="L157" s="900">
        <f t="shared" ref="L157" si="464">+L156/K156-1</f>
        <v>1.6521940061985152E-2</v>
      </c>
      <c r="M157" s="2084">
        <f t="shared" ref="M157" si="465">+M156/L156-1</f>
        <v>4.2856564276336773E-3</v>
      </c>
      <c r="N157" s="407">
        <f t="shared" ref="N157" si="466">+N156/M156-1</f>
        <v>3.8750000000000062E-2</v>
      </c>
      <c r="O157" s="407">
        <f t="shared" ref="O157" si="467">+O156/N156-1</f>
        <v>4.4000000000000039E-2</v>
      </c>
      <c r="P157" s="407">
        <f t="shared" ref="P157" si="468">+P156/O156-1</f>
        <v>4.4000000000000039E-2</v>
      </c>
      <c r="Q157" s="407">
        <f t="shared" ref="Q157" si="469">+Q156/P156-1</f>
        <v>4.4000000000000039E-2</v>
      </c>
      <c r="R157" s="407">
        <f t="shared" ref="R157" si="470">+R156/Q156-1</f>
        <v>4.4000000000000039E-2</v>
      </c>
      <c r="S157" s="407">
        <f t="shared" ref="S157" si="471">+S156/R156-1</f>
        <v>4.4000000000000039E-2</v>
      </c>
      <c r="T157" s="407">
        <f t="shared" ref="T157" si="472">+T156/S156-1</f>
        <v>4.4000000000000039E-2</v>
      </c>
      <c r="U157" s="407">
        <f>+U156/T156-1</f>
        <v>4.4000000000000039E-2</v>
      </c>
      <c r="V157" s="178"/>
      <c r="W157" s="178"/>
      <c r="X157" s="1042"/>
      <c r="Y157" s="1042"/>
      <c r="Z157" s="1042"/>
      <c r="AA157" s="1042"/>
      <c r="AB157" s="1042"/>
      <c r="AC157" s="1042"/>
      <c r="AD157" s="1042"/>
      <c r="AE157" s="1042"/>
      <c r="AF157" s="1042"/>
      <c r="AG157" s="1042"/>
      <c r="AH157" s="1042"/>
      <c r="AI157" s="1042"/>
      <c r="AJ157" s="1042"/>
      <c r="AK157" s="1042"/>
      <c r="AL157" s="1042"/>
      <c r="AM157" s="1042"/>
      <c r="AN157" s="1042"/>
      <c r="AO157" s="1042"/>
      <c r="AP157" s="1042"/>
      <c r="AQ157" s="1042"/>
      <c r="AR157" s="1042"/>
      <c r="AS157" s="1042"/>
      <c r="AT157" s="1042"/>
      <c r="AU157" s="1042"/>
      <c r="AV157" s="1042"/>
      <c r="AW157" s="1042"/>
      <c r="AX157" s="1042"/>
      <c r="AY157" s="1042"/>
      <c r="AZ157" s="1042"/>
      <c r="BA157" s="1042"/>
      <c r="BB157" s="1042"/>
      <c r="BC157" s="1042"/>
      <c r="BD157" s="1042"/>
      <c r="BE157" s="1016"/>
      <c r="BF157" s="1016"/>
      <c r="BG157" s="1016"/>
      <c r="BH157" s="1016"/>
      <c r="BI157" s="1016"/>
      <c r="BJ157" s="1016"/>
      <c r="BK157" s="1016"/>
      <c r="BL157" s="1016"/>
      <c r="BM157" s="1016"/>
      <c r="BN157" s="1016"/>
      <c r="BO157" s="1016"/>
      <c r="BP157" s="1446"/>
      <c r="BQ157" s="412"/>
      <c r="BR157" s="412"/>
      <c r="BS157" s="466"/>
      <c r="BT157" s="466"/>
      <c r="BU157" s="466"/>
      <c r="BV157" s="466"/>
      <c r="BW157" s="466"/>
      <c r="BX157" s="466"/>
      <c r="BY157" s="466"/>
      <c r="BZ157" s="466"/>
      <c r="CA157" s="466"/>
      <c r="CB157" s="466"/>
      <c r="CC157" s="466"/>
      <c r="CD157" s="466"/>
      <c r="CE157" s="466"/>
      <c r="CF157" s="197"/>
      <c r="CG157" s="197"/>
    </row>
    <row r="158" spans="1:99" s="14" customFormat="1">
      <c r="A158" s="2341" t="s">
        <v>42</v>
      </c>
      <c r="B158" s="1031" t="s">
        <v>972</v>
      </c>
      <c r="C158" s="1031" t="s">
        <v>972</v>
      </c>
      <c r="D158" s="1031" t="s">
        <v>972</v>
      </c>
      <c r="E158" s="1031" t="s">
        <v>972</v>
      </c>
      <c r="F158" s="1013">
        <f>'Annual historicals'!K123</f>
        <v>-15.086</v>
      </c>
      <c r="G158" s="1013">
        <f>'Annual historicals'!L123</f>
        <v>-10.776999999999999</v>
      </c>
      <c r="H158" s="1013">
        <f>'Annual historicals'!M123</f>
        <v>-6.73</v>
      </c>
      <c r="I158" s="1013">
        <f>'Annual historicals'!N123</f>
        <v>-11.923999999999999</v>
      </c>
      <c r="J158" s="1013">
        <f>'Annual historicals'!O123</f>
        <v>-22.943000000000001</v>
      </c>
      <c r="K158" s="1013">
        <f>'Annual historicals'!P123</f>
        <v>-12.297000000000001</v>
      </c>
      <c r="L158" s="1013">
        <f>'Annual historicals'!Q123</f>
        <v>-24.277000000000001</v>
      </c>
      <c r="M158" s="1449">
        <f>'Annual historicals'!R123</f>
        <v>-12.832000000000001</v>
      </c>
      <c r="N158" s="620">
        <f t="shared" ref="N158:U158" si="473">-N$56*N159/1000</f>
        <v>-16.786679163008213</v>
      </c>
      <c r="O158" s="620">
        <f t="shared" si="473"/>
        <v>-18.680635722070711</v>
      </c>
      <c r="P158" s="620">
        <f t="shared" si="473"/>
        <v>-19.986866201818316</v>
      </c>
      <c r="Q158" s="620">
        <f t="shared" si="473"/>
        <v>-21.600142149015138</v>
      </c>
      <c r="R158" s="620">
        <f t="shared" si="473"/>
        <v>-23.071211812292205</v>
      </c>
      <c r="S158" s="620">
        <f t="shared" si="473"/>
        <v>-24.642500760643916</v>
      </c>
      <c r="T158" s="620">
        <f t="shared" si="473"/>
        <v>-26.320801811145795</v>
      </c>
      <c r="U158" s="620">
        <f t="shared" si="473"/>
        <v>-28.11340529362008</v>
      </c>
      <c r="V158" s="1401"/>
      <c r="W158" s="1401"/>
      <c r="X158" s="952" t="str">
        <f>'Quarterly historicals'!B120</f>
        <v>NA</v>
      </c>
      <c r="Y158" s="952" t="str">
        <f>'Quarterly historicals'!C120</f>
        <v>NA</v>
      </c>
      <c r="Z158" s="952" t="str">
        <f>'Quarterly historicals'!D120</f>
        <v>NA</v>
      </c>
      <c r="AA158" s="952" t="str">
        <f>'Quarterly historicals'!E120</f>
        <v>NA</v>
      </c>
      <c r="AB158" s="952" t="str">
        <f>'Quarterly historicals'!F120</f>
        <v>NA</v>
      </c>
      <c r="AC158" s="952" t="str">
        <f>'Quarterly historicals'!G120</f>
        <v>NA</v>
      </c>
      <c r="AD158" s="952" t="str">
        <f>'Quarterly historicals'!H120</f>
        <v>NA</v>
      </c>
      <c r="AE158" s="952" t="str">
        <f>'Quarterly historicals'!I120</f>
        <v>NA</v>
      </c>
      <c r="AF158" s="952" t="str">
        <f>'Quarterly historicals'!J120</f>
        <v>NA</v>
      </c>
      <c r="AG158" s="952" t="str">
        <f>'Quarterly historicals'!K120</f>
        <v>NA</v>
      </c>
      <c r="AH158" s="952" t="str">
        <f>'Quarterly historicals'!L120</f>
        <v>NA</v>
      </c>
      <c r="AI158" s="952" t="str">
        <f>'Quarterly historicals'!M120</f>
        <v>NA</v>
      </c>
      <c r="AJ158" s="952">
        <f>'Quarterly historicals'!N120</f>
        <v>-3.976</v>
      </c>
      <c r="AK158" s="952">
        <f>'Quarterly historicals'!O120</f>
        <v>-6.5529999999999999</v>
      </c>
      <c r="AL158" s="952">
        <f>'Quarterly historicals'!P120</f>
        <v>-2.6449999999999996</v>
      </c>
      <c r="AM158" s="952">
        <f>'Quarterly historicals'!Q120</f>
        <v>-1.9120000000000008</v>
      </c>
      <c r="AN158" s="952">
        <f>'Quarterly historicals'!R120</f>
        <v>-2.7810000000000001</v>
      </c>
      <c r="AO158" s="952">
        <f>'Quarterly historicals'!S120</f>
        <v>-2.9629999999999996</v>
      </c>
      <c r="AP158" s="952">
        <f>'Quarterly historicals'!T120</f>
        <v>-3.1500000000000004</v>
      </c>
      <c r="AQ158" s="952">
        <f>'Quarterly historicals'!U120</f>
        <v>-1.8829999999999991</v>
      </c>
      <c r="AR158" s="952">
        <f>'Quarterly historicals'!V120</f>
        <v>-0.83599999999999997</v>
      </c>
      <c r="AS158" s="952">
        <f>'Quarterly historicals'!W120</f>
        <v>-1.496</v>
      </c>
      <c r="AT158" s="952">
        <f>'Quarterly historicals'!X120</f>
        <v>-2.5040000000000004</v>
      </c>
      <c r="AU158" s="952">
        <f>'Quarterly historicals'!Y120</f>
        <v>-1.8940000000000001</v>
      </c>
      <c r="AV158" s="952">
        <f>'Quarterly historicals'!Z120</f>
        <v>-1.19</v>
      </c>
      <c r="AW158" s="952">
        <f>'Quarterly historicals'!AA120</f>
        <v>-1.7320000000000002</v>
      </c>
      <c r="AX158" s="952">
        <f>'Quarterly historicals'!AB120</f>
        <v>-6.1019999999999985</v>
      </c>
      <c r="AY158" s="952">
        <f>'Quarterly historicals'!AC120</f>
        <v>-2.9000000000000004</v>
      </c>
      <c r="AZ158" s="952">
        <f>'Quarterly historicals'!AD120</f>
        <v>-6.6150000000000002</v>
      </c>
      <c r="BA158" s="952">
        <f>'Quarterly historicals'!AE120</f>
        <v>-11.173</v>
      </c>
      <c r="BB158" s="952">
        <f>'Quarterly historicals'!AF120</f>
        <v>-3.9839999999999982</v>
      </c>
      <c r="BC158" s="952">
        <f>'Quarterly historicals'!AG120</f>
        <v>-1.1710000000000029</v>
      </c>
      <c r="BD158" s="952">
        <f>'Quarterly historicals'!AH120</f>
        <v>-4.7590000000000003</v>
      </c>
      <c r="BE158" s="952">
        <f>'Quarterly historicals'!AI120</f>
        <v>-2.8969999999999998</v>
      </c>
      <c r="BF158" s="952">
        <f>'Quarterly historicals'!AJ120</f>
        <v>-1.5669999999999999</v>
      </c>
      <c r="BG158" s="952">
        <f>'Quarterly historicals'!AK120</f>
        <v>-3.0739999999999998</v>
      </c>
      <c r="BH158" s="952">
        <f>'Quarterly historicals'!AL120</f>
        <v>-1.39</v>
      </c>
      <c r="BI158" s="952">
        <f>'Quarterly historicals'!AM120</f>
        <v>-10.31</v>
      </c>
      <c r="BJ158" s="952">
        <f>'Quarterly historicals'!AN120</f>
        <v>-8.7129999999999992</v>
      </c>
      <c r="BK158" s="952">
        <f>'Quarterly historicals'!AO120</f>
        <v>-3.8640000000000008</v>
      </c>
      <c r="BL158" s="952">
        <f>'Quarterly historicals'!AP120</f>
        <v>-1.9610000000000001</v>
      </c>
      <c r="BM158" s="952">
        <f>'Quarterly historicals'!AQ120</f>
        <v>-4.6310000000000002</v>
      </c>
      <c r="BN158" s="952">
        <f>'Quarterly historicals'!AR120</f>
        <v>-1.5780000000000001</v>
      </c>
      <c r="BO158" s="952">
        <f>'Quarterly historicals'!AS120</f>
        <v>-4.6620000000000008</v>
      </c>
      <c r="BP158" s="967">
        <f>'Quarterly historicals'!AT120</f>
        <v>-4.1210000000000004</v>
      </c>
      <c r="BQ158" s="2342"/>
      <c r="BR158" s="2342"/>
      <c r="BS158" s="2342"/>
      <c r="BT158" s="2342"/>
      <c r="BU158" s="2342"/>
      <c r="BV158" s="2342"/>
      <c r="BW158" s="2342"/>
      <c r="BX158" s="2342"/>
      <c r="BY158" s="2342"/>
      <c r="BZ158" s="2342"/>
      <c r="CA158" s="2342"/>
      <c r="CB158" s="2342"/>
      <c r="CC158" s="2342"/>
      <c r="CD158" s="2342"/>
      <c r="CE158" s="2342"/>
      <c r="CF158" s="2342"/>
      <c r="CG158" s="2342"/>
      <c r="CH158" s="2342"/>
      <c r="CI158" s="2342"/>
      <c r="CJ158" s="2342"/>
      <c r="CK158" s="2342"/>
      <c r="CL158" s="2342"/>
      <c r="CM158" s="2342"/>
      <c r="CN158" s="2342"/>
      <c r="CO158" s="2342"/>
      <c r="CP158" s="2342"/>
      <c r="CQ158" s="2342"/>
      <c r="CR158" s="2342"/>
      <c r="CS158" s="2342"/>
      <c r="CT158" s="2342"/>
      <c r="CU158" s="2342"/>
    </row>
    <row r="159" spans="1:99">
      <c r="A159" s="2095" t="s">
        <v>1048</v>
      </c>
      <c r="B159" s="1015" t="s">
        <v>972</v>
      </c>
      <c r="C159" s="1015" t="s">
        <v>972</v>
      </c>
      <c r="D159" s="1015" t="s">
        <v>972</v>
      </c>
      <c r="E159" s="1015" t="s">
        <v>972</v>
      </c>
      <c r="F159" s="1016">
        <f t="shared" ref="F159:L159" si="474">-F158*1000/F$56</f>
        <v>24.755497210370859</v>
      </c>
      <c r="G159" s="1016">
        <f t="shared" si="474"/>
        <v>20.57857552033607</v>
      </c>
      <c r="H159" s="1016">
        <f t="shared" si="474"/>
        <v>16.76631788739412</v>
      </c>
      <c r="I159" s="1016">
        <f t="shared" si="474"/>
        <v>26.450754214729368</v>
      </c>
      <c r="J159" s="1016">
        <f t="shared" si="474"/>
        <v>35.927027873473222</v>
      </c>
      <c r="K159" s="1016">
        <f t="shared" si="474"/>
        <v>17.237174095878892</v>
      </c>
      <c r="L159" s="1016">
        <f t="shared" si="474"/>
        <v>30.53710691823899</v>
      </c>
      <c r="M159" s="2086">
        <f t="shared" ref="M159" si="475">-M158*1000/M$56</f>
        <v>18.373424971363118</v>
      </c>
      <c r="N159" s="2096">
        <f>+M159*(1+Inputs!P144)</f>
        <v>19.085395189003439</v>
      </c>
      <c r="O159" s="2096">
        <f>+N159*(1+Inputs!Q144)</f>
        <v>19.92515257731959</v>
      </c>
      <c r="P159" s="2096">
        <f>+O159*(1+Inputs!R144)</f>
        <v>20.801859290721652</v>
      </c>
      <c r="Q159" s="2096">
        <f>+P159*(1+Inputs!S144)</f>
        <v>21.717141099513405</v>
      </c>
      <c r="R159" s="2096">
        <f>+Q159*(1+Inputs!T144)</f>
        <v>22.672695307891995</v>
      </c>
      <c r="S159" s="2096">
        <f>+R159*(1+Inputs!U144)</f>
        <v>23.670293901439244</v>
      </c>
      <c r="T159" s="2096">
        <f>+S159*(1+Inputs!V144)</f>
        <v>24.711786833102572</v>
      </c>
      <c r="U159" s="2096">
        <f>+T159*(1+Inputs!W144)</f>
        <v>25.799105453759086</v>
      </c>
      <c r="V159" s="178"/>
      <c r="W159" s="178"/>
      <c r="X159" s="1042" t="str">
        <f t="shared" ref="X159:BP159" si="476">IFERROR(-X158*1000/X56,"NA")</f>
        <v>NA</v>
      </c>
      <c r="Y159" s="1042" t="str">
        <f t="shared" si="476"/>
        <v>NA</v>
      </c>
      <c r="Z159" s="1042" t="str">
        <f t="shared" si="476"/>
        <v>NA</v>
      </c>
      <c r="AA159" s="1042" t="str">
        <f t="shared" si="476"/>
        <v>NA</v>
      </c>
      <c r="AB159" s="1042" t="str">
        <f t="shared" si="476"/>
        <v>NA</v>
      </c>
      <c r="AC159" s="1042" t="str">
        <f t="shared" si="476"/>
        <v>NA</v>
      </c>
      <c r="AD159" s="1042" t="str">
        <f t="shared" si="476"/>
        <v>NA</v>
      </c>
      <c r="AE159" s="1042" t="str">
        <f t="shared" si="476"/>
        <v>NA</v>
      </c>
      <c r="AF159" s="1042" t="str">
        <f t="shared" si="476"/>
        <v>NA</v>
      </c>
      <c r="AG159" s="1042" t="str">
        <f t="shared" si="476"/>
        <v>NA</v>
      </c>
      <c r="AH159" s="1042" t="str">
        <f t="shared" si="476"/>
        <v>NA</v>
      </c>
      <c r="AI159" s="1042" t="str">
        <f t="shared" si="476"/>
        <v>NA</v>
      </c>
      <c r="AJ159" s="1042">
        <f t="shared" si="476"/>
        <v>28.278805120910384</v>
      </c>
      <c r="AK159" s="1042">
        <f t="shared" si="476"/>
        <v>38.121000581733561</v>
      </c>
      <c r="AL159" s="1042">
        <f t="shared" si="476"/>
        <v>15.540540540540537</v>
      </c>
      <c r="AM159" s="1042">
        <f t="shared" si="476"/>
        <v>15.090765588003165</v>
      </c>
      <c r="AN159" s="1042">
        <f t="shared" si="476"/>
        <v>24.567137809187283</v>
      </c>
      <c r="AO159" s="1042">
        <f t="shared" si="476"/>
        <v>26.267730496453897</v>
      </c>
      <c r="AP159" s="1042">
        <f t="shared" si="476"/>
        <v>19.301470588235297</v>
      </c>
      <c r="AQ159" s="1042">
        <f t="shared" si="476"/>
        <v>13.989598811292714</v>
      </c>
      <c r="AR159" s="1042">
        <f t="shared" si="476"/>
        <v>10.121065375302663</v>
      </c>
      <c r="AS159" s="1042">
        <f t="shared" si="476"/>
        <v>20.107526881720432</v>
      </c>
      <c r="AT159" s="1042">
        <f t="shared" si="476"/>
        <v>19.608457321848086</v>
      </c>
      <c r="AU159" s="1042">
        <f t="shared" si="476"/>
        <v>16.201881950384944</v>
      </c>
      <c r="AV159" s="1042">
        <f t="shared" si="476"/>
        <v>13.568985176738884</v>
      </c>
      <c r="AW159" s="1042">
        <f t="shared" si="476"/>
        <v>19.265850945494996</v>
      </c>
      <c r="AX159" s="1042">
        <f t="shared" si="476"/>
        <v>39.986893840104834</v>
      </c>
      <c r="AY159" s="1042">
        <f t="shared" si="476"/>
        <v>24.02651201325601</v>
      </c>
      <c r="AZ159" s="1042">
        <f t="shared" si="476"/>
        <v>38.706846108835578</v>
      </c>
      <c r="BA159" s="1042">
        <f t="shared" si="476"/>
        <v>63.124293785310734</v>
      </c>
      <c r="BB159" s="1042">
        <f t="shared" si="476"/>
        <v>29.887471867966983</v>
      </c>
      <c r="BC159" s="1042">
        <f t="shared" si="476"/>
        <v>7.4396442185514795</v>
      </c>
      <c r="BD159" s="1042">
        <f t="shared" si="476"/>
        <v>27.781669585522472</v>
      </c>
      <c r="BE159" s="1042">
        <f t="shared" si="476"/>
        <v>21.814759036144576</v>
      </c>
      <c r="BF159" s="1042">
        <f t="shared" si="476"/>
        <v>10.103159252095422</v>
      </c>
      <c r="BG159" s="1042">
        <f t="shared" si="476"/>
        <v>12.088084939048368</v>
      </c>
      <c r="BH159" s="1042">
        <f t="shared" si="476"/>
        <v>10.474755086661643</v>
      </c>
      <c r="BI159" s="1042">
        <f t="shared" si="476"/>
        <v>48.449248120300759</v>
      </c>
      <c r="BJ159" s="1042">
        <f t="shared" si="476"/>
        <v>36.13853172957279</v>
      </c>
      <c r="BK159" s="1042">
        <f t="shared" si="476"/>
        <v>18.53237410071943</v>
      </c>
      <c r="BL159" s="1042">
        <f t="shared" si="476"/>
        <v>12.25625</v>
      </c>
      <c r="BM159" s="1042">
        <f t="shared" si="476"/>
        <v>24.606801275239103</v>
      </c>
      <c r="BN159" s="1042">
        <f t="shared" si="476"/>
        <v>9.2065344224037347</v>
      </c>
      <c r="BO159" s="1042">
        <f t="shared" si="476"/>
        <v>26.059250978200119</v>
      </c>
      <c r="BP159" s="1445">
        <f t="shared" si="476"/>
        <v>28.381542699724516</v>
      </c>
      <c r="BQ159" s="412"/>
      <c r="BR159" s="412"/>
      <c r="BS159" s="412"/>
      <c r="BT159" s="412"/>
      <c r="BU159" s="412"/>
      <c r="BV159" s="412"/>
      <c r="BW159" s="412"/>
      <c r="BX159" s="412"/>
      <c r="BY159" s="412"/>
      <c r="BZ159" s="412"/>
      <c r="CA159" s="412"/>
      <c r="CB159" s="412"/>
      <c r="CC159" s="412"/>
      <c r="CD159" s="412"/>
      <c r="CE159" s="412"/>
      <c r="CF159" s="412"/>
      <c r="CG159" s="412"/>
      <c r="CH159" s="412"/>
      <c r="CI159" s="412"/>
      <c r="CJ159" s="412"/>
      <c r="CK159" s="412"/>
      <c r="CL159" s="412"/>
      <c r="CM159" s="412"/>
      <c r="CN159" s="412"/>
      <c r="CO159" s="412"/>
      <c r="CP159" s="412"/>
      <c r="CQ159" s="412"/>
      <c r="CR159" s="412"/>
      <c r="CS159" s="412"/>
      <c r="CT159" s="412"/>
      <c r="CU159" s="412"/>
    </row>
    <row r="160" spans="1:99" s="1401" customFormat="1">
      <c r="A160" s="2095" t="s">
        <v>1629</v>
      </c>
      <c r="B160" s="1015" t="s">
        <v>972</v>
      </c>
      <c r="C160" s="1015" t="s">
        <v>972</v>
      </c>
      <c r="D160" s="1015" t="s">
        <v>972</v>
      </c>
      <c r="E160" s="1015" t="s">
        <v>972</v>
      </c>
      <c r="F160" s="1015" t="s">
        <v>972</v>
      </c>
      <c r="G160" s="900">
        <f t="shared" ref="G160" si="477">+G159/F159-1</f>
        <v>-0.1687270368492112</v>
      </c>
      <c r="H160" s="900">
        <f t="shared" ref="H160" si="478">+H159/G159-1</f>
        <v>-0.18525371832343873</v>
      </c>
      <c r="I160" s="900">
        <f t="shared" ref="I160" si="479">+I159/H159-1</f>
        <v>0.57761259164819756</v>
      </c>
      <c r="J160" s="900">
        <f t="shared" ref="J160" si="480">+J159/I159-1</f>
        <v>0.35826100011420081</v>
      </c>
      <c r="K160" s="900">
        <f t="shared" ref="K160" si="481">+K159/J159-1</f>
        <v>-0.52021708679648437</v>
      </c>
      <c r="L160" s="900">
        <f t="shared" ref="L160" si="482">+L159/K159-1</f>
        <v>0.77158429498834624</v>
      </c>
      <c r="M160" s="2084">
        <f t="shared" ref="M160" si="483">+M159/L159-1</f>
        <v>-0.39832463433563947</v>
      </c>
      <c r="N160" s="407">
        <f t="shared" ref="N160" si="484">+N159/M159-1</f>
        <v>3.8750000000000062E-2</v>
      </c>
      <c r="O160" s="407">
        <f t="shared" ref="O160" si="485">+O159/N159-1</f>
        <v>4.4000000000000039E-2</v>
      </c>
      <c r="P160" s="407">
        <f t="shared" ref="P160" si="486">+P159/O159-1</f>
        <v>4.4000000000000039E-2</v>
      </c>
      <c r="Q160" s="407">
        <f t="shared" ref="Q160" si="487">+Q159/P159-1</f>
        <v>4.4000000000000039E-2</v>
      </c>
      <c r="R160" s="407">
        <f t="shared" ref="R160" si="488">+R159/Q159-1</f>
        <v>4.4000000000000039E-2</v>
      </c>
      <c r="S160" s="407">
        <f t="shared" ref="S160" si="489">+S159/R159-1</f>
        <v>4.4000000000000039E-2</v>
      </c>
      <c r="T160" s="407">
        <f t="shared" ref="T160" si="490">+T159/S159-1</f>
        <v>4.4000000000000039E-2</v>
      </c>
      <c r="U160" s="407">
        <f>+U159/T159-1</f>
        <v>4.4000000000000039E-2</v>
      </c>
      <c r="V160" s="178"/>
      <c r="W160" s="178"/>
      <c r="X160" s="1042"/>
      <c r="Y160" s="1042"/>
      <c r="Z160" s="1042"/>
      <c r="AA160" s="1042"/>
      <c r="AB160" s="1042"/>
      <c r="AC160" s="1042"/>
      <c r="AD160" s="1042"/>
      <c r="AE160" s="1042"/>
      <c r="AF160" s="1042"/>
      <c r="AG160" s="1042"/>
      <c r="AH160" s="1042"/>
      <c r="AI160" s="1042"/>
      <c r="AJ160" s="1042"/>
      <c r="AK160" s="1042"/>
      <c r="AL160" s="1042"/>
      <c r="AM160" s="1042"/>
      <c r="AN160" s="1042"/>
      <c r="AO160" s="1042"/>
      <c r="AP160" s="1042"/>
      <c r="AQ160" s="1042"/>
      <c r="AR160" s="1042"/>
      <c r="AS160" s="1042"/>
      <c r="AT160" s="1042"/>
      <c r="AU160" s="1042"/>
      <c r="AV160" s="1042"/>
      <c r="AW160" s="1042"/>
      <c r="AX160" s="1042"/>
      <c r="AY160" s="1042"/>
      <c r="AZ160" s="1042"/>
      <c r="BA160" s="1042"/>
      <c r="BB160" s="1042"/>
      <c r="BC160" s="1042"/>
      <c r="BD160" s="1042"/>
      <c r="BE160" s="1016"/>
      <c r="BF160" s="1016"/>
      <c r="BG160" s="1016"/>
      <c r="BH160" s="1016"/>
      <c r="BI160" s="1016"/>
      <c r="BJ160" s="1016"/>
      <c r="BK160" s="1016"/>
      <c r="BL160" s="1016"/>
      <c r="BM160" s="1016"/>
      <c r="BN160" s="1016"/>
      <c r="BO160" s="1016"/>
      <c r="BP160" s="1446"/>
      <c r="BQ160" s="412"/>
      <c r="BR160" s="412"/>
      <c r="BS160" s="466"/>
      <c r="BT160" s="466"/>
      <c r="BU160" s="466"/>
      <c r="BV160" s="466"/>
      <c r="BW160" s="466"/>
      <c r="BX160" s="466"/>
      <c r="BY160" s="466"/>
      <c r="BZ160" s="466"/>
      <c r="CA160" s="466"/>
      <c r="CB160" s="466"/>
      <c r="CC160" s="466"/>
      <c r="CD160" s="466"/>
      <c r="CE160" s="466"/>
      <c r="CF160" s="197"/>
      <c r="CG160" s="197"/>
    </row>
    <row r="161" spans="1:99" s="14" customFormat="1">
      <c r="A161" s="2341" t="s">
        <v>46</v>
      </c>
      <c r="B161" s="1031" t="s">
        <v>972</v>
      </c>
      <c r="C161" s="1031" t="s">
        <v>972</v>
      </c>
      <c r="D161" s="1031" t="s">
        <v>972</v>
      </c>
      <c r="E161" s="1031" t="s">
        <v>972</v>
      </c>
      <c r="F161" s="1013">
        <f>'Annual historicals'!K124</f>
        <v>-0.32100000000000001</v>
      </c>
      <c r="G161" s="1013">
        <f>'Annual historicals'!L124</f>
        <v>-0.154</v>
      </c>
      <c r="H161" s="1013">
        <f>'Annual historicals'!M124</f>
        <v>-3.0230000000000001</v>
      </c>
      <c r="I161" s="1013">
        <f>'Annual historicals'!N124</f>
        <v>-3.2770000000000001</v>
      </c>
      <c r="J161" s="1013">
        <f>'Annual historicals'!O124</f>
        <v>-5.3710000000000004</v>
      </c>
      <c r="K161" s="1013">
        <f>'Annual historicals'!P124</f>
        <v>-5.7670000000000003</v>
      </c>
      <c r="L161" s="1013">
        <f>'Annual historicals'!Q124</f>
        <v>-5.883</v>
      </c>
      <c r="M161" s="1449">
        <f>'Annual historicals'!R124</f>
        <v>-7.2219999999999995</v>
      </c>
      <c r="N161" s="620">
        <f t="shared" ref="N161:U161" si="491">-N162*(N113+N115)</f>
        <v>-7.8728968917775974</v>
      </c>
      <c r="O161" s="620">
        <f t="shared" si="491"/>
        <v>-8.2962160656762531</v>
      </c>
      <c r="P161" s="620">
        <f t="shared" si="491"/>
        <v>-9.0382456131095097</v>
      </c>
      <c r="Q161" s="620">
        <f t="shared" si="491"/>
        <v>-9.735179085726557</v>
      </c>
      <c r="R161" s="620">
        <f t="shared" si="491"/>
        <v>-10.420862752593615</v>
      </c>
      <c r="S161" s="620">
        <f t="shared" si="491"/>
        <v>-11.078037505842911</v>
      </c>
      <c r="T161" s="620">
        <f t="shared" si="491"/>
        <v>-11.689999743898618</v>
      </c>
      <c r="U161" s="620">
        <f t="shared" si="491"/>
        <v>-12.242072233287843</v>
      </c>
      <c r="V161" s="1401"/>
      <c r="W161" s="1401"/>
      <c r="X161" s="952" t="str">
        <f>'Quarterly historicals'!B121</f>
        <v>NA</v>
      </c>
      <c r="Y161" s="952" t="str">
        <f>'Quarterly historicals'!C121</f>
        <v>NA</v>
      </c>
      <c r="Z161" s="952" t="str">
        <f>'Quarterly historicals'!D121</f>
        <v>NA</v>
      </c>
      <c r="AA161" s="952" t="str">
        <f>'Quarterly historicals'!E121</f>
        <v>NA</v>
      </c>
      <c r="AB161" s="952" t="str">
        <f>'Quarterly historicals'!F121</f>
        <v>NA</v>
      </c>
      <c r="AC161" s="952" t="str">
        <f>'Quarterly historicals'!G121</f>
        <v>NA</v>
      </c>
      <c r="AD161" s="952" t="str">
        <f>'Quarterly historicals'!H121</f>
        <v>NA</v>
      </c>
      <c r="AE161" s="952" t="str">
        <f>'Quarterly historicals'!I121</f>
        <v>NA</v>
      </c>
      <c r="AF161" s="952" t="str">
        <f>'Quarterly historicals'!J121</f>
        <v>NA</v>
      </c>
      <c r="AG161" s="952" t="str">
        <f>'Quarterly historicals'!K121</f>
        <v>NA</v>
      </c>
      <c r="AH161" s="952" t="str">
        <f>'Quarterly historicals'!L121</f>
        <v>NA</v>
      </c>
      <c r="AI161" s="952" t="str">
        <f>'Quarterly historicals'!M121</f>
        <v>NA</v>
      </c>
      <c r="AJ161" s="952">
        <f>'Quarterly historicals'!N121</f>
        <v>-3.6999999999999998E-2</v>
      </c>
      <c r="AK161" s="952">
        <f>'Quarterly historicals'!O121</f>
        <v>-9.5000000000000001E-2</v>
      </c>
      <c r="AL161" s="952">
        <f>'Quarterly historicals'!P121</f>
        <v>-0.129</v>
      </c>
      <c r="AM161" s="952">
        <f>'Quarterly historicals'!Q121</f>
        <v>-0.06</v>
      </c>
      <c r="AN161" s="952">
        <f>'Quarterly historicals'!R121</f>
        <v>-8.1000000000000003E-2</v>
      </c>
      <c r="AO161" s="952">
        <f>'Quarterly historicals'!S121</f>
        <v>-2.2999999999999993E-2</v>
      </c>
      <c r="AP161" s="952">
        <f>'Quarterly historicals'!T121</f>
        <v>-3.0000000000000027E-3</v>
      </c>
      <c r="AQ161" s="952">
        <f>'Quarterly historicals'!U121</f>
        <v>-4.7E-2</v>
      </c>
      <c r="AR161" s="952">
        <f>'Quarterly historicals'!V121</f>
        <v>-0.49399999999999999</v>
      </c>
      <c r="AS161" s="952">
        <f>'Quarterly historicals'!W121</f>
        <v>-0.748</v>
      </c>
      <c r="AT161" s="952">
        <f>'Quarterly historicals'!X121</f>
        <v>-0.97299999999999986</v>
      </c>
      <c r="AU161" s="952">
        <f>'Quarterly historicals'!Y121</f>
        <v>-0.80800000000000027</v>
      </c>
      <c r="AV161" s="952">
        <f>'Quarterly historicals'!Z121</f>
        <v>-0.78100000000000003</v>
      </c>
      <c r="AW161" s="952">
        <f>'Quarterly historicals'!AA121</f>
        <v>-0.81399999999999995</v>
      </c>
      <c r="AX161" s="952">
        <f>'Quarterly historicals'!AB121</f>
        <v>-0.80499999999999994</v>
      </c>
      <c r="AY161" s="952">
        <f>'Quarterly historicals'!AC121</f>
        <v>-0.87700000000000022</v>
      </c>
      <c r="AZ161" s="952">
        <f>'Quarterly historicals'!AD121</f>
        <v>-0.92400000000000004</v>
      </c>
      <c r="BA161" s="952">
        <f>'Quarterly historicals'!AE121</f>
        <v>-0.92400000000000004</v>
      </c>
      <c r="BB161" s="952">
        <f>'Quarterly historicals'!AF121</f>
        <v>-0.98299999999999987</v>
      </c>
      <c r="BC161" s="952">
        <f>'Quarterly historicals'!AG121</f>
        <v>-2.5400000000000005</v>
      </c>
      <c r="BD161" s="952">
        <f>'Quarterly historicals'!AH121</f>
        <v>-1.226</v>
      </c>
      <c r="BE161" s="952">
        <f>'Quarterly historicals'!AI121</f>
        <v>-1.494</v>
      </c>
      <c r="BF161" s="952">
        <f>'Quarterly historicals'!AJ121</f>
        <v>-1.5569999999999999</v>
      </c>
      <c r="BG161" s="952">
        <f>'Quarterly historicals'!AK121</f>
        <v>-1.4900000000000011</v>
      </c>
      <c r="BH161" s="952">
        <f>'Quarterly historicals'!AL121</f>
        <v>-1.6139999999999999</v>
      </c>
      <c r="BI161" s="952">
        <f>'Quarterly historicals'!AM121</f>
        <v>-1.5090000000000001</v>
      </c>
      <c r="BJ161" s="952">
        <f>'Quarterly historicals'!AN121</f>
        <v>-1.351</v>
      </c>
      <c r="BK161" s="952">
        <f>'Quarterly historicals'!AO121</f>
        <v>-1.4089999999999998</v>
      </c>
      <c r="BL161" s="952">
        <f>'Quarterly historicals'!AP121</f>
        <v>-3.5890000000000004</v>
      </c>
      <c r="BM161" s="952">
        <f>'Quarterly historicals'!AQ121</f>
        <v>-1.413</v>
      </c>
      <c r="BN161" s="952">
        <f>'Quarterly historicals'!AR121</f>
        <v>-1.9929999999999999</v>
      </c>
      <c r="BO161" s="952">
        <f>'Quarterly historicals'!AS121</f>
        <v>-0.22699999999999854</v>
      </c>
      <c r="BP161" s="967">
        <f>'Quarterly historicals'!AT121</f>
        <v>-1.429</v>
      </c>
      <c r="BQ161" s="2342"/>
      <c r="BR161" s="2342"/>
      <c r="BS161" s="2342"/>
      <c r="BT161" s="2342"/>
      <c r="BU161" s="2342"/>
      <c r="BV161" s="2342"/>
      <c r="BW161" s="2342"/>
      <c r="BX161" s="2342"/>
      <c r="BY161" s="2342"/>
      <c r="BZ161" s="2342"/>
      <c r="CA161" s="2342"/>
      <c r="CB161" s="2342"/>
      <c r="CC161" s="2342"/>
      <c r="CD161" s="2342"/>
      <c r="CE161" s="2342"/>
      <c r="CF161" s="2342"/>
      <c r="CG161" s="2342"/>
      <c r="CH161" s="2342"/>
      <c r="CI161" s="2342"/>
      <c r="CJ161" s="2342"/>
      <c r="CK161" s="2342"/>
      <c r="CL161" s="2342"/>
      <c r="CM161" s="2342"/>
      <c r="CN161" s="2342"/>
      <c r="CO161" s="2342"/>
      <c r="CP161" s="2342"/>
      <c r="CQ161" s="2342"/>
      <c r="CR161" s="2342"/>
      <c r="CS161" s="2342"/>
      <c r="CT161" s="2342"/>
      <c r="CU161" s="2342"/>
    </row>
    <row r="162" spans="1:99">
      <c r="A162" s="2095" t="s">
        <v>1078</v>
      </c>
      <c r="B162" s="1015" t="s">
        <v>972</v>
      </c>
      <c r="C162" s="1015" t="s">
        <v>972</v>
      </c>
      <c r="D162" s="1015" t="s">
        <v>972</v>
      </c>
      <c r="E162" s="1015" t="s">
        <v>972</v>
      </c>
      <c r="F162" s="488">
        <f t="shared" ref="F162:M162" si="492">-F161/(F113+F115)</f>
        <v>4.1050693130083383E-3</v>
      </c>
      <c r="G162" s="488">
        <f t="shared" si="492"/>
        <v>2.1415360654141926E-3</v>
      </c>
      <c r="H162" s="488">
        <f t="shared" si="492"/>
        <v>3.174319826110697E-2</v>
      </c>
      <c r="I162" s="488">
        <f t="shared" si="492"/>
        <v>2.3497440162911765E-2</v>
      </c>
      <c r="J162" s="488">
        <f t="shared" si="492"/>
        <v>2.1854210322869411E-2</v>
      </c>
      <c r="K162" s="488">
        <f t="shared" si="492"/>
        <v>1.9341704565272805E-2</v>
      </c>
      <c r="L162" s="488">
        <f t="shared" si="492"/>
        <v>2.3767584295537367E-2</v>
      </c>
      <c r="M162" s="781">
        <f t="shared" si="492"/>
        <v>3.3196661028167977E-2</v>
      </c>
      <c r="N162" s="1696">
        <f t="shared" ref="N162:U162" si="493">M162</f>
        <v>3.3196661028167977E-2</v>
      </c>
      <c r="O162" s="1696">
        <f t="shared" si="493"/>
        <v>3.3196661028167977E-2</v>
      </c>
      <c r="P162" s="1696">
        <f t="shared" si="493"/>
        <v>3.3196661028167977E-2</v>
      </c>
      <c r="Q162" s="1696">
        <f t="shared" si="493"/>
        <v>3.3196661028167977E-2</v>
      </c>
      <c r="R162" s="1696">
        <f t="shared" si="493"/>
        <v>3.3196661028167977E-2</v>
      </c>
      <c r="S162" s="1696">
        <f t="shared" si="493"/>
        <v>3.3196661028167977E-2</v>
      </c>
      <c r="T162" s="1696">
        <f t="shared" si="493"/>
        <v>3.3196661028167977E-2</v>
      </c>
      <c r="U162" s="1696">
        <f t="shared" si="493"/>
        <v>3.3196661028167977E-2</v>
      </c>
      <c r="V162" s="178"/>
      <c r="W162" s="178"/>
      <c r="X162" s="1043" t="str">
        <f t="shared" ref="X162:BP162" si="494">IFERROR(-X161/(X113+X115),"NA")</f>
        <v>NA</v>
      </c>
      <c r="Y162" s="1043" t="str">
        <f t="shared" si="494"/>
        <v>NA</v>
      </c>
      <c r="Z162" s="1043" t="str">
        <f t="shared" si="494"/>
        <v>NA</v>
      </c>
      <c r="AA162" s="1043" t="str">
        <f t="shared" si="494"/>
        <v>NA</v>
      </c>
      <c r="AB162" s="1043" t="str">
        <f t="shared" si="494"/>
        <v>NA</v>
      </c>
      <c r="AC162" s="1043" t="str">
        <f t="shared" si="494"/>
        <v>NA</v>
      </c>
      <c r="AD162" s="1043" t="str">
        <f t="shared" si="494"/>
        <v>NA</v>
      </c>
      <c r="AE162" s="1043" t="str">
        <f t="shared" si="494"/>
        <v>NA</v>
      </c>
      <c r="AF162" s="1043" t="str">
        <f t="shared" si="494"/>
        <v>NA</v>
      </c>
      <c r="AG162" s="1043" t="str">
        <f t="shared" si="494"/>
        <v>NA</v>
      </c>
      <c r="AH162" s="1043" t="str">
        <f t="shared" si="494"/>
        <v>NA</v>
      </c>
      <c r="AI162" s="1043" t="str">
        <f t="shared" si="494"/>
        <v>NA</v>
      </c>
      <c r="AJ162" s="1043">
        <f t="shared" si="494"/>
        <v>1.6107265682817466E-3</v>
      </c>
      <c r="AK162" s="1043">
        <f t="shared" si="494"/>
        <v>4.7101988199712425E-3</v>
      </c>
      <c r="AL162" s="1043">
        <f t="shared" si="494"/>
        <v>5.9485382274278341E-3</v>
      </c>
      <c r="AM162" s="1043">
        <f t="shared" si="494"/>
        <v>4.4876589379207179E-3</v>
      </c>
      <c r="AN162" s="1043">
        <f t="shared" si="494"/>
        <v>4.0449438202247185E-3</v>
      </c>
      <c r="AO162" s="1043">
        <f t="shared" si="494"/>
        <v>8.942457231726279E-4</v>
      </c>
      <c r="AP162" s="1043">
        <f t="shared" si="494"/>
        <v>1.4684287812041129E-4</v>
      </c>
      <c r="AQ162" s="1043">
        <f t="shared" si="494"/>
        <v>8.1910073196235621E-3</v>
      </c>
      <c r="AR162" s="1043">
        <f t="shared" si="494"/>
        <v>2.355072463768116E-2</v>
      </c>
      <c r="AS162" s="1043">
        <f t="shared" si="494"/>
        <v>2.0299058319085999E-2</v>
      </c>
      <c r="AT162" s="1043">
        <f t="shared" si="494"/>
        <v>4.1258533689522113E-2</v>
      </c>
      <c r="AU162" s="1043">
        <f t="shared" si="494"/>
        <v>5.8487151646760785E-2</v>
      </c>
      <c r="AV162" s="1043">
        <f t="shared" si="494"/>
        <v>2.0808909730363426E-2</v>
      </c>
      <c r="AW162" s="1043">
        <f t="shared" si="494"/>
        <v>2.2933453541443622E-2</v>
      </c>
      <c r="AX162" s="1043">
        <f t="shared" si="494"/>
        <v>1.7060506516901556E-2</v>
      </c>
      <c r="AY162" s="1043">
        <f t="shared" si="494"/>
        <v>4.5553708705589044E-2</v>
      </c>
      <c r="AZ162" s="1043">
        <f t="shared" si="494"/>
        <v>2.091444092349479E-2</v>
      </c>
      <c r="BA162" s="1043">
        <f t="shared" si="494"/>
        <v>1.0193387536267058E-2</v>
      </c>
      <c r="BB162" s="1043">
        <f t="shared" si="494"/>
        <v>1.1294825981546804E-2</v>
      </c>
      <c r="BC162" s="1043">
        <f t="shared" si="494"/>
        <v>0.10621837494249992</v>
      </c>
      <c r="BD162" s="1043">
        <f t="shared" si="494"/>
        <v>2.2537593293871096E-2</v>
      </c>
      <c r="BE162" s="1043">
        <f t="shared" si="494"/>
        <v>1.6719451190169769E-2</v>
      </c>
      <c r="BF162" s="1043">
        <f t="shared" si="494"/>
        <v>1.5795240124170676E-2</v>
      </c>
      <c r="BG162" s="1043">
        <f t="shared" si="494"/>
        <v>9.5171180378129855E-2</v>
      </c>
      <c r="BH162" s="1043">
        <f t="shared" si="494"/>
        <v>1.8291439062535414E-2</v>
      </c>
      <c r="BI162" s="1043">
        <f t="shared" si="494"/>
        <v>1.7595410501276804E-2</v>
      </c>
      <c r="BJ162" s="1043">
        <f t="shared" si="494"/>
        <v>2.5637133043626772E-2</v>
      </c>
      <c r="BK162" s="1043">
        <f t="shared" si="494"/>
        <v>0.14298761924091738</v>
      </c>
      <c r="BL162" s="1043">
        <f t="shared" si="494"/>
        <v>6.1709078404401659E-2</v>
      </c>
      <c r="BM162" s="1043">
        <f t="shared" si="494"/>
        <v>1.9570095011218525E-2</v>
      </c>
      <c r="BN162" s="1043">
        <f t="shared" si="494"/>
        <v>4.2374503008525924E-2</v>
      </c>
      <c r="BO162" s="1043">
        <f t="shared" si="494"/>
        <v>5.6529534814224163E-3</v>
      </c>
      <c r="BP162" s="1085">
        <f t="shared" si="494"/>
        <v>1.7559381182339857E-2</v>
      </c>
      <c r="BQ162" s="412"/>
      <c r="BR162" s="412"/>
      <c r="BS162" s="412"/>
      <c r="BT162" s="412"/>
      <c r="BU162" s="412"/>
      <c r="BV162" s="412"/>
      <c r="BW162" s="412"/>
      <c r="BX162" s="412"/>
      <c r="BY162" s="412"/>
      <c r="BZ162" s="412"/>
      <c r="CA162" s="412"/>
      <c r="CB162" s="412"/>
      <c r="CC162" s="412"/>
      <c r="CD162" s="412"/>
      <c r="CE162" s="412"/>
      <c r="CF162" s="412"/>
      <c r="CG162" s="412"/>
      <c r="CH162" s="412"/>
      <c r="CI162" s="412"/>
      <c r="CJ162" s="412"/>
      <c r="CK162" s="412"/>
      <c r="CL162" s="412"/>
      <c r="CM162" s="412"/>
      <c r="CN162" s="412"/>
      <c r="CO162" s="412"/>
      <c r="CP162" s="412"/>
      <c r="CQ162" s="412"/>
      <c r="CR162" s="412"/>
      <c r="CS162" s="412"/>
      <c r="CT162" s="412"/>
      <c r="CU162" s="412"/>
    </row>
    <row r="163" spans="1:99" s="1401" customFormat="1">
      <c r="A163" s="2095" t="s">
        <v>1629</v>
      </c>
      <c r="B163" s="1015" t="s">
        <v>972</v>
      </c>
      <c r="C163" s="1015" t="s">
        <v>972</v>
      </c>
      <c r="D163" s="1015" t="s">
        <v>972</v>
      </c>
      <c r="E163" s="1015" t="s">
        <v>972</v>
      </c>
      <c r="F163" s="1015" t="s">
        <v>972</v>
      </c>
      <c r="G163" s="900">
        <f t="shared" ref="G163:M163" si="495">+G161/F161-1</f>
        <v>-0.52024922118380057</v>
      </c>
      <c r="H163" s="900">
        <f t="shared" si="495"/>
        <v>18.629870129870131</v>
      </c>
      <c r="I163" s="900">
        <f t="shared" si="495"/>
        <v>8.4022494211048571E-2</v>
      </c>
      <c r="J163" s="900">
        <f t="shared" si="495"/>
        <v>0.63899908452853227</v>
      </c>
      <c r="K163" s="900">
        <f t="shared" si="495"/>
        <v>7.3729286911189629E-2</v>
      </c>
      <c r="L163" s="900">
        <f t="shared" si="495"/>
        <v>2.011444425177733E-2</v>
      </c>
      <c r="M163" s="2084">
        <f t="shared" si="495"/>
        <v>0.22760496345402004</v>
      </c>
      <c r="N163" s="407">
        <f>+N161/M161-1</f>
        <v>9.0126958152533687E-2</v>
      </c>
      <c r="O163" s="407">
        <f t="shared" ref="O163:U163" si="496">+O161/N161-1</f>
        <v>5.3769175402356373E-2</v>
      </c>
      <c r="P163" s="407">
        <f t="shared" si="496"/>
        <v>8.9441926482994871E-2</v>
      </c>
      <c r="Q163" s="407">
        <f t="shared" si="496"/>
        <v>7.7109375253775037E-2</v>
      </c>
      <c r="R163" s="407">
        <f t="shared" si="496"/>
        <v>7.0433595605076116E-2</v>
      </c>
      <c r="S163" s="407">
        <f t="shared" si="496"/>
        <v>6.3063372856122957E-2</v>
      </c>
      <c r="T163" s="407">
        <f t="shared" si="496"/>
        <v>5.5241033236522075E-2</v>
      </c>
      <c r="U163" s="407">
        <f t="shared" si="496"/>
        <v>4.722604803112751E-2</v>
      </c>
      <c r="V163" s="178"/>
      <c r="W163" s="178"/>
      <c r="X163" s="1042"/>
      <c r="Y163" s="1042"/>
      <c r="Z163" s="1042"/>
      <c r="AA163" s="1042"/>
      <c r="AB163" s="1042"/>
      <c r="AC163" s="1042"/>
      <c r="AD163" s="1042"/>
      <c r="AE163" s="1042"/>
      <c r="AF163" s="1042"/>
      <c r="AG163" s="1042"/>
      <c r="AH163" s="1042"/>
      <c r="AI163" s="1042"/>
      <c r="AJ163" s="1042"/>
      <c r="AK163" s="1042"/>
      <c r="AL163" s="1042"/>
      <c r="AM163" s="1042"/>
      <c r="AN163" s="1042"/>
      <c r="AO163" s="1042"/>
      <c r="AP163" s="1042"/>
      <c r="AQ163" s="1042"/>
      <c r="AR163" s="1042"/>
      <c r="AS163" s="1042"/>
      <c r="AT163" s="1042"/>
      <c r="AU163" s="1042"/>
      <c r="AV163" s="1042"/>
      <c r="AW163" s="1042"/>
      <c r="AX163" s="1042"/>
      <c r="AY163" s="1042"/>
      <c r="AZ163" s="1042"/>
      <c r="BA163" s="1042"/>
      <c r="BB163" s="1042"/>
      <c r="BC163" s="1042"/>
      <c r="BD163" s="1042"/>
      <c r="BE163" s="1016"/>
      <c r="BF163" s="1016"/>
      <c r="BG163" s="1016"/>
      <c r="BH163" s="1016"/>
      <c r="BI163" s="1016"/>
      <c r="BJ163" s="1016"/>
      <c r="BK163" s="1016"/>
      <c r="BL163" s="1016"/>
      <c r="BM163" s="1016"/>
      <c r="BN163" s="1016"/>
      <c r="BO163" s="1016"/>
      <c r="BP163" s="1446"/>
      <c r="BQ163" s="412"/>
      <c r="BR163" s="412"/>
      <c r="BS163" s="466"/>
      <c r="BT163" s="466"/>
      <c r="BU163" s="466"/>
      <c r="BV163" s="466"/>
      <c r="BW163" s="466"/>
      <c r="BX163" s="466"/>
      <c r="BY163" s="466"/>
      <c r="BZ163" s="466"/>
      <c r="CA163" s="466"/>
      <c r="CB163" s="466"/>
      <c r="CC163" s="466"/>
      <c r="CD163" s="466"/>
      <c r="CE163" s="466"/>
      <c r="CF163" s="197"/>
      <c r="CG163" s="197"/>
    </row>
    <row r="164" spans="1:99" s="1401" customFormat="1">
      <c r="A164" s="2095"/>
      <c r="B164" s="1015"/>
      <c r="C164" s="1015"/>
      <c r="D164" s="1015"/>
      <c r="E164" s="1015"/>
      <c r="F164" s="1015"/>
      <c r="G164" s="900"/>
      <c r="H164" s="900"/>
      <c r="I164" s="900"/>
      <c r="J164" s="900"/>
      <c r="K164" s="900"/>
      <c r="L164" s="900"/>
      <c r="M164" s="2084"/>
      <c r="N164" s="407"/>
      <c r="O164" s="407"/>
      <c r="P164" s="407"/>
      <c r="Q164" s="407"/>
      <c r="R164" s="407"/>
      <c r="S164" s="407"/>
      <c r="T164" s="407"/>
      <c r="U164" s="407"/>
      <c r="V164" s="178"/>
      <c r="W164" s="178"/>
      <c r="X164" s="1042"/>
      <c r="Y164" s="1042"/>
      <c r="Z164" s="1042"/>
      <c r="AA164" s="1042"/>
      <c r="AB164" s="1042"/>
      <c r="AC164" s="1042"/>
      <c r="AD164" s="1042"/>
      <c r="AE164" s="1042"/>
      <c r="AF164" s="1042"/>
      <c r="AG164" s="1042"/>
      <c r="AH164" s="1042"/>
      <c r="AI164" s="1042"/>
      <c r="AJ164" s="1042"/>
      <c r="AK164" s="1042"/>
      <c r="AL164" s="1042"/>
      <c r="AM164" s="1042"/>
      <c r="AN164" s="1042"/>
      <c r="AO164" s="1042"/>
      <c r="AP164" s="1042"/>
      <c r="AQ164" s="1042"/>
      <c r="AR164" s="1042"/>
      <c r="AS164" s="1042"/>
      <c r="AT164" s="1042"/>
      <c r="AU164" s="1042"/>
      <c r="AV164" s="1042"/>
      <c r="AW164" s="1042"/>
      <c r="AX164" s="1042"/>
      <c r="AY164" s="1042"/>
      <c r="AZ164" s="1042"/>
      <c r="BA164" s="1042"/>
      <c r="BB164" s="1042"/>
      <c r="BC164" s="1042"/>
      <c r="BD164" s="1042"/>
      <c r="BE164" s="1016"/>
      <c r="BF164" s="1016"/>
      <c r="BG164" s="1016"/>
      <c r="BH164" s="1016"/>
      <c r="BI164" s="1016"/>
      <c r="BJ164" s="1016"/>
      <c r="BK164" s="1016"/>
      <c r="BL164" s="1016"/>
      <c r="BM164" s="1016"/>
      <c r="BN164" s="1016"/>
      <c r="BO164" s="1016"/>
      <c r="BP164" s="1446"/>
      <c r="BQ164" s="412"/>
      <c r="BR164" s="412"/>
      <c r="BS164" s="466"/>
      <c r="BT164" s="466"/>
      <c r="BU164" s="466"/>
      <c r="BV164" s="466"/>
      <c r="BW164" s="466"/>
      <c r="BX164" s="466"/>
      <c r="BY164" s="466"/>
      <c r="BZ164" s="466"/>
      <c r="CA164" s="466"/>
      <c r="CB164" s="466"/>
      <c r="CC164" s="466"/>
      <c r="CD164" s="466"/>
      <c r="CE164" s="466"/>
      <c r="CF164" s="197"/>
      <c r="CG164" s="197"/>
    </row>
    <row r="165" spans="1:99" s="14" customFormat="1">
      <c r="A165" s="399" t="s">
        <v>1690</v>
      </c>
      <c r="B165" s="1013">
        <f>Financials!D52</f>
        <v>-68.847999999999999</v>
      </c>
      <c r="C165" s="1013">
        <f>Financials!E52</f>
        <v>-74.912000000000006</v>
      </c>
      <c r="D165" s="1013">
        <f>Financials!F52</f>
        <v>-91.222999999999985</v>
      </c>
      <c r="E165" s="1013">
        <f>Financials!G52</f>
        <v>-100.17599999999999</v>
      </c>
      <c r="F165" s="1013">
        <f>Financials!H52</f>
        <v>-92.937999999999988</v>
      </c>
      <c r="G165" s="1013">
        <f>Financials!I52</f>
        <v>-101.13</v>
      </c>
      <c r="H165" s="1013">
        <f>Financials!J52</f>
        <v>-118.331</v>
      </c>
      <c r="I165" s="1013">
        <f>Financials!K52</f>
        <v>-127.56100000000001</v>
      </c>
      <c r="J165" s="1013">
        <f>Financials!L52</f>
        <v>-138.05000000000001</v>
      </c>
      <c r="K165" s="1013">
        <f>Financials!M52</f>
        <v>-163.66700000000003</v>
      </c>
      <c r="L165" s="1013">
        <f>Financials!N52</f>
        <v>-155.983</v>
      </c>
      <c r="M165" s="1449">
        <f>Financials!O52</f>
        <v>-164.23899999999998</v>
      </c>
      <c r="N165" s="392">
        <f t="shared" ref="N165:U165" si="497">SUM(N167,N168,N169,N171)</f>
        <v>-170.1633325</v>
      </c>
      <c r="O165" s="392">
        <f t="shared" si="497"/>
        <v>-177.15098712999998</v>
      </c>
      <c r="P165" s="392">
        <f t="shared" si="497"/>
        <v>-184.44609856371997</v>
      </c>
      <c r="Q165" s="392">
        <f t="shared" si="497"/>
        <v>-192.06219490052368</v>
      </c>
      <c r="R165" s="392">
        <f t="shared" si="497"/>
        <v>-200.0133994761467</v>
      </c>
      <c r="S165" s="392">
        <f t="shared" si="497"/>
        <v>-208.31445705309719</v>
      </c>
      <c r="T165" s="392">
        <f t="shared" si="497"/>
        <v>-216.98076116343347</v>
      </c>
      <c r="U165" s="392">
        <f t="shared" si="497"/>
        <v>-226.02838265462455</v>
      </c>
      <c r="V165" s="1944"/>
      <c r="W165" s="472"/>
      <c r="X165" s="952">
        <f>Q_Financials!B19</f>
        <v>-18.506</v>
      </c>
      <c r="Y165" s="952">
        <f>Q_Financials!C19</f>
        <v>-20.125</v>
      </c>
      <c r="Z165" s="952">
        <f>Q_Financials!D19</f>
        <v>-21.204999999999998</v>
      </c>
      <c r="AA165" s="952">
        <f>Q_Financials!E19</f>
        <v>-15.076000000000001</v>
      </c>
      <c r="AB165" s="952">
        <f>Q_Financials!F19</f>
        <v>-22.658999999999999</v>
      </c>
      <c r="AC165" s="952">
        <f>Q_Financials!G19</f>
        <v>-24.596</v>
      </c>
      <c r="AD165" s="952">
        <f>Q_Financials!H19</f>
        <v>-21.49</v>
      </c>
      <c r="AE165" s="952">
        <f>Q_Financials!I19</f>
        <v>-22.478000000000002</v>
      </c>
      <c r="AF165" s="952">
        <f>Q_Financials!J19</f>
        <v>-22.474</v>
      </c>
      <c r="AG165" s="952">
        <f>Q_Financials!K19</f>
        <v>-30.939</v>
      </c>
      <c r="AH165" s="952">
        <f>Q_Financials!L19</f>
        <v>-21.117999999999999</v>
      </c>
      <c r="AI165" s="952">
        <f>Q_Financials!M19</f>
        <v>-25.645</v>
      </c>
      <c r="AJ165" s="952">
        <f>Q_Financials!N19</f>
        <v>-21.524999999999999</v>
      </c>
      <c r="AK165" s="952">
        <f>Q_Financials!O19</f>
        <v>-23.84</v>
      </c>
      <c r="AL165" s="952">
        <f>Q_Financials!P19</f>
        <v>-18.722999999999999</v>
      </c>
      <c r="AM165" s="952">
        <f>Q_Financials!Q19</f>
        <v>-28.85</v>
      </c>
      <c r="AN165" s="952">
        <f>Q_Financials!R19</f>
        <v>-21.425000000000001</v>
      </c>
      <c r="AO165" s="952">
        <f>Q_Financials!S19</f>
        <v>-34.334000000000003</v>
      </c>
      <c r="AP165" s="952">
        <f>Q_Financials!T19</f>
        <v>-25.449000000000002</v>
      </c>
      <c r="AQ165" s="952">
        <f>Q_Financials!U19</f>
        <v>-19.922000000000001</v>
      </c>
      <c r="AR165" s="952">
        <f>Q_Financials!V19</f>
        <v>-23.581</v>
      </c>
      <c r="AS165" s="952">
        <f>Q_Financials!W19</f>
        <v>-34.421999999999997</v>
      </c>
      <c r="AT165" s="952">
        <f>Q_Financials!X19</f>
        <v>-28.277999999999999</v>
      </c>
      <c r="AU165" s="952">
        <f>Q_Financials!Y19</f>
        <v>-32.049999999999997</v>
      </c>
      <c r="AV165" s="952">
        <f>Q_Financials!Z19</f>
        <v>-30.018999999999998</v>
      </c>
      <c r="AW165" s="952">
        <f>Q_Financials!AA19</f>
        <v>-35.683999999999997</v>
      </c>
      <c r="AX165" s="952">
        <f>Q_Financials!AB19</f>
        <v>-26.457999999999998</v>
      </c>
      <c r="AY165" s="952">
        <f>Q_Financials!AC19</f>
        <v>-35.4</v>
      </c>
      <c r="AZ165" s="952">
        <f>Q_Financials!AD19</f>
        <v>-32.421999999999997</v>
      </c>
      <c r="BA165" s="952">
        <f>Q_Financials!AE19</f>
        <v>-40.42</v>
      </c>
      <c r="BB165" s="952">
        <f>Q_Financials!AF19</f>
        <v>-31.678000000000001</v>
      </c>
      <c r="BC165" s="952">
        <f>Q_Financials!AG19</f>
        <v>-33.53</v>
      </c>
      <c r="BD165" s="952">
        <f>Q_Financials!AH19</f>
        <v>-35.450000000000003</v>
      </c>
      <c r="BE165" s="390">
        <f>Q_Financials!AI19</f>
        <v>-35.475000000000001</v>
      </c>
      <c r="BF165" s="390">
        <f>Q_Financials!AJ19</f>
        <v>-47.71</v>
      </c>
      <c r="BG165" s="390">
        <f>Q_Financials!AK19</f>
        <v>-45.031999999999996</v>
      </c>
      <c r="BH165" s="390">
        <f>Q_Financials!AL19</f>
        <v>-33.426000000000002</v>
      </c>
      <c r="BI165" s="390">
        <f>Q_Financials!AM19</f>
        <v>-41.210999999999999</v>
      </c>
      <c r="BJ165" s="390">
        <f>Q_Financials!AN19</f>
        <v>-37.698999999999998</v>
      </c>
      <c r="BK165" s="390">
        <f>Q_Financials!AO19</f>
        <v>-43.646999999999998</v>
      </c>
      <c r="BL165" s="390">
        <f>Q_Financials!AP19</f>
        <v>-42.942999999999998</v>
      </c>
      <c r="BM165" s="390">
        <f>Q_Financials!AQ19</f>
        <v>-45.478999999999999</v>
      </c>
      <c r="BN165" s="390">
        <f>Q_Financials!AR19</f>
        <v>-41.640999999999998</v>
      </c>
      <c r="BO165" s="390">
        <f>Q_Financials!AS19</f>
        <v>-34.176000000000002</v>
      </c>
      <c r="BP165" s="391">
        <f>Q_Financials!AT19</f>
        <v>-45.573999999999998</v>
      </c>
      <c r="BQ165" s="2088">
        <f>$N165*BQ229</f>
        <v>-39.59267206514663</v>
      </c>
      <c r="BR165" s="2088">
        <f>$N165*BR229</f>
        <v>-42.021559132483176</v>
      </c>
      <c r="BS165" s="2089">
        <f>$N165-BR165-BQ165-BP165</f>
        <v>-42.975101302370177</v>
      </c>
      <c r="BT165" s="2090">
        <f>$O165*BT229</f>
        <v>-47.929904203617014</v>
      </c>
      <c r="BU165" s="2088">
        <f>$O165*BU229</f>
        <v>-41.218521266648914</v>
      </c>
      <c r="BV165" s="2088">
        <f>$O165*BV229</f>
        <v>-43.747149116635107</v>
      </c>
      <c r="BW165" s="2089">
        <f>$O165-BV165-BU165-BT165</f>
        <v>-44.255412543098942</v>
      </c>
      <c r="BX165" s="2090">
        <f>$P165*BX229</f>
        <v>-49.903666799228866</v>
      </c>
      <c r="BY165" s="2088">
        <f>$P165*BY229</f>
        <v>-42.9159078330173</v>
      </c>
      <c r="BZ165" s="2088">
        <f>$P165*BZ229</f>
        <v>-45.548665060089725</v>
      </c>
      <c r="CA165" s="2089">
        <f>$P165-BZ165-BY165-BX165</f>
        <v>-46.077858871384088</v>
      </c>
      <c r="CB165" s="2090">
        <f>$Q165*CB229</f>
        <v>-51.964274949047642</v>
      </c>
      <c r="CC165" s="2088">
        <f>$Q165*CC229</f>
        <v>-44.687979408305907</v>
      </c>
      <c r="CD165" s="2088">
        <f>$Q165*CD229</f>
        <v>-47.429447705056347</v>
      </c>
      <c r="CE165" s="2089">
        <f>$Q165-CD165-CC165-CB165</f>
        <v>-47.980492838113797</v>
      </c>
      <c r="CF165" s="2090">
        <f>$R165-CE165-CD165-CC165</f>
        <v>-59.915479524670644</v>
      </c>
      <c r="CG165" s="2088">
        <f>$R165-CF165-CE165-CD165</f>
        <v>-44.687979408305907</v>
      </c>
      <c r="CH165" s="2088">
        <f>$R165-CG165-CF165-CE165</f>
        <v>-47.429447705056369</v>
      </c>
      <c r="CI165" s="2089">
        <f>$R165-CH165-CG165-CF165</f>
        <v>-47.98049283811379</v>
      </c>
      <c r="CJ165" s="2090">
        <f>$S165-CI165-CH165-CG165</f>
        <v>-68.216537101621114</v>
      </c>
      <c r="CK165" s="2088">
        <f>$S165-CJ165-CI165-CH165</f>
        <v>-44.6879794083059</v>
      </c>
      <c r="CL165" s="2088">
        <f>$S165-CK165-CJ165-CI165</f>
        <v>-47.42944770505639</v>
      </c>
      <c r="CM165" s="2089">
        <f>$S165-CL165-CK165-CJ165</f>
        <v>-47.98049283811379</v>
      </c>
      <c r="CN165" s="2090">
        <f>$T165-CM165-CL165-CK165</f>
        <v>-76.882841211957384</v>
      </c>
      <c r="CO165" s="2088">
        <f>$T165-CN165-CM165-CL165</f>
        <v>-44.687979408305907</v>
      </c>
      <c r="CP165" s="2088">
        <f>$T165-CO165-CN165-CM165</f>
        <v>-47.429447705056404</v>
      </c>
      <c r="CQ165" s="2089">
        <f>$T165-CP165-CO165-CN165</f>
        <v>-47.98049283811379</v>
      </c>
      <c r="CR165" s="2090">
        <f>$U165-CQ165-CP165-CO165</f>
        <v>-85.930462703148422</v>
      </c>
      <c r="CS165" s="2088">
        <f>$U165-CR165-CQ165-CP165</f>
        <v>-44.687979408305921</v>
      </c>
      <c r="CT165" s="2088">
        <f>$U165-CS165-CR165-CQ165</f>
        <v>-47.429447705056418</v>
      </c>
      <c r="CU165" s="2089">
        <f>$U165-CT165-CS165-CR165</f>
        <v>-47.98049283811379</v>
      </c>
    </row>
    <row r="166" spans="1:99">
      <c r="A166" s="396" t="s">
        <v>4</v>
      </c>
      <c r="B166" s="900">
        <f t="shared" ref="B166:U166" si="498">-B165/B104</f>
        <v>8.5205600837600967E-2</v>
      </c>
      <c r="C166" s="900">
        <f t="shared" si="498"/>
        <v>9.0633680807611541E-2</v>
      </c>
      <c r="D166" s="900">
        <f t="shared" si="498"/>
        <v>0.12804683760539792</v>
      </c>
      <c r="E166" s="900">
        <f t="shared" si="498"/>
        <v>0.12935232160404314</v>
      </c>
      <c r="F166" s="900">
        <f t="shared" si="498"/>
        <v>7.8542230245071565E-2</v>
      </c>
      <c r="G166" s="900">
        <f t="shared" si="498"/>
        <v>7.8089950542259159E-2</v>
      </c>
      <c r="H166" s="900">
        <f t="shared" si="498"/>
        <v>8.656317895522278E-2</v>
      </c>
      <c r="I166" s="900">
        <f t="shared" si="498"/>
        <v>7.7973463801549445E-2</v>
      </c>
      <c r="J166" s="900">
        <f t="shared" si="498"/>
        <v>7.0034476950768379E-2</v>
      </c>
      <c r="K166" s="900">
        <f t="shared" si="498"/>
        <v>7.0389504043159148E-2</v>
      </c>
      <c r="L166" s="900">
        <f t="shared" si="498"/>
        <v>5.7191538103065251E-2</v>
      </c>
      <c r="M166" s="2084">
        <f t="shared" si="498"/>
        <v>5.4693790831607754E-2</v>
      </c>
      <c r="N166" s="407">
        <f t="shared" si="498"/>
        <v>4.6533893319613773E-2</v>
      </c>
      <c r="O166" s="407">
        <f t="shared" si="498"/>
        <v>4.6839370255692028E-2</v>
      </c>
      <c r="P166" s="407">
        <f t="shared" si="498"/>
        <v>4.515442082739201E-2</v>
      </c>
      <c r="Q166" s="407">
        <f t="shared" si="498"/>
        <v>4.0854868584526853E-2</v>
      </c>
      <c r="R166" s="407">
        <f t="shared" si="498"/>
        <v>3.9754618948794493E-2</v>
      </c>
      <c r="S166" s="407">
        <f t="shared" si="498"/>
        <v>4.3506188679261676E-2</v>
      </c>
      <c r="T166" s="407">
        <f t="shared" si="498"/>
        <v>4.6506984322498529E-2</v>
      </c>
      <c r="U166" s="407">
        <f t="shared" si="498"/>
        <v>4.3291762658932254E-2</v>
      </c>
      <c r="V166" s="1021"/>
      <c r="W166" s="178"/>
      <c r="X166" s="421">
        <f t="shared" ref="X166:BP166" si="499">-X165/AF104</f>
        <v>0.20103417559258696</v>
      </c>
      <c r="Y166" s="421">
        <f t="shared" si="499"/>
        <v>0.10356948032565846</v>
      </c>
      <c r="Z166" s="421">
        <f t="shared" si="499"/>
        <v>9.6031483653589239E-2</v>
      </c>
      <c r="AA166" s="421">
        <f t="shared" si="499"/>
        <v>5.6409699953977224E-2</v>
      </c>
      <c r="AB166" s="421">
        <f t="shared" si="499"/>
        <v>0.10420038996394672</v>
      </c>
      <c r="AC166" s="421">
        <f t="shared" si="499"/>
        <v>8.5910784954086147E-2</v>
      </c>
      <c r="AD166" s="421">
        <f t="shared" si="499"/>
        <v>6.6295036047347419E-2</v>
      </c>
      <c r="AE166" s="421">
        <f t="shared" si="499"/>
        <v>6.3250960948623716E-2</v>
      </c>
      <c r="AF166" s="421">
        <f t="shared" si="499"/>
        <v>7.8723001800463779E-2</v>
      </c>
      <c r="AG166" s="421">
        <f t="shared" si="499"/>
        <v>9.1332841328413281E-2</v>
      </c>
      <c r="AH166" s="421">
        <f t="shared" si="499"/>
        <v>5.4109037987527094E-2</v>
      </c>
      <c r="AI166" s="421">
        <f t="shared" si="499"/>
        <v>9.140712437356982E-2</v>
      </c>
      <c r="AJ166" s="421">
        <f t="shared" si="499"/>
        <v>6.5436272214892399E-2</v>
      </c>
      <c r="AK166" s="421">
        <f t="shared" si="499"/>
        <v>5.9881292370912352E-2</v>
      </c>
      <c r="AL166" s="421">
        <f t="shared" si="499"/>
        <v>4.9214456007170698E-2</v>
      </c>
      <c r="AM166" s="421">
        <f t="shared" si="499"/>
        <v>0.1111856202500424</v>
      </c>
      <c r="AN166" s="421">
        <f t="shared" si="499"/>
        <v>7.3799911819008523E-2</v>
      </c>
      <c r="AO166" s="421">
        <f t="shared" si="499"/>
        <v>6.277769448213065E-2</v>
      </c>
      <c r="AP166" s="421">
        <f t="shared" si="499"/>
        <v>6.4441552127541046E-2</v>
      </c>
      <c r="AQ166" s="421">
        <f t="shared" si="499"/>
        <v>4.9334594640106581E-2</v>
      </c>
      <c r="AR166" s="421">
        <f t="shared" si="499"/>
        <v>4.7759084069031031E-2</v>
      </c>
      <c r="AS166" s="421">
        <f t="shared" si="499"/>
        <v>5.6016820343241749E-2</v>
      </c>
      <c r="AT166" s="421">
        <f t="shared" si="499"/>
        <v>6.6565916217056001E-2</v>
      </c>
      <c r="AU166" s="421">
        <f t="shared" si="499"/>
        <v>7.3152973023557291E-2</v>
      </c>
      <c r="AV166" s="421">
        <f t="shared" si="499"/>
        <v>6.0250805846248943E-2</v>
      </c>
      <c r="AW166" s="421">
        <f t="shared" si="499"/>
        <v>7.0361687150375343E-2</v>
      </c>
      <c r="AX166" s="421">
        <f t="shared" si="499"/>
        <v>4.5327535904143686E-2</v>
      </c>
      <c r="AY166" s="421">
        <f t="shared" si="499"/>
        <v>5.0799664205609482E-2</v>
      </c>
      <c r="AZ166" s="421">
        <f t="shared" si="499"/>
        <v>7.1870012413548498E-2</v>
      </c>
      <c r="BA166" s="421">
        <f t="shared" si="499"/>
        <v>6.1172354091374115E-2</v>
      </c>
      <c r="BB166" s="421">
        <f t="shared" si="499"/>
        <v>3.9495946048722225E-2</v>
      </c>
      <c r="BC166" s="421">
        <f t="shared" si="499"/>
        <v>4.121969989403107E-2</v>
      </c>
      <c r="BD166" s="421">
        <f t="shared" si="499"/>
        <v>5.5266448199202414E-2</v>
      </c>
      <c r="BE166" s="372">
        <f t="shared" si="499"/>
        <v>4.896838554097125E-2</v>
      </c>
      <c r="BF166" s="372">
        <f t="shared" si="499"/>
        <v>6.4742002239033827E-2</v>
      </c>
      <c r="BG166" s="372">
        <f t="shared" si="499"/>
        <v>5.0031553031313049E-2</v>
      </c>
      <c r="BH166" s="372">
        <f t="shared" si="499"/>
        <v>4.1147440687292501E-2</v>
      </c>
      <c r="BI166" s="372">
        <f t="shared" si="499"/>
        <v>4.4956059485844829E-2</v>
      </c>
      <c r="BJ166" s="372">
        <f t="shared" si="499"/>
        <v>4.2472451267825825E-2</v>
      </c>
      <c r="BK166" s="372">
        <f t="shared" si="499"/>
        <v>4.1963896375557364E-2</v>
      </c>
      <c r="BL166" s="372">
        <f t="shared" si="499"/>
        <v>3.6248019095286646E-2</v>
      </c>
      <c r="BM166" s="372">
        <f t="shared" si="499"/>
        <v>4.802679324864783E-2</v>
      </c>
      <c r="BN166" s="372">
        <f t="shared" si="499"/>
        <v>4.5594939726862516E-2</v>
      </c>
      <c r="BO166" s="372">
        <f t="shared" si="499"/>
        <v>4.636140717754178E-2</v>
      </c>
      <c r="BP166" s="406">
        <f t="shared" si="499"/>
        <v>3.586778657052473E-2</v>
      </c>
      <c r="BQ166" s="412"/>
      <c r="BR166" s="412"/>
      <c r="BS166" s="466"/>
      <c r="BT166" s="466"/>
      <c r="BU166" s="466"/>
      <c r="BV166" s="466"/>
      <c r="BW166" s="466"/>
      <c r="BX166" s="466"/>
      <c r="BY166" s="466"/>
      <c r="BZ166" s="466"/>
      <c r="CA166" s="466"/>
      <c r="CB166" s="466"/>
      <c r="CC166" s="466"/>
      <c r="CD166" s="466"/>
      <c r="CE166" s="466"/>
      <c r="CF166" s="197"/>
      <c r="CG166" s="197"/>
    </row>
    <row r="167" spans="1:99" s="14" customFormat="1">
      <c r="A167" s="2341" t="s">
        <v>54</v>
      </c>
      <c r="B167" s="1031" t="s">
        <v>972</v>
      </c>
      <c r="C167" s="1031" t="s">
        <v>972</v>
      </c>
      <c r="D167" s="1031" t="s">
        <v>972</v>
      </c>
      <c r="E167" s="1031" t="s">
        <v>972</v>
      </c>
      <c r="F167" s="1013">
        <f>'Annual historicals'!K127</f>
        <v>-35.786000000000001</v>
      </c>
      <c r="G167" s="1013">
        <f>'Annual historicals'!L127</f>
        <v>-41.966000000000001</v>
      </c>
      <c r="H167" s="1013">
        <f>'Annual historicals'!M127</f>
        <v>-53.719000000000001</v>
      </c>
      <c r="I167" s="1013">
        <f>'Annual historicals'!N127</f>
        <v>-60.676000000000002</v>
      </c>
      <c r="J167" s="1013">
        <f>'Annual historicals'!O127</f>
        <v>-56.417999999999999</v>
      </c>
      <c r="K167" s="1013">
        <f>'Annual historicals'!P127</f>
        <v>-67.713999999999999</v>
      </c>
      <c r="L167" s="1013">
        <f>'Annual historicals'!Q127</f>
        <v>-61.481000000000002</v>
      </c>
      <c r="M167" s="1449">
        <f>'Annual historicals'!R127</f>
        <v>-72.63</v>
      </c>
      <c r="N167" s="620">
        <f>+M167*(1+Inputs!P$144)</f>
        <v>-75.444412499999999</v>
      </c>
      <c r="O167" s="620">
        <f>+N167*(1+Inputs!Q$144)</f>
        <v>-78.76396665</v>
      </c>
      <c r="P167" s="620">
        <f>+O167*(1+Inputs!R$144)</f>
        <v>-82.2295811826</v>
      </c>
      <c r="Q167" s="620">
        <f>+P167*(1+Inputs!S$144)</f>
        <v>-85.847682754634405</v>
      </c>
      <c r="R167" s="620">
        <f>+Q167*(1+Inputs!T$144)</f>
        <v>-89.624980795838326</v>
      </c>
      <c r="S167" s="620">
        <f>+R167*(1+Inputs!U$144)</f>
        <v>-93.56847995085522</v>
      </c>
      <c r="T167" s="620">
        <f>+S167*(1+Inputs!V$144)</f>
        <v>-97.68549306869285</v>
      </c>
      <c r="U167" s="620">
        <f>+T167*(1+Inputs!W$144)</f>
        <v>-101.98365476371534</v>
      </c>
      <c r="V167" s="1021"/>
      <c r="W167" s="178"/>
      <c r="X167" s="952" t="str">
        <f>'Quarterly historicals'!B124</f>
        <v>NA</v>
      </c>
      <c r="Y167" s="952" t="str">
        <f>'Quarterly historicals'!C124</f>
        <v>NA</v>
      </c>
      <c r="Z167" s="952" t="str">
        <f>'Quarterly historicals'!D124</f>
        <v>NA</v>
      </c>
      <c r="AA167" s="952" t="str">
        <f>'Quarterly historicals'!E124</f>
        <v>NA</v>
      </c>
      <c r="AB167" s="952" t="str">
        <f>'Quarterly historicals'!F124</f>
        <v>NA</v>
      </c>
      <c r="AC167" s="952" t="str">
        <f>'Quarterly historicals'!G124</f>
        <v>NA</v>
      </c>
      <c r="AD167" s="952" t="str">
        <f>'Quarterly historicals'!H124</f>
        <v>NA</v>
      </c>
      <c r="AE167" s="952" t="str">
        <f>'Quarterly historicals'!I124</f>
        <v>NA</v>
      </c>
      <c r="AF167" s="952" t="str">
        <f>'Quarterly historicals'!J124</f>
        <v>NA</v>
      </c>
      <c r="AG167" s="952" t="str">
        <f>'Quarterly historicals'!K124</f>
        <v>NA</v>
      </c>
      <c r="AH167" s="952" t="str">
        <f>'Quarterly historicals'!L124</f>
        <v>NA</v>
      </c>
      <c r="AI167" s="952" t="str">
        <f>'Quarterly historicals'!M124</f>
        <v>NA</v>
      </c>
      <c r="AJ167" s="952">
        <f>'Quarterly historicals'!N124</f>
        <v>-7.7430000000000003</v>
      </c>
      <c r="AK167" s="952">
        <f>'Quarterly historicals'!O124</f>
        <v>-9.2269999999999985</v>
      </c>
      <c r="AL167" s="952">
        <f>'Quarterly historicals'!P124</f>
        <v>-6.59</v>
      </c>
      <c r="AM167" s="952">
        <f>'Quarterly historicals'!Q124</f>
        <v>-12.226000000000003</v>
      </c>
      <c r="AN167" s="952">
        <f>'Quarterly historicals'!R124</f>
        <v>-9.6310000000000002</v>
      </c>
      <c r="AO167" s="952">
        <f>'Quarterly historicals'!S124</f>
        <v>-17.088999999999999</v>
      </c>
      <c r="AP167" s="952">
        <f>'Quarterly historicals'!T124</f>
        <v>-9.3860000000000028</v>
      </c>
      <c r="AQ167" s="952">
        <f>'Quarterly historicals'!U124</f>
        <v>-5.8599999999999994</v>
      </c>
      <c r="AR167" s="952">
        <f>'Quarterly historicals'!V124</f>
        <v>-12.337999999999999</v>
      </c>
      <c r="AS167" s="952">
        <f>'Quarterly historicals'!W124</f>
        <v>-20.911999999999999</v>
      </c>
      <c r="AT167" s="952">
        <f>'Quarterly historicals'!X124</f>
        <v>-11.332999999999998</v>
      </c>
      <c r="AU167" s="952">
        <f>'Quarterly historicals'!Y124</f>
        <v>-9.1360000000000028</v>
      </c>
      <c r="AV167" s="952">
        <f>'Quarterly historicals'!Z124</f>
        <v>-12.372999999999999</v>
      </c>
      <c r="AW167" s="952">
        <f>'Quarterly historicals'!AA124</f>
        <v>-23.991</v>
      </c>
      <c r="AX167" s="952">
        <f>'Quarterly historicals'!AB124</f>
        <v>-7.6470000000000056</v>
      </c>
      <c r="AY167" s="952">
        <f>'Quarterly historicals'!AC124</f>
        <v>-16.664999999999999</v>
      </c>
      <c r="AZ167" s="952">
        <f>'Quarterly historicals'!AD124</f>
        <v>-13.018000000000001</v>
      </c>
      <c r="BA167" s="952">
        <f>'Quarterly historicals'!AE124</f>
        <v>-18.465</v>
      </c>
      <c r="BB167" s="952">
        <f>'Quarterly historicals'!AF124</f>
        <v>-11.744999999999999</v>
      </c>
      <c r="BC167" s="952">
        <f>'Quarterly historicals'!AG124</f>
        <v>-13.158000000000001</v>
      </c>
      <c r="BD167" s="952">
        <f>'Quarterly historicals'!AH124</f>
        <v>-13.414</v>
      </c>
      <c r="BE167" s="390">
        <f>'Quarterly historicals'!AI124</f>
        <v>-17.327999999999999</v>
      </c>
      <c r="BF167" s="390">
        <f>'Quarterly historicals'!AJ124</f>
        <v>-20.100000000000001</v>
      </c>
      <c r="BG167" s="390">
        <f>'Quarterly historicals'!AK124</f>
        <v>-16.872</v>
      </c>
      <c r="BH167" s="390">
        <f>'Quarterly historicals'!AL124</f>
        <v>-12.157</v>
      </c>
      <c r="BI167" s="390">
        <f>'Quarterly historicals'!AM124</f>
        <v>-14.455</v>
      </c>
      <c r="BJ167" s="390">
        <f>'Quarterly historicals'!AN124</f>
        <v>-14.769</v>
      </c>
      <c r="BK167" s="390">
        <f>'Quarterly historicals'!AO124</f>
        <v>-20.100000000000001</v>
      </c>
      <c r="BL167" s="390">
        <f>'Quarterly historicals'!AP124</f>
        <v>-20.283000000000001</v>
      </c>
      <c r="BM167" s="390">
        <f>'Quarterly historicals'!AQ124</f>
        <v>-19.199000000000002</v>
      </c>
      <c r="BN167" s="390">
        <f>'Quarterly historicals'!AR124</f>
        <v>-17.408000000000001</v>
      </c>
      <c r="BO167" s="390">
        <f>'Quarterly historicals'!AS124</f>
        <v>-15.739999999999995</v>
      </c>
      <c r="BP167" s="391">
        <f>'Quarterly historicals'!AT124</f>
        <v>-19.466000000000001</v>
      </c>
      <c r="BQ167" s="2342"/>
      <c r="BR167" s="2342"/>
      <c r="BS167" s="2343"/>
      <c r="BT167" s="2343"/>
      <c r="BU167" s="2343"/>
      <c r="BV167" s="2343"/>
      <c r="BW167" s="2343"/>
      <c r="BX167" s="2343"/>
      <c r="BY167" s="2343"/>
      <c r="BZ167" s="2343"/>
      <c r="CA167" s="2343"/>
      <c r="CB167" s="2343"/>
      <c r="CC167" s="2343"/>
      <c r="CD167" s="2343"/>
      <c r="CE167" s="2343"/>
      <c r="CF167" s="380"/>
      <c r="CG167" s="380"/>
    </row>
    <row r="168" spans="1:99" s="14" customFormat="1">
      <c r="A168" s="2341" t="s">
        <v>42</v>
      </c>
      <c r="B168" s="1031" t="s">
        <v>972</v>
      </c>
      <c r="C168" s="1031" t="s">
        <v>972</v>
      </c>
      <c r="D168" s="1031" t="s">
        <v>972</v>
      </c>
      <c r="E168" s="1031" t="s">
        <v>972</v>
      </c>
      <c r="F168" s="1013">
        <f>'Annual historicals'!K128</f>
        <v>-43.615000000000002</v>
      </c>
      <c r="G168" s="1013">
        <f>'Annual historicals'!L128</f>
        <v>-42.866999999999997</v>
      </c>
      <c r="H168" s="1013">
        <f>'Annual historicals'!M128</f>
        <v>-42.591000000000001</v>
      </c>
      <c r="I168" s="1013">
        <f>'Annual historicals'!N128</f>
        <v>-45.956000000000003</v>
      </c>
      <c r="J168" s="1013">
        <f>'Annual historicals'!O128</f>
        <v>-59.624000000000002</v>
      </c>
      <c r="K168" s="1013">
        <f>'Annual historicals'!P128</f>
        <v>-67.100999999999999</v>
      </c>
      <c r="L168" s="1013">
        <f>'Annual historicals'!Q128</f>
        <v>-67.033000000000001</v>
      </c>
      <c r="M168" s="1449">
        <f>'Annual historicals'!R128</f>
        <v>-62.585999999999999</v>
      </c>
      <c r="N168" s="620">
        <f>+M168*(1+Inputs!P$144)</f>
        <v>-65.011207499999998</v>
      </c>
      <c r="O168" s="620">
        <f>+N168*(1+Inputs!Q$144)</f>
        <v>-67.871700630000007</v>
      </c>
      <c r="P168" s="620">
        <f>+O168*(1+Inputs!R$144)</f>
        <v>-70.858055457720013</v>
      </c>
      <c r="Q168" s="620">
        <f>+P168*(1+Inputs!S$144)</f>
        <v>-73.975809897859691</v>
      </c>
      <c r="R168" s="620">
        <f>+Q168*(1+Inputs!T$144)</f>
        <v>-77.230745533365521</v>
      </c>
      <c r="S168" s="620">
        <f>+R168*(1+Inputs!U$144)</f>
        <v>-80.628898336833601</v>
      </c>
      <c r="T168" s="620">
        <f>+S168*(1+Inputs!V$144)</f>
        <v>-84.176569863654279</v>
      </c>
      <c r="U168" s="620">
        <f>+T168*(1+Inputs!W$144)</f>
        <v>-87.880338937655068</v>
      </c>
      <c r="V168" s="1021"/>
      <c r="W168" s="178"/>
      <c r="X168" s="952" t="str">
        <f>'Quarterly historicals'!B125</f>
        <v>NA</v>
      </c>
      <c r="Y168" s="952" t="str">
        <f>'Quarterly historicals'!C125</f>
        <v>NA</v>
      </c>
      <c r="Z168" s="952" t="str">
        <f>'Quarterly historicals'!D125</f>
        <v>NA</v>
      </c>
      <c r="AA168" s="952" t="str">
        <f>'Quarterly historicals'!E125</f>
        <v>NA</v>
      </c>
      <c r="AB168" s="952" t="str">
        <f>'Quarterly historicals'!F125</f>
        <v>NA</v>
      </c>
      <c r="AC168" s="952" t="str">
        <f>'Quarterly historicals'!G125</f>
        <v>NA</v>
      </c>
      <c r="AD168" s="952" t="str">
        <f>'Quarterly historicals'!H125</f>
        <v>NA</v>
      </c>
      <c r="AE168" s="952" t="str">
        <f>'Quarterly historicals'!I125</f>
        <v>NA</v>
      </c>
      <c r="AF168" s="952" t="str">
        <f>'Quarterly historicals'!J125</f>
        <v>NA</v>
      </c>
      <c r="AG168" s="952" t="str">
        <f>'Quarterly historicals'!K125</f>
        <v>NA</v>
      </c>
      <c r="AH168" s="952" t="str">
        <f>'Quarterly historicals'!L125</f>
        <v>NA</v>
      </c>
      <c r="AI168" s="952" t="str">
        <f>'Quarterly historicals'!M125</f>
        <v>NA</v>
      </c>
      <c r="AJ168" s="952">
        <f>'Quarterly historicals'!N125</f>
        <v>-10.336</v>
      </c>
      <c r="AK168" s="952">
        <f>'Quarterly historicals'!O125</f>
        <v>-11.336999999999998</v>
      </c>
      <c r="AL168" s="952">
        <f>'Quarterly historicals'!P125</f>
        <v>-9.7070000000000007</v>
      </c>
      <c r="AM168" s="952">
        <f>'Quarterly historicals'!Q125</f>
        <v>-12.235000000000003</v>
      </c>
      <c r="AN168" s="952">
        <f>'Quarterly historicals'!R125</f>
        <v>-8.2129999999999992</v>
      </c>
      <c r="AO168" s="952">
        <f>'Quarterly historicals'!S125</f>
        <v>-12.122999999999999</v>
      </c>
      <c r="AP168" s="952">
        <f>'Quarterly historicals'!T125</f>
        <v>-11.816000000000003</v>
      </c>
      <c r="AQ168" s="952">
        <f>'Quarterly historicals'!U125</f>
        <v>-10.714999999999996</v>
      </c>
      <c r="AR168" s="952">
        <f>'Quarterly historicals'!V125</f>
        <v>-7.5620000000000003</v>
      </c>
      <c r="AS168" s="952">
        <f>'Quarterly historicals'!W125</f>
        <v>-8.8780000000000001</v>
      </c>
      <c r="AT168" s="952">
        <f>'Quarterly historicals'!X125</f>
        <v>-12.75</v>
      </c>
      <c r="AU168" s="952">
        <f>'Quarterly historicals'!Y125</f>
        <v>-13.401</v>
      </c>
      <c r="AV168" s="952">
        <f>'Quarterly historicals'!Z125</f>
        <v>-13.077999999999999</v>
      </c>
      <c r="AW168" s="952">
        <f>'Quarterly historicals'!AA125</f>
        <v>-6.1509999999999998</v>
      </c>
      <c r="AX168" s="952">
        <f>'Quarterly historicals'!AB125</f>
        <v>-13.71</v>
      </c>
      <c r="AY168" s="952">
        <f>'Quarterly historicals'!AC125</f>
        <v>-13.017000000000003</v>
      </c>
      <c r="AZ168" s="952">
        <f>'Quarterly historicals'!AD125</f>
        <v>-14.281000000000001</v>
      </c>
      <c r="BA168" s="952">
        <f>'Quarterly historicals'!AE125</f>
        <v>-16.504999999999999</v>
      </c>
      <c r="BB168" s="952">
        <f>'Quarterly historicals'!AF125</f>
        <v>-13.77</v>
      </c>
      <c r="BC168" s="952">
        <f>'Quarterly historicals'!AG125</f>
        <v>-15.097999999999999</v>
      </c>
      <c r="BD168" s="952">
        <f>'Quarterly historicals'!AH125</f>
        <v>-16.213999999999999</v>
      </c>
      <c r="BE168" s="390">
        <f>'Quarterly historicals'!AI125</f>
        <v>-13.067</v>
      </c>
      <c r="BF168" s="390">
        <f>'Quarterly historicals'!AJ125</f>
        <v>-16.106000000000002</v>
      </c>
      <c r="BG168" s="390">
        <f>'Quarterly historicals'!AK125</f>
        <v>-21.713999999999999</v>
      </c>
      <c r="BH168" s="390">
        <f>'Quarterly historicals'!AL125</f>
        <v>-13.122999999999999</v>
      </c>
      <c r="BI168" s="390">
        <f>'Quarterly historicals'!AM125</f>
        <v>-18.231999999999999</v>
      </c>
      <c r="BJ168" s="390">
        <f>'Quarterly historicals'!AN125</f>
        <v>-16.404</v>
      </c>
      <c r="BK168" s="390">
        <f>'Quarterly historicals'!AO125</f>
        <v>-19.274000000000001</v>
      </c>
      <c r="BL168" s="390">
        <f>'Quarterly historicals'!AP125</f>
        <v>-14.68</v>
      </c>
      <c r="BM168" s="390">
        <f>'Quarterly historicals'!AQ125</f>
        <v>-18.141999999999999</v>
      </c>
      <c r="BN168" s="390">
        <f>'Quarterly historicals'!AR125</f>
        <v>-17.27</v>
      </c>
      <c r="BO168" s="390">
        <f>'Quarterly historicals'!AS125</f>
        <v>-12.494</v>
      </c>
      <c r="BP168" s="391">
        <f>'Quarterly historicals'!AT125</f>
        <v>-15.561</v>
      </c>
      <c r="BQ168" s="2342"/>
      <c r="BR168" s="2342"/>
      <c r="BS168" s="2342"/>
      <c r="BT168" s="2342"/>
      <c r="BU168" s="2342"/>
      <c r="BV168" s="2342"/>
      <c r="BW168" s="2342"/>
      <c r="BX168" s="2342"/>
      <c r="BY168" s="2342"/>
      <c r="BZ168" s="2342"/>
      <c r="CA168" s="2342"/>
      <c r="CB168" s="2342"/>
      <c r="CC168" s="2342"/>
      <c r="CD168" s="2342"/>
      <c r="CE168" s="2342"/>
      <c r="CF168" s="251"/>
      <c r="CG168" s="251"/>
    </row>
    <row r="169" spans="1:99" s="14" customFormat="1">
      <c r="A169" s="2341" t="s">
        <v>46</v>
      </c>
      <c r="B169" s="1031" t="s">
        <v>972</v>
      </c>
      <c r="C169" s="1031" t="s">
        <v>972</v>
      </c>
      <c r="D169" s="1031" t="s">
        <v>972</v>
      </c>
      <c r="E169" s="1031" t="s">
        <v>972</v>
      </c>
      <c r="F169" s="1013">
        <f>'Annual historicals'!K129</f>
        <v>-8.8219999999999992</v>
      </c>
      <c r="G169" s="1013">
        <f>'Annual historicals'!L129</f>
        <v>-9.4260000000000002</v>
      </c>
      <c r="H169" s="1013">
        <f>'Annual historicals'!M129</f>
        <v>-10.701000000000001</v>
      </c>
      <c r="I169" s="1013">
        <f>'Annual historicals'!N129</f>
        <v>-11.848000000000001</v>
      </c>
      <c r="J169" s="1013">
        <f>'Annual historicals'!O129</f>
        <v>-12.894</v>
      </c>
      <c r="K169" s="1013">
        <f>'Annual historicals'!P129</f>
        <v>-14.978999999999999</v>
      </c>
      <c r="L169" s="1013">
        <f>'Annual historicals'!Q129</f>
        <v>-16.698999999999998</v>
      </c>
      <c r="M169" s="1449">
        <f>'Annual historicals'!R129</f>
        <v>-17.669999999999998</v>
      </c>
      <c r="N169" s="620">
        <f>+M169*(1+Inputs!P$144)</f>
        <v>-18.354712499999998</v>
      </c>
      <c r="O169" s="620">
        <f>+N169*(1+Inputs!Q$144)</f>
        <v>-19.162319849999999</v>
      </c>
      <c r="P169" s="620">
        <f>+O169*(1+Inputs!R$144)</f>
        <v>-20.005461923399999</v>
      </c>
      <c r="Q169" s="620">
        <f>+P169*(1+Inputs!S$144)</f>
        <v>-20.885702248029599</v>
      </c>
      <c r="R169" s="620">
        <f>+Q169*(1+Inputs!T$144)</f>
        <v>-21.804673146942903</v>
      </c>
      <c r="S169" s="620">
        <f>+R169*(1+Inputs!U$144)</f>
        <v>-22.764078765408392</v>
      </c>
      <c r="T169" s="620">
        <f>+S169*(1+Inputs!V$144)</f>
        <v>-23.765698231086361</v>
      </c>
      <c r="U169" s="620">
        <f>+T169*(1+Inputs!W$144)</f>
        <v>-24.811388953254163</v>
      </c>
      <c r="V169" s="1021"/>
      <c r="W169" s="178"/>
      <c r="X169" s="952" t="str">
        <f>'Quarterly historicals'!B126</f>
        <v>NA</v>
      </c>
      <c r="Y169" s="952" t="str">
        <f>'Quarterly historicals'!C126</f>
        <v>NA</v>
      </c>
      <c r="Z169" s="952" t="str">
        <f>'Quarterly historicals'!D126</f>
        <v>NA</v>
      </c>
      <c r="AA169" s="952" t="str">
        <f>'Quarterly historicals'!E126</f>
        <v>NA</v>
      </c>
      <c r="AB169" s="952" t="str">
        <f>'Quarterly historicals'!F126</f>
        <v>NA</v>
      </c>
      <c r="AC169" s="952" t="str">
        <f>'Quarterly historicals'!G126</f>
        <v>NA</v>
      </c>
      <c r="AD169" s="952" t="str">
        <f>'Quarterly historicals'!H126</f>
        <v>NA</v>
      </c>
      <c r="AE169" s="952" t="str">
        <f>'Quarterly historicals'!I126</f>
        <v>NA</v>
      </c>
      <c r="AF169" s="952" t="str">
        <f>'Quarterly historicals'!J126</f>
        <v>NA</v>
      </c>
      <c r="AG169" s="952" t="str">
        <f>'Quarterly historicals'!K126</f>
        <v>NA</v>
      </c>
      <c r="AH169" s="952" t="str">
        <f>'Quarterly historicals'!L126</f>
        <v>NA</v>
      </c>
      <c r="AI169" s="952" t="str">
        <f>'Quarterly historicals'!M126</f>
        <v>NA</v>
      </c>
      <c r="AJ169" s="952">
        <f>'Quarterly historicals'!N126</f>
        <v>-2.0089999999999999</v>
      </c>
      <c r="AK169" s="952">
        <f>'Quarterly historicals'!O126</f>
        <v>-2.2849999999999997</v>
      </c>
      <c r="AL169" s="952">
        <f>'Quarterly historicals'!P126</f>
        <v>-1.8110000000000008</v>
      </c>
      <c r="AM169" s="952">
        <f>'Quarterly historicals'!Q126</f>
        <v>-2.7169999999999987</v>
      </c>
      <c r="AN169" s="952">
        <f>'Quarterly historicals'!R126</f>
        <v>-1.9830000000000001</v>
      </c>
      <c r="AO169" s="952">
        <f>'Quarterly historicals'!S126</f>
        <v>-3.2449999999999997</v>
      </c>
      <c r="AP169" s="952">
        <f>'Quarterly historicals'!T126</f>
        <v>-2.3559999999999999</v>
      </c>
      <c r="AQ169" s="952">
        <f>'Quarterly historicals'!U126</f>
        <v>-1.8420000000000005</v>
      </c>
      <c r="AR169" s="952">
        <f>'Quarterly historicals'!V126</f>
        <v>-2.2109999999999999</v>
      </c>
      <c r="AS169" s="952">
        <f>'Quarterly historicals'!W126</f>
        <v>-3.31</v>
      </c>
      <c r="AT169" s="952">
        <f>'Quarterly historicals'!X126</f>
        <v>-2.6759999999999993</v>
      </c>
      <c r="AU169" s="952">
        <f>'Quarterly historicals'!Y126</f>
        <v>-2.5040000000000013</v>
      </c>
      <c r="AV169" s="952">
        <f>'Quarterly historicals'!Z126</f>
        <v>-2.8279999999999998</v>
      </c>
      <c r="AW169" s="952">
        <f>'Quarterly historicals'!AA126</f>
        <v>-3.3489999999999998</v>
      </c>
      <c r="AX169" s="952">
        <f>'Quarterly historicals'!AB126</f>
        <v>-2.3730000000000011</v>
      </c>
      <c r="AY169" s="952">
        <f>'Quarterly historicals'!AC126</f>
        <v>-3.298</v>
      </c>
      <c r="AZ169" s="952">
        <f>'Quarterly historicals'!AD126</f>
        <v>-3.0329999999999999</v>
      </c>
      <c r="BA169" s="952">
        <f>'Quarterly historicals'!AE126</f>
        <v>-3.8860000000000001</v>
      </c>
      <c r="BB169" s="952">
        <f>'Quarterly historicals'!AF126</f>
        <v>-2.835</v>
      </c>
      <c r="BC169" s="952">
        <f>'Quarterly historicals'!AG126</f>
        <v>-3.1400000000000006</v>
      </c>
      <c r="BD169" s="952">
        <f>'Quarterly historicals'!AH126</f>
        <v>-3.2919999999999998</v>
      </c>
      <c r="BE169" s="390">
        <f>'Quarterly historicals'!AI126</f>
        <v>-3.3769999999999998</v>
      </c>
      <c r="BF169" s="390">
        <f>'Quarterly historicals'!AJ126</f>
        <v>-4.0229999999999997</v>
      </c>
      <c r="BG169" s="390">
        <f>'Quarterly historicals'!AK126</f>
        <v>-4.286999999999999</v>
      </c>
      <c r="BH169" s="390">
        <f>'Quarterly historicals'!AL126</f>
        <v>-5.5419999999999998</v>
      </c>
      <c r="BI169" s="390">
        <f>'Quarterly historicals'!AM126</f>
        <v>-5.6969999999999992</v>
      </c>
      <c r="BJ169" s="390">
        <f>'Quarterly historicals'!AN126</f>
        <v>-3.7729999999999997</v>
      </c>
      <c r="BK169" s="390">
        <f>'Quarterly historicals'!AO126</f>
        <v>-1.6869999999999994</v>
      </c>
      <c r="BL169" s="390">
        <f>'Quarterly historicals'!AP126</f>
        <v>-5.2450000000000001</v>
      </c>
      <c r="BM169" s="390">
        <f>'Quarterly historicals'!AQ126</f>
        <v>-5.1449999999999996</v>
      </c>
      <c r="BN169" s="390">
        <f>'Quarterly historicals'!AR126</f>
        <v>-4.0919999999999996</v>
      </c>
      <c r="BO169" s="390">
        <f>'Quarterly historicals'!AS126</f>
        <v>-3.1879999999999988</v>
      </c>
      <c r="BP169" s="391">
        <f>'Quarterly historicals'!AT126</f>
        <v>-5.1820000000000004</v>
      </c>
      <c r="BQ169" s="2342"/>
      <c r="BR169" s="2342"/>
      <c r="BS169" s="2342"/>
      <c r="BT169" s="2342"/>
      <c r="BU169" s="2342"/>
      <c r="BV169" s="2342"/>
      <c r="BW169" s="2342"/>
      <c r="BX169" s="2342"/>
      <c r="BY169" s="2342"/>
      <c r="BZ169" s="2342"/>
      <c r="CA169" s="2342"/>
      <c r="CB169" s="2342"/>
      <c r="CC169" s="2342"/>
      <c r="CD169" s="2342"/>
      <c r="CE169" s="2342"/>
      <c r="CF169" s="251"/>
      <c r="CG169" s="251"/>
    </row>
    <row r="170" spans="1:99" s="1401" customFormat="1">
      <c r="A170" s="2095"/>
      <c r="B170" s="1015"/>
      <c r="C170" s="1015"/>
      <c r="D170" s="1015"/>
      <c r="E170" s="1015"/>
      <c r="F170" s="1015"/>
      <c r="G170" s="900"/>
      <c r="H170" s="900"/>
      <c r="I170" s="900"/>
      <c r="J170" s="900"/>
      <c r="K170" s="900"/>
      <c r="L170" s="900"/>
      <c r="M170" s="2084"/>
      <c r="N170" s="407"/>
      <c r="O170" s="407"/>
      <c r="P170" s="407"/>
      <c r="Q170" s="407"/>
      <c r="R170" s="407"/>
      <c r="S170" s="407"/>
      <c r="T170" s="407"/>
      <c r="U170" s="407"/>
      <c r="V170" s="178"/>
      <c r="W170" s="178"/>
      <c r="X170" s="1042"/>
      <c r="Y170" s="1042"/>
      <c r="Z170" s="1042"/>
      <c r="AA170" s="1042"/>
      <c r="AB170" s="1042"/>
      <c r="AC170" s="1042"/>
      <c r="AD170" s="1042"/>
      <c r="AE170" s="1042"/>
      <c r="AF170" s="1042"/>
      <c r="AG170" s="1042"/>
      <c r="AH170" s="1042"/>
      <c r="AI170" s="1042"/>
      <c r="AJ170" s="1042"/>
      <c r="AK170" s="1042"/>
      <c r="AL170" s="1042"/>
      <c r="AM170" s="1042"/>
      <c r="AN170" s="1042"/>
      <c r="AO170" s="1042"/>
      <c r="AP170" s="1042"/>
      <c r="AQ170" s="1042"/>
      <c r="AR170" s="1042"/>
      <c r="AS170" s="1042"/>
      <c r="AT170" s="1042"/>
      <c r="AU170" s="1042"/>
      <c r="AV170" s="1042"/>
      <c r="AW170" s="1042"/>
      <c r="AX170" s="1042"/>
      <c r="AY170" s="1042"/>
      <c r="AZ170" s="1042"/>
      <c r="BA170" s="1042"/>
      <c r="BB170" s="1042"/>
      <c r="BC170" s="1042"/>
      <c r="BD170" s="1042"/>
      <c r="BE170" s="1016"/>
      <c r="BF170" s="1016"/>
      <c r="BG170" s="1016"/>
      <c r="BH170" s="1016"/>
      <c r="BI170" s="1016"/>
      <c r="BJ170" s="1016"/>
      <c r="BK170" s="1016"/>
      <c r="BL170" s="1016"/>
      <c r="BM170" s="1016"/>
      <c r="BN170" s="1016"/>
      <c r="BO170" s="1016"/>
      <c r="BP170" s="1446"/>
      <c r="BQ170" s="412"/>
      <c r="BR170" s="412"/>
      <c r="BS170" s="466"/>
      <c r="BT170" s="466"/>
      <c r="BU170" s="466"/>
      <c r="BV170" s="466"/>
      <c r="BW170" s="466"/>
      <c r="BX170" s="466"/>
      <c r="BY170" s="466"/>
      <c r="BZ170" s="466"/>
      <c r="CA170" s="466"/>
      <c r="CB170" s="466"/>
      <c r="CC170" s="466"/>
      <c r="CD170" s="466"/>
      <c r="CE170" s="466"/>
      <c r="CF170" s="197"/>
      <c r="CG170" s="197"/>
    </row>
    <row r="171" spans="1:99">
      <c r="A171" s="2092" t="s">
        <v>1049</v>
      </c>
      <c r="B171" s="1015" t="s">
        <v>972</v>
      </c>
      <c r="C171" s="1015" t="s">
        <v>972</v>
      </c>
      <c r="D171" s="1015" t="s">
        <v>972</v>
      </c>
      <c r="E171" s="1015" t="s">
        <v>972</v>
      </c>
      <c r="F171" s="794">
        <f t="shared" ref="F171:M171" si="500">F165-SUM(F167,F168,F169)</f>
        <v>-4.714999999999975</v>
      </c>
      <c r="G171" s="794">
        <f t="shared" si="500"/>
        <v>-6.8709999999999951</v>
      </c>
      <c r="H171" s="794">
        <f t="shared" si="500"/>
        <v>-11.320000000000007</v>
      </c>
      <c r="I171" s="794">
        <f t="shared" si="500"/>
        <v>-9.0810000000000031</v>
      </c>
      <c r="J171" s="794">
        <f t="shared" si="500"/>
        <v>-9.1140000000000043</v>
      </c>
      <c r="K171" s="794">
        <f t="shared" si="500"/>
        <v>-13.873000000000047</v>
      </c>
      <c r="L171" s="794">
        <f t="shared" si="500"/>
        <v>-10.769999999999982</v>
      </c>
      <c r="M171" s="1447">
        <f t="shared" si="500"/>
        <v>-11.35299999999998</v>
      </c>
      <c r="N171" s="694">
        <f>+M171</f>
        <v>-11.35299999999998</v>
      </c>
      <c r="O171" s="694">
        <f t="shared" ref="O171:U171" si="501">+N171</f>
        <v>-11.35299999999998</v>
      </c>
      <c r="P171" s="694">
        <f t="shared" si="501"/>
        <v>-11.35299999999998</v>
      </c>
      <c r="Q171" s="694">
        <f t="shared" si="501"/>
        <v>-11.35299999999998</v>
      </c>
      <c r="R171" s="694">
        <f t="shared" si="501"/>
        <v>-11.35299999999998</v>
      </c>
      <c r="S171" s="694">
        <f t="shared" si="501"/>
        <v>-11.35299999999998</v>
      </c>
      <c r="T171" s="694">
        <f t="shared" si="501"/>
        <v>-11.35299999999998</v>
      </c>
      <c r="U171" s="694">
        <f t="shared" si="501"/>
        <v>-11.35299999999998</v>
      </c>
      <c r="V171" s="1021"/>
      <c r="W171" s="178"/>
      <c r="X171" s="972" t="e">
        <f>IF(#REF!="NA","NA",X165-X167-X168-X169)</f>
        <v>#REF!</v>
      </c>
      <c r="Y171" s="972" t="e">
        <f>IF(#REF!="NA","NA",Y165-Y167-Y168-Y169)</f>
        <v>#REF!</v>
      </c>
      <c r="Z171" s="972" t="e">
        <f>IF(#REF!="NA","NA",Z165-Z167-Z168-Z169)</f>
        <v>#REF!</v>
      </c>
      <c r="AA171" s="972" t="e">
        <f>IF(#REF!="NA","NA",AA165-AA167-AA168-AA169)</f>
        <v>#REF!</v>
      </c>
      <c r="AB171" s="972" t="e">
        <f>IF(#REF!="NA","NA",AB165-AB167-AB168-AB169)</f>
        <v>#REF!</v>
      </c>
      <c r="AC171" s="972" t="e">
        <f>IF(#REF!="NA","NA",AC165-AC167-AC168-AC169)</f>
        <v>#REF!</v>
      </c>
      <c r="AD171" s="972" t="e">
        <f>IF(#REF!="NA","NA",AD165-AD167-AD168-AD169)</f>
        <v>#REF!</v>
      </c>
      <c r="AE171" s="972" t="e">
        <f>IF(#REF!="NA","NA",AE165-AE167-AE168-AE169)</f>
        <v>#REF!</v>
      </c>
      <c r="AF171" s="972" t="e">
        <f>IF(#REF!="NA","NA",AF165-AF167-AF168-AF169)</f>
        <v>#REF!</v>
      </c>
      <c r="AG171" s="972" t="e">
        <f>IF(#REF!="NA","NA",AG165-AG167-AG168-AG169)</f>
        <v>#REF!</v>
      </c>
      <c r="AH171" s="972" t="e">
        <f>IF(#REF!="NA","NA",AH165-AH167-AH168-AH169)</f>
        <v>#REF!</v>
      </c>
      <c r="AI171" s="972" t="e">
        <f>IF(#REF!="NA","NA",AI165-AI167-AI168-AI169)</f>
        <v>#REF!</v>
      </c>
      <c r="AJ171" s="972" t="e">
        <f>IF(#REF!="NA","NA",AJ165-AJ167-AJ168-AJ169)</f>
        <v>#REF!</v>
      </c>
      <c r="AK171" s="972" t="e">
        <f>IF(#REF!="NA","NA",AK165-AK167-AK168-AK169)</f>
        <v>#REF!</v>
      </c>
      <c r="AL171" s="972" t="e">
        <f>IF(#REF!="NA","NA",AL165-AL167-AL168-AL169)</f>
        <v>#REF!</v>
      </c>
      <c r="AM171" s="972" t="e">
        <f>IF(#REF!="NA","NA",AM165-AM167-AM168-AM169)</f>
        <v>#REF!</v>
      </c>
      <c r="AN171" s="972" t="e">
        <f>IF(#REF!="NA","NA",AN165-AN167-AN168-AN169)</f>
        <v>#REF!</v>
      </c>
      <c r="AO171" s="972" t="e">
        <f>IF(#REF!="NA","NA",AO165-AO167-AO168-AO169)</f>
        <v>#REF!</v>
      </c>
      <c r="AP171" s="972" t="e">
        <f>IF(#REF!="NA","NA",AP165-AP167-AP168-AP169)</f>
        <v>#REF!</v>
      </c>
      <c r="AQ171" s="972" t="e">
        <f>IF(#REF!="NA","NA",AQ165-AQ167-AQ168-AQ169)</f>
        <v>#REF!</v>
      </c>
      <c r="AR171" s="794" t="e">
        <f>IF(#REF!="NA","NA",AR165-AR167-AR168-AR169)</f>
        <v>#REF!</v>
      </c>
      <c r="AS171" s="794" t="e">
        <f>IF(#REF!="NA","NA",AS165-AS167-AS168-AS169)</f>
        <v>#REF!</v>
      </c>
      <c r="AT171" s="794" t="e">
        <f>IF(#REF!="NA","NA",AT165-AT167-AT168-AT169)</f>
        <v>#REF!</v>
      </c>
      <c r="AU171" s="794" t="e">
        <f>IF(#REF!="NA","NA",AU165-AU167-AU168-AU169)</f>
        <v>#REF!</v>
      </c>
      <c r="AV171" s="794" t="e">
        <f>IF(#REF!="NA","NA",AV165-AV167-AV168-AV169)</f>
        <v>#REF!</v>
      </c>
      <c r="AW171" s="794" t="e">
        <f>IF(#REF!="NA","NA",AW165-AW167-AW168-AW169)</f>
        <v>#REF!</v>
      </c>
      <c r="AX171" s="794" t="e">
        <f>IF(#REF!="NA","NA",AX165-AX167-AX168-AX169)</f>
        <v>#REF!</v>
      </c>
      <c r="AY171" s="794" t="e">
        <f>IF(#REF!="NA","NA",AY165-AY167-AY168-AY169)</f>
        <v>#REF!</v>
      </c>
      <c r="AZ171" s="794" t="e">
        <f>IF(#REF!="NA","NA",AZ165-AZ167-AZ168-AZ169)</f>
        <v>#REF!</v>
      </c>
      <c r="BA171" s="794" t="e">
        <f>IF(#REF!="NA","NA",BA165-BA167-BA168-BA169)</f>
        <v>#REF!</v>
      </c>
      <c r="BB171" s="794" t="e">
        <f>IF(#REF!="NA","NA",BB165-BB167-BB168-BB169)</f>
        <v>#REF!</v>
      </c>
      <c r="BC171" s="794" t="e">
        <f>IF(#REF!="NA","NA",BC165-BC167-BC168-BC169)</f>
        <v>#REF!</v>
      </c>
      <c r="BD171" s="794">
        <f>BD165-BD167-BD168-BD169</f>
        <v>-2.5300000000000029</v>
      </c>
      <c r="BE171" s="794">
        <f t="shared" ref="BE171:BP171" si="502">BE165-BE167-BE168-BE169</f>
        <v>-1.7030000000000021</v>
      </c>
      <c r="BF171" s="794">
        <f t="shared" si="502"/>
        <v>-7.4809999999999981</v>
      </c>
      <c r="BG171" s="794">
        <f t="shared" si="502"/>
        <v>-2.1589999999999989</v>
      </c>
      <c r="BH171" s="794">
        <f t="shared" si="502"/>
        <v>-2.6040000000000028</v>
      </c>
      <c r="BI171" s="794">
        <f t="shared" si="502"/>
        <v>-2.8270000000000017</v>
      </c>
      <c r="BJ171" s="794">
        <f t="shared" si="502"/>
        <v>-2.7530000000000001</v>
      </c>
      <c r="BK171" s="794">
        <f t="shared" si="502"/>
        <v>-2.5859999999999967</v>
      </c>
      <c r="BL171" s="794">
        <f t="shared" si="502"/>
        <v>-2.7349999999999968</v>
      </c>
      <c r="BM171" s="794">
        <f t="shared" si="502"/>
        <v>-2.9929999999999986</v>
      </c>
      <c r="BN171" s="794">
        <f t="shared" si="502"/>
        <v>-2.8709999999999978</v>
      </c>
      <c r="BO171" s="794">
        <f t="shared" si="502"/>
        <v>-2.7540000000000084</v>
      </c>
      <c r="BP171" s="1447">
        <f t="shared" si="502"/>
        <v>-5.3649999999999967</v>
      </c>
    </row>
    <row r="172" spans="1:99">
      <c r="L172" s="1401"/>
      <c r="M172" s="1447"/>
      <c r="V172" s="1021"/>
      <c r="W172" s="178"/>
      <c r="BM172" s="1401"/>
      <c r="BN172" s="1401"/>
      <c r="BO172" s="1401"/>
      <c r="BP172" s="426"/>
    </row>
    <row r="173" spans="1:99">
      <c r="A173" s="101" t="s">
        <v>1050</v>
      </c>
      <c r="B173" s="327">
        <f>Financials!D61-Financials!D55</f>
        <v>0</v>
      </c>
      <c r="C173" s="327">
        <f>Financials!E61-Financials!E55</f>
        <v>0</v>
      </c>
      <c r="D173" s="327">
        <f>Financials!F61-Financials!F55</f>
        <v>-4.2339999999998952</v>
      </c>
      <c r="E173" s="327">
        <f>Financials!G61-Financials!G55</f>
        <v>53.386999999999944</v>
      </c>
      <c r="F173" s="327">
        <f>Financials!H61-Financials!H55</f>
        <v>-51.051000000000215</v>
      </c>
      <c r="G173" s="327">
        <f>Financials!I61-Financials!I55</f>
        <v>-46.458000000000197</v>
      </c>
      <c r="H173" s="327">
        <f>Financials!J61-Financials!J55</f>
        <v>49.616000000000099</v>
      </c>
      <c r="I173" s="202">
        <f>Financials!K61-Financials!K55</f>
        <v>-6.1000000000149157E-2</v>
      </c>
      <c r="J173" s="202">
        <f>Financials!L61-Financials!L55</f>
        <v>-15.036999999999921</v>
      </c>
      <c r="K173" s="202">
        <f>Financials!M61-Financials!M55</f>
        <v>40.189999999999827</v>
      </c>
      <c r="L173" s="202">
        <f>Financials!N61-Financials!N55</f>
        <v>-66.399000000000342</v>
      </c>
      <c r="M173" s="358">
        <f>Financials!O61-Financials!O55</f>
        <v>-0.6899999999998272</v>
      </c>
      <c r="N173" s="694">
        <f t="shared" ref="N173:U173" si="503">+M173</f>
        <v>-0.6899999999998272</v>
      </c>
      <c r="O173" s="694">
        <f t="shared" si="503"/>
        <v>-0.6899999999998272</v>
      </c>
      <c r="P173" s="694">
        <f t="shared" si="503"/>
        <v>-0.6899999999998272</v>
      </c>
      <c r="Q173" s="694">
        <f t="shared" si="503"/>
        <v>-0.6899999999998272</v>
      </c>
      <c r="R173" s="694">
        <f t="shared" si="503"/>
        <v>-0.6899999999998272</v>
      </c>
      <c r="S173" s="694">
        <f t="shared" si="503"/>
        <v>-0.6899999999998272</v>
      </c>
      <c r="T173" s="694">
        <f t="shared" si="503"/>
        <v>-0.6899999999998272</v>
      </c>
      <c r="U173" s="694">
        <f t="shared" si="503"/>
        <v>-0.6899999999998272</v>
      </c>
      <c r="V173" s="1021"/>
      <c r="W173" s="178"/>
      <c r="X173" s="327">
        <f>'Quarterly historicals'!B186-'Quarterly historicals'!B184</f>
        <v>-22.811000000000007</v>
      </c>
      <c r="Y173" s="327">
        <f>'Quarterly historicals'!C186-'Quarterly historicals'!C184</f>
        <v>-4.4039999999999964</v>
      </c>
      <c r="Z173" s="327">
        <f>'Quarterly historicals'!D186-'Quarterly historicals'!D184</f>
        <v>10.915999999999997</v>
      </c>
      <c r="AA173" s="327">
        <f>'Quarterly historicals'!E186-'Quarterly historicals'!E184</f>
        <v>-17.073999999999998</v>
      </c>
      <c r="AB173" s="327">
        <f>'Quarterly historicals'!F186-'Quarterly historicals'!F184</f>
        <v>-4.2250000000000014</v>
      </c>
      <c r="AC173" s="327">
        <f>'Quarterly historicals'!G186-'Quarterly historicals'!G184</f>
        <v>-18.637999999999998</v>
      </c>
      <c r="AD173" s="327">
        <f>'Quarterly historicals'!H186-'Quarterly historicals'!H184</f>
        <v>4.3389999999999986</v>
      </c>
      <c r="AE173" s="327">
        <f>'Quarterly historicals'!I186-'Quarterly historicals'!I184</f>
        <v>14.290000000000006</v>
      </c>
      <c r="AF173" s="327">
        <f>'Quarterly historicals'!J186-'Quarterly historicals'!J184</f>
        <v>-8.6839999999999993</v>
      </c>
      <c r="AG173" s="327">
        <f>'Quarterly historicals'!K186-'Quarterly historicals'!K184</f>
        <v>7.4270000000000067</v>
      </c>
      <c r="AH173" s="327">
        <f>'Quarterly historicals'!L186-'Quarterly historicals'!L184</f>
        <v>30.36699999999999</v>
      </c>
      <c r="AI173" s="327">
        <f>'Quarterly historicals'!M186-'Quarterly historicals'!M184</f>
        <v>24.277000000000001</v>
      </c>
      <c r="AJ173" s="327">
        <f>'Quarterly historicals'!N186-'Quarterly historicals'!N184</f>
        <v>-2.3560000000000016</v>
      </c>
      <c r="AK173" s="327">
        <f>'Quarterly historicals'!O186-'Quarterly historicals'!O184</f>
        <v>9.4190000000000111</v>
      </c>
      <c r="AL173" s="327">
        <f>'Quarterly historicals'!P186-'Quarterly historicals'!P184</f>
        <v>1.992999999999995</v>
      </c>
      <c r="AM173" s="327">
        <f>'Quarterly historicals'!Q186-'Quarterly historicals'!Q184</f>
        <v>1.6269999999999811</v>
      </c>
      <c r="AN173" s="327">
        <f>'Quarterly historicals'!R186-'Quarterly historicals'!R184</f>
        <v>-12.049000000000007</v>
      </c>
      <c r="AO173" s="327">
        <f>'Quarterly historicals'!S186-'Quarterly historicals'!S184</f>
        <v>-5.4239999999999782</v>
      </c>
      <c r="AP173" s="327">
        <f>'Quarterly historicals'!T186-'Quarterly historicals'!T184</f>
        <v>2.2950000000000159</v>
      </c>
      <c r="AQ173" s="327">
        <f>'Quarterly historicals'!U186-'Quarterly historicals'!U184</f>
        <v>-31.278000000000006</v>
      </c>
      <c r="AR173" s="327">
        <f>'Quarterly historicals'!V186-'Quarterly historicals'!V184</f>
        <v>1.5000000000014779E-2</v>
      </c>
      <c r="AS173" s="327">
        <f>'Quarterly historicals'!W186-'Quarterly historicals'!W184</f>
        <v>25.462000000000018</v>
      </c>
      <c r="AT173" s="327">
        <f>'Quarterly historicals'!X186-'Quarterly historicals'!X184</f>
        <v>22.944999999999993</v>
      </c>
      <c r="AU173" s="327">
        <f>'Quarterly historicals'!Y186-'Quarterly historicals'!Y184</f>
        <v>1.7860000000000014</v>
      </c>
      <c r="AV173" s="327">
        <f>'Quarterly historicals'!Z186-'Quarterly historicals'!Z184</f>
        <v>11.317000000000007</v>
      </c>
      <c r="AW173" s="327">
        <f>'Quarterly historicals'!AA186-'Quarterly historicals'!AA184</f>
        <v>-5.4829999999999757</v>
      </c>
      <c r="AX173" s="327">
        <f>'Quarterly historicals'!AB186-'Quarterly historicals'!AB184</f>
        <v>-4.5589999999999975</v>
      </c>
      <c r="AY173" s="327">
        <f>'Quarterly historicals'!AC186-'Quarterly historicals'!AC184</f>
        <v>-1.3359999999999843</v>
      </c>
      <c r="AZ173" s="327">
        <f>'Quarterly historicals'!AD186-'Quarterly historicals'!AD184</f>
        <v>0.76099999999999568</v>
      </c>
      <c r="BA173" s="327">
        <f>'Quarterly historicals'!AE186-'Quarterly historicals'!AE184</f>
        <v>-0.17300000000000182</v>
      </c>
      <c r="BB173" s="327">
        <f>'Quarterly historicals'!AF186-'Quarterly historicals'!AF184</f>
        <v>-5.0619999999999834</v>
      </c>
      <c r="BC173" s="327">
        <f>'Quarterly historicals'!AG186-'Quarterly historicals'!AG184</f>
        <v>-11.076999999999998</v>
      </c>
      <c r="BD173" s="327">
        <f>'Quarterly historicals'!AH186-'Quarterly historicals'!AH184</f>
        <v>-2.8089999999999975</v>
      </c>
      <c r="BE173" s="327">
        <f>'Quarterly historicals'!AI186-'Quarterly historicals'!AI184</f>
        <v>51.838999999999999</v>
      </c>
      <c r="BF173" s="327">
        <f>'Quarterly historicals'!AJ186-'Quarterly historicals'!AJ184</f>
        <v>-8.9110000000000014</v>
      </c>
      <c r="BG173" s="327">
        <f>'Quarterly historicals'!AK186-'Quarterly historicals'!AK184</f>
        <v>-31.10899999999998</v>
      </c>
      <c r="BH173" s="327">
        <f>'Quarterly historicals'!AL186-'Quarterly historicals'!AL184</f>
        <v>-28.950000000000017</v>
      </c>
      <c r="BI173" s="327">
        <f>'Quarterly historicals'!AM186-'Quarterly historicals'!AM184</f>
        <v>20.243999999999971</v>
      </c>
      <c r="BJ173" s="327">
        <f>'Quarterly historicals'!AN186-'Quarterly historicals'!AN184</f>
        <v>-59.865000000000009</v>
      </c>
      <c r="BK173" s="327">
        <f>'Quarterly historicals'!AO186-'Quarterly historicals'!AO184</f>
        <v>1.84699999999998</v>
      </c>
      <c r="BL173" s="327">
        <f>'Quarterly historicals'!AP186-'Quarterly historicals'!AP184</f>
        <v>-55.983000000000004</v>
      </c>
      <c r="BM173" s="327">
        <f>'Quarterly historicals'!AQ186-'Quarterly historicals'!AQ184</f>
        <v>-51.437000000000012</v>
      </c>
      <c r="BN173" s="327">
        <f>'Quarterly historicals'!AR186-'Quarterly historicals'!AR184</f>
        <v>-21.711999999999989</v>
      </c>
      <c r="BO173" s="327">
        <f>'Quarterly historicals'!AS186-'Quarterly historicals'!AS184</f>
        <v>128.42100000000005</v>
      </c>
      <c r="BP173" s="358">
        <f>'Quarterly historicals'!AT186-'Quarterly historicals'!AT184</f>
        <v>-72.69599999999997</v>
      </c>
    </row>
    <row r="174" spans="1:99">
      <c r="A174" s="157" t="s">
        <v>175</v>
      </c>
      <c r="B174" s="202">
        <f>Financials!D53</f>
        <v>-6.28</v>
      </c>
      <c r="C174" s="202">
        <f>Financials!E53</f>
        <v>-8.2789999999999999</v>
      </c>
      <c r="D174" s="202">
        <f>Financials!F53</f>
        <v>-8.1720000000000006</v>
      </c>
      <c r="E174" s="202">
        <f>Financials!G53</f>
        <v>-8.4719999999999995</v>
      </c>
      <c r="F174" s="202">
        <f>Financials!H53</f>
        <v>-5.6750000000000007</v>
      </c>
      <c r="G174" s="202">
        <f>Financials!I53</f>
        <v>0</v>
      </c>
      <c r="H174" s="202">
        <f>Financials!J53</f>
        <v>-0.45099999999999973</v>
      </c>
      <c r="I174" s="202">
        <f>Financials!K53</f>
        <v>-3.6150000000000011</v>
      </c>
      <c r="J174" s="202">
        <f>Financials!L53</f>
        <v>0.8600000000000001</v>
      </c>
      <c r="K174" s="202">
        <f>Financials!M53</f>
        <v>0.54499999999999993</v>
      </c>
      <c r="L174" s="202">
        <f>Financials!N53</f>
        <v>0.45599999999999996</v>
      </c>
      <c r="M174" s="358">
        <f>Financials!O53</f>
        <v>0.62600000000000011</v>
      </c>
      <c r="N174" s="1797">
        <f t="shared" ref="N174:U174" si="504">M174</f>
        <v>0.62600000000000011</v>
      </c>
      <c r="O174" s="1797">
        <f t="shared" si="504"/>
        <v>0.62600000000000011</v>
      </c>
      <c r="P174" s="1797">
        <f t="shared" si="504"/>
        <v>0.62600000000000011</v>
      </c>
      <c r="Q174" s="1797">
        <f t="shared" si="504"/>
        <v>0.62600000000000011</v>
      </c>
      <c r="R174" s="1797">
        <f t="shared" si="504"/>
        <v>0.62600000000000011</v>
      </c>
      <c r="S174" s="1797">
        <f t="shared" si="504"/>
        <v>0.62600000000000011</v>
      </c>
      <c r="T174" s="1797">
        <f t="shared" si="504"/>
        <v>0.62600000000000011</v>
      </c>
      <c r="U174" s="1797">
        <f t="shared" si="504"/>
        <v>0.62600000000000011</v>
      </c>
      <c r="V174" s="1021"/>
      <c r="W174" s="178"/>
      <c r="X174" s="327">
        <f>'Quarterly historicals'!B159</f>
        <v>-1.663</v>
      </c>
      <c r="Y174" s="327">
        <f>'Quarterly historicals'!C159</f>
        <v>-1.766</v>
      </c>
      <c r="Z174" s="327">
        <f>'Quarterly historicals'!D159</f>
        <v>-2.3439999999999999</v>
      </c>
      <c r="AA174" s="327">
        <f>'Quarterly historicals'!E159</f>
        <v>-1.9019999999999999</v>
      </c>
      <c r="AB174" s="327">
        <f>'Quarterly historicals'!F159</f>
        <v>-1.903</v>
      </c>
      <c r="AC174" s="327">
        <f>'Quarterly historicals'!G159</f>
        <v>-2.6789999999999998</v>
      </c>
      <c r="AD174" s="327">
        <f>'Quarterly historicals'!H159</f>
        <v>-1.7949999999999999</v>
      </c>
      <c r="AE174" s="327">
        <f>'Quarterly historicals'!I159</f>
        <v>-1.7949999999999999</v>
      </c>
      <c r="AF174" s="327">
        <f>'Quarterly historicals'!J159</f>
        <v>-1.7949999999999999</v>
      </c>
      <c r="AG174" s="327">
        <f>'Quarterly historicals'!K159</f>
        <v>-3.117</v>
      </c>
      <c r="AH174" s="327">
        <f>'Quarterly historicals'!L159</f>
        <v>-1.766</v>
      </c>
      <c r="AI174" s="327">
        <f>'Quarterly historicals'!M159</f>
        <v>-1.794</v>
      </c>
      <c r="AJ174" s="327">
        <f>'Quarterly historicals'!N159</f>
        <v>-1.869</v>
      </c>
      <c r="AK174" s="327">
        <f>'Quarterly historicals'!O159</f>
        <v>-1.903</v>
      </c>
      <c r="AL174" s="327">
        <f>'Quarterly historicals'!P159</f>
        <v>-1.903</v>
      </c>
      <c r="AM174" s="327">
        <f>'Quarterly historicals'!Q159</f>
        <v>0</v>
      </c>
      <c r="AN174" s="327">
        <f>'Quarterly historicals'!R159</f>
        <v>0</v>
      </c>
      <c r="AO174" s="327">
        <f>'Quarterly historicals'!S159</f>
        <v>0</v>
      </c>
      <c r="AP174" s="327">
        <f>'Quarterly historicals'!T159</f>
        <v>0</v>
      </c>
      <c r="AQ174" s="327">
        <f>'Quarterly historicals'!U159</f>
        <v>0</v>
      </c>
      <c r="AR174" s="327">
        <f>'Quarterly historicals'!V159</f>
        <v>0</v>
      </c>
      <c r="AS174" s="327">
        <f>'Quarterly historicals'!W159</f>
        <v>-2.7829999999999999</v>
      </c>
      <c r="AT174" s="327">
        <f>'Quarterly historicals'!X159</f>
        <v>2.3650000000000002</v>
      </c>
      <c r="AU174" s="327">
        <f>'Quarterly historicals'!Y159</f>
        <v>-3.3000000000000002E-2</v>
      </c>
      <c r="AV174" s="327">
        <f>'Quarterly historicals'!Z159</f>
        <v>-1.9490000000000001</v>
      </c>
      <c r="AW174" s="327">
        <f>'Quarterly historicals'!AA159</f>
        <v>-1.23</v>
      </c>
      <c r="AX174" s="327">
        <f>'Quarterly historicals'!AB159</f>
        <v>-2.0150000000000001</v>
      </c>
      <c r="AY174" s="327">
        <f>'Quarterly historicals'!AC159</f>
        <v>1.579</v>
      </c>
      <c r="AZ174" s="327">
        <f>'Quarterly historicals'!AD159</f>
        <v>0.18</v>
      </c>
      <c r="BA174" s="327">
        <f>'Quarterly historicals'!AE159</f>
        <v>0.65400000000000003</v>
      </c>
      <c r="BB174" s="327">
        <f>'Quarterly historicals'!AF159</f>
        <v>-0.03</v>
      </c>
      <c r="BC174" s="327">
        <f>'Quarterly historicals'!AG159</f>
        <v>5.6000000000000001E-2</v>
      </c>
      <c r="BD174" s="327">
        <f>'Quarterly historicals'!AH159</f>
        <v>0.51300000000000001</v>
      </c>
      <c r="BE174" s="327">
        <f>'Quarterly historicals'!AI159</f>
        <v>0.1</v>
      </c>
      <c r="BF174" s="327">
        <f>'Quarterly historicals'!AJ159</f>
        <v>-2.1999999999999999E-2</v>
      </c>
      <c r="BG174" s="327">
        <f>'Quarterly historicals'!AK159</f>
        <v>-4.5999999999999999E-2</v>
      </c>
      <c r="BH174" s="327">
        <f>'Quarterly historicals'!AL159</f>
        <v>2.4E-2</v>
      </c>
      <c r="BI174" s="327">
        <f>'Quarterly historicals'!AM159</f>
        <v>0.16600000000000001</v>
      </c>
      <c r="BJ174" s="327">
        <f>'Quarterly historicals'!AN159</f>
        <v>-0.17100000000000001</v>
      </c>
      <c r="BK174" s="327">
        <f>'Quarterly historicals'!AO159</f>
        <v>0.437</v>
      </c>
      <c r="BL174" s="327">
        <f>'Quarterly historicals'!AP159</f>
        <v>0.17399999999999999</v>
      </c>
      <c r="BM174" s="327">
        <f>'Quarterly historicals'!AQ159</f>
        <v>0.32900000000000001</v>
      </c>
      <c r="BN174" s="327">
        <f>'Quarterly historicals'!AR159</f>
        <v>0.46600000000000003</v>
      </c>
      <c r="BO174" s="327">
        <f>'Quarterly historicals'!AS159</f>
        <v>-0.34300000000000003</v>
      </c>
      <c r="BP174" s="358">
        <f>'Quarterly historicals'!AT159</f>
        <v>9.4E-2</v>
      </c>
      <c r="BQ174" s="2088">
        <f>$N174*BQ229</f>
        <v>0.14565425082270173</v>
      </c>
      <c r="BR174" s="2088">
        <f>$N174*BR229</f>
        <v>0.15458968527743469</v>
      </c>
      <c r="BS174" s="2089">
        <f>$N174-BR174-BQ174-BP174</f>
        <v>0.23175606389986372</v>
      </c>
      <c r="BT174" s="2090">
        <f>$O174*BT229</f>
        <v>0.169370323685784</v>
      </c>
      <c r="BU174" s="2088">
        <f>$O174*BU229</f>
        <v>0.14565425082270173</v>
      </c>
      <c r="BV174" s="2088">
        <f>$O174*BV229</f>
        <v>0.15458968527743469</v>
      </c>
      <c r="BW174" s="2089">
        <f>$O174-BV174-BU174-BT174</f>
        <v>0.15638574021407972</v>
      </c>
      <c r="BX174" s="2090">
        <f>$P174*BX229</f>
        <v>0.169370323685784</v>
      </c>
      <c r="BY174" s="2088">
        <f>$P174*BY229</f>
        <v>0.14565425082270173</v>
      </c>
      <c r="BZ174" s="2088">
        <f>$P174*BZ229</f>
        <v>0.15458968527743469</v>
      </c>
      <c r="CA174" s="2089">
        <f>$P174-BZ174-BY174-BX174</f>
        <v>0.15638574021407972</v>
      </c>
      <c r="CB174" s="2090">
        <f>$Q174*CB229</f>
        <v>0.169370323685784</v>
      </c>
      <c r="CC174" s="2088">
        <f>$Q174*CC229</f>
        <v>0.14565425082270173</v>
      </c>
      <c r="CD174" s="2088">
        <f>$Q174*CD229</f>
        <v>0.15458968527743469</v>
      </c>
      <c r="CE174" s="2089">
        <f>$Q174-CD174-CC174-CB174</f>
        <v>0.15638574021407972</v>
      </c>
      <c r="CF174" s="2090">
        <f>$R174-CE174-CD174-CC174</f>
        <v>0.16937032368578403</v>
      </c>
      <c r="CG174" s="2088">
        <f>$R174-CF174-CE174-CD174</f>
        <v>0.14565425082270164</v>
      </c>
      <c r="CH174" s="2088">
        <f>$R174-CG174-CF174-CE174</f>
        <v>0.15458968527743469</v>
      </c>
      <c r="CI174" s="2089">
        <f>$R174-CH174-CG174-CF174</f>
        <v>0.15638574021407975</v>
      </c>
      <c r="CJ174" s="2090">
        <f>$S174-CI174-CH174-CG174</f>
        <v>0.169370323685784</v>
      </c>
      <c r="CK174" s="2088">
        <f>$S174-CJ174-CI174-CH174</f>
        <v>0.1456542508227017</v>
      </c>
      <c r="CL174" s="2088">
        <f>$S174-CK174-CJ174-CI174</f>
        <v>0.15458968527743472</v>
      </c>
      <c r="CM174" s="2089">
        <f>$S174-CL174-CK174-CJ174</f>
        <v>0.15638574021407967</v>
      </c>
      <c r="CN174" s="2090">
        <f>$T174-CM174-CL174-CK174</f>
        <v>0.169370323685784</v>
      </c>
      <c r="CO174" s="2088">
        <f>$T174-CN174-CM174-CL174</f>
        <v>0.14565425082270173</v>
      </c>
      <c r="CP174" s="2088">
        <f>$T174-CO174-CN174-CM174</f>
        <v>0.15458968527743469</v>
      </c>
      <c r="CQ174" s="2089">
        <f>$T174-CP174-CO174-CN174</f>
        <v>0.15638574021407972</v>
      </c>
      <c r="CR174" s="2090">
        <f>$U174-CQ174-CP174-CO174</f>
        <v>0.16937032368578403</v>
      </c>
      <c r="CS174" s="2088">
        <f>$U174-CR174-CQ174-CP174</f>
        <v>0.14565425082270164</v>
      </c>
      <c r="CT174" s="2088">
        <f>$U174-CS174-CR174-CQ174</f>
        <v>0.15458968527743469</v>
      </c>
      <c r="CU174" s="2089">
        <f>$U174-CT174-CS174-CR174</f>
        <v>0.15638574021407975</v>
      </c>
    </row>
    <row r="175" spans="1:99">
      <c r="A175" s="157" t="s">
        <v>821</v>
      </c>
      <c r="B175" s="202">
        <f>Financials!D54</f>
        <v>0.91500000000000004</v>
      </c>
      <c r="C175" s="202">
        <f>Financials!E54</f>
        <v>-1.5269999999999999</v>
      </c>
      <c r="D175" s="202">
        <f>Financials!F54</f>
        <v>-9.6590000000000025</v>
      </c>
      <c r="E175" s="202">
        <f>Financials!G54</f>
        <v>46.898000000000003</v>
      </c>
      <c r="F175" s="202">
        <f>Financials!H54</f>
        <v>5.8550000000000004</v>
      </c>
      <c r="G175" s="202">
        <f>Financials!I54</f>
        <v>-4.2439999999999998</v>
      </c>
      <c r="H175" s="202">
        <f>Financials!J54</f>
        <v>26.985999999999997</v>
      </c>
      <c r="I175" s="202">
        <f>Financials!K54</f>
        <v>0.19200000000000017</v>
      </c>
      <c r="J175" s="202">
        <f>Financials!L54</f>
        <v>-3.5000000000000142E-2</v>
      </c>
      <c r="K175" s="202">
        <f>Financials!M54</f>
        <v>107.91999999999999</v>
      </c>
      <c r="L175" s="202">
        <f>Financials!N54</f>
        <v>10.727</v>
      </c>
      <c r="M175" s="358">
        <f>Financials!O54</f>
        <v>148.071</v>
      </c>
      <c r="N175" s="2397">
        <f t="array" ref="N175">SUM(($BD175:$CU175)*(RIGHT(Q_Financials!$AH$5:$BY$5,2)=RIGHT(N$4,2)))</f>
        <v>-0.35899999999999999</v>
      </c>
      <c r="O175" s="2346">
        <f t="array" ref="O175">SUM(($BD175:$CU175)*(RIGHT(Q_Financials!$AH$5:$BY$5,2)=RIGHT(O$4,2)))</f>
        <v>0</v>
      </c>
      <c r="P175" s="2346">
        <f t="array" ref="P175">SUM(($BD175:$CU175)*(RIGHT(Q_Financials!$AH$5:$BY$5,2)=RIGHT(P$4,2)))</f>
        <v>0</v>
      </c>
      <c r="Q175" s="2346">
        <f t="array" ref="Q175">SUM(($BD175:$CU175)*(RIGHT(Q_Financials!$AH$5:$BY$5,2)=RIGHT(Q$4,2)))</f>
        <v>0</v>
      </c>
      <c r="R175" s="2346">
        <f t="array" ref="R175">SUM(($BD175:$CU175)*(RIGHT(Q_Financials!$AH$5:$BY$5,2)=RIGHT(R$4,2)))</f>
        <v>0</v>
      </c>
      <c r="S175" s="2346">
        <f t="array" ref="S175">SUM(($BD175:$CU175)*(RIGHT(Q_Financials!$AH$5:$BY$5,2)=RIGHT(S$4,2)))</f>
        <v>0</v>
      </c>
      <c r="T175" s="2346">
        <f t="array" ref="T175">SUM(($BD175:$CU175)*(RIGHT(Q_Financials!$AH$5:$BY$5,2)=RIGHT(T$4,2)))</f>
        <v>0</v>
      </c>
      <c r="U175" s="2346">
        <f t="array" ref="U175">SUM(($BD175:$CU175)*(RIGHT(Q_Financials!$AH$5:$BY$5,2)=RIGHT(U$4,2)))</f>
        <v>0</v>
      </c>
      <c r="V175" s="1021"/>
      <c r="W175" s="178"/>
      <c r="X175" s="327">
        <f>'Quarterly historicals'!B160</f>
        <v>-2E-3</v>
      </c>
      <c r="Y175" s="327">
        <f>'Quarterly historicals'!C160</f>
        <v>3.4000000000000002E-2</v>
      </c>
      <c r="Z175" s="327">
        <f>'Quarterly historicals'!D160</f>
        <v>12.664999999999999</v>
      </c>
      <c r="AA175" s="327">
        <f>'Quarterly historicals'!E160</f>
        <v>-14.224</v>
      </c>
      <c r="AB175" s="327">
        <f>'Quarterly historicals'!F160</f>
        <v>-0.16900000000000001</v>
      </c>
      <c r="AC175" s="327">
        <f>'Quarterly historicals'!G160</f>
        <v>-17.777000000000001</v>
      </c>
      <c r="AD175" s="327">
        <f>'Quarterly historicals'!H160</f>
        <v>9.6669999999999998</v>
      </c>
      <c r="AE175" s="327">
        <f>'Quarterly historicals'!I160</f>
        <v>-1.38</v>
      </c>
      <c r="AF175" s="327">
        <f>'Quarterly historicals'!J160</f>
        <v>1.7000000000000001E-2</v>
      </c>
      <c r="AG175" s="327">
        <f>'Quarterly historicals'!K160</f>
        <v>-4.0000000000000001E-3</v>
      </c>
      <c r="AH175" s="327">
        <f>'Quarterly historicals'!L160</f>
        <v>19.826000000000001</v>
      </c>
      <c r="AI175" s="327">
        <f>'Quarterly historicals'!M160</f>
        <v>27.059000000000001</v>
      </c>
      <c r="AJ175" s="327">
        <f>'Quarterly historicals'!N160</f>
        <v>-0.69299999999999995</v>
      </c>
      <c r="AK175" s="327">
        <f>'Quarterly historicals'!O160</f>
        <v>2.0369999999999999</v>
      </c>
      <c r="AL175" s="327">
        <f>'Quarterly historicals'!P160</f>
        <v>3.1779999999999999</v>
      </c>
      <c r="AM175" s="327">
        <f>'Quarterly historicals'!Q160</f>
        <v>1.333</v>
      </c>
      <c r="AN175" s="327">
        <f>'Quarterly historicals'!R160</f>
        <v>2.5270000000000001</v>
      </c>
      <c r="AO175" s="327">
        <f>'Quarterly historicals'!S160</f>
        <v>-0.22500000000000001</v>
      </c>
      <c r="AP175" s="327">
        <f>'Quarterly historicals'!T160</f>
        <v>14.606</v>
      </c>
      <c r="AQ175" s="327">
        <f>'Quarterly historicals'!U160</f>
        <v>-21.152000000000001</v>
      </c>
      <c r="AR175" s="327">
        <f>'Quarterly historicals'!V160</f>
        <v>0.88800000000000001</v>
      </c>
      <c r="AS175" s="327">
        <f>'Quarterly historicals'!W160</f>
        <v>0.35299999999999998</v>
      </c>
      <c r="AT175" s="327">
        <f>'Quarterly historicals'!X160</f>
        <v>24.937999999999999</v>
      </c>
      <c r="AU175" s="327">
        <f>'Quarterly historicals'!Y160</f>
        <v>0.80700000000000005</v>
      </c>
      <c r="AV175" s="327">
        <f>'Quarterly historicals'!Z160</f>
        <v>0.78100000000000003</v>
      </c>
      <c r="AW175" s="327">
        <f>'Quarterly historicals'!AA160</f>
        <v>0.438</v>
      </c>
      <c r="AX175" s="327">
        <f>'Quarterly historicals'!AB160</f>
        <v>1.2250000000000001</v>
      </c>
      <c r="AY175" s="327">
        <f>'Quarterly historicals'!AC160</f>
        <v>-2.2519999999999998</v>
      </c>
      <c r="AZ175" s="327">
        <f>'Quarterly historicals'!AD160</f>
        <v>-1.079</v>
      </c>
      <c r="BA175" s="327">
        <f>'Quarterly historicals'!AE160</f>
        <v>6.6829999999999998</v>
      </c>
      <c r="BB175" s="327">
        <f>'Quarterly historicals'!AF160</f>
        <v>2.794</v>
      </c>
      <c r="BC175" s="327">
        <f>'Quarterly historicals'!AG160</f>
        <v>-8.4329999999999998</v>
      </c>
      <c r="BD175" s="327">
        <f>'Quarterly historicals'!AH160</f>
        <v>1.3149999999999999</v>
      </c>
      <c r="BE175" s="327">
        <f>'Quarterly historicals'!AI160</f>
        <v>75.984999999999999</v>
      </c>
      <c r="BF175" s="327">
        <f>'Quarterly historicals'!AJ160</f>
        <v>7.16</v>
      </c>
      <c r="BG175" s="327">
        <f>'Quarterly historicals'!AK160</f>
        <v>23.46</v>
      </c>
      <c r="BH175" s="327">
        <f>'Quarterly historicals'!AL160</f>
        <v>1.5509999999999999</v>
      </c>
      <c r="BI175" s="327">
        <f>'Quarterly historicals'!AM160</f>
        <v>3.0289999999999999</v>
      </c>
      <c r="BJ175" s="327">
        <f>'Quarterly historicals'!AN160</f>
        <v>0.29899999999999999</v>
      </c>
      <c r="BK175" s="327">
        <f>'Quarterly historicals'!AO160</f>
        <v>5.8479999999999999</v>
      </c>
      <c r="BL175" s="327">
        <f>'Quarterly historicals'!AP160</f>
        <v>0.61599999999999999</v>
      </c>
      <c r="BM175" s="327">
        <f>'Quarterly historicals'!AQ160</f>
        <v>1.97</v>
      </c>
      <c r="BN175" s="327">
        <f>'Quarterly historicals'!AR160</f>
        <v>-7.5999999999999998E-2</v>
      </c>
      <c r="BO175" s="327">
        <f>'Quarterly historicals'!AS160</f>
        <v>145.56100000000001</v>
      </c>
      <c r="BP175" s="358">
        <f>'Quarterly historicals'!AT160</f>
        <v>-0.35899999999999999</v>
      </c>
    </row>
    <row r="176" spans="1:99">
      <c r="A176" s="771"/>
      <c r="B176" s="747"/>
      <c r="C176" s="747"/>
      <c r="D176" s="747"/>
      <c r="E176" s="336"/>
      <c r="F176" s="336"/>
      <c r="G176" s="336"/>
      <c r="H176" s="336"/>
      <c r="I176" s="372"/>
      <c r="J176" s="372"/>
      <c r="K176" s="372"/>
      <c r="L176" s="372"/>
      <c r="M176" s="469"/>
      <c r="N176" s="372"/>
      <c r="O176" s="372"/>
      <c r="P176" s="372"/>
      <c r="Q176" s="372"/>
      <c r="R176" s="372"/>
      <c r="S176" s="372"/>
      <c r="T176" s="372"/>
      <c r="U176" s="372"/>
      <c r="V176" s="178"/>
      <c r="W176" s="178"/>
      <c r="X176" s="178"/>
      <c r="Y176" s="178"/>
      <c r="Z176" s="178"/>
      <c r="AA176" s="178"/>
      <c r="AB176" s="178"/>
      <c r="AC176" s="178"/>
      <c r="AD176" s="178"/>
      <c r="AE176" s="178"/>
      <c r="AF176" s="178"/>
      <c r="AG176" s="178"/>
      <c r="AH176" s="178"/>
      <c r="AI176" s="178"/>
      <c r="AJ176" s="178"/>
      <c r="AK176" s="178"/>
      <c r="AL176" s="178"/>
      <c r="AM176" s="178"/>
      <c r="AN176" s="178"/>
      <c r="AO176" s="178"/>
      <c r="AP176" s="178"/>
      <c r="AQ176" s="178"/>
      <c r="AR176" s="178"/>
      <c r="AS176" s="178"/>
      <c r="AT176" s="178"/>
      <c r="AU176" s="178"/>
      <c r="AV176" s="178"/>
      <c r="AW176" s="178"/>
      <c r="AX176" s="178"/>
      <c r="AY176" s="178"/>
      <c r="AZ176" s="178"/>
      <c r="BA176" s="178"/>
      <c r="BB176" s="178"/>
      <c r="BC176" s="178"/>
      <c r="BD176" s="178"/>
      <c r="BE176" s="178"/>
      <c r="BF176" s="178"/>
      <c r="BG176" s="178"/>
      <c r="BH176" s="178"/>
      <c r="BI176" s="178"/>
      <c r="BJ176" s="178"/>
      <c r="BK176" s="178"/>
      <c r="BL176" s="178"/>
      <c r="BM176" s="178"/>
      <c r="BN176" s="178"/>
      <c r="BO176" s="178"/>
      <c r="BP176" s="426"/>
    </row>
    <row r="177" spans="1:99">
      <c r="A177" s="853" t="s">
        <v>1053</v>
      </c>
      <c r="B177" s="1013">
        <f>Financials!D55</f>
        <v>322.19099999999997</v>
      </c>
      <c r="C177" s="1013">
        <f>Financials!E55</f>
        <v>390.47699999999986</v>
      </c>
      <c r="D177" s="1013">
        <f>Financials!F55</f>
        <v>132.607</v>
      </c>
      <c r="E177" s="1013">
        <f>Financials!G55</f>
        <v>189.792</v>
      </c>
      <c r="F177" s="1013">
        <f>Financials!H55</f>
        <v>452.37299999999999</v>
      </c>
      <c r="G177" s="1013">
        <f t="shared" ref="G177:U177" si="505">SUM(G178:G180)</f>
        <v>612.58499999999992</v>
      </c>
      <c r="H177" s="1013">
        <f t="shared" si="505"/>
        <v>537.11500000000001</v>
      </c>
      <c r="I177" s="1013">
        <f t="shared" si="505"/>
        <v>650.10200000000009</v>
      </c>
      <c r="J177" s="1013">
        <f t="shared" si="505"/>
        <v>766.60100000000011</v>
      </c>
      <c r="K177" s="1013">
        <f t="shared" si="505"/>
        <v>1091.5919999999999</v>
      </c>
      <c r="L177" s="1013">
        <f t="shared" si="505"/>
        <v>1301.2400000000002</v>
      </c>
      <c r="M177" s="1449">
        <f t="shared" ref="M177" si="506">SUM(M178:M180)</f>
        <v>1445.0840000000001</v>
      </c>
      <c r="N177" s="392">
        <f t="shared" si="505"/>
        <v>1759.7120528034632</v>
      </c>
      <c r="O177" s="392">
        <f t="shared" si="505"/>
        <v>1780.8409011492545</v>
      </c>
      <c r="P177" s="392">
        <f t="shared" si="505"/>
        <v>1953.6808721268351</v>
      </c>
      <c r="Q177" s="392">
        <f t="shared" si="505"/>
        <v>2299.3192562952818</v>
      </c>
      <c r="R177" s="392">
        <f t="shared" si="505"/>
        <v>2458.6974493075841</v>
      </c>
      <c r="S177" s="392">
        <f t="shared" si="505"/>
        <v>2227.404431349667</v>
      </c>
      <c r="T177" s="392">
        <f t="shared" si="505"/>
        <v>2090.8026866537352</v>
      </c>
      <c r="U177" s="392">
        <f t="shared" si="505"/>
        <v>2654.2878609798108</v>
      </c>
      <c r="V177" s="1944"/>
      <c r="W177" s="472"/>
      <c r="X177" s="798">
        <f ca="1">Q_Financials!B22</f>
        <v>0</v>
      </c>
      <c r="Y177" s="798">
        <f>Q_Financials!C22</f>
        <v>87.436999999999998</v>
      </c>
      <c r="Z177" s="798">
        <f>Q_Financials!D22</f>
        <v>44.695</v>
      </c>
      <c r="AA177" s="798">
        <f>Q_Financials!E22</f>
        <v>56.302</v>
      </c>
      <c r="AB177" s="798">
        <f>Q_Financials!F22</f>
        <v>31.251000000000001</v>
      </c>
      <c r="AC177" s="798">
        <f>Q_Financials!G22</f>
        <v>23.786999999999999</v>
      </c>
      <c r="AD177" s="798">
        <f>Q_Financials!H22</f>
        <v>22.843</v>
      </c>
      <c r="AE177" s="798">
        <f>Q_Financials!I22</f>
        <v>54.725999999999999</v>
      </c>
      <c r="AF177" s="798">
        <f>Q_Financials!J22</f>
        <v>13.382999999999999</v>
      </c>
      <c r="AG177" s="798">
        <f>Q_Financials!K22</f>
        <v>34.973999999999997</v>
      </c>
      <c r="AH177" s="798">
        <f>Q_Financials!L22</f>
        <v>64.412000000000006</v>
      </c>
      <c r="AI177" s="798">
        <f>Q_Financials!M22</f>
        <v>77.022999999999996</v>
      </c>
      <c r="AJ177" s="798">
        <f t="shared" ref="AJ177:BK177" si="507">SUM(AJ178:AJ180)</f>
        <v>44.195</v>
      </c>
      <c r="AK177" s="798">
        <f t="shared" si="507"/>
        <v>76.500000000000014</v>
      </c>
      <c r="AL177" s="798">
        <f t="shared" si="507"/>
        <v>122.79</v>
      </c>
      <c r="AM177" s="798">
        <f t="shared" si="507"/>
        <v>208.89</v>
      </c>
      <c r="AN177" s="798">
        <f t="shared" si="507"/>
        <v>139.49199999999999</v>
      </c>
      <c r="AO177" s="798">
        <f t="shared" si="507"/>
        <v>150.91399999999999</v>
      </c>
      <c r="AP177" s="798">
        <f t="shared" si="507"/>
        <v>191.51899999999998</v>
      </c>
      <c r="AQ177" s="798">
        <f t="shared" si="507"/>
        <v>130.66000000000003</v>
      </c>
      <c r="AR177" s="798">
        <f t="shared" si="507"/>
        <v>147.09300000000002</v>
      </c>
      <c r="AS177" s="798">
        <f t="shared" si="507"/>
        <v>159.072</v>
      </c>
      <c r="AT177" s="798">
        <f t="shared" si="507"/>
        <v>158.20500000000001</v>
      </c>
      <c r="AU177" s="798">
        <f t="shared" si="507"/>
        <v>72.744999999999976</v>
      </c>
      <c r="AV177" s="798">
        <f t="shared" si="507"/>
        <v>108.07600000000001</v>
      </c>
      <c r="AW177" s="798">
        <f t="shared" si="507"/>
        <v>238.27199999999999</v>
      </c>
      <c r="AX177" s="798">
        <f t="shared" si="507"/>
        <v>159.33500000000004</v>
      </c>
      <c r="AY177" s="798">
        <f t="shared" si="507"/>
        <v>144.41899999999998</v>
      </c>
      <c r="AZ177" s="798">
        <f t="shared" si="507"/>
        <v>211.63899999999998</v>
      </c>
      <c r="BA177" s="798">
        <f t="shared" si="507"/>
        <v>238.66800000000001</v>
      </c>
      <c r="BB177" s="798">
        <f t="shared" si="507"/>
        <v>168.42599999999999</v>
      </c>
      <c r="BC177" s="798">
        <f t="shared" si="507"/>
        <v>147.69499999999999</v>
      </c>
      <c r="BD177" s="798">
        <f t="shared" si="507"/>
        <v>227.04599999999999</v>
      </c>
      <c r="BE177" s="798">
        <f t="shared" si="507"/>
        <v>256.91800000000001</v>
      </c>
      <c r="BF177" s="798">
        <f t="shared" si="507"/>
        <v>287.68299999999999</v>
      </c>
      <c r="BG177" s="798">
        <f t="shared" si="507"/>
        <v>319.94600000000003</v>
      </c>
      <c r="BH177" s="798">
        <f t="shared" si="507"/>
        <v>225.10400000000001</v>
      </c>
      <c r="BI177" s="798">
        <f t="shared" si="507"/>
        <v>318.90199999999999</v>
      </c>
      <c r="BJ177" s="798">
        <f t="shared" si="507"/>
        <v>411.90899999999999</v>
      </c>
      <c r="BK177" s="798">
        <f t="shared" si="507"/>
        <v>345.32500000000005</v>
      </c>
      <c r="BL177" s="798">
        <f t="shared" ref="BL177:BS177" si="508">SUM(BL178:BL180)</f>
        <v>333.75</v>
      </c>
      <c r="BM177" s="798">
        <f t="shared" ref="BM177:BO177" si="509">SUM(BM178:BM180)</f>
        <v>368.70400000000006</v>
      </c>
      <c r="BN177" s="798">
        <f t="shared" si="509"/>
        <v>342.00799999999998</v>
      </c>
      <c r="BO177" s="798">
        <f t="shared" si="509"/>
        <v>400.6219999999999</v>
      </c>
      <c r="BP177" s="1449">
        <f t="shared" ref="BP177" si="510">SUM(BP178:BP180)</f>
        <v>475.34199999999998</v>
      </c>
      <c r="BQ177" s="2067">
        <f t="shared" si="508"/>
        <v>426.62830950827345</v>
      </c>
      <c r="BR177" s="2067">
        <f t="shared" si="508"/>
        <v>410.96010694466736</v>
      </c>
      <c r="BS177" s="2061">
        <f t="shared" si="508"/>
        <v>446.78163635052249</v>
      </c>
      <c r="BT177" s="2066">
        <f t="shared" ref="BT177:CU177" si="511">SUM(BT178:BT180)</f>
        <v>688.25503776013807</v>
      </c>
      <c r="BU177" s="2067">
        <f t="shared" si="511"/>
        <v>452.96872545509723</v>
      </c>
      <c r="BV177" s="2067">
        <f t="shared" si="511"/>
        <v>438.03519282187938</v>
      </c>
      <c r="BW177" s="2061">
        <f t="shared" si="511"/>
        <v>201.58194511213972</v>
      </c>
      <c r="BX177" s="2066">
        <f t="shared" si="511"/>
        <v>740.47490448669623</v>
      </c>
      <c r="BY177" s="2067">
        <f t="shared" si="511"/>
        <v>498.23882229617652</v>
      </c>
      <c r="BZ177" s="2067">
        <f t="shared" si="511"/>
        <v>484.0612469015864</v>
      </c>
      <c r="CA177" s="2061">
        <f t="shared" si="511"/>
        <v>230.90589844237599</v>
      </c>
      <c r="CB177" s="2066">
        <f t="shared" si="511"/>
        <v>944.60117728509249</v>
      </c>
      <c r="CC177" s="2067">
        <f t="shared" si="511"/>
        <v>581.7402768034467</v>
      </c>
      <c r="CD177" s="2067">
        <f t="shared" si="511"/>
        <v>551.70837049043007</v>
      </c>
      <c r="CE177" s="2061">
        <f t="shared" si="511"/>
        <v>221.26943171631211</v>
      </c>
      <c r="CF177" s="2066">
        <f t="shared" si="511"/>
        <v>1030.9090213578879</v>
      </c>
      <c r="CG177" s="2067">
        <f t="shared" si="511"/>
        <v>622.00186484681672</v>
      </c>
      <c r="CH177" s="2067">
        <f t="shared" si="511"/>
        <v>584.57790129923478</v>
      </c>
      <c r="CI177" s="2061">
        <f t="shared" si="511"/>
        <v>221.20866180364504</v>
      </c>
      <c r="CJ177" s="2066">
        <f t="shared" si="511"/>
        <v>832.23111910670093</v>
      </c>
      <c r="CK177" s="2067">
        <f t="shared" si="511"/>
        <v>572.88211084458203</v>
      </c>
      <c r="CL177" s="2067">
        <f t="shared" si="511"/>
        <v>554.03400590175067</v>
      </c>
      <c r="CM177" s="2061">
        <f t="shared" si="511"/>
        <v>268.25719549663347</v>
      </c>
      <c r="CN177" s="2066">
        <f t="shared" si="511"/>
        <v>695.93656133335662</v>
      </c>
      <c r="CO177" s="2067">
        <f t="shared" si="511"/>
        <v>545.26000510930692</v>
      </c>
      <c r="CP177" s="2067">
        <f t="shared" si="511"/>
        <v>540.6225220748463</v>
      </c>
      <c r="CQ177" s="2061">
        <f t="shared" si="511"/>
        <v>308.98359813622528</v>
      </c>
      <c r="CR177" s="2066">
        <f t="shared" si="511"/>
        <v>934.74609050495212</v>
      </c>
      <c r="CS177" s="2067">
        <f t="shared" si="511"/>
        <v>681.54758190767427</v>
      </c>
      <c r="CT177" s="2067">
        <f t="shared" si="511"/>
        <v>675.16361756790172</v>
      </c>
      <c r="CU177" s="2061">
        <f t="shared" si="511"/>
        <v>362.83057099928249</v>
      </c>
    </row>
    <row r="178" spans="1:99">
      <c r="A178" s="1051" t="s">
        <v>54</v>
      </c>
      <c r="B178" s="1015" t="str">
        <f>'Annual historicals'!G137</f>
        <v>NA</v>
      </c>
      <c r="C178" s="1015" t="str">
        <f>'Annual historicals'!H137</f>
        <v>NA</v>
      </c>
      <c r="D178" s="1015" t="str">
        <f>'Annual historicals'!I137</f>
        <v>NA</v>
      </c>
      <c r="E178" s="1015" t="str">
        <f>'Annual historicals'!J137</f>
        <v>NA</v>
      </c>
      <c r="F178" s="1015" t="str">
        <f>'Annual historicals'!K137</f>
        <v>NA</v>
      </c>
      <c r="G178" s="740">
        <f>'Annual historicals'!L137</f>
        <v>355.96600000000001</v>
      </c>
      <c r="H178" s="740">
        <f>'Annual historicals'!M137</f>
        <v>342.75</v>
      </c>
      <c r="I178" s="740">
        <f>'Annual historicals'!N137</f>
        <v>439.67700000000002</v>
      </c>
      <c r="J178" s="740">
        <f>'Annual historicals'!O137</f>
        <v>351.82900000000001</v>
      </c>
      <c r="K178" s="740">
        <f>'Annual historicals'!P137</f>
        <v>480.26499999999999</v>
      </c>
      <c r="L178" s="740">
        <f>'Annual historicals'!Q137</f>
        <v>520.21900000000005</v>
      </c>
      <c r="M178" s="2085">
        <f>'Annual historicals'!R137</f>
        <v>782.11199999999997</v>
      </c>
      <c r="N178" s="356">
        <f t="shared" ref="N178:U178" si="512">N139+N155+N167</f>
        <v>1085.4211436269286</v>
      </c>
      <c r="O178" s="356">
        <f t="shared" si="512"/>
        <v>833.77523229599399</v>
      </c>
      <c r="P178" s="356">
        <f t="shared" si="512"/>
        <v>880.80750104456365</v>
      </c>
      <c r="Q178" s="356">
        <f t="shared" si="512"/>
        <v>1202.1634743468278</v>
      </c>
      <c r="R178" s="356">
        <f t="shared" si="512"/>
        <v>1329.7069063477907</v>
      </c>
      <c r="S178" s="356">
        <f t="shared" si="512"/>
        <v>967.57021915772054</v>
      </c>
      <c r="T178" s="356">
        <f t="shared" si="512"/>
        <v>710.3551910304684</v>
      </c>
      <c r="U178" s="356">
        <f t="shared" si="512"/>
        <v>1035.0907974979129</v>
      </c>
      <c r="V178" s="1944"/>
      <c r="W178" s="472"/>
      <c r="X178" s="935" t="str">
        <f>'Quarterly historicals'!B134</f>
        <v>NA</v>
      </c>
      <c r="Y178" s="935" t="str">
        <f>'Quarterly historicals'!C134</f>
        <v>NA</v>
      </c>
      <c r="Z178" s="935" t="str">
        <f>'Quarterly historicals'!D134</f>
        <v>NA</v>
      </c>
      <c r="AA178" s="935" t="str">
        <f>'Quarterly historicals'!E134</f>
        <v>NA</v>
      </c>
      <c r="AB178" s="935" t="str">
        <f>'Quarterly historicals'!F134</f>
        <v>NA</v>
      </c>
      <c r="AC178" s="935" t="str">
        <f>'Quarterly historicals'!G134</f>
        <v>NA</v>
      </c>
      <c r="AD178" s="935" t="str">
        <f>'Quarterly historicals'!H134</f>
        <v>NA</v>
      </c>
      <c r="AE178" s="935" t="str">
        <f>'Quarterly historicals'!I134</f>
        <v>NA</v>
      </c>
      <c r="AF178" s="935" t="str">
        <f>'Quarterly historicals'!J134</f>
        <v>NA</v>
      </c>
      <c r="AG178" s="935" t="str">
        <f>'Quarterly historicals'!K134</f>
        <v>NA</v>
      </c>
      <c r="AH178" s="935" t="str">
        <f>'Quarterly historicals'!L134</f>
        <v>NA</v>
      </c>
      <c r="AI178" s="935" t="str">
        <f>'Quarterly historicals'!M134</f>
        <v>NA</v>
      </c>
      <c r="AJ178" s="202">
        <f>'Quarterly historicals'!N134</f>
        <v>31.99</v>
      </c>
      <c r="AK178" s="202">
        <f>'Quarterly historicals'!O134</f>
        <v>43.681000000000012</v>
      </c>
      <c r="AL178" s="202">
        <f>'Quarterly historicals'!P134</f>
        <v>60.361000000000004</v>
      </c>
      <c r="AM178" s="202">
        <f>'Quarterly historicals'!Q134</f>
        <v>128.756</v>
      </c>
      <c r="AN178" s="202">
        <f>'Quarterly historicals'!R134</f>
        <v>97.262</v>
      </c>
      <c r="AO178" s="202">
        <f>'Quarterly historicals'!S134</f>
        <v>104.523</v>
      </c>
      <c r="AP178" s="202">
        <f>'Quarterly historicals'!T134</f>
        <v>100.17699999999999</v>
      </c>
      <c r="AQ178" s="202">
        <f>'Quarterly historicals'!U134</f>
        <v>54.004000000000019</v>
      </c>
      <c r="AR178" s="202">
        <f>'Quarterly historicals'!V134</f>
        <v>86.519000000000005</v>
      </c>
      <c r="AS178" s="202">
        <f>'Quarterly historicals'!W134</f>
        <v>120.51900000000001</v>
      </c>
      <c r="AT178" s="202">
        <f>'Quarterly historicals'!X134</f>
        <v>94.908000000000015</v>
      </c>
      <c r="AU178" s="202">
        <f>'Quarterly historicals'!Y134</f>
        <v>40.803999999999974</v>
      </c>
      <c r="AV178" s="202">
        <f>'Quarterly historicals'!Z134</f>
        <v>70.933000000000007</v>
      </c>
      <c r="AW178" s="202">
        <f>'Quarterly historicals'!AA134</f>
        <v>190.01999999999998</v>
      </c>
      <c r="AX178" s="202">
        <f>'Quarterly historicals'!AB134</f>
        <v>82.895000000000039</v>
      </c>
      <c r="AY178" s="202">
        <f>'Quarterly historicals'!AC134</f>
        <v>95.829000000000008</v>
      </c>
      <c r="AZ178" s="202">
        <f>'Quarterly historicals'!AD134</f>
        <v>103.57</v>
      </c>
      <c r="BA178" s="202">
        <f>'Quarterly historicals'!AE134</f>
        <v>125.27200000000001</v>
      </c>
      <c r="BB178" s="202">
        <f>'Quarterly historicals'!AF134</f>
        <v>65.028000000000006</v>
      </c>
      <c r="BC178" s="202">
        <f>'Quarterly historicals'!AG134</f>
        <v>57.994000000000028</v>
      </c>
      <c r="BD178" s="202">
        <f>'Quarterly historicals'!AH134</f>
        <v>72.78</v>
      </c>
      <c r="BE178" s="202">
        <f>'Quarterly historicals'!AI134</f>
        <v>103.325</v>
      </c>
      <c r="BF178" s="202">
        <f>'Quarterly historicals'!AJ134</f>
        <v>126.288</v>
      </c>
      <c r="BG178" s="202">
        <f>'Quarterly historicals'!AK134</f>
        <v>177.25399999999996</v>
      </c>
      <c r="BH178" s="202">
        <f>'Quarterly historicals'!AL134</f>
        <v>78.905000000000001</v>
      </c>
      <c r="BI178" s="202">
        <f>'Quarterly historicals'!AM134</f>
        <v>136.964</v>
      </c>
      <c r="BJ178" s="202">
        <f>'Quarterly historicals'!AN134</f>
        <v>171.00399999999999</v>
      </c>
      <c r="BK178" s="202">
        <f>'Quarterly historicals'!AO134</f>
        <v>133.34600000000006</v>
      </c>
      <c r="BL178" s="202">
        <f>'Quarterly historicals'!AP134</f>
        <v>190.87</v>
      </c>
      <c r="BM178" s="202">
        <f>'Quarterly historicals'!AQ134</f>
        <v>181.542</v>
      </c>
      <c r="BN178" s="202">
        <f>'Quarterly historicals'!AR134</f>
        <v>149.91800000000001</v>
      </c>
      <c r="BO178" s="202">
        <f>'Quarterly historicals'!AS134</f>
        <v>259.78199999999993</v>
      </c>
      <c r="BP178" s="355">
        <f>'Quarterly historicals'!AT134</f>
        <v>319.07499999999999</v>
      </c>
      <c r="BQ178" s="1606">
        <f t="shared" ref="BQ178:BR180" si="513">$N178*BQ230</f>
        <v>251.94540584509619</v>
      </c>
      <c r="BR178" s="1606">
        <f t="shared" si="513"/>
        <v>208.05737159161589</v>
      </c>
      <c r="BS178" s="2063">
        <f t="shared" ref="BS178:BS180" si="514">$N178-SUM(BP178:BR178)</f>
        <v>306.34336619021656</v>
      </c>
      <c r="BT178" s="2069">
        <f t="shared" ref="BT178:BV180" si="515">$O178*BT230</f>
        <v>511.39391726339147</v>
      </c>
      <c r="BU178" s="1606">
        <f t="shared" si="515"/>
        <v>193.53394810651076</v>
      </c>
      <c r="BV178" s="1606">
        <f t="shared" si="515"/>
        <v>159.8209914633081</v>
      </c>
      <c r="BW178" s="2063">
        <f t="shared" ref="BW178:BW180" si="516">$O178-SUM(BT178:BV178)</f>
        <v>-30.973624537216438</v>
      </c>
      <c r="BX178" s="2069">
        <f t="shared" ref="BX178:BZ180" si="517">$P178*BX230</f>
        <v>540.24103963099026</v>
      </c>
      <c r="BY178" s="1606">
        <f t="shared" si="517"/>
        <v>204.45096783405978</v>
      </c>
      <c r="BZ178" s="1606">
        <f t="shared" si="517"/>
        <v>168.83630342150346</v>
      </c>
      <c r="CA178" s="2063">
        <f t="shared" ref="CA178:CA180" si="518">$P178-SUM(BX178:BZ178)</f>
        <v>-32.720809841989762</v>
      </c>
      <c r="CB178" s="2069">
        <f t="shared" ref="CB178:CD180" si="519">$Q178*CB230</f>
        <v>737.34390819484486</v>
      </c>
      <c r="CC178" s="1606">
        <f t="shared" si="519"/>
        <v>279.04336138541771</v>
      </c>
      <c r="CD178" s="1606">
        <f t="shared" si="519"/>
        <v>230.43495528406129</v>
      </c>
      <c r="CE178" s="2063">
        <f t="shared" ref="CE178:CE180" si="520">$Q178-SUM(CB178:CD178)</f>
        <v>-44.658750517495946</v>
      </c>
      <c r="CF178" s="2069">
        <f t="shared" ref="CF178:CH180" si="521">$R178*CF230</f>
        <v>815.57234768995602</v>
      </c>
      <c r="CG178" s="1606">
        <f t="shared" si="521"/>
        <v>308.64844317973717</v>
      </c>
      <c r="CH178" s="1606">
        <f t="shared" si="521"/>
        <v>254.88293234964826</v>
      </c>
      <c r="CI178" s="2063">
        <f t="shared" ref="CI178:CI180" si="522">$R178-SUM(CF178:CH178)</f>
        <v>-49.396816871550755</v>
      </c>
      <c r="CJ178" s="2069">
        <f t="shared" ref="CJ178:CL180" si="523">$S178*CJ230</f>
        <v>593.45673202583839</v>
      </c>
      <c r="CK178" s="1606">
        <f t="shared" si="523"/>
        <v>224.59012612813882</v>
      </c>
      <c r="CL178" s="1606">
        <f t="shared" si="523"/>
        <v>185.46728872039702</v>
      </c>
      <c r="CM178" s="2063">
        <f t="shared" ref="CM178:CM180" si="524">$S178-SUM(CJ178:CL178)</f>
        <v>-35.943927716653661</v>
      </c>
      <c r="CN178" s="2069">
        <f t="shared" ref="CN178:CP180" si="525">$T178*CN230</f>
        <v>435.6945489842675</v>
      </c>
      <c r="CO178" s="1606">
        <f t="shared" si="525"/>
        <v>164.88597808249111</v>
      </c>
      <c r="CP178" s="1606">
        <f t="shared" si="525"/>
        <v>136.16340054737142</v>
      </c>
      <c r="CQ178" s="2063">
        <f t="shared" ref="CQ178:CQ180" si="526">$T178-SUM(CN178:CP178)</f>
        <v>-26.388736583661625</v>
      </c>
      <c r="CR178" s="2069">
        <f t="shared" ref="CR178:CT180" si="527">$U178*CR230</f>
        <v>634.87030695081592</v>
      </c>
      <c r="CS178" s="1606">
        <f t="shared" si="527"/>
        <v>240.2628441442736</v>
      </c>
      <c r="CT178" s="1606">
        <f t="shared" si="527"/>
        <v>198.40987247260256</v>
      </c>
      <c r="CU178" s="2063">
        <f t="shared" ref="CU178:CU180" si="528">$U178-SUM(CR178:CT178)</f>
        <v>-38.452226069779044</v>
      </c>
    </row>
    <row r="179" spans="1:99">
      <c r="A179" s="1051" t="s">
        <v>42</v>
      </c>
      <c r="B179" s="1015" t="str">
        <f>'Annual historicals'!G138</f>
        <v>NA</v>
      </c>
      <c r="C179" s="1015" t="str">
        <f>'Annual historicals'!H138</f>
        <v>NA</v>
      </c>
      <c r="D179" s="1015" t="str">
        <f>'Annual historicals'!I138</f>
        <v>NA</v>
      </c>
      <c r="E179" s="1015" t="str">
        <f>'Annual historicals'!J138</f>
        <v>NA</v>
      </c>
      <c r="F179" s="1015" t="str">
        <f>'Annual historicals'!K138</f>
        <v>NA</v>
      </c>
      <c r="G179" s="740">
        <f>'Annual historicals'!L138</f>
        <v>239.49799999999999</v>
      </c>
      <c r="H179" s="740">
        <f>'Annual historicals'!M138</f>
        <v>171.54599999999999</v>
      </c>
      <c r="I179" s="740">
        <f>'Annual historicals'!N138</f>
        <v>176.023</v>
      </c>
      <c r="J179" s="740">
        <f>'Annual historicals'!O138</f>
        <v>325.45699999999999</v>
      </c>
      <c r="K179" s="740">
        <f>'Annual historicals'!P138</f>
        <v>395.53</v>
      </c>
      <c r="L179" s="740">
        <f>'Annual historicals'!Q138</f>
        <v>613.322</v>
      </c>
      <c r="M179" s="2085">
        <f>'Annual historicals'!R138</f>
        <v>534.37699999999995</v>
      </c>
      <c r="N179" s="356">
        <f t="shared" ref="N179:U179" si="529">N140+N158+N168</f>
        <v>630.89793856831238</v>
      </c>
      <c r="O179" s="356">
        <f t="shared" si="529"/>
        <v>807.57610876893693</v>
      </c>
      <c r="P179" s="356">
        <f t="shared" si="529"/>
        <v>915.46799225878112</v>
      </c>
      <c r="Q179" s="356">
        <f t="shared" si="529"/>
        <v>923.5880265590099</v>
      </c>
      <c r="R179" s="356">
        <f t="shared" si="529"/>
        <v>939.94016750781043</v>
      </c>
      <c r="S179" s="356">
        <f t="shared" si="529"/>
        <v>1056.5536977431084</v>
      </c>
      <c r="T179" s="356">
        <f t="shared" si="529"/>
        <v>1164.7450409830858</v>
      </c>
      <c r="U179" s="356">
        <f t="shared" si="529"/>
        <v>1393.3722617919086</v>
      </c>
      <c r="V179" s="1944"/>
      <c r="W179" s="472"/>
      <c r="X179" s="935" t="str">
        <f>'Quarterly historicals'!B135</f>
        <v>NA</v>
      </c>
      <c r="Y179" s="935" t="str">
        <f>'Quarterly historicals'!C135</f>
        <v>NA</v>
      </c>
      <c r="Z179" s="935" t="str">
        <f>'Quarterly historicals'!D135</f>
        <v>NA</v>
      </c>
      <c r="AA179" s="935" t="str">
        <f>'Quarterly historicals'!E135</f>
        <v>NA</v>
      </c>
      <c r="AB179" s="935" t="str">
        <f>'Quarterly historicals'!F135</f>
        <v>NA</v>
      </c>
      <c r="AC179" s="935" t="str">
        <f>'Quarterly historicals'!G135</f>
        <v>NA</v>
      </c>
      <c r="AD179" s="935" t="str">
        <f>'Quarterly historicals'!H135</f>
        <v>NA</v>
      </c>
      <c r="AE179" s="935" t="str">
        <f>'Quarterly historicals'!I135</f>
        <v>NA</v>
      </c>
      <c r="AF179" s="935" t="str">
        <f>'Quarterly historicals'!J135</f>
        <v>NA</v>
      </c>
      <c r="AG179" s="935" t="str">
        <f>'Quarterly historicals'!K135</f>
        <v>NA</v>
      </c>
      <c r="AH179" s="935" t="str">
        <f>'Quarterly historicals'!L135</f>
        <v>NA</v>
      </c>
      <c r="AI179" s="935" t="str">
        <f>'Quarterly historicals'!M135</f>
        <v>NA</v>
      </c>
      <c r="AJ179" s="202">
        <f>'Quarterly historicals'!N135</f>
        <v>9.8070000000000004</v>
      </c>
      <c r="AK179" s="202">
        <f>'Quarterly historicals'!O135</f>
        <v>27.975999999999999</v>
      </c>
      <c r="AL179" s="202">
        <f>'Quarterly historicals'!P135</f>
        <v>55.611000000000004</v>
      </c>
      <c r="AM179" s="202">
        <f>'Quarterly historicals'!Q135</f>
        <v>79.575999999999993</v>
      </c>
      <c r="AN179" s="202">
        <f>'Quarterly historicals'!R135</f>
        <v>35.816000000000003</v>
      </c>
      <c r="AO179" s="202">
        <f>'Quarterly historicals'!S135</f>
        <v>40.405000000000001</v>
      </c>
      <c r="AP179" s="202">
        <f>'Quarterly historicals'!T135</f>
        <v>86.224999999999994</v>
      </c>
      <c r="AQ179" s="202">
        <f>'Quarterly historicals'!U135</f>
        <v>77.051999999999992</v>
      </c>
      <c r="AR179" s="202">
        <f>'Quarterly historicals'!V135</f>
        <v>58.377000000000002</v>
      </c>
      <c r="AS179" s="202">
        <f>'Quarterly historicals'!W135</f>
        <v>30.353999999999992</v>
      </c>
      <c r="AT179" s="202">
        <f>'Quarterly historicals'!X135</f>
        <v>54.195999999999998</v>
      </c>
      <c r="AU179" s="202">
        <f>'Quarterly historicals'!Y135</f>
        <v>28.619</v>
      </c>
      <c r="AV179" s="202">
        <f>'Quarterly historicals'!Z135</f>
        <v>29.228999999999999</v>
      </c>
      <c r="AW179" s="202">
        <f>'Quarterly historicals'!AA135</f>
        <v>37.396000000000001</v>
      </c>
      <c r="AX179" s="202">
        <f>'Quarterly historicals'!AB135</f>
        <v>59.853999999999999</v>
      </c>
      <c r="AY179" s="202">
        <f>'Quarterly historicals'!AC135</f>
        <v>49.543999999999997</v>
      </c>
      <c r="AZ179" s="202">
        <f>'Quarterly historicals'!AD135</f>
        <v>98.480999999999995</v>
      </c>
      <c r="BA179" s="202">
        <f>'Quarterly historicals'!AE135</f>
        <v>87.522000000000006</v>
      </c>
      <c r="BB179" s="202">
        <f>'Quarterly historicals'!AF135</f>
        <v>59.103999999999999</v>
      </c>
      <c r="BC179" s="202">
        <f>'Quarterly historicals'!AG135</f>
        <v>80.317999999999984</v>
      </c>
      <c r="BD179" s="202">
        <f>'Quarterly historicals'!AH135</f>
        <v>107.92400000000001</v>
      </c>
      <c r="BE179" s="202">
        <f>'Quarterly historicals'!AI135</f>
        <v>70.450999999999993</v>
      </c>
      <c r="BF179" s="202">
        <f>'Quarterly historicals'!AJ135</f>
        <v>84.093999999999994</v>
      </c>
      <c r="BG179" s="202">
        <f>'Quarterly historicals'!AK135</f>
        <v>131.92900000000003</v>
      </c>
      <c r="BH179" s="202">
        <f>'Quarterly historicals'!AL135</f>
        <v>72.965000000000003</v>
      </c>
      <c r="BI179" s="202">
        <f>'Quarterly historicals'!AM135</f>
        <v>127.485</v>
      </c>
      <c r="BJ179" s="202">
        <f>'Quarterly historicals'!AN135</f>
        <v>205.483</v>
      </c>
      <c r="BK179" s="202">
        <f>'Quarterly historicals'!AO135</f>
        <v>207.38900000000001</v>
      </c>
      <c r="BL179" s="202">
        <f>'Quarterly historicals'!AP135</f>
        <v>104.67400000000001</v>
      </c>
      <c r="BM179" s="202">
        <f>'Quarterly historicals'!AQ135</f>
        <v>132.26900000000001</v>
      </c>
      <c r="BN179" s="202">
        <f>'Quarterly historicals'!AR135</f>
        <v>163.76499999999999</v>
      </c>
      <c r="BO179" s="202">
        <f>'Quarterly historicals'!AS135</f>
        <v>133.66899999999998</v>
      </c>
      <c r="BP179" s="355">
        <f>'Quarterly historicals'!AT135</f>
        <v>96.673000000000002</v>
      </c>
      <c r="BQ179" s="1606">
        <f t="shared" si="513"/>
        <v>156.15986361032029</v>
      </c>
      <c r="BR179" s="1606">
        <f t="shared" si="513"/>
        <v>193.34477514870528</v>
      </c>
      <c r="BS179" s="2063">
        <f t="shared" si="514"/>
        <v>184.72029980928681</v>
      </c>
      <c r="BT179" s="2069">
        <f t="shared" si="515"/>
        <v>127.29170837344729</v>
      </c>
      <c r="BU179" s="1606">
        <f t="shared" si="515"/>
        <v>199.8912459382768</v>
      </c>
      <c r="BV179" s="1606">
        <f t="shared" si="515"/>
        <v>247.48950919022516</v>
      </c>
      <c r="BW179" s="2063">
        <f t="shared" si="516"/>
        <v>232.90364526698772</v>
      </c>
      <c r="BX179" s="2069">
        <f t="shared" si="517"/>
        <v>144.29783574636676</v>
      </c>
      <c r="BY179" s="1606">
        <f t="shared" si="517"/>
        <v>226.59664594111786</v>
      </c>
      <c r="BZ179" s="1606">
        <f t="shared" si="517"/>
        <v>280.55402038684167</v>
      </c>
      <c r="CA179" s="2063">
        <f t="shared" si="518"/>
        <v>264.01949018445487</v>
      </c>
      <c r="CB179" s="2069">
        <f t="shared" si="519"/>
        <v>145.57773125950015</v>
      </c>
      <c r="CC179" s="1606">
        <f t="shared" si="519"/>
        <v>228.60651690647933</v>
      </c>
      <c r="CD179" s="1606">
        <f t="shared" si="519"/>
        <v>283.04248343292517</v>
      </c>
      <c r="CE179" s="2063">
        <f t="shared" si="520"/>
        <v>266.36129496010517</v>
      </c>
      <c r="CF179" s="2069">
        <f t="shared" si="521"/>
        <v>148.15518734609643</v>
      </c>
      <c r="CG179" s="1606">
        <f t="shared" si="521"/>
        <v>232.65399898590434</v>
      </c>
      <c r="CH179" s="1606">
        <f t="shared" si="521"/>
        <v>288.05375518017536</v>
      </c>
      <c r="CI179" s="2063">
        <f t="shared" si="522"/>
        <v>271.07722599563431</v>
      </c>
      <c r="CJ179" s="2069">
        <f t="shared" si="523"/>
        <v>166.53603754947568</v>
      </c>
      <c r="CK179" s="1606">
        <f t="shared" si="523"/>
        <v>261.51818107213302</v>
      </c>
      <c r="CL179" s="1606">
        <f t="shared" si="523"/>
        <v>323.79109937534764</v>
      </c>
      <c r="CM179" s="2063">
        <f t="shared" si="524"/>
        <v>304.7083797461521</v>
      </c>
      <c r="CN179" s="2069">
        <f t="shared" si="525"/>
        <v>183.58936634746161</v>
      </c>
      <c r="CO179" s="1606">
        <f t="shared" si="525"/>
        <v>288.29770335510659</v>
      </c>
      <c r="CP179" s="1606">
        <f t="shared" si="525"/>
        <v>356.94738290868628</v>
      </c>
      <c r="CQ179" s="2063">
        <f t="shared" si="526"/>
        <v>335.91058837183141</v>
      </c>
      <c r="CR179" s="2069">
        <f t="shared" si="527"/>
        <v>219.62603112917714</v>
      </c>
      <c r="CS179" s="1606">
        <f t="shared" si="527"/>
        <v>344.88751517178696</v>
      </c>
      <c r="CT179" s="1606">
        <f t="shared" si="527"/>
        <v>427.0124059462737</v>
      </c>
      <c r="CU179" s="2063">
        <f t="shared" si="528"/>
        <v>401.84630954467082</v>
      </c>
    </row>
    <row r="180" spans="1:99">
      <c r="A180" s="1051" t="s">
        <v>46</v>
      </c>
      <c r="B180" s="1015" t="str">
        <f>'Annual historicals'!G139</f>
        <v>NA</v>
      </c>
      <c r="C180" s="1015" t="str">
        <f>'Annual historicals'!H139</f>
        <v>NA</v>
      </c>
      <c r="D180" s="1015" t="str">
        <f>'Annual historicals'!I139</f>
        <v>NA</v>
      </c>
      <c r="E180" s="1015" t="str">
        <f>'Annual historicals'!J139</f>
        <v>NA</v>
      </c>
      <c r="F180" s="1015" t="str">
        <f>'Annual historicals'!K139</f>
        <v>NA</v>
      </c>
      <c r="G180" s="740">
        <f>'Annual historicals'!L139</f>
        <v>17.120999999999999</v>
      </c>
      <c r="H180" s="740">
        <f>'Annual historicals'!M139</f>
        <v>22.818999999999999</v>
      </c>
      <c r="I180" s="740">
        <f>'Annual historicals'!N139</f>
        <v>34.402000000000001</v>
      </c>
      <c r="J180" s="740">
        <f>'Annual historicals'!O139</f>
        <v>89.314999999999998</v>
      </c>
      <c r="K180" s="740">
        <f>'Annual historicals'!P139</f>
        <v>215.797</v>
      </c>
      <c r="L180" s="740">
        <f>'Annual historicals'!Q139</f>
        <v>167.69900000000001</v>
      </c>
      <c r="M180" s="2085">
        <f>'Annual historicals'!R139</f>
        <v>128.595</v>
      </c>
      <c r="N180" s="356">
        <f t="shared" ref="N180:U180" si="530">N141+N161+N169+N171+N174+N175-N173</f>
        <v>43.392970608222264</v>
      </c>
      <c r="O180" s="356">
        <f t="shared" si="530"/>
        <v>139.48956008432364</v>
      </c>
      <c r="P180" s="356">
        <f t="shared" si="530"/>
        <v>157.40537882349031</v>
      </c>
      <c r="Q180" s="356">
        <f t="shared" si="530"/>
        <v>173.56775538944373</v>
      </c>
      <c r="R180" s="356">
        <f t="shared" si="530"/>
        <v>189.05037545198331</v>
      </c>
      <c r="S180" s="356">
        <f t="shared" si="530"/>
        <v>203.28051444883818</v>
      </c>
      <c r="T180" s="356">
        <f t="shared" si="530"/>
        <v>215.702454640181</v>
      </c>
      <c r="U180" s="356">
        <f t="shared" si="530"/>
        <v>225.8248016899891</v>
      </c>
      <c r="V180" s="1944"/>
      <c r="W180" s="472"/>
      <c r="X180" s="935" t="str">
        <f>'Quarterly historicals'!B136</f>
        <v>NA</v>
      </c>
      <c r="Y180" s="935" t="str">
        <f>'Quarterly historicals'!C136</f>
        <v>NA</v>
      </c>
      <c r="Z180" s="935" t="str">
        <f>'Quarterly historicals'!D136</f>
        <v>NA</v>
      </c>
      <c r="AA180" s="935" t="str">
        <f>'Quarterly historicals'!E136</f>
        <v>NA</v>
      </c>
      <c r="AB180" s="935" t="str">
        <f>'Quarterly historicals'!F136</f>
        <v>NA</v>
      </c>
      <c r="AC180" s="935" t="str">
        <f>'Quarterly historicals'!G136</f>
        <v>NA</v>
      </c>
      <c r="AD180" s="935" t="str">
        <f>'Quarterly historicals'!H136</f>
        <v>NA</v>
      </c>
      <c r="AE180" s="935" t="str">
        <f>'Quarterly historicals'!I136</f>
        <v>NA</v>
      </c>
      <c r="AF180" s="935" t="str">
        <f>'Quarterly historicals'!J136</f>
        <v>NA</v>
      </c>
      <c r="AG180" s="935" t="str">
        <f>'Quarterly historicals'!K136</f>
        <v>NA</v>
      </c>
      <c r="AH180" s="935" t="str">
        <f>'Quarterly historicals'!L136</f>
        <v>NA</v>
      </c>
      <c r="AI180" s="935" t="str">
        <f>'Quarterly historicals'!M136</f>
        <v>NA</v>
      </c>
      <c r="AJ180" s="202">
        <f>'Quarterly historicals'!N136</f>
        <v>2.3980000000000001</v>
      </c>
      <c r="AK180" s="202">
        <f>'Quarterly historicals'!O136</f>
        <v>4.843</v>
      </c>
      <c r="AL180" s="202">
        <f>'Quarterly historicals'!P136</f>
        <v>6.8179999999999996</v>
      </c>
      <c r="AM180" s="202">
        <f>'Quarterly historicals'!Q136</f>
        <v>0.55800000000000161</v>
      </c>
      <c r="AN180" s="202">
        <f>'Quarterly historicals'!R136</f>
        <v>6.4139999999999997</v>
      </c>
      <c r="AO180" s="202">
        <f>'Quarterly historicals'!S136</f>
        <v>5.9860000000000007</v>
      </c>
      <c r="AP180" s="202">
        <f>'Quarterly historicals'!T136</f>
        <v>5.1169999999999991</v>
      </c>
      <c r="AQ180" s="202">
        <f>'Quarterly historicals'!U136</f>
        <v>-0.3960000000000008</v>
      </c>
      <c r="AR180" s="202">
        <f>'Quarterly historicals'!V136</f>
        <v>2.1970000000000001</v>
      </c>
      <c r="AS180" s="202">
        <f>'Quarterly historicals'!W136</f>
        <v>8.1990000000000016</v>
      </c>
      <c r="AT180" s="202">
        <f>'Quarterly historicals'!X136</f>
        <v>9.1009999999999991</v>
      </c>
      <c r="AU180" s="202">
        <f>'Quarterly historicals'!Y136</f>
        <v>3.3219999999999992</v>
      </c>
      <c r="AV180" s="202">
        <f>'Quarterly historicals'!Z136</f>
        <v>7.9139999999999997</v>
      </c>
      <c r="AW180" s="202">
        <f>'Quarterly historicals'!AA136</f>
        <v>10.856</v>
      </c>
      <c r="AX180" s="202">
        <f>'Quarterly historicals'!AB136</f>
        <v>16.586000000000002</v>
      </c>
      <c r="AY180" s="202">
        <f>'Quarterly historicals'!AC136</f>
        <v>-0.95400000000000063</v>
      </c>
      <c r="AZ180" s="202">
        <f>'Quarterly historicals'!AD136</f>
        <v>9.5879999999999992</v>
      </c>
      <c r="BA180" s="202">
        <f>'Quarterly historicals'!AE136</f>
        <v>25.873999999999999</v>
      </c>
      <c r="BB180" s="202">
        <f>'Quarterly historicals'!AF136</f>
        <v>44.293999999999997</v>
      </c>
      <c r="BC180" s="202">
        <f>'Quarterly historicals'!AG136</f>
        <v>9.3829999999999956</v>
      </c>
      <c r="BD180" s="202">
        <f>'Quarterly historicals'!AH136</f>
        <v>46.341999999999999</v>
      </c>
      <c r="BE180" s="202">
        <f>'Quarterly historicals'!AI136</f>
        <v>83.141999999999996</v>
      </c>
      <c r="BF180" s="202">
        <f>'Quarterly historicals'!AJ136</f>
        <v>77.301000000000002</v>
      </c>
      <c r="BG180" s="202">
        <f>'Quarterly historicals'!AK136</f>
        <v>10.763000000000034</v>
      </c>
      <c r="BH180" s="202">
        <f>'Quarterly historicals'!AL136</f>
        <v>73.234000000000009</v>
      </c>
      <c r="BI180" s="202">
        <f>'Quarterly historicals'!AM136</f>
        <v>54.452999999999996</v>
      </c>
      <c r="BJ180" s="202">
        <f>'Quarterly historicals'!AN136</f>
        <v>35.421999999999997</v>
      </c>
      <c r="BK180" s="202">
        <f>'Quarterly historicals'!AO136</f>
        <v>4.5900000000000034</v>
      </c>
      <c r="BL180" s="202">
        <f>'Quarterly historicals'!AP136</f>
        <v>38.206000000000003</v>
      </c>
      <c r="BM180" s="202">
        <f>'Quarterly historicals'!AQ136</f>
        <v>54.893000000000001</v>
      </c>
      <c r="BN180" s="202">
        <f>'Quarterly historicals'!AR136</f>
        <v>28.325000000000003</v>
      </c>
      <c r="BO180" s="202">
        <f>'Quarterly historicals'!AS136</f>
        <v>7.1709999999999923</v>
      </c>
      <c r="BP180" s="355">
        <f>'Quarterly historicals'!AT136</f>
        <v>59.593999999999994</v>
      </c>
      <c r="BQ180" s="2064">
        <f t="shared" si="513"/>
        <v>18.523040052856992</v>
      </c>
      <c r="BR180" s="2064">
        <f t="shared" si="513"/>
        <v>9.5579602043461716</v>
      </c>
      <c r="BS180" s="2065">
        <f t="shared" si="514"/>
        <v>-44.282029648980902</v>
      </c>
      <c r="BT180" s="2070">
        <f t="shared" si="515"/>
        <v>49.569412123299372</v>
      </c>
      <c r="BU180" s="2064">
        <f t="shared" si="515"/>
        <v>59.543531410309711</v>
      </c>
      <c r="BV180" s="2064">
        <f t="shared" si="515"/>
        <v>30.72469216834611</v>
      </c>
      <c r="BW180" s="2065">
        <f t="shared" si="516"/>
        <v>-0.34807561763156514</v>
      </c>
      <c r="BX180" s="2070">
        <f t="shared" si="517"/>
        <v>55.936029109339231</v>
      </c>
      <c r="BY180" s="2064">
        <f t="shared" si="517"/>
        <v>67.191208520998899</v>
      </c>
      <c r="BZ180" s="2064">
        <f t="shared" si="517"/>
        <v>34.670923093241292</v>
      </c>
      <c r="CA180" s="2065">
        <f t="shared" si="518"/>
        <v>-0.39278190008911906</v>
      </c>
      <c r="CB180" s="2070">
        <f t="shared" si="519"/>
        <v>61.679537830747392</v>
      </c>
      <c r="CC180" s="2064">
        <f t="shared" si="519"/>
        <v>74.090398511549708</v>
      </c>
      <c r="CD180" s="2064">
        <f t="shared" si="519"/>
        <v>38.230931773443714</v>
      </c>
      <c r="CE180" s="2065">
        <f t="shared" si="520"/>
        <v>-0.43311272629711084</v>
      </c>
      <c r="CF180" s="2070">
        <f t="shared" si="521"/>
        <v>67.181486321835493</v>
      </c>
      <c r="CG180" s="2064">
        <f t="shared" si="521"/>
        <v>80.699422681175164</v>
      </c>
      <c r="CH180" s="2064">
        <f t="shared" si="521"/>
        <v>41.641213769411159</v>
      </c>
      <c r="CI180" s="2065">
        <f t="shared" si="522"/>
        <v>-0.47174732043851009</v>
      </c>
      <c r="CJ180" s="2070">
        <f t="shared" si="523"/>
        <v>72.238349531386945</v>
      </c>
      <c r="CK180" s="2064">
        <f t="shared" si="523"/>
        <v>86.77380364431022</v>
      </c>
      <c r="CL180" s="2064">
        <f t="shared" si="523"/>
        <v>44.775617806006004</v>
      </c>
      <c r="CM180" s="2065">
        <f t="shared" si="524"/>
        <v>-0.50725653286500005</v>
      </c>
      <c r="CN180" s="2070">
        <f t="shared" si="525"/>
        <v>76.652646001627588</v>
      </c>
      <c r="CO180" s="2064">
        <f t="shared" si="525"/>
        <v>92.076323671709289</v>
      </c>
      <c r="CP180" s="2064">
        <f t="shared" si="525"/>
        <v>47.511738618788662</v>
      </c>
      <c r="CQ180" s="2065">
        <f t="shared" si="526"/>
        <v>-0.53825365194452957</v>
      </c>
      <c r="CR180" s="2070">
        <f t="shared" si="527"/>
        <v>80.249752424959055</v>
      </c>
      <c r="CS180" s="2064">
        <f t="shared" si="527"/>
        <v>96.397222591613755</v>
      </c>
      <c r="CT180" s="2064">
        <f t="shared" si="527"/>
        <v>49.741339149025563</v>
      </c>
      <c r="CU180" s="2065">
        <f t="shared" si="528"/>
        <v>-0.56351247560928641</v>
      </c>
    </row>
    <row r="181" spans="1:99" s="54" customFormat="1">
      <c r="A181" s="1007"/>
      <c r="B181" s="747"/>
      <c r="C181" s="747"/>
      <c r="D181" s="747"/>
      <c r="E181" s="336"/>
      <c r="F181" s="808"/>
      <c r="G181" s="808"/>
      <c r="H181" s="808"/>
      <c r="I181" s="808"/>
      <c r="J181" s="808"/>
      <c r="K181" s="808"/>
      <c r="L181" s="808"/>
      <c r="M181" s="1588"/>
      <c r="N181" s="103"/>
      <c r="O181" s="103"/>
      <c r="P181" s="103"/>
      <c r="Q181" s="103"/>
      <c r="R181" s="103"/>
      <c r="S181" s="103"/>
      <c r="T181" s="103"/>
      <c r="U181" s="103"/>
      <c r="V181" s="336"/>
      <c r="W181" s="336"/>
      <c r="X181" s="336"/>
      <c r="Y181" s="336"/>
      <c r="Z181" s="336"/>
      <c r="AA181" s="336"/>
      <c r="AB181" s="336"/>
      <c r="AC181" s="336"/>
      <c r="AD181" s="336"/>
      <c r="AE181" s="336"/>
      <c r="AF181" s="336"/>
      <c r="AG181" s="336"/>
      <c r="AH181" s="336"/>
      <c r="AI181" s="336"/>
      <c r="AJ181" s="336"/>
      <c r="AK181" s="336"/>
      <c r="AL181" s="336"/>
      <c r="AM181" s="336"/>
      <c r="AN181" s="336"/>
      <c r="AO181" s="336"/>
      <c r="AP181" s="336"/>
      <c r="AQ181" s="336"/>
      <c r="AR181" s="336"/>
      <c r="AS181" s="336"/>
      <c r="AT181" s="336"/>
      <c r="AU181" s="336"/>
      <c r="AV181" s="336"/>
      <c r="AW181" s="336"/>
      <c r="AX181" s="336"/>
      <c r="AY181" s="336"/>
      <c r="AZ181" s="336"/>
      <c r="BA181" s="336"/>
      <c r="BB181" s="336"/>
      <c r="BC181" s="336"/>
      <c r="BD181" s="336"/>
      <c r="BE181" s="336"/>
      <c r="BF181" s="336"/>
      <c r="BG181" s="336"/>
      <c r="BH181" s="336"/>
      <c r="BI181" s="336"/>
      <c r="BJ181" s="336"/>
      <c r="BK181" s="336"/>
      <c r="BL181" s="336"/>
      <c r="BM181" s="336"/>
      <c r="BN181" s="336"/>
      <c r="BO181" s="336"/>
      <c r="BP181" s="365"/>
    </row>
    <row r="182" spans="1:99" s="54" customFormat="1">
      <c r="A182" s="2094" t="s">
        <v>1054</v>
      </c>
      <c r="B182" s="747"/>
      <c r="C182" s="747"/>
      <c r="D182" s="747"/>
      <c r="E182" s="876"/>
      <c r="F182" s="876"/>
      <c r="G182" s="876"/>
      <c r="H182" s="798"/>
      <c r="I182" s="798">
        <f t="shared" ref="I182:U182" si="531">SUM(I183:I185)</f>
        <v>650.10200000000009</v>
      </c>
      <c r="J182" s="798">
        <f t="shared" si="531"/>
        <v>766.60099999999989</v>
      </c>
      <c r="K182" s="798">
        <f t="shared" si="531"/>
        <v>1091.5929999999998</v>
      </c>
      <c r="L182" s="798">
        <f t="shared" si="531"/>
        <v>1301.241</v>
      </c>
      <c r="M182" s="1449">
        <f t="shared" ref="M182" si="532">SUM(M183:M185)</f>
        <v>1445.0839999999998</v>
      </c>
      <c r="N182" s="1637">
        <f t="shared" si="531"/>
        <v>1759.7120528034634</v>
      </c>
      <c r="O182" s="1637">
        <f t="shared" si="531"/>
        <v>1780.8409011492545</v>
      </c>
      <c r="P182" s="1637">
        <f t="shared" si="531"/>
        <v>1953.6808721268351</v>
      </c>
      <c r="Q182" s="1637">
        <f t="shared" si="531"/>
        <v>2299.3192562952813</v>
      </c>
      <c r="R182" s="1637">
        <f t="shared" si="531"/>
        <v>2458.6974493075841</v>
      </c>
      <c r="S182" s="1637">
        <f t="shared" si="531"/>
        <v>2227.404431349667</v>
      </c>
      <c r="T182" s="1637">
        <f t="shared" si="531"/>
        <v>2090.8026866537352</v>
      </c>
      <c r="U182" s="1637">
        <f t="shared" si="531"/>
        <v>2654.2878609798108</v>
      </c>
      <c r="V182" s="336"/>
      <c r="W182" s="336"/>
      <c r="X182" s="336"/>
      <c r="Y182" s="336"/>
      <c r="Z182" s="336"/>
      <c r="AA182" s="336"/>
      <c r="AB182" s="336"/>
      <c r="AC182" s="336"/>
      <c r="AD182" s="336"/>
      <c r="AE182" s="336"/>
      <c r="AF182" s="336"/>
      <c r="AG182" s="336"/>
      <c r="AH182" s="336"/>
      <c r="AI182" s="336"/>
      <c r="AJ182" s="336"/>
      <c r="AK182" s="336"/>
      <c r="AL182" s="336"/>
      <c r="AM182" s="336"/>
      <c r="AN182" s="336"/>
      <c r="AO182" s="336"/>
      <c r="AP182" s="336"/>
      <c r="AQ182" s="336"/>
      <c r="AR182" s="336"/>
      <c r="AS182" s="336"/>
      <c r="AT182" s="1056"/>
      <c r="AU182" s="1056"/>
      <c r="AV182" s="1056"/>
      <c r="AW182" s="1056"/>
      <c r="AX182" s="1056">
        <f t="shared" ref="AX182:BK182" si="533">SUM(AX183:AX185)</f>
        <v>161.054</v>
      </c>
      <c r="AY182" s="1056">
        <f t="shared" si="533"/>
        <v>144.42000000000004</v>
      </c>
      <c r="AZ182" s="1057">
        <f t="shared" si="533"/>
        <v>211.63900000000001</v>
      </c>
      <c r="BA182" s="1057">
        <f t="shared" si="533"/>
        <v>238.84300000000002</v>
      </c>
      <c r="BB182" s="1057">
        <f t="shared" si="533"/>
        <v>168.42600000000002</v>
      </c>
      <c r="BC182" s="1057">
        <f t="shared" si="533"/>
        <v>147.69300000000004</v>
      </c>
      <c r="BD182" s="1057">
        <f t="shared" si="533"/>
        <v>227.15399999999997</v>
      </c>
      <c r="BE182" s="1057">
        <f t="shared" si="533"/>
        <v>250.202</v>
      </c>
      <c r="BF182" s="1057">
        <f t="shared" si="533"/>
        <v>287.68299999999999</v>
      </c>
      <c r="BG182" s="1057">
        <f t="shared" si="533"/>
        <v>326.55399999999997</v>
      </c>
      <c r="BH182" s="1057">
        <f t="shared" si="533"/>
        <v>225.10400000000001</v>
      </c>
      <c r="BI182" s="1057">
        <f t="shared" si="533"/>
        <v>318.90199999999999</v>
      </c>
      <c r="BJ182" s="1057">
        <f t="shared" si="533"/>
        <v>411.90900000000005</v>
      </c>
      <c r="BK182" s="1057">
        <f t="shared" si="533"/>
        <v>345.32599999999985</v>
      </c>
      <c r="BL182" s="1057">
        <f t="shared" ref="BL182:BM182" si="534">SUM(BL183:BL185)</f>
        <v>333.75100000000003</v>
      </c>
      <c r="BM182" s="1057">
        <f t="shared" si="534"/>
        <v>368.70400000000001</v>
      </c>
      <c r="BN182" s="1057">
        <f t="shared" ref="BN182:BO182" si="535">SUM(BN183:BN185)</f>
        <v>342.00799999999998</v>
      </c>
      <c r="BO182" s="1057">
        <f t="shared" si="535"/>
        <v>400.6219999999999</v>
      </c>
      <c r="BP182" s="1058">
        <f t="shared" ref="BP182" si="536">SUM(BP183:BP185)</f>
        <v>475.34199999999998</v>
      </c>
    </row>
    <row r="183" spans="1:99" s="54" customFormat="1">
      <c r="A183" s="1051" t="s">
        <v>1051</v>
      </c>
      <c r="B183" s="1059" t="str">
        <f>'Annual historicals'!G142</f>
        <v>NA</v>
      </c>
      <c r="C183" s="1059" t="str">
        <f>'Annual historicals'!H142</f>
        <v>NA</v>
      </c>
      <c r="D183" s="1059" t="str">
        <f>'Annual historicals'!I142</f>
        <v>NA</v>
      </c>
      <c r="E183" s="1059" t="str">
        <f>'Annual historicals'!J142</f>
        <v>NA</v>
      </c>
      <c r="F183" s="1059" t="str">
        <f>'Annual historicals'!K142</f>
        <v>NA</v>
      </c>
      <c r="G183" s="1059" t="str">
        <f>'Annual historicals'!L142</f>
        <v>NA</v>
      </c>
      <c r="H183" s="1059" t="str">
        <f>'Annual historicals'!M142</f>
        <v>NA</v>
      </c>
      <c r="I183" s="834">
        <f>'Annual historicals'!N142</f>
        <v>615.70000000000005</v>
      </c>
      <c r="J183" s="834">
        <f>'Annual historicals'!O142</f>
        <v>677.28599999999994</v>
      </c>
      <c r="K183" s="834">
        <f>'Annual historicals'!P142</f>
        <v>875.79499999999996</v>
      </c>
      <c r="L183" s="834">
        <f>'Annual historicals'!Q142</f>
        <v>1133.5419999999999</v>
      </c>
      <c r="M183" s="2085">
        <f>'Annual historicals'!R142</f>
        <v>1316.4889999999998</v>
      </c>
      <c r="N183" s="897">
        <f t="shared" ref="N183:U183" si="537">N178+N179</f>
        <v>1716.319082195241</v>
      </c>
      <c r="O183" s="897">
        <f t="shared" si="537"/>
        <v>1641.3513410649309</v>
      </c>
      <c r="P183" s="897">
        <f t="shared" si="537"/>
        <v>1796.2754933033448</v>
      </c>
      <c r="Q183" s="897">
        <f t="shared" si="537"/>
        <v>2125.7515009058379</v>
      </c>
      <c r="R183" s="897">
        <f t="shared" si="537"/>
        <v>2269.6470738556009</v>
      </c>
      <c r="S183" s="897">
        <f t="shared" si="537"/>
        <v>2024.123916900829</v>
      </c>
      <c r="T183" s="897">
        <f t="shared" si="537"/>
        <v>1875.1002320135542</v>
      </c>
      <c r="U183" s="897">
        <f t="shared" si="537"/>
        <v>2428.4630592898216</v>
      </c>
      <c r="V183" s="336"/>
      <c r="W183" s="336"/>
      <c r="X183" s="890" t="str">
        <f>'Quarterly historicals'!B139</f>
        <v>NA</v>
      </c>
      <c r="Y183" s="890" t="str">
        <f>'Quarterly historicals'!C139</f>
        <v>NA</v>
      </c>
      <c r="Z183" s="890" t="str">
        <f>'Quarterly historicals'!D139</f>
        <v>NA</v>
      </c>
      <c r="AA183" s="890" t="str">
        <f>'Quarterly historicals'!E139</f>
        <v>NA</v>
      </c>
      <c r="AB183" s="890" t="str">
        <f>'Quarterly historicals'!F139</f>
        <v>NA</v>
      </c>
      <c r="AC183" s="890" t="str">
        <f>'Quarterly historicals'!G139</f>
        <v>NA</v>
      </c>
      <c r="AD183" s="890" t="str">
        <f>'Quarterly historicals'!H139</f>
        <v>NA</v>
      </c>
      <c r="AE183" s="890" t="str">
        <f>'Quarterly historicals'!I139</f>
        <v>NA</v>
      </c>
      <c r="AF183" s="890" t="str">
        <f>'Quarterly historicals'!J139</f>
        <v>NA</v>
      </c>
      <c r="AG183" s="890" t="str">
        <f>'Quarterly historicals'!K139</f>
        <v>NA</v>
      </c>
      <c r="AH183" s="890" t="str">
        <f>'Quarterly historicals'!L139</f>
        <v>NA</v>
      </c>
      <c r="AI183" s="890" t="str">
        <f>'Quarterly historicals'!M139</f>
        <v>NA</v>
      </c>
      <c r="AJ183" s="890" t="str">
        <f>'Quarterly historicals'!N139</f>
        <v>NA</v>
      </c>
      <c r="AK183" s="890" t="str">
        <f>'Quarterly historicals'!O139</f>
        <v>NA</v>
      </c>
      <c r="AL183" s="890" t="str">
        <f>'Quarterly historicals'!P139</f>
        <v>NA</v>
      </c>
      <c r="AM183" s="890" t="str">
        <f>'Quarterly historicals'!Q139</f>
        <v>NA</v>
      </c>
      <c r="AN183" s="890" t="str">
        <f>'Quarterly historicals'!R139</f>
        <v>NA</v>
      </c>
      <c r="AO183" s="890" t="str">
        <f>'Quarterly historicals'!S139</f>
        <v>NA</v>
      </c>
      <c r="AP183" s="890" t="str">
        <f>'Quarterly historicals'!T139</f>
        <v>NA</v>
      </c>
      <c r="AQ183" s="890" t="str">
        <f>'Quarterly historicals'!U139</f>
        <v>NA</v>
      </c>
      <c r="AR183" s="890" t="str">
        <f>'Quarterly historicals'!V139</f>
        <v>NA</v>
      </c>
      <c r="AS183" s="890" t="str">
        <f>'Quarterly historicals'!W139</f>
        <v>NA</v>
      </c>
      <c r="AT183" s="890" t="str">
        <f>'Quarterly historicals'!X139</f>
        <v>NA</v>
      </c>
      <c r="AU183" s="890" t="str">
        <f>'Quarterly historicals'!Y139</f>
        <v>NA</v>
      </c>
      <c r="AV183" s="890" t="str">
        <f>'Quarterly historicals'!Z139</f>
        <v>NA</v>
      </c>
      <c r="AW183" s="890" t="str">
        <f>'Quarterly historicals'!AA139</f>
        <v>NA</v>
      </c>
      <c r="AX183" s="890">
        <f>'Quarterly historicals'!AB139</f>
        <v>142.756</v>
      </c>
      <c r="AY183" s="890">
        <f>'Quarterly historicals'!AC139</f>
        <v>145.37300000000005</v>
      </c>
      <c r="AZ183" s="327">
        <f>'Quarterly historicals'!AD139</f>
        <v>202.05099999999999</v>
      </c>
      <c r="BA183" s="327">
        <f>'Quarterly historicals'!AE139</f>
        <v>212.792</v>
      </c>
      <c r="BB183" s="327">
        <f>'Quarterly historicals'!AF139</f>
        <v>124.13200000000001</v>
      </c>
      <c r="BC183" s="327">
        <f>'Quarterly historicals'!AG139</f>
        <v>138.31100000000004</v>
      </c>
      <c r="BD183" s="327">
        <f>'Quarterly historicals'!AH139</f>
        <v>180.70299999999997</v>
      </c>
      <c r="BE183" s="327">
        <f>'Quarterly historicals'!AI139</f>
        <v>173.77600000000001</v>
      </c>
      <c r="BF183" s="327">
        <f>'Quarterly historicals'!AJ139</f>
        <v>210.38200000000001</v>
      </c>
      <c r="BG183" s="327">
        <f>'Quarterly historicals'!AK139</f>
        <v>310.93399999999997</v>
      </c>
      <c r="BH183" s="327">
        <f>'Quarterly historicals'!AL139</f>
        <v>151.87100000000001</v>
      </c>
      <c r="BI183" s="327">
        <f>'Quarterly historicals'!AM139</f>
        <v>264.44900000000001</v>
      </c>
      <c r="BJ183" s="327">
        <f>'Quarterly historicals'!AN139</f>
        <v>376.48700000000002</v>
      </c>
      <c r="BK183" s="327">
        <f>'Quarterly historicals'!AO139</f>
        <v>340.7349999999999</v>
      </c>
      <c r="BL183" s="327">
        <f>'Quarterly historicals'!AP139</f>
        <v>295.54399999999998</v>
      </c>
      <c r="BM183" s="327">
        <f>'Quarterly historicals'!AQ139</f>
        <v>326.4956658586791</v>
      </c>
      <c r="BN183" s="327">
        <f>'Quarterly historicals'!AR139</f>
        <v>302.85575879023583</v>
      </c>
      <c r="BO183" s="327">
        <f>'Quarterly historicals'!AS139</f>
        <v>354.75977111079806</v>
      </c>
      <c r="BP183" s="358">
        <f>'Quarterly historicals'!AT139</f>
        <v>420.92600785615622</v>
      </c>
    </row>
    <row r="184" spans="1:99" s="54" customFormat="1">
      <c r="A184" s="1051" t="s">
        <v>1052</v>
      </c>
      <c r="B184" s="1059" t="str">
        <f>'Annual historicals'!G143</f>
        <v>NA</v>
      </c>
      <c r="C184" s="1059" t="str">
        <f>'Annual historicals'!H143</f>
        <v>NA</v>
      </c>
      <c r="D184" s="1059" t="str">
        <f>'Annual historicals'!I143</f>
        <v>NA</v>
      </c>
      <c r="E184" s="1059" t="str">
        <f>'Annual historicals'!J143</f>
        <v>NA</v>
      </c>
      <c r="F184" s="1059" t="str">
        <f>'Annual historicals'!K143</f>
        <v>NA</v>
      </c>
      <c r="G184" s="1059" t="str">
        <f>'Annual historicals'!L143</f>
        <v>NA</v>
      </c>
      <c r="H184" s="1059" t="str">
        <f>'Annual historicals'!M143</f>
        <v>NA</v>
      </c>
      <c r="I184" s="834">
        <f>'Annual historicals'!N143</f>
        <v>26.98</v>
      </c>
      <c r="J184" s="834">
        <f>'Annual historicals'!O143</f>
        <v>65.593000000000004</v>
      </c>
      <c r="K184" s="834">
        <f>'Annual historicals'!P143</f>
        <v>174.95099999999999</v>
      </c>
      <c r="L184" s="834">
        <f>'Annual historicals'!Q143</f>
        <v>123.425</v>
      </c>
      <c r="M184" s="2085">
        <f>'Annual historicals'!R143</f>
        <v>84.957999999999998</v>
      </c>
      <c r="N184" s="1809">
        <f t="shared" ref="N184:U184" si="538">N113*N194</f>
        <v>118.29242754512381</v>
      </c>
      <c r="O184" s="1809">
        <f t="shared" si="538"/>
        <v>117.11057767864212</v>
      </c>
      <c r="P184" s="1809">
        <f t="shared" si="538"/>
        <v>123.21805546592871</v>
      </c>
      <c r="Q184" s="1809">
        <f t="shared" si="538"/>
        <v>129.63990531769946</v>
      </c>
      <c r="R184" s="1809">
        <f t="shared" si="538"/>
        <v>136.39339793697121</v>
      </c>
      <c r="S184" s="1809">
        <f t="shared" si="538"/>
        <v>143.49671522430944</v>
      </c>
      <c r="T184" s="1809">
        <f t="shared" si="538"/>
        <v>150.96899702713156</v>
      </c>
      <c r="U184" s="1809">
        <f t="shared" si="538"/>
        <v>158.83039023887028</v>
      </c>
      <c r="V184" s="336"/>
      <c r="W184" s="336"/>
      <c r="X184" s="890" t="str">
        <f>'Quarterly historicals'!B140</f>
        <v>NA</v>
      </c>
      <c r="Y184" s="890" t="str">
        <f>'Quarterly historicals'!C140</f>
        <v>NA</v>
      </c>
      <c r="Z184" s="890" t="str">
        <f>'Quarterly historicals'!D140</f>
        <v>NA</v>
      </c>
      <c r="AA184" s="890" t="str">
        <f>'Quarterly historicals'!E140</f>
        <v>NA</v>
      </c>
      <c r="AB184" s="890" t="str">
        <f>'Quarterly historicals'!F140</f>
        <v>NA</v>
      </c>
      <c r="AC184" s="890" t="str">
        <f>'Quarterly historicals'!G140</f>
        <v>NA</v>
      </c>
      <c r="AD184" s="890" t="str">
        <f>'Quarterly historicals'!H140</f>
        <v>NA</v>
      </c>
      <c r="AE184" s="890" t="str">
        <f>'Quarterly historicals'!I140</f>
        <v>NA</v>
      </c>
      <c r="AF184" s="890" t="str">
        <f>'Quarterly historicals'!J140</f>
        <v>NA</v>
      </c>
      <c r="AG184" s="890" t="str">
        <f>'Quarterly historicals'!K140</f>
        <v>NA</v>
      </c>
      <c r="AH184" s="890" t="str">
        <f>'Quarterly historicals'!L140</f>
        <v>NA</v>
      </c>
      <c r="AI184" s="890" t="str">
        <f>'Quarterly historicals'!M140</f>
        <v>NA</v>
      </c>
      <c r="AJ184" s="890" t="str">
        <f>'Quarterly historicals'!N140</f>
        <v>NA</v>
      </c>
      <c r="AK184" s="890" t="str">
        <f>'Quarterly historicals'!O140</f>
        <v>NA</v>
      </c>
      <c r="AL184" s="890" t="str">
        <f>'Quarterly historicals'!P140</f>
        <v>NA</v>
      </c>
      <c r="AM184" s="890" t="str">
        <f>'Quarterly historicals'!Q140</f>
        <v>NA</v>
      </c>
      <c r="AN184" s="890" t="str">
        <f>'Quarterly historicals'!R140</f>
        <v>NA</v>
      </c>
      <c r="AO184" s="890" t="str">
        <f>'Quarterly historicals'!S140</f>
        <v>NA</v>
      </c>
      <c r="AP184" s="890" t="str">
        <f>'Quarterly historicals'!T140</f>
        <v>NA</v>
      </c>
      <c r="AQ184" s="890" t="str">
        <f>'Quarterly historicals'!U140</f>
        <v>NA</v>
      </c>
      <c r="AR184" s="890" t="str">
        <f>'Quarterly historicals'!V140</f>
        <v>NA</v>
      </c>
      <c r="AS184" s="890" t="str">
        <f>'Quarterly historicals'!W140</f>
        <v>NA</v>
      </c>
      <c r="AT184" s="890" t="str">
        <f>'Quarterly historicals'!X140</f>
        <v>NA</v>
      </c>
      <c r="AU184" s="890" t="str">
        <f>'Quarterly historicals'!Y140</f>
        <v>NA</v>
      </c>
      <c r="AV184" s="890" t="str">
        <f>'Quarterly historicals'!Z140</f>
        <v>NA</v>
      </c>
      <c r="AW184" s="890" t="str">
        <f>'Quarterly historicals'!AA140</f>
        <v>NA</v>
      </c>
      <c r="AX184" s="890">
        <f>'Quarterly historicals'!AB140</f>
        <v>12.416</v>
      </c>
      <c r="AY184" s="890">
        <f>'Quarterly historicals'!AC140</f>
        <v>-0.86400000000000077</v>
      </c>
      <c r="AZ184" s="327">
        <f>'Quarterly historicals'!AD140</f>
        <v>7.6219999999999999</v>
      </c>
      <c r="BA184" s="327">
        <f>'Quarterly historicals'!AE140</f>
        <v>20.378</v>
      </c>
      <c r="BB184" s="327">
        <f>'Quarterly historicals'!AF140</f>
        <v>35.673000000000002</v>
      </c>
      <c r="BC184" s="327">
        <f>'Quarterly historicals'!AG140</f>
        <v>1.9200000000000017</v>
      </c>
      <c r="BD184" s="327">
        <f>'Quarterly historicals'!AH140</f>
        <v>45.134999999999998</v>
      </c>
      <c r="BE184" s="327">
        <f>'Quarterly historicals'!AI140</f>
        <v>39.550999999999995</v>
      </c>
      <c r="BF184" s="327">
        <f>'Quarterly historicals'!AJ140</f>
        <v>71.414000000000001</v>
      </c>
      <c r="BG184" s="327">
        <f>'Quarterly historicals'!AK140</f>
        <v>18.850999999999999</v>
      </c>
      <c r="BH184" s="327">
        <f>'Quarterly historicals'!AL140</f>
        <v>49.46</v>
      </c>
      <c r="BI184" s="327">
        <f>'Quarterly historicals'!AM140</f>
        <v>42.036000000000001</v>
      </c>
      <c r="BJ184" s="327">
        <f>'Quarterly historicals'!AN140</f>
        <v>30.733000000000001</v>
      </c>
      <c r="BK184" s="327">
        <f>'Quarterly historicals'!AO140</f>
        <v>1.1959999999999837</v>
      </c>
      <c r="BL184" s="327">
        <f>'Quarterly historicals'!AP140</f>
        <v>30.594999999999999</v>
      </c>
      <c r="BM184" s="327">
        <f>'Quarterly historicals'!AQ140</f>
        <v>33.799146309673979</v>
      </c>
      <c r="BN184" s="327">
        <f>'Quarterly historicals'!AR140</f>
        <v>31.351920323834229</v>
      </c>
      <c r="BO184" s="327">
        <f>'Quarterly historicals'!AS140</f>
        <v>36.725073752587988</v>
      </c>
      <c r="BP184" s="358">
        <f>'Quarterly historicals'!AT140</f>
        <v>43.57466641298452</v>
      </c>
    </row>
    <row r="185" spans="1:99" s="54" customFormat="1">
      <c r="A185" s="1051" t="s">
        <v>222</v>
      </c>
      <c r="B185" s="1059" t="str">
        <f>'Annual historicals'!G144</f>
        <v>NA</v>
      </c>
      <c r="C185" s="1059" t="str">
        <f>'Annual historicals'!H144</f>
        <v>NA</v>
      </c>
      <c r="D185" s="1059" t="str">
        <f>'Annual historicals'!I144</f>
        <v>NA</v>
      </c>
      <c r="E185" s="1059" t="str">
        <f>'Annual historicals'!J144</f>
        <v>NA</v>
      </c>
      <c r="F185" s="1059" t="str">
        <f>'Annual historicals'!K144</f>
        <v>NA</v>
      </c>
      <c r="G185" s="1059" t="str">
        <f>'Annual historicals'!L144</f>
        <v>NA</v>
      </c>
      <c r="H185" s="1059" t="str">
        <f>'Annual historicals'!M144</f>
        <v>NA</v>
      </c>
      <c r="I185" s="834">
        <f>'Annual historicals'!N144</f>
        <v>7.4219999999999997</v>
      </c>
      <c r="J185" s="834">
        <f>'Annual historicals'!O144</f>
        <v>23.722000000000001</v>
      </c>
      <c r="K185" s="834">
        <f>'Annual historicals'!P144</f>
        <v>40.847000000000001</v>
      </c>
      <c r="L185" s="834">
        <f>'Annual historicals'!Q144</f>
        <v>44.274000000000001</v>
      </c>
      <c r="M185" s="2085">
        <f>'Annual historicals'!R144</f>
        <v>43.637</v>
      </c>
      <c r="N185" s="897">
        <f t="shared" ref="N185:U185" si="539">N180-N184</f>
        <v>-74.899456936901544</v>
      </c>
      <c r="O185" s="897">
        <f t="shared" si="539"/>
        <v>22.378982405681526</v>
      </c>
      <c r="P185" s="897">
        <f t="shared" si="539"/>
        <v>34.187323357561596</v>
      </c>
      <c r="Q185" s="897">
        <f t="shared" si="539"/>
        <v>43.927850071744274</v>
      </c>
      <c r="R185" s="897">
        <f t="shared" si="539"/>
        <v>52.656977515012102</v>
      </c>
      <c r="S185" s="897">
        <f t="shared" si="539"/>
        <v>59.783799224528735</v>
      </c>
      <c r="T185" s="897">
        <f t="shared" si="539"/>
        <v>64.733457613049438</v>
      </c>
      <c r="U185" s="897">
        <f t="shared" si="539"/>
        <v>66.994411451118822</v>
      </c>
      <c r="V185" s="336"/>
      <c r="W185" s="336"/>
      <c r="X185" s="890" t="str">
        <f>'Quarterly historicals'!B141</f>
        <v>NA</v>
      </c>
      <c r="Y185" s="890" t="str">
        <f>'Quarterly historicals'!C141</f>
        <v>NA</v>
      </c>
      <c r="Z185" s="890" t="str">
        <f>'Quarterly historicals'!D141</f>
        <v>NA</v>
      </c>
      <c r="AA185" s="890" t="str">
        <f>'Quarterly historicals'!E141</f>
        <v>NA</v>
      </c>
      <c r="AB185" s="890" t="str">
        <f>'Quarterly historicals'!F141</f>
        <v>NA</v>
      </c>
      <c r="AC185" s="890" t="str">
        <f>'Quarterly historicals'!G141</f>
        <v>NA</v>
      </c>
      <c r="AD185" s="890" t="str">
        <f>'Quarterly historicals'!H141</f>
        <v>NA</v>
      </c>
      <c r="AE185" s="890" t="str">
        <f>'Quarterly historicals'!I141</f>
        <v>NA</v>
      </c>
      <c r="AF185" s="890" t="str">
        <f>'Quarterly historicals'!J141</f>
        <v>NA</v>
      </c>
      <c r="AG185" s="890" t="str">
        <f>'Quarterly historicals'!K141</f>
        <v>NA</v>
      </c>
      <c r="AH185" s="890" t="str">
        <f>'Quarterly historicals'!L141</f>
        <v>NA</v>
      </c>
      <c r="AI185" s="890" t="str">
        <f>'Quarterly historicals'!M141</f>
        <v>NA</v>
      </c>
      <c r="AJ185" s="890" t="str">
        <f>'Quarterly historicals'!N141</f>
        <v>NA</v>
      </c>
      <c r="AK185" s="890" t="str">
        <f>'Quarterly historicals'!O141</f>
        <v>NA</v>
      </c>
      <c r="AL185" s="890" t="str">
        <f>'Quarterly historicals'!P141</f>
        <v>NA</v>
      </c>
      <c r="AM185" s="890" t="str">
        <f>'Quarterly historicals'!Q141</f>
        <v>NA</v>
      </c>
      <c r="AN185" s="890" t="str">
        <f>'Quarterly historicals'!R141</f>
        <v>NA</v>
      </c>
      <c r="AO185" s="890" t="str">
        <f>'Quarterly historicals'!S141</f>
        <v>NA</v>
      </c>
      <c r="AP185" s="890" t="str">
        <f>'Quarterly historicals'!T141</f>
        <v>NA</v>
      </c>
      <c r="AQ185" s="890" t="str">
        <f>'Quarterly historicals'!U141</f>
        <v>NA</v>
      </c>
      <c r="AR185" s="890" t="str">
        <f>'Quarterly historicals'!V141</f>
        <v>NA</v>
      </c>
      <c r="AS185" s="890" t="str">
        <f>'Quarterly historicals'!W141</f>
        <v>NA</v>
      </c>
      <c r="AT185" s="890" t="str">
        <f>'Quarterly historicals'!X141</f>
        <v>NA</v>
      </c>
      <c r="AU185" s="890" t="str">
        <f>'Quarterly historicals'!Y141</f>
        <v>NA</v>
      </c>
      <c r="AV185" s="890" t="str">
        <f>'Quarterly historicals'!Z141</f>
        <v>NA</v>
      </c>
      <c r="AW185" s="890" t="str">
        <f>'Quarterly historicals'!AA141</f>
        <v>NA</v>
      </c>
      <c r="AX185" s="890">
        <f>'Quarterly historicals'!AB141</f>
        <v>5.8819999999999997</v>
      </c>
      <c r="AY185" s="890">
        <f>'Quarterly historicals'!AC141</f>
        <v>-8.9000000000000412E-2</v>
      </c>
      <c r="AZ185" s="327">
        <f>'Quarterly historicals'!AD141</f>
        <v>1.966</v>
      </c>
      <c r="BA185" s="327">
        <f>'Quarterly historicals'!AE141</f>
        <v>5.6730000000000009</v>
      </c>
      <c r="BB185" s="327">
        <f>'Quarterly historicals'!AF141</f>
        <v>8.6210000000000004</v>
      </c>
      <c r="BC185" s="327">
        <f>'Quarterly historicals'!AG141</f>
        <v>7.4619999999999997</v>
      </c>
      <c r="BD185" s="327">
        <f>'Quarterly historicals'!AH141</f>
        <v>1.3159999999999989</v>
      </c>
      <c r="BE185" s="327">
        <f>'Quarterly historicals'!AI141</f>
        <v>36.875</v>
      </c>
      <c r="BF185" s="327">
        <f>'Quarterly historicals'!AJ141</f>
        <v>5.8869999999999996</v>
      </c>
      <c r="BG185" s="327">
        <f>'Quarterly historicals'!AK141</f>
        <v>-3.2310000000000016</v>
      </c>
      <c r="BH185" s="327">
        <f>'Quarterly historicals'!AL141</f>
        <v>23.773</v>
      </c>
      <c r="BI185" s="327">
        <f>'Quarterly historicals'!AM141</f>
        <v>12.417</v>
      </c>
      <c r="BJ185" s="327">
        <f>'Quarterly historicals'!AN141</f>
        <v>4.6890000000000001</v>
      </c>
      <c r="BK185" s="327">
        <f>'Quarterly historicals'!AO141</f>
        <v>3.3950000000000031</v>
      </c>
      <c r="BL185" s="327">
        <f>'Quarterly historicals'!AP141</f>
        <v>7.6120000000000001</v>
      </c>
      <c r="BM185" s="327">
        <f>'Quarterly historicals'!AQ141</f>
        <v>8.4091878316469462</v>
      </c>
      <c r="BN185" s="327">
        <f>'Quarterly historicals'!AR141</f>
        <v>7.8003208859299287</v>
      </c>
      <c r="BO185" s="327">
        <f>'Quarterly historicals'!AS141</f>
        <v>9.1371551366138188</v>
      </c>
      <c r="BP185" s="358">
        <f>'Quarterly historicals'!AT141</f>
        <v>10.841325730859232</v>
      </c>
    </row>
    <row r="186" spans="1:99">
      <c r="A186" s="2093"/>
      <c r="L186" s="1401"/>
      <c r="M186" s="381"/>
      <c r="BM186" s="1401"/>
      <c r="BN186" s="1401"/>
      <c r="BO186" s="1401"/>
      <c r="BP186" s="358"/>
    </row>
    <row r="187" spans="1:99">
      <c r="A187" s="255" t="s">
        <v>1055</v>
      </c>
      <c r="B187" s="511">
        <f t="shared" ref="B187:U187" si="540">B177/B104</f>
        <v>0.39874038083121499</v>
      </c>
      <c r="C187" s="511">
        <f t="shared" si="540"/>
        <v>0.47242588344609293</v>
      </c>
      <c r="D187" s="511">
        <f t="shared" si="540"/>
        <v>0.18613624847175608</v>
      </c>
      <c r="E187" s="511">
        <f t="shared" si="540"/>
        <v>0.24506903671412875</v>
      </c>
      <c r="F187" s="511">
        <f t="shared" si="540"/>
        <v>0.38230201126184948</v>
      </c>
      <c r="G187" s="511">
        <f t="shared" si="540"/>
        <v>0.4730221729746843</v>
      </c>
      <c r="H187" s="511">
        <f t="shared" si="540"/>
        <v>0.39291801695696377</v>
      </c>
      <c r="I187" s="511">
        <f t="shared" si="540"/>
        <v>0.39738403402540667</v>
      </c>
      <c r="J187" s="511">
        <f t="shared" si="540"/>
        <v>0.38890619387856568</v>
      </c>
      <c r="K187" s="511">
        <f t="shared" si="540"/>
        <v>0.46946922407987046</v>
      </c>
      <c r="L187" s="511">
        <f t="shared" si="540"/>
        <v>0.47710274222981119</v>
      </c>
      <c r="M187" s="1048">
        <f t="shared" si="540"/>
        <v>0.48123236277682568</v>
      </c>
      <c r="N187" s="1635">
        <f t="shared" si="540"/>
        <v>0.48122149311100804</v>
      </c>
      <c r="O187" s="1635">
        <f t="shared" si="540"/>
        <v>0.47086086104729563</v>
      </c>
      <c r="P187" s="1635">
        <f t="shared" si="540"/>
        <v>0.47828243020258415</v>
      </c>
      <c r="Q187" s="1635">
        <f t="shared" si="540"/>
        <v>0.48910399101952379</v>
      </c>
      <c r="R187" s="1635">
        <f t="shared" si="540"/>
        <v>0.48869016007726446</v>
      </c>
      <c r="S187" s="1635">
        <f t="shared" si="540"/>
        <v>0.46519036089090005</v>
      </c>
      <c r="T187" s="1635">
        <f t="shared" si="540"/>
        <v>0.44813617229595126</v>
      </c>
      <c r="U187" s="1635">
        <f t="shared" si="540"/>
        <v>0.50838217199299995</v>
      </c>
      <c r="V187" s="178"/>
      <c r="W187" s="178"/>
      <c r="X187" s="511">
        <f t="shared" ref="X187:BP187" ca="1" si="541">X177/X104</f>
        <v>0</v>
      </c>
      <c r="Y187" s="511">
        <f t="shared" si="541"/>
        <v>0.33689219388148256</v>
      </c>
      <c r="Z187" s="511">
        <f t="shared" si="541"/>
        <v>0.2382437287448961</v>
      </c>
      <c r="AA187" s="511">
        <f t="shared" si="541"/>
        <v>0.30637709708489552</v>
      </c>
      <c r="AB187" s="511">
        <f t="shared" si="541"/>
        <v>0.17902316628858186</v>
      </c>
      <c r="AC187" s="511">
        <f t="shared" si="541"/>
        <v>0.13283483738384561</v>
      </c>
      <c r="AD187" s="511">
        <f t="shared" si="541"/>
        <v>0.1794619989629653</v>
      </c>
      <c r="AE187" s="511">
        <f t="shared" si="541"/>
        <v>0.23639842936686548</v>
      </c>
      <c r="AF187" s="511">
        <f t="shared" si="541"/>
        <v>0.14538205835705129</v>
      </c>
      <c r="AG187" s="511">
        <f t="shared" si="541"/>
        <v>0.17998703129985483</v>
      </c>
      <c r="AH187" s="511">
        <f t="shared" si="541"/>
        <v>0.29170383990073051</v>
      </c>
      <c r="AI187" s="511">
        <f t="shared" si="541"/>
        <v>0.28819609442525784</v>
      </c>
      <c r="AJ187" s="511">
        <f t="shared" si="541"/>
        <v>0.20323651681259655</v>
      </c>
      <c r="AK187" s="511">
        <f t="shared" si="541"/>
        <v>0.26720503533044365</v>
      </c>
      <c r="AL187" s="511">
        <f t="shared" si="541"/>
        <v>0.3787979281644388</v>
      </c>
      <c r="AM187" s="511">
        <f t="shared" si="541"/>
        <v>0.58779665595506747</v>
      </c>
      <c r="AN187" s="511">
        <f t="shared" si="541"/>
        <v>0.48861924744817536</v>
      </c>
      <c r="AO187" s="511">
        <f t="shared" si="541"/>
        <v>0.44550258302583023</v>
      </c>
      <c r="AP187" s="511">
        <f t="shared" si="541"/>
        <v>0.49071450167313196</v>
      </c>
      <c r="AQ187" s="511">
        <f t="shared" si="541"/>
        <v>0.46571475416847863</v>
      </c>
      <c r="AR187" s="511">
        <f t="shared" si="541"/>
        <v>0.44716458020465366</v>
      </c>
      <c r="AS187" s="511">
        <f t="shared" si="541"/>
        <v>0.39955691862524206</v>
      </c>
      <c r="AT187" s="511">
        <f t="shared" si="541"/>
        <v>0.41585071904152332</v>
      </c>
      <c r="AU187" s="511">
        <f t="shared" si="541"/>
        <v>0.28035348163221252</v>
      </c>
      <c r="AV187" s="511">
        <f t="shared" si="541"/>
        <v>0.3722753451459121</v>
      </c>
      <c r="AW187" s="511">
        <f t="shared" si="541"/>
        <v>0.43566630219742042</v>
      </c>
      <c r="AX187" s="511">
        <f t="shared" si="541"/>
        <v>0.40346554710368798</v>
      </c>
      <c r="AY187" s="511">
        <f t="shared" si="541"/>
        <v>0.35763742713229352</v>
      </c>
      <c r="AZ187" s="511">
        <f t="shared" si="541"/>
        <v>0.4286368174922886</v>
      </c>
      <c r="BA187" s="511">
        <f t="shared" si="541"/>
        <v>0.38839760843881305</v>
      </c>
      <c r="BB187" s="511">
        <f t="shared" si="541"/>
        <v>0.39647185107765309</v>
      </c>
      <c r="BC187" s="511">
        <f t="shared" si="541"/>
        <v>0.33710852888344134</v>
      </c>
      <c r="BD187" s="511">
        <f t="shared" si="541"/>
        <v>0.45570153783162126</v>
      </c>
      <c r="BE187" s="511">
        <f t="shared" si="541"/>
        <v>0.50659073924728548</v>
      </c>
      <c r="BF187" s="511">
        <f t="shared" si="541"/>
        <v>0.49285514821648529</v>
      </c>
      <c r="BG187" s="511">
        <f t="shared" si="541"/>
        <v>0.45912851310530889</v>
      </c>
      <c r="BH187" s="511">
        <f t="shared" si="541"/>
        <v>0.49898918247916302</v>
      </c>
      <c r="BI187" s="511">
        <f t="shared" si="541"/>
        <v>0.4826320154489705</v>
      </c>
      <c r="BJ187" s="511">
        <f t="shared" si="541"/>
        <v>0.5135657440805329</v>
      </c>
      <c r="BK187" s="511">
        <f t="shared" si="541"/>
        <v>0.42452111141981158</v>
      </c>
      <c r="BL187" s="511">
        <f t="shared" si="541"/>
        <v>0.52031529157923284</v>
      </c>
      <c r="BM187" s="511">
        <f t="shared" si="541"/>
        <v>0.50894544390410901</v>
      </c>
      <c r="BN187" s="511">
        <f t="shared" si="541"/>
        <v>0.46410150286664181</v>
      </c>
      <c r="BO187" s="511">
        <f t="shared" si="541"/>
        <v>0.44509994755975069</v>
      </c>
      <c r="BP187" s="1048">
        <f t="shared" si="541"/>
        <v>0.58514649527849549</v>
      </c>
      <c r="BQ187" s="1401"/>
      <c r="BR187" s="1401"/>
      <c r="BS187" s="1401"/>
      <c r="BT187" s="1401"/>
      <c r="BU187" s="1401"/>
      <c r="BV187" s="1401"/>
      <c r="BW187" s="1401"/>
      <c r="BX187" s="1401"/>
      <c r="BY187" s="1401"/>
      <c r="BZ187" s="1401"/>
      <c r="CA187" s="1401"/>
      <c r="CB187" s="1401"/>
      <c r="CC187" s="1401"/>
      <c r="CD187" s="1401"/>
      <c r="CE187" s="1401"/>
      <c r="CF187" s="1401"/>
      <c r="CG187" s="1401"/>
      <c r="CH187" s="1401"/>
      <c r="CI187" s="1401"/>
      <c r="CJ187" s="1401"/>
      <c r="CK187" s="1401"/>
      <c r="CL187" s="1401"/>
      <c r="CM187" s="1401"/>
      <c r="CN187" s="1401"/>
      <c r="CO187" s="1401"/>
      <c r="CP187" s="1401"/>
      <c r="CQ187" s="1401"/>
      <c r="CR187" s="1401"/>
      <c r="CS187" s="1401"/>
      <c r="CT187" s="1401"/>
      <c r="CU187" s="1401"/>
    </row>
    <row r="188" spans="1:99">
      <c r="A188" s="771" t="s">
        <v>54</v>
      </c>
      <c r="B188" s="993" t="s">
        <v>972</v>
      </c>
      <c r="C188" s="993" t="s">
        <v>972</v>
      </c>
      <c r="D188" s="993" t="s">
        <v>972</v>
      </c>
      <c r="E188" s="993" t="s">
        <v>972</v>
      </c>
      <c r="F188" s="993" t="s">
        <v>972</v>
      </c>
      <c r="G188" s="372">
        <f t="shared" ref="G188:U188" si="542">G178/G105</f>
        <v>0.50694769822337737</v>
      </c>
      <c r="H188" s="372">
        <f t="shared" si="542"/>
        <v>0.4470533607586929</v>
      </c>
      <c r="I188" s="372">
        <f t="shared" si="542"/>
        <v>0.46265912960394645</v>
      </c>
      <c r="J188" s="372">
        <f>J178/J105</f>
        <v>0.39787328362023539</v>
      </c>
      <c r="K188" s="372">
        <f t="shared" si="542"/>
        <v>0.44095516950420838</v>
      </c>
      <c r="L188" s="372">
        <f t="shared" si="542"/>
        <v>0.41328879108307581</v>
      </c>
      <c r="M188" s="406">
        <f t="shared" si="542"/>
        <v>0.47555498805202379</v>
      </c>
      <c r="N188" s="110">
        <f t="shared" si="542"/>
        <v>0.55264741035071696</v>
      </c>
      <c r="O188" s="110">
        <f t="shared" si="542"/>
        <v>0.46895822565167894</v>
      </c>
      <c r="P188" s="110">
        <f t="shared" si="542"/>
        <v>0.46694263140266862</v>
      </c>
      <c r="Q188" s="110">
        <f t="shared" si="542"/>
        <v>0.51438404652419922</v>
      </c>
      <c r="R188" s="110">
        <f t="shared" si="542"/>
        <v>0.5222759725638072</v>
      </c>
      <c r="S188" s="110">
        <f t="shared" si="542"/>
        <v>0.44416609623359188</v>
      </c>
      <c r="T188" s="110">
        <f t="shared" si="542"/>
        <v>0.36836855974328597</v>
      </c>
      <c r="U188" s="110">
        <f t="shared" si="542"/>
        <v>0.4599879415709196</v>
      </c>
      <c r="V188" s="178"/>
      <c r="W188" s="178"/>
      <c r="X188" s="1044" t="str">
        <f t="shared" ref="X188:AI188" si="543">IF(X178="NA","NA",X178/X105)</f>
        <v>NA</v>
      </c>
      <c r="Y188" s="1044" t="str">
        <f t="shared" si="543"/>
        <v>NA</v>
      </c>
      <c r="Z188" s="1044" t="str">
        <f t="shared" si="543"/>
        <v>NA</v>
      </c>
      <c r="AA188" s="1044" t="str">
        <f t="shared" si="543"/>
        <v>NA</v>
      </c>
      <c r="AB188" s="1044" t="str">
        <f t="shared" si="543"/>
        <v>NA</v>
      </c>
      <c r="AC188" s="1044" t="str">
        <f t="shared" si="543"/>
        <v>NA</v>
      </c>
      <c r="AD188" s="1044" t="str">
        <f t="shared" si="543"/>
        <v>NA</v>
      </c>
      <c r="AE188" s="1044" t="str">
        <f t="shared" si="543"/>
        <v>NA</v>
      </c>
      <c r="AF188" s="1044" t="str">
        <f t="shared" si="543"/>
        <v>NA</v>
      </c>
      <c r="AG188" s="1044" t="str">
        <f t="shared" si="543"/>
        <v>NA</v>
      </c>
      <c r="AH188" s="1044" t="str">
        <f t="shared" si="543"/>
        <v>NA</v>
      </c>
      <c r="AI188" s="1044" t="str">
        <f t="shared" si="543"/>
        <v>NA</v>
      </c>
      <c r="AJ188" s="372">
        <f t="shared" ref="AJ188:BO188" si="544">AJ178/AJ105</f>
        <v>0.30521314353318324</v>
      </c>
      <c r="AK188" s="372">
        <f t="shared" si="544"/>
        <v>0.31809873360569196</v>
      </c>
      <c r="AL188" s="372">
        <f t="shared" si="544"/>
        <v>0.42853593082198588</v>
      </c>
      <c r="AM188" s="372">
        <f t="shared" si="544"/>
        <v>0.64614813290710449</v>
      </c>
      <c r="AN188" s="372">
        <f t="shared" si="544"/>
        <v>0.54811859315739342</v>
      </c>
      <c r="AO188" s="372">
        <f t="shared" si="544"/>
        <v>0.48993854850730528</v>
      </c>
      <c r="AP188" s="372">
        <f t="shared" si="544"/>
        <v>0.50876319812293358</v>
      </c>
      <c r="AQ188" s="372">
        <f t="shared" si="544"/>
        <v>0.47170833114966038</v>
      </c>
      <c r="AR188" s="372">
        <f t="shared" si="544"/>
        <v>0.43863945164364954</v>
      </c>
      <c r="AS188" s="372">
        <f t="shared" si="544"/>
        <v>0.44182892001774365</v>
      </c>
      <c r="AT188" s="372">
        <f t="shared" si="544"/>
        <v>0.49761698780967373</v>
      </c>
      <c r="AU188" s="372">
        <f t="shared" si="544"/>
        <v>0.38513959941857151</v>
      </c>
      <c r="AV188" s="372">
        <f t="shared" si="544"/>
        <v>0.48656564894397847</v>
      </c>
      <c r="AW188" s="372">
        <f t="shared" si="544"/>
        <v>0.46641777306499954</v>
      </c>
      <c r="AX188" s="372">
        <f t="shared" si="544"/>
        <v>0.50304026992256734</v>
      </c>
      <c r="AY188" s="372">
        <f t="shared" si="544"/>
        <v>0.41243027819859523</v>
      </c>
      <c r="AZ188" s="372">
        <f t="shared" si="544"/>
        <v>0.45209503729991396</v>
      </c>
      <c r="BA188" s="372">
        <f t="shared" si="544"/>
        <v>0.42312758814032198</v>
      </c>
      <c r="BB188" s="372">
        <f t="shared" si="544"/>
        <v>0.38389968592816492</v>
      </c>
      <c r="BC188" s="372">
        <f t="shared" si="544"/>
        <v>0.30565628030526637</v>
      </c>
      <c r="BD188" s="372">
        <f t="shared" si="544"/>
        <v>0.35700270768747794</v>
      </c>
      <c r="BE188" s="372">
        <f t="shared" si="544"/>
        <v>0.41366236823457347</v>
      </c>
      <c r="BF188" s="372">
        <f t="shared" si="544"/>
        <v>0.44302562987181554</v>
      </c>
      <c r="BG188" s="372">
        <f t="shared" si="544"/>
        <v>0.51164267508753281</v>
      </c>
      <c r="BH188" s="372">
        <f t="shared" si="544"/>
        <v>0.40435901115119705</v>
      </c>
      <c r="BI188" s="372">
        <f t="shared" si="544"/>
        <v>0.47220335593839746</v>
      </c>
      <c r="BJ188" s="372">
        <f t="shared" si="544"/>
        <v>0.44842099190501039</v>
      </c>
      <c r="BK188" s="372">
        <f t="shared" si="544"/>
        <v>0.34000356969836065</v>
      </c>
      <c r="BL188" s="372">
        <f t="shared" si="544"/>
        <v>0.49268217134302156</v>
      </c>
      <c r="BM188" s="372">
        <f t="shared" si="544"/>
        <v>0.46949991077686198</v>
      </c>
      <c r="BN188" s="372">
        <f t="shared" si="544"/>
        <v>0.4308867613794769</v>
      </c>
      <c r="BO188" s="372">
        <f t="shared" si="544"/>
        <v>0.49707626956488449</v>
      </c>
      <c r="BP188" s="406">
        <f t="shared" ref="BP188:CU188" si="545">BP178/BP105</f>
        <v>0.57735143028265468</v>
      </c>
      <c r="BQ188" s="2107">
        <f t="shared" si="545"/>
        <v>0.58800303574800084</v>
      </c>
      <c r="BR188" s="2107">
        <f t="shared" si="545"/>
        <v>0.47458626046329094</v>
      </c>
      <c r="BS188" s="2108">
        <f t="shared" si="545"/>
        <v>0.56260127490332446</v>
      </c>
      <c r="BT188" s="2109">
        <f t="shared" si="545"/>
        <v>0.65533101341863087</v>
      </c>
      <c r="BU188" s="2107">
        <f t="shared" si="545"/>
        <v>0.49895983434933594</v>
      </c>
      <c r="BV188" s="2107">
        <f t="shared" si="545"/>
        <v>0.40271812815388097</v>
      </c>
      <c r="BW188" s="2108">
        <f t="shared" si="545"/>
        <v>-0.14552506095920209</v>
      </c>
      <c r="BX188" s="2109">
        <f t="shared" si="545"/>
        <v>0.65251438424018082</v>
      </c>
      <c r="BY188" s="2107">
        <f t="shared" si="545"/>
        <v>0.49681529243154754</v>
      </c>
      <c r="BZ188" s="2107">
        <f t="shared" si="545"/>
        <v>0.40098723550997617</v>
      </c>
      <c r="CA188" s="2108">
        <f t="shared" si="545"/>
        <v>-0.1448995905869766</v>
      </c>
      <c r="CB188" s="2109">
        <f t="shared" si="545"/>
        <v>0.71880990684542589</v>
      </c>
      <c r="CC188" s="2107">
        <f t="shared" si="545"/>
        <v>0.54729177271386376</v>
      </c>
      <c r="CD188" s="2107">
        <f t="shared" si="545"/>
        <v>0.4417275762261762</v>
      </c>
      <c r="CE188" s="2108">
        <f t="shared" si="545"/>
        <v>-0.15962140257344401</v>
      </c>
      <c r="CF188" s="2109">
        <f t="shared" si="545"/>
        <v>0.72981983644838144</v>
      </c>
      <c r="CG188" s="2107">
        <f t="shared" si="545"/>
        <v>0.55566813065178267</v>
      </c>
      <c r="CH188" s="2107">
        <f t="shared" si="545"/>
        <v>0.44853295496612133</v>
      </c>
      <c r="CI188" s="2108">
        <f t="shared" si="545"/>
        <v>-0.16207725262103495</v>
      </c>
      <c r="CJ188" s="2109">
        <f t="shared" si="545"/>
        <v>0.62065487485162218</v>
      </c>
      <c r="CK188" s="2107">
        <f t="shared" si="545"/>
        <v>0.47254699040140608</v>
      </c>
      <c r="CL188" s="2107">
        <f t="shared" si="545"/>
        <v>0.38147560439006617</v>
      </c>
      <c r="CM188" s="2108">
        <f t="shared" si="545"/>
        <v>-0.13784329752112742</v>
      </c>
      <c r="CN188" s="2109">
        <f t="shared" si="545"/>
        <v>0.51472654364588177</v>
      </c>
      <c r="CO188" s="2107">
        <f t="shared" si="545"/>
        <v>0.39189204117808557</v>
      </c>
      <c r="CP188" s="2107">
        <f t="shared" si="545"/>
        <v>0.31639582323604998</v>
      </c>
      <c r="CQ188" s="2108">
        <f t="shared" si="545"/>
        <v>-0.114324912177762</v>
      </c>
      <c r="CR188" s="2109">
        <f t="shared" si="545"/>
        <v>0.6427318057228546</v>
      </c>
      <c r="CS188" s="2107">
        <f t="shared" si="545"/>
        <v>0.48934455662007686</v>
      </c>
      <c r="CT188" s="2107">
        <f t="shared" si="545"/>
        <v>0.39511291362500467</v>
      </c>
      <c r="CU188" s="2108">
        <f t="shared" si="545"/>
        <v>-0.14276530714344543</v>
      </c>
    </row>
    <row r="189" spans="1:99">
      <c r="A189" s="771" t="s">
        <v>42</v>
      </c>
      <c r="B189" s="993" t="s">
        <v>972</v>
      </c>
      <c r="C189" s="993" t="s">
        <v>972</v>
      </c>
      <c r="D189" s="993" t="s">
        <v>972</v>
      </c>
      <c r="E189" s="993" t="s">
        <v>972</v>
      </c>
      <c r="F189" s="993" t="s">
        <v>972</v>
      </c>
      <c r="G189" s="372">
        <f t="shared" ref="G189:U189" si="546">G179/G108</f>
        <v>0.45972523749469718</v>
      </c>
      <c r="H189" s="372">
        <f t="shared" si="546"/>
        <v>0.3396479695883739</v>
      </c>
      <c r="I189" s="372">
        <f t="shared" si="546"/>
        <v>0.32228846174972448</v>
      </c>
      <c r="J189" s="372">
        <f t="shared" si="546"/>
        <v>0.38692691881069935</v>
      </c>
      <c r="K189" s="372">
        <f t="shared" si="546"/>
        <v>0.41096032741339056</v>
      </c>
      <c r="L189" s="372">
        <f t="shared" si="546"/>
        <v>0.47118376352693708</v>
      </c>
      <c r="M189" s="406">
        <f t="shared" si="546"/>
        <v>0.43133983438226714</v>
      </c>
      <c r="N189" s="110">
        <f t="shared" si="546"/>
        <v>0.42408922052297315</v>
      </c>
      <c r="O189" s="110">
        <f t="shared" si="546"/>
        <v>0.46784749161328121</v>
      </c>
      <c r="P189" s="110">
        <f t="shared" si="546"/>
        <v>0.48345517026754453</v>
      </c>
      <c r="Q189" s="110">
        <f t="shared" si="546"/>
        <v>0.45402470208576379</v>
      </c>
      <c r="R189" s="110">
        <f t="shared" si="546"/>
        <v>0.4410503206112889</v>
      </c>
      <c r="S189" s="110">
        <f t="shared" si="546"/>
        <v>0.47322281757289808</v>
      </c>
      <c r="T189" s="110">
        <f t="shared" si="546"/>
        <v>0.49795623929532251</v>
      </c>
      <c r="U189" s="110">
        <f t="shared" si="546"/>
        <v>0.54552133457272833</v>
      </c>
      <c r="V189" s="178"/>
      <c r="W189" s="178"/>
      <c r="X189" s="1044" t="str">
        <f t="shared" ref="X189:AI189" si="547">IF(X179="NA","NA",X179/X108)</f>
        <v>NA</v>
      </c>
      <c r="Y189" s="1044" t="str">
        <f t="shared" si="547"/>
        <v>NA</v>
      </c>
      <c r="Z189" s="1044" t="str">
        <f t="shared" si="547"/>
        <v>NA</v>
      </c>
      <c r="AA189" s="1044" t="str">
        <f t="shared" si="547"/>
        <v>NA</v>
      </c>
      <c r="AB189" s="1044" t="str">
        <f t="shared" si="547"/>
        <v>NA</v>
      </c>
      <c r="AC189" s="1044" t="str">
        <f t="shared" si="547"/>
        <v>NA</v>
      </c>
      <c r="AD189" s="1044" t="str">
        <f t="shared" si="547"/>
        <v>NA</v>
      </c>
      <c r="AE189" s="1044" t="str">
        <f t="shared" si="547"/>
        <v>NA</v>
      </c>
      <c r="AF189" s="1044" t="str">
        <f t="shared" si="547"/>
        <v>NA</v>
      </c>
      <c r="AG189" s="1044" t="str">
        <f t="shared" si="547"/>
        <v>NA</v>
      </c>
      <c r="AH189" s="1044" t="str">
        <f t="shared" si="547"/>
        <v>NA</v>
      </c>
      <c r="AI189" s="1044" t="str">
        <f t="shared" si="547"/>
        <v>NA</v>
      </c>
      <c r="AJ189" s="372">
        <f t="shared" ref="AJ189:BO189" si="548">AJ179/AJ108</f>
        <v>0.109364022615503</v>
      </c>
      <c r="AK189" s="372">
        <f t="shared" si="548"/>
        <v>0.21718979263871313</v>
      </c>
      <c r="AL189" s="372">
        <f t="shared" si="548"/>
        <v>0.34409127752649787</v>
      </c>
      <c r="AM189" s="372">
        <f t="shared" si="548"/>
        <v>0.55748523549645856</v>
      </c>
      <c r="AN189" s="372">
        <f t="shared" si="548"/>
        <v>0.40695375525508465</v>
      </c>
      <c r="AO189" s="372">
        <f t="shared" si="548"/>
        <v>0.40530238436769617</v>
      </c>
      <c r="AP189" s="372">
        <f t="shared" si="548"/>
        <v>0.49854584771585347</v>
      </c>
      <c r="AQ189" s="372">
        <f t="shared" si="548"/>
        <v>0.48057180635423546</v>
      </c>
      <c r="AR189" s="372">
        <f t="shared" si="548"/>
        <v>0.52722034571825949</v>
      </c>
      <c r="AS189" s="372">
        <f t="shared" si="548"/>
        <v>0.34298692640594802</v>
      </c>
      <c r="AT189" s="372">
        <f t="shared" si="548"/>
        <v>0.32622841285988596</v>
      </c>
      <c r="AU189" s="372">
        <f t="shared" si="548"/>
        <v>0.20483842107146694</v>
      </c>
      <c r="AV189" s="372">
        <f t="shared" si="548"/>
        <v>0.2731758834359842</v>
      </c>
      <c r="AW189" s="372">
        <f t="shared" si="548"/>
        <v>0.3595181556860898</v>
      </c>
      <c r="AX189" s="372">
        <f t="shared" si="548"/>
        <v>0.32717294457836593</v>
      </c>
      <c r="AY189" s="372">
        <f t="shared" si="548"/>
        <v>0.3254976676959464</v>
      </c>
      <c r="AZ189" s="372">
        <f t="shared" si="548"/>
        <v>0.44666636429608125</v>
      </c>
      <c r="BA189" s="372">
        <f t="shared" si="548"/>
        <v>0.38423074390324219</v>
      </c>
      <c r="BB189" s="372">
        <f t="shared" si="548"/>
        <v>0.35098846151562113</v>
      </c>
      <c r="BC189" s="372">
        <f t="shared" si="548"/>
        <v>0.35780535830430243</v>
      </c>
      <c r="BD189" s="372">
        <f t="shared" si="548"/>
        <v>0.43807614091630509</v>
      </c>
      <c r="BE189" s="372">
        <f t="shared" si="548"/>
        <v>0.41843213418147041</v>
      </c>
      <c r="BF189" s="372">
        <f t="shared" si="548"/>
        <v>0.41763633745039902</v>
      </c>
      <c r="BG189" s="372">
        <f t="shared" si="548"/>
        <v>0.37654194137625946</v>
      </c>
      <c r="BH189" s="372">
        <f t="shared" si="548"/>
        <v>0.40673950610401921</v>
      </c>
      <c r="BI189" s="372">
        <f t="shared" si="548"/>
        <v>0.42150908086983258</v>
      </c>
      <c r="BJ189" s="372">
        <f t="shared" si="548"/>
        <v>0.50855331218104516</v>
      </c>
      <c r="BK189" s="372">
        <f t="shared" si="548"/>
        <v>0.49880823245600325</v>
      </c>
      <c r="BL189" s="372">
        <f t="shared" si="548"/>
        <v>0.40449186371382534</v>
      </c>
      <c r="BM189" s="372">
        <f t="shared" si="548"/>
        <v>0.43025782485085456</v>
      </c>
      <c r="BN189" s="372">
        <f t="shared" si="548"/>
        <v>0.47953909898830177</v>
      </c>
      <c r="BO189" s="372">
        <f t="shared" si="548"/>
        <v>0.40362166112074011</v>
      </c>
      <c r="BP189" s="406">
        <f t="shared" ref="BP189:CU189" si="549">BP179/BP108</f>
        <v>0.41541191838979702</v>
      </c>
      <c r="BQ189" s="371">
        <f t="shared" si="549"/>
        <v>0.39519651144467088</v>
      </c>
      <c r="BR189" s="371">
        <f t="shared" si="549"/>
        <v>0.48977233497196743</v>
      </c>
      <c r="BS189" s="2103">
        <f t="shared" si="549"/>
        <v>0.3972237285635779</v>
      </c>
      <c r="BT189" s="2104">
        <f t="shared" si="549"/>
        <v>0.39957518438431022</v>
      </c>
      <c r="BU189" s="371">
        <f t="shared" si="549"/>
        <v>0.43597358203471004</v>
      </c>
      <c r="BV189" s="371">
        <f t="shared" si="549"/>
        <v>0.54030790524608974</v>
      </c>
      <c r="BW189" s="2103">
        <f t="shared" si="549"/>
        <v>0.47430859693346239</v>
      </c>
      <c r="BX189" s="2104">
        <f t="shared" si="549"/>
        <v>0.41290525708510245</v>
      </c>
      <c r="BY189" s="371">
        <f t="shared" si="549"/>
        <v>0.45051792755782422</v>
      </c>
      <c r="BZ189" s="371">
        <f t="shared" si="549"/>
        <v>0.5583329076466792</v>
      </c>
      <c r="CA189" s="2103">
        <f t="shared" si="549"/>
        <v>0.49013182201556033</v>
      </c>
      <c r="CB189" s="2104">
        <f t="shared" si="549"/>
        <v>0.38776953452367402</v>
      </c>
      <c r="CC189" s="371">
        <f t="shared" si="549"/>
        <v>0.42309252320239088</v>
      </c>
      <c r="CD189" s="371">
        <f t="shared" si="549"/>
        <v>0.52434423634083038</v>
      </c>
      <c r="CE189" s="2103">
        <f t="shared" si="549"/>
        <v>0.46029491079848833</v>
      </c>
      <c r="CF189" s="2104">
        <f t="shared" si="549"/>
        <v>0.3766884857569941</v>
      </c>
      <c r="CG189" s="371">
        <f t="shared" si="549"/>
        <v>0.41100207136175732</v>
      </c>
      <c r="CH189" s="371">
        <f t="shared" si="549"/>
        <v>0.5093603772799129</v>
      </c>
      <c r="CI189" s="2103">
        <f t="shared" si="549"/>
        <v>0.44714134947016471</v>
      </c>
      <c r="CJ189" s="2104">
        <f t="shared" si="549"/>
        <v>0.40416609680757293</v>
      </c>
      <c r="CK189" s="371">
        <f t="shared" si="549"/>
        <v>0.44098269324130696</v>
      </c>
      <c r="CL189" s="371">
        <f t="shared" si="549"/>
        <v>0.54651576392080559</v>
      </c>
      <c r="CM189" s="2103">
        <f t="shared" si="549"/>
        <v>0.47975815765500046</v>
      </c>
      <c r="CN189" s="2104">
        <f t="shared" si="549"/>
        <v>0.42529020610035428</v>
      </c>
      <c r="CO189" s="371">
        <f t="shared" si="549"/>
        <v>0.46403105549097295</v>
      </c>
      <c r="CP189" s="371">
        <f t="shared" si="549"/>
        <v>0.57507990826264932</v>
      </c>
      <c r="CQ189" s="2103">
        <f t="shared" si="549"/>
        <v>0.50483315488128411</v>
      </c>
      <c r="CR189" s="2104">
        <f t="shared" si="549"/>
        <v>0.46591419587571636</v>
      </c>
      <c r="CS189" s="371">
        <f t="shared" si="549"/>
        <v>0.50835559573036793</v>
      </c>
      <c r="CT189" s="371">
        <f t="shared" si="549"/>
        <v>0.63001190523359596</v>
      </c>
      <c r="CU189" s="2103">
        <f t="shared" si="549"/>
        <v>0.55305513748984136</v>
      </c>
    </row>
    <row r="190" spans="1:99">
      <c r="A190" s="771" t="s">
        <v>46</v>
      </c>
      <c r="B190" s="993" t="s">
        <v>972</v>
      </c>
      <c r="C190" s="993" t="s">
        <v>972</v>
      </c>
      <c r="D190" s="993" t="s">
        <v>972</v>
      </c>
      <c r="E190" s="993" t="s">
        <v>972</v>
      </c>
      <c r="F190" s="993" t="s">
        <v>972</v>
      </c>
      <c r="G190" s="372">
        <f t="shared" ref="G190:U190" si="550">G180/SUM(G113:G115)</f>
        <v>0.23808596737634016</v>
      </c>
      <c r="H190" s="372">
        <f t="shared" si="550"/>
        <v>0.23961231925908033</v>
      </c>
      <c r="I190" s="372">
        <f t="shared" si="550"/>
        <v>0.24667651403249632</v>
      </c>
      <c r="J190" s="372">
        <f t="shared" si="550"/>
        <v>0.36341627164160889</v>
      </c>
      <c r="K190" s="372">
        <f t="shared" si="550"/>
        <v>0.65523879504829341</v>
      </c>
      <c r="L190" s="372">
        <f t="shared" si="550"/>
        <v>0.61942806908677217</v>
      </c>
      <c r="M190" s="406">
        <f t="shared" si="550"/>
        <v>0.53841258410406923</v>
      </c>
      <c r="N190" s="110">
        <f t="shared" si="550"/>
        <v>0.16652635229875162</v>
      </c>
      <c r="O190" s="110">
        <f t="shared" si="550"/>
        <v>0.50173819465303315</v>
      </c>
      <c r="P190" s="110">
        <f t="shared" si="550"/>
        <v>0.51631781662470033</v>
      </c>
      <c r="Q190" s="110">
        <f t="shared" si="550"/>
        <v>0.52633416503837105</v>
      </c>
      <c r="R190" s="110">
        <f t="shared" si="550"/>
        <v>0.53392995240981589</v>
      </c>
      <c r="S190" s="110">
        <f t="shared" si="550"/>
        <v>0.53908748384136151</v>
      </c>
      <c r="T190" s="110">
        <f t="shared" si="550"/>
        <v>0.54180335357107201</v>
      </c>
      <c r="U190" s="110">
        <f t="shared" si="550"/>
        <v>0.54208077710126568</v>
      </c>
      <c r="V190" s="178"/>
      <c r="W190" s="178"/>
      <c r="X190" s="1044" t="str">
        <f t="shared" ref="X190:AI190" si="551">IF(X180="NA","NA",X180/SUM(X113:X115))</f>
        <v>NA</v>
      </c>
      <c r="Y190" s="1044" t="str">
        <f t="shared" si="551"/>
        <v>NA</v>
      </c>
      <c r="Z190" s="1044" t="str">
        <f t="shared" si="551"/>
        <v>NA</v>
      </c>
      <c r="AA190" s="1044" t="str">
        <f t="shared" si="551"/>
        <v>NA</v>
      </c>
      <c r="AB190" s="1044" t="str">
        <f t="shared" si="551"/>
        <v>NA</v>
      </c>
      <c r="AC190" s="1044" t="str">
        <f t="shared" si="551"/>
        <v>NA</v>
      </c>
      <c r="AD190" s="1044" t="str">
        <f t="shared" si="551"/>
        <v>NA</v>
      </c>
      <c r="AE190" s="1044" t="str">
        <f t="shared" si="551"/>
        <v>NA</v>
      </c>
      <c r="AF190" s="1044" t="str">
        <f t="shared" si="551"/>
        <v>NA</v>
      </c>
      <c r="AG190" s="1044" t="str">
        <f t="shared" si="551"/>
        <v>NA</v>
      </c>
      <c r="AH190" s="1044" t="str">
        <f t="shared" si="551"/>
        <v>NA</v>
      </c>
      <c r="AI190" s="1044" t="str">
        <f t="shared" si="551"/>
        <v>NA</v>
      </c>
      <c r="AJ190" s="372">
        <f t="shared" ref="AJ190:BO190" si="552">AJ180/SUM(AJ113:AJ115)</f>
        <v>0.10439249488485482</v>
      </c>
      <c r="AK190" s="372">
        <f t="shared" si="552"/>
        <v>0.24012097773811289</v>
      </c>
      <c r="AL190" s="372">
        <f t="shared" si="552"/>
        <v>0.3143963847643641</v>
      </c>
      <c r="AM190" s="372">
        <f t="shared" si="552"/>
        <v>4.1735228122662803E-2</v>
      </c>
      <c r="AN190" s="372">
        <f t="shared" si="552"/>
        <v>0.32029962546816476</v>
      </c>
      <c r="AO190" s="372">
        <f t="shared" si="552"/>
        <v>0.23273716951788492</v>
      </c>
      <c r="AP190" s="372">
        <f t="shared" si="552"/>
        <v>0.25046500244738124</v>
      </c>
      <c r="AQ190" s="372">
        <f t="shared" si="552"/>
        <v>-6.9013593586615685E-2</v>
      </c>
      <c r="AR190" s="372">
        <f t="shared" si="552"/>
        <v>0.10473874904652937</v>
      </c>
      <c r="AS190" s="372">
        <f t="shared" si="552"/>
        <v>0.22250264593340391</v>
      </c>
      <c r="AT190" s="372">
        <f t="shared" si="552"/>
        <v>0.38591358181741081</v>
      </c>
      <c r="AU190" s="372">
        <f t="shared" si="552"/>
        <v>0.240463264567499</v>
      </c>
      <c r="AV190" s="372">
        <f t="shared" si="552"/>
        <v>0.21086006607694768</v>
      </c>
      <c r="AW190" s="372">
        <f t="shared" si="552"/>
        <v>0.30585451062151348</v>
      </c>
      <c r="AX190" s="372">
        <f t="shared" si="552"/>
        <v>0.35151001377556429</v>
      </c>
      <c r="AY190" s="372">
        <f t="shared" si="552"/>
        <v>-4.9553293164346597E-2</v>
      </c>
      <c r="AZ190" s="372">
        <f t="shared" si="552"/>
        <v>0.21702127659574463</v>
      </c>
      <c r="BA190" s="372">
        <f t="shared" si="552"/>
        <v>0.28543691462486342</v>
      </c>
      <c r="BB190" s="372">
        <f t="shared" si="552"/>
        <v>0.50894508853167253</v>
      </c>
      <c r="BC190" s="372">
        <f t="shared" si="552"/>
        <v>0.39238071341947878</v>
      </c>
      <c r="BD190" s="372">
        <f t="shared" si="552"/>
        <v>0.85190632008529721</v>
      </c>
      <c r="BE190" s="372">
        <f t="shared" si="552"/>
        <v>0.77182722031915774</v>
      </c>
      <c r="BF190" s="372">
        <f t="shared" si="552"/>
        <v>0.72587188010592152</v>
      </c>
      <c r="BG190" s="372">
        <f t="shared" si="552"/>
        <v>0.50027888816584709</v>
      </c>
      <c r="BH190" s="372">
        <f t="shared" si="552"/>
        <v>0.71671559992170697</v>
      </c>
      <c r="BI190" s="372">
        <f t="shared" si="552"/>
        <v>0.59774745600843049</v>
      </c>
      <c r="BJ190" s="372">
        <f t="shared" si="552"/>
        <v>0.52654893566416927</v>
      </c>
      <c r="BK190" s="372">
        <f t="shared" si="552"/>
        <v>0.45057426131343897</v>
      </c>
      <c r="BL190" s="372">
        <f t="shared" si="552"/>
        <v>0.60417160839382023</v>
      </c>
      <c r="BM190" s="372">
        <f t="shared" si="552"/>
        <v>0.64399680893498201</v>
      </c>
      <c r="BN190" s="372">
        <f t="shared" si="552"/>
        <v>0.56773766811649407</v>
      </c>
      <c r="BO190" s="372">
        <f t="shared" si="552"/>
        <v>0.17716671607866372</v>
      </c>
      <c r="BP190" s="406">
        <f t="shared" ref="BP190:CU190" si="553">BP180/SUM(BP113:BP115)</f>
        <v>0.72246535817765223</v>
      </c>
      <c r="BQ190" s="360">
        <f t="shared" si="553"/>
        <v>0.19901433272465707</v>
      </c>
      <c r="BR190" s="360">
        <f t="shared" si="553"/>
        <v>0.17554071078129943</v>
      </c>
      <c r="BS190" s="2105">
        <f t="shared" si="553"/>
        <v>-1.4486581248370205</v>
      </c>
      <c r="BT190" s="2106">
        <f t="shared" si="553"/>
        <v>0.57792126243512387</v>
      </c>
      <c r="BU190" s="360">
        <f t="shared" si="553"/>
        <v>0.59199087350322666</v>
      </c>
      <c r="BV190" s="360">
        <f t="shared" si="553"/>
        <v>0.52635353616784519</v>
      </c>
      <c r="BW190" s="2105">
        <f t="shared" si="553"/>
        <v>-1.0457067888630297E-2</v>
      </c>
      <c r="BX190" s="2106">
        <f t="shared" si="553"/>
        <v>0.60014675900814485</v>
      </c>
      <c r="BY190" s="360">
        <f t="shared" si="553"/>
        <v>0.60517574489327974</v>
      </c>
      <c r="BZ190" s="360">
        <f t="shared" si="553"/>
        <v>0.54029278768486888</v>
      </c>
      <c r="CA190" s="2105">
        <f t="shared" si="553"/>
        <v>-1.0773167199932447E-2</v>
      </c>
      <c r="CB190" s="2106">
        <f t="shared" si="553"/>
        <v>0.61542997023811186</v>
      </c>
      <c r="CC190" s="360">
        <f t="shared" si="553"/>
        <v>0.61429232892759811</v>
      </c>
      <c r="CD190" s="360">
        <f t="shared" si="553"/>
        <v>0.54988291838342873</v>
      </c>
      <c r="CE190" s="2105">
        <f t="shared" si="553"/>
        <v>-1.0990255179839386E-2</v>
      </c>
      <c r="CF190" s="2106">
        <f t="shared" si="553"/>
        <v>0.62698302334085576</v>
      </c>
      <c r="CG190" s="360">
        <f t="shared" si="553"/>
        <v>0.62126571799767083</v>
      </c>
      <c r="CH190" s="360">
        <f t="shared" si="553"/>
        <v>0.55717293350571995</v>
      </c>
      <c r="CI190" s="2105">
        <f t="shared" si="553"/>
        <v>-1.1154746798669964E-2</v>
      </c>
      <c r="CJ190" s="2106">
        <f t="shared" si="553"/>
        <v>0.63464128986961943</v>
      </c>
      <c r="CK190" s="360">
        <f t="shared" si="553"/>
        <v>0.62614563974572968</v>
      </c>
      <c r="CL190" s="360">
        <f t="shared" si="553"/>
        <v>0.56217118496550278</v>
      </c>
      <c r="CM190" s="2105">
        <f t="shared" si="553"/>
        <v>-1.1266005130382568E-2</v>
      </c>
      <c r="CN190" s="2106">
        <f t="shared" si="553"/>
        <v>0.63830197020727963</v>
      </c>
      <c r="CO190" s="360">
        <f t="shared" si="553"/>
        <v>0.62897752688920161</v>
      </c>
      <c r="CP190" s="360">
        <f t="shared" si="553"/>
        <v>0.5648927745697192</v>
      </c>
      <c r="CQ190" s="2105">
        <f t="shared" si="553"/>
        <v>-1.1323774212370283E-2</v>
      </c>
      <c r="CR190" s="2106">
        <f t="shared" si="553"/>
        <v>0.63791627618509172</v>
      </c>
      <c r="CS190" s="360">
        <f t="shared" si="553"/>
        <v>0.62979588725598801</v>
      </c>
      <c r="CT190" s="360">
        <f t="shared" si="553"/>
        <v>0.56535211662752649</v>
      </c>
      <c r="CU190" s="2105">
        <f t="shared" si="553"/>
        <v>-1.1328015794408763E-2</v>
      </c>
    </row>
    <row r="191" spans="1:99">
      <c r="A191" s="771"/>
      <c r="B191" s="993"/>
      <c r="C191" s="993"/>
      <c r="D191" s="993"/>
      <c r="E191" s="993"/>
      <c r="F191" s="993"/>
      <c r="G191" s="372"/>
      <c r="H191" s="372"/>
      <c r="I191" s="372"/>
      <c r="J191" s="372"/>
      <c r="K191" s="372"/>
      <c r="L191" s="372"/>
      <c r="M191" s="406"/>
      <c r="N191" s="110"/>
      <c r="O191" s="110"/>
      <c r="P191" s="110"/>
      <c r="Q191" s="110"/>
      <c r="R191" s="110"/>
      <c r="S191" s="110"/>
      <c r="T191" s="110"/>
      <c r="U191" s="110"/>
      <c r="V191" s="178"/>
      <c r="W191" s="178"/>
      <c r="X191" s="1044"/>
      <c r="Y191" s="1044"/>
      <c r="Z191" s="1044"/>
      <c r="AA191" s="1044"/>
      <c r="AB191" s="1044"/>
      <c r="AC191" s="1044"/>
      <c r="AD191" s="1044"/>
      <c r="AE191" s="1044"/>
      <c r="AF191" s="1044"/>
      <c r="AG191" s="1044"/>
      <c r="AH191" s="1044"/>
      <c r="AI191" s="1044"/>
      <c r="AJ191" s="372"/>
      <c r="AK191" s="372"/>
      <c r="AL191" s="372"/>
      <c r="AM191" s="372"/>
      <c r="AN191" s="372"/>
      <c r="AO191" s="372"/>
      <c r="AP191" s="372"/>
      <c r="AQ191" s="372"/>
      <c r="AR191" s="372"/>
      <c r="AS191" s="372"/>
      <c r="AT191" s="372"/>
      <c r="AU191" s="372"/>
      <c r="AV191" s="372"/>
      <c r="AW191" s="372"/>
      <c r="AX191" s="372"/>
      <c r="AY191" s="372"/>
      <c r="AZ191" s="372"/>
      <c r="BA191" s="372"/>
      <c r="BB191" s="372"/>
      <c r="BC191" s="372"/>
      <c r="BD191" s="372"/>
      <c r="BE191" s="372"/>
      <c r="BF191" s="372"/>
      <c r="BG191" s="372"/>
      <c r="BH191" s="372"/>
      <c r="BI191" s="372"/>
      <c r="BJ191" s="372"/>
      <c r="BK191" s="372"/>
      <c r="BL191" s="372"/>
      <c r="BM191" s="372"/>
      <c r="BN191" s="372"/>
      <c r="BO191" s="372"/>
      <c r="BP191" s="406"/>
    </row>
    <row r="192" spans="1:99" s="54" customFormat="1">
      <c r="A192" s="2094" t="s">
        <v>1056</v>
      </c>
      <c r="B192" s="747"/>
      <c r="C192" s="747"/>
      <c r="D192" s="747"/>
      <c r="E192" s="876"/>
      <c r="F192" s="876"/>
      <c r="G192" s="876"/>
      <c r="H192" s="1060"/>
      <c r="I192" s="1061">
        <f t="shared" ref="I192:U192" si="554">I182/I104</f>
        <v>0.39738403402540667</v>
      </c>
      <c r="J192" s="1061">
        <f t="shared" si="554"/>
        <v>0.38890619387856556</v>
      </c>
      <c r="K192" s="1061">
        <f t="shared" si="554"/>
        <v>0.46946965415743064</v>
      </c>
      <c r="L192" s="1061">
        <f t="shared" si="554"/>
        <v>0.47710310888219054</v>
      </c>
      <c r="M192" s="2087">
        <f t="shared" si="554"/>
        <v>0.48123236277682557</v>
      </c>
      <c r="N192" s="1636">
        <f t="shared" si="554"/>
        <v>0.48122149311100809</v>
      </c>
      <c r="O192" s="1636">
        <f t="shared" si="554"/>
        <v>0.47086086104729563</v>
      </c>
      <c r="P192" s="1636">
        <f t="shared" si="554"/>
        <v>0.47828243020258415</v>
      </c>
      <c r="Q192" s="1636">
        <f t="shared" si="554"/>
        <v>0.48910399101952368</v>
      </c>
      <c r="R192" s="1636">
        <f t="shared" si="554"/>
        <v>0.48869016007726446</v>
      </c>
      <c r="S192" s="1636">
        <f t="shared" si="554"/>
        <v>0.46519036089090005</v>
      </c>
      <c r="T192" s="1636">
        <f t="shared" si="554"/>
        <v>0.44813617229595126</v>
      </c>
      <c r="U192" s="1636">
        <f t="shared" si="554"/>
        <v>0.50838217199299995</v>
      </c>
      <c r="V192" s="336"/>
      <c r="W192" s="336"/>
      <c r="X192" s="336"/>
      <c r="Y192" s="336"/>
      <c r="Z192" s="336"/>
      <c r="AA192" s="336"/>
      <c r="AB192" s="336"/>
      <c r="AC192" s="336"/>
      <c r="AD192" s="336"/>
      <c r="AE192" s="336"/>
      <c r="AF192" s="336"/>
      <c r="AG192" s="336"/>
      <c r="AH192" s="336"/>
      <c r="AI192" s="336"/>
      <c r="AJ192" s="336"/>
      <c r="AK192" s="336"/>
      <c r="AL192" s="336"/>
      <c r="AM192" s="336"/>
      <c r="AN192" s="336"/>
      <c r="AO192" s="336"/>
      <c r="AP192" s="336"/>
      <c r="AQ192" s="336"/>
      <c r="AR192" s="336"/>
      <c r="AS192" s="336"/>
      <c r="AT192" s="336"/>
      <c r="AU192" s="336"/>
      <c r="AV192" s="336"/>
      <c r="AW192" s="336"/>
      <c r="AX192" s="1062">
        <f>AX182/AX104</f>
        <v>0.40781837150178774</v>
      </c>
      <c r="AY192" s="336"/>
      <c r="AZ192" s="1063">
        <f t="shared" ref="AZ192:BP192" si="555">AZ182/AZ104</f>
        <v>0.42863681749228866</v>
      </c>
      <c r="BA192" s="1063">
        <f t="shared" si="555"/>
        <v>0.38868239559702783</v>
      </c>
      <c r="BB192" s="1063">
        <f t="shared" si="555"/>
        <v>0.39647185107765315</v>
      </c>
      <c r="BC192" s="1063">
        <f t="shared" si="555"/>
        <v>0.33710396395532766</v>
      </c>
      <c r="BD192" s="1063">
        <f t="shared" si="555"/>
        <v>0.45591830344777745</v>
      </c>
      <c r="BE192" s="1063">
        <f t="shared" si="555"/>
        <v>0.49334813497360758</v>
      </c>
      <c r="BF192" s="1063">
        <f t="shared" si="555"/>
        <v>0.49285514821648529</v>
      </c>
      <c r="BG192" s="1063">
        <f t="shared" si="555"/>
        <v>0.46861111709035591</v>
      </c>
      <c r="BH192" s="1063">
        <f t="shared" si="555"/>
        <v>0.49898918247916302</v>
      </c>
      <c r="BI192" s="1063">
        <f t="shared" si="555"/>
        <v>0.4826320154489705</v>
      </c>
      <c r="BJ192" s="1063">
        <f t="shared" si="555"/>
        <v>0.51356574408053302</v>
      </c>
      <c r="BK192" s="1063">
        <f t="shared" si="555"/>
        <v>0.4245223407577145</v>
      </c>
      <c r="BL192" s="1063">
        <f t="shared" si="555"/>
        <v>0.52031685057636123</v>
      </c>
      <c r="BM192" s="1063">
        <f t="shared" si="555"/>
        <v>0.5089454439041089</v>
      </c>
      <c r="BN192" s="1063">
        <f t="shared" si="555"/>
        <v>0.46410150286664181</v>
      </c>
      <c r="BO192" s="1063">
        <f t="shared" si="555"/>
        <v>0.44509994755975069</v>
      </c>
      <c r="BP192" s="1064">
        <f t="shared" si="555"/>
        <v>0.58514649527849549</v>
      </c>
    </row>
    <row r="193" spans="1:99" s="54" customFormat="1">
      <c r="A193" s="1051" t="s">
        <v>1051</v>
      </c>
      <c r="B193" s="1059" t="s">
        <v>972</v>
      </c>
      <c r="C193" s="1059" t="s">
        <v>972</v>
      </c>
      <c r="D193" s="1059" t="s">
        <v>972</v>
      </c>
      <c r="E193" s="1059" t="s">
        <v>972</v>
      </c>
      <c r="F193" s="1059" t="s">
        <v>972</v>
      </c>
      <c r="G193" s="1059" t="s">
        <v>972</v>
      </c>
      <c r="H193" s="1059" t="s">
        <v>972</v>
      </c>
      <c r="I193" s="1060">
        <f t="shared" ref="I193:U193" si="556">I183/(I105+I108)</f>
        <v>0.4114288616310679</v>
      </c>
      <c r="J193" s="1060">
        <f t="shared" si="556"/>
        <v>0.39253694925313265</v>
      </c>
      <c r="K193" s="1060">
        <f t="shared" si="556"/>
        <v>0.4268838954961981</v>
      </c>
      <c r="L193" s="1060">
        <f t="shared" si="556"/>
        <v>0.44272205193579733</v>
      </c>
      <c r="M193" s="2084">
        <f t="shared" si="556"/>
        <v>0.45655828128733511</v>
      </c>
      <c r="N193" s="1634">
        <f t="shared" si="556"/>
        <v>0.4972397936505541</v>
      </c>
      <c r="O193" s="1634">
        <f t="shared" si="556"/>
        <v>0.46841106503628505</v>
      </c>
      <c r="P193" s="1634">
        <f t="shared" si="556"/>
        <v>0.47521476983474314</v>
      </c>
      <c r="Q193" s="1634">
        <f t="shared" si="556"/>
        <v>0.48629538896642382</v>
      </c>
      <c r="R193" s="1634">
        <f t="shared" si="556"/>
        <v>0.48526536314664909</v>
      </c>
      <c r="S193" s="1634">
        <f t="shared" si="556"/>
        <v>0.45887323311571343</v>
      </c>
      <c r="T193" s="1634">
        <f t="shared" si="556"/>
        <v>0.43939772707348101</v>
      </c>
      <c r="U193" s="1634">
        <f t="shared" si="556"/>
        <v>0.50546020689386595</v>
      </c>
      <c r="V193" s="336"/>
      <c r="W193" s="336"/>
      <c r="X193" s="890" t="s">
        <v>972</v>
      </c>
      <c r="Y193" s="890" t="s">
        <v>972</v>
      </c>
      <c r="Z193" s="890" t="s">
        <v>972</v>
      </c>
      <c r="AA193" s="890" t="s">
        <v>972</v>
      </c>
      <c r="AB193" s="890" t="s">
        <v>972</v>
      </c>
      <c r="AC193" s="890" t="s">
        <v>972</v>
      </c>
      <c r="AD193" s="890" t="s">
        <v>972</v>
      </c>
      <c r="AE193" s="890" t="s">
        <v>972</v>
      </c>
      <c r="AF193" s="890" t="s">
        <v>972</v>
      </c>
      <c r="AG193" s="890" t="s">
        <v>972</v>
      </c>
      <c r="AH193" s="890" t="s">
        <v>972</v>
      </c>
      <c r="AI193" s="890" t="s">
        <v>972</v>
      </c>
      <c r="AJ193" s="890" t="s">
        <v>972</v>
      </c>
      <c r="AK193" s="890" t="s">
        <v>972</v>
      </c>
      <c r="AL193" s="890" t="s">
        <v>972</v>
      </c>
      <c r="AM193" s="890" t="s">
        <v>972</v>
      </c>
      <c r="AN193" s="890" t="s">
        <v>972</v>
      </c>
      <c r="AO193" s="890" t="s">
        <v>972</v>
      </c>
      <c r="AP193" s="890" t="s">
        <v>972</v>
      </c>
      <c r="AQ193" s="890" t="s">
        <v>972</v>
      </c>
      <c r="AR193" s="890" t="s">
        <v>972</v>
      </c>
      <c r="AS193" s="890" t="s">
        <v>972</v>
      </c>
      <c r="AT193" s="890" t="s">
        <v>972</v>
      </c>
      <c r="AU193" s="890" t="s">
        <v>972</v>
      </c>
      <c r="AV193" s="890" t="s">
        <v>972</v>
      </c>
      <c r="AW193" s="890" t="s">
        <v>972</v>
      </c>
      <c r="AX193" s="1065">
        <f>AX183/(AX105+AX108)</f>
        <v>0.41053573020524486</v>
      </c>
      <c r="AY193" s="890" t="s">
        <v>972</v>
      </c>
      <c r="AZ193" s="419">
        <f t="shared" ref="AZ193:BP193" si="557">AZ183/(AZ105+AZ108)</f>
        <v>0.44943267885463634</v>
      </c>
      <c r="BA193" s="419">
        <f t="shared" si="557"/>
        <v>0.40621021023314063</v>
      </c>
      <c r="BB193" s="419">
        <f t="shared" si="557"/>
        <v>0.36749254694609818</v>
      </c>
      <c r="BC193" s="419">
        <f t="shared" si="557"/>
        <v>0.33391516380579905</v>
      </c>
      <c r="BD193" s="419">
        <f t="shared" si="557"/>
        <v>0.40136332439702094</v>
      </c>
      <c r="BE193" s="419">
        <f t="shared" si="557"/>
        <v>0.41558292478775566</v>
      </c>
      <c r="BF193" s="419">
        <f t="shared" si="557"/>
        <v>0.43251544463061381</v>
      </c>
      <c r="BG193" s="419">
        <f t="shared" si="557"/>
        <v>0.44622429898494709</v>
      </c>
      <c r="BH193" s="419">
        <f t="shared" si="557"/>
        <v>0.4055018877194107</v>
      </c>
      <c r="BI193" s="419">
        <f t="shared" si="557"/>
        <v>0.4463259195749551</v>
      </c>
      <c r="BJ193" s="419">
        <f t="shared" si="557"/>
        <v>0.47935640519938227</v>
      </c>
      <c r="BK193" s="419">
        <f t="shared" si="557"/>
        <v>0.42172313199060829</v>
      </c>
      <c r="BL193" s="419">
        <f t="shared" si="557"/>
        <v>0.45736464099512675</v>
      </c>
      <c r="BM193" s="419">
        <f t="shared" si="557"/>
        <v>0.47039452557046596</v>
      </c>
      <c r="BN193" s="419">
        <f t="shared" si="557"/>
        <v>0.43928172789597819</v>
      </c>
      <c r="BO193" s="419">
        <f t="shared" si="557"/>
        <v>0.41550979640381414</v>
      </c>
      <c r="BP193" s="411">
        <f t="shared" si="557"/>
        <v>0.53595953985471312</v>
      </c>
    </row>
    <row r="194" spans="1:99" s="54" customFormat="1">
      <c r="A194" s="1051" t="s">
        <v>1052</v>
      </c>
      <c r="B194" s="1059" t="s">
        <v>972</v>
      </c>
      <c r="C194" s="1059" t="s">
        <v>972</v>
      </c>
      <c r="D194" s="1059" t="s">
        <v>972</v>
      </c>
      <c r="E194" s="1059" t="s">
        <v>972</v>
      </c>
      <c r="F194" s="1059" t="s">
        <v>972</v>
      </c>
      <c r="G194" s="1059" t="s">
        <v>972</v>
      </c>
      <c r="H194" s="1059" t="s">
        <v>972</v>
      </c>
      <c r="I194" s="1060">
        <f>I184/I113</f>
        <v>0.60754818951540257</v>
      </c>
      <c r="J194" s="1060">
        <f>J184/J113</f>
        <v>0.84884759230261553</v>
      </c>
      <c r="K194" s="1060">
        <f>K184/K113</f>
        <v>0.92510866461499408</v>
      </c>
      <c r="L194" s="1060">
        <f>L184/L113</f>
        <v>0.66510214309193683</v>
      </c>
      <c r="M194" s="2084">
        <f>M184/M113</f>
        <v>0.55860713135072226</v>
      </c>
      <c r="N194" s="820">
        <f>+Inputs!P118</f>
        <v>0.71627264635255106</v>
      </c>
      <c r="O194" s="820">
        <f>+Inputs!Q118</f>
        <v>0.71627264635255106</v>
      </c>
      <c r="P194" s="820">
        <f>+Inputs!R118</f>
        <v>0.71627264635255106</v>
      </c>
      <c r="Q194" s="820">
        <f>+Inputs!S118</f>
        <v>0.71627264635255106</v>
      </c>
      <c r="R194" s="820">
        <f>+Inputs!T118</f>
        <v>0.71627264635255106</v>
      </c>
      <c r="S194" s="820">
        <f>+Inputs!U118</f>
        <v>0.71627264635255106</v>
      </c>
      <c r="T194" s="820">
        <f>+Inputs!V118</f>
        <v>0.71627264635255106</v>
      </c>
      <c r="U194" s="820">
        <f>+Inputs!W118</f>
        <v>0.71627264635255106</v>
      </c>
      <c r="V194" s="336"/>
      <c r="W194" s="336"/>
      <c r="X194" s="890" t="s">
        <v>972</v>
      </c>
      <c r="Y194" s="890" t="s">
        <v>972</v>
      </c>
      <c r="Z194" s="890" t="s">
        <v>972</v>
      </c>
      <c r="AA194" s="890" t="s">
        <v>972</v>
      </c>
      <c r="AB194" s="890" t="s">
        <v>972</v>
      </c>
      <c r="AC194" s="890" t="s">
        <v>972</v>
      </c>
      <c r="AD194" s="890" t="s">
        <v>972</v>
      </c>
      <c r="AE194" s="890" t="s">
        <v>972</v>
      </c>
      <c r="AF194" s="890" t="s">
        <v>972</v>
      </c>
      <c r="AG194" s="890" t="s">
        <v>972</v>
      </c>
      <c r="AH194" s="890" t="s">
        <v>972</v>
      </c>
      <c r="AI194" s="890" t="s">
        <v>972</v>
      </c>
      <c r="AJ194" s="890" t="s">
        <v>972</v>
      </c>
      <c r="AK194" s="890" t="s">
        <v>972</v>
      </c>
      <c r="AL194" s="890" t="s">
        <v>972</v>
      </c>
      <c r="AM194" s="890" t="s">
        <v>972</v>
      </c>
      <c r="AN194" s="890" t="s">
        <v>972</v>
      </c>
      <c r="AO194" s="890" t="s">
        <v>972</v>
      </c>
      <c r="AP194" s="890" t="s">
        <v>972</v>
      </c>
      <c r="AQ194" s="890" t="s">
        <v>972</v>
      </c>
      <c r="AR194" s="890" t="s">
        <v>972</v>
      </c>
      <c r="AS194" s="890" t="s">
        <v>972</v>
      </c>
      <c r="AT194" s="890" t="s">
        <v>972</v>
      </c>
      <c r="AU194" s="890" t="s">
        <v>972</v>
      </c>
      <c r="AV194" s="890" t="s">
        <v>972</v>
      </c>
      <c r="AW194" s="890" t="s">
        <v>972</v>
      </c>
      <c r="AX194" s="1065">
        <f>AX184/AX113</f>
        <v>0.64646464646464652</v>
      </c>
      <c r="AY194" s="890" t="s">
        <v>972</v>
      </c>
      <c r="AZ194" s="419">
        <f t="shared" ref="AZ194:BP194" si="558">AZ184/AZ113</f>
        <v>0.85949481281010365</v>
      </c>
      <c r="BA194" s="419">
        <f t="shared" si="558"/>
        <v>0.79901191969887075</v>
      </c>
      <c r="BB194" s="419">
        <f t="shared" si="558"/>
        <v>0.88051044083526675</v>
      </c>
      <c r="BC194" s="419">
        <f t="shared" si="558"/>
        <v>0.80368354960234489</v>
      </c>
      <c r="BD194" s="419">
        <f t="shared" si="558"/>
        <v>0.91601891502445554</v>
      </c>
      <c r="BE194" s="419">
        <f t="shared" si="558"/>
        <v>0.63859915393806299</v>
      </c>
      <c r="BF194" s="419">
        <f t="shared" si="558"/>
        <v>0.97368564572425842</v>
      </c>
      <c r="BG194" s="419">
        <f t="shared" si="558"/>
        <v>28.868300153139355</v>
      </c>
      <c r="BH194" s="419">
        <f t="shared" si="558"/>
        <v>0.72936943313867753</v>
      </c>
      <c r="BI194" s="419">
        <f t="shared" si="558"/>
        <v>0.63879644403920666</v>
      </c>
      <c r="BJ194" s="419">
        <f t="shared" si="558"/>
        <v>0.62678196316766255</v>
      </c>
      <c r="BK194" s="419">
        <f t="shared" si="558"/>
        <v>0.40916866233321375</v>
      </c>
      <c r="BL194" s="419">
        <f t="shared" si="558"/>
        <v>0.69995424388011895</v>
      </c>
      <c r="BM194" s="419">
        <f t="shared" si="558"/>
        <v>0.69389940893210655</v>
      </c>
      <c r="BN194" s="419">
        <f t="shared" si="558"/>
        <v>1.0263166270732693</v>
      </c>
      <c r="BO194" s="419">
        <f t="shared" si="558"/>
        <v>1.2610766345919919</v>
      </c>
      <c r="BP194" s="411">
        <f t="shared" si="558"/>
        <v>0.65810829476506549</v>
      </c>
    </row>
    <row r="195" spans="1:99" s="54" customFormat="1">
      <c r="A195" s="1051" t="s">
        <v>222</v>
      </c>
      <c r="B195" s="1059" t="s">
        <v>972</v>
      </c>
      <c r="C195" s="1059" t="s">
        <v>972</v>
      </c>
      <c r="D195" s="1059" t="s">
        <v>972</v>
      </c>
      <c r="E195" s="1059" t="s">
        <v>972</v>
      </c>
      <c r="F195" s="1059" t="s">
        <v>972</v>
      </c>
      <c r="G195" s="1059" t="s">
        <v>972</v>
      </c>
      <c r="H195" s="1059" t="s">
        <v>972</v>
      </c>
      <c r="I195" s="1060">
        <f t="shared" ref="I195:U195" si="559">I185/I115</f>
        <v>7.808193237528141E-2</v>
      </c>
      <c r="J195" s="1060">
        <f t="shared" si="559"/>
        <v>0.14079006718419868</v>
      </c>
      <c r="K195" s="1060">
        <f t="shared" si="559"/>
        <v>0.37457129756992208</v>
      </c>
      <c r="L195" s="1060">
        <f t="shared" si="559"/>
        <v>0.71468465996222708</v>
      </c>
      <c r="M195" s="2084">
        <f t="shared" si="559"/>
        <v>0.66659028764340167</v>
      </c>
      <c r="N195" s="1634">
        <f t="shared" si="559"/>
        <v>-1.040135884349682</v>
      </c>
      <c r="O195" s="1634">
        <f t="shared" si="559"/>
        <v>0.25898254815328864</v>
      </c>
      <c r="P195" s="1634">
        <f t="shared" si="559"/>
        <v>0.34106509484025621</v>
      </c>
      <c r="Q195" s="1634">
        <f t="shared" si="559"/>
        <v>0.39128581255287703</v>
      </c>
      <c r="R195" s="1634">
        <f t="shared" si="559"/>
        <v>0.42640019527659634</v>
      </c>
      <c r="S195" s="1634">
        <f t="shared" si="559"/>
        <v>0.4482509544463954</v>
      </c>
      <c r="T195" s="1634">
        <f t="shared" si="559"/>
        <v>0.4578894651029275</v>
      </c>
      <c r="U195" s="1634">
        <f t="shared" si="559"/>
        <v>0.45565599001261503</v>
      </c>
      <c r="V195" s="336"/>
      <c r="W195" s="336"/>
      <c r="X195" s="890" t="s">
        <v>972</v>
      </c>
      <c r="Y195" s="890" t="s">
        <v>972</v>
      </c>
      <c r="Z195" s="890" t="s">
        <v>972</v>
      </c>
      <c r="AA195" s="890" t="s">
        <v>972</v>
      </c>
      <c r="AB195" s="890" t="s">
        <v>972</v>
      </c>
      <c r="AC195" s="890" t="s">
        <v>972</v>
      </c>
      <c r="AD195" s="890" t="s">
        <v>972</v>
      </c>
      <c r="AE195" s="890" t="s">
        <v>972</v>
      </c>
      <c r="AF195" s="890" t="s">
        <v>972</v>
      </c>
      <c r="AG195" s="890" t="s">
        <v>972</v>
      </c>
      <c r="AH195" s="890" t="s">
        <v>972</v>
      </c>
      <c r="AI195" s="890" t="s">
        <v>972</v>
      </c>
      <c r="AJ195" s="890" t="s">
        <v>972</v>
      </c>
      <c r="AK195" s="890" t="s">
        <v>972</v>
      </c>
      <c r="AL195" s="890" t="s">
        <v>972</v>
      </c>
      <c r="AM195" s="890" t="s">
        <v>972</v>
      </c>
      <c r="AN195" s="890" t="s">
        <v>972</v>
      </c>
      <c r="AO195" s="890" t="s">
        <v>972</v>
      </c>
      <c r="AP195" s="890" t="s">
        <v>972</v>
      </c>
      <c r="AQ195" s="890" t="s">
        <v>972</v>
      </c>
      <c r="AR195" s="890" t="s">
        <v>972</v>
      </c>
      <c r="AS195" s="890" t="s">
        <v>972</v>
      </c>
      <c r="AT195" s="890" t="s">
        <v>972</v>
      </c>
      <c r="AU195" s="890" t="s">
        <v>972</v>
      </c>
      <c r="AV195" s="890" t="s">
        <v>972</v>
      </c>
      <c r="AW195" s="890" t="s">
        <v>972</v>
      </c>
      <c r="AX195" s="1065">
        <f>AX185/AX115</f>
        <v>0.2102291003967261</v>
      </c>
      <c r="AY195" s="890" t="s">
        <v>972</v>
      </c>
      <c r="AZ195" s="419">
        <f t="shared" ref="AZ195:BP195" si="560">AZ185/AZ115</f>
        <v>5.5675124603534201E-2</v>
      </c>
      <c r="BA195" s="419">
        <f t="shared" si="560"/>
        <v>8.7085335339176895E-2</v>
      </c>
      <c r="BB195" s="419">
        <f t="shared" si="560"/>
        <v>0.18533009437409981</v>
      </c>
      <c r="BC195" s="419">
        <f t="shared" si="560"/>
        <v>0.34668277271882547</v>
      </c>
      <c r="BD195" s="419">
        <f t="shared" si="560"/>
        <v>0.25678048780487783</v>
      </c>
      <c r="BE195" s="419">
        <f t="shared" si="560"/>
        <v>1.3446741786091967</v>
      </c>
      <c r="BF195" s="419">
        <f t="shared" si="560"/>
        <v>0.23333333333333334</v>
      </c>
      <c r="BG195" s="419">
        <f t="shared" si="560"/>
        <v>-0.21535692861427724</v>
      </c>
      <c r="BH195" s="419">
        <f t="shared" si="560"/>
        <v>1.1638597865465581</v>
      </c>
      <c r="BI195" s="419">
        <f t="shared" si="560"/>
        <v>0.62221888153938665</v>
      </c>
      <c r="BJ195" s="419">
        <f t="shared" si="560"/>
        <v>1.2797489082969431</v>
      </c>
      <c r="BK195" s="419">
        <f t="shared" si="560"/>
        <v>0.48982830760352086</v>
      </c>
      <c r="BL195" s="419">
        <f t="shared" si="560"/>
        <v>0.52678200692041521</v>
      </c>
      <c r="BM195" s="419">
        <f t="shared" si="560"/>
        <v>0.35794440180679127</v>
      </c>
      <c r="BN195" s="419">
        <f t="shared" si="560"/>
        <v>0.4731768811604446</v>
      </c>
      <c r="BO195" s="419">
        <f t="shared" si="560"/>
        <v>0.82809091323308126</v>
      </c>
      <c r="BP195" s="411">
        <f t="shared" si="560"/>
        <v>0.71470273128480666</v>
      </c>
    </row>
    <row r="196" spans="1:99">
      <c r="A196" s="771"/>
      <c r="B196" s="746"/>
      <c r="C196" s="746"/>
      <c r="D196" s="746"/>
      <c r="E196" s="178"/>
      <c r="F196" s="178"/>
      <c r="G196" s="178"/>
      <c r="H196" s="178"/>
      <c r="I196" s="372"/>
      <c r="J196" s="372"/>
      <c r="K196" s="372"/>
      <c r="L196" s="372"/>
      <c r="M196" s="406"/>
      <c r="N196" s="371"/>
      <c r="O196" s="371"/>
      <c r="P196" s="371"/>
      <c r="Q196" s="371"/>
      <c r="R196" s="371"/>
      <c r="S196" s="371"/>
      <c r="T196" s="371"/>
      <c r="U196" s="371"/>
      <c r="V196" s="178"/>
      <c r="W196" s="178"/>
      <c r="X196" s="178"/>
      <c r="Y196" s="178"/>
      <c r="Z196" s="178"/>
      <c r="AA196" s="178"/>
      <c r="AB196" s="178"/>
      <c r="AC196" s="178"/>
      <c r="AD196" s="178"/>
      <c r="AE196" s="178"/>
      <c r="AF196" s="178"/>
      <c r="AG196" s="178"/>
      <c r="AH196" s="178"/>
      <c r="AI196" s="178"/>
      <c r="AJ196" s="178"/>
      <c r="AK196" s="178"/>
      <c r="AL196" s="178"/>
      <c r="AM196" s="178"/>
      <c r="AN196" s="178"/>
      <c r="AO196" s="178"/>
      <c r="AP196" s="178"/>
      <c r="AQ196" s="178"/>
      <c r="AR196" s="178"/>
      <c r="AS196" s="178"/>
      <c r="AT196" s="178"/>
      <c r="AU196" s="178"/>
      <c r="AV196" s="178"/>
      <c r="AW196" s="178"/>
      <c r="AX196" s="178"/>
      <c r="AY196" s="178"/>
      <c r="AZ196" s="178"/>
      <c r="BA196" s="178"/>
      <c r="BB196" s="178"/>
      <c r="BC196" s="178"/>
      <c r="BD196" s="178"/>
      <c r="BE196" s="178"/>
      <c r="BF196" s="178"/>
      <c r="BG196" s="178"/>
      <c r="BH196" s="178"/>
      <c r="BI196" s="178"/>
      <c r="BJ196" s="178"/>
      <c r="BK196" s="178"/>
      <c r="BL196" s="178"/>
      <c r="BM196" s="178"/>
      <c r="BN196" s="178"/>
      <c r="BO196" s="178"/>
      <c r="BP196" s="426"/>
      <c r="BQ196" s="382"/>
      <c r="BR196" s="382"/>
      <c r="BS196" s="382"/>
      <c r="BT196" s="382"/>
      <c r="BU196" s="382"/>
      <c r="BV196" s="382"/>
      <c r="BW196" s="382"/>
      <c r="BX196" s="382"/>
      <c r="BY196" s="382"/>
      <c r="BZ196" s="382"/>
      <c r="CA196" s="382"/>
      <c r="CB196" s="382"/>
      <c r="CC196" s="382"/>
      <c r="CD196" s="382"/>
      <c r="CE196" s="382"/>
      <c r="CN196" s="54"/>
      <c r="CO196" s="54"/>
      <c r="CP196" s="54"/>
      <c r="CQ196" s="54"/>
    </row>
    <row r="197" spans="1:99">
      <c r="A197" s="786" t="s">
        <v>912</v>
      </c>
      <c r="B197" s="202">
        <f>Financials!D67</f>
        <v>-87.3</v>
      </c>
      <c r="C197" s="202">
        <f>Financials!E67</f>
        <v>-140.09100000000001</v>
      </c>
      <c r="D197" s="202">
        <f>Financials!F67</f>
        <v>-191.21400000000003</v>
      </c>
      <c r="E197" s="202">
        <f>Financials!G67</f>
        <v>-202.506</v>
      </c>
      <c r="F197" s="202">
        <f>Financials!H67</f>
        <v>-277.01599999999996</v>
      </c>
      <c r="G197" s="202">
        <f>Financials!I67</f>
        <v>-330.35499999999996</v>
      </c>
      <c r="H197" s="202">
        <f>Financials!J67</f>
        <v>-351.62699999999995</v>
      </c>
      <c r="I197" s="202">
        <f>Financials!K67</f>
        <v>-452.95</v>
      </c>
      <c r="J197" s="202">
        <f>Financials!L67</f>
        <v>-448.28499999999997</v>
      </c>
      <c r="K197" s="202">
        <f>Financials!M67</f>
        <v>-599.029</v>
      </c>
      <c r="L197" s="202">
        <f>Financials!N67</f>
        <v>-723.76099999999997</v>
      </c>
      <c r="M197" s="355">
        <f>Financials!O67</f>
        <v>-737.91100000000006</v>
      </c>
      <c r="N197" s="356">
        <f t="shared" ref="N197:U197" si="561">-N104*N198</f>
        <v>-937.02296374027128</v>
      </c>
      <c r="O197" s="356">
        <f t="shared" si="561"/>
        <v>-969.13922406645224</v>
      </c>
      <c r="P197" s="356">
        <f t="shared" si="561"/>
        <v>-1046.7014821966725</v>
      </c>
      <c r="Q197" s="356">
        <f t="shared" si="561"/>
        <v>-1204.6245556239382</v>
      </c>
      <c r="R197" s="356">
        <f t="shared" si="561"/>
        <v>-1289.2143715107193</v>
      </c>
      <c r="S197" s="356">
        <f t="shared" si="561"/>
        <v>-1226.9362955391991</v>
      </c>
      <c r="T197" s="356">
        <f t="shared" si="561"/>
        <v>-1195.5195738589618</v>
      </c>
      <c r="U197" s="356">
        <f t="shared" si="561"/>
        <v>-1337.8620990618506</v>
      </c>
      <c r="V197" s="178"/>
      <c r="W197" s="198"/>
      <c r="X197" s="390">
        <f>Q_Financials!B26</f>
        <v>-36.875999999999998</v>
      </c>
      <c r="Y197" s="390">
        <f>Q_Financials!C26</f>
        <v>-33.395000000000003</v>
      </c>
      <c r="Z197" s="390">
        <f>Q_Financials!D26</f>
        <v>-34.646999999999998</v>
      </c>
      <c r="AA197" s="390">
        <f>Q_Financials!E26</f>
        <v>-35.173000000000002</v>
      </c>
      <c r="AB197" s="390">
        <f>Q_Financials!F26</f>
        <v>-49.524000000000001</v>
      </c>
      <c r="AC197" s="390">
        <f>Q_Financials!G26</f>
        <v>-48.811</v>
      </c>
      <c r="AD197" s="390">
        <f>Q_Financials!H26</f>
        <v>-32.914000000000001</v>
      </c>
      <c r="AE197" s="390">
        <f>Q_Financials!I26</f>
        <v>-59.965000000000003</v>
      </c>
      <c r="AF197" s="390">
        <f>Q_Financials!J26</f>
        <v>-33.156999999999996</v>
      </c>
      <c r="AG197" s="390">
        <f>Q_Financials!K26</f>
        <v>-48.759</v>
      </c>
      <c r="AH197" s="390">
        <f>Q_Financials!L26</f>
        <v>-56.369</v>
      </c>
      <c r="AI197" s="390">
        <f>Q_Financials!M26</f>
        <v>-64.221000000000004</v>
      </c>
      <c r="AJ197" s="390">
        <f>Q_Financials!N26</f>
        <v>-54.76</v>
      </c>
      <c r="AK197" s="390">
        <f>Q_Financials!O26</f>
        <v>-65.674999999999997</v>
      </c>
      <c r="AL197" s="390">
        <f>Q_Financials!P26</f>
        <v>-72.046000000000006</v>
      </c>
      <c r="AM197" s="390">
        <f>Q_Financials!Q26</f>
        <v>-84.534999999999997</v>
      </c>
      <c r="AN197" s="390">
        <f>Q_Financials!R26</f>
        <v>-81.212000000000003</v>
      </c>
      <c r="AO197" s="390">
        <f>Q_Financials!S26</f>
        <v>-80.536000000000001</v>
      </c>
      <c r="AP197" s="390">
        <f>Q_Financials!T26</f>
        <v>-97.027000000000001</v>
      </c>
      <c r="AQ197" s="390">
        <f>Q_Financials!U26</f>
        <v>-71.58</v>
      </c>
      <c r="AR197" s="390">
        <f>Q_Financials!V26</f>
        <v>-86.269000000000005</v>
      </c>
      <c r="AS197" s="390">
        <f>Q_Financials!W26</f>
        <v>-87.844999999999999</v>
      </c>
      <c r="AT197" s="390">
        <f>Q_Financials!X26</f>
        <v>-96.82</v>
      </c>
      <c r="AU197" s="390">
        <f>Q_Financials!Y26</f>
        <v>-80.692999999999998</v>
      </c>
      <c r="AV197" s="390">
        <f>Q_Financials!Z26</f>
        <v>-87.414000000000001</v>
      </c>
      <c r="AW197" s="390">
        <f>Q_Financials!AA26</f>
        <v>-137.59199999999998</v>
      </c>
      <c r="AX197" s="390">
        <f>Q_Financials!AB26</f>
        <v>-119.05400000000002</v>
      </c>
      <c r="AY197" s="390">
        <f>Q_Financials!AC26</f>
        <v>-108.89</v>
      </c>
      <c r="AZ197" s="390">
        <f>Q_Financials!AD26</f>
        <v>-147.09800000000001</v>
      </c>
      <c r="BA197" s="390">
        <f>Q_Financials!AE26</f>
        <v>-123.21</v>
      </c>
      <c r="BB197" s="390">
        <f>Q_Financials!AF26</f>
        <v>-102.03400000000001</v>
      </c>
      <c r="BC197" s="390">
        <f>Q_Financials!AG26</f>
        <v>-75.942999999999998</v>
      </c>
      <c r="BD197" s="390">
        <f>Q_Financials!AH26</f>
        <v>-125.886</v>
      </c>
      <c r="BE197" s="390">
        <f>Q_Financials!AI26</f>
        <v>-128.53399999999999</v>
      </c>
      <c r="BF197" s="390">
        <f>Q_Financials!AJ26</f>
        <v>-164.096</v>
      </c>
      <c r="BG197" s="390">
        <f>Q_Financials!AK26</f>
        <v>-180.51300000000001</v>
      </c>
      <c r="BH197" s="390">
        <f>Q_Financials!AL26</f>
        <v>-124.09399999999999</v>
      </c>
      <c r="BI197" s="390">
        <f>Q_Financials!AM26</f>
        <v>-206.25099999999998</v>
      </c>
      <c r="BJ197" s="390">
        <f>Q_Financials!AN26</f>
        <v>-194.732</v>
      </c>
      <c r="BK197" s="390">
        <f>Q_Financials!AO26</f>
        <v>-198.684</v>
      </c>
      <c r="BL197" s="390">
        <f>Q_Financials!AP26</f>
        <v>-157.048</v>
      </c>
      <c r="BM197" s="390">
        <f>Q_Financials!AQ26</f>
        <v>-176.28200000000001</v>
      </c>
      <c r="BN197" s="390">
        <f>Q_Financials!AR26</f>
        <v>-185.822</v>
      </c>
      <c r="BO197" s="390">
        <f>Q_Financials!AS26</f>
        <v>-218.75899999999999</v>
      </c>
      <c r="BP197" s="391">
        <f>Q_Financials!AT26</f>
        <v>-202.14699999999999</v>
      </c>
      <c r="BQ197" s="2088">
        <f>$N197*BQ200</f>
        <v>-228.22490033873407</v>
      </c>
      <c r="BR197" s="2088">
        <f>$N197*BR200</f>
        <v>-240.57593759285828</v>
      </c>
      <c r="BS197" s="2089">
        <f t="shared" ref="BS197" si="562">$N197-SUM(BP197:BR197)</f>
        <v>-266.07512580867888</v>
      </c>
      <c r="BT197" s="2090">
        <f>$O197*BT200</f>
        <v>-270.68132536481119</v>
      </c>
      <c r="BU197" s="2088">
        <f>$O197*BU200</f>
        <v>-236.04725965737632</v>
      </c>
      <c r="BV197" s="2088">
        <f>$O197*BV200</f>
        <v>-248.82162605400995</v>
      </c>
      <c r="BW197" s="2089">
        <f t="shared" ref="BW197" si="563">$O197-SUM(BT197:BV197)</f>
        <v>-213.58901299025479</v>
      </c>
      <c r="BX197" s="2090">
        <f>$P197*BX200</f>
        <v>-292.34452329099071</v>
      </c>
      <c r="BY197" s="2088">
        <f>$P197*BY200</f>
        <v>-254.93862018621317</v>
      </c>
      <c r="BZ197" s="2088">
        <f>$P197*BZ200</f>
        <v>-268.73534609456726</v>
      </c>
      <c r="CA197" s="2089">
        <f t="shared" ref="CA197" si="564">$P197-SUM(BX197:BZ197)</f>
        <v>-230.68299262490132</v>
      </c>
      <c r="CB197" s="2090">
        <f>$Q197*CB200</f>
        <v>-336.45255829716194</v>
      </c>
      <c r="CC197" s="2088">
        <f>$Q197*CC200</f>
        <v>-293.40296854140951</v>
      </c>
      <c r="CD197" s="2088">
        <f>$Q197*CD200</f>
        <v>-309.28130166609071</v>
      </c>
      <c r="CE197" s="2089">
        <f t="shared" ref="CE197" si="565">$Q197-SUM(CB197:CD197)</f>
        <v>-265.48772711927609</v>
      </c>
      <c r="CF197" s="2090">
        <f>$R197*CF200</f>
        <v>-360.07855847134255</v>
      </c>
      <c r="CG197" s="2088">
        <f>$R197*CG200</f>
        <v>-314.00598794167223</v>
      </c>
      <c r="CH197" s="2088">
        <f>$R197*CH200</f>
        <v>-330.99931184861424</v>
      </c>
      <c r="CI197" s="2089">
        <f t="shared" ref="CI197" si="566">$R197-SUM(CF197:CH197)</f>
        <v>-284.1305132490902</v>
      </c>
      <c r="CJ197" s="2090">
        <f>$S197*CJ200</f>
        <v>-342.6842442938518</v>
      </c>
      <c r="CK197" s="2088">
        <f>$S197*CK200</f>
        <v>-298.83730133323172</v>
      </c>
      <c r="CL197" s="2088">
        <f>$S197*CL200</f>
        <v>-315.00972877743493</v>
      </c>
      <c r="CM197" s="2089">
        <f t="shared" ref="CM197" si="567">$S197-SUM(CJ197:CL197)</f>
        <v>-270.40502113468074</v>
      </c>
      <c r="CN197" s="2090">
        <f>$T197*CN200</f>
        <v>-333.90952993718582</v>
      </c>
      <c r="CO197" s="2088">
        <f>$T197*CO200</f>
        <v>-291.18532432530287</v>
      </c>
      <c r="CP197" s="2088">
        <f>$T197*CP200</f>
        <v>-306.94364334859159</v>
      </c>
      <c r="CQ197" s="2089">
        <f t="shared" ref="CQ197" si="568">$T197-SUM(CN197:CP197)</f>
        <v>-263.48107624788145</v>
      </c>
      <c r="CR197" s="2090">
        <f>$U197*CR200</f>
        <v>-373.6659059262048</v>
      </c>
      <c r="CS197" s="2088">
        <f>$U197*CS200</f>
        <v>-325.85481470654145</v>
      </c>
      <c r="CT197" s="2088">
        <f>$U197*CT200</f>
        <v>-343.48937145255297</v>
      </c>
      <c r="CU197" s="2089">
        <f t="shared" ref="CU197" si="569">$U197-SUM(CR197:CT197)</f>
        <v>-294.85200697655137</v>
      </c>
    </row>
    <row r="198" spans="1:99">
      <c r="A198" s="789" t="s">
        <v>910</v>
      </c>
      <c r="B198" s="488">
        <f t="shared" ref="B198:L198" si="570">-B197/B$104</f>
        <v>0.10804161272836631</v>
      </c>
      <c r="C198" s="488">
        <f t="shared" si="570"/>
        <v>0.1694917099799646</v>
      </c>
      <c r="D198" s="488">
        <f t="shared" si="570"/>
        <v>0.26840103927604408</v>
      </c>
      <c r="E198" s="488">
        <f t="shared" si="570"/>
        <v>0.26148599703270609</v>
      </c>
      <c r="F198" s="488">
        <f t="shared" si="570"/>
        <v>0.23410719461973301</v>
      </c>
      <c r="G198" s="488">
        <f t="shared" si="570"/>
        <v>0.25509152191622686</v>
      </c>
      <c r="H198" s="488">
        <f t="shared" si="570"/>
        <v>0.25722719259102106</v>
      </c>
      <c r="I198" s="488">
        <f t="shared" si="570"/>
        <v>0.27687208809049646</v>
      </c>
      <c r="J198" s="488">
        <f t="shared" si="570"/>
        <v>0.22742053965863962</v>
      </c>
      <c r="K198" s="488">
        <f t="shared" si="570"/>
        <v>0.25762893080138072</v>
      </c>
      <c r="L198" s="488">
        <f t="shared" si="570"/>
        <v>0.26536869279993724</v>
      </c>
      <c r="M198" s="759">
        <f t="shared" ref="M198" si="571">-M197/M$104</f>
        <v>0.24573426461645842</v>
      </c>
      <c r="N198" s="1696">
        <f>+Inputs!P123</f>
        <v>0.25624396273925881</v>
      </c>
      <c r="O198" s="1696">
        <f>+Inputs!Q123</f>
        <v>0.25624396273925881</v>
      </c>
      <c r="P198" s="1696">
        <f>+Inputs!R123</f>
        <v>0.25624396273925881</v>
      </c>
      <c r="Q198" s="1696">
        <f>+Inputs!S123</f>
        <v>0.25624396273925881</v>
      </c>
      <c r="R198" s="1696">
        <f>+Inputs!T123</f>
        <v>0.25624396273925881</v>
      </c>
      <c r="S198" s="1696">
        <f>+Inputs!U123</f>
        <v>0.25624396273925881</v>
      </c>
      <c r="T198" s="1696">
        <f>+Inputs!V123</f>
        <v>0.25624396273925881</v>
      </c>
      <c r="U198" s="1696">
        <f>+Inputs!W123</f>
        <v>0.25624396273925881</v>
      </c>
      <c r="V198" s="178"/>
      <c r="W198" s="178"/>
      <c r="X198" s="488">
        <f t="shared" ref="X198:BK198" si="572">-X197/X$104</f>
        <v>0.22536072015693848</v>
      </c>
      <c r="Y198" s="488">
        <f t="shared" si="572"/>
        <v>0.12866995453494645</v>
      </c>
      <c r="Z198" s="488">
        <f t="shared" si="572"/>
        <v>0.18468353215850575</v>
      </c>
      <c r="AA198" s="488">
        <f t="shared" si="572"/>
        <v>0.19139997932164096</v>
      </c>
      <c r="AB198" s="488">
        <f t="shared" si="572"/>
        <v>0.28370110675740706</v>
      </c>
      <c r="AC198" s="488">
        <f t="shared" si="572"/>
        <v>0.2725775107219443</v>
      </c>
      <c r="AD198" s="488">
        <f t="shared" si="572"/>
        <v>0.25858303348365103</v>
      </c>
      <c r="AE198" s="488">
        <f t="shared" si="572"/>
        <v>0.25902919667039598</v>
      </c>
      <c r="AF198" s="488">
        <f t="shared" si="572"/>
        <v>0.36019075759880065</v>
      </c>
      <c r="AG198" s="488">
        <f t="shared" si="572"/>
        <v>0.25092890887944252</v>
      </c>
      <c r="AH198" s="488">
        <f t="shared" si="572"/>
        <v>0.25527935402354029</v>
      </c>
      <c r="AI198" s="488">
        <f t="shared" si="572"/>
        <v>0.24029499474292729</v>
      </c>
      <c r="AJ198" s="488">
        <f t="shared" si="572"/>
        <v>0.25182105805312338</v>
      </c>
      <c r="AK198" s="488">
        <f t="shared" si="572"/>
        <v>0.22939464961211611</v>
      </c>
      <c r="AL198" s="488">
        <f t="shared" si="572"/>
        <v>0.22225649916552781</v>
      </c>
      <c r="AM198" s="488">
        <f t="shared" si="572"/>
        <v>0.23787347556686117</v>
      </c>
      <c r="AN198" s="488">
        <f t="shared" si="572"/>
        <v>0.28447327677401729</v>
      </c>
      <c r="AO198" s="488">
        <f t="shared" si="572"/>
        <v>0.23774464944649448</v>
      </c>
      <c r="AP198" s="488">
        <f t="shared" si="572"/>
        <v>0.24860486924972969</v>
      </c>
      <c r="AQ198" s="488">
        <f t="shared" si="572"/>
        <v>0.25513441071008491</v>
      </c>
      <c r="AR198" s="488">
        <f t="shared" si="572"/>
        <v>0.26225885099682017</v>
      </c>
      <c r="AS198" s="488">
        <f t="shared" si="572"/>
        <v>0.2206489986712582</v>
      </c>
      <c r="AT198" s="488">
        <f t="shared" si="572"/>
        <v>0.2544968023614948</v>
      </c>
      <c r="AU198" s="488">
        <f t="shared" si="572"/>
        <v>0.31098444557492794</v>
      </c>
      <c r="AV198" s="488">
        <f t="shared" si="572"/>
        <v>0.30110364022155478</v>
      </c>
      <c r="AW198" s="488">
        <f t="shared" si="572"/>
        <v>0.25157885883338144</v>
      </c>
      <c r="AX198" s="488">
        <f t="shared" si="572"/>
        <v>0.30146664100720155</v>
      </c>
      <c r="AY198" s="488">
        <f t="shared" si="572"/>
        <v>0.26965385053514734</v>
      </c>
      <c r="AZ198" s="488">
        <f t="shared" si="572"/>
        <v>0.29792060338350057</v>
      </c>
      <c r="BA198" s="488">
        <f t="shared" si="572"/>
        <v>0.20050643293506526</v>
      </c>
      <c r="BB198" s="488">
        <f t="shared" si="572"/>
        <v>0.24018624709283162</v>
      </c>
      <c r="BC198" s="488">
        <f t="shared" si="572"/>
        <v>0.17333716787294889</v>
      </c>
      <c r="BD198" s="488">
        <f t="shared" si="572"/>
        <v>0.25266441069858736</v>
      </c>
      <c r="BE198" s="488">
        <f t="shared" si="572"/>
        <v>0.25344325457309563</v>
      </c>
      <c r="BF198" s="488">
        <f t="shared" si="572"/>
        <v>0.28112734642551829</v>
      </c>
      <c r="BG198" s="488">
        <f t="shared" si="572"/>
        <v>0.2590395419420109</v>
      </c>
      <c r="BH198" s="488">
        <f t="shared" si="572"/>
        <v>0.27507980138322397</v>
      </c>
      <c r="BI198" s="488">
        <f t="shared" si="572"/>
        <v>0.31214396842404751</v>
      </c>
      <c r="BJ198" s="488">
        <f t="shared" si="572"/>
        <v>0.24279072435001503</v>
      </c>
      <c r="BK198" s="488">
        <f t="shared" si="572"/>
        <v>0.24424977195781894</v>
      </c>
      <c r="BL198" s="488">
        <f t="shared" ref="BL198:BM198" si="573">-BL197/BL$104</f>
        <v>0.24483738100954414</v>
      </c>
      <c r="BM198" s="488">
        <f t="shared" si="573"/>
        <v>0.2433331906957997</v>
      </c>
      <c r="BN198" s="488">
        <f t="shared" ref="BN198:BO198" si="574">-BN197/BN$104</f>
        <v>0.25215863215388273</v>
      </c>
      <c r="BO198" s="488">
        <f t="shared" si="574"/>
        <v>0.24304611186660621</v>
      </c>
      <c r="BP198" s="759">
        <f t="shared" ref="BP198" si="575">-BP197/BP$104</f>
        <v>0.2488431667747896</v>
      </c>
      <c r="BQ198" s="1609"/>
      <c r="BR198" s="1609"/>
      <c r="BS198" s="1609"/>
      <c r="BT198" s="1609"/>
      <c r="BU198" s="1609"/>
      <c r="BV198" s="1609"/>
      <c r="BW198" s="1609"/>
      <c r="BX198" s="1609"/>
      <c r="BY198" s="1609"/>
      <c r="BZ198" s="1609"/>
      <c r="CA198" s="1609"/>
      <c r="CB198" s="1609"/>
      <c r="CC198" s="1609"/>
      <c r="CD198" s="1609"/>
      <c r="CE198" s="1609"/>
      <c r="CF198" s="1609"/>
      <c r="CG198" s="1609"/>
      <c r="CH198" s="1609"/>
      <c r="CI198" s="1609"/>
      <c r="CJ198" s="1609"/>
      <c r="CK198" s="1609"/>
      <c r="CL198" s="1609"/>
      <c r="CM198" s="1609"/>
      <c r="CN198" s="1608"/>
      <c r="CO198" s="1608"/>
      <c r="CP198" s="1608"/>
      <c r="CQ198" s="1608"/>
      <c r="CR198" s="1609"/>
      <c r="CS198" s="1609"/>
      <c r="CT198" s="1609"/>
      <c r="CU198" s="1609"/>
    </row>
    <row r="199" spans="1:99">
      <c r="A199" s="789" t="s">
        <v>911</v>
      </c>
      <c r="B199" s="488">
        <f>-B197/Financials!C$95</f>
        <v>6.9971546507433965E-2</v>
      </c>
      <c r="C199" s="488">
        <f>-C197/Financials!D$95</f>
        <v>0.11283484138477623</v>
      </c>
      <c r="D199" s="488">
        <f>-D197/Financials!E$95</f>
        <v>9.4022578518102209E-2</v>
      </c>
      <c r="E199" s="488">
        <f>-E197/Financials!F$95</f>
        <v>8.3925526073127019E-2</v>
      </c>
      <c r="F199" s="488">
        <f>-F197/Financials!G$95</f>
        <v>0.11055446847723406</v>
      </c>
      <c r="G199" s="488">
        <f>-G197/Financials!H$95</f>
        <v>0.10842762143233886</v>
      </c>
      <c r="H199" s="488">
        <f>-H197/Financials!I$95</f>
        <v>0.11281465151596592</v>
      </c>
      <c r="I199" s="488">
        <f>-I197/Financials!J$95</f>
        <v>0.12589293010608182</v>
      </c>
      <c r="J199" s="488">
        <f>-J197/Financials!K$95</f>
        <v>0.11849233794394878</v>
      </c>
      <c r="K199" s="488">
        <f>-K197/Financials!L$95</f>
        <v>0.15311895334664466</v>
      </c>
      <c r="L199" s="488">
        <f>-L197/Financials!M$95</f>
        <v>0.16383184915123744</v>
      </c>
      <c r="M199" s="2084">
        <f>-M197/Financials!N$95</f>
        <v>0.16425536821457812</v>
      </c>
      <c r="N199" s="1634">
        <f>-N197/Financials!O$95</f>
        <v>0.17713454442381477</v>
      </c>
      <c r="O199" s="1634">
        <f>-O197/Financials!P$95</f>
        <v>0.18336436560190711</v>
      </c>
      <c r="P199" s="1634">
        <f>-P197/Financials!Q$95</f>
        <v>0.19606930423996216</v>
      </c>
      <c r="Q199" s="1634">
        <f>-Q197/Financials!R$95</f>
        <v>0.21840593097927991</v>
      </c>
      <c r="R199" s="1634">
        <f>-R197/Financials!S$95</f>
        <v>0.22640334314275098</v>
      </c>
      <c r="S199" s="1634">
        <f>-S197/Financials!T$95</f>
        <v>0.20877474522203468</v>
      </c>
      <c r="T199" s="1634">
        <f>-T197/Financials!U$95</f>
        <v>0.19705562970123228</v>
      </c>
      <c r="U199" s="1634">
        <f>-U197/Financials!V$95</f>
        <v>0.21357767493182486</v>
      </c>
      <c r="V199" s="178"/>
      <c r="W199" s="178"/>
      <c r="X199" s="488">
        <f>-X197/Q_Financials!B60</f>
        <v>7.6424883889138734E-2</v>
      </c>
      <c r="Y199" s="488">
        <f>-Y197/Q_Financials!C60</f>
        <v>2.7501373215745986E-2</v>
      </c>
      <c r="Z199" s="488">
        <f>-Z197/Q_Financials!D60</f>
        <v>2.6695976995552595E-2</v>
      </c>
      <c r="AA199" s="488">
        <f>-AA197/Q_Financials!E60</f>
        <v>1.8140539280433358E-2</v>
      </c>
      <c r="AB199" s="488">
        <f>-AB197/Q_Financials!F60</f>
        <v>2.4302762841956961E-2</v>
      </c>
      <c r="AC199" s="488">
        <f>-AC197/Q_Financials!G60</f>
        <v>2.3555010995491291E-2</v>
      </c>
      <c r="AD199" s="488">
        <f>-AD197/Q_Financials!H60</f>
        <v>1.543728258050355E-2</v>
      </c>
      <c r="AE199" s="488">
        <f>-AE197/Q_Financials!I60</f>
        <v>2.616093654974919E-2</v>
      </c>
      <c r="AF199" s="488">
        <f>-AF197/Q_Financials!J60</f>
        <v>1.3845351470324795E-2</v>
      </c>
      <c r="AG199" s="488">
        <f>-AG197/Q_Financials!K60</f>
        <v>2.0447703171765488E-2</v>
      </c>
      <c r="AH199" s="488">
        <f>-AH197/Q_Financials!L60</f>
        <v>2.3897320671527892E-2</v>
      </c>
      <c r="AI199" s="488">
        <f>-AI197/Q_Financials!M60</f>
        <v>2.5878816330560262E-2</v>
      </c>
      <c r="AJ199" s="488">
        <f>-AJ197/Q_Financials!N60</f>
        <v>2.2065395126110422E-2</v>
      </c>
      <c r="AK199" s="488">
        <f>-AK197/Q_Financials!O60</f>
        <v>2.6877198927285663E-2</v>
      </c>
      <c r="AL199" s="488">
        <f>-AL197/Q_Financials!P60</f>
        <v>2.9656761046676285E-2</v>
      </c>
      <c r="AM199" s="488">
        <f>-AM197/Q_Financials!Q60</f>
        <v>2.778235147772137E-2</v>
      </c>
      <c r="AN199" s="488">
        <f>-AN197/Q_Financials!R60</f>
        <v>3.2495315484090653E-2</v>
      </c>
      <c r="AO199" s="488">
        <f>-AO197/Q_Financials!S60</f>
        <v>3.2554095475467407E-2</v>
      </c>
      <c r="AP199" s="488">
        <f>-AP197/Q_Financials!T60</f>
        <v>4.341975487642686E-2</v>
      </c>
      <c r="AQ199" s="488">
        <f>-AQ197/Q_Financials!U60</f>
        <v>2.3038917612570552E-2</v>
      </c>
      <c r="AR199" s="488">
        <f>-AR197/Q_Financials!V60</f>
        <v>2.777541049248548E-2</v>
      </c>
      <c r="AS199" s="488">
        <f>-AS197/Q_Financials!W60</f>
        <v>2.8309955563182936E-2</v>
      </c>
      <c r="AT199" s="488">
        <f>-AT197/Q_Financials!X60</f>
        <v>2.8833914552027815E-2</v>
      </c>
      <c r="AU199" s="488">
        <f>-AU197/Q_Financials!Y60</f>
        <v>2.2438646656332821E-2</v>
      </c>
      <c r="AV199" s="488">
        <f>-AV197/Q_Financials!Z60</f>
        <v>2.4116011825361744E-2</v>
      </c>
      <c r="AW199" s="488">
        <f>-AW197/Q_Financials!AA60</f>
        <v>3.8563979513708213E-2</v>
      </c>
      <c r="AX199" s="488">
        <f>-AX197/Q_Financials!AB60</f>
        <v>3.3465091470596016E-2</v>
      </c>
      <c r="AY199" s="488">
        <f>-AY197/Q_Financials!AC60</f>
        <v>2.8782204799885303E-2</v>
      </c>
      <c r="AZ199" s="488">
        <f>-AZ197/Q_Financials!AD60</f>
        <v>3.9350229728855074E-2</v>
      </c>
      <c r="BA199" s="488">
        <f>-BA197/Q_Financials!AE60</f>
        <v>3.3406308625075612E-2</v>
      </c>
      <c r="BB199" s="488">
        <f>-BB197/Q_Financials!AF60</f>
        <v>2.7424151699606762E-2</v>
      </c>
      <c r="BC199" s="488">
        <f>-BC197/Q_Financials!AG60</f>
        <v>1.9411936106606249E-2</v>
      </c>
      <c r="BD199" s="488">
        <f>-BD197/Q_Financials!AH60</f>
        <v>3.2427511786001541E-2</v>
      </c>
      <c r="BE199" s="488">
        <f>-BE197/Q_Financials!AI60</f>
        <v>3.1989788689414211E-2</v>
      </c>
      <c r="BF199" s="488">
        <f>-BF197/Q_Financials!AJ60</f>
        <v>3.9449749197671351E-2</v>
      </c>
      <c r="BG199" s="488">
        <f>-BG197/Q_Financials!AK60</f>
        <v>4.0861249204968662E-2</v>
      </c>
      <c r="BH199" s="488">
        <f>-BH197/Q_Financials!AL60</f>
        <v>2.8477934026094106E-2</v>
      </c>
      <c r="BI199" s="488">
        <f>-BI197/Q_Financials!AM60</f>
        <v>4.8166798473897508E-2</v>
      </c>
      <c r="BJ199" s="488">
        <f>-BJ197/Q_Financials!AN60</f>
        <v>4.554707168045042E-2</v>
      </c>
      <c r="BK199" s="488">
        <f>-BK197/Q_Financials!AO60</f>
        <v>4.4226083604046063E-2</v>
      </c>
      <c r="BL199" s="488">
        <f>-BL197/Q_Financials!AP60</f>
        <v>3.5482990541363689E-2</v>
      </c>
      <c r="BM199" s="488">
        <f>-BM197/Q_Financials!AQ60</f>
        <v>4.0406832683961551E-2</v>
      </c>
      <c r="BN199" s="488">
        <f>-BN197/Q_Financials!AR60</f>
        <v>4.1948851035548906E-2</v>
      </c>
      <c r="BO199" s="488">
        <f>-BO197/Q_Financials!AS60</f>
        <v>4.1354136774763343E-2</v>
      </c>
      <c r="BP199" s="759">
        <f>-BP197/Q_Financials!AT60</f>
        <v>3.9299393110382677E-2</v>
      </c>
      <c r="BQ199" s="61"/>
      <c r="BR199" s="61"/>
      <c r="BS199" s="61"/>
      <c r="BT199" s="61"/>
      <c r="BU199" s="61"/>
      <c r="BV199" s="61"/>
      <c r="BW199" s="61"/>
      <c r="BX199" s="61"/>
      <c r="BY199" s="61"/>
      <c r="BZ199" s="61"/>
      <c r="CA199" s="61"/>
      <c r="CB199" s="61"/>
      <c r="CC199" s="61"/>
      <c r="CD199" s="61"/>
      <c r="CE199" s="61"/>
      <c r="CF199" s="61"/>
      <c r="CG199" s="61"/>
      <c r="CH199" s="61"/>
      <c r="CI199" s="61"/>
      <c r="CJ199" s="61"/>
      <c r="CK199" s="61"/>
      <c r="CL199" s="61"/>
      <c r="CM199" s="61"/>
      <c r="CN199" s="61"/>
      <c r="CO199" s="61"/>
      <c r="CP199" s="61"/>
      <c r="CQ199" s="61"/>
      <c r="CR199" s="61"/>
      <c r="CS199" s="61"/>
      <c r="CT199" s="61"/>
      <c r="CU199" s="61"/>
    </row>
    <row r="200" spans="1:99" s="61" customFormat="1">
      <c r="A200" s="789" t="s">
        <v>1010</v>
      </c>
      <c r="B200" s="754"/>
      <c r="C200" s="754"/>
      <c r="D200" s="754"/>
      <c r="E200" s="778"/>
      <c r="F200" s="778"/>
      <c r="G200" s="778"/>
      <c r="H200" s="778"/>
      <c r="I200" s="488"/>
      <c r="J200" s="488"/>
      <c r="K200" s="488"/>
      <c r="L200" s="488"/>
      <c r="M200" s="759"/>
      <c r="N200" s="488"/>
      <c r="O200" s="488"/>
      <c r="P200" s="488"/>
      <c r="Q200" s="488"/>
      <c r="R200" s="488"/>
      <c r="S200" s="488"/>
      <c r="T200" s="488"/>
      <c r="U200" s="488"/>
      <c r="V200" s="778"/>
      <c r="W200" s="778"/>
      <c r="X200" s="778">
        <f>X197/SUM($X197:$AA197)</f>
        <v>0.26322890121421072</v>
      </c>
      <c r="Y200" s="778">
        <f>Y197/SUM($X197:$AA197)</f>
        <v>0.23838076678730255</v>
      </c>
      <c r="Z200" s="778">
        <f>Z197/SUM($X197:$AA197)</f>
        <v>0.2473178148489196</v>
      </c>
      <c r="AA200" s="778">
        <f>AA197/SUM($X197:$AA197)</f>
        <v>0.25107251714956708</v>
      </c>
      <c r="AB200" s="778">
        <f>AB197/SUM($AB197:$AE197)</f>
        <v>0.25899777212965575</v>
      </c>
      <c r="AC200" s="778">
        <f>AC197/SUM($AB197:$AE197)</f>
        <v>0.25526896566151008</v>
      </c>
      <c r="AD200" s="778">
        <f>AD197/SUM($AB197:$AE197)</f>
        <v>0.17213174767537939</v>
      </c>
      <c r="AE200" s="778">
        <f>AE197/SUM($AB197:$AE197)</f>
        <v>0.31360151453345464</v>
      </c>
      <c r="AF200" s="778">
        <f>AF197/SUM($AF197:$AI197)</f>
        <v>0.16373342024433843</v>
      </c>
      <c r="AG200" s="778">
        <f>AG197/SUM($AF197:$AI197)</f>
        <v>0.24077805102071051</v>
      </c>
      <c r="AH200" s="778">
        <f>AH197/SUM($AF197:$AI197)</f>
        <v>0.27835718447848457</v>
      </c>
      <c r="AI200" s="778">
        <f>AI197/SUM($AF197:$AI197)</f>
        <v>0.3171313442564665</v>
      </c>
      <c r="AJ200" s="778">
        <f>AJ197/SUM($AJ197:$AM197)</f>
        <v>0.19767811245559824</v>
      </c>
      <c r="AK200" s="778">
        <f>AK197/SUM($AJ197:$AM197)</f>
        <v>0.23708016865451817</v>
      </c>
      <c r="AL200" s="778">
        <f>AL197/SUM($AJ197:$AM197)</f>
        <v>0.26007884021139577</v>
      </c>
      <c r="AM200" s="778">
        <f>AM197/SUM($AJ197:$AM197)</f>
        <v>0.3051628786784879</v>
      </c>
      <c r="AN200" s="778">
        <f>AN197/SUM($AN197:$AQ197)</f>
        <v>0.24583251350819577</v>
      </c>
      <c r="AO200" s="778">
        <f>AO197/SUM($AN197:$AQ197)</f>
        <v>0.24378622996473495</v>
      </c>
      <c r="AP200" s="778">
        <f>AP197/SUM($AN197:$AQ197)</f>
        <v>0.29370525646652845</v>
      </c>
      <c r="AQ200" s="778">
        <f>AQ197/SUM($AN197:$AQ197)</f>
        <v>0.21667600006054094</v>
      </c>
      <c r="AR200" s="778">
        <f>AR197/SUM($AR197:$AU197)</f>
        <v>0.24534236563176326</v>
      </c>
      <c r="AS200" s="778">
        <f>AS197/SUM($AR197:$AU197)</f>
        <v>0.24982438777454521</v>
      </c>
      <c r="AT200" s="778">
        <f>AT197/SUM($AR197:$AU197)</f>
        <v>0.27534859382243115</v>
      </c>
      <c r="AU200" s="778">
        <f>AU197/SUM($AR197:$AU197)</f>
        <v>0.22948465277126048</v>
      </c>
      <c r="AV200" s="778">
        <f>AV197/SUM($AV197:$AY197)</f>
        <v>0.19298818854178165</v>
      </c>
      <c r="AW200" s="778">
        <f>AW197/SUM($AV197:$AY197)</f>
        <v>0.30376862788387238</v>
      </c>
      <c r="AX200" s="778">
        <f>AX197/SUM($AV197:$AY197)</f>
        <v>0.26284137322000223</v>
      </c>
      <c r="AY200" s="778">
        <f>AY197/SUM($AV197:$AY197)</f>
        <v>0.24040181035434374</v>
      </c>
      <c r="AZ200" s="778">
        <f>AZ197/SUM($AZ197:$BC197)</f>
        <v>0.32813500340185381</v>
      </c>
      <c r="BA200" s="778">
        <f>BA197/SUM($AZ197:$BC197)</f>
        <v>0.27484747426302464</v>
      </c>
      <c r="BB200" s="778">
        <f>BB197/SUM($AZ197:$BC197)</f>
        <v>0.2276096679567686</v>
      </c>
      <c r="BC200" s="778">
        <f>BC197/SUM($AZ197:$BC197)</f>
        <v>0.16940785437835307</v>
      </c>
      <c r="BD200" s="778">
        <f>BD197/SUM($BD197:$BG197)</f>
        <v>0.21015009290034373</v>
      </c>
      <c r="BE200" s="778">
        <f>BE197/SUM($BD197:$BG197)</f>
        <v>0.21457058005538962</v>
      </c>
      <c r="BF200" s="778">
        <f>BF197/SUM($BD197:$BG197)</f>
        <v>0.27393665415196927</v>
      </c>
      <c r="BG200" s="778">
        <f>BG197/SUM($BD197:$BG197)</f>
        <v>0.30134267289229738</v>
      </c>
      <c r="BH200" s="778">
        <f t="shared" ref="BH200:BM200" si="576">BH197/SUM($BH197:$BK197)</f>
        <v>0.17145715229198588</v>
      </c>
      <c r="BI200" s="778">
        <f t="shared" si="576"/>
        <v>0.28497114378917898</v>
      </c>
      <c r="BJ200" s="778">
        <f t="shared" si="576"/>
        <v>0.26905566892938415</v>
      </c>
      <c r="BK200" s="778">
        <f t="shared" si="576"/>
        <v>0.27451603498945093</v>
      </c>
      <c r="BL200" s="778">
        <f t="shared" si="576"/>
        <v>0.21698875733840317</v>
      </c>
      <c r="BM200" s="778">
        <f t="shared" si="576"/>
        <v>0.24356382839086385</v>
      </c>
      <c r="BN200" s="778">
        <f t="shared" ref="BN200:BO200" si="577">BN197/SUM($BH197:$BK197)</f>
        <v>0.25674497520590361</v>
      </c>
      <c r="BO200" s="778">
        <f t="shared" si="577"/>
        <v>0.30225309183556448</v>
      </c>
      <c r="BP200" s="696">
        <f t="shared" ref="BP200" si="578">BP197/SUM($BH197:$BK197)</f>
        <v>0.27930076364987888</v>
      </c>
      <c r="BQ200" s="1607">
        <f t="shared" ref="BQ200:CU200" si="579">BM200</f>
        <v>0.24356382839086385</v>
      </c>
      <c r="BR200" s="1607">
        <f t="shared" si="579"/>
        <v>0.25674497520590361</v>
      </c>
      <c r="BS200" s="1607">
        <f t="shared" si="579"/>
        <v>0.30225309183556448</v>
      </c>
      <c r="BT200" s="1607">
        <f t="shared" si="579"/>
        <v>0.27930076364987888</v>
      </c>
      <c r="BU200" s="1607">
        <f t="shared" si="579"/>
        <v>0.24356382839086385</v>
      </c>
      <c r="BV200" s="1607">
        <f t="shared" si="579"/>
        <v>0.25674497520590361</v>
      </c>
      <c r="BW200" s="1607">
        <f t="shared" si="579"/>
        <v>0.30225309183556448</v>
      </c>
      <c r="BX200" s="1607">
        <f t="shared" si="579"/>
        <v>0.27930076364987888</v>
      </c>
      <c r="BY200" s="1607">
        <f t="shared" si="579"/>
        <v>0.24356382839086385</v>
      </c>
      <c r="BZ200" s="1607">
        <f t="shared" si="579"/>
        <v>0.25674497520590361</v>
      </c>
      <c r="CA200" s="1607">
        <f t="shared" si="579"/>
        <v>0.30225309183556448</v>
      </c>
      <c r="CB200" s="1607">
        <f t="shared" si="579"/>
        <v>0.27930076364987888</v>
      </c>
      <c r="CC200" s="1607">
        <f t="shared" si="579"/>
        <v>0.24356382839086385</v>
      </c>
      <c r="CD200" s="1607">
        <f t="shared" si="579"/>
        <v>0.25674497520590361</v>
      </c>
      <c r="CE200" s="1607">
        <f t="shared" si="579"/>
        <v>0.30225309183556448</v>
      </c>
      <c r="CF200" s="1607">
        <f t="shared" si="579"/>
        <v>0.27930076364987888</v>
      </c>
      <c r="CG200" s="1607">
        <f t="shared" si="579"/>
        <v>0.24356382839086385</v>
      </c>
      <c r="CH200" s="1607">
        <f t="shared" si="579"/>
        <v>0.25674497520590361</v>
      </c>
      <c r="CI200" s="1607">
        <f t="shared" si="579"/>
        <v>0.30225309183556448</v>
      </c>
      <c r="CJ200" s="1607">
        <f t="shared" si="579"/>
        <v>0.27930076364987888</v>
      </c>
      <c r="CK200" s="1607">
        <f t="shared" si="579"/>
        <v>0.24356382839086385</v>
      </c>
      <c r="CL200" s="1607">
        <f t="shared" si="579"/>
        <v>0.25674497520590361</v>
      </c>
      <c r="CM200" s="1607">
        <f t="shared" si="579"/>
        <v>0.30225309183556448</v>
      </c>
      <c r="CN200" s="1607">
        <f t="shared" si="579"/>
        <v>0.27930076364987888</v>
      </c>
      <c r="CO200" s="1607">
        <f t="shared" si="579"/>
        <v>0.24356382839086385</v>
      </c>
      <c r="CP200" s="1607">
        <f t="shared" si="579"/>
        <v>0.25674497520590361</v>
      </c>
      <c r="CQ200" s="1607">
        <f t="shared" si="579"/>
        <v>0.30225309183556448</v>
      </c>
      <c r="CR200" s="1607">
        <f t="shared" si="579"/>
        <v>0.27930076364987888</v>
      </c>
      <c r="CS200" s="1607">
        <f t="shared" si="579"/>
        <v>0.24356382839086385</v>
      </c>
      <c r="CT200" s="1607">
        <f t="shared" si="579"/>
        <v>0.25674497520590361</v>
      </c>
      <c r="CU200" s="1607">
        <f t="shared" si="579"/>
        <v>0.30225309183556448</v>
      </c>
    </row>
    <row r="201" spans="1:99" s="61" customFormat="1">
      <c r="A201" s="789"/>
      <c r="B201" s="754"/>
      <c r="C201" s="754"/>
      <c r="D201" s="754"/>
      <c r="E201" s="778"/>
      <c r="F201" s="778"/>
      <c r="G201" s="778"/>
      <c r="H201" s="778"/>
      <c r="I201" s="488"/>
      <c r="J201" s="488"/>
      <c r="K201" s="488"/>
      <c r="L201" s="488"/>
      <c r="M201" s="759"/>
      <c r="N201" s="488"/>
      <c r="O201" s="488"/>
      <c r="P201" s="488"/>
      <c r="Q201" s="488"/>
      <c r="R201" s="488"/>
      <c r="S201" s="488"/>
      <c r="T201" s="488"/>
      <c r="U201" s="488"/>
      <c r="V201" s="778"/>
      <c r="W201" s="778"/>
      <c r="X201" s="778"/>
      <c r="Y201" s="778"/>
      <c r="Z201" s="778"/>
      <c r="AA201" s="778"/>
      <c r="AB201" s="778"/>
      <c r="AC201" s="778"/>
      <c r="AD201" s="778"/>
      <c r="AE201" s="778"/>
      <c r="AF201" s="778"/>
      <c r="AG201" s="778"/>
      <c r="AH201" s="778"/>
      <c r="AI201" s="778"/>
      <c r="AJ201" s="778"/>
      <c r="AK201" s="778"/>
      <c r="AL201" s="778"/>
      <c r="AM201" s="778"/>
      <c r="AN201" s="778"/>
      <c r="AO201" s="778"/>
      <c r="AP201" s="778"/>
      <c r="AQ201" s="778"/>
      <c r="AR201" s="778"/>
      <c r="AS201" s="778"/>
      <c r="AT201" s="778"/>
      <c r="AU201" s="778"/>
      <c r="AV201" s="778"/>
      <c r="AW201" s="778"/>
      <c r="AX201" s="778"/>
      <c r="AY201" s="778"/>
      <c r="AZ201" s="778"/>
      <c r="BA201" s="778"/>
      <c r="BB201" s="778"/>
      <c r="BC201" s="778"/>
      <c r="BD201" s="778"/>
      <c r="BE201" s="778"/>
      <c r="BF201" s="778"/>
      <c r="BG201" s="778"/>
      <c r="BH201" s="778"/>
      <c r="BI201" s="778"/>
      <c r="BJ201" s="778"/>
      <c r="BK201" s="778"/>
      <c r="BL201" s="778"/>
      <c r="BM201" s="778"/>
      <c r="BN201" s="778"/>
      <c r="BO201" s="778"/>
      <c r="BP201" s="696"/>
      <c r="BQ201" s="1607"/>
      <c r="BR201" s="1607"/>
      <c r="BS201" s="1607"/>
      <c r="BT201" s="1607"/>
      <c r="BU201" s="1607"/>
      <c r="BV201" s="1607"/>
      <c r="BW201" s="1607"/>
      <c r="BX201" s="1607"/>
      <c r="BY201" s="1607"/>
      <c r="BZ201" s="1607"/>
      <c r="CA201" s="1607"/>
      <c r="CB201" s="1607"/>
      <c r="CC201" s="1607"/>
      <c r="CD201" s="1607"/>
      <c r="CE201" s="1607"/>
      <c r="CF201" s="1607"/>
      <c r="CG201" s="1607"/>
      <c r="CH201" s="1607"/>
      <c r="CI201" s="1607"/>
      <c r="CJ201" s="1607"/>
      <c r="CK201" s="1607"/>
      <c r="CL201" s="1607"/>
      <c r="CM201" s="1607"/>
      <c r="CN201" s="1607"/>
      <c r="CO201" s="1607"/>
      <c r="CP201" s="1607"/>
      <c r="CQ201" s="1607"/>
      <c r="CR201" s="1607"/>
      <c r="CS201" s="1607"/>
      <c r="CT201" s="1607"/>
      <c r="CU201" s="1607"/>
    </row>
    <row r="202" spans="1:99" s="61" customFormat="1">
      <c r="A202" s="175" t="s">
        <v>1712</v>
      </c>
      <c r="B202" s="754"/>
      <c r="C202" s="754"/>
      <c r="D202" s="754"/>
      <c r="E202" s="778"/>
      <c r="F202" s="778"/>
      <c r="G202" s="695" t="e">
        <f>+(G105+G108+G113-G183-G184-Q_BS!I84)/G15*1000</f>
        <v>#VALUE!</v>
      </c>
      <c r="H202" s="695" t="e">
        <f>+(H105+H108+H113-H183-H184-Q_BS!J84)/H15*1000</f>
        <v>#VALUE!</v>
      </c>
      <c r="I202" s="695">
        <f>+(I105+I108+I113-I183-I184-Q_BS!K84)/I15*1000</f>
        <v>735.63803680981584</v>
      </c>
      <c r="J202" s="695">
        <f>+(J105+J108+J113-J183-J184-Q_BS!L84)/J15*1000</f>
        <v>703.14185393258435</v>
      </c>
      <c r="K202" s="695">
        <f>+(K105+K108+K113-K183-K184-Q_BS!M84)/K15*1000</f>
        <v>685.57358490566037</v>
      </c>
      <c r="L202" s="695">
        <f>+(L105+L108+L113-L183-L184-Q_BS!N84)/L15*1000</f>
        <v>838.66485858194494</v>
      </c>
      <c r="M202" s="2125">
        <f>+(M105+M108+M113-M183-M184-Q_BS!O84)/M15*1000</f>
        <v>965.86823248407643</v>
      </c>
      <c r="N202" s="695">
        <f>+(N105+N108+N113-N183-N184-Q_BS!P84)/N15*1000</f>
        <v>905.73611717268011</v>
      </c>
      <c r="O202" s="695">
        <f>+(O105+O108+O113-O183-O184-Q_BS!Q84)/O15*1000</f>
        <v>902.64121191659865</v>
      </c>
      <c r="P202" s="695">
        <f>+(P105+P108+P113-P183-P184-Q_BS!R84)/P15*1000</f>
        <v>941.92530093437927</v>
      </c>
      <c r="Q202" s="695">
        <f>+(Q105+Q108+Q113-Q183-Q184-Q_BS!S84)/Q15*1000</f>
        <v>1034.6582436899594</v>
      </c>
      <c r="R202" s="695">
        <f>+(R105+R108+R113-R183-R184-Q_BS!T84)/R15*1000</f>
        <v>1083.2820933007542</v>
      </c>
      <c r="S202" s="695">
        <f>+(S105+S108+S113-S183-S184-Q_BS!U84)/S15*1000</f>
        <v>1036.4929077011539</v>
      </c>
      <c r="T202" s="695">
        <f>+(T105+T108+T113-T183-T184-Q_BS!V84)/T15*1000</f>
        <v>1006.8926501271642</v>
      </c>
      <c r="U202" s="695">
        <f>+(U105+U108+U113-U183-U184-Q_BS!W84)/U15*1000</f>
        <v>1018.3431165063546</v>
      </c>
      <c r="V202" s="778"/>
      <c r="W202" s="778"/>
      <c r="X202" s="778"/>
      <c r="Y202" s="778"/>
      <c r="Z202" s="778"/>
      <c r="AA202" s="778"/>
      <c r="AB202" s="778"/>
      <c r="AC202" s="778"/>
      <c r="AD202" s="778"/>
      <c r="AE202" s="778"/>
      <c r="AF202" s="778"/>
      <c r="AG202" s="778"/>
      <c r="AH202" s="778"/>
      <c r="AI202" s="778"/>
      <c r="AJ202" s="778"/>
      <c r="AK202" s="778"/>
      <c r="AL202" s="778"/>
      <c r="AM202" s="778"/>
      <c r="AN202" s="778"/>
      <c r="AO202" s="778"/>
      <c r="AP202" s="778"/>
      <c r="AQ202" s="778"/>
      <c r="AR202" s="778"/>
      <c r="AS202" s="778"/>
      <c r="AT202" s="778"/>
      <c r="AU202" s="778"/>
      <c r="AV202" s="778"/>
      <c r="AW202" s="778"/>
      <c r="AX202" s="778"/>
      <c r="AY202" s="778"/>
      <c r="AZ202" s="778"/>
      <c r="BA202" s="778"/>
      <c r="BB202" s="778"/>
      <c r="BC202" s="778"/>
      <c r="BD202" s="778"/>
      <c r="BE202" s="778"/>
      <c r="BF202" s="778"/>
      <c r="BG202" s="778"/>
      <c r="BH202" s="778"/>
      <c r="BI202" s="778"/>
      <c r="BJ202" s="778"/>
      <c r="BK202" s="778"/>
      <c r="BL202" s="778"/>
      <c r="BM202" s="778"/>
      <c r="BN202" s="778"/>
      <c r="BO202" s="778"/>
      <c r="BP202" s="696"/>
      <c r="BQ202" s="1775"/>
      <c r="BR202" s="1775"/>
      <c r="BS202" s="1775"/>
      <c r="BT202" s="1775"/>
      <c r="BU202" s="1775"/>
      <c r="BV202" s="1775"/>
      <c r="BW202" s="1775"/>
      <c r="BX202" s="1775"/>
      <c r="BY202" s="1775"/>
      <c r="BZ202" s="1775"/>
      <c r="CA202" s="1775"/>
      <c r="CB202" s="1775"/>
      <c r="CC202" s="1775"/>
      <c r="CD202" s="1775"/>
      <c r="CE202" s="1775"/>
      <c r="CF202" s="1775"/>
      <c r="CG202" s="1775"/>
      <c r="CH202" s="1775"/>
      <c r="CI202" s="1775"/>
      <c r="CJ202" s="1775"/>
      <c r="CK202" s="1775"/>
      <c r="CL202" s="1775"/>
      <c r="CM202" s="1775"/>
      <c r="CN202" s="1775"/>
      <c r="CO202" s="1775"/>
      <c r="CP202" s="1775"/>
      <c r="CQ202" s="1775"/>
      <c r="CR202" s="1775"/>
      <c r="CS202" s="1775"/>
      <c r="CT202" s="1775"/>
      <c r="CU202" s="1775"/>
    </row>
    <row r="203" spans="1:99" s="61" customFormat="1">
      <c r="A203" s="175" t="s">
        <v>1713</v>
      </c>
      <c r="B203" s="754"/>
      <c r="C203" s="754"/>
      <c r="D203" s="754"/>
      <c r="E203" s="778"/>
      <c r="F203" s="778"/>
      <c r="G203" s="2407" t="e">
        <f>G202*0.04536/Inputs!I155</f>
        <v>#VALUE!</v>
      </c>
      <c r="H203" s="2407" t="e">
        <f>H202*0.04536/Inputs!J155</f>
        <v>#VALUE!</v>
      </c>
      <c r="I203" s="2407">
        <f>I202*0.04536/Inputs!K155</f>
        <v>16.581053616086486</v>
      </c>
      <c r="J203" s="2407">
        <f>J202*0.04536/Inputs!L155</f>
        <v>14.265529623679495</v>
      </c>
      <c r="K203" s="2407">
        <f>K202*0.04536/Inputs!M155</f>
        <v>12.384555082166766</v>
      </c>
      <c r="L203" s="2407">
        <f>L202*0.04536/Inputs!N155</f>
        <v>10.594878410643666</v>
      </c>
      <c r="M203" s="2406">
        <f>M202*0.04536/Inputs!O155</f>
        <v>13.246893796490427</v>
      </c>
      <c r="N203" s="2407">
        <f>N202*0.04536/Inputs!P155</f>
        <v>13.136431742590815</v>
      </c>
      <c r="O203" s="2407">
        <f>O202*0.04536/Inputs!Q155</f>
        <v>12.695753603887416</v>
      </c>
      <c r="P203" s="2407">
        <f>P202*0.04536/Inputs!R155</f>
        <v>12.947191409207106</v>
      </c>
      <c r="Q203" s="2407">
        <f>Q202*0.04536/Inputs!S155</f>
        <v>14.221847858720169</v>
      </c>
      <c r="R203" s="2407">
        <f>R202*0.04536/Inputs!T155</f>
        <v>14.890204773370369</v>
      </c>
      <c r="S203" s="2407">
        <f>S202*0.04536/Inputs!U155</f>
        <v>14.247066149492223</v>
      </c>
      <c r="T203" s="2407">
        <f>T202*0.04536/Inputs!V155</f>
        <v>13.840197154475202</v>
      </c>
      <c r="U203" s="2407">
        <f>U202*0.04536/Inputs!W155</f>
        <v>13.997589019614619</v>
      </c>
      <c r="V203" s="778"/>
      <c r="W203" s="778"/>
      <c r="X203" s="778"/>
      <c r="Y203" s="778"/>
      <c r="Z203" s="778"/>
      <c r="AA203" s="778"/>
      <c r="AB203" s="778"/>
      <c r="AC203" s="778"/>
      <c r="AD203" s="778"/>
      <c r="AE203" s="778"/>
      <c r="AF203" s="778"/>
      <c r="AG203" s="778"/>
      <c r="AH203" s="778"/>
      <c r="AI203" s="778"/>
      <c r="AJ203" s="778"/>
      <c r="AK203" s="778"/>
      <c r="AL203" s="778"/>
      <c r="AM203" s="778"/>
      <c r="AN203" s="778"/>
      <c r="AO203" s="778"/>
      <c r="AP203" s="778"/>
      <c r="AQ203" s="778"/>
      <c r="AR203" s="778"/>
      <c r="AS203" s="778"/>
      <c r="AT203" s="778"/>
      <c r="AU203" s="778"/>
      <c r="AV203" s="778"/>
      <c r="AW203" s="778"/>
      <c r="AX203" s="778"/>
      <c r="AY203" s="778"/>
      <c r="AZ203" s="778"/>
      <c r="BA203" s="778"/>
      <c r="BB203" s="778"/>
      <c r="BC203" s="778"/>
      <c r="BD203" s="778"/>
      <c r="BE203" s="778"/>
      <c r="BF203" s="778"/>
      <c r="BG203" s="778"/>
      <c r="BH203" s="778"/>
      <c r="BI203" s="778"/>
      <c r="BJ203" s="778"/>
      <c r="BK203" s="778"/>
      <c r="BL203" s="778"/>
      <c r="BM203" s="778"/>
      <c r="BN203" s="778"/>
      <c r="BO203" s="778"/>
      <c r="BP203" s="696"/>
      <c r="BQ203" s="1775"/>
      <c r="BR203" s="1775"/>
      <c r="BS203" s="1775"/>
      <c r="BT203" s="1775"/>
      <c r="BU203" s="1775"/>
      <c r="BV203" s="1775"/>
      <c r="BW203" s="1775"/>
      <c r="BX203" s="1775"/>
      <c r="BY203" s="1775"/>
      <c r="BZ203" s="1775"/>
      <c r="CA203" s="1775"/>
      <c r="CB203" s="1775"/>
      <c r="CC203" s="1775"/>
      <c r="CD203" s="1775"/>
      <c r="CE203" s="1775"/>
      <c r="CF203" s="1775"/>
      <c r="CG203" s="1775"/>
      <c r="CH203" s="1775"/>
      <c r="CI203" s="1775"/>
      <c r="CJ203" s="1775"/>
      <c r="CK203" s="1775"/>
      <c r="CL203" s="1775"/>
      <c r="CM203" s="1775"/>
      <c r="CN203" s="1775"/>
      <c r="CO203" s="1775"/>
      <c r="CP203" s="1775"/>
      <c r="CQ203" s="1775"/>
      <c r="CR203" s="1775"/>
      <c r="CS203" s="1775"/>
      <c r="CT203" s="1775"/>
      <c r="CU203" s="1775"/>
    </row>
    <row r="204" spans="1:99" s="61" customFormat="1">
      <c r="A204" s="789"/>
      <c r="B204" s="754"/>
      <c r="C204" s="754"/>
      <c r="D204" s="754"/>
      <c r="E204" s="778"/>
      <c r="F204" s="778"/>
      <c r="G204" s="778"/>
      <c r="H204" s="778"/>
      <c r="I204" s="488"/>
      <c r="J204" s="488"/>
      <c r="K204" s="488"/>
      <c r="L204" s="488"/>
      <c r="M204" s="759"/>
      <c r="N204" s="488"/>
      <c r="O204" s="488"/>
      <c r="P204" s="488"/>
      <c r="Q204" s="488"/>
      <c r="R204" s="488"/>
      <c r="S204" s="488"/>
      <c r="T204" s="488"/>
      <c r="U204" s="488"/>
      <c r="V204" s="778"/>
      <c r="W204" s="778"/>
      <c r="X204" s="778"/>
      <c r="Y204" s="778"/>
      <c r="Z204" s="778"/>
      <c r="AA204" s="778"/>
      <c r="AB204" s="778"/>
      <c r="AC204" s="778"/>
      <c r="AD204" s="778"/>
      <c r="AE204" s="778"/>
      <c r="AF204" s="778"/>
      <c r="AG204" s="778"/>
      <c r="AH204" s="778"/>
      <c r="AI204" s="778"/>
      <c r="AJ204" s="778"/>
      <c r="AK204" s="778"/>
      <c r="AL204" s="778"/>
      <c r="AM204" s="778"/>
      <c r="AN204" s="778"/>
      <c r="AO204" s="778"/>
      <c r="AP204" s="778"/>
      <c r="AQ204" s="778"/>
      <c r="AR204" s="778"/>
      <c r="AS204" s="778"/>
      <c r="AT204" s="778"/>
      <c r="AU204" s="778"/>
      <c r="AV204" s="778"/>
      <c r="AW204" s="778"/>
      <c r="AX204" s="778"/>
      <c r="AY204" s="778"/>
      <c r="AZ204" s="778"/>
      <c r="BA204" s="778"/>
      <c r="BB204" s="778"/>
      <c r="BC204" s="778"/>
      <c r="BD204" s="778"/>
      <c r="BE204" s="778"/>
      <c r="BF204" s="778"/>
      <c r="BG204" s="778"/>
      <c r="BH204" s="778"/>
      <c r="BI204" s="778"/>
      <c r="BJ204" s="778"/>
      <c r="BK204" s="778"/>
      <c r="BL204" s="778"/>
      <c r="BM204" s="778"/>
      <c r="BN204" s="778"/>
      <c r="BO204" s="778"/>
      <c r="BP204" s="696"/>
      <c r="BQ204" s="1775"/>
      <c r="BR204" s="1775"/>
      <c r="BS204" s="1775"/>
      <c r="BT204" s="1775"/>
      <c r="BU204" s="1775"/>
      <c r="BV204" s="1775"/>
      <c r="BW204" s="1775"/>
      <c r="BX204" s="1775"/>
      <c r="BY204" s="1775"/>
      <c r="BZ204" s="1775"/>
      <c r="CA204" s="1775"/>
      <c r="CB204" s="1775"/>
      <c r="CC204" s="1775"/>
      <c r="CD204" s="1775"/>
      <c r="CE204" s="1775"/>
      <c r="CF204" s="1775"/>
      <c r="CG204" s="1775"/>
      <c r="CH204" s="1775"/>
      <c r="CI204" s="1775"/>
      <c r="CJ204" s="1775"/>
      <c r="CK204" s="1775"/>
      <c r="CL204" s="1775"/>
      <c r="CM204" s="1775"/>
      <c r="CN204" s="1775"/>
      <c r="CO204" s="1775"/>
      <c r="CP204" s="1775"/>
      <c r="CQ204" s="1775"/>
      <c r="CR204" s="1775"/>
      <c r="CS204" s="1775"/>
      <c r="CT204" s="1775"/>
      <c r="CU204" s="1775"/>
    </row>
    <row r="205" spans="1:99" s="1401" customFormat="1">
      <c r="A205" s="630" t="s">
        <v>1631</v>
      </c>
      <c r="B205" s="633">
        <f>B$4</f>
        <v>2006</v>
      </c>
      <c r="C205" s="633">
        <f t="shared" ref="C205:U205" si="580">C$4</f>
        <v>2007</v>
      </c>
      <c r="D205" s="633">
        <f t="shared" si="580"/>
        <v>2008</v>
      </c>
      <c r="E205" s="633">
        <f t="shared" si="580"/>
        <v>2009</v>
      </c>
      <c r="F205" s="633">
        <f t="shared" si="580"/>
        <v>2010</v>
      </c>
      <c r="G205" s="633">
        <f t="shared" si="580"/>
        <v>2011</v>
      </c>
      <c r="H205" s="633">
        <f t="shared" si="580"/>
        <v>2012</v>
      </c>
      <c r="I205" s="633">
        <f t="shared" si="580"/>
        <v>2013</v>
      </c>
      <c r="J205" s="633">
        <f t="shared" si="580"/>
        <v>2014</v>
      </c>
      <c r="K205" s="633">
        <f t="shared" si="580"/>
        <v>2015</v>
      </c>
      <c r="L205" s="633">
        <f t="shared" si="580"/>
        <v>2016</v>
      </c>
      <c r="M205" s="2079">
        <f t="shared" si="580"/>
        <v>2017</v>
      </c>
      <c r="N205" s="388">
        <f t="shared" si="580"/>
        <v>2018</v>
      </c>
      <c r="O205" s="388">
        <f t="shared" si="580"/>
        <v>2019</v>
      </c>
      <c r="P205" s="388">
        <f t="shared" si="580"/>
        <v>2020</v>
      </c>
      <c r="Q205" s="388">
        <f t="shared" si="580"/>
        <v>2021</v>
      </c>
      <c r="R205" s="388">
        <f t="shared" si="580"/>
        <v>2022</v>
      </c>
      <c r="S205" s="388">
        <f t="shared" si="580"/>
        <v>2023</v>
      </c>
      <c r="T205" s="388">
        <f t="shared" si="580"/>
        <v>2024</v>
      </c>
      <c r="U205" s="388">
        <f t="shared" si="580"/>
        <v>2025</v>
      </c>
      <c r="V205" s="219"/>
      <c r="W205" s="352"/>
      <c r="X205" s="352"/>
      <c r="Y205" s="352"/>
      <c r="Z205" s="352"/>
      <c r="AA205" s="352"/>
      <c r="AB205" s="352"/>
      <c r="AC205" s="352"/>
      <c r="AD205" s="352"/>
      <c r="AE205" s="352"/>
      <c r="AF205" s="352"/>
      <c r="AG205" s="352"/>
      <c r="AH205" s="352"/>
      <c r="AI205" s="352"/>
      <c r="AJ205" s="352"/>
      <c r="AK205" s="352"/>
      <c r="AL205" s="352"/>
      <c r="AM205" s="352"/>
      <c r="AN205" s="352"/>
      <c r="AO205" s="352"/>
      <c r="AP205" s="352"/>
      <c r="AQ205" s="756"/>
      <c r="AR205" s="756"/>
      <c r="AS205" s="756"/>
      <c r="AT205" s="756"/>
      <c r="AU205" s="756"/>
      <c r="AV205" s="756"/>
      <c r="AW205" s="756"/>
      <c r="AX205" s="756"/>
      <c r="AY205" s="756"/>
      <c r="AZ205" s="756"/>
      <c r="BA205" s="756"/>
      <c r="BB205" s="756"/>
      <c r="BC205" s="756"/>
      <c r="BD205" s="756"/>
      <c r="BE205" s="756"/>
      <c r="BF205" s="756"/>
      <c r="BG205" s="106"/>
      <c r="BH205" s="106"/>
      <c r="BI205" s="106"/>
      <c r="BJ205" s="106"/>
      <c r="BK205" s="106"/>
      <c r="BL205" s="106"/>
      <c r="BM205" s="106"/>
      <c r="BN205" s="106"/>
      <c r="BO205" s="106"/>
      <c r="BP205" s="381"/>
    </row>
    <row r="206" spans="1:99">
      <c r="A206" s="410" t="s">
        <v>917</v>
      </c>
      <c r="B206" s="746"/>
      <c r="C206" s="746"/>
      <c r="D206" s="746"/>
      <c r="E206" s="178"/>
      <c r="F206" s="178"/>
      <c r="G206" s="178"/>
      <c r="H206" s="178"/>
      <c r="I206" s="372"/>
      <c r="J206" s="372"/>
      <c r="K206" s="372"/>
      <c r="L206" s="372"/>
      <c r="M206" s="406"/>
      <c r="N206" s="372"/>
      <c r="O206" s="372"/>
      <c r="P206" s="372"/>
      <c r="Q206" s="372"/>
      <c r="R206" s="372"/>
      <c r="S206" s="372"/>
      <c r="T206" s="372"/>
      <c r="U206" s="372"/>
      <c r="V206" s="178"/>
      <c r="W206" s="178"/>
      <c r="X206" s="178"/>
      <c r="Y206" s="178"/>
      <c r="Z206" s="178"/>
      <c r="AA206" s="178"/>
      <c r="AB206" s="178"/>
      <c r="AC206" s="178"/>
      <c r="AD206" s="178"/>
      <c r="AE206" s="178"/>
      <c r="AF206" s="178"/>
      <c r="AG206" s="178"/>
      <c r="AH206" s="178"/>
      <c r="AI206" s="178"/>
      <c r="AJ206" s="178"/>
      <c r="AK206" s="178"/>
      <c r="AL206" s="178"/>
      <c r="AM206" s="178"/>
      <c r="AN206" s="178"/>
      <c r="AO206" s="178"/>
      <c r="AP206" s="178"/>
      <c r="AQ206" s="178"/>
      <c r="AR206" s="178"/>
      <c r="AS206" s="178"/>
      <c r="AT206" s="178"/>
      <c r="AU206" s="178"/>
      <c r="AV206" s="178"/>
      <c r="AW206" s="178"/>
      <c r="AX206" s="178"/>
      <c r="AY206" s="178"/>
      <c r="AZ206" s="178"/>
      <c r="BA206" s="178"/>
      <c r="BB206" s="178"/>
      <c r="BC206" s="178"/>
      <c r="BD206" s="178"/>
      <c r="BE206" s="178"/>
      <c r="BF206" s="178"/>
      <c r="BG206" s="202"/>
      <c r="BH206" s="202"/>
      <c r="BI206" s="202"/>
      <c r="BJ206" s="202"/>
      <c r="BK206" s="202"/>
      <c r="BL206" s="202"/>
      <c r="BM206" s="202"/>
      <c r="BN206" s="202"/>
      <c r="BO206" s="202"/>
      <c r="BP206" s="355"/>
      <c r="CF206" s="1401"/>
      <c r="CG206" s="1401"/>
      <c r="CH206" s="1401"/>
      <c r="CI206" s="1401"/>
      <c r="CJ206" s="1401"/>
      <c r="CK206" s="1401"/>
      <c r="CL206" s="1401"/>
      <c r="CM206" s="1401"/>
      <c r="CN206" s="1401"/>
      <c r="CO206" s="1401"/>
      <c r="CP206" s="1401"/>
      <c r="CQ206" s="1401"/>
      <c r="CR206" s="1401"/>
      <c r="CS206" s="1401"/>
      <c r="CT206" s="1401"/>
      <c r="CU206" s="1401"/>
    </row>
    <row r="207" spans="1:99">
      <c r="A207" s="747" t="s">
        <v>173</v>
      </c>
      <c r="B207" s="202">
        <f>Financials!D72</f>
        <v>38.320999999999998</v>
      </c>
      <c r="C207" s="202">
        <f>Financials!E72</f>
        <v>68.447000000000003</v>
      </c>
      <c r="D207" s="202">
        <f>Financials!F72</f>
        <v>78.676999999999992</v>
      </c>
      <c r="E207" s="202">
        <f>Financials!G72</f>
        <v>52.430999999999997</v>
      </c>
      <c r="F207" s="202">
        <f>Financials!H72</f>
        <v>104.629</v>
      </c>
      <c r="G207" s="202">
        <f>Financials!I72</f>
        <v>39.466999999999999</v>
      </c>
      <c r="H207" s="202">
        <f>Financials!J72</f>
        <v>75.692000000000007</v>
      </c>
      <c r="I207" s="202">
        <f>Financials!K72</f>
        <v>91.283000000000001</v>
      </c>
      <c r="J207" s="202">
        <f>Financials!L72</f>
        <v>43.763999999999996</v>
      </c>
      <c r="K207" s="202">
        <f>Financials!M72</f>
        <v>97.546000000000006</v>
      </c>
      <c r="L207" s="202">
        <f>Financials!N72</f>
        <v>120.22499999999999</v>
      </c>
      <c r="M207" s="355">
        <f t="array" ref="M207">SUM(($BD207:$CU207)*(RIGHT(Q_Financials!$AH$5:$BY$5,2)=RIGHT(M$4,2)))</f>
        <v>132.553</v>
      </c>
      <c r="N207" s="356">
        <f t="array" ref="N207">SUM(($BD207:$CU207)*(RIGHT(Q_Financials!$AH$5:$BY$5,2)=RIGHT(N$4,2)))</f>
        <v>126.94602702177312</v>
      </c>
      <c r="O207" s="356">
        <f t="array" ref="O207">SUM(($BD207:$CU207)*(RIGHT(Q_Financials!$AH$5:$BY$5,2)=RIGHT(O$4,2)))</f>
        <v>105.1441569759062</v>
      </c>
      <c r="P207" s="356">
        <f t="array" ref="P207">SUM(($BD207:$CU207)*(RIGHT(Q_Financials!$AH$5:$BY$5,2)=RIGHT(P$4,2)))</f>
        <v>114.70497610284015</v>
      </c>
      <c r="Q207" s="356">
        <f t="array" ref="Q207">SUM(($BD207:$CU207)*(RIGHT(Q_Financials!$AH$5:$BY$5,2)=RIGHT(Q$4,2)))</f>
        <v>123.96106887021807</v>
      </c>
      <c r="R207" s="356">
        <f t="array" ref="R207">SUM(($BD207:$CU207)*(RIGHT(Q_Financials!$AH$5:$BY$5,2)=RIGHT(R$4,2)))</f>
        <v>134.43507962148547</v>
      </c>
      <c r="S207" s="356">
        <f t="array" ref="S207">SUM(($BD207:$CU207)*(RIGHT(Q_Financials!$AH$5:$BY$5,2)=RIGHT(S$4,2)))</f>
        <v>141.919147351883</v>
      </c>
      <c r="T207" s="356">
        <f t="array" ref="T207">SUM(($BD207:$CU207)*(RIGHT(Q_Financials!$AH$5:$BY$5,2)=RIGHT(T$4,2)))</f>
        <v>122.57363114845865</v>
      </c>
      <c r="U207" s="356">
        <f t="array" ref="U207">SUM(($BD207:$CU207)*(RIGHT(Q_Financials!$AH$5:$BY$5,2)=RIGHT(U$4,2)))</f>
        <v>108.30169680110124</v>
      </c>
      <c r="V207" s="1944"/>
      <c r="W207" s="472"/>
      <c r="X207" s="202">
        <f>Q_Financials!B29</f>
        <v>24.166</v>
      </c>
      <c r="Y207" s="202">
        <f>Q_Financials!C29</f>
        <v>17.184999999999999</v>
      </c>
      <c r="Z207" s="202">
        <f>Q_Financials!D29</f>
        <v>11.119</v>
      </c>
      <c r="AA207" s="202">
        <f>Q_Financials!E29</f>
        <v>15.977</v>
      </c>
      <c r="AB207" s="202">
        <f>Q_Financials!F29</f>
        <v>25.681000000000001</v>
      </c>
      <c r="AC207" s="202">
        <f>Q_Financials!G29</f>
        <v>16.376999999999999</v>
      </c>
      <c r="AD207" s="202">
        <f>Q_Financials!H29</f>
        <v>20.34</v>
      </c>
      <c r="AE207" s="202">
        <f>Q_Financials!I29</f>
        <v>16.279</v>
      </c>
      <c r="AF207" s="202">
        <f>Q_Financials!J29</f>
        <v>4.0519999999999996</v>
      </c>
      <c r="AG207" s="202">
        <f>Q_Financials!K29</f>
        <v>17.943999999999999</v>
      </c>
      <c r="AH207" s="202">
        <f>Q_Financials!L29</f>
        <v>13.459</v>
      </c>
      <c r="AI207" s="202">
        <f>Q_Financials!M29</f>
        <v>16.975999999999999</v>
      </c>
      <c r="AJ207" s="202">
        <f>Q_Financials!N29</f>
        <v>23.597999999999999</v>
      </c>
      <c r="AK207" s="202">
        <f>Q_Financials!O29</f>
        <v>17.087</v>
      </c>
      <c r="AL207" s="202">
        <f>Q_Financials!P29</f>
        <v>12.111000000000001</v>
      </c>
      <c r="AM207" s="202">
        <f>Q_Financials!Q29</f>
        <v>51.832999999999998</v>
      </c>
      <c r="AN207" s="202">
        <f>Q_Financials!R29</f>
        <v>3.6720000000000002</v>
      </c>
      <c r="AO207" s="202">
        <f>Q_Financials!S29</f>
        <v>7.7149999999999999</v>
      </c>
      <c r="AP207" s="202">
        <f>Q_Financials!T29</f>
        <v>11.03</v>
      </c>
      <c r="AQ207" s="202">
        <f>Q_Financials!U29</f>
        <v>17.05</v>
      </c>
      <c r="AR207" s="202">
        <f>Q_Financials!V29</f>
        <v>13.35</v>
      </c>
      <c r="AS207" s="202">
        <f>Q_Financials!W29</f>
        <v>27.103000000000002</v>
      </c>
      <c r="AT207" s="202">
        <f>Q_Financials!X29</f>
        <v>18.166</v>
      </c>
      <c r="AU207" s="202">
        <f>Q_Financials!Y29</f>
        <v>17.073</v>
      </c>
      <c r="AV207" s="202">
        <f>Q_Financials!Z29</f>
        <v>25.135000000000002</v>
      </c>
      <c r="AW207" s="202">
        <f>Q_Financials!AA29</f>
        <v>29.582999999999998</v>
      </c>
      <c r="AX207" s="202">
        <f>Q_Financials!AB29</f>
        <v>28.16</v>
      </c>
      <c r="AY207" s="202">
        <f>Q_Financials!AC29</f>
        <v>8.4049999999999994</v>
      </c>
      <c r="AZ207" s="202">
        <f>Q_Financials!AD29</f>
        <v>9.5839999999999996</v>
      </c>
      <c r="BA207" s="202">
        <f>Q_Financials!AE29</f>
        <v>9.0239999999999991</v>
      </c>
      <c r="BB207" s="202">
        <f>Q_Financials!AF29</f>
        <v>10.170999999999999</v>
      </c>
      <c r="BC207" s="202">
        <f>Q_Financials!AG29</f>
        <v>14.984999999999999</v>
      </c>
      <c r="BD207" s="202">
        <f>Q_Financials!AH29</f>
        <v>16.126999999999999</v>
      </c>
      <c r="BE207" s="202">
        <f>Q_Financials!AI29</f>
        <v>26.972000000000001</v>
      </c>
      <c r="BF207" s="202">
        <f>Q_Financials!AJ29</f>
        <v>26.643000000000001</v>
      </c>
      <c r="BG207" s="202">
        <f>Q_Financials!AK29</f>
        <v>27.803999999999998</v>
      </c>
      <c r="BH207" s="202">
        <f>Q_Financials!AL29</f>
        <v>36.47</v>
      </c>
      <c r="BI207" s="202">
        <f>Q_Financials!AM29</f>
        <v>26.434000000000001</v>
      </c>
      <c r="BJ207" s="202">
        <f>Q_Financials!AN29</f>
        <v>27.085999999999999</v>
      </c>
      <c r="BK207" s="202">
        <f>Q_Financials!AO29</f>
        <v>30.234999999999999</v>
      </c>
      <c r="BL207" s="202">
        <f>Q_Financials!AP29</f>
        <v>36.89</v>
      </c>
      <c r="BM207" s="202">
        <f>Q_Financials!AQ29</f>
        <v>33.872999999999998</v>
      </c>
      <c r="BN207" s="202">
        <f>Q_Financials!AR29</f>
        <v>30.809000000000001</v>
      </c>
      <c r="BO207" s="202">
        <f>Q_Financials!AS29</f>
        <v>30.981000000000002</v>
      </c>
      <c r="BP207" s="355">
        <f>Q_Financials!AT29</f>
        <v>44.817</v>
      </c>
      <c r="BQ207" s="2088">
        <f>Q_BS!AO72</f>
        <v>29.199945343321296</v>
      </c>
      <c r="BR207" s="2088">
        <f>Q_BS!AP72</f>
        <v>24.268585841448314</v>
      </c>
      <c r="BS207" s="2089">
        <f>Q_BS!AQ72</f>
        <v>28.660495837003513</v>
      </c>
      <c r="BT207" s="2090">
        <f>Q_BS!AR72</f>
        <v>27.065465493712157</v>
      </c>
      <c r="BU207" s="2088">
        <f>Q_BS!AS72</f>
        <v>24.551803723919768</v>
      </c>
      <c r="BV207" s="2088">
        <f>Q_BS!AT72</f>
        <v>27.103996196492659</v>
      </c>
      <c r="BW207" s="2089">
        <f>Q_BS!AU72</f>
        <v>26.422891561781611</v>
      </c>
      <c r="BX207" s="2090">
        <f>Q_BS!AV72</f>
        <v>29.81007158156067</v>
      </c>
      <c r="BY207" s="2088">
        <f>Q_BS!AW72</f>
        <v>27.06525773204233</v>
      </c>
      <c r="BZ207" s="2088">
        <f>Q_BS!AX72</f>
        <v>27.070711875565195</v>
      </c>
      <c r="CA207" s="2089">
        <f>Q_BS!AY72</f>
        <v>30.758934913671951</v>
      </c>
      <c r="CB207" s="2090">
        <f>Q_BS!AZ72</f>
        <v>31.106513639642213</v>
      </c>
      <c r="CC207" s="2088">
        <f>Q_BS!BA72</f>
        <v>28.777487389112689</v>
      </c>
      <c r="CD207" s="2088">
        <f>Q_BS!BB72</f>
        <v>29.585638950166235</v>
      </c>
      <c r="CE207" s="2089">
        <f>Q_BS!BC72</f>
        <v>34.491428891296927</v>
      </c>
      <c r="CF207" s="2090">
        <f>Q_BS!BD72</f>
        <v>33.831163749544459</v>
      </c>
      <c r="CG207" s="2088">
        <f>Q_BS!BE72</f>
        <v>30.852812205929617</v>
      </c>
      <c r="CH207" s="2088">
        <f>Q_BS!BF72</f>
        <v>32.175853486534365</v>
      </c>
      <c r="CI207" s="2089">
        <f>Q_BS!BG72</f>
        <v>37.575250179477031</v>
      </c>
      <c r="CJ207" s="2090">
        <f>Q_BS!BH72</f>
        <v>37.589205315354803</v>
      </c>
      <c r="CK207" s="2088">
        <f>Q_BS!BI72</f>
        <v>32.476040495587128</v>
      </c>
      <c r="CL207" s="2088">
        <f>Q_BS!BJ72</f>
        <v>33.481792387805974</v>
      </c>
      <c r="CM207" s="2089">
        <f>Q_BS!BK72</f>
        <v>38.372109153135071</v>
      </c>
      <c r="CN207" s="2090">
        <f>Q_BS!BL72</f>
        <v>36.350900720651651</v>
      </c>
      <c r="CO207" s="2088">
        <f>Q_BS!BM72</f>
        <v>27.760746833736956</v>
      </c>
      <c r="CP207" s="2088">
        <f>Q_BS!BN72</f>
        <v>27.327665288619034</v>
      </c>
      <c r="CQ207" s="2089">
        <f>Q_BS!BO72</f>
        <v>31.134318305451</v>
      </c>
      <c r="CR207" s="2090">
        <f>Q_BS!BP72</f>
        <v>31.403072634000164</v>
      </c>
      <c r="CS207" s="2088">
        <f>Q_BS!BQ72</f>
        <v>23.343976665250842</v>
      </c>
      <c r="CT207" s="2088">
        <f>Q_BS!BR72</f>
        <v>24.72501991183308</v>
      </c>
      <c r="CU207" s="2089">
        <f>Q_BS!BS72</f>
        <v>28.829627590017154</v>
      </c>
    </row>
    <row r="208" spans="1:99" s="62" customFormat="1">
      <c r="A208" s="2091" t="s">
        <v>915</v>
      </c>
      <c r="B208" s="488">
        <f>B207/Financials!C98</f>
        <v>0.71725906376925519</v>
      </c>
      <c r="C208" s="488">
        <f>C207/Financials!D98</f>
        <v>0.66120867868390043</v>
      </c>
      <c r="D208" s="488">
        <f>D207/Financials!E98</f>
        <v>0.21439977763486334</v>
      </c>
      <c r="E208" s="488">
        <f>E207/Financials!F98</f>
        <v>0.7228472164777896</v>
      </c>
      <c r="F208" s="488">
        <f>F207/Financials!G98</f>
        <v>0.53335066497428296</v>
      </c>
      <c r="G208" s="488">
        <f>G207/Financials!H98</f>
        <v>0.20877812926501554</v>
      </c>
      <c r="H208" s="488">
        <f>H207/Financials!I98</f>
        <v>0.34061893897461515</v>
      </c>
      <c r="I208" s="488">
        <f>I207/Financials!J98</f>
        <v>0.22233399177235383</v>
      </c>
      <c r="J208" s="488">
        <f>J207/Financials!K98</f>
        <v>6.8996831102492551E-2</v>
      </c>
      <c r="K208" s="488">
        <f>K207/Financials!L98</f>
        <v>0.14543020331245593</v>
      </c>
      <c r="L208" s="488">
        <f>L207/Financials!M98</f>
        <v>0.10672275695795091</v>
      </c>
      <c r="M208" s="759">
        <f>M207/Financials!N98</f>
        <v>0.11980112830134793</v>
      </c>
      <c r="N208" s="782">
        <f>N207/Financials!O98</f>
        <v>0.10830509550835295</v>
      </c>
      <c r="O208" s="782">
        <f>O207/Financials!P98</f>
        <v>8.2326067742255885E-2</v>
      </c>
      <c r="P208" s="782">
        <f>P207/Financials!Q98</f>
        <v>7.475062892007836E-2</v>
      </c>
      <c r="Q208" s="782">
        <f>Q207/Financials!R98</f>
        <v>7.7415796161035541E-2</v>
      </c>
      <c r="R208" s="782">
        <f>R207/Financials!S98</f>
        <v>7.7195375237998895E-2</v>
      </c>
      <c r="S208" s="782">
        <f>S207/Financials!T98</f>
        <v>7.3345497732226025E-2</v>
      </c>
      <c r="T208" s="782">
        <f>T207/Financials!U98</f>
        <v>6.5505457857063493E-2</v>
      </c>
      <c r="U208" s="782">
        <f>U207/Financials!V98</f>
        <v>6.6997520200436714E-2</v>
      </c>
      <c r="V208" s="488"/>
      <c r="W208" s="488"/>
      <c r="X208" s="1043" t="str">
        <f>IF(X207/(Q_Financials!B48+Q_Financials!B49)&gt;20%,"NM",X207/(Q_Financials!B48+Q_Financials!B49))</f>
        <v>NM</v>
      </c>
      <c r="Y208" s="1043" t="str">
        <f>IF(Y207/(Q_Financials!C48+Q_Financials!C49)&gt;20%,"NM",Y207/(Q_Financials!C48+Q_Financials!C49))</f>
        <v>NM</v>
      </c>
      <c r="Z208" s="488">
        <f>Z207/(Q_Financials!D48+Q_Financials!D49)</f>
        <v>0.17375337927585829</v>
      </c>
      <c r="AA208" s="488">
        <f>AA207/(Q_Financials!E48+Q_Financials!E49)</f>
        <v>4.3538330735439987E-2</v>
      </c>
      <c r="AB208" s="488">
        <f>AB207/(Q_Financials!F48+Q_Financials!F49)</f>
        <v>0.10111864046399364</v>
      </c>
      <c r="AC208" s="488">
        <f>AC207/(Q_Financials!G48+Q_Financials!G49)</f>
        <v>8.8052174287066104E-2</v>
      </c>
      <c r="AD208" s="488">
        <f>AD207/(Q_Financials!H48+Q_Financials!H49)</f>
        <v>0.13678915370958195</v>
      </c>
      <c r="AE208" s="488">
        <f>AE207/(Q_Financials!I48+Q_Financials!I49)</f>
        <v>0.22443267984669257</v>
      </c>
      <c r="AF208" s="488">
        <f>AF207/(Q_Financials!J48+Q_Financials!J49)</f>
        <v>7.0867656575196308E-2</v>
      </c>
      <c r="AG208" s="488">
        <f>AG207/(Q_Financials!K48+Q_Financials!K49)</f>
        <v>7.8620719872061678E-2</v>
      </c>
      <c r="AH208" s="488">
        <f>AH207/(Q_Financials!L48+Q_Financials!L49)</f>
        <v>8.9382247074605847E-2</v>
      </c>
      <c r="AI208" s="488">
        <f>AI207/(Q_Financials!M48+Q_Financials!M49)</f>
        <v>8.653586375291196E-2</v>
      </c>
      <c r="AJ208" s="488">
        <f>AJ207/(Q_Financials!N48+Q_Financials!N49)</f>
        <v>0.1885276024606535</v>
      </c>
      <c r="AK208" s="488">
        <f>AK207/(Q_Financials!O48+Q_Financials!O49)</f>
        <v>0.12554370187503672</v>
      </c>
      <c r="AL208" s="488">
        <f>AL207/(Q_Financials!P48+Q_Financials!P49)</f>
        <v>8.0709868315828756E-2</v>
      </c>
      <c r="AM208" s="488">
        <f>AM207/(Q_Financials!Q48+Q_Financials!Q49)</f>
        <v>0.27419354838709681</v>
      </c>
      <c r="AN208" s="488">
        <f>AN207/(Q_Financials!R48+Q_Financials!R49)</f>
        <v>1.4775708606286918E-2</v>
      </c>
      <c r="AO208" s="488">
        <f>AO207/(Q_Financials!S48+Q_Financials!S49)</f>
        <v>3.3118979343029341E-2</v>
      </c>
      <c r="AP208" s="488">
        <f>AP207/(Q_Financials!T48+Q_Financials!T49)</f>
        <v>4.4180969738238769E-2</v>
      </c>
      <c r="AQ208" s="488">
        <f>AQ207/(Q_Financials!U48+Q_Financials!U49)</f>
        <v>7.6726112528631665E-2</v>
      </c>
      <c r="AR208" s="488">
        <f>AR207/(Q_Financials!V48+Q_Financials!V49)</f>
        <v>3.9371820393718206E-2</v>
      </c>
      <c r="AS208" s="488">
        <f>AS207/(Q_Financials!W48+Q_Financials!W49)</f>
        <v>9.8690582829011109E-2</v>
      </c>
      <c r="AT208" s="488">
        <f>AT207/(Q_Financials!X48+Q_Financials!X49)</f>
        <v>3.9142257520975998E-2</v>
      </c>
      <c r="AU208" s="488">
        <f>AU207/(Q_Financials!Y48+Q_Financials!Y49)</f>
        <v>4.1583955846427018E-2</v>
      </c>
      <c r="AV208" s="488">
        <f>AV207/(Q_Financials!Z48+Q_Financials!Z49)</f>
        <v>3.1693532930507501E-2</v>
      </c>
      <c r="AW208" s="488">
        <f>AW207/(Q_Financials!AA48+Q_Financials!AA49)</f>
        <v>4.1587941563480543E-2</v>
      </c>
      <c r="AX208" s="488">
        <f>AX207/(Q_Financials!AB48+Q_Financials!AB49)</f>
        <v>4.9058122377019335E-2</v>
      </c>
      <c r="AY208" s="488">
        <f>AY207/(Q_Financials!AC48+Q_Financials!AC49)</f>
        <v>1.3251036592095098E-2</v>
      </c>
      <c r="AZ208" s="488">
        <f>AZ207/(Q_Financials!AD48+Q_Financials!AD49)</f>
        <v>1.6614169542884978E-2</v>
      </c>
      <c r="BA208" s="488">
        <f>BA207/(Q_Financials!AE48+Q_Financials!AE49)</f>
        <v>1.5587565185698269E-2</v>
      </c>
      <c r="BB208" s="488">
        <f>BB207/(Q_Financials!AF48+Q_Financials!AF49)</f>
        <v>1.9061523122708906E-2</v>
      </c>
      <c r="BC208" s="488">
        <f>BC207/(Q_Financials!AG48+Q_Financials!AG49)</f>
        <v>2.2340963203382528E-2</v>
      </c>
      <c r="BD208" s="488">
        <f>BD207/(Q_Financials!AH48+Q_Financials!AH49)</f>
        <v>1.8465403274468918E-2</v>
      </c>
      <c r="BE208" s="488">
        <f>BE207/(Q_Financials!AI48+Q_Financials!AI49)</f>
        <v>4.1402197822439653E-2</v>
      </c>
      <c r="BF208" s="488">
        <f>BF207/(Q_Financials!AJ48+Q_Financials!AJ49)</f>
        <v>4.1134530588046399E-2</v>
      </c>
      <c r="BG208" s="488">
        <f>BG207/(Q_Financials!AK48+Q_Financials!AK49)</f>
        <v>2.4681385189926117E-2</v>
      </c>
      <c r="BH208" s="488">
        <f>BH207/(Q_Financials!AL48+Q_Financials!AL49)</f>
        <v>3.3984477284820111E-2</v>
      </c>
      <c r="BI208" s="488">
        <f>BI207/(Q_Financials!AM48+Q_Financials!AM49)</f>
        <v>2.897178336374746E-2</v>
      </c>
      <c r="BJ208" s="488">
        <f>BJ207/(Q_Financials!AN48+Q_Financials!AN49)</f>
        <v>3.5833967256490823E-2</v>
      </c>
      <c r="BK208" s="488">
        <f>BK207/(Q_Financials!AO48+Q_Financials!AO49)</f>
        <v>2.732633070689652E-2</v>
      </c>
      <c r="BL208" s="488">
        <f>BL207/(Q_Financials!AP48+Q_Financials!AP49)</f>
        <v>5.9865566183176622E-2</v>
      </c>
      <c r="BM208" s="488">
        <f>BM207/(Q_Financials!AQ48+Q_Financials!AQ49)</f>
        <v>3.7056688320354976E-2</v>
      </c>
      <c r="BN208" s="488">
        <f>BN207/(Q_Financials!AR48+Q_Financials!AR49)</f>
        <v>3.5014007193958439E-2</v>
      </c>
      <c r="BO208" s="488">
        <f>BO207/(Q_Financials!AS48+Q_Financials!AS49)</f>
        <v>2.6431706786450137E-2</v>
      </c>
      <c r="BP208" s="759">
        <f>BP207/(Q_Financials!AT48+Q_Financials!AT49)</f>
        <v>3.3425841053290266E-2</v>
      </c>
    </row>
    <row r="209" spans="1:99" s="62" customFormat="1">
      <c r="A209" s="790"/>
      <c r="B209" s="488"/>
      <c r="C209" s="488"/>
      <c r="D209" s="488"/>
      <c r="E209" s="488"/>
      <c r="F209" s="488"/>
      <c r="G209" s="488"/>
      <c r="H209" s="488"/>
      <c r="I209" s="488"/>
      <c r="J209" s="488"/>
      <c r="K209" s="488"/>
      <c r="L209" s="488"/>
      <c r="M209" s="759"/>
      <c r="N209" s="488"/>
      <c r="O209" s="488"/>
      <c r="P209" s="488"/>
      <c r="Q209" s="488"/>
      <c r="R209" s="488"/>
      <c r="S209" s="488"/>
      <c r="T209" s="488"/>
      <c r="U209" s="488"/>
      <c r="V209" s="488"/>
      <c r="W209" s="488"/>
      <c r="X209" s="488"/>
      <c r="Y209" s="488"/>
      <c r="Z209" s="488"/>
      <c r="AA209" s="488"/>
      <c r="AB209" s="488"/>
      <c r="AC209" s="488"/>
      <c r="AD209" s="488"/>
      <c r="AE209" s="488"/>
      <c r="AF209" s="488"/>
      <c r="AG209" s="488"/>
      <c r="AH209" s="488"/>
      <c r="AI209" s="488"/>
      <c r="AJ209" s="488"/>
      <c r="AK209" s="488"/>
      <c r="AL209" s="488"/>
      <c r="AM209" s="488"/>
      <c r="AN209" s="488"/>
      <c r="AO209" s="488"/>
      <c r="AP209" s="488"/>
      <c r="AQ209" s="488"/>
      <c r="AR209" s="488"/>
      <c r="AS209" s="488"/>
      <c r="AT209" s="488"/>
      <c r="AU209" s="488"/>
      <c r="AV209" s="488"/>
      <c r="AW209" s="488"/>
      <c r="AX209" s="488"/>
      <c r="AY209" s="488"/>
      <c r="AZ209" s="488"/>
      <c r="BA209" s="488"/>
      <c r="BB209" s="488"/>
      <c r="BC209" s="488"/>
      <c r="BD209" s="488"/>
      <c r="BE209" s="488"/>
      <c r="BF209" s="488"/>
      <c r="BG209" s="202"/>
      <c r="BH209" s="202"/>
      <c r="BI209" s="202"/>
      <c r="BJ209" s="202"/>
      <c r="BK209" s="202"/>
      <c r="BL209" s="202"/>
      <c r="BM209" s="202"/>
      <c r="BN209" s="202"/>
      <c r="BO209" s="202"/>
      <c r="BP209" s="355"/>
    </row>
    <row r="210" spans="1:99">
      <c r="A210" s="747" t="s">
        <v>174</v>
      </c>
      <c r="B210" s="202">
        <f>Financials!D73</f>
        <v>-71.518000000000001</v>
      </c>
      <c r="C210" s="202">
        <f>Financials!E73</f>
        <v>-91.114000000000004</v>
      </c>
      <c r="D210" s="202">
        <f>Financials!F73</f>
        <v>-88.084000000000003</v>
      </c>
      <c r="E210" s="202">
        <f>Financials!G73</f>
        <v>-154.74800000000002</v>
      </c>
      <c r="F210" s="202">
        <f>Financials!H73</f>
        <v>-180.78799999999998</v>
      </c>
      <c r="G210" s="202">
        <f>Financials!I73</f>
        <v>-101.607</v>
      </c>
      <c r="H210" s="202">
        <f>Financials!J73</f>
        <v>-118.17399999999999</v>
      </c>
      <c r="I210" s="202">
        <f>Financials!K73</f>
        <v>-176.16499999999996</v>
      </c>
      <c r="J210" s="202">
        <f>Financials!L73</f>
        <v>-158.44999999999999</v>
      </c>
      <c r="K210" s="202">
        <f>Financials!M73</f>
        <v>-266.10500000000002</v>
      </c>
      <c r="L210" s="202">
        <f>Financials!N73</f>
        <v>-311.27199999999993</v>
      </c>
      <c r="M210" s="355">
        <f t="array" ref="M210">SUM(($BD210:$CU210)*(RIGHT(Q_Financials!$AH$5:$BY$5,2)=RIGHT(M$4,2)))</f>
        <v>-343.56899999999996</v>
      </c>
      <c r="N210" s="356">
        <f t="array" ref="N210">SUM(($BD210:$CU210)*(RIGHT(Q_Financials!$AH$5:$BY$5,2)=RIGHT(N$4,2)))</f>
        <v>-309.85416835304591</v>
      </c>
      <c r="O210" s="356">
        <f t="array" ref="O210">SUM(($BD210:$CU210)*(RIGHT(Q_Financials!$AH$5:$BY$5,2)=RIGHT(O$4,2)))</f>
        <v>-257.54710230952048</v>
      </c>
      <c r="P210" s="356">
        <f t="array" ref="P210">SUM(($BD210:$CU210)*(RIGHT(Q_Financials!$AH$5:$BY$5,2)=RIGHT(P$4,2)))</f>
        <v>-241.9992606541247</v>
      </c>
      <c r="Q210" s="356">
        <f t="array" ref="Q210">SUM(($BD210:$CU210)*(RIGHT(Q_Financials!$AH$5:$BY$5,2)=RIGHT(Q$4,2)))</f>
        <v>-241.9992606541247</v>
      </c>
      <c r="R210" s="356">
        <f t="array" ref="R210">SUM(($BD210:$CU210)*(RIGHT(Q_Financials!$AH$5:$BY$5,2)=RIGHT(R$4,2)))</f>
        <v>-241.9992606541247</v>
      </c>
      <c r="S210" s="356">
        <f t="array" ref="S210">SUM(($BD210:$CU210)*(RIGHT(Q_Financials!$AH$5:$BY$5,2)=RIGHT(S$4,2)))</f>
        <v>-241.9992606541247</v>
      </c>
      <c r="T210" s="356">
        <f t="array" ref="T210">SUM(($BD210:$CU210)*(RIGHT(Q_Financials!$AH$5:$BY$5,2)=RIGHT(T$4,2)))</f>
        <v>-241.9992606541247</v>
      </c>
      <c r="U210" s="356">
        <f t="array" ref="U210">SUM(($BD210:$CU210)*(RIGHT(Q_Financials!$AH$5:$BY$5,2)=RIGHT(U$4,2)))</f>
        <v>-241.9992606541247</v>
      </c>
      <c r="V210" s="178"/>
      <c r="W210" s="488"/>
      <c r="X210" s="202">
        <f>Q_Financials!B30</f>
        <v>-29.288</v>
      </c>
      <c r="Y210" s="202">
        <f>Q_Financials!C30</f>
        <v>-21.326000000000001</v>
      </c>
      <c r="Z210" s="202">
        <f>Q_Financials!D30</f>
        <v>-20.212</v>
      </c>
      <c r="AA210" s="202">
        <f>Q_Financials!E30</f>
        <v>-20.288</v>
      </c>
      <c r="AB210" s="202">
        <f>Q_Financials!F30</f>
        <v>-21.295000000000002</v>
      </c>
      <c r="AC210" s="202">
        <f>Q_Financials!G30</f>
        <v>-20.623000000000001</v>
      </c>
      <c r="AD210" s="202">
        <f>Q_Financials!H30</f>
        <v>-21.885999999999999</v>
      </c>
      <c r="AE210" s="202">
        <f>Q_Financials!I30</f>
        <v>-24.28</v>
      </c>
      <c r="AF210" s="202">
        <f>Q_Financials!J30</f>
        <v>-16.494</v>
      </c>
      <c r="AG210" s="202">
        <f>Q_Financials!K30</f>
        <v>-49.43</v>
      </c>
      <c r="AH210" s="202">
        <f>Q_Financials!L30</f>
        <v>-56.776000000000003</v>
      </c>
      <c r="AI210" s="202">
        <f>Q_Financials!M30</f>
        <v>-32.048000000000002</v>
      </c>
      <c r="AJ210" s="202">
        <f>Q_Financials!N30</f>
        <v>-20.452999999999999</v>
      </c>
      <c r="AK210" s="202">
        <f>Q_Financials!O30</f>
        <v>-36.241999999999997</v>
      </c>
      <c r="AL210" s="202">
        <f>Q_Financials!P30</f>
        <v>-62.904000000000003</v>
      </c>
      <c r="AM210" s="202">
        <f>Q_Financials!Q30</f>
        <v>-61.189</v>
      </c>
      <c r="AN210" s="202">
        <f>Q_Financials!R30</f>
        <v>-19.841999999999999</v>
      </c>
      <c r="AO210" s="202">
        <f>Q_Financials!S30</f>
        <v>-30.963000000000001</v>
      </c>
      <c r="AP210" s="202">
        <f>Q_Financials!T30</f>
        <v>-26.02</v>
      </c>
      <c r="AQ210" s="202">
        <f>Q_Financials!U30</f>
        <v>-24.782</v>
      </c>
      <c r="AR210" s="202">
        <f>Q_Financials!V30</f>
        <v>-24.064</v>
      </c>
      <c r="AS210" s="202">
        <f>Q_Financials!W30</f>
        <v>-39.552999999999997</v>
      </c>
      <c r="AT210" s="202">
        <f>Q_Financials!X30</f>
        <v>-21.98</v>
      </c>
      <c r="AU210" s="202">
        <f>Q_Financials!Y30</f>
        <v>-32.576999999999998</v>
      </c>
      <c r="AV210" s="202">
        <f>Q_Financials!Z30</f>
        <v>-36.927</v>
      </c>
      <c r="AW210" s="202">
        <f>Q_Financials!AA30</f>
        <v>-50.607999999999997</v>
      </c>
      <c r="AX210" s="202">
        <f>Q_Financials!AB30</f>
        <v>-59.787999999999997</v>
      </c>
      <c r="AY210" s="202">
        <f>Q_Financials!AC30</f>
        <v>-28.841999999999999</v>
      </c>
      <c r="AZ210" s="202">
        <f>Q_Financials!AD30</f>
        <v>-36.819000000000003</v>
      </c>
      <c r="BA210" s="202">
        <f>Q_Financials!AE30</f>
        <v>-39.802999999999997</v>
      </c>
      <c r="BB210" s="202">
        <f>Q_Financials!AF30</f>
        <v>-39.734000000000002</v>
      </c>
      <c r="BC210" s="202">
        <f>Q_Financials!AG30</f>
        <v>-42.094000000000001</v>
      </c>
      <c r="BD210" s="202">
        <f>Q_Financials!AH30</f>
        <v>-41.64</v>
      </c>
      <c r="BE210" s="202">
        <f>Q_Financials!AI30</f>
        <v>-73.721999999999994</v>
      </c>
      <c r="BF210" s="202">
        <f>Q_Financials!AJ30</f>
        <v>-78.248000000000005</v>
      </c>
      <c r="BG210" s="202">
        <f>Q_Financials!AK30</f>
        <v>-72.495000000000005</v>
      </c>
      <c r="BH210" s="202">
        <f>Q_Financials!AL30</f>
        <v>-75.272999999999996</v>
      </c>
      <c r="BI210" s="202">
        <f>Q_Financials!AM30</f>
        <v>-72.352999999999994</v>
      </c>
      <c r="BJ210" s="202">
        <f>Q_Financials!AN30</f>
        <v>-85.32</v>
      </c>
      <c r="BK210" s="202">
        <f>Q_Financials!AO30</f>
        <v>-78.325999999999993</v>
      </c>
      <c r="BL210" s="202">
        <f>Q_Financials!AP30</f>
        <v>-76.846999999999994</v>
      </c>
      <c r="BM210" s="202">
        <f>Q_Financials!AQ30</f>
        <v>-86.971999999999994</v>
      </c>
      <c r="BN210" s="202">
        <f>Q_Financials!AR30</f>
        <v>-91.927000000000007</v>
      </c>
      <c r="BO210" s="202">
        <f>Q_Financials!AS30</f>
        <v>-87.822999999999993</v>
      </c>
      <c r="BP210" s="355">
        <f>Q_Financials!AT30</f>
        <v>-95.293999999999997</v>
      </c>
      <c r="BQ210" s="2088">
        <f>-Q_BS!AO67</f>
        <v>-73.81633795325115</v>
      </c>
      <c r="BR210" s="2088">
        <f>-Q_BS!AP67</f>
        <v>-72.465342874639674</v>
      </c>
      <c r="BS210" s="2089">
        <f>-Q_BS!AQ67</f>
        <v>-68.278487525155072</v>
      </c>
      <c r="BT210" s="2090">
        <f>-Q_BS!AR67</f>
        <v>-64.091632175670469</v>
      </c>
      <c r="BU210" s="2088">
        <f>-Q_BS!AS67</f>
        <v>-64.091632175670469</v>
      </c>
      <c r="BV210" s="2088">
        <f>-Q_BS!AT67</f>
        <v>-68.864022794648349</v>
      </c>
      <c r="BW210" s="2089">
        <f>-Q_BS!AU67</f>
        <v>-60.499815163531174</v>
      </c>
      <c r="BX210" s="2090">
        <f>-Q_BS!AV67</f>
        <v>-60.499815163531174</v>
      </c>
      <c r="BY210" s="2088">
        <f>-Q_BS!AW67</f>
        <v>-60.499815163531174</v>
      </c>
      <c r="BZ210" s="2088">
        <f>-Q_BS!AX67</f>
        <v>-60.499815163531174</v>
      </c>
      <c r="CA210" s="2089">
        <f>-Q_BS!AY67</f>
        <v>-60.499815163531174</v>
      </c>
      <c r="CB210" s="2090">
        <f>-Q_BS!AZ67</f>
        <v>-60.499815163531174</v>
      </c>
      <c r="CC210" s="2088">
        <f>-Q_BS!BA67</f>
        <v>-60.499815163531174</v>
      </c>
      <c r="CD210" s="2088">
        <f>-Q_BS!BB67</f>
        <v>-60.499815163531174</v>
      </c>
      <c r="CE210" s="2089">
        <f>-Q_BS!BC67</f>
        <v>-60.499815163531174</v>
      </c>
      <c r="CF210" s="2090">
        <f>-Q_BS!BD67</f>
        <v>-60.499815163531174</v>
      </c>
      <c r="CG210" s="2088">
        <f>-Q_BS!BE67</f>
        <v>-60.499815163531174</v>
      </c>
      <c r="CH210" s="2088">
        <f>-Q_BS!BF67</f>
        <v>-60.499815163531174</v>
      </c>
      <c r="CI210" s="2089">
        <f>-Q_BS!BG67</f>
        <v>-60.499815163531174</v>
      </c>
      <c r="CJ210" s="2090">
        <f>-Q_BS!BH67</f>
        <v>-60.499815163531174</v>
      </c>
      <c r="CK210" s="2088">
        <f>-Q_BS!BI67</f>
        <v>-60.499815163531174</v>
      </c>
      <c r="CL210" s="2088">
        <f>-Q_BS!BJ67</f>
        <v>-60.499815163531174</v>
      </c>
      <c r="CM210" s="2089">
        <f>-Q_BS!BK67</f>
        <v>-60.499815163531174</v>
      </c>
      <c r="CN210" s="2090">
        <f>-Q_BS!BL67</f>
        <v>-60.499815163531174</v>
      </c>
      <c r="CO210" s="2088">
        <f>-Q_BS!BM67</f>
        <v>-60.499815163531174</v>
      </c>
      <c r="CP210" s="2088">
        <f>-Q_BS!BN67</f>
        <v>-60.499815163531174</v>
      </c>
      <c r="CQ210" s="2089">
        <f>-Q_BS!BO67</f>
        <v>-60.499815163531174</v>
      </c>
      <c r="CR210" s="2090">
        <f>-Q_BS!BP67</f>
        <v>-60.499815163531174</v>
      </c>
      <c r="CS210" s="2088">
        <f>-Q_BS!BQ67</f>
        <v>-60.499815163531174</v>
      </c>
      <c r="CT210" s="2088">
        <f>-Q_BS!BR67</f>
        <v>-60.499815163531174</v>
      </c>
      <c r="CU210" s="2089">
        <f>-Q_BS!BS67</f>
        <v>-60.499815163531174</v>
      </c>
    </row>
    <row r="211" spans="1:99">
      <c r="A211" s="2091" t="s">
        <v>916</v>
      </c>
      <c r="B211" s="488">
        <f>-B210/(Financials!D105)</f>
        <v>0.29637150245325555</v>
      </c>
      <c r="C211" s="488">
        <f>-C210/(Financials!E105)</f>
        <v>0.28225883898228954</v>
      </c>
      <c r="D211" s="488">
        <f>-D210/(Financials!F105)</f>
        <v>0.14895559944803702</v>
      </c>
      <c r="E211" s="488">
        <f>-E210/(Financials!G105)</f>
        <v>0.13599796110276222</v>
      </c>
      <c r="F211" s="488">
        <f>-F210/(Financials!H105)</f>
        <v>0.18927925673645404</v>
      </c>
      <c r="G211" s="488">
        <f>-G210/(Financials!I105)</f>
        <v>0.13775333818690594</v>
      </c>
      <c r="H211" s="488">
        <f>-H210/(Financials!J105)</f>
        <v>9.4794158368347509E-2</v>
      </c>
      <c r="I211" s="488">
        <f>-I210/(Financials!K105)</f>
        <v>8.8885760618711285E-2</v>
      </c>
      <c r="J211" s="488">
        <f>-J210/(Financials!L105)</f>
        <v>7.1722081348094477E-2</v>
      </c>
      <c r="K211" s="488">
        <f>-K210/(Financials!M105)</f>
        <v>7.363984014837277E-2</v>
      </c>
      <c r="L211" s="488">
        <f>-L210/(Financials!N105)</f>
        <v>8.1368089756056736E-2</v>
      </c>
      <c r="M211" s="759">
        <f>-M210/(Financials!O105)</f>
        <v>9.2376056095286041E-2</v>
      </c>
      <c r="N211" s="782">
        <f>-N210/(Financials!P105)</f>
        <v>8.7833747693575465E-2</v>
      </c>
      <c r="O211" s="782">
        <f>-O210/(Financials!Q105)</f>
        <v>7.3006367233024561E-2</v>
      </c>
      <c r="P211" s="782">
        <f>-P210/(Financials!R105)</f>
        <v>6.8599051338588346E-2</v>
      </c>
      <c r="Q211" s="782">
        <f>-Q210/(Financials!S105)</f>
        <v>6.8599051338588346E-2</v>
      </c>
      <c r="R211" s="782">
        <f>-R210/(Financials!T105)</f>
        <v>6.8599051338588346E-2</v>
      </c>
      <c r="S211" s="782">
        <f>-S210/(Financials!U105)</f>
        <v>6.8599051338588346E-2</v>
      </c>
      <c r="T211" s="782">
        <f>-T210/(Financials!V105)</f>
        <v>6.8599051338588346E-2</v>
      </c>
      <c r="U211" s="782">
        <f>-U210/(Financials!W105)</f>
        <v>6.8599051338588346E-2</v>
      </c>
      <c r="V211" s="178"/>
      <c r="W211" s="178"/>
      <c r="X211" s="1043" t="str">
        <f>IF(-X210*4/(Q_Financials!B68+Q_Financials!B77)&gt;20%,"NM",-X210*4/(Q_Financials!B68+Q_Financials!B77))</f>
        <v>NM</v>
      </c>
      <c r="Y211" s="1043" t="str">
        <f>IF(-Y210*4/(Q_Financials!C68+Q_Financials!C77)&gt;20%,"NM",-Y210*4/(Q_Financials!C68+Q_Financials!C77))</f>
        <v>NM</v>
      </c>
      <c r="Z211" s="1043" t="str">
        <f>IF(-Z210*4/(Q_Financials!D68+Q_Financials!D77)&gt;20%,"NM",-Z210*4/(Q_Financials!D68+Q_Financials!D77))</f>
        <v>NM</v>
      </c>
      <c r="AA211" s="1043" t="str">
        <f>IF(-AA210*4/(Q_Financials!E68+Q_Financials!E77)&gt;20%,"NM",-AA210*4/(Q_Financials!E68+Q_Financials!E77))</f>
        <v>NM</v>
      </c>
      <c r="AB211" s="1043" t="str">
        <f>IF(-AB210*4/(Q_Financials!F68+Q_Financials!F77)&gt;20%,"NM",-AB210*4/(Q_Financials!F68+Q_Financials!F77))</f>
        <v>NM</v>
      </c>
      <c r="AC211" s="1043">
        <f>IF(-AC210*4/(Q_Financials!G68+Q_Financials!G77)&gt;20%,"NM",-AC210*4/(Q_Financials!G68+Q_Financials!G77))</f>
        <v>0.17314756121622246</v>
      </c>
      <c r="AD211" s="1043">
        <f>IF(-AD210*4/(Q_Financials!H68+Q_Financials!H77)&gt;20%,"NM",-AD210*4/(Q_Financials!H68+Q_Financials!H77))</f>
        <v>0.15358650381229408</v>
      </c>
      <c r="AE211" s="1043">
        <f>IF(-AE210*4/(Q_Financials!I68+Q_Financials!I77)&gt;20%,"NM",-AE210*4/(Q_Financials!I68+Q_Financials!I77))</f>
        <v>0.16423604534754727</v>
      </c>
      <c r="AF211" s="1043">
        <f>IF(-AF210*4/(Q_Financials!J68+Q_Financials!J77)&gt;20%,"NM",-AF210*4/(Q_Financials!J68+Q_Financials!J77))</f>
        <v>8.8247922409884147E-2</v>
      </c>
      <c r="AG211" s="1043">
        <f>IF(-AG210*4/(Q_Financials!K68+Q_Financials!K77)&gt;20%,"NM",-AG210*4/(Q_Financials!K68+Q_Financials!K77))</f>
        <v>0.18263422997022907</v>
      </c>
      <c r="AH211" s="1043">
        <f>IF(-AH210*4/(Q_Financials!L68+Q_Financials!L77)&gt;20%,"NM",-AH210*4/(Q_Financials!L68+Q_Financials!L77))</f>
        <v>0.19569209240364424</v>
      </c>
      <c r="AI211" s="1043">
        <f>IF(-AI210*4/(Q_Financials!M68+Q_Financials!M77)&gt;20%,"NM",-AI210*4/(Q_Financials!M68+Q_Financials!M77))</f>
        <v>0.11265961840983593</v>
      </c>
      <c r="AJ211" s="1043">
        <f>IF(-AJ210*4/(Q_Financials!N68+Q_Financials!N77)&gt;20%,"NM",-AJ210*4/(Q_Financials!N68+Q_Financials!N77))</f>
        <v>7.8071813624682324E-2</v>
      </c>
      <c r="AK211" s="1043">
        <f>IF(-AK210*4/(Q_Financials!O68+Q_Financials!O77)&gt;20%,"NM",-AK210*4/(Q_Financials!O68+Q_Financials!O77))</f>
        <v>0.13167453406445484</v>
      </c>
      <c r="AL211" s="1043" t="str">
        <f>IF(-AL210*4/(Q_Financials!P68+Q_Financials!P77)&gt;20%,"NM",-AL210*4/(Q_Financials!P68+Q_Financials!P77))</f>
        <v>NM</v>
      </c>
      <c r="AM211" s="1043" t="str">
        <f>IF(-AM210*4/(Q_Financials!Q68+Q_Financials!Q77)&gt;20%,"NM",-AM210*4/(Q_Financials!Q68+Q_Financials!Q77))</f>
        <v>NM</v>
      </c>
      <c r="AN211" s="1043">
        <f>IF(-AN210*4/(Q_Financials!R68+Q_Financials!R77)&gt;20%,"NM",-AN210*4/(Q_Financials!R68+Q_Financials!R77))</f>
        <v>7.5222987708309041E-2</v>
      </c>
      <c r="AO211" s="1043">
        <f>IF(-AO210*4/(Q_Financials!S68+Q_Financials!S77)&gt;20%,"NM",-AO210*4/(Q_Financials!S68+Q_Financials!S77))</f>
        <v>0.10678415464268624</v>
      </c>
      <c r="AP211" s="1043">
        <f>IF(-AP210*4/(Q_Financials!T68+Q_Financials!T77)&gt;20%,"NM",-AP210*4/(Q_Financials!T68+Q_Financials!T77))</f>
        <v>0.11828509344158708</v>
      </c>
      <c r="AQ211" s="1043">
        <f>IF(-AQ210*4/(Q_Financials!U68+Q_Financials!U77)&gt;20%,"NM",-AQ210*4/(Q_Financials!U68+Q_Financials!U77))</f>
        <v>0.13439244252651503</v>
      </c>
      <c r="AR211" s="1043">
        <f>IF(-AR210*4/(Q_Financials!V68+Q_Financials!V77)&gt;20%,"NM",-AR210*4/(Q_Financials!V68+Q_Financials!V77))</f>
        <v>0.11519731921132154</v>
      </c>
      <c r="AS211" s="1043">
        <f>IF(-AS210*4/(Q_Financials!W68+Q_Financials!W77)&gt;20%,"NM",-AS210*4/(Q_Financials!W68+Q_Financials!W77))</f>
        <v>0.16815554164403682</v>
      </c>
      <c r="AT211" s="1043">
        <f>IF(-AT210*4/(Q_Financials!X68+Q_Financials!X77)&gt;20%,"NM",-AT210*4/(Q_Financials!X68+Q_Financials!X77))</f>
        <v>6.7671945006538586E-2</v>
      </c>
      <c r="AU211" s="1043">
        <f>IF(-AU210*4/(Q_Financials!Y68+Q_Financials!Y77)&gt;20%,"NM",-AU210*4/(Q_Financials!Y68+Q_Financials!Y77))</f>
        <v>0.10452753726422587</v>
      </c>
      <c r="AV211" s="1043">
        <f>IF(-AV210*4/(Q_Financials!Z68+Q_Financials!Z77)&gt;20%,"NM",-AV210*4/(Q_Financials!Z68+Q_Financials!Z77))</f>
        <v>7.9340899226938127E-2</v>
      </c>
      <c r="AW211" s="1043">
        <f>IF(-AW210*4/(Q_Financials!AA68+Q_Financials!AA77)&gt;20%,"NM",-AW210*4/(Q_Financials!AA68+Q_Financials!AA77))</f>
        <v>0.10930429955874824</v>
      </c>
      <c r="AX211" s="1043">
        <f>IF(-AX210*4/(Q_Financials!AB68+Q_Financials!AB77)&gt;20%,"NM",-AX210*4/(Q_Financials!AB68+Q_Financials!AB77))</f>
        <v>0.12643764453105585</v>
      </c>
      <c r="AY211" s="1043">
        <f>IF(-AY210*4/(Q_Financials!AC68+Q_Financials!AC77)&gt;20%,"NM",-AY210*4/(Q_Financials!AC68+Q_Financials!AC77))</f>
        <v>5.821004416915667E-2</v>
      </c>
      <c r="AZ211" s="1043">
        <f>IF(-AZ210*4/(Q_Financials!AD68+Q_Financials!AD77)&gt;20%,"NM",-AZ210*4/(Q_Financials!AD68+Q_Financials!AD77))</f>
        <v>7.4047892106756955E-2</v>
      </c>
      <c r="BA211" s="1043">
        <f>IF(-BA210*4/(Q_Financials!AE68+Q_Financials!AE77)&gt;20%,"NM",-BA210*4/(Q_Financials!AE68+Q_Financials!AE77))</f>
        <v>7.9569318544151141E-2</v>
      </c>
      <c r="BB211" s="1043">
        <f>IF(-BB210*4/(Q_Financials!AF68+Q_Financials!AF77)&gt;20%,"NM",-BB210*4/(Q_Financials!AF68+Q_Financials!AF77))</f>
        <v>7.5095206146111912E-2</v>
      </c>
      <c r="BC211" s="1043">
        <f>IF(-BC210*4/(Q_Financials!AG68+Q_Financials!AG77)&gt;20%,"NM",-BC210*4/(Q_Financials!AG68+Q_Financials!AG77))</f>
        <v>7.6215065756180228E-2</v>
      </c>
      <c r="BD211" s="1043">
        <f>IF(-BD210*4/(Q_Financials!AH68+Q_Financials!AH77)&gt;20%,"NM",-BD210*4/(Q_Financials!AH68+Q_Financials!AH77))</f>
        <v>6.8215578593512405E-2</v>
      </c>
      <c r="BE211" s="1043">
        <f>IF(-BE210*4/(Q_Financials!AI68+Q_Financials!AI77)&gt;20%,"NM",-BE210*4/(Q_Financials!AI68+Q_Financials!AI77))</f>
        <v>9.996227109691444E-2</v>
      </c>
      <c r="BF211" s="1043">
        <f>IF(-BF210*4/(Q_Financials!AJ68+Q_Financials!AJ77)&gt;20%,"NM",-BF210*4/(Q_Financials!AJ68+Q_Financials!AJ77))</f>
        <v>9.6582645845837201E-2</v>
      </c>
      <c r="BG211" s="1043">
        <f>IF(-BG210*4/(Q_Financials!AK68+Q_Financials!AK77)&gt;20%,"NM",-BG210*4/(Q_Financials!AK68+Q_Financials!AK77))</f>
        <v>8.0246823044381493E-2</v>
      </c>
      <c r="BH211" s="1043">
        <f>IF(-BH210*4/(Q_Financials!AL68+Q_Financials!AL77)&gt;20%,"NM",-BH210*4/(Q_Financials!AL68+Q_Financials!AL77))</f>
        <v>8.2195999124238556E-2</v>
      </c>
      <c r="BI211" s="1043">
        <f>IF(-BI210*4/(Q_Financials!AM68+Q_Financials!AM77)&gt;20%,"NM",-BI210*4/(Q_Financials!AM68+Q_Financials!AM77))</f>
        <v>7.1171902281636237E-2</v>
      </c>
      <c r="BJ211" s="1043">
        <f>IF(-BJ210*4/(Q_Financials!AN68+Q_Financials!AN77)&gt;20%,"NM",-BJ210*4/(Q_Financials!AN68+Q_Financials!AN77))</f>
        <v>8.6451257935717826E-2</v>
      </c>
      <c r="BK211" s="1043">
        <f>IF(-BK210*4/(Q_Financials!AO68+Q_Financials!AO77)&gt;20%,"NM",-BK210*4/(Q_Financials!AO68+Q_Financials!AO77))</f>
        <v>8.1899264928845528E-2</v>
      </c>
      <c r="BL211" s="1043">
        <f>IF(-BL210*4/(Q_Financials!AP68+Q_Financials!AP77)&gt;20%,"NM",-BL210*4/(Q_Financials!AP68+Q_Financials!AP77))</f>
        <v>9.307322278160518E-2</v>
      </c>
      <c r="BM211" s="1043">
        <f>IF(-BM210*4/(Q_Financials!AQ68+Q_Financials!AQ77)&gt;20%,"NM",-BM210*4/(Q_Financials!AQ68+Q_Financials!AQ77))</f>
        <v>9.4108048639227504E-2</v>
      </c>
      <c r="BN211" s="1043">
        <f>IF(-BN210*4/(Q_Financials!AR68+Q_Financials!AR77)&gt;20%,"NM",-BN210*4/(Q_Financials!AR68+Q_Financials!AR77))</f>
        <v>9.8725674463990595E-2</v>
      </c>
      <c r="BO211" s="1043">
        <f>IF(-BO210*4/(Q_Financials!AS68+Q_Financials!AS77)&gt;20%,"NM",-BO210*4/(Q_Financials!AS68+Q_Financials!AS77))</f>
        <v>9.4452553920246665E-2</v>
      </c>
      <c r="BP211" s="1085">
        <f>IF(-BP210*4/(Q_Financials!AT68+Q_Financials!AT77)&gt;20%,"NM",-BP210*4/(Q_Financials!AT68+Q_Financials!AT77))</f>
        <v>9.5565381792946519E-2</v>
      </c>
      <c r="BQ211" s="1610">
        <f>IF(-BQ210*4/(Q_Financials!AU68+Q_Financials!AU77)&gt;20%,"NM",-BQ210*4/(Q_Financials!AU68+Q_Financials!AU77))</f>
        <v>7.4026554862421712E-2</v>
      </c>
      <c r="BR211" s="1610">
        <f>IF(-BR210*4/(Q_Financials!AV68+Q_Financials!AV77)&gt;20%,"NM",-BR210*4/(Q_Financials!AV68+Q_Financials!AV77))</f>
        <v>7.2671712369841934E-2</v>
      </c>
      <c r="BS211" s="1610">
        <f>IF(-BS210*4/(Q_Financials!AW68+Q_Financials!AW77)&gt;20%,"NM",-BS210*4/(Q_Financials!AW68+Q_Financials!AW77))</f>
        <v>7.7419070759122896E-2</v>
      </c>
      <c r="BT211" s="1610">
        <f>IF(-BT210*4/(Q_Financials!AX68+Q_Financials!AX77)&gt;20%,"NM",-BT210*4/(Q_Financials!AX68+Q_Financials!AX77))</f>
        <v>7.2671712369841934E-2</v>
      </c>
      <c r="BU211" s="1610">
        <f>IF(-BU210*4/(Q_Financials!AY68+Q_Financials!AY77)&gt;20%,"NM",-BU210*4/(Q_Financials!AY68+Q_Financials!AY77))</f>
        <v>7.2671712369841934E-2</v>
      </c>
      <c r="BV211" s="1610">
        <f>IF(-BV210*4/(Q_Financials!AZ68+Q_Financials!AZ77)&gt;20%,"NM",-BV210*4/(Q_Financials!AZ68+Q_Financials!AZ77))</f>
        <v>7.8082992853826028E-2</v>
      </c>
      <c r="BW211" s="1610">
        <f>IF(-BW210*4/(Q_Financials!BA68+Q_Financials!BA77)&gt;20%,"NM",-BW210*4/(Q_Financials!BA68+Q_Financials!BA77))</f>
        <v>6.8599051338588346E-2</v>
      </c>
      <c r="BX211" s="1610">
        <f>IF(-BX210*4/(Q_Financials!BB68+Q_Financials!BB77)&gt;20%,"NM",-BX210*4/(Q_Financials!BB68+Q_Financials!BB77))</f>
        <v>6.8599051338588346E-2</v>
      </c>
      <c r="BY211" s="1610">
        <f>IF(-BY210*4/(Q_Financials!BC68+Q_Financials!BC77)&gt;20%,"NM",-BY210*4/(Q_Financials!BC68+Q_Financials!BC77))</f>
        <v>6.8599051338588346E-2</v>
      </c>
      <c r="BZ211" s="1610">
        <f>IF(-BZ210*4/(Q_Financials!BD68+Q_Financials!BD77)&gt;20%,"NM",-BZ210*4/(Q_Financials!BD68+Q_Financials!BD77))</f>
        <v>6.8599051338588346E-2</v>
      </c>
      <c r="CA211" s="1610">
        <f>IF(-CA210*4/(Q_Financials!BE68+Q_Financials!BE77)&gt;20%,"NM",-CA210*4/(Q_Financials!BE68+Q_Financials!BE77))</f>
        <v>6.8599051338588346E-2</v>
      </c>
      <c r="CB211" s="1610">
        <f>IF(-CB210*4/(Q_Financials!BF68+Q_Financials!BF77)&gt;20%,"NM",-CB210*4/(Q_Financials!BF68+Q_Financials!BF77))</f>
        <v>6.8599051338588346E-2</v>
      </c>
      <c r="CC211" s="1610">
        <f>IF(-CC210*4/(Q_Financials!BG68+Q_Financials!BG77)&gt;20%,"NM",-CC210*4/(Q_Financials!BG68+Q_Financials!BG77))</f>
        <v>6.8599051338588346E-2</v>
      </c>
      <c r="CD211" s="1610">
        <f>IF(-CD210*4/(Q_Financials!BH68+Q_Financials!BH77)&gt;20%,"NM",-CD210*4/(Q_Financials!BH68+Q_Financials!BH77))</f>
        <v>6.8599051338588346E-2</v>
      </c>
      <c r="CE211" s="1610">
        <f>IF(-CE210*4/(Q_Financials!BI68+Q_Financials!BI77)&gt;20%,"NM",-CE210*4/(Q_Financials!BI68+Q_Financials!BI77))</f>
        <v>6.8599051338588346E-2</v>
      </c>
      <c r="CF211" s="1610">
        <f>IF(-CF210*4/(Q_Financials!BJ68+Q_Financials!BJ77)&gt;20%,"NM",-CF210*4/(Q_Financials!BJ68+Q_Financials!BJ77))</f>
        <v>6.8599051338588346E-2</v>
      </c>
      <c r="CG211" s="1610">
        <f>IF(-CG210*4/(Q_Financials!BK68+Q_Financials!BK77)&gt;20%,"NM",-CG210*4/(Q_Financials!BK68+Q_Financials!BK77))</f>
        <v>6.8599051338588346E-2</v>
      </c>
      <c r="CH211" s="1610">
        <f>IF(-CH210*4/(Q_Financials!BL68+Q_Financials!BL77)&gt;20%,"NM",-CH210*4/(Q_Financials!BL68+Q_Financials!BL77))</f>
        <v>6.8599051338588346E-2</v>
      </c>
      <c r="CI211" s="1610">
        <f>IF(-CI210*4/(Q_Financials!BM68+Q_Financials!BM77)&gt;20%,"NM",-CI210*4/(Q_Financials!BM68+Q_Financials!BM77))</f>
        <v>6.8599051338588346E-2</v>
      </c>
      <c r="CJ211" s="1610">
        <f>IF(-CJ210*4/(Q_Financials!BN68+Q_Financials!BN77)&gt;20%,"NM",-CJ210*4/(Q_Financials!BN68+Q_Financials!BN77))</f>
        <v>6.8599051338588346E-2</v>
      </c>
      <c r="CK211" s="1610">
        <f>IF(-CK210*4/(Q_Financials!BO68+Q_Financials!BO77)&gt;20%,"NM",-CK210*4/(Q_Financials!BO68+Q_Financials!BO77))</f>
        <v>6.8599051338588346E-2</v>
      </c>
      <c r="CL211" s="1610">
        <f>IF(-CL210*4/(Q_Financials!BP68+Q_Financials!BP77)&gt;20%,"NM",-CL210*4/(Q_Financials!BP68+Q_Financials!BP77))</f>
        <v>6.8599051338588346E-2</v>
      </c>
      <c r="CM211" s="1610">
        <f>IF(-CM210*4/(Q_Financials!BQ68+Q_Financials!BQ77)&gt;20%,"NM",-CM210*4/(Q_Financials!BQ68+Q_Financials!BQ77))</f>
        <v>6.8599051338588346E-2</v>
      </c>
      <c r="CN211" s="1610">
        <f>IF(-CN210*4/(Q_Financials!BR68+Q_Financials!BR77)&gt;20%,"NM",-CN210*4/(Q_Financials!BR68+Q_Financials!BR77))</f>
        <v>6.8599051338588346E-2</v>
      </c>
      <c r="CO211" s="1610">
        <f>IF(-CO210*4/(Q_Financials!BS68+Q_Financials!BS77)&gt;20%,"NM",-CO210*4/(Q_Financials!BS68+Q_Financials!BS77))</f>
        <v>6.8599051338588346E-2</v>
      </c>
      <c r="CP211" s="1610">
        <f>IF(-CP210*4/(Q_Financials!BT68+Q_Financials!BT77)&gt;20%,"NM",-CP210*4/(Q_Financials!BT68+Q_Financials!BT77))</f>
        <v>6.8599051338588346E-2</v>
      </c>
      <c r="CQ211" s="1610">
        <f>IF(-CQ210*4/(Q_Financials!BU68+Q_Financials!BU77)&gt;20%,"NM",-CQ210*4/(Q_Financials!BU68+Q_Financials!BU77))</f>
        <v>6.8599051338588346E-2</v>
      </c>
      <c r="CR211" s="1610">
        <f>IF(-CR210*4/(Q_Financials!BV68+Q_Financials!BV77)&gt;20%,"NM",-CR210*4/(Q_Financials!BV68+Q_Financials!BV77))</f>
        <v>6.8599051338588346E-2</v>
      </c>
      <c r="CS211" s="1610">
        <f>IF(-CS210*4/(Q_Financials!BW68+Q_Financials!BW77)&gt;20%,"NM",-CS210*4/(Q_Financials!BW68+Q_Financials!BW77))</f>
        <v>6.8599051338588346E-2</v>
      </c>
      <c r="CT211" s="1610">
        <f>IF(-CT210*4/(Q_Financials!BX68+Q_Financials!BX77)&gt;20%,"NM",-CT210*4/(Q_Financials!BX68+Q_Financials!BX77))</f>
        <v>6.8599051338588346E-2</v>
      </c>
      <c r="CU211" s="1610">
        <f>IF(-CU210*4/(Q_Financials!BY68+Q_Financials!BY77)&gt;20%,"NM",-CU210*4/(Q_Financials!BY68+Q_Financials!BY77))</f>
        <v>6.8599051338588346E-2</v>
      </c>
    </row>
    <row r="212" spans="1:99" s="1401" customFormat="1">
      <c r="A212" s="789"/>
      <c r="B212" s="372"/>
      <c r="C212" s="372"/>
      <c r="D212" s="372"/>
      <c r="E212" s="372"/>
      <c r="F212" s="372"/>
      <c r="G212" s="372"/>
      <c r="H212" s="372"/>
      <c r="I212" s="372"/>
      <c r="J212" s="372"/>
      <c r="K212" s="372"/>
      <c r="L212" s="372"/>
      <c r="M212" s="406"/>
      <c r="N212" s="372"/>
      <c r="O212" s="372"/>
      <c r="P212" s="372"/>
      <c r="Q212" s="372"/>
      <c r="R212" s="372"/>
      <c r="S212" s="372"/>
      <c r="T212" s="372"/>
      <c r="U212" s="372"/>
      <c r="V212" s="178"/>
      <c r="W212" s="178"/>
      <c r="X212" s="178"/>
      <c r="Y212" s="178"/>
      <c r="Z212" s="178"/>
      <c r="AA212" s="178"/>
      <c r="AB212" s="178"/>
      <c r="AC212" s="178"/>
      <c r="AD212" s="178"/>
      <c r="AE212" s="178"/>
      <c r="AF212" s="178"/>
      <c r="AG212" s="178"/>
      <c r="AH212" s="178"/>
      <c r="AI212" s="178"/>
      <c r="AJ212" s="178"/>
      <c r="AK212" s="178"/>
      <c r="AL212" s="178"/>
      <c r="AM212" s="178"/>
      <c r="AN212" s="178"/>
      <c r="AO212" s="178"/>
      <c r="AP212" s="178"/>
      <c r="AQ212" s="178"/>
      <c r="AR212" s="178"/>
      <c r="AS212" s="178"/>
      <c r="AT212" s="178"/>
      <c r="AU212" s="178"/>
      <c r="AV212" s="178"/>
      <c r="AW212" s="178"/>
      <c r="AX212" s="178"/>
      <c r="AY212" s="178"/>
      <c r="AZ212" s="178"/>
      <c r="BA212" s="178"/>
      <c r="BB212" s="178"/>
      <c r="BC212" s="178"/>
      <c r="BD212" s="178"/>
      <c r="BE212" s="178"/>
      <c r="BF212" s="178"/>
      <c r="BG212" s="178"/>
      <c r="BH212" s="178"/>
      <c r="BI212" s="178"/>
      <c r="BJ212" s="178"/>
      <c r="BK212" s="178"/>
      <c r="BL212" s="178"/>
      <c r="BM212" s="178"/>
      <c r="BN212" s="178"/>
      <c r="BO212" s="178"/>
      <c r="BP212" s="426"/>
      <c r="BQ212" s="622"/>
      <c r="BR212" s="622"/>
      <c r="BS212" s="622"/>
      <c r="BT212" s="622"/>
      <c r="BU212" s="622"/>
      <c r="BV212" s="622"/>
      <c r="BW212" s="622"/>
      <c r="BX212" s="622"/>
      <c r="BY212" s="622"/>
      <c r="BZ212" s="622"/>
      <c r="CA212" s="622"/>
      <c r="CB212" s="622"/>
      <c r="CC212" s="622"/>
      <c r="CD212" s="622"/>
      <c r="CE212" s="622"/>
      <c r="CF212" s="622"/>
      <c r="CG212" s="622"/>
      <c r="CH212" s="622"/>
      <c r="CI212" s="622"/>
      <c r="CJ212" s="622"/>
      <c r="CK212" s="622"/>
      <c r="CL212" s="622"/>
      <c r="CM212" s="622"/>
      <c r="CN212" s="622"/>
      <c r="CO212" s="622"/>
      <c r="CP212" s="622"/>
      <c r="CQ212" s="622"/>
      <c r="CR212" s="622"/>
      <c r="CS212" s="622"/>
      <c r="CT212" s="622"/>
      <c r="CU212" s="622"/>
    </row>
    <row r="213" spans="1:99">
      <c r="A213" s="630" t="s">
        <v>889</v>
      </c>
      <c r="B213" s="372"/>
      <c r="C213" s="372"/>
      <c r="D213" s="372"/>
      <c r="E213" s="372"/>
      <c r="F213" s="372"/>
      <c r="G213" s="372"/>
      <c r="H213" s="372"/>
      <c r="I213" s="372"/>
      <c r="J213" s="372"/>
      <c r="K213" s="372"/>
      <c r="L213" s="372"/>
      <c r="M213" s="406"/>
      <c r="N213" s="372"/>
      <c r="O213" s="372"/>
      <c r="P213" s="372"/>
      <c r="Q213" s="372"/>
      <c r="R213" s="372"/>
      <c r="S213" s="372"/>
      <c r="T213" s="372"/>
      <c r="U213" s="372"/>
      <c r="V213" s="178"/>
      <c r="W213" s="178"/>
      <c r="AF213" s="746"/>
      <c r="AG213" s="746"/>
      <c r="AH213" s="386"/>
      <c r="AI213" s="386"/>
      <c r="AJ213" s="386"/>
      <c r="AK213" s="386"/>
      <c r="AL213" s="386"/>
      <c r="AM213" s="386"/>
      <c r="AN213" s="386"/>
      <c r="AO213" s="386"/>
      <c r="AP213" s="386"/>
      <c r="AQ213" s="386"/>
      <c r="AR213" s="386"/>
      <c r="AS213" s="386"/>
      <c r="AT213" s="386"/>
      <c r="AU213" s="386"/>
      <c r="AV213" s="386"/>
      <c r="AW213" s="386"/>
      <c r="AX213" s="386"/>
      <c r="AY213" s="386"/>
      <c r="AZ213" s="386"/>
      <c r="BA213" s="386"/>
      <c r="BB213" s="386"/>
      <c r="BC213" s="386"/>
      <c r="BD213" s="1462"/>
      <c r="BE213" s="1462"/>
      <c r="BF213" s="1462"/>
      <c r="BG213" s="1462"/>
      <c r="BH213" s="1462"/>
      <c r="BI213" s="1462"/>
      <c r="BJ213" s="1462"/>
      <c r="BK213" s="1462"/>
      <c r="BL213" s="1462"/>
      <c r="BM213" s="1462"/>
      <c r="BN213" s="1462"/>
      <c r="BO213" s="1462"/>
      <c r="BP213" s="1450"/>
      <c r="BQ213" s="386"/>
      <c r="BR213" s="386"/>
      <c r="BS213" s="386"/>
      <c r="BT213" s="386"/>
      <c r="BU213" s="386"/>
      <c r="BV213" s="386"/>
      <c r="BW213" s="386"/>
      <c r="BX213" s="386"/>
      <c r="BY213" s="386"/>
      <c r="BZ213" s="386"/>
      <c r="CA213" s="386"/>
      <c r="CB213" s="386"/>
      <c r="CC213" s="386"/>
      <c r="CD213" s="386"/>
      <c r="CE213" s="386"/>
    </row>
    <row r="214" spans="1:99">
      <c r="A214" s="251" t="s">
        <v>1011</v>
      </c>
      <c r="B214" s="746"/>
      <c r="C214" s="746"/>
      <c r="D214" s="746"/>
      <c r="E214" s="746"/>
      <c r="F214" s="746"/>
      <c r="G214" s="746"/>
      <c r="H214" s="746"/>
      <c r="I214" s="746"/>
      <c r="J214" s="746"/>
      <c r="K214" s="746"/>
      <c r="L214" s="746"/>
      <c r="M214" s="426"/>
      <c r="N214" s="746"/>
      <c r="O214" s="746"/>
      <c r="P214" s="746"/>
      <c r="Q214" s="746"/>
      <c r="R214" s="746"/>
      <c r="S214" s="746"/>
      <c r="T214" s="746"/>
      <c r="U214" s="746"/>
      <c r="V214" s="178"/>
      <c r="W214" s="178"/>
      <c r="X214" s="1033">
        <f>X9/SUM($X9:$AA9)</f>
        <v>0.40470030185424755</v>
      </c>
      <c r="Y214" s="1033">
        <f>Y9/SUM($X9:$AA9)</f>
        <v>0.52630444156964207</v>
      </c>
      <c r="Z214" s="1033">
        <f>Z9/SUM($X9:$AA9)</f>
        <v>6.8995256576110386E-2</v>
      </c>
      <c r="AA214" s="1033">
        <f>AA9/SUM($X9:$AA9)</f>
        <v>0</v>
      </c>
      <c r="AB214" s="1033">
        <f>AB9/SUM($AB9:$AE9)</f>
        <v>0.31307496574672145</v>
      </c>
      <c r="AC214" s="1033">
        <f>AC9/SUM($AB9:$AE9)</f>
        <v>0.45791740066549225</v>
      </c>
      <c r="AD214" s="1033">
        <f>AD9/SUM($AB9:$AE9)</f>
        <v>0.22900763358778625</v>
      </c>
      <c r="AE214" s="1033">
        <f>AE9/SUM($AB9:$AE9)</f>
        <v>0</v>
      </c>
      <c r="AF214" s="1033">
        <f>AF9/SUM($AF9:$AI9)</f>
        <v>0.24964586284476295</v>
      </c>
      <c r="AG214" s="1033">
        <f>AG9/SUM($AF9:$AI9)</f>
        <v>0.47279393383884677</v>
      </c>
      <c r="AH214" s="1033">
        <f>AH9/SUM($AF9:$AI9)</f>
        <v>0.27756020331639031</v>
      </c>
      <c r="AI214" s="1033">
        <f>AI9/SUM($AF9:$AI9)</f>
        <v>0</v>
      </c>
      <c r="AJ214" s="1033">
        <f>AJ9/SUM($AJ9:$AM9)</f>
        <v>0.34697825582295133</v>
      </c>
      <c r="AK214" s="1033">
        <f>AK9/SUM($AJ9:$AM9)</f>
        <v>0.38551419948928267</v>
      </c>
      <c r="AL214" s="1033">
        <f>AL9/SUM($AJ9:$AM9)</f>
        <v>0.267507544687766</v>
      </c>
      <c r="AM214" s="1033">
        <f>AM9/SUM($AJ9:$AM9)</f>
        <v>0</v>
      </c>
      <c r="AN214" s="1033">
        <f>AN9/SUM($AN9:$AQ9)</f>
        <v>0.40192852223157571</v>
      </c>
      <c r="AO214" s="1033">
        <f>AO9/SUM($AN9:$AQ9)</f>
        <v>0.42557587816637332</v>
      </c>
      <c r="AP214" s="1033">
        <f>AP9/SUM($AN9:$AQ9)</f>
        <v>0.17249559960205096</v>
      </c>
      <c r="AQ214" s="1033">
        <f>AQ9/SUM($AN9:$AQ9)</f>
        <v>0</v>
      </c>
      <c r="AR214" s="1033">
        <f>AR9/SUM($AR9:$AU9)</f>
        <v>0.34447592067988669</v>
      </c>
      <c r="AS214" s="1033">
        <f>AS9/SUM($AR9:$AU9)</f>
        <v>0.47544853635505191</v>
      </c>
      <c r="AT214" s="1033">
        <f>AT9/SUM($AR9:$AU9)</f>
        <v>0.18007554296506137</v>
      </c>
      <c r="AU214" s="1033">
        <f>AU9/SUM($AR9:$AU9)</f>
        <v>0</v>
      </c>
      <c r="AV214" s="1033">
        <f>AV9/SUM($AV9:$AY9)</f>
        <v>0.22646488164532402</v>
      </c>
      <c r="AW214" s="1033">
        <f>AW9/SUM($AV9:$AY9)</f>
        <v>0.46845168800931314</v>
      </c>
      <c r="AX214" s="1033">
        <f>AX9/SUM($AV9:$AY9)</f>
        <v>0.30508343034536284</v>
      </c>
      <c r="AY214" s="1033">
        <f>AY9/SUM($AV9:$AY9)</f>
        <v>0</v>
      </c>
      <c r="AZ214" s="1033">
        <f>AZ9/SUM($AZ9:$BC9)</f>
        <v>0.35550282195997945</v>
      </c>
      <c r="BA214" s="1033">
        <f>BA9/SUM($AZ9:$BC9)</f>
        <v>0.39103386351975372</v>
      </c>
      <c r="BB214" s="1033">
        <f>BB9/SUM($AZ9:$BC9)</f>
        <v>0.25346331452026682</v>
      </c>
      <c r="BC214" s="1033">
        <f>BC9/SUM($AZ9:$BC9)</f>
        <v>0</v>
      </c>
      <c r="BD214" s="1033">
        <f>BD9/SUM($BD9:$BG9)</f>
        <v>0.34551477266655983</v>
      </c>
      <c r="BE214" s="1033">
        <f>BE9/SUM($BD9:$BG9)</f>
        <v>0.46433723353101458</v>
      </c>
      <c r="BF214" s="1033">
        <f>BF9/SUM($BD9:$BG9)</f>
        <v>0.19014799380242561</v>
      </c>
      <c r="BG214" s="1033">
        <f>BG9/SUM($BD9:$BG9)</f>
        <v>0</v>
      </c>
      <c r="BH214" s="1033">
        <f>BH9/SUM($BH9:$BK9)</f>
        <v>0.37000599280862967</v>
      </c>
      <c r="BI214" s="1033">
        <f>BI9/SUM($BH9:$BK9)</f>
        <v>0.38094286855773074</v>
      </c>
      <c r="BJ214" s="1033">
        <f>BJ9/SUM($BH9:$BK9)</f>
        <v>0.24905113863363965</v>
      </c>
      <c r="BK214" s="1033">
        <f>BK9/SUM($BH9:$BK9)</f>
        <v>0</v>
      </c>
      <c r="BL214" s="1033">
        <f>BL9/$M9</f>
        <v>0.42456304133603029</v>
      </c>
      <c r="BM214" s="1033">
        <f>BM9/$M9</f>
        <v>0.43286136611171622</v>
      </c>
      <c r="BN214" s="1033">
        <f>BN9/$M9</f>
        <v>0.14257559255225352</v>
      </c>
      <c r="BO214" s="1033">
        <f>BO9/SUM($BH9:$BK9)</f>
        <v>0</v>
      </c>
      <c r="BP214" s="2174">
        <f>BP9/SUM($BH9:$BK9)</f>
        <v>0.43642628845385539</v>
      </c>
      <c r="BQ214" s="2129">
        <f>+Inputs!AO218</f>
        <v>0.42</v>
      </c>
      <c r="BR214" s="2129">
        <f>+Inputs!AP218</f>
        <v>0.14257559255225352</v>
      </c>
      <c r="BS214" s="2130">
        <f>+Inputs!AQ218</f>
        <v>9.9811899389112835E-4</v>
      </c>
      <c r="BT214" s="2135">
        <f>+Inputs!AR218</f>
        <v>0.43642628845385539</v>
      </c>
      <c r="BU214" s="2129">
        <f>+Inputs!AS218</f>
        <v>0.42</v>
      </c>
      <c r="BV214" s="2129">
        <f>+Inputs!AT218</f>
        <v>0.14357371154614468</v>
      </c>
      <c r="BW214" s="2130">
        <f>+Inputs!AU218</f>
        <v>0</v>
      </c>
      <c r="BX214" s="2135">
        <f>+Inputs!AV218</f>
        <v>0.43642628845385539</v>
      </c>
      <c r="BY214" s="2129">
        <f>+Inputs!AW218</f>
        <v>0.42</v>
      </c>
      <c r="BZ214" s="2129">
        <f>+Inputs!AX218</f>
        <v>0.14357371154614468</v>
      </c>
      <c r="CA214" s="2130">
        <f>+Inputs!AY218</f>
        <v>0</v>
      </c>
      <c r="CB214" s="2135">
        <f>+Inputs!AZ218</f>
        <v>0.43642628845385539</v>
      </c>
      <c r="CC214" s="2129">
        <f>+Inputs!BA218</f>
        <v>0.42</v>
      </c>
      <c r="CD214" s="2129">
        <f>+Inputs!BB218</f>
        <v>0.14357371154614468</v>
      </c>
      <c r="CE214" s="2130">
        <f>+Inputs!BC218</f>
        <v>0</v>
      </c>
      <c r="CF214" s="2135">
        <f>+Inputs!BD218</f>
        <v>0.43642628845385539</v>
      </c>
      <c r="CG214" s="2129">
        <f>+Inputs!BE218</f>
        <v>0.42</v>
      </c>
      <c r="CH214" s="2129">
        <f>+Inputs!BF218</f>
        <v>0.14357371154614468</v>
      </c>
      <c r="CI214" s="2130">
        <f>+Inputs!BG218</f>
        <v>0</v>
      </c>
      <c r="CJ214" s="2135">
        <f>+Inputs!BH218</f>
        <v>0.43642628845385539</v>
      </c>
      <c r="CK214" s="2129">
        <f>+Inputs!BI218</f>
        <v>0.42</v>
      </c>
      <c r="CL214" s="2129">
        <f>+Inputs!BJ218</f>
        <v>0.14357371154614468</v>
      </c>
      <c r="CM214" s="2130">
        <f>+Inputs!BK218</f>
        <v>0</v>
      </c>
      <c r="CN214" s="2135">
        <f>+Inputs!BL218</f>
        <v>0.43642628845385539</v>
      </c>
      <c r="CO214" s="2129">
        <f>+Inputs!BM218</f>
        <v>0.42</v>
      </c>
      <c r="CP214" s="2129">
        <f>+Inputs!BN218</f>
        <v>0.14357371154614468</v>
      </c>
      <c r="CQ214" s="2130">
        <f>+Inputs!BO218</f>
        <v>0</v>
      </c>
      <c r="CR214" s="2135">
        <f>+Inputs!BP218</f>
        <v>0.43642628845385539</v>
      </c>
      <c r="CS214" s="2129">
        <f>+Inputs!BQ218</f>
        <v>0.42</v>
      </c>
      <c r="CT214" s="2129">
        <f>+Inputs!BR218</f>
        <v>0.14357371154614468</v>
      </c>
      <c r="CU214" s="2130">
        <f>+Inputs!BS218</f>
        <v>0</v>
      </c>
    </row>
    <row r="215" spans="1:99" s="14" customFormat="1">
      <c r="A215" s="251" t="s">
        <v>411</v>
      </c>
      <c r="B215" s="752"/>
      <c r="C215" s="752"/>
      <c r="D215" s="752"/>
      <c r="E215" s="752"/>
      <c r="F215" s="752"/>
      <c r="G215" s="752"/>
      <c r="H215" s="752"/>
      <c r="I215" s="752"/>
      <c r="J215" s="752"/>
      <c r="K215" s="752"/>
      <c r="L215" s="752"/>
      <c r="M215" s="1480"/>
      <c r="N215" s="752"/>
      <c r="O215" s="752"/>
      <c r="P215" s="752"/>
      <c r="Q215" s="752"/>
      <c r="R215" s="752"/>
      <c r="S215" s="752"/>
      <c r="T215" s="752"/>
      <c r="U215" s="752"/>
      <c r="V215" s="753"/>
      <c r="W215" s="752"/>
      <c r="X215" s="1034">
        <f t="shared" ref="X215:AA222" si="581">X105/SUM($X105:$AA105)</f>
        <v>0.17528829669283033</v>
      </c>
      <c r="Y215" s="1034">
        <f t="shared" si="581"/>
        <v>0.3363217200603702</v>
      </c>
      <c r="Z215" s="1034">
        <f t="shared" si="581"/>
        <v>0.23679891763579619</v>
      </c>
      <c r="AA215" s="1034">
        <f t="shared" si="581"/>
        <v>0.25159106561100347</v>
      </c>
      <c r="AB215" s="402">
        <f t="shared" ref="AB215:AE222" si="582">AB105/SUM($AB105:$AE105)</f>
        <v>0.28009698811019251</v>
      </c>
      <c r="AC215" s="510">
        <f t="shared" si="582"/>
        <v>0.28573515234728752</v>
      </c>
      <c r="AD215" s="510">
        <f t="shared" si="582"/>
        <v>0.16176126902515264</v>
      </c>
      <c r="AE215" s="510">
        <f t="shared" si="582"/>
        <v>0.27240659051736726</v>
      </c>
      <c r="AF215" s="1034">
        <f t="shared" ref="AF215:AI222" si="583">AF105/SUM($AF105:$AI105)</f>
        <v>6.2247654964404341E-2</v>
      </c>
      <c r="AG215" s="1034">
        <f t="shared" si="583"/>
        <v>0.19394066372473276</v>
      </c>
      <c r="AH215" s="1034">
        <f t="shared" si="583"/>
        <v>0.35668984421717936</v>
      </c>
      <c r="AI215" s="1034">
        <f t="shared" si="583"/>
        <v>0.38712183709368359</v>
      </c>
      <c r="AJ215" s="1034">
        <f t="shared" ref="AJ215:AM222" si="584">AJ105/SUM($AJ105:$AM105)</f>
        <v>0.1800114039968948</v>
      </c>
      <c r="AK215" s="1034">
        <f t="shared" si="584"/>
        <v>0.23584118216854552</v>
      </c>
      <c r="AL215" s="1034">
        <f t="shared" si="584"/>
        <v>0.24191243653950523</v>
      </c>
      <c r="AM215" s="1034">
        <f t="shared" si="584"/>
        <v>0.34223497729505437</v>
      </c>
      <c r="AN215" s="1034">
        <f t="shared" ref="AN215:AQ222" si="585">AN105/SUM($AN105:$AQ105)</f>
        <v>0.2527105066400826</v>
      </c>
      <c r="AO215" s="1034">
        <f t="shared" si="585"/>
        <v>0.30382596930964501</v>
      </c>
      <c r="AP215" s="1034">
        <f t="shared" si="585"/>
        <v>0.28041869904226152</v>
      </c>
      <c r="AQ215" s="1034">
        <f t="shared" si="585"/>
        <v>0.16304482500801082</v>
      </c>
      <c r="AR215" s="1034">
        <f t="shared" ref="AR215:AU222" si="586">AR105/SUM($AR105:$AU105)</f>
        <v>0.25726762385742308</v>
      </c>
      <c r="AS215" s="1034">
        <f t="shared" si="586"/>
        <v>0.35578096957302058</v>
      </c>
      <c r="AT215" s="1034">
        <f t="shared" si="586"/>
        <v>0.24876481697900577</v>
      </c>
      <c r="AU215" s="1034">
        <f t="shared" si="586"/>
        <v>0.1381865895905505</v>
      </c>
      <c r="AV215" s="1034">
        <f t="shared" ref="AV215:AY222" si="587">AV105/SUM($AV105:$AY105)</f>
        <v>0.15340314797238</v>
      </c>
      <c r="AW215" s="1034">
        <f t="shared" si="587"/>
        <v>0.42869815200257594</v>
      </c>
      <c r="AX215" s="1034">
        <f t="shared" si="587"/>
        <v>0.17340154852124431</v>
      </c>
      <c r="AY215" s="1034">
        <f t="shared" si="587"/>
        <v>0.24449715150379978</v>
      </c>
      <c r="AZ215" s="1034">
        <f t="shared" ref="AZ215:BC222" si="588">AZ105/SUM($AZ105:$BC105)</f>
        <v>0.25906985948941219</v>
      </c>
      <c r="BA215" s="1034">
        <f t="shared" si="588"/>
        <v>0.33480761075457294</v>
      </c>
      <c r="BB215" s="1034">
        <f t="shared" si="588"/>
        <v>0.19155579429476124</v>
      </c>
      <c r="BC215" s="1034">
        <f t="shared" si="588"/>
        <v>0.21456673546125357</v>
      </c>
      <c r="BD215" s="1034">
        <f t="shared" ref="BD215:BG222" si="589">BD105/SUM($BD105:$BG105)</f>
        <v>0.187868153903998</v>
      </c>
      <c r="BE215" s="1034">
        <f t="shared" si="589"/>
        <v>0.23018235367840581</v>
      </c>
      <c r="BF215" s="1034">
        <f t="shared" si="589"/>
        <v>0.26269140316861173</v>
      </c>
      <c r="BG215" s="1034">
        <f t="shared" si="589"/>
        <v>0.31925808924898447</v>
      </c>
      <c r="BH215" s="1034">
        <f t="shared" ref="BH215:BK222" si="590">BH105/SUM($BH105:$BK105)</f>
        <v>0.15502659037789002</v>
      </c>
      <c r="BI215" s="1034">
        <f t="shared" si="590"/>
        <v>0.23043378781402782</v>
      </c>
      <c r="BJ215" s="1034">
        <f t="shared" si="590"/>
        <v>0.30296267813646494</v>
      </c>
      <c r="BK215" s="1034">
        <f t="shared" si="590"/>
        <v>0.31157694367161715</v>
      </c>
      <c r="BL215" s="1034">
        <f t="shared" ref="BL215:BN222" si="591">BL105/$M105</f>
        <v>0.23556058201540772</v>
      </c>
      <c r="BM215" s="1034">
        <f t="shared" si="591"/>
        <v>0.23511124082620405</v>
      </c>
      <c r="BN215" s="1034">
        <f t="shared" si="591"/>
        <v>0.21155457458516502</v>
      </c>
      <c r="BO215" s="1034">
        <f t="shared" ref="BO215:BP222" si="592">BO105/SUM($BH105:$BK105)</f>
        <v>0.41519758867299156</v>
      </c>
      <c r="BP215" s="2175">
        <f t="shared" si="592"/>
        <v>0.43905742790726493</v>
      </c>
      <c r="BQ215" s="1631">
        <f>BQ105/SUM($BP105:$BS105)</f>
        <v>0.21816080996198853</v>
      </c>
      <c r="BR215" s="1631">
        <f>BR105/SUM($BP105:$BS105)</f>
        <v>0.2232121387581211</v>
      </c>
      <c r="BS215" s="2131">
        <f>1-SUM(BP215:BR215)</f>
        <v>0.11956962337262544</v>
      </c>
      <c r="BT215" s="2136">
        <f>BT105/SUM($BT105:$BW105)</f>
        <v>0.43891457689657509</v>
      </c>
      <c r="BU215" s="1631">
        <f>BU105/SUM($BT105:$BW105)</f>
        <v>0.2181608099619885</v>
      </c>
      <c r="BV215" s="1631">
        <f>BV105/SUM($BT105:$BW105)</f>
        <v>0.22321213875812107</v>
      </c>
      <c r="BW215" s="2131">
        <f>1-SUM(BT215:BV215)</f>
        <v>0.11971247438331534</v>
      </c>
      <c r="BX215" s="2136">
        <f>BX105/SUM($BX105:$CA105)</f>
        <v>0.43891457689657509</v>
      </c>
      <c r="BY215" s="1631">
        <f>BY105/SUM($BX105:$CA105)</f>
        <v>0.2181608099619885</v>
      </c>
      <c r="BZ215" s="1631">
        <f>BZ105/SUM($BX105:$CA105)</f>
        <v>0.2232121387581211</v>
      </c>
      <c r="CA215" s="2131">
        <f>CA105/SUM($BX105:$CA105)</f>
        <v>0.11971247438331527</v>
      </c>
      <c r="CB215" s="2136">
        <f>CB105/SUM($CB105:$CE105)</f>
        <v>0.43891457689657509</v>
      </c>
      <c r="CC215" s="1631">
        <f>CC105/SUM($CB105:$CE105)</f>
        <v>0.2181608099619885</v>
      </c>
      <c r="CD215" s="1631">
        <f>CD105/SUM($CB105:$CE105)</f>
        <v>0.22321213875812104</v>
      </c>
      <c r="CE215" s="2131">
        <f>CE105/SUM($CB105:$CE105)</f>
        <v>0.11971247438331527</v>
      </c>
      <c r="CF215" s="2136">
        <f>CF105/SUM($CF105:$CI105)</f>
        <v>0.43892564012390745</v>
      </c>
      <c r="CG215" s="1631">
        <f>CG105/SUM($CF105:$CI105)</f>
        <v>0.21816884047346277</v>
      </c>
      <c r="CH215" s="1631">
        <f>CH105/SUM($CF105:$CI105)</f>
        <v>0.22319811349883811</v>
      </c>
      <c r="CI215" s="2131">
        <f>1-SUM(CF215:CH215)</f>
        <v>0.1197074059037917</v>
      </c>
      <c r="CJ215" s="2136">
        <f>CJ105/SUM($CB105:$CE105)</f>
        <v>0.40913143763486404</v>
      </c>
      <c r="CK215" s="1631">
        <f>CK105/SUM($CB105:$CE105)</f>
        <v>0.20336191345624408</v>
      </c>
      <c r="CL215" s="1631">
        <f>CL105/SUM($CB105:$CE105)</f>
        <v>0.20802930373295253</v>
      </c>
      <c r="CM215" s="2131">
        <f>1-SUM(CJ215:CL215)</f>
        <v>0.17947734517593927</v>
      </c>
      <c r="CN215" s="2136">
        <f>CN105/SUM($CB105:$CE105)</f>
        <v>0.36218421932468936</v>
      </c>
      <c r="CO215" s="1631">
        <f>CO105/SUM($CB105:$CE105)</f>
        <v>0.18002849182203698</v>
      </c>
      <c r="CP215" s="1631">
        <f>CP105/SUM($CB105:$CE105)</f>
        <v>0.18414231948926882</v>
      </c>
      <c r="CQ215" s="2131">
        <f>1-SUM(CN215:CP215)</f>
        <v>0.27364496936400484</v>
      </c>
      <c r="CR215" s="2136">
        <f>CR105/SUM($CB105:$CE105)</f>
        <v>0.42264835787512117</v>
      </c>
      <c r="CS215" s="1631">
        <f>CS105/SUM($CB105:$CE105)</f>
        <v>0.2100853720662007</v>
      </c>
      <c r="CT215" s="1631">
        <f>CT105/SUM($CB105:$CE105)</f>
        <v>0.21486516730757041</v>
      </c>
      <c r="CU215" s="2131">
        <f>1-SUM(CR215:CT215)</f>
        <v>0.15240110275110774</v>
      </c>
    </row>
    <row r="216" spans="1:99">
      <c r="A216" s="157" t="s">
        <v>875</v>
      </c>
      <c r="B216" s="348"/>
      <c r="C216" s="348"/>
      <c r="D216" s="348"/>
      <c r="E216" s="348"/>
      <c r="F216" s="348"/>
      <c r="G216" s="348"/>
      <c r="H216" s="348"/>
      <c r="I216" s="348"/>
      <c r="J216" s="746"/>
      <c r="K216" s="746"/>
      <c r="L216" s="746"/>
      <c r="M216" s="749"/>
      <c r="N216" s="348"/>
      <c r="O216" s="348"/>
      <c r="P216" s="348"/>
      <c r="Q216" s="348"/>
      <c r="R216" s="746"/>
      <c r="S216" s="746"/>
      <c r="T216" s="746"/>
      <c r="U216" s="746"/>
      <c r="V216" s="414"/>
      <c r="W216" s="348"/>
      <c r="X216" s="1033">
        <f t="shared" si="581"/>
        <v>0.17017407813460972</v>
      </c>
      <c r="Y216" s="1033">
        <f t="shared" si="581"/>
        <v>0.34881585866959025</v>
      </c>
      <c r="Z216" s="1033">
        <f t="shared" si="581"/>
        <v>0.2778743392963785</v>
      </c>
      <c r="AA216" s="1033">
        <f t="shared" si="581"/>
        <v>0.2031357238994215</v>
      </c>
      <c r="AB216" s="60">
        <f t="shared" si="582"/>
        <v>0.23976347466973275</v>
      </c>
      <c r="AC216" s="60">
        <f t="shared" si="582"/>
        <v>0.22062791843630478</v>
      </c>
      <c r="AD216" s="60">
        <f t="shared" si="582"/>
        <v>0.26589154562733186</v>
      </c>
      <c r="AE216" s="60">
        <f t="shared" si="582"/>
        <v>0.2737170612666307</v>
      </c>
      <c r="AF216" s="1033">
        <f t="shared" si="583"/>
        <v>6.8847551849476177E-2</v>
      </c>
      <c r="AG216" s="1033">
        <f t="shared" si="583"/>
        <v>0.29373530040624335</v>
      </c>
      <c r="AH216" s="1033">
        <f t="shared" si="583"/>
        <v>0.29681419713491558</v>
      </c>
      <c r="AI216" s="1033">
        <f t="shared" si="583"/>
        <v>0.34060295060936502</v>
      </c>
      <c r="AJ216" s="1033">
        <f t="shared" si="584"/>
        <v>0.22865183541833572</v>
      </c>
      <c r="AK216" s="1033">
        <f t="shared" si="584"/>
        <v>0.22298227234444651</v>
      </c>
      <c r="AL216" s="1033">
        <f t="shared" si="584"/>
        <v>0.24335983237813522</v>
      </c>
      <c r="AM216" s="1033">
        <f t="shared" si="584"/>
        <v>0.30500605985908263</v>
      </c>
      <c r="AN216" s="1033">
        <f t="shared" si="585"/>
        <v>0.18170470423847229</v>
      </c>
      <c r="AO216" s="1033">
        <f t="shared" si="585"/>
        <v>0.17904052165812762</v>
      </c>
      <c r="AP216" s="1033">
        <f t="shared" si="585"/>
        <v>0.25499767116907313</v>
      </c>
      <c r="AQ216" s="1033">
        <f t="shared" si="585"/>
        <v>0.38425710293432697</v>
      </c>
      <c r="AR216" s="1033">
        <f t="shared" si="586"/>
        <v>0.19375238601092171</v>
      </c>
      <c r="AS216" s="1033">
        <f t="shared" si="586"/>
        <v>0.21152920477368167</v>
      </c>
      <c r="AT216" s="1033">
        <f t="shared" si="586"/>
        <v>0.33107042674324033</v>
      </c>
      <c r="AU216" s="1033">
        <f t="shared" si="586"/>
        <v>0.26364798247215632</v>
      </c>
      <c r="AV216" s="1033">
        <f t="shared" si="587"/>
        <v>0.17468047241546675</v>
      </c>
      <c r="AW216" s="1033">
        <f t="shared" si="587"/>
        <v>0.2551367092703446</v>
      </c>
      <c r="AX216" s="1033">
        <f t="shared" si="587"/>
        <v>0.28514803429865715</v>
      </c>
      <c r="AY216" s="1033">
        <f t="shared" si="587"/>
        <v>0.28503478401553145</v>
      </c>
      <c r="AZ216" s="1033">
        <f t="shared" si="588"/>
        <v>0.20154498730571552</v>
      </c>
      <c r="BA216" s="1033">
        <f t="shared" si="588"/>
        <v>0.29890395690135613</v>
      </c>
      <c r="BB216" s="1033">
        <f t="shared" si="588"/>
        <v>0.22345036844386648</v>
      </c>
      <c r="BC216" s="1033">
        <f t="shared" si="588"/>
        <v>0.27610068734906185</v>
      </c>
      <c r="BD216" s="1033">
        <f t="shared" si="589"/>
        <v>0.21044461552052704</v>
      </c>
      <c r="BE216" s="1033">
        <f t="shared" si="589"/>
        <v>0.2133851609727779</v>
      </c>
      <c r="BF216" s="1033">
        <f t="shared" si="589"/>
        <v>0.27720635561669421</v>
      </c>
      <c r="BG216" s="1033">
        <f t="shared" si="589"/>
        <v>0.2989638678900009</v>
      </c>
      <c r="BH216" s="1033">
        <f t="shared" si="590"/>
        <v>0.22461017744996378</v>
      </c>
      <c r="BI216" s="1033">
        <f t="shared" si="590"/>
        <v>0.22384716217009371</v>
      </c>
      <c r="BJ216" s="1033">
        <f t="shared" si="590"/>
        <v>0.26016864594134564</v>
      </c>
      <c r="BK216" s="1033">
        <f t="shared" si="590"/>
        <v>0.29137401443859684</v>
      </c>
      <c r="BL216" s="1033">
        <f t="shared" si="591"/>
        <v>0.16994926242020111</v>
      </c>
      <c r="BM216" s="1033">
        <f t="shared" si="591"/>
        <v>0.19863051794355213</v>
      </c>
      <c r="BN216" s="1033">
        <f t="shared" si="591"/>
        <v>0.25732172322372121</v>
      </c>
      <c r="BO216" s="1033">
        <f t="shared" si="592"/>
        <v>0.59215855066225809</v>
      </c>
      <c r="BP216" s="2174">
        <f t="shared" si="592"/>
        <v>0.41200868663549395</v>
      </c>
      <c r="BQ216" s="1801">
        <f>+Inputs!AO220</f>
        <v>0.19863051794355213</v>
      </c>
      <c r="BR216" s="1801">
        <f>+Inputs!AP220</f>
        <v>0.25732172322372121</v>
      </c>
      <c r="BS216" s="2132">
        <f>+Inputs!AQ220</f>
        <v>0.13203907219723265</v>
      </c>
      <c r="BT216" s="2137">
        <f>+Inputs!AR220</f>
        <v>0.41200868663549395</v>
      </c>
      <c r="BU216" s="1801">
        <f>+Inputs!AS220</f>
        <v>0.19863051794355213</v>
      </c>
      <c r="BV216" s="1801">
        <f>+Inputs!AT220</f>
        <v>0.25732172322372121</v>
      </c>
      <c r="BW216" s="2132">
        <f>+Inputs!AU220</f>
        <v>0.13203907219723265</v>
      </c>
      <c r="BX216" s="2137">
        <f>+Inputs!AV220</f>
        <v>0.41200868663549395</v>
      </c>
      <c r="BY216" s="1801">
        <f>+Inputs!AW220</f>
        <v>0.19863051794355213</v>
      </c>
      <c r="BZ216" s="1801">
        <f>+Inputs!AX220</f>
        <v>0.25732172322372121</v>
      </c>
      <c r="CA216" s="2132">
        <f>+Inputs!AY220</f>
        <v>0.13203907219723265</v>
      </c>
      <c r="CB216" s="2137">
        <f>+Inputs!AZ220</f>
        <v>0.41200868663549395</v>
      </c>
      <c r="CC216" s="1801">
        <f>+Inputs!BA220</f>
        <v>0.19863051794355213</v>
      </c>
      <c r="CD216" s="1801">
        <f>+Inputs!BB220</f>
        <v>0.25732172322372121</v>
      </c>
      <c r="CE216" s="2132">
        <f>+Inputs!BC220</f>
        <v>0.13203907219723265</v>
      </c>
      <c r="CF216" s="2137">
        <f>+Inputs!BD220</f>
        <v>0.41200868663549395</v>
      </c>
      <c r="CG216" s="1801">
        <f>+Inputs!BE220</f>
        <v>0.19863051794355213</v>
      </c>
      <c r="CH216" s="1801">
        <f>+Inputs!BF220</f>
        <v>0.25732172322372121</v>
      </c>
      <c r="CI216" s="2132">
        <f>+Inputs!BG220</f>
        <v>0.13203907219723265</v>
      </c>
      <c r="CJ216" s="2137">
        <f>+Inputs!BH220</f>
        <v>0.41200868663549395</v>
      </c>
      <c r="CK216" s="1801">
        <f>+Inputs!BI220</f>
        <v>0.19863051794355213</v>
      </c>
      <c r="CL216" s="1801">
        <f>+Inputs!BJ220</f>
        <v>0.25732172322372121</v>
      </c>
      <c r="CM216" s="2132">
        <f>+Inputs!BK220</f>
        <v>0.13203907219723265</v>
      </c>
      <c r="CN216" s="2137">
        <f>+Inputs!BL220</f>
        <v>0.41200868663549395</v>
      </c>
      <c r="CO216" s="1801">
        <f>+Inputs!BM220</f>
        <v>0.19863051794355213</v>
      </c>
      <c r="CP216" s="1801">
        <f>+Inputs!BN220</f>
        <v>0.25732172322372121</v>
      </c>
      <c r="CQ216" s="2132">
        <f>+Inputs!BO220</f>
        <v>0.13203907219723265</v>
      </c>
      <c r="CR216" s="2137">
        <f>+Inputs!BP220</f>
        <v>0.41200868663549395</v>
      </c>
      <c r="CS216" s="1801">
        <f>+Inputs!BQ220</f>
        <v>0.19863051794355213</v>
      </c>
      <c r="CT216" s="1801">
        <f>+Inputs!BR220</f>
        <v>0.25732172322372121</v>
      </c>
      <c r="CU216" s="2132">
        <f>+Inputs!BS220</f>
        <v>0.13203907219723265</v>
      </c>
    </row>
    <row r="217" spans="1:99">
      <c r="A217" s="157" t="s">
        <v>424</v>
      </c>
      <c r="B217" s="348"/>
      <c r="C217" s="348"/>
      <c r="D217" s="348"/>
      <c r="E217" s="348"/>
      <c r="F217" s="348"/>
      <c r="G217" s="348"/>
      <c r="H217" s="348"/>
      <c r="I217" s="348"/>
      <c r="J217" s="746"/>
      <c r="K217" s="746"/>
      <c r="L217" s="746"/>
      <c r="M217" s="749"/>
      <c r="N217" s="348"/>
      <c r="O217" s="348"/>
      <c r="P217" s="348"/>
      <c r="Q217" s="348"/>
      <c r="R217" s="746"/>
      <c r="S217" s="746"/>
      <c r="T217" s="746"/>
      <c r="U217" s="746"/>
      <c r="V217" s="414"/>
      <c r="W217" s="348"/>
      <c r="X217" s="1033">
        <f t="shared" si="581"/>
        <v>0.17721834077293352</v>
      </c>
      <c r="Y217" s="1033">
        <f t="shared" si="581"/>
        <v>0.33160658362570344</v>
      </c>
      <c r="Z217" s="1033">
        <f t="shared" si="581"/>
        <v>0.22129755149133987</v>
      </c>
      <c r="AA217" s="1033">
        <f t="shared" si="581"/>
        <v>0.26987752411002308</v>
      </c>
      <c r="AB217" s="60">
        <f t="shared" si="582"/>
        <v>0.29832356028714729</v>
      </c>
      <c r="AC217" s="60">
        <f t="shared" si="582"/>
        <v>0.31515688124953606</v>
      </c>
      <c r="AD217" s="60">
        <f t="shared" si="582"/>
        <v>0.11470516504607293</v>
      </c>
      <c r="AE217" s="60">
        <f t="shared" si="582"/>
        <v>0.27181439341724367</v>
      </c>
      <c r="AF217" s="1033">
        <f t="shared" si="583"/>
        <v>6.1497404188298424E-2</v>
      </c>
      <c r="AG217" s="1033">
        <f t="shared" si="583"/>
        <v>0.18259639503004141</v>
      </c>
      <c r="AH217" s="1033">
        <f t="shared" si="583"/>
        <v>0.36349627641991872</v>
      </c>
      <c r="AI217" s="1033">
        <f t="shared" si="583"/>
        <v>0.39240992436174138</v>
      </c>
      <c r="AJ217" s="1033">
        <f t="shared" si="584"/>
        <v>0.1755736349989036</v>
      </c>
      <c r="AK217" s="1033">
        <f t="shared" si="584"/>
        <v>0.23701438046670451</v>
      </c>
      <c r="AL217" s="1033">
        <f t="shared" si="584"/>
        <v>0.24178038161744173</v>
      </c>
      <c r="AM217" s="1033">
        <f t="shared" si="584"/>
        <v>0.34563160291695016</v>
      </c>
      <c r="AN217" s="1033">
        <f t="shared" si="585"/>
        <v>0.25858750963762528</v>
      </c>
      <c r="AO217" s="1033">
        <f t="shared" si="585"/>
        <v>0.31415420200462607</v>
      </c>
      <c r="AP217" s="1033">
        <f t="shared" si="585"/>
        <v>0.28252274479568235</v>
      </c>
      <c r="AQ217" s="1033">
        <f t="shared" si="585"/>
        <v>0.1447355435620663</v>
      </c>
      <c r="AR217" s="1033">
        <f t="shared" si="586"/>
        <v>0.2626843572216222</v>
      </c>
      <c r="AS217" s="1033">
        <f t="shared" si="586"/>
        <v>0.36808310955904311</v>
      </c>
      <c r="AT217" s="1033">
        <f t="shared" si="586"/>
        <v>0.24174559517355304</v>
      </c>
      <c r="AU217" s="1033">
        <f t="shared" si="586"/>
        <v>0.12748693804578159</v>
      </c>
      <c r="AV217" s="1033">
        <f t="shared" si="587"/>
        <v>0.1519229816908193</v>
      </c>
      <c r="AW217" s="1033">
        <f t="shared" si="587"/>
        <v>0.44077202886610933</v>
      </c>
      <c r="AX217" s="1033">
        <f t="shared" si="587"/>
        <v>0.16562785588554402</v>
      </c>
      <c r="AY217" s="1033">
        <f t="shared" si="587"/>
        <v>0.2416771335575274</v>
      </c>
      <c r="AZ217" s="1033">
        <f t="shared" si="588"/>
        <v>0.26360319100525936</v>
      </c>
      <c r="BA217" s="1033">
        <f t="shared" si="588"/>
        <v>0.33763705060151594</v>
      </c>
      <c r="BB217" s="1033">
        <f t="shared" si="588"/>
        <v>0.18904229582556098</v>
      </c>
      <c r="BC217" s="1033">
        <f t="shared" si="588"/>
        <v>0.20971746256766369</v>
      </c>
      <c r="BD217" s="1033">
        <f t="shared" si="589"/>
        <v>0.18608976774194833</v>
      </c>
      <c r="BE217" s="1033">
        <f t="shared" si="589"/>
        <v>0.23150549702904941</v>
      </c>
      <c r="BF217" s="1033">
        <f t="shared" si="589"/>
        <v>0.26154803575280822</v>
      </c>
      <c r="BG217" s="1033">
        <f t="shared" si="589"/>
        <v>0.32085669947619416</v>
      </c>
      <c r="BH217" s="1033">
        <f t="shared" si="590"/>
        <v>0.1488759187202767</v>
      </c>
      <c r="BI217" s="1033">
        <f t="shared" si="590"/>
        <v>0.23101599654128838</v>
      </c>
      <c r="BJ217" s="1033">
        <f t="shared" si="590"/>
        <v>0.30674535235624728</v>
      </c>
      <c r="BK217" s="1033">
        <f t="shared" si="590"/>
        <v>0.31336273238218765</v>
      </c>
      <c r="BL217" s="1033">
        <f t="shared" si="591"/>
        <v>0.24272044358811642</v>
      </c>
      <c r="BM217" s="1033">
        <f t="shared" si="591"/>
        <v>0.23909221434607236</v>
      </c>
      <c r="BN217" s="1033">
        <f t="shared" si="591"/>
        <v>0.20656021612916495</v>
      </c>
      <c r="BO217" s="1033">
        <f t="shared" si="592"/>
        <v>0.39955555555555555</v>
      </c>
      <c r="BP217" s="2174">
        <f t="shared" si="592"/>
        <v>0.4414483354950281</v>
      </c>
      <c r="BQ217" s="1801">
        <f>+Inputs!AO221</f>
        <v>0.22</v>
      </c>
      <c r="BR217" s="1801">
        <f>+Inputs!AP221</f>
        <v>0.22</v>
      </c>
      <c r="BS217" s="2132">
        <f>+Inputs!AQ221</f>
        <v>0.1185516645049719</v>
      </c>
      <c r="BT217" s="2137">
        <f>+Inputs!AR221</f>
        <v>0.4414483354950281</v>
      </c>
      <c r="BU217" s="1801">
        <f>+Inputs!AS221</f>
        <v>0.22</v>
      </c>
      <c r="BV217" s="1801">
        <f>+Inputs!AT221</f>
        <v>0.22</v>
      </c>
      <c r="BW217" s="2132">
        <f>+Inputs!AU221</f>
        <v>0.1185516645049719</v>
      </c>
      <c r="BX217" s="2137">
        <f>+Inputs!AV221</f>
        <v>0.4414483354950281</v>
      </c>
      <c r="BY217" s="1801">
        <f>+Inputs!AW221</f>
        <v>0.22</v>
      </c>
      <c r="BZ217" s="1801">
        <f>+Inputs!AX221</f>
        <v>0.22</v>
      </c>
      <c r="CA217" s="2132">
        <f>+Inputs!AY221</f>
        <v>0.1185516645049719</v>
      </c>
      <c r="CB217" s="2137">
        <f>+Inputs!AZ221</f>
        <v>0.4414483354950281</v>
      </c>
      <c r="CC217" s="1801">
        <f>+Inputs!BA221</f>
        <v>0.22</v>
      </c>
      <c r="CD217" s="1801">
        <f>+Inputs!BB221</f>
        <v>0.22</v>
      </c>
      <c r="CE217" s="2132">
        <f>+Inputs!BC221</f>
        <v>0.1185516645049719</v>
      </c>
      <c r="CF217" s="2137">
        <f>+Inputs!BD221</f>
        <v>0.4414483354950281</v>
      </c>
      <c r="CG217" s="1801">
        <f>+Inputs!BE221</f>
        <v>0.22</v>
      </c>
      <c r="CH217" s="1801">
        <f>+Inputs!BF221</f>
        <v>0.22</v>
      </c>
      <c r="CI217" s="2132">
        <f>+Inputs!BG221</f>
        <v>0.1185516645049719</v>
      </c>
      <c r="CJ217" s="2137">
        <f>+Inputs!BH221</f>
        <v>0.4414483354950281</v>
      </c>
      <c r="CK217" s="1801">
        <f>+Inputs!BI221</f>
        <v>0.22</v>
      </c>
      <c r="CL217" s="1801">
        <f>+Inputs!BJ221</f>
        <v>0.22</v>
      </c>
      <c r="CM217" s="2132">
        <f>+Inputs!BK221</f>
        <v>0.1185516645049719</v>
      </c>
      <c r="CN217" s="2137">
        <f>+Inputs!BL221</f>
        <v>0.4414483354950281</v>
      </c>
      <c r="CO217" s="1801">
        <f>+Inputs!BM221</f>
        <v>0.22</v>
      </c>
      <c r="CP217" s="1801">
        <f>+Inputs!BN221</f>
        <v>0.22</v>
      </c>
      <c r="CQ217" s="2132">
        <f>+Inputs!BO221</f>
        <v>0.1185516645049719</v>
      </c>
      <c r="CR217" s="2137">
        <f>+Inputs!BP221</f>
        <v>0.4414483354950281</v>
      </c>
      <c r="CS217" s="1801">
        <f>+Inputs!BQ221</f>
        <v>0.22</v>
      </c>
      <c r="CT217" s="1801">
        <f>+Inputs!BR221</f>
        <v>0.22</v>
      </c>
      <c r="CU217" s="2132">
        <f>+Inputs!BS221</f>
        <v>0.1185516645049719</v>
      </c>
    </row>
    <row r="218" spans="1:99" s="14" customFormat="1">
      <c r="A218" s="251" t="s">
        <v>412</v>
      </c>
      <c r="B218" s="752"/>
      <c r="C218" s="752"/>
      <c r="D218" s="752"/>
      <c r="E218" s="752"/>
      <c r="F218" s="752"/>
      <c r="G218" s="752"/>
      <c r="H218" s="752"/>
      <c r="I218" s="752"/>
      <c r="J218" s="752"/>
      <c r="K218" s="752"/>
      <c r="L218" s="752"/>
      <c r="M218" s="1480"/>
      <c r="N218" s="752"/>
      <c r="O218" s="752"/>
      <c r="P218" s="752"/>
      <c r="Q218" s="752"/>
      <c r="R218" s="752"/>
      <c r="S218" s="752"/>
      <c r="T218" s="752"/>
      <c r="U218" s="752"/>
      <c r="V218" s="753"/>
      <c r="W218" s="752"/>
      <c r="X218" s="1034">
        <f t="shared" si="581"/>
        <v>0.24155191844533563</v>
      </c>
      <c r="Y218" s="1034">
        <f t="shared" si="581"/>
        <v>0.31244601065199112</v>
      </c>
      <c r="Z218" s="1034">
        <f t="shared" si="581"/>
        <v>0.23266191083677054</v>
      </c>
      <c r="AA218" s="1034">
        <f t="shared" si="581"/>
        <v>0.21334016006590276</v>
      </c>
      <c r="AB218" s="510">
        <f t="shared" si="582"/>
        <v>0.22408098954133224</v>
      </c>
      <c r="AC218" s="510">
        <f t="shared" si="582"/>
        <v>0.21357765839981144</v>
      </c>
      <c r="AD218" s="510">
        <f t="shared" si="582"/>
        <v>0.18961080853069984</v>
      </c>
      <c r="AE218" s="510">
        <f t="shared" si="582"/>
        <v>0.37273054352815654</v>
      </c>
      <c r="AF218" s="1034">
        <f t="shared" si="583"/>
        <v>0.1408513006674669</v>
      </c>
      <c r="AG218" s="1034">
        <f t="shared" si="583"/>
        <v>0.26902820639555408</v>
      </c>
      <c r="AH218" s="1034">
        <f t="shared" si="583"/>
        <v>0.24687968566337568</v>
      </c>
      <c r="AI218" s="1034">
        <f t="shared" si="583"/>
        <v>0.34324080727360323</v>
      </c>
      <c r="AJ218" s="1034">
        <f t="shared" si="584"/>
        <v>0.17151136102823042</v>
      </c>
      <c r="AK218" s="1034">
        <f t="shared" si="584"/>
        <v>0.24636408844005814</v>
      </c>
      <c r="AL218" s="1034">
        <f t="shared" si="584"/>
        <v>0.30911368678754492</v>
      </c>
      <c r="AM218" s="1034">
        <f t="shared" si="584"/>
        <v>0.2730108637441665</v>
      </c>
      <c r="AN218" s="1034">
        <f t="shared" si="585"/>
        <v>0.16892903483381574</v>
      </c>
      <c r="AO218" s="1034">
        <f t="shared" si="585"/>
        <v>0.19134989673466565</v>
      </c>
      <c r="AP218" s="1034">
        <f t="shared" si="585"/>
        <v>0.33197117783902885</v>
      </c>
      <c r="AQ218" s="1034">
        <f t="shared" si="585"/>
        <v>0.30774989059248964</v>
      </c>
      <c r="AR218" s="1034">
        <f t="shared" si="586"/>
        <v>0.21922945181747444</v>
      </c>
      <c r="AS218" s="1034">
        <f t="shared" si="586"/>
        <v>0.17522160338488402</v>
      </c>
      <c r="AT218" s="1034">
        <f t="shared" si="586"/>
        <v>0.32892337482601391</v>
      </c>
      <c r="AU218" s="1034">
        <f t="shared" si="586"/>
        <v>0.27662556997162757</v>
      </c>
      <c r="AV218" s="1034">
        <f t="shared" si="587"/>
        <v>0.19590528171786289</v>
      </c>
      <c r="AW218" s="1034">
        <f t="shared" si="587"/>
        <v>0.19044907509974057</v>
      </c>
      <c r="AX218" s="1034">
        <f t="shared" si="587"/>
        <v>0.33495798903998236</v>
      </c>
      <c r="AY218" s="1034">
        <f t="shared" si="587"/>
        <v>0.27868765414241431</v>
      </c>
      <c r="AZ218" s="1034">
        <f t="shared" si="588"/>
        <v>0.26212294859784191</v>
      </c>
      <c r="BA218" s="1034">
        <f t="shared" si="588"/>
        <v>0.27080767346861129</v>
      </c>
      <c r="BB218" s="1034">
        <f t="shared" si="588"/>
        <v>0.20019806641525945</v>
      </c>
      <c r="BC218" s="1034">
        <f t="shared" si="588"/>
        <v>0.26687131151828725</v>
      </c>
      <c r="BD218" s="1034">
        <f t="shared" si="589"/>
        <v>0.25490995442105424</v>
      </c>
      <c r="BE218" s="1034">
        <f t="shared" si="589"/>
        <v>0.17421297422021717</v>
      </c>
      <c r="BF218" s="1034">
        <f t="shared" si="589"/>
        <v>0.20834596540966727</v>
      </c>
      <c r="BG218" s="1034">
        <f t="shared" si="589"/>
        <v>0.36253110594906124</v>
      </c>
      <c r="BH218" s="1034">
        <f t="shared" si="590"/>
        <v>0.1378161150897852</v>
      </c>
      <c r="BI218" s="1034">
        <f t="shared" si="590"/>
        <v>0.23235601868995176</v>
      </c>
      <c r="BJ218" s="1034">
        <f t="shared" si="590"/>
        <v>0.31041391697691101</v>
      </c>
      <c r="BK218" s="1034">
        <f t="shared" si="590"/>
        <v>0.31941394924335198</v>
      </c>
      <c r="BL218" s="1034">
        <f t="shared" si="591"/>
        <v>0.20888191483093158</v>
      </c>
      <c r="BM218" s="1034">
        <f t="shared" si="591"/>
        <v>0.24814247096362271</v>
      </c>
      <c r="BN218" s="1034">
        <f t="shared" si="591"/>
        <v>0.27565690540707433</v>
      </c>
      <c r="BO218" s="1034">
        <f t="shared" si="592"/>
        <v>0.25442395952251812</v>
      </c>
      <c r="BP218" s="2175">
        <f t="shared" si="592"/>
        <v>0.17878373955758101</v>
      </c>
      <c r="BQ218" s="1631">
        <f>BQ108/SUM($BP108:$BS108)</f>
        <v>0.26561612959700803</v>
      </c>
      <c r="BR218" s="1631">
        <f>BR108/SUM($BP108:$BS108)</f>
        <v>0.26536052370759428</v>
      </c>
      <c r="BS218" s="2131">
        <f>1-SUM(BP218:BR218)</f>
        <v>0.2902396071378166</v>
      </c>
      <c r="BT218" s="2136">
        <f>BT108/SUM($BT108:$BW108)</f>
        <v>0.18455356958090849</v>
      </c>
      <c r="BU218" s="1631">
        <f>BU108/SUM($BT108:$BW108)</f>
        <v>0.26561612959700803</v>
      </c>
      <c r="BV218" s="1631">
        <f>BV108/SUM($BT108:$BW108)</f>
        <v>0.26536052370759433</v>
      </c>
      <c r="BW218" s="2131">
        <f>1-SUM(BT218:BV218)</f>
        <v>0.28446977711448918</v>
      </c>
      <c r="BX218" s="2136">
        <f>BX108/SUM($BX108:$CA108)</f>
        <v>0.18455356958090849</v>
      </c>
      <c r="BY218" s="1631">
        <f>BY108/SUM($BX108:$CA108)</f>
        <v>0.26561612959700803</v>
      </c>
      <c r="BZ218" s="1631">
        <f>BZ108/SUM($BX108:$CA108)</f>
        <v>0.26536052370759428</v>
      </c>
      <c r="CA218" s="2131">
        <f>CA108/SUM($BX108:$CA108)</f>
        <v>0.28446977711448929</v>
      </c>
      <c r="CB218" s="2136">
        <f>CB108/SUM($CB108:$CE108)</f>
        <v>0.18455356958090849</v>
      </c>
      <c r="CC218" s="1631">
        <f>CC108/SUM($CB108:$CE108)</f>
        <v>0.26561612959700803</v>
      </c>
      <c r="CD218" s="1631">
        <f>CD108/SUM($CB108:$CE108)</f>
        <v>0.26536052370759428</v>
      </c>
      <c r="CE218" s="2131">
        <f>CE108/SUM($CB108:$CE108)</f>
        <v>0.28446977711448918</v>
      </c>
      <c r="CF218" s="2136">
        <f>CF108/SUM($CF108:$CI108)</f>
        <v>0.18455356958090849</v>
      </c>
      <c r="CG218" s="1631">
        <f>CG108/SUM($CF108:$CI108)</f>
        <v>0.26561612959700803</v>
      </c>
      <c r="CH218" s="1631">
        <f>CH108/SUM($CF108:$CI108)</f>
        <v>0.26536052370759433</v>
      </c>
      <c r="CI218" s="2131">
        <f>1-SUM(CF218:CH218)</f>
        <v>0.28446977711448918</v>
      </c>
      <c r="CJ218" s="2136">
        <f>CJ108/SUM($CB108:$CE108)</f>
        <v>0.20255806282879862</v>
      </c>
      <c r="CK218" s="1631">
        <f>CK108/SUM($CB108:$CE108)</f>
        <v>0.29152884330240991</v>
      </c>
      <c r="CL218" s="1631">
        <f>CL108/SUM($CB108:$CE108)</f>
        <v>0.29124830126832812</v>
      </c>
      <c r="CM218" s="2131">
        <f>1-SUM(CJ218:CL218)</f>
        <v>0.21466479260046334</v>
      </c>
      <c r="CN218" s="2136">
        <f>CN108/SUM($CB108:$CE108)</f>
        <v>0.21220877061115864</v>
      </c>
      <c r="CO218" s="1631">
        <f>CO108/SUM($CB108:$CE108)</f>
        <v>0.30541848875789046</v>
      </c>
      <c r="CP218" s="1631">
        <f>CP108/SUM($CB108:$CE108)</f>
        <v>0.30512458053559688</v>
      </c>
      <c r="CQ218" s="2131">
        <f>1-SUM(CN218:CP218)</f>
        <v>0.17724816009535405</v>
      </c>
      <c r="CR218" s="2136">
        <f>CR108/SUM($CB108:$CE108)</f>
        <v>0.23172829085373176</v>
      </c>
      <c r="CS218" s="1631">
        <f>CS108/SUM($CB108:$CE108)</f>
        <v>0.33351168375919199</v>
      </c>
      <c r="CT218" s="1631">
        <f>CT108/SUM($CB108:$CE108)</f>
        <v>0.33319074108644664</v>
      </c>
      <c r="CU218" s="2131">
        <f>1-SUM(CR218:CT218)</f>
        <v>0.10156928430062961</v>
      </c>
    </row>
    <row r="219" spans="1:99">
      <c r="A219" s="157" t="s">
        <v>413</v>
      </c>
      <c r="B219" s="348"/>
      <c r="C219" s="348"/>
      <c r="D219" s="348"/>
      <c r="E219" s="348"/>
      <c r="F219" s="348"/>
      <c r="G219" s="348"/>
      <c r="H219" s="348"/>
      <c r="I219" s="348"/>
      <c r="J219" s="746"/>
      <c r="K219" s="746"/>
      <c r="L219" s="746"/>
      <c r="M219" s="749"/>
      <c r="N219" s="348"/>
      <c r="O219" s="348"/>
      <c r="P219" s="348"/>
      <c r="Q219" s="348"/>
      <c r="R219" s="746"/>
      <c r="S219" s="746"/>
      <c r="T219" s="746"/>
      <c r="U219" s="746"/>
      <c r="V219" s="414"/>
      <c r="W219" s="348"/>
      <c r="X219" s="1033">
        <f t="shared" si="581"/>
        <v>0.29775536209154985</v>
      </c>
      <c r="Y219" s="1033">
        <f t="shared" si="581"/>
        <v>0.19493330244245832</v>
      </c>
      <c r="Z219" s="1033">
        <f t="shared" si="581"/>
        <v>0.22534596294877166</v>
      </c>
      <c r="AA219" s="1033">
        <f t="shared" si="581"/>
        <v>0.2819653725172202</v>
      </c>
      <c r="AB219" s="60">
        <f t="shared" si="582"/>
        <v>0.21611221153616686</v>
      </c>
      <c r="AC219" s="60">
        <f t="shared" si="582"/>
        <v>0.14551464095649477</v>
      </c>
      <c r="AD219" s="60">
        <f t="shared" si="582"/>
        <v>0.20351764790110494</v>
      </c>
      <c r="AE219" s="60">
        <f t="shared" si="582"/>
        <v>0.43485549960623349</v>
      </c>
      <c r="AF219" s="1033">
        <f t="shared" si="583"/>
        <v>0.18274859029839186</v>
      </c>
      <c r="AG219" s="1033">
        <f t="shared" si="583"/>
        <v>0.23501782244316491</v>
      </c>
      <c r="AH219" s="1033">
        <f t="shared" si="583"/>
        <v>0.31604735166839532</v>
      </c>
      <c r="AI219" s="1033">
        <f t="shared" si="583"/>
        <v>0.26618623559004806</v>
      </c>
      <c r="AJ219" s="1033">
        <f t="shared" si="584"/>
        <v>0.14205302281613885</v>
      </c>
      <c r="AK219" s="1033">
        <f t="shared" si="584"/>
        <v>0.17894126240708116</v>
      </c>
      <c r="AL219" s="1033">
        <f t="shared" si="584"/>
        <v>0.32102651140806943</v>
      </c>
      <c r="AM219" s="1033">
        <f t="shared" si="584"/>
        <v>0.35797920336871053</v>
      </c>
      <c r="AN219" s="1033">
        <f t="shared" si="585"/>
        <v>0.12289743468809358</v>
      </c>
      <c r="AO219" s="1033">
        <f t="shared" si="585"/>
        <v>0.17136523644346496</v>
      </c>
      <c r="AP219" s="1033">
        <f t="shared" si="585"/>
        <v>0.31353145219035533</v>
      </c>
      <c r="AQ219" s="1033">
        <f t="shared" si="585"/>
        <v>0.39220587667808621</v>
      </c>
      <c r="AR219" s="1033">
        <f t="shared" si="586"/>
        <v>0.2539685966040815</v>
      </c>
      <c r="AS219" s="1033">
        <f t="shared" si="586"/>
        <v>0.18018313610872463</v>
      </c>
      <c r="AT219" s="1033">
        <f t="shared" si="586"/>
        <v>0.34097335848828525</v>
      </c>
      <c r="AU219" s="1033">
        <f t="shared" si="586"/>
        <v>0.22487490879890862</v>
      </c>
      <c r="AV219" s="1033">
        <f t="shared" si="587"/>
        <v>0.20841900103183403</v>
      </c>
      <c r="AW219" s="1033">
        <f t="shared" si="587"/>
        <v>0.20154775098406391</v>
      </c>
      <c r="AX219" s="1033">
        <f t="shared" si="587"/>
        <v>0.31016165399166895</v>
      </c>
      <c r="AY219" s="1033">
        <f t="shared" si="587"/>
        <v>0.27987159399243322</v>
      </c>
      <c r="AZ219" s="1033">
        <f t="shared" si="588"/>
        <v>0.24682377507251868</v>
      </c>
      <c r="BA219" s="1033">
        <f t="shared" si="588"/>
        <v>0.18000930973814389</v>
      </c>
      <c r="BB219" s="1033">
        <f t="shared" si="588"/>
        <v>0.22430946200758983</v>
      </c>
      <c r="BC219" s="1033">
        <f t="shared" si="588"/>
        <v>0.34885745318174766</v>
      </c>
      <c r="BD219" s="1033">
        <f t="shared" si="589"/>
        <v>0.26583160557127983</v>
      </c>
      <c r="BE219" s="1033">
        <f t="shared" si="589"/>
        <v>0.18772529013498052</v>
      </c>
      <c r="BF219" s="1033">
        <f t="shared" si="589"/>
        <v>0.25061296122643861</v>
      </c>
      <c r="BG219" s="1033">
        <f t="shared" si="589"/>
        <v>0.29583014306730099</v>
      </c>
      <c r="BH219" s="1033">
        <f t="shared" si="590"/>
        <v>0.17990637345985244</v>
      </c>
      <c r="BI219" s="1033">
        <f t="shared" si="590"/>
        <v>0.19802584501410109</v>
      </c>
      <c r="BJ219" s="1033">
        <f t="shared" si="590"/>
        <v>0.26489936800582087</v>
      </c>
      <c r="BK219" s="1033">
        <f t="shared" si="590"/>
        <v>0.3571684135202256</v>
      </c>
      <c r="BL219" s="1033">
        <f t="shared" si="591"/>
        <v>0.2099971683342032</v>
      </c>
      <c r="BM219" s="1033">
        <f t="shared" si="591"/>
        <v>0.2040298490888699</v>
      </c>
      <c r="BN219" s="1033">
        <f t="shared" si="591"/>
        <v>0.27430790756554474</v>
      </c>
      <c r="BO219" s="1033">
        <f t="shared" si="592"/>
        <v>0.3375411157012369</v>
      </c>
      <c r="BP219" s="2174">
        <f t="shared" si="592"/>
        <v>0.233050108539438</v>
      </c>
      <c r="BQ219" s="1801">
        <f>+Inputs!AO223</f>
        <v>0.2040298490888699</v>
      </c>
      <c r="BR219" s="1801">
        <f>+Inputs!AP223</f>
        <v>0.27430790756554474</v>
      </c>
      <c r="BS219" s="2132">
        <f>+Inputs!AQ223</f>
        <v>0.28861213480614745</v>
      </c>
      <c r="BT219" s="2137">
        <f>+Inputs!AR223</f>
        <v>0.233050108539438</v>
      </c>
      <c r="BU219" s="1801">
        <f>+Inputs!AS223</f>
        <v>0.2040298490888699</v>
      </c>
      <c r="BV219" s="1801">
        <f>+Inputs!AT223</f>
        <v>0.27430790756554474</v>
      </c>
      <c r="BW219" s="2132">
        <f>+Inputs!AU223</f>
        <v>0.28861213480614745</v>
      </c>
      <c r="BX219" s="2137">
        <f>+Inputs!AV223</f>
        <v>0.233050108539438</v>
      </c>
      <c r="BY219" s="1801">
        <f>+Inputs!AW223</f>
        <v>0.2040298490888699</v>
      </c>
      <c r="BZ219" s="1801">
        <f>+Inputs!AX223</f>
        <v>0.27430790756554474</v>
      </c>
      <c r="CA219" s="2132">
        <f>+Inputs!AY223</f>
        <v>0.28861213480614745</v>
      </c>
      <c r="CB219" s="2137">
        <f>+Inputs!AZ223</f>
        <v>0.233050108539438</v>
      </c>
      <c r="CC219" s="1801">
        <f>+Inputs!BA223</f>
        <v>0.2040298490888699</v>
      </c>
      <c r="CD219" s="1801">
        <f>+Inputs!BB223</f>
        <v>0.27430790756554474</v>
      </c>
      <c r="CE219" s="2132">
        <f>+Inputs!BC223</f>
        <v>0.28861213480614745</v>
      </c>
      <c r="CF219" s="2137">
        <f>+Inputs!BD223</f>
        <v>0.233050108539438</v>
      </c>
      <c r="CG219" s="1801">
        <f>+Inputs!BE223</f>
        <v>0.2040298490888699</v>
      </c>
      <c r="CH219" s="1801">
        <f>+Inputs!BF223</f>
        <v>0.27430790756554474</v>
      </c>
      <c r="CI219" s="2132">
        <f>+Inputs!BG223</f>
        <v>0.28861213480614745</v>
      </c>
      <c r="CJ219" s="2137">
        <f>+Inputs!BH223</f>
        <v>0.233050108539438</v>
      </c>
      <c r="CK219" s="1801">
        <f>+Inputs!BI223</f>
        <v>0.2040298490888699</v>
      </c>
      <c r="CL219" s="1801">
        <f>+Inputs!BJ223</f>
        <v>0.27430790756554474</v>
      </c>
      <c r="CM219" s="2132">
        <f>+Inputs!BK223</f>
        <v>0.28861213480614745</v>
      </c>
      <c r="CN219" s="2137">
        <f>+Inputs!BL223</f>
        <v>0.233050108539438</v>
      </c>
      <c r="CO219" s="1801">
        <f>+Inputs!BM223</f>
        <v>0.2040298490888699</v>
      </c>
      <c r="CP219" s="1801">
        <f>+Inputs!BN223</f>
        <v>0.27430790756554474</v>
      </c>
      <c r="CQ219" s="2132">
        <f>+Inputs!BO223</f>
        <v>0.28861213480614745</v>
      </c>
      <c r="CR219" s="2137">
        <f>+Inputs!BP223</f>
        <v>0.233050108539438</v>
      </c>
      <c r="CS219" s="1801">
        <f>+Inputs!BQ223</f>
        <v>0.2040298490888699</v>
      </c>
      <c r="CT219" s="1801">
        <f>+Inputs!BR223</f>
        <v>0.27430790756554474</v>
      </c>
      <c r="CU219" s="2132">
        <f>+Inputs!BS223</f>
        <v>0.28861213480614745</v>
      </c>
    </row>
    <row r="220" spans="1:99">
      <c r="A220" s="157" t="s">
        <v>161</v>
      </c>
      <c r="B220" s="348"/>
      <c r="C220" s="348"/>
      <c r="D220" s="348"/>
      <c r="E220" s="348"/>
      <c r="F220" s="348"/>
      <c r="G220" s="348"/>
      <c r="H220" s="348"/>
      <c r="I220" s="348"/>
      <c r="J220" s="746"/>
      <c r="K220" s="746"/>
      <c r="L220" s="746"/>
      <c r="M220" s="749"/>
      <c r="N220" s="348"/>
      <c r="O220" s="348"/>
      <c r="P220" s="348"/>
      <c r="Q220" s="348"/>
      <c r="R220" s="746"/>
      <c r="S220" s="746"/>
      <c r="T220" s="746"/>
      <c r="U220" s="746"/>
      <c r="V220" s="414"/>
      <c r="W220" s="348"/>
      <c r="X220" s="1033">
        <f t="shared" si="581"/>
        <v>0.23973457921340399</v>
      </c>
      <c r="Y220" s="1033">
        <f t="shared" si="581"/>
        <v>0.48292285075618746</v>
      </c>
      <c r="Z220" s="1033">
        <f t="shared" si="581"/>
        <v>0.18017600741083833</v>
      </c>
      <c r="AA220" s="1033">
        <f t="shared" si="581"/>
        <v>9.7166562619570268E-2</v>
      </c>
      <c r="AB220" s="60">
        <f t="shared" si="582"/>
        <v>0.28537759336099583</v>
      </c>
      <c r="AC220" s="60">
        <f t="shared" si="582"/>
        <v>0.26501798063623788</v>
      </c>
      <c r="AD220" s="60">
        <f t="shared" si="582"/>
        <v>7.1026279391424613E-2</v>
      </c>
      <c r="AE220" s="60">
        <f t="shared" si="582"/>
        <v>0.37857814661134159</v>
      </c>
      <c r="AF220" s="1033">
        <f t="shared" si="583"/>
        <v>0.18950407258480259</v>
      </c>
      <c r="AG220" s="1033">
        <f t="shared" si="583"/>
        <v>0.71801216620270136</v>
      </c>
      <c r="AH220" s="1033">
        <f t="shared" si="583"/>
        <v>9.2483761212496129E-2</v>
      </c>
      <c r="AI220" s="1033">
        <f t="shared" si="583"/>
        <v>0</v>
      </c>
      <c r="AJ220" s="1033">
        <f t="shared" si="584"/>
        <v>0.17177799561219251</v>
      </c>
      <c r="AK220" s="1033">
        <f t="shared" si="584"/>
        <v>0.74891471782663488</v>
      </c>
      <c r="AL220" s="1033">
        <f t="shared" si="584"/>
        <v>7.9307286561172571E-2</v>
      </c>
      <c r="AM220" s="1033">
        <f t="shared" si="584"/>
        <v>0</v>
      </c>
      <c r="AN220" s="1033">
        <f t="shared" si="585"/>
        <v>0.28267812783407592</v>
      </c>
      <c r="AO220" s="1033">
        <f t="shared" si="585"/>
        <v>0.38389653404834195</v>
      </c>
      <c r="AP220" s="1033">
        <f t="shared" si="585"/>
        <v>0.33342533811758207</v>
      </c>
      <c r="AQ220" s="1033">
        <f t="shared" si="585"/>
        <v>0</v>
      </c>
      <c r="AR220" s="1033">
        <f t="shared" si="586"/>
        <v>0</v>
      </c>
      <c r="AS220" s="1033">
        <f t="shared" si="586"/>
        <v>0</v>
      </c>
      <c r="AT220" s="1033">
        <f t="shared" si="586"/>
        <v>0.5622848537005164</v>
      </c>
      <c r="AU220" s="1033">
        <f t="shared" si="586"/>
        <v>0.43771514629948366</v>
      </c>
      <c r="AV220" s="1033">
        <f t="shared" si="587"/>
        <v>0.10036547652516166</v>
      </c>
      <c r="AW220" s="1033">
        <f t="shared" si="587"/>
        <v>7.7263448680495297E-2</v>
      </c>
      <c r="AX220" s="1033">
        <f t="shared" si="587"/>
        <v>0.62495263473127094</v>
      </c>
      <c r="AY220" s="1033">
        <f t="shared" si="587"/>
        <v>0.19741844006307221</v>
      </c>
      <c r="AZ220" s="1033">
        <f t="shared" si="588"/>
        <v>0.45933081619537275</v>
      </c>
      <c r="BA220" s="1033">
        <f t="shared" si="588"/>
        <v>0.5210408633247644</v>
      </c>
      <c r="BB220" s="1033">
        <f t="shared" si="588"/>
        <v>1.9628320479862894E-2</v>
      </c>
      <c r="BC220" s="1033">
        <f t="shared" si="588"/>
        <v>0</v>
      </c>
      <c r="BD220" s="1033">
        <f t="shared" si="589"/>
        <v>1</v>
      </c>
      <c r="BE220" s="1033">
        <f t="shared" si="589"/>
        <v>0</v>
      </c>
      <c r="BF220" s="1033">
        <f t="shared" si="589"/>
        <v>0</v>
      </c>
      <c r="BG220" s="1033">
        <f t="shared" si="589"/>
        <v>0</v>
      </c>
      <c r="BH220" s="1033">
        <f t="shared" si="590"/>
        <v>0</v>
      </c>
      <c r="BI220" s="1033">
        <f t="shared" si="590"/>
        <v>0.67023086811463894</v>
      </c>
      <c r="BJ220" s="1033">
        <f t="shared" si="590"/>
        <v>0.329769131885361</v>
      </c>
      <c r="BK220" s="1033">
        <f t="shared" si="590"/>
        <v>0</v>
      </c>
      <c r="BL220" s="1033">
        <f t="shared" si="591"/>
        <v>0</v>
      </c>
      <c r="BM220" s="1033">
        <f t="shared" si="591"/>
        <v>0.61046781994047616</v>
      </c>
      <c r="BN220" s="1033">
        <f t="shared" si="591"/>
        <v>0</v>
      </c>
      <c r="BO220" s="1033">
        <f t="shared" si="592"/>
        <v>0.12448450352581011</v>
      </c>
      <c r="BP220" s="2174">
        <f t="shared" si="592"/>
        <v>5.1493918070427032E-3</v>
      </c>
      <c r="BQ220" s="1801">
        <f>+Inputs!AO224</f>
        <v>0.61046781994047616</v>
      </c>
      <c r="BR220" s="1801">
        <f>+Inputs!AP224</f>
        <v>0</v>
      </c>
      <c r="BS220" s="2132">
        <f>+Inputs!AQ224</f>
        <v>0.38438278825248118</v>
      </c>
      <c r="BT220" s="2137">
        <f>+Inputs!AR224</f>
        <v>5.1493918070427032E-3</v>
      </c>
      <c r="BU220" s="1801">
        <f>+Inputs!AS224</f>
        <v>0.61046781994047616</v>
      </c>
      <c r="BV220" s="1801">
        <f>+Inputs!AT224</f>
        <v>0</v>
      </c>
      <c r="BW220" s="2132">
        <f>+Inputs!AU224</f>
        <v>0.38438278825248118</v>
      </c>
      <c r="BX220" s="2137">
        <f>+Inputs!AV224</f>
        <v>5.1493918070427032E-3</v>
      </c>
      <c r="BY220" s="1801">
        <f>+Inputs!AW224</f>
        <v>0.61046781994047616</v>
      </c>
      <c r="BZ220" s="1801">
        <f>+Inputs!AX224</f>
        <v>0</v>
      </c>
      <c r="CA220" s="2132">
        <f>+Inputs!AY224</f>
        <v>0.38438278825248118</v>
      </c>
      <c r="CB220" s="2137">
        <f>+Inputs!AZ224</f>
        <v>5.1493918070427032E-3</v>
      </c>
      <c r="CC220" s="1801">
        <f>+Inputs!BA224</f>
        <v>0.61046781994047616</v>
      </c>
      <c r="CD220" s="1801">
        <f>+Inputs!BB224</f>
        <v>0</v>
      </c>
      <c r="CE220" s="2132">
        <f>+Inputs!BC224</f>
        <v>0.38438278825248118</v>
      </c>
      <c r="CF220" s="2137">
        <f>+Inputs!BD224</f>
        <v>5.1493918070427032E-3</v>
      </c>
      <c r="CG220" s="1801">
        <f>+Inputs!BE224</f>
        <v>0.61046781994047616</v>
      </c>
      <c r="CH220" s="1801">
        <f>+Inputs!BF224</f>
        <v>0</v>
      </c>
      <c r="CI220" s="2132">
        <f>+Inputs!BG224</f>
        <v>0.38438278825248118</v>
      </c>
      <c r="CJ220" s="2137">
        <f>+Inputs!BH224</f>
        <v>5.1493918070427032E-3</v>
      </c>
      <c r="CK220" s="1801">
        <f>+Inputs!BI224</f>
        <v>0.61046781994047616</v>
      </c>
      <c r="CL220" s="1801">
        <f>+Inputs!BJ224</f>
        <v>0</v>
      </c>
      <c r="CM220" s="2132">
        <f>+Inputs!BK224</f>
        <v>0.38438278825248118</v>
      </c>
      <c r="CN220" s="2137">
        <f>+Inputs!BL224</f>
        <v>5.1493918070427032E-3</v>
      </c>
      <c r="CO220" s="1801">
        <f>+Inputs!BM224</f>
        <v>0.61046781994047616</v>
      </c>
      <c r="CP220" s="1801">
        <f>+Inputs!BN224</f>
        <v>0</v>
      </c>
      <c r="CQ220" s="2132">
        <f>+Inputs!BO224</f>
        <v>0.38438278825248118</v>
      </c>
      <c r="CR220" s="2137">
        <f>+Inputs!BP224</f>
        <v>5.1493918070427032E-3</v>
      </c>
      <c r="CS220" s="1801">
        <f>+Inputs!BQ224</f>
        <v>0.61046781994047616</v>
      </c>
      <c r="CT220" s="1801">
        <f>+Inputs!BR224</f>
        <v>0</v>
      </c>
      <c r="CU220" s="2132">
        <f>+Inputs!BS224</f>
        <v>0.38438278825248118</v>
      </c>
    </row>
    <row r="221" spans="1:99">
      <c r="A221" s="157" t="s">
        <v>1064</v>
      </c>
      <c r="B221" s="348"/>
      <c r="C221" s="348"/>
      <c r="D221" s="348"/>
      <c r="E221" s="348"/>
      <c r="F221" s="348"/>
      <c r="G221" s="348"/>
      <c r="H221" s="348"/>
      <c r="I221" s="348"/>
      <c r="J221" s="746"/>
      <c r="K221" s="746"/>
      <c r="L221" s="746"/>
      <c r="M221" s="749"/>
      <c r="N221" s="348"/>
      <c r="O221" s="348"/>
      <c r="P221" s="348"/>
      <c r="Q221" s="348"/>
      <c r="R221" s="746"/>
      <c r="S221" s="746"/>
      <c r="T221" s="746"/>
      <c r="U221" s="746"/>
      <c r="V221" s="414"/>
      <c r="W221" s="348"/>
      <c r="X221" s="1033">
        <f t="shared" si="581"/>
        <v>0.18025972589609118</v>
      </c>
      <c r="Y221" s="1033">
        <f t="shared" si="581"/>
        <v>0.27717306150287097</v>
      </c>
      <c r="Z221" s="1033">
        <f t="shared" si="581"/>
        <v>0.28358786716928264</v>
      </c>
      <c r="AA221" s="1033">
        <f t="shared" si="581"/>
        <v>0.2589793454317551</v>
      </c>
      <c r="AB221" s="60">
        <f t="shared" si="582"/>
        <v>0.17341286749041332</v>
      </c>
      <c r="AC221" s="60">
        <f t="shared" si="582"/>
        <v>0.24049424797613977</v>
      </c>
      <c r="AD221" s="60">
        <f t="shared" si="582"/>
        <v>0.28915210907541544</v>
      </c>
      <c r="AE221" s="60">
        <f t="shared" si="582"/>
        <v>0.29694077545803149</v>
      </c>
      <c r="AF221" s="1033">
        <f t="shared" si="583"/>
        <v>0.12099733920543168</v>
      </c>
      <c r="AG221" s="1033">
        <f t="shared" si="583"/>
        <v>0.2489486803070618</v>
      </c>
      <c r="AH221" s="1033">
        <f t="shared" si="583"/>
        <v>0.2242101721870508</v>
      </c>
      <c r="AI221" s="1033">
        <f t="shared" si="583"/>
        <v>0.40584380830045569</v>
      </c>
      <c r="AJ221" s="1033">
        <f t="shared" si="584"/>
        <v>0.18632619072402565</v>
      </c>
      <c r="AK221" s="1033">
        <f t="shared" si="584"/>
        <v>0.21130425731237643</v>
      </c>
      <c r="AL221" s="1033">
        <f t="shared" si="584"/>
        <v>0.35504617169028541</v>
      </c>
      <c r="AM221" s="1033">
        <f t="shared" si="584"/>
        <v>0.24732338027331263</v>
      </c>
      <c r="AN221" s="1033">
        <f t="shared" si="585"/>
        <v>0.20104792504929303</v>
      </c>
      <c r="AO221" s="1033">
        <f t="shared" si="585"/>
        <v>0.1866801210898083</v>
      </c>
      <c r="AP221" s="1033">
        <f t="shared" si="585"/>
        <v>0.34098518465351346</v>
      </c>
      <c r="AQ221" s="1033">
        <f t="shared" si="585"/>
        <v>0.27128676920738531</v>
      </c>
      <c r="AR221" s="1033">
        <f t="shared" si="586"/>
        <v>0.24148779841487797</v>
      </c>
      <c r="AS221" s="1033">
        <f t="shared" si="586"/>
        <v>0.19205511792055119</v>
      </c>
      <c r="AT221" s="1033">
        <f t="shared" si="586"/>
        <v>0.2659150586591506</v>
      </c>
      <c r="AU221" s="1033">
        <f t="shared" si="586"/>
        <v>0.30054202500542021</v>
      </c>
      <c r="AV221" s="1033">
        <f t="shared" si="587"/>
        <v>0.2236072153980076</v>
      </c>
      <c r="AW221" s="1033">
        <f t="shared" si="587"/>
        <v>0.19155624335042076</v>
      </c>
      <c r="AX221" s="1033">
        <f t="shared" si="587"/>
        <v>0.29202534094206406</v>
      </c>
      <c r="AY221" s="1033">
        <f t="shared" si="587"/>
        <v>0.29281120030950775</v>
      </c>
      <c r="AZ221" s="1033">
        <f t="shared" si="588"/>
        <v>0.23273372267617196</v>
      </c>
      <c r="BA221" s="1033">
        <f t="shared" si="588"/>
        <v>0.1540002637209322</v>
      </c>
      <c r="BB221" s="1033">
        <f t="shared" si="588"/>
        <v>0.26002033203316077</v>
      </c>
      <c r="BC221" s="1033">
        <f t="shared" si="588"/>
        <v>0.35324568156973501</v>
      </c>
      <c r="BD221" s="1033">
        <f t="shared" si="589"/>
        <v>0.15074681513229449</v>
      </c>
      <c r="BE221" s="1033">
        <f t="shared" si="589"/>
        <v>0.16755688609857744</v>
      </c>
      <c r="BF221" s="1033">
        <f t="shared" si="589"/>
        <v>0.19005825911846738</v>
      </c>
      <c r="BG221" s="1033">
        <f t="shared" si="589"/>
        <v>0.49163803965066066</v>
      </c>
      <c r="BH221" s="1033">
        <f t="shared" si="590"/>
        <v>0.14357981799165695</v>
      </c>
      <c r="BI221" s="1033">
        <f t="shared" si="590"/>
        <v>8.6250796436771943E-2</v>
      </c>
      <c r="BJ221" s="1033">
        <f t="shared" si="590"/>
        <v>0.38251565824747846</v>
      </c>
      <c r="BK221" s="1033">
        <f t="shared" si="590"/>
        <v>0.3876537273240927</v>
      </c>
      <c r="BL221" s="1033">
        <f t="shared" si="591"/>
        <v>0.22495575618851735</v>
      </c>
      <c r="BM221" s="1033">
        <f t="shared" si="591"/>
        <v>0.26370809318532978</v>
      </c>
      <c r="BN221" s="1033">
        <f t="shared" si="591"/>
        <v>0.30619962508206011</v>
      </c>
      <c r="BO221" s="1033">
        <f t="shared" si="592"/>
        <v>0.1975908539004364</v>
      </c>
      <c r="BP221" s="2174">
        <f t="shared" si="592"/>
        <v>0.15795054277917364</v>
      </c>
      <c r="BQ221" s="1801">
        <f>+Inputs!AO225</f>
        <v>0.26370809318532978</v>
      </c>
      <c r="BR221" s="1801">
        <f>+Inputs!AP225</f>
        <v>0.30619962508206011</v>
      </c>
      <c r="BS221" s="2132">
        <f>+Inputs!AQ225</f>
        <v>0.27214173895343641</v>
      </c>
      <c r="BT221" s="2137">
        <f>+Inputs!AR225</f>
        <v>0.15795054277917364</v>
      </c>
      <c r="BU221" s="1801">
        <f>+Inputs!AS225</f>
        <v>0.26370809318532978</v>
      </c>
      <c r="BV221" s="1801">
        <f>+Inputs!AT225</f>
        <v>0.30619962508206011</v>
      </c>
      <c r="BW221" s="2132">
        <f>+Inputs!AU225</f>
        <v>0.27214173895343641</v>
      </c>
      <c r="BX221" s="2137">
        <f>+Inputs!AV225</f>
        <v>0.15795054277917364</v>
      </c>
      <c r="BY221" s="1801">
        <f>+Inputs!AW225</f>
        <v>0.26370809318532978</v>
      </c>
      <c r="BZ221" s="1801">
        <f>+Inputs!AX225</f>
        <v>0.30619962508206011</v>
      </c>
      <c r="CA221" s="2132">
        <f>+Inputs!AY225</f>
        <v>0.27214173895343641</v>
      </c>
      <c r="CB221" s="2137">
        <f>+Inputs!AZ225</f>
        <v>0.15795054277917364</v>
      </c>
      <c r="CC221" s="1801">
        <f>+Inputs!BA225</f>
        <v>0.26370809318532978</v>
      </c>
      <c r="CD221" s="1801">
        <f>+Inputs!BB225</f>
        <v>0.30619962508206011</v>
      </c>
      <c r="CE221" s="2132">
        <f>+Inputs!BC225</f>
        <v>0.27214173895343641</v>
      </c>
      <c r="CF221" s="2137">
        <f>+Inputs!BD225</f>
        <v>0.15795054277917364</v>
      </c>
      <c r="CG221" s="1801">
        <f>+Inputs!BE225</f>
        <v>0.26370809318532978</v>
      </c>
      <c r="CH221" s="1801">
        <f>+Inputs!BF225</f>
        <v>0.30619962508206011</v>
      </c>
      <c r="CI221" s="2132">
        <f>+Inputs!BG225</f>
        <v>0.27214173895343641</v>
      </c>
      <c r="CJ221" s="2137">
        <f>+Inputs!BH225</f>
        <v>0.15795054277917364</v>
      </c>
      <c r="CK221" s="1801">
        <f>+Inputs!BI225</f>
        <v>0.26370809318532978</v>
      </c>
      <c r="CL221" s="1801">
        <f>+Inputs!BJ225</f>
        <v>0.30619962508206011</v>
      </c>
      <c r="CM221" s="2132">
        <f>+Inputs!BK225</f>
        <v>0.27214173895343641</v>
      </c>
      <c r="CN221" s="2137">
        <f>+Inputs!BL225</f>
        <v>0.15795054277917364</v>
      </c>
      <c r="CO221" s="1801">
        <f>+Inputs!BM225</f>
        <v>0.26370809318532978</v>
      </c>
      <c r="CP221" s="1801">
        <f>+Inputs!BN225</f>
        <v>0.30619962508206011</v>
      </c>
      <c r="CQ221" s="2132">
        <f>+Inputs!BO225</f>
        <v>0.27214173895343641</v>
      </c>
      <c r="CR221" s="2137">
        <f>+Inputs!BP225</f>
        <v>0.15795054277917364</v>
      </c>
      <c r="CS221" s="1801">
        <f>+Inputs!BQ225</f>
        <v>0.26370809318532978</v>
      </c>
      <c r="CT221" s="1801">
        <f>+Inputs!BR225</f>
        <v>0.30619962508206011</v>
      </c>
      <c r="CU221" s="2132">
        <f>+Inputs!BS225</f>
        <v>0.27214173895343641</v>
      </c>
    </row>
    <row r="222" spans="1:99">
      <c r="A222" s="157" t="s">
        <v>1065</v>
      </c>
      <c r="B222" s="348"/>
      <c r="C222" s="348"/>
      <c r="D222" s="348"/>
      <c r="E222" s="348"/>
      <c r="F222" s="348"/>
      <c r="G222" s="348"/>
      <c r="H222" s="348"/>
      <c r="I222" s="348"/>
      <c r="J222" s="746"/>
      <c r="K222" s="746"/>
      <c r="L222" s="746"/>
      <c r="M222" s="749"/>
      <c r="N222" s="348"/>
      <c r="O222" s="348"/>
      <c r="P222" s="348"/>
      <c r="Q222" s="348"/>
      <c r="R222" s="746"/>
      <c r="S222" s="746"/>
      <c r="T222" s="746"/>
      <c r="U222" s="746"/>
      <c r="V222" s="414"/>
      <c r="W222" s="348"/>
      <c r="X222" s="1033">
        <f t="shared" si="581"/>
        <v>0.25924923909367603</v>
      </c>
      <c r="Y222" s="1033">
        <f t="shared" si="581"/>
        <v>0.3152857625972269</v>
      </c>
      <c r="Z222" s="1033">
        <f t="shared" si="581"/>
        <v>0.24984781873520459</v>
      </c>
      <c r="AA222" s="1033">
        <f t="shared" si="581"/>
        <v>0.17561717957389245</v>
      </c>
      <c r="AB222" s="60">
        <f t="shared" si="582"/>
        <v>0.2870149577281596</v>
      </c>
      <c r="AC222" s="60">
        <f t="shared" si="582"/>
        <v>0.34366644988799772</v>
      </c>
      <c r="AD222" s="60">
        <f t="shared" si="582"/>
        <v>7.0561456752655544E-2</v>
      </c>
      <c r="AE222" s="60">
        <f t="shared" si="582"/>
        <v>0.29875713563118728</v>
      </c>
      <c r="AF222" s="1033">
        <f t="shared" si="583"/>
        <v>0</v>
      </c>
      <c r="AG222" s="1033">
        <f t="shared" si="583"/>
        <v>0.17779318112896939</v>
      </c>
      <c r="AH222" s="1033">
        <f t="shared" si="583"/>
        <v>0.19568513624745487</v>
      </c>
      <c r="AI222" s="1033">
        <f t="shared" si="583"/>
        <v>0.62652168262357577</v>
      </c>
      <c r="AJ222" s="1033">
        <f t="shared" si="584"/>
        <v>0.20381945195406276</v>
      </c>
      <c r="AK222" s="1033">
        <f t="shared" si="584"/>
        <v>0.48898068646322213</v>
      </c>
      <c r="AL222" s="1033">
        <f t="shared" si="584"/>
        <v>0.10039578692389213</v>
      </c>
      <c r="AM222" s="1033">
        <f t="shared" si="584"/>
        <v>0.206804074658823</v>
      </c>
      <c r="AN222" s="1033">
        <f t="shared" si="585"/>
        <v>0.17846659621932606</v>
      </c>
      <c r="AO222" s="1033">
        <f t="shared" si="585"/>
        <v>0.22594027631012484</v>
      </c>
      <c r="AP222" s="1033">
        <f t="shared" si="585"/>
        <v>0.4152870729129976</v>
      </c>
      <c r="AQ222" s="1033">
        <f t="shared" si="585"/>
        <v>0.18030605455755158</v>
      </c>
      <c r="AR222" s="1033">
        <f t="shared" si="586"/>
        <v>3.7575860100230486E-2</v>
      </c>
      <c r="AS222" s="1033">
        <f t="shared" si="586"/>
        <v>0.14592628618553213</v>
      </c>
      <c r="AT222" s="1033">
        <f t="shared" si="586"/>
        <v>0.45469539658708846</v>
      </c>
      <c r="AU222" s="1033">
        <f t="shared" si="586"/>
        <v>0.36180245712714892</v>
      </c>
      <c r="AV222" s="1033">
        <f t="shared" si="587"/>
        <v>0.19480972572594063</v>
      </c>
      <c r="AW222" s="1033">
        <f t="shared" si="587"/>
        <v>0.35610004830658581</v>
      </c>
      <c r="AX222" s="1033">
        <f t="shared" si="587"/>
        <v>6.2986420481992378E-2</v>
      </c>
      <c r="AY222" s="1033">
        <f t="shared" si="587"/>
        <v>0.38610380548548118</v>
      </c>
      <c r="AZ222" s="1033">
        <f t="shared" si="588"/>
        <v>4.3160760090038212E-2</v>
      </c>
      <c r="BA222" s="1033">
        <f t="shared" si="588"/>
        <v>0.59285190807726529</v>
      </c>
      <c r="BB222" s="1033">
        <f t="shared" si="588"/>
        <v>0.24914934826990523</v>
      </c>
      <c r="BC222" s="1033">
        <f t="shared" si="588"/>
        <v>0.11483798356279118</v>
      </c>
      <c r="BD222" s="1033">
        <f t="shared" si="589"/>
        <v>0</v>
      </c>
      <c r="BE222" s="1033">
        <f t="shared" si="589"/>
        <v>0.2977879601832833</v>
      </c>
      <c r="BF222" s="1033">
        <f t="shared" si="589"/>
        <v>0.22494864907568335</v>
      </c>
      <c r="BG222" s="1033">
        <f t="shared" si="589"/>
        <v>0.4772633907410333</v>
      </c>
      <c r="BH222" s="1033">
        <f t="shared" si="590"/>
        <v>0</v>
      </c>
      <c r="BI222" s="1033">
        <f t="shared" si="590"/>
        <v>0.51936677057646674</v>
      </c>
      <c r="BJ222" s="1033">
        <f t="shared" si="590"/>
        <v>0.28346438375284977</v>
      </c>
      <c r="BK222" s="1033">
        <f t="shared" si="590"/>
        <v>0.19716884567068346</v>
      </c>
      <c r="BL222" s="1033">
        <f t="shared" si="591"/>
        <v>0.23214476638511711</v>
      </c>
      <c r="BM222" s="1033">
        <f t="shared" si="591"/>
        <v>0.38126804233935635</v>
      </c>
      <c r="BN222" s="1033">
        <f t="shared" si="591"/>
        <v>0.28355875120282259</v>
      </c>
      <c r="BO222" s="1033">
        <f t="shared" si="592"/>
        <v>8.9668729353743065E-2</v>
      </c>
      <c r="BP222" s="2174">
        <f t="shared" si="592"/>
        <v>0.13149630112129529</v>
      </c>
      <c r="BQ222" s="1801">
        <f>+Inputs!AO226</f>
        <v>0.38126804233935635</v>
      </c>
      <c r="BR222" s="1801">
        <f>+Inputs!AP226</f>
        <v>0.28355875120282259</v>
      </c>
      <c r="BS222" s="2132">
        <f>+Inputs!AQ226</f>
        <v>0.20367690533652572</v>
      </c>
      <c r="BT222" s="2137">
        <f>+Inputs!AR226</f>
        <v>0.13149630112129529</v>
      </c>
      <c r="BU222" s="1801">
        <f>+Inputs!AS226</f>
        <v>0.38126804233935635</v>
      </c>
      <c r="BV222" s="1801">
        <f>+Inputs!AT226</f>
        <v>0.28355875120282259</v>
      </c>
      <c r="BW222" s="2132">
        <f>+Inputs!AU226</f>
        <v>0.20367690533652572</v>
      </c>
      <c r="BX222" s="2137">
        <f>+Inputs!AV226</f>
        <v>0.13149630112129529</v>
      </c>
      <c r="BY222" s="1801">
        <f>+Inputs!AW226</f>
        <v>0.38126804233935635</v>
      </c>
      <c r="BZ222" s="1801">
        <f>+Inputs!AX226</f>
        <v>0.28355875120282259</v>
      </c>
      <c r="CA222" s="2132">
        <f>+Inputs!AY226</f>
        <v>0.20367690533652572</v>
      </c>
      <c r="CB222" s="2137">
        <f>+Inputs!AZ226</f>
        <v>0.13149630112129529</v>
      </c>
      <c r="CC222" s="1801">
        <f>+Inputs!BA226</f>
        <v>0.38126804233935635</v>
      </c>
      <c r="CD222" s="1801">
        <f>+Inputs!BB226</f>
        <v>0.28355875120282259</v>
      </c>
      <c r="CE222" s="2132">
        <f>+Inputs!BC226</f>
        <v>0.20367690533652572</v>
      </c>
      <c r="CF222" s="2137">
        <f>+Inputs!BD226</f>
        <v>0.13149630112129529</v>
      </c>
      <c r="CG222" s="1801">
        <f>+Inputs!BE226</f>
        <v>0.38126804233935635</v>
      </c>
      <c r="CH222" s="1801">
        <f>+Inputs!BF226</f>
        <v>0.28355875120282259</v>
      </c>
      <c r="CI222" s="2132">
        <f>+Inputs!BG226</f>
        <v>0.20367690533652572</v>
      </c>
      <c r="CJ222" s="2137">
        <f>+Inputs!BH226</f>
        <v>0.13149630112129529</v>
      </c>
      <c r="CK222" s="1801">
        <f>+Inputs!BI226</f>
        <v>0.38126804233935635</v>
      </c>
      <c r="CL222" s="1801">
        <f>+Inputs!BJ226</f>
        <v>0.28355875120282259</v>
      </c>
      <c r="CM222" s="2132">
        <f>+Inputs!BK226</f>
        <v>0.20367690533652572</v>
      </c>
      <c r="CN222" s="2137">
        <f>+Inputs!BL226</f>
        <v>0.13149630112129529</v>
      </c>
      <c r="CO222" s="1801">
        <f>+Inputs!BM226</f>
        <v>0.38126804233935635</v>
      </c>
      <c r="CP222" s="1801">
        <f>+Inputs!BN226</f>
        <v>0.28355875120282259</v>
      </c>
      <c r="CQ222" s="2132">
        <f>+Inputs!BO226</f>
        <v>0.20367690533652572</v>
      </c>
      <c r="CR222" s="2137">
        <f>+Inputs!BP226</f>
        <v>0.13149630112129529</v>
      </c>
      <c r="CS222" s="1801">
        <f>+Inputs!BQ226</f>
        <v>0.38126804233935635</v>
      </c>
      <c r="CT222" s="1801">
        <f>+Inputs!BR226</f>
        <v>0.28355875120282259</v>
      </c>
      <c r="CU222" s="2132">
        <f>+Inputs!BS226</f>
        <v>0.20367690533652572</v>
      </c>
    </row>
    <row r="223" spans="1:99" s="14" customFormat="1">
      <c r="A223" s="251" t="s">
        <v>1501</v>
      </c>
      <c r="B223" s="752"/>
      <c r="C223" s="752"/>
      <c r="D223" s="752"/>
      <c r="E223" s="752"/>
      <c r="F223" s="752"/>
      <c r="G223" s="752"/>
      <c r="H223" s="752"/>
      <c r="I223" s="752"/>
      <c r="J223" s="752"/>
      <c r="K223" s="752"/>
      <c r="L223" s="752"/>
      <c r="M223" s="1480"/>
      <c r="N223" s="752"/>
      <c r="O223" s="752"/>
      <c r="P223" s="752"/>
      <c r="Q223" s="752"/>
      <c r="R223" s="752"/>
      <c r="S223" s="752"/>
      <c r="T223" s="752"/>
      <c r="U223" s="752"/>
      <c r="V223" s="753"/>
      <c r="W223" s="752"/>
      <c r="X223" s="1034"/>
      <c r="Y223" s="1034"/>
      <c r="Z223" s="1034"/>
      <c r="AA223" s="1034"/>
      <c r="AB223" s="510"/>
      <c r="AC223" s="510"/>
      <c r="AD223" s="510"/>
      <c r="AE223" s="510"/>
      <c r="AF223" s="1034"/>
      <c r="AG223" s="1034"/>
      <c r="AH223" s="1034"/>
      <c r="AI223" s="1034"/>
      <c r="AJ223" s="1034"/>
      <c r="AK223" s="1034"/>
      <c r="AL223" s="1034"/>
      <c r="AM223" s="1034"/>
      <c r="AN223" s="1034"/>
      <c r="AO223" s="1034"/>
      <c r="AP223" s="1034"/>
      <c r="AQ223" s="1034"/>
      <c r="AR223" s="1034"/>
      <c r="AS223" s="1034"/>
      <c r="AT223" s="1034"/>
      <c r="AU223" s="1034"/>
      <c r="AV223" s="1034"/>
      <c r="AW223" s="1034"/>
      <c r="AX223" s="1034"/>
      <c r="AY223" s="1034"/>
      <c r="AZ223" s="1034"/>
      <c r="BA223" s="1034"/>
      <c r="BB223" s="1034"/>
      <c r="BC223" s="1034"/>
      <c r="BD223" s="1034">
        <f>1-SUM(BE223:BG223)</f>
        <v>0</v>
      </c>
      <c r="BE223" s="1034">
        <f>BE114/SUM($BD114:$BG114)</f>
        <v>0.57133968016924908</v>
      </c>
      <c r="BF223" s="1034">
        <f>BF114/SUM($BD114:$BG114)</f>
        <v>0.24640657084188913</v>
      </c>
      <c r="BG223" s="1034">
        <f>BG114/SUM($BD114:$BG114)</f>
        <v>0.18225374898886193</v>
      </c>
      <c r="BH223" s="1034">
        <f>BH114/SUM($BH114:$BK114)</f>
        <v>0.40782776575206237</v>
      </c>
      <c r="BI223" s="1034">
        <f>BI114/SUM($BH114:$BK114)</f>
        <v>0.15608728719358805</v>
      </c>
      <c r="BJ223" s="1034">
        <f>BJ114/SUM($BH114:$BK114)</f>
        <v>0.42634411747498985</v>
      </c>
      <c r="BK223" s="1034">
        <f>BK114/SUM($BH114:$BK114)</f>
        <v>9.7408295793599744E-3</v>
      </c>
      <c r="BL223" s="1034">
        <f>BL114/$M114</f>
        <v>0.2384799661797172</v>
      </c>
      <c r="BM223" s="1034">
        <f>BM114/$M114</f>
        <v>0.61233500868993374</v>
      </c>
      <c r="BN223" s="1034">
        <f>BN114/$M114</f>
        <v>0.13424773357132791</v>
      </c>
      <c r="BO223" s="1034">
        <f>BO114/SUM($BH114:$BK114)</f>
        <v>9.3605569531387146E-3</v>
      </c>
      <c r="BP223" s="2175">
        <f>BP114/SUM($BH114:$BK114)</f>
        <v>3.2352424969285684E-2</v>
      </c>
      <c r="BQ223" s="1802">
        <f>+Inputs!AO227</f>
        <v>0.61233500868993374</v>
      </c>
      <c r="BR223" s="1802">
        <f>+Inputs!AP227</f>
        <v>0.13424773357132791</v>
      </c>
      <c r="BS223" s="2133">
        <f>+Inputs!AQ227</f>
        <v>0.22106483276945266</v>
      </c>
      <c r="BT223" s="2138">
        <f>+Inputs!AR227</f>
        <v>3.2352424969285684E-2</v>
      </c>
      <c r="BU223" s="1802">
        <f>+Inputs!AS227</f>
        <v>0.61233500868993374</v>
      </c>
      <c r="BV223" s="1802">
        <f>+Inputs!AT227</f>
        <v>0.13424773357132791</v>
      </c>
      <c r="BW223" s="2133">
        <f>+Inputs!AU227</f>
        <v>0.22106483276945266</v>
      </c>
      <c r="BX223" s="2138">
        <f>+Inputs!AV227</f>
        <v>3.2352424969285684E-2</v>
      </c>
      <c r="BY223" s="1802">
        <f>+Inputs!AW227</f>
        <v>0.61233500868993374</v>
      </c>
      <c r="BZ223" s="1802">
        <f>+Inputs!AX227</f>
        <v>0.13424773357132791</v>
      </c>
      <c r="CA223" s="2133">
        <f>+Inputs!AY227</f>
        <v>0.22106483276945266</v>
      </c>
      <c r="CB223" s="2138">
        <f>+Inputs!AZ227</f>
        <v>3.2352424969285684E-2</v>
      </c>
      <c r="CC223" s="1802">
        <f>+Inputs!BA227</f>
        <v>0.61233500868993374</v>
      </c>
      <c r="CD223" s="1802">
        <f>+Inputs!BB227</f>
        <v>0.13424773357132791</v>
      </c>
      <c r="CE223" s="2133">
        <f>+Inputs!BC227</f>
        <v>0.22106483276945266</v>
      </c>
      <c r="CF223" s="2138">
        <f>+Inputs!BD227</f>
        <v>3.2352424969285684E-2</v>
      </c>
      <c r="CG223" s="1802">
        <f>+Inputs!BE227</f>
        <v>0.61233500868993374</v>
      </c>
      <c r="CH223" s="1802">
        <f>+Inputs!BF227</f>
        <v>0.13424773357132791</v>
      </c>
      <c r="CI223" s="2133">
        <f>+Inputs!BG227</f>
        <v>0.22106483276945266</v>
      </c>
      <c r="CJ223" s="2138">
        <f>+Inputs!BH227</f>
        <v>3.2352424969285684E-2</v>
      </c>
      <c r="CK223" s="1802">
        <f>+Inputs!BI227</f>
        <v>0.61233500868993374</v>
      </c>
      <c r="CL223" s="1802">
        <f>+Inputs!BJ227</f>
        <v>0.13424773357132791</v>
      </c>
      <c r="CM223" s="2133">
        <f>+Inputs!BK227</f>
        <v>0.22106483276945266</v>
      </c>
      <c r="CN223" s="2138">
        <f>+Inputs!BL227</f>
        <v>3.2352424969285684E-2</v>
      </c>
      <c r="CO223" s="1802">
        <f>+Inputs!BM227</f>
        <v>0.61233500868993374</v>
      </c>
      <c r="CP223" s="1802">
        <f>+Inputs!BN227</f>
        <v>0.13424773357132791</v>
      </c>
      <c r="CQ223" s="2133">
        <f>+Inputs!BO227</f>
        <v>0.22106483276945266</v>
      </c>
      <c r="CR223" s="2138">
        <f>+Inputs!BP227</f>
        <v>3.2352424969285684E-2</v>
      </c>
      <c r="CS223" s="1802">
        <f>+Inputs!BQ227</f>
        <v>0.61233500868993374</v>
      </c>
      <c r="CT223" s="1802">
        <f>+Inputs!BR227</f>
        <v>0.13424773357132791</v>
      </c>
      <c r="CU223" s="2133">
        <f>+Inputs!BS227</f>
        <v>0.22106483276945266</v>
      </c>
    </row>
    <row r="224" spans="1:99" s="14" customFormat="1">
      <c r="A224" s="251" t="s">
        <v>874</v>
      </c>
      <c r="B224" s="752"/>
      <c r="C224" s="752"/>
      <c r="D224" s="752"/>
      <c r="E224" s="752"/>
      <c r="F224" s="752"/>
      <c r="G224" s="752"/>
      <c r="H224" s="752"/>
      <c r="I224" s="752"/>
      <c r="J224" s="752"/>
      <c r="K224" s="752"/>
      <c r="L224" s="752"/>
      <c r="M224" s="1480"/>
      <c r="N224" s="752"/>
      <c r="O224" s="752"/>
      <c r="P224" s="752"/>
      <c r="Q224" s="752"/>
      <c r="R224" s="752"/>
      <c r="S224" s="752"/>
      <c r="T224" s="752"/>
      <c r="U224" s="752"/>
      <c r="V224" s="753"/>
      <c r="W224" s="752"/>
      <c r="X224" s="1034"/>
      <c r="Y224" s="1034"/>
      <c r="Z224" s="1034"/>
      <c r="AA224" s="1034"/>
      <c r="AB224" s="510"/>
      <c r="AC224" s="510"/>
      <c r="AD224" s="510"/>
      <c r="AE224" s="510"/>
      <c r="AF224" s="1034">
        <f>AF113/SUM($AF113:$AI113)</f>
        <v>7.7896017026451797E-2</v>
      </c>
      <c r="AG224" s="1034">
        <f>AG113/SUM($AF113:$AI113)</f>
        <v>0.44110671936758888</v>
      </c>
      <c r="AH224" s="1034">
        <f>AH113/SUM($AF113:$AI113)</f>
        <v>0.42669504408634845</v>
      </c>
      <c r="AI224" s="1034">
        <f>AI113/SUM($AF113:$AI113)</f>
        <v>5.4302219519610825E-2</v>
      </c>
      <c r="AJ224" s="1034">
        <f>AJ113/SUM($AJ113:$AM113)</f>
        <v>0.24366620330926864</v>
      </c>
      <c r="AK224" s="1034">
        <f>AK113/SUM($AJ113:$AM113)</f>
        <v>0.40379355185866106</v>
      </c>
      <c r="AL224" s="1034">
        <f>AL113/SUM($AJ113:$AM113)</f>
        <v>0.3525402448320703</v>
      </c>
      <c r="AM224" s="1034">
        <f>AM113/SUM($AJ113:$AM113)</f>
        <v>0</v>
      </c>
      <c r="AN224" s="1034">
        <f>AN113/SUM($AN113:$AQ113)</f>
        <v>0.23881905875475007</v>
      </c>
      <c r="AO224" s="1034">
        <f>AO113/SUM($AN113:$AQ113)</f>
        <v>0.44043095168497093</v>
      </c>
      <c r="AP224" s="1034">
        <f>AP113/SUM($AN113:$AQ113)</f>
        <v>0.28880444314527914</v>
      </c>
      <c r="AQ224" s="1034">
        <f>AQ113/SUM($AN113:$AQ113)</f>
        <v>3.194554641499979E-2</v>
      </c>
      <c r="AR224" s="1034">
        <f>AR113/SUM($AR113:$AU113)</f>
        <v>0.14529047222121555</v>
      </c>
      <c r="AS224" s="1034">
        <f>AS113/SUM($AR113:$AU113)</f>
        <v>0.37096365020113797</v>
      </c>
      <c r="AT224" s="1034">
        <f>AT113/SUM($AR113:$AU113)</f>
        <v>0.31609466168955891</v>
      </c>
      <c r="AU224" s="1034">
        <f>AU113/SUM($AR113:$AU113)</f>
        <v>0.16765121588808757</v>
      </c>
      <c r="AV224" s="1034">
        <f>AV113/SUM($AV113:$AY113)</f>
        <v>0.15708527550721701</v>
      </c>
      <c r="AW224" s="1034">
        <f>AW113/SUM($AV113:$AY113)</f>
        <v>0.29262086513994912</v>
      </c>
      <c r="AX224" s="1034">
        <f>AX113/SUM($AV113:$AY113)</f>
        <v>0.43247990272242115</v>
      </c>
      <c r="AY224" s="1034">
        <f>AY113/SUM($AV113:$AY113)</f>
        <v>0.11781395663041276</v>
      </c>
      <c r="AZ224" s="1034">
        <f>AZ113/SUM($AZ113:$BC113)</f>
        <v>0.11475897767712716</v>
      </c>
      <c r="BA224" s="1034">
        <f>BA113/SUM($AZ113:$BC113)</f>
        <v>0.33004205758654165</v>
      </c>
      <c r="BB224" s="1034">
        <f>BB113/SUM($AZ113:$BC113)</f>
        <v>0.52428340342931101</v>
      </c>
      <c r="BC224" s="1034">
        <f>BC113/SUM($AZ113:$BC113)</f>
        <v>3.0915561307020382E-2</v>
      </c>
      <c r="BD224" s="1034">
        <f>BD113/SUM($BD113:$BG113)</f>
        <v>0.26604716960756791</v>
      </c>
      <c r="BE224" s="1034">
        <f>BE113/SUM($BD113:$BG113)</f>
        <v>0.33440962398220342</v>
      </c>
      <c r="BF224" s="1034">
        <f>BF113/SUM($BD113:$BG113)</f>
        <v>0.39601736463575304</v>
      </c>
      <c r="BG224" s="1034">
        <f>BG113/SUM($BD113:$BG113)</f>
        <v>3.5258417744757136E-3</v>
      </c>
      <c r="BH224" s="1034">
        <f>BH113/SUM($BH113:$BK113)</f>
        <v>0.36541953840267705</v>
      </c>
      <c r="BI224" s="1034">
        <f>BI113/SUM($BH113:$BK113)</f>
        <v>0.3546043874917148</v>
      </c>
      <c r="BJ224" s="1034">
        <f>BJ113/SUM($BH113:$BK113)</f>
        <v>0.26422486029756481</v>
      </c>
      <c r="BK224" s="1034">
        <f>BK113/SUM($BH113:$BK113)</f>
        <v>1.5751213808043191E-2</v>
      </c>
      <c r="BL224" s="1034">
        <f>BL113/$M113</f>
        <v>0.28739751066809566</v>
      </c>
      <c r="BM224" s="1034">
        <f>BM113/$M113</f>
        <v>0.32026642294972024</v>
      </c>
      <c r="BN224" s="1034">
        <f>BN113/$M113</f>
        <v>0.20085607769135178</v>
      </c>
      <c r="BO224" s="1034">
        <f>BO113/SUM($BH113:$BK113)</f>
        <v>0.15693015686549225</v>
      </c>
      <c r="BP224" s="2175">
        <f>BP113/SUM($BH113:$BK113)</f>
        <v>0.35679759447764486</v>
      </c>
      <c r="BQ224" s="1802">
        <f>+Inputs!AO228</f>
        <v>0.32026642294972024</v>
      </c>
      <c r="BR224" s="1802">
        <f>+Inputs!AP228</f>
        <v>0.20085607769135178</v>
      </c>
      <c r="BS224" s="2133">
        <f>+Inputs!AQ228</f>
        <v>0.12207990488128306</v>
      </c>
      <c r="BT224" s="2138">
        <f>+Inputs!AR228</f>
        <v>0.35679759447764486</v>
      </c>
      <c r="BU224" s="1802">
        <f>+Inputs!AS228</f>
        <v>0.32026642294972024</v>
      </c>
      <c r="BV224" s="1802">
        <f>+Inputs!AT228</f>
        <v>0.20085607769135178</v>
      </c>
      <c r="BW224" s="2133">
        <f>+Inputs!AU228</f>
        <v>0.12207990488128306</v>
      </c>
      <c r="BX224" s="2138">
        <f>+Inputs!AV228</f>
        <v>0.35679759447764486</v>
      </c>
      <c r="BY224" s="1802">
        <f>+Inputs!AW228</f>
        <v>0.32026642294972024</v>
      </c>
      <c r="BZ224" s="1802">
        <f>+Inputs!AX228</f>
        <v>0.20085607769135178</v>
      </c>
      <c r="CA224" s="2133">
        <f>+Inputs!AY228</f>
        <v>0.12207990488128306</v>
      </c>
      <c r="CB224" s="2138">
        <f>+Inputs!AZ228</f>
        <v>0.35679759447764486</v>
      </c>
      <c r="CC224" s="1802">
        <f>+Inputs!BA228</f>
        <v>0.32026642294972024</v>
      </c>
      <c r="CD224" s="1802">
        <f>+Inputs!BB228</f>
        <v>0.20085607769135178</v>
      </c>
      <c r="CE224" s="2133">
        <f>+Inputs!BC228</f>
        <v>0.12207990488128306</v>
      </c>
      <c r="CF224" s="2138">
        <f>+Inputs!BD228</f>
        <v>0.35679759447764486</v>
      </c>
      <c r="CG224" s="1802">
        <f>+Inputs!BE228</f>
        <v>0.32026642294972024</v>
      </c>
      <c r="CH224" s="1802">
        <f>+Inputs!BF228</f>
        <v>0.20085607769135178</v>
      </c>
      <c r="CI224" s="2133">
        <f>+Inputs!BG228</f>
        <v>0.12207990488128306</v>
      </c>
      <c r="CJ224" s="2138">
        <f>+Inputs!BH228</f>
        <v>0.35679759447764486</v>
      </c>
      <c r="CK224" s="1802">
        <f>+Inputs!BI228</f>
        <v>0.32026642294972024</v>
      </c>
      <c r="CL224" s="1802">
        <f>+Inputs!BJ228</f>
        <v>0.20085607769135178</v>
      </c>
      <c r="CM224" s="2133">
        <f>+Inputs!BK228</f>
        <v>0.12207990488128306</v>
      </c>
      <c r="CN224" s="2138">
        <f>+Inputs!BL228</f>
        <v>0.35679759447764486</v>
      </c>
      <c r="CO224" s="1802">
        <f>+Inputs!BM228</f>
        <v>0.32026642294972024</v>
      </c>
      <c r="CP224" s="1802">
        <f>+Inputs!BN228</f>
        <v>0.20085607769135178</v>
      </c>
      <c r="CQ224" s="2133">
        <f>+Inputs!BO228</f>
        <v>0.12207990488128306</v>
      </c>
      <c r="CR224" s="2138">
        <f>+Inputs!BP228</f>
        <v>0.35679759447764486</v>
      </c>
      <c r="CS224" s="1802">
        <f>+Inputs!BQ228</f>
        <v>0.32026642294972024</v>
      </c>
      <c r="CT224" s="1802">
        <f>+Inputs!BR228</f>
        <v>0.20085607769135178</v>
      </c>
      <c r="CU224" s="2133">
        <f>+Inputs!BS228</f>
        <v>0.12207990488128306</v>
      </c>
    </row>
    <row r="225" spans="1:99" s="14" customFormat="1">
      <c r="A225" s="251" t="s">
        <v>222</v>
      </c>
      <c r="B225" s="752"/>
      <c r="C225" s="752"/>
      <c r="D225" s="752"/>
      <c r="E225" s="752"/>
      <c r="F225" s="752"/>
      <c r="G225" s="752"/>
      <c r="H225" s="752"/>
      <c r="I225" s="752"/>
      <c r="J225" s="752"/>
      <c r="K225" s="752"/>
      <c r="L225" s="752"/>
      <c r="M225" s="1480"/>
      <c r="N225" s="752"/>
      <c r="O225" s="752"/>
      <c r="P225" s="752"/>
      <c r="Q225" s="752"/>
      <c r="R225" s="752"/>
      <c r="S225" s="752"/>
      <c r="T225" s="752"/>
      <c r="U225" s="752"/>
      <c r="V225" s="753"/>
      <c r="W225" s="752"/>
      <c r="X225" s="1034">
        <f t="shared" ref="X225:AA227" si="593">X115/SUM($X115:$AA115)</f>
        <v>0.20888324873096445</v>
      </c>
      <c r="Y225" s="1034">
        <f t="shared" si="593"/>
        <v>0.35510434292160176</v>
      </c>
      <c r="Z225" s="1034">
        <f t="shared" si="593"/>
        <v>0.26223914269599546</v>
      </c>
      <c r="AA225" s="1034">
        <f t="shared" si="593"/>
        <v>0.17377326565143825</v>
      </c>
      <c r="AB225" s="510">
        <f t="shared" ref="AB225:AE227" si="594">AB115/SUM($AB115:$AE115)</f>
        <v>0.21238539850385285</v>
      </c>
      <c r="AC225" s="510">
        <f t="shared" si="594"/>
        <v>0.41478710838629845</v>
      </c>
      <c r="AD225" s="510">
        <f t="shared" si="594"/>
        <v>0.18482479329546092</v>
      </c>
      <c r="AE225" s="510">
        <f t="shared" si="594"/>
        <v>0.18800269981438777</v>
      </c>
      <c r="AF225" s="1034">
        <f t="shared" ref="AF225:AI227" si="595">AF115/SUM($AF115:$AI115)</f>
        <v>0.18342058600016889</v>
      </c>
      <c r="AG225" s="1034">
        <f t="shared" si="595"/>
        <v>0.27621801908300264</v>
      </c>
      <c r="AH225" s="1034">
        <f t="shared" si="595"/>
        <v>0.27864561344253991</v>
      </c>
      <c r="AI225" s="1034">
        <f t="shared" si="595"/>
        <v>0.26171578147428859</v>
      </c>
      <c r="AJ225" s="1034">
        <f t="shared" ref="AJ225:AM227" si="596">AJ115/SUM($AJ115:$AM115)</f>
        <v>0.31374899364880582</v>
      </c>
      <c r="AK225" s="1034">
        <f t="shared" si="596"/>
        <v>0.19973163968154581</v>
      </c>
      <c r="AL225" s="1034">
        <f t="shared" si="596"/>
        <v>0.24732086948743182</v>
      </c>
      <c r="AM225" s="1034">
        <f t="shared" si="596"/>
        <v>0.23919849718221667</v>
      </c>
      <c r="AN225" s="1034">
        <f t="shared" ref="AN225:AQ227" si="597">AN115/SUM($AN115:$AQ115)</f>
        <v>0.29825292915815371</v>
      </c>
      <c r="AO225" s="1034">
        <f t="shared" si="597"/>
        <v>0.31632823249801945</v>
      </c>
      <c r="AP225" s="1034">
        <f t="shared" si="597"/>
        <v>0.28174123337363965</v>
      </c>
      <c r="AQ225" s="1034">
        <f t="shared" si="597"/>
        <v>0.10367760497018721</v>
      </c>
      <c r="AR225" s="1034">
        <f t="shared" ref="AR225:AU227" si="598">AR115/SUM($AR115:$AU115)</f>
        <v>0.25087978707674108</v>
      </c>
      <c r="AS225" s="1034">
        <f t="shared" si="598"/>
        <v>0.39350879787076742</v>
      </c>
      <c r="AT225" s="1034">
        <f t="shared" si="598"/>
        <v>0.21973976046133376</v>
      </c>
      <c r="AU225" s="1034">
        <f t="shared" si="598"/>
        <v>0.13587165459115777</v>
      </c>
      <c r="AV225" s="1035">
        <f t="shared" ref="AV225:AY226" si="599">AV115/SUM($AV115:$AY115)</f>
        <v>0.32145938098344101</v>
      </c>
      <c r="AW225" s="1035">
        <f t="shared" si="599"/>
        <v>0.23669703536936904</v>
      </c>
      <c r="AX225" s="1035">
        <f t="shared" si="599"/>
        <v>0.29434847560334126</v>
      </c>
      <c r="AY225" s="1035">
        <f t="shared" si="599"/>
        <v>0.14749510804384877</v>
      </c>
      <c r="AZ225" s="1035">
        <f t="shared" ref="AZ225:BC226" si="600">AZ115/SUM($AZ115:$BC115)</f>
        <v>0.20957174057544395</v>
      </c>
      <c r="BA225" s="1035">
        <f t="shared" si="600"/>
        <v>0.3866145190390276</v>
      </c>
      <c r="BB225" s="1035">
        <f t="shared" si="600"/>
        <v>0.2760718355331877</v>
      </c>
      <c r="BC225" s="1035">
        <f t="shared" si="600"/>
        <v>0.12774190485234072</v>
      </c>
      <c r="BD225" s="1034">
        <f t="shared" ref="BD225:BG227" si="601">BD115/SUM($BD115:$BG115)</f>
        <v>7.0416729640977727E-2</v>
      </c>
      <c r="BE225" s="1034">
        <f t="shared" si="601"/>
        <v>0.37678789794039647</v>
      </c>
      <c r="BF225" s="1034">
        <f t="shared" si="601"/>
        <v>0.34665640757890104</v>
      </c>
      <c r="BG225" s="1034">
        <f t="shared" si="601"/>
        <v>0.20613896483972463</v>
      </c>
      <c r="BH225" s="1034">
        <f t="shared" ref="BH225:BK227" si="602">BH115/SUM($BH115:$BK115)</f>
        <v>0.40069050748376722</v>
      </c>
      <c r="BI225" s="1034">
        <f t="shared" si="602"/>
        <v>0.39147066324028479</v>
      </c>
      <c r="BJ225" s="1034">
        <f t="shared" si="602"/>
        <v>7.1875551719402866E-2</v>
      </c>
      <c r="BK225" s="1034">
        <f t="shared" si="602"/>
        <v>0.13596327755654511</v>
      </c>
      <c r="BL225" s="1034">
        <f t="shared" ref="BL225:BN227" si="603">BL115/$M115</f>
        <v>0.22073537723599593</v>
      </c>
      <c r="BM225" s="1034">
        <f t="shared" si="603"/>
        <v>0.35887447871316625</v>
      </c>
      <c r="BN225" s="1034">
        <f t="shared" si="603"/>
        <v>0.25182163970487148</v>
      </c>
      <c r="BO225" s="1034">
        <f t="shared" ref="BO225:BP227" si="604">BO115/SUM($BH115:$BK115)</f>
        <v>0.21645055613315808</v>
      </c>
      <c r="BP225" s="2175">
        <f t="shared" si="604"/>
        <v>0.29756556878592305</v>
      </c>
      <c r="BQ225" s="1631">
        <f>BQ115/SUM($BP115:$BS115)</f>
        <v>0.35887447871316613</v>
      </c>
      <c r="BR225" s="1631">
        <f>BR115/SUM($BP115:$BS115)</f>
        <v>0.25182163970487143</v>
      </c>
      <c r="BS225" s="2131">
        <f>1-SUM(BP225:BR225)</f>
        <v>9.173831279603939E-2</v>
      </c>
      <c r="BT225" s="2136">
        <f>BT115/SUM($BT115:$BW115)</f>
        <v>0.30697834716641975</v>
      </c>
      <c r="BU225" s="1631">
        <f>BU115/SUM($BT115:$BW115)</f>
        <v>0.35887447871316625</v>
      </c>
      <c r="BV225" s="1631">
        <f>BV115/SUM($BT115:$BW115)</f>
        <v>0.25182163970487154</v>
      </c>
      <c r="BW225" s="2131">
        <f>1-SUM(BT225:BV225)</f>
        <v>8.2325534415542467E-2</v>
      </c>
      <c r="BX225" s="2136">
        <f>BX115/SUM($BX115:$CA115)</f>
        <v>0.30697834716641964</v>
      </c>
      <c r="BY225" s="1631">
        <f>BY115/SUM($BX115:$CA115)</f>
        <v>0.35887447871316625</v>
      </c>
      <c r="BZ225" s="1631">
        <f>BZ115/SUM($BX115:$CA115)</f>
        <v>0.25182163970487148</v>
      </c>
      <c r="CA225" s="2131">
        <f>CA115/SUM($BX115:$CA115)</f>
        <v>8.2325534415542606E-2</v>
      </c>
      <c r="CB225" s="2136">
        <f>CB115/SUM($CB115:$CE115)</f>
        <v>0.3069783471664197</v>
      </c>
      <c r="CC225" s="1631">
        <f>CC115/SUM($CB115:$CE115)</f>
        <v>0.35887447871316619</v>
      </c>
      <c r="CD225" s="1631">
        <f>CD115/SUM($CB115:$CE115)</f>
        <v>0.25182163970487143</v>
      </c>
      <c r="CE225" s="2131">
        <f>CE115/SUM($CB115:$CE115)</f>
        <v>8.2325534415542745E-2</v>
      </c>
      <c r="CF225" s="2136">
        <f>CF115/SUM($CF115:$CI115)</f>
        <v>0.3069783471664197</v>
      </c>
      <c r="CG225" s="1631">
        <f>CG115/SUM($CF115:$CI115)</f>
        <v>0.35887447871316625</v>
      </c>
      <c r="CH225" s="1631">
        <f>CH115/SUM($CF115:$CI115)</f>
        <v>0.25182163970487148</v>
      </c>
      <c r="CI225" s="2131">
        <f>1-SUM(CF225:CH225)</f>
        <v>8.2325534415542578E-2</v>
      </c>
      <c r="CJ225" s="2136">
        <f>CJ115/SUM($CB115:$CE115)</f>
        <v>0.36469027643370661</v>
      </c>
      <c r="CK225" s="1631">
        <f>CK115/SUM($CB115:$CE115)</f>
        <v>0.42634288071124149</v>
      </c>
      <c r="CL225" s="1631">
        <f>CL115/SUM($CB115:$CE115)</f>
        <v>0.29916410796938731</v>
      </c>
      <c r="CM225" s="2131">
        <f>1-SUM(CJ225:CL225)</f>
        <v>-9.0197265114335234E-2</v>
      </c>
      <c r="CN225" s="2136">
        <f>CN115/SUM($CB115:$CE115)</f>
        <v>0.38657169301972899</v>
      </c>
      <c r="CO225" s="1631">
        <f>CO115/SUM($CB115:$CE115)</f>
        <v>0.45192345355391594</v>
      </c>
      <c r="CP225" s="1631">
        <f>CP115/SUM($CB115:$CE115)</f>
        <v>0.31711395444755053</v>
      </c>
      <c r="CQ225" s="2131">
        <f>1-SUM(CN225:CP225)</f>
        <v>-0.15560910102119552</v>
      </c>
      <c r="CR225" s="2136">
        <f>CR115/SUM($CB115:$CE115)</f>
        <v>0.40203456074051813</v>
      </c>
      <c r="CS225" s="1631">
        <f>CS115/SUM($CB115:$CE115)</f>
        <v>0.47000039169607255</v>
      </c>
      <c r="CT225" s="1631">
        <f>CT115/SUM($CB115:$CE115)</f>
        <v>0.32979851262545257</v>
      </c>
      <c r="CU225" s="2131">
        <f>1-SUM(CR225:CT225)</f>
        <v>-0.20183346506204325</v>
      </c>
    </row>
    <row r="226" spans="1:99">
      <c r="A226" s="157" t="s">
        <v>163</v>
      </c>
      <c r="B226" s="348"/>
      <c r="C226" s="348"/>
      <c r="D226" s="348"/>
      <c r="E226" s="348"/>
      <c r="F226" s="348"/>
      <c r="G226" s="348"/>
      <c r="H226" s="348"/>
      <c r="I226" s="348"/>
      <c r="J226" s="746"/>
      <c r="K226" s="746"/>
      <c r="L226" s="746"/>
      <c r="M226" s="749"/>
      <c r="N226" s="348"/>
      <c r="O226" s="348"/>
      <c r="P226" s="348"/>
      <c r="Q226" s="348"/>
      <c r="R226" s="746"/>
      <c r="S226" s="746"/>
      <c r="T226" s="746"/>
      <c r="U226" s="746"/>
      <c r="V226" s="414"/>
      <c r="W226" s="348"/>
      <c r="X226" s="1033">
        <f t="shared" si="593"/>
        <v>0.26572806385455355</v>
      </c>
      <c r="Y226" s="1033">
        <f t="shared" si="593"/>
        <v>0.4736433678842637</v>
      </c>
      <c r="Z226" s="1033">
        <f t="shared" si="593"/>
        <v>0.19383626184801289</v>
      </c>
      <c r="AA226" s="1033">
        <f t="shared" si="593"/>
        <v>6.6792306413170022E-2</v>
      </c>
      <c r="AB226" s="60">
        <f t="shared" si="594"/>
        <v>0.20604063243085399</v>
      </c>
      <c r="AC226" s="60">
        <f t="shared" si="594"/>
        <v>0.48896583371573993</v>
      </c>
      <c r="AD226" s="60">
        <f t="shared" si="594"/>
        <v>0.19711317842392892</v>
      </c>
      <c r="AE226" s="60">
        <f t="shared" si="594"/>
        <v>0.1078803554294773</v>
      </c>
      <c r="AF226" s="1033">
        <f t="shared" si="595"/>
        <v>0.20054135544439117</v>
      </c>
      <c r="AG226" s="1033">
        <f t="shared" si="595"/>
        <v>0.36075515658192286</v>
      </c>
      <c r="AH226" s="1033">
        <f t="shared" si="595"/>
        <v>0.27139724525457415</v>
      </c>
      <c r="AI226" s="1033">
        <f t="shared" si="595"/>
        <v>0.16730624271911193</v>
      </c>
      <c r="AJ226" s="1033">
        <f t="shared" si="596"/>
        <v>0.33988691484170946</v>
      </c>
      <c r="AK226" s="1033">
        <f t="shared" si="596"/>
        <v>0.27326999799087281</v>
      </c>
      <c r="AL226" s="1033">
        <f t="shared" si="596"/>
        <v>0.26557791108177148</v>
      </c>
      <c r="AM226" s="1033">
        <f t="shared" si="596"/>
        <v>0.1212651760856462</v>
      </c>
      <c r="AN226" s="1033">
        <f t="shared" si="597"/>
        <v>0.32997446147013104</v>
      </c>
      <c r="AO226" s="1033">
        <f t="shared" si="597"/>
        <v>0.35673439928936268</v>
      </c>
      <c r="AP226" s="1033">
        <f t="shared" si="597"/>
        <v>0.23087386186986453</v>
      </c>
      <c r="AQ226" s="1033">
        <f t="shared" si="597"/>
        <v>8.2417277370641792E-2</v>
      </c>
      <c r="AR226" s="1033">
        <f t="shared" si="598"/>
        <v>0.23234432087364998</v>
      </c>
      <c r="AS226" s="1033">
        <f t="shared" si="598"/>
        <v>0.45850564098446217</v>
      </c>
      <c r="AT226" s="1033">
        <f t="shared" si="598"/>
        <v>0.19942184927931905</v>
      </c>
      <c r="AU226" s="1033">
        <f t="shared" si="598"/>
        <v>0.10972818886256876</v>
      </c>
      <c r="AV226" s="1036">
        <f t="shared" si="599"/>
        <v>0.42459112873249905</v>
      </c>
      <c r="AW226" s="1036">
        <f t="shared" si="599"/>
        <v>0.2512699789369347</v>
      </c>
      <c r="AX226" s="1036">
        <f t="shared" si="599"/>
        <v>0.24182257464998144</v>
      </c>
      <c r="AY226" s="1036">
        <f t="shared" si="599"/>
        <v>8.2316317680584825E-2</v>
      </c>
      <c r="AZ226" s="1036">
        <f t="shared" si="600"/>
        <v>0.23873184513736631</v>
      </c>
      <c r="BA226" s="1036">
        <f t="shared" si="600"/>
        <v>0.43503980458230945</v>
      </c>
      <c r="BB226" s="1036">
        <f t="shared" si="600"/>
        <v>0.23993113292228913</v>
      </c>
      <c r="BC226" s="1036">
        <f t="shared" si="600"/>
        <v>8.6297217358035236E-2</v>
      </c>
      <c r="BD226" s="1033">
        <f t="shared" si="601"/>
        <v>3.4166916242387935E-2</v>
      </c>
      <c r="BE226" s="1033">
        <f t="shared" si="601"/>
        <v>0.43136667664969552</v>
      </c>
      <c r="BF226" s="1033">
        <f t="shared" si="601"/>
        <v>0.39582709394030152</v>
      </c>
      <c r="BG226" s="1033">
        <f t="shared" si="601"/>
        <v>0.13863931316761505</v>
      </c>
      <c r="BH226" s="1033">
        <f t="shared" si="602"/>
        <v>0.29967272091338348</v>
      </c>
      <c r="BI226" s="1033">
        <f t="shared" si="602"/>
        <v>0.43725485297424233</v>
      </c>
      <c r="BJ226" s="1033">
        <f t="shared" si="602"/>
        <v>8.9914307842206512E-2</v>
      </c>
      <c r="BK226" s="1033">
        <f t="shared" si="602"/>
        <v>0.17315811827016764</v>
      </c>
      <c r="BL226" s="1033">
        <f t="shared" si="603"/>
        <v>0.2220378309439297</v>
      </c>
      <c r="BM226" s="1033">
        <f t="shared" si="603"/>
        <v>0.36099202507721384</v>
      </c>
      <c r="BN226" s="1033">
        <f t="shared" si="603"/>
        <v>0.25330751855437239</v>
      </c>
      <c r="BO226" s="1033">
        <f t="shared" si="604"/>
        <v>0.26607040247832714</v>
      </c>
      <c r="BP226" s="2174">
        <f t="shared" si="604"/>
        <v>0.30724261123741475</v>
      </c>
      <c r="BQ226" s="1801">
        <f>+Inputs!AO230</f>
        <v>0.36099202507721384</v>
      </c>
      <c r="BR226" s="1801">
        <f>+Inputs!AP230</f>
        <v>0.25330751855437239</v>
      </c>
      <c r="BS226" s="2132">
        <f>+Inputs!AQ230</f>
        <v>7.8457845130999071E-2</v>
      </c>
      <c r="BT226" s="2137">
        <f>+Inputs!AR230</f>
        <v>0.30724261123741475</v>
      </c>
      <c r="BU226" s="1801">
        <f>+Inputs!AS230</f>
        <v>0.36099202507721384</v>
      </c>
      <c r="BV226" s="1801">
        <f>+Inputs!AT230</f>
        <v>0.25330751855437239</v>
      </c>
      <c r="BW226" s="2132">
        <f>+Inputs!AU230</f>
        <v>7.8457845130999071E-2</v>
      </c>
      <c r="BX226" s="2137">
        <f>+Inputs!AV230</f>
        <v>0.30724261123741475</v>
      </c>
      <c r="BY226" s="1801">
        <f>+Inputs!AW230</f>
        <v>0.36099202507721384</v>
      </c>
      <c r="BZ226" s="1801">
        <f>+Inputs!AX230</f>
        <v>0.25330751855437239</v>
      </c>
      <c r="CA226" s="2132">
        <f>+Inputs!AY230</f>
        <v>7.8457845130999071E-2</v>
      </c>
      <c r="CB226" s="2137">
        <f>+Inputs!AZ230</f>
        <v>0.30724261123741475</v>
      </c>
      <c r="CC226" s="1801">
        <f>+Inputs!BA230</f>
        <v>0.36099202507721384</v>
      </c>
      <c r="CD226" s="1801">
        <f>+Inputs!BB230</f>
        <v>0.25330751855437239</v>
      </c>
      <c r="CE226" s="2132">
        <f>+Inputs!BC230</f>
        <v>7.8457845130999071E-2</v>
      </c>
      <c r="CF226" s="2137">
        <f>+Inputs!BD230</f>
        <v>0.30724261123741475</v>
      </c>
      <c r="CG226" s="1801">
        <f>+Inputs!BE230</f>
        <v>0.36099202507721384</v>
      </c>
      <c r="CH226" s="1801">
        <f>+Inputs!BF230</f>
        <v>0.25330751855437239</v>
      </c>
      <c r="CI226" s="2132">
        <f>+Inputs!BG230</f>
        <v>7.8457845130999071E-2</v>
      </c>
      <c r="CJ226" s="2137">
        <f>+Inputs!BH230</f>
        <v>0.30724261123741475</v>
      </c>
      <c r="CK226" s="1801">
        <f>+Inputs!BI230</f>
        <v>0.36099202507721384</v>
      </c>
      <c r="CL226" s="1801">
        <f>+Inputs!BJ230</f>
        <v>0.25330751855437239</v>
      </c>
      <c r="CM226" s="2132">
        <f>+Inputs!BK230</f>
        <v>7.8457845130999071E-2</v>
      </c>
      <c r="CN226" s="2137">
        <f>+Inputs!BL230</f>
        <v>0.30724261123741475</v>
      </c>
      <c r="CO226" s="1801">
        <f>+Inputs!BM230</f>
        <v>0.36099202507721384</v>
      </c>
      <c r="CP226" s="1801">
        <f>+Inputs!BN230</f>
        <v>0.25330751855437239</v>
      </c>
      <c r="CQ226" s="2132">
        <f>+Inputs!BO230</f>
        <v>7.8457845130999071E-2</v>
      </c>
      <c r="CR226" s="2137">
        <f>+Inputs!BP230</f>
        <v>0.30724261123741475</v>
      </c>
      <c r="CS226" s="1801">
        <f>+Inputs!BQ230</f>
        <v>0.36099202507721384</v>
      </c>
      <c r="CT226" s="1801">
        <f>+Inputs!BR230</f>
        <v>0.25330751855437239</v>
      </c>
      <c r="CU226" s="2132">
        <f>+Inputs!BS230</f>
        <v>7.8457845130999071E-2</v>
      </c>
    </row>
    <row r="227" spans="1:99">
      <c r="A227" s="157" t="s">
        <v>164</v>
      </c>
      <c r="B227" s="348"/>
      <c r="C227" s="348"/>
      <c r="D227" s="348"/>
      <c r="E227" s="348"/>
      <c r="F227" s="348"/>
      <c r="G227" s="348"/>
      <c r="H227" s="348"/>
      <c r="I227" s="348"/>
      <c r="J227" s="746"/>
      <c r="K227" s="746"/>
      <c r="L227" s="746"/>
      <c r="M227" s="749"/>
      <c r="N227" s="348"/>
      <c r="O227" s="348"/>
      <c r="P227" s="348"/>
      <c r="Q227" s="348"/>
      <c r="R227" s="746"/>
      <c r="S227" s="746"/>
      <c r="T227" s="746"/>
      <c r="U227" s="746"/>
      <c r="V227" s="414"/>
      <c r="W227" s="348"/>
      <c r="X227" s="1033">
        <f t="shared" si="593"/>
        <v>0.15000861128652621</v>
      </c>
      <c r="Y227" s="1033">
        <f t="shared" si="593"/>
        <v>0.23233251047706524</v>
      </c>
      <c r="Z227" s="1033">
        <f t="shared" si="593"/>
        <v>0.33308456283368731</v>
      </c>
      <c r="AA227" s="1033">
        <f t="shared" si="593"/>
        <v>0.28457431540272116</v>
      </c>
      <c r="AB227" s="60">
        <f t="shared" si="594"/>
        <v>0.22551134892551999</v>
      </c>
      <c r="AC227" s="60">
        <f t="shared" si="594"/>
        <v>0.26132734961594889</v>
      </c>
      <c r="AD227" s="60">
        <f t="shared" si="594"/>
        <v>0.15940277897643912</v>
      </c>
      <c r="AE227" s="60">
        <f t="shared" si="594"/>
        <v>0.353758522482092</v>
      </c>
      <c r="AF227" s="1033">
        <f t="shared" si="595"/>
        <v>0.15594413284944461</v>
      </c>
      <c r="AG227" s="1033">
        <f t="shared" si="595"/>
        <v>0.14054767403497195</v>
      </c>
      <c r="AH227" s="1033">
        <f t="shared" si="595"/>
        <v>0.29027823600571867</v>
      </c>
      <c r="AI227" s="1033">
        <f t="shared" si="595"/>
        <v>0.41322995710986471</v>
      </c>
      <c r="AJ227" s="1033">
        <f t="shared" si="596"/>
        <v>0.27049491783034108</v>
      </c>
      <c r="AK227" s="1033">
        <f t="shared" si="596"/>
        <v>7.8037427567208134E-2</v>
      </c>
      <c r="AL227" s="1033">
        <f t="shared" si="596"/>
        <v>0.21710838795478293</v>
      </c>
      <c r="AM227" s="1033">
        <f t="shared" si="596"/>
        <v>0.43435926664766789</v>
      </c>
      <c r="AN227" s="1033">
        <f t="shared" si="597"/>
        <v>0.20256238486015746</v>
      </c>
      <c r="AO227" s="1033">
        <f t="shared" si="597"/>
        <v>0.19443979232959308</v>
      </c>
      <c r="AP227" s="1033">
        <f t="shared" si="597"/>
        <v>0.43518673589013573</v>
      </c>
      <c r="AQ227" s="1033">
        <f t="shared" si="597"/>
        <v>0.1678110869201139</v>
      </c>
      <c r="AR227" s="1033">
        <f t="shared" si="598"/>
        <v>0.30270543331836552</v>
      </c>
      <c r="AS227" s="1033">
        <f t="shared" si="598"/>
        <v>0.21177593174674453</v>
      </c>
      <c r="AT227" s="1033">
        <f t="shared" si="598"/>
        <v>0.27654916928603507</v>
      </c>
      <c r="AU227" s="1033">
        <f t="shared" si="598"/>
        <v>0.20896946564885496</v>
      </c>
      <c r="AV227" s="1036">
        <f>IF(ISERROR(AV117/SUM($AV117:$AY117)),"NM",AV117/SUM($AV117:$AY117))</f>
        <v>0.10303089942924622</v>
      </c>
      <c r="AW227" s="1036">
        <f>IF(ISERROR(AW117/SUM($AV117:$AY117)),"NM",AW117/SUM($AV117:$AY117))</f>
        <v>0.20583218526536773</v>
      </c>
      <c r="AX227" s="1036">
        <f>IF(ISERROR(AX117/SUM($AV117:$AY117)),"NM",AX117/SUM($AV117:$AY117))</f>
        <v>0.40559601128386807</v>
      </c>
      <c r="AY227" s="1036">
        <f>IF(ISERROR(AY117/SUM($AV117:$AY117)),"NM",AY117/SUM($AV117:$AY117))</f>
        <v>0.2855409040215181</v>
      </c>
      <c r="AZ227" s="1036">
        <f>IF(ISERROR(AZ117/SUM($AZ117:$BC117)),"NM",AZ117/SUM($AZ117:$BC117))</f>
        <v>8.7931986986679769E-2</v>
      </c>
      <c r="BA227" s="1036">
        <f>IF(ISERROR(BA117/SUM($AZ117:$BC117)),"NM",BA117/SUM($AZ117:$BC117))</f>
        <v>0.18461113498250567</v>
      </c>
      <c r="BB227" s="1036">
        <f>IF(ISERROR(BB117/SUM($AZ117:$BC117)),"NM",BB117/SUM($AZ117:$BC117))</f>
        <v>0.42683076545331777</v>
      </c>
      <c r="BC227" s="1036">
        <f>IF(ISERROR(BC117/SUM($AZ117:$BC117)),"NM",BC117/SUM($AZ117:$BC117))</f>
        <v>0.30062611257749677</v>
      </c>
      <c r="BD227" s="1033">
        <f t="shared" si="601"/>
        <v>0.11481673952251398</v>
      </c>
      <c r="BE227" s="1033">
        <f t="shared" si="601"/>
        <v>0.30993794515941669</v>
      </c>
      <c r="BF227" s="1033">
        <f t="shared" si="601"/>
        <v>0.28643047106654845</v>
      </c>
      <c r="BG227" s="1033">
        <f t="shared" si="601"/>
        <v>0.28881484425152082</v>
      </c>
      <c r="BH227" s="1033">
        <f t="shared" si="602"/>
        <v>0.76995433789954337</v>
      </c>
      <c r="BI227" s="1033">
        <f t="shared" si="602"/>
        <v>0.22410958904109593</v>
      </c>
      <c r="BJ227" s="1033">
        <f t="shared" si="602"/>
        <v>5.9360730593607308E-3</v>
      </c>
      <c r="BK227" s="1033">
        <f t="shared" si="602"/>
        <v>0</v>
      </c>
      <c r="BL227" s="1033">
        <f t="shared" si="603"/>
        <v>0</v>
      </c>
      <c r="BM227" s="1033">
        <f t="shared" si="603"/>
        <v>0</v>
      </c>
      <c r="BN227" s="1033">
        <f t="shared" si="603"/>
        <v>0</v>
      </c>
      <c r="BO227" s="1033">
        <f t="shared" si="604"/>
        <v>3.5068493150684936E-2</v>
      </c>
      <c r="BP227" s="2174">
        <f t="shared" si="604"/>
        <v>0.26219178082191785</v>
      </c>
      <c r="BQ227" s="1801">
        <f>+Inputs!AO231</f>
        <v>0</v>
      </c>
      <c r="BR227" s="1801">
        <f>+Inputs!AP231</f>
        <v>0</v>
      </c>
      <c r="BS227" s="2132">
        <f>+Inputs!AQ231</f>
        <v>0.73780821917808215</v>
      </c>
      <c r="BT227" s="2137">
        <f>+Inputs!AR231</f>
        <v>0.26219178082191785</v>
      </c>
      <c r="BU227" s="1801">
        <f>+Inputs!AS231</f>
        <v>0</v>
      </c>
      <c r="BV227" s="1801">
        <f>+Inputs!AT231</f>
        <v>0</v>
      </c>
      <c r="BW227" s="2132">
        <f>+Inputs!AU231</f>
        <v>0.73780821917808215</v>
      </c>
      <c r="BX227" s="2137">
        <f>+Inputs!AV231</f>
        <v>0.26219178082191785</v>
      </c>
      <c r="BY227" s="1801">
        <f>+Inputs!AW231</f>
        <v>0</v>
      </c>
      <c r="BZ227" s="1801">
        <f>+Inputs!AX231</f>
        <v>0</v>
      </c>
      <c r="CA227" s="2132">
        <f>+Inputs!AY231</f>
        <v>0.73780821917808215</v>
      </c>
      <c r="CB227" s="2137">
        <f>+Inputs!AZ231</f>
        <v>0.26219178082191785</v>
      </c>
      <c r="CC227" s="1801">
        <f>+Inputs!BA231</f>
        <v>0</v>
      </c>
      <c r="CD227" s="1801">
        <f>+Inputs!BB231</f>
        <v>0</v>
      </c>
      <c r="CE227" s="2132">
        <f>+Inputs!BC231</f>
        <v>0.73780821917808215</v>
      </c>
      <c r="CF227" s="2137">
        <f>+Inputs!BD231</f>
        <v>0.26219178082191785</v>
      </c>
      <c r="CG227" s="1801">
        <f>+Inputs!BE231</f>
        <v>0</v>
      </c>
      <c r="CH227" s="1801">
        <f>+Inputs!BF231</f>
        <v>0</v>
      </c>
      <c r="CI227" s="2132">
        <f>+Inputs!BG231</f>
        <v>0.73780821917808215</v>
      </c>
      <c r="CJ227" s="2137">
        <f>+Inputs!BH231</f>
        <v>0.26219178082191785</v>
      </c>
      <c r="CK227" s="1801">
        <f>+Inputs!BI231</f>
        <v>0</v>
      </c>
      <c r="CL227" s="1801">
        <f>+Inputs!BJ231</f>
        <v>0</v>
      </c>
      <c r="CM227" s="2132">
        <f>+Inputs!BK231</f>
        <v>0.73780821917808215</v>
      </c>
      <c r="CN227" s="2137">
        <f>+Inputs!BL231</f>
        <v>0.26219178082191785</v>
      </c>
      <c r="CO227" s="1801">
        <f>+Inputs!BM231</f>
        <v>0</v>
      </c>
      <c r="CP227" s="1801">
        <f>+Inputs!BN231</f>
        <v>0</v>
      </c>
      <c r="CQ227" s="2132">
        <f>+Inputs!BO231</f>
        <v>0.73780821917808215</v>
      </c>
      <c r="CR227" s="2137">
        <f>+Inputs!BP231</f>
        <v>0.26219178082191785</v>
      </c>
      <c r="CS227" s="1801">
        <f>+Inputs!BQ231</f>
        <v>0</v>
      </c>
      <c r="CT227" s="1801">
        <f>+Inputs!BR231</f>
        <v>0</v>
      </c>
      <c r="CU227" s="2132">
        <f>+Inputs!BS231</f>
        <v>0.73780821917808215</v>
      </c>
    </row>
    <row r="228" spans="1:99">
      <c r="A228" s="157" t="s">
        <v>878</v>
      </c>
      <c r="B228" s="746"/>
      <c r="C228" s="746"/>
      <c r="D228" s="746"/>
      <c r="E228" s="746"/>
      <c r="F228" s="746"/>
      <c r="G228" s="746"/>
      <c r="H228" s="746"/>
      <c r="I228" s="746"/>
      <c r="J228" s="746"/>
      <c r="K228" s="746"/>
      <c r="L228" s="746"/>
      <c r="M228" s="749"/>
      <c r="N228" s="746"/>
      <c r="O228" s="746"/>
      <c r="P228" s="746"/>
      <c r="Q228" s="746"/>
      <c r="R228" s="746"/>
      <c r="S228" s="746"/>
      <c r="T228" s="746"/>
      <c r="U228" s="746"/>
      <c r="V228" s="747"/>
      <c r="W228" s="746"/>
      <c r="X228" s="1033">
        <f>X119/SUM($X119:$AA119)</f>
        <v>0.15000861128652621</v>
      </c>
      <c r="Y228" s="1033">
        <f>Y119/SUM($X119:$AA119)</f>
        <v>0.23233251047706524</v>
      </c>
      <c r="Z228" s="1033">
        <f>Z119/SUM($X119:$AA119)</f>
        <v>0.33308456283368731</v>
      </c>
      <c r="AA228" s="1033">
        <f>AA119/SUM($X119:$AA119)</f>
        <v>0.28457431540272116</v>
      </c>
      <c r="AB228" s="60"/>
      <c r="AC228" s="60"/>
      <c r="AD228" s="60"/>
      <c r="AE228" s="60"/>
      <c r="AF228" s="1033">
        <f>AF119/SUM($AF119:$AI119)</f>
        <v>0.15594413284944461</v>
      </c>
      <c r="AG228" s="1033">
        <f>AG119/SUM($AF119:$AI119)</f>
        <v>0.14054767403497195</v>
      </c>
      <c r="AH228" s="1033">
        <f>AH119/SUM($AF119:$AI119)</f>
        <v>0.29027823600571867</v>
      </c>
      <c r="AI228" s="1033">
        <f>AI119/SUM($AF119:$AI119)</f>
        <v>0.41322995710986471</v>
      </c>
      <c r="AJ228" s="1033">
        <f>AJ119/SUM($AJ119:$AM119)</f>
        <v>0.27049491783034108</v>
      </c>
      <c r="AK228" s="1033">
        <f>AK119/SUM($AJ119:$AM119)</f>
        <v>7.8037427567208134E-2</v>
      </c>
      <c r="AL228" s="1033">
        <f>AL119/SUM($AJ119:$AM119)</f>
        <v>0.21710838795478293</v>
      </c>
      <c r="AM228" s="1033">
        <f>AM119/SUM($AJ119:$AM119)</f>
        <v>0.43435926664766789</v>
      </c>
      <c r="AN228" s="1033">
        <f>AN119/SUM($AN119:$AQ119)</f>
        <v>0.20256238486015746</v>
      </c>
      <c r="AO228" s="1033">
        <f>AO119/SUM($AN119:$AQ119)</f>
        <v>0.19443979232959308</v>
      </c>
      <c r="AP228" s="1033">
        <f>AP119/SUM($AN119:$AQ119)</f>
        <v>0.43518673589013573</v>
      </c>
      <c r="AQ228" s="1033">
        <f>AQ119/SUM($AN119:$AQ119)</f>
        <v>0.1678110869201139</v>
      </c>
      <c r="AR228" s="1033">
        <f>AR119/SUM($AR119:$AU119)</f>
        <v>0.31148203765738708</v>
      </c>
      <c r="AS228" s="1033">
        <f>AS119/SUM($AR119:$AU119)</f>
        <v>0.21306457202264065</v>
      </c>
      <c r="AT228" s="1033">
        <f>AT119/SUM($AR119:$AU119)</f>
        <v>0.27607716298948831</v>
      </c>
      <c r="AU228" s="1033">
        <f>AU119/SUM($AR119:$AU119)</f>
        <v>0.19937622733048399</v>
      </c>
      <c r="AV228" s="1036" t="str">
        <f>IF(ISERROR(AV119/SUM($AV119:$AY119)),"NM",AV119/SUM($AV119:$AY119))</f>
        <v>NM</v>
      </c>
      <c r="AW228" s="1036" t="str">
        <f>IF(ISERROR(AW119/SUM($AV119:$AY119)),"NM",AW119/SUM($AV119:$AY119))</f>
        <v>NM</v>
      </c>
      <c r="AX228" s="1036" t="str">
        <f>IF(ISERROR(AX119/SUM($AV119:$AY119)),"NM",AX119/SUM($AV119:$AY119))</f>
        <v>NM</v>
      </c>
      <c r="AY228" s="1036" t="str">
        <f>IF(ISERROR(AY119/SUM($AV119:$AY119)),"NM",AY119/SUM($AV119:$AY119))</f>
        <v>NM</v>
      </c>
      <c r="AZ228" s="1036" t="str">
        <f>IF(ISERROR(AZ119/SUM($AZ119:$BC119)),"NM",AZ119/SUM($AZ119:$BC119))</f>
        <v>NM</v>
      </c>
      <c r="BA228" s="1036" t="str">
        <f>IF(ISERROR(BA119/SUM($AZ119:$BC119)),"NM",BA119/SUM($AZ119:$BC119))</f>
        <v>NM</v>
      </c>
      <c r="BB228" s="1036" t="str">
        <f>IF(ISERROR(BB119/SUM($AZ119:$BC119)),"NM",BB119/SUM($AZ119:$BC119))</f>
        <v>NM</v>
      </c>
      <c r="BC228" s="1036" t="str">
        <f>IF(ISERROR(BC119/SUM($AZ119:$BC119)),"NM",BC119/SUM($AZ119:$BC119))</f>
        <v>NM</v>
      </c>
      <c r="BD228" s="1033">
        <f>BD119/SUM($BD119:$BG119)</f>
        <v>0.11481673952251398</v>
      </c>
      <c r="BE228" s="1033">
        <f>BE119/SUM($BD119:$BG119)</f>
        <v>0.30993794515941669</v>
      </c>
      <c r="BF228" s="1033">
        <f>BF119/SUM($BD119:$BG119)</f>
        <v>0.28643047106654845</v>
      </c>
      <c r="BG228" s="1033">
        <f>BG119/SUM($BD119:$BG119)</f>
        <v>0.28881484425152082</v>
      </c>
      <c r="BH228" s="1033">
        <f>BH119/SUM($BH119:$BK119)</f>
        <v>0.76995433789954337</v>
      </c>
      <c r="BI228" s="1033">
        <f>BI119/SUM($BH119:$BK119)</f>
        <v>0.22410958904109593</v>
      </c>
      <c r="BJ228" s="1033">
        <f>BJ119/SUM($BH119:$BK119)</f>
        <v>5.9360730593607308E-3</v>
      </c>
      <c r="BK228" s="1033">
        <f>BK119/SUM($BH119:$BK119)</f>
        <v>0</v>
      </c>
      <c r="BL228" s="1033">
        <f>IFERROR(BL119/$M119,0)</f>
        <v>0</v>
      </c>
      <c r="BM228" s="1033">
        <f>IFERROR(BM119/$M119,0)</f>
        <v>0</v>
      </c>
      <c r="BN228" s="1033">
        <f>IFERROR(BN119/$M119,0)</f>
        <v>0</v>
      </c>
      <c r="BO228" s="1033">
        <f>BO119/SUM($BH119:$BK119)</f>
        <v>0</v>
      </c>
      <c r="BP228" s="2174">
        <f>BP119/SUM($BH119:$BK119)</f>
        <v>0</v>
      </c>
      <c r="BQ228" s="1801">
        <f>+Inputs!AO232</f>
        <v>0</v>
      </c>
      <c r="BR228" s="1801">
        <f>+Inputs!AP232</f>
        <v>0</v>
      </c>
      <c r="BS228" s="2132">
        <f>+Inputs!AQ232</f>
        <v>1</v>
      </c>
      <c r="BT228" s="2137">
        <f>+Inputs!AR232</f>
        <v>0</v>
      </c>
      <c r="BU228" s="1801">
        <f>+Inputs!AS232</f>
        <v>0</v>
      </c>
      <c r="BV228" s="1801">
        <f>+Inputs!AT232</f>
        <v>0</v>
      </c>
      <c r="BW228" s="2132">
        <f>+Inputs!AU232</f>
        <v>1</v>
      </c>
      <c r="BX228" s="2137">
        <f>+Inputs!AV232</f>
        <v>0</v>
      </c>
      <c r="BY228" s="1801">
        <f>+Inputs!AW232</f>
        <v>0</v>
      </c>
      <c r="BZ228" s="1801">
        <f>+Inputs!AX232</f>
        <v>0</v>
      </c>
      <c r="CA228" s="2132">
        <f>+Inputs!AY232</f>
        <v>1</v>
      </c>
      <c r="CB228" s="2137">
        <f>+Inputs!AZ232</f>
        <v>0</v>
      </c>
      <c r="CC228" s="1801">
        <f>+Inputs!BA232</f>
        <v>0</v>
      </c>
      <c r="CD228" s="1801">
        <f>+Inputs!BB232</f>
        <v>0</v>
      </c>
      <c r="CE228" s="2132">
        <f>+Inputs!BC232</f>
        <v>1</v>
      </c>
      <c r="CF228" s="2137">
        <f>+Inputs!BD232</f>
        <v>0</v>
      </c>
      <c r="CG228" s="1801">
        <f>+Inputs!BE232</f>
        <v>0</v>
      </c>
      <c r="CH228" s="1801">
        <f>+Inputs!BF232</f>
        <v>0</v>
      </c>
      <c r="CI228" s="2132">
        <f>+Inputs!BG232</f>
        <v>1</v>
      </c>
      <c r="CJ228" s="2137">
        <f>+Inputs!BH232</f>
        <v>0</v>
      </c>
      <c r="CK228" s="1801">
        <f>+Inputs!BI232</f>
        <v>0</v>
      </c>
      <c r="CL228" s="1801">
        <f>+Inputs!BJ232</f>
        <v>0</v>
      </c>
      <c r="CM228" s="2132">
        <f>+Inputs!BK232</f>
        <v>1</v>
      </c>
      <c r="CN228" s="2137">
        <f>+Inputs!BL232</f>
        <v>0</v>
      </c>
      <c r="CO228" s="1801">
        <f>+Inputs!BM232</f>
        <v>0</v>
      </c>
      <c r="CP228" s="1801">
        <f>+Inputs!BN232</f>
        <v>0</v>
      </c>
      <c r="CQ228" s="2132">
        <f>+Inputs!BO232</f>
        <v>1</v>
      </c>
      <c r="CR228" s="2137">
        <f>+Inputs!BP232</f>
        <v>0</v>
      </c>
      <c r="CS228" s="1801">
        <f>+Inputs!BQ232</f>
        <v>0</v>
      </c>
      <c r="CT228" s="1801">
        <f>+Inputs!BR232</f>
        <v>0</v>
      </c>
      <c r="CU228" s="2132">
        <f>+Inputs!BS232</f>
        <v>1</v>
      </c>
    </row>
    <row r="229" spans="1:99" s="61" customFormat="1">
      <c r="A229" s="770" t="s">
        <v>905</v>
      </c>
      <c r="B229" s="695"/>
      <c r="C229" s="695"/>
      <c r="D229" s="695"/>
      <c r="E229" s="695"/>
      <c r="F229" s="695"/>
      <c r="G229" s="695"/>
      <c r="H229" s="695"/>
      <c r="I229" s="943"/>
      <c r="J229" s="943"/>
      <c r="K229" s="943"/>
      <c r="L229" s="943"/>
      <c r="M229" s="2098"/>
      <c r="N229" s="695"/>
      <c r="O229" s="695"/>
      <c r="P229" s="695"/>
      <c r="Q229" s="695"/>
      <c r="R229" s="695"/>
      <c r="S229" s="695"/>
      <c r="T229" s="695"/>
      <c r="U229" s="695"/>
      <c r="V229" s="695"/>
      <c r="W229" s="695"/>
      <c r="X229" s="402">
        <f>X123/SUM($X123:$AA123)</f>
        <v>0.20332778470712065</v>
      </c>
      <c r="Y229" s="402">
        <f>Y123/SUM($X123:$AA123)</f>
        <v>0.31487140015486698</v>
      </c>
      <c r="Z229" s="402">
        <f>Z123/SUM($X123:$AA123)</f>
        <v>0.24911554279938242</v>
      </c>
      <c r="AA229" s="402">
        <f>AA123/SUM($X123:$AA123)</f>
        <v>0.23268527233863001</v>
      </c>
      <c r="AB229" s="402">
        <f>AB123/SUM($AB123:$AE123)</f>
        <v>0.25187282159451763</v>
      </c>
      <c r="AC229" s="402">
        <f>AC123/SUM($AB123:$AE123)</f>
        <v>0.26963311430745496</v>
      </c>
      <c r="AD229" s="402">
        <f>AD123/SUM($AB123:$AE123)</f>
        <v>0.18858197511847519</v>
      </c>
      <c r="AE229" s="402">
        <f>AE123/SUM($AB123:$AE123)</f>
        <v>0.28991208897955217</v>
      </c>
      <c r="AF229" s="402">
        <f>AF123/SUM($AF123:$AI123)</f>
        <v>0.13861944377322885</v>
      </c>
      <c r="AG229" s="178">
        <f>AG123/SUM($AF123:$AI123)</f>
        <v>0.24495840381097034</v>
      </c>
      <c r="AH229" s="178">
        <f>AH123/SUM($AF123:$AI123)</f>
        <v>0.25837504458789279</v>
      </c>
      <c r="AI229" s="178">
        <f>AI123/SUM($AF123:$AI123)</f>
        <v>0.358047107827908</v>
      </c>
      <c r="AJ229" s="178">
        <f>AJ123/SUM($AJ123:$AM123)</f>
        <v>0.2183247232589888</v>
      </c>
      <c r="AK229" s="178">
        <f>AK123/SUM($AJ123:$AM123)</f>
        <v>0.25039466159460799</v>
      </c>
      <c r="AL229" s="178">
        <f>AL123/SUM($AJ123:$AM123)</f>
        <v>0.26878883892231498</v>
      </c>
      <c r="AM229" s="178">
        <f>AM123/SUM($AJ123:$AM123)</f>
        <v>0.26249177622408815</v>
      </c>
      <c r="AN229" s="178">
        <f>AN123/SUM($AN123:$AQ123)</f>
        <v>0.22076330098667332</v>
      </c>
      <c r="AO229" s="178">
        <f>AO123/SUM($AN123:$AQ123)</f>
        <v>0.24809404705890675</v>
      </c>
      <c r="AP229" s="178">
        <f>AP123/SUM($AN123:$AQ123)</f>
        <v>0.29637877785521477</v>
      </c>
      <c r="AQ229" s="178">
        <f>AQ123/SUM($AN123:$AQ123)</f>
        <v>0.2347638740992051</v>
      </c>
      <c r="AR229" s="178">
        <f>AR123/SUM($AR123:$AU123)</f>
        <v>0.22814259616694138</v>
      </c>
      <c r="AS229" s="178">
        <f>AS123/SUM($AR123:$AU123)</f>
        <v>0.24546383828706772</v>
      </c>
      <c r="AT229" s="178">
        <f>AT123/SUM($AR123:$AU123)</f>
        <v>0.29117375874867529</v>
      </c>
      <c r="AU229" s="178">
        <f>AU123/SUM($AR123:$AU123)</f>
        <v>0.23521980679731572</v>
      </c>
      <c r="AV229" s="178">
        <f>AV123/SUM($AV123:$AY123)</f>
        <v>0.16747465561739105</v>
      </c>
      <c r="AW229" s="178">
        <f>AW123/SUM($AV123:$AY123)</f>
        <v>0.31950764974479501</v>
      </c>
      <c r="AX229" s="178">
        <f>AX123/SUM($AV123:$AY123)</f>
        <v>0.24826031546791838</v>
      </c>
      <c r="AY229" s="178">
        <f>AY123/SUM($AV123:$AY123)</f>
        <v>0.26475737916989539</v>
      </c>
      <c r="AZ229" s="178">
        <f>AZ123/SUM($AZ123:$BC123)</f>
        <v>0.22674641692843323</v>
      </c>
      <c r="BA229" s="178">
        <f>BA123/SUM($AZ123:$BC123)</f>
        <v>0.31189415600045517</v>
      </c>
      <c r="BB229" s="178">
        <f>BB123/SUM($AZ123:$BC123)</f>
        <v>0.21658661762676834</v>
      </c>
      <c r="BC229" s="178">
        <f>BC123/SUM($AZ123:$BC123)</f>
        <v>0.24477280944434315</v>
      </c>
      <c r="BD229" s="178">
        <f>BD123/SUM($BD123:$BG123)</f>
        <v>0.21743211621921657</v>
      </c>
      <c r="BE229" s="178">
        <f>BE123/SUM($BD123:$BG123)</f>
        <v>0.20704158034227083</v>
      </c>
      <c r="BF229" s="178">
        <f>BF123/SUM($BD123:$BG123)</f>
        <v>0.23222387926749019</v>
      </c>
      <c r="BG229" s="178">
        <f>BG123/SUM($BD123:$BG123)</f>
        <v>0.3433024241710223</v>
      </c>
      <c r="BH229" s="1466">
        <f>BH123/SUM($BH123:$BK123)</f>
        <v>0.16843538404356748</v>
      </c>
      <c r="BI229" s="1466">
        <f>BI123/SUM($BH123:$BK123)</f>
        <v>0.20660057206573909</v>
      </c>
      <c r="BJ229" s="1466">
        <f>BJ123/SUM($BH123:$BK123)</f>
        <v>0.30665228422294399</v>
      </c>
      <c r="BK229" s="1466">
        <f>BK123/SUM($BH123:$BK123)</f>
        <v>0.31831175966774944</v>
      </c>
      <c r="BL229" s="1466">
        <f>BL123/$M123</f>
        <v>0.20498328136467514</v>
      </c>
      <c r="BM229" s="1466">
        <f>BM123/$M123</f>
        <v>0.23267452208099315</v>
      </c>
      <c r="BN229" s="1466">
        <f>BN123/$M123</f>
        <v>0.24694837903743558</v>
      </c>
      <c r="BO229" s="1466">
        <f>BO123/SUM($BH123:$BK123)</f>
        <v>0.36597986457878823</v>
      </c>
      <c r="BP229" s="1482">
        <f>BP123/SUM($BH123:$BK123)</f>
        <v>0.27055962250125237</v>
      </c>
      <c r="BQ229" s="1596">
        <f>+Inputs!AO233</f>
        <v>0.23267452208099315</v>
      </c>
      <c r="BR229" s="1596">
        <f>+Inputs!AP233</f>
        <v>0.24694837903743558</v>
      </c>
      <c r="BS229" s="2134">
        <f>+Inputs!AQ233</f>
        <v>0.24981747638031893</v>
      </c>
      <c r="BT229" s="2139">
        <f>+Inputs!AR233</f>
        <v>0.27055962250125237</v>
      </c>
      <c r="BU229" s="1596">
        <f>+Inputs!AS233</f>
        <v>0.23267452208099315</v>
      </c>
      <c r="BV229" s="1596">
        <f>+Inputs!AT233</f>
        <v>0.24694837903743558</v>
      </c>
      <c r="BW229" s="2134">
        <f>+Inputs!AU233</f>
        <v>0.24981747638031893</v>
      </c>
      <c r="BX229" s="2139">
        <f>+Inputs!AV233</f>
        <v>0.27055962250125237</v>
      </c>
      <c r="BY229" s="1596">
        <f>+Inputs!AW233</f>
        <v>0.23267452208099315</v>
      </c>
      <c r="BZ229" s="1596">
        <f>+Inputs!AX233</f>
        <v>0.24694837903743558</v>
      </c>
      <c r="CA229" s="2134">
        <f>+Inputs!AY233</f>
        <v>0.24981747638031893</v>
      </c>
      <c r="CB229" s="2139">
        <f>+Inputs!AZ233</f>
        <v>0.27055962250125237</v>
      </c>
      <c r="CC229" s="1596">
        <f>+Inputs!BA233</f>
        <v>0.23267452208099315</v>
      </c>
      <c r="CD229" s="1596">
        <f>+Inputs!BB233</f>
        <v>0.24694837903743558</v>
      </c>
      <c r="CE229" s="2134">
        <f>+Inputs!BC233</f>
        <v>0.24981747638031893</v>
      </c>
      <c r="CF229" s="2139">
        <f>+Inputs!BD233</f>
        <v>0.27055962250125237</v>
      </c>
      <c r="CG229" s="1596">
        <f>+Inputs!BE233</f>
        <v>0.23267452208099315</v>
      </c>
      <c r="CH229" s="1596">
        <f>+Inputs!BF233</f>
        <v>0.24694837903743558</v>
      </c>
      <c r="CI229" s="2134">
        <f>+Inputs!BG233</f>
        <v>0.24981747638031893</v>
      </c>
      <c r="CJ229" s="2139">
        <f>+Inputs!BH233</f>
        <v>0.27055962250125237</v>
      </c>
      <c r="CK229" s="1596">
        <f>+Inputs!BI233</f>
        <v>0.23267452208099315</v>
      </c>
      <c r="CL229" s="1596">
        <f>+Inputs!BJ233</f>
        <v>0.24694837903743558</v>
      </c>
      <c r="CM229" s="2134">
        <f>+Inputs!BK233</f>
        <v>0.24981747638031893</v>
      </c>
      <c r="CN229" s="2139">
        <f>+Inputs!BL233</f>
        <v>0.27055962250125237</v>
      </c>
      <c r="CO229" s="1596">
        <f>+Inputs!BM233</f>
        <v>0.23267452208099315</v>
      </c>
      <c r="CP229" s="1596">
        <f>+Inputs!BN233</f>
        <v>0.24694837903743558</v>
      </c>
      <c r="CQ229" s="2134">
        <f>+Inputs!BO233</f>
        <v>0.24981747638031893</v>
      </c>
      <c r="CR229" s="2139">
        <f>+Inputs!BP233</f>
        <v>0.27055962250125237</v>
      </c>
      <c r="CS229" s="1596">
        <f>+Inputs!BQ233</f>
        <v>0.23267452208099315</v>
      </c>
      <c r="CT229" s="1596">
        <f>+Inputs!BR233</f>
        <v>0.24694837903743558</v>
      </c>
      <c r="CU229" s="2134">
        <f>+Inputs!BS233</f>
        <v>0.24981747638031893</v>
      </c>
    </row>
    <row r="230" spans="1:99" s="61" customFormat="1">
      <c r="A230" s="770" t="s">
        <v>1505</v>
      </c>
      <c r="B230" s="695"/>
      <c r="C230" s="695"/>
      <c r="D230" s="695"/>
      <c r="E230" s="695"/>
      <c r="F230" s="695"/>
      <c r="G230" s="695"/>
      <c r="H230" s="695"/>
      <c r="I230" s="943"/>
      <c r="J230" s="943"/>
      <c r="K230" s="943"/>
      <c r="L230" s="943"/>
      <c r="M230" s="2098"/>
      <c r="N230" s="695"/>
      <c r="O230" s="695"/>
      <c r="P230" s="695"/>
      <c r="Q230" s="695"/>
      <c r="R230" s="695"/>
      <c r="S230" s="695"/>
      <c r="T230" s="695"/>
      <c r="U230" s="695"/>
      <c r="V230" s="695"/>
      <c r="W230" s="695"/>
      <c r="X230" s="178"/>
      <c r="Y230" s="178"/>
      <c r="Z230" s="178"/>
      <c r="AA230" s="178"/>
      <c r="AB230" s="178"/>
      <c r="AC230" s="178"/>
      <c r="AD230" s="178"/>
      <c r="AE230" s="178"/>
      <c r="AF230" s="178"/>
      <c r="AG230" s="178"/>
      <c r="AH230" s="178"/>
      <c r="AI230" s="178"/>
      <c r="AJ230" s="178">
        <f t="shared" ref="AJ230:AM232" si="605">AJ178/SUM($AJ178:$AM178)</f>
        <v>0.12081363203770562</v>
      </c>
      <c r="AK230" s="178">
        <f t="shared" si="605"/>
        <v>0.1649659350121607</v>
      </c>
      <c r="AL230" s="178">
        <f t="shared" si="605"/>
        <v>0.22795972627158331</v>
      </c>
      <c r="AM230" s="178">
        <f t="shared" si="605"/>
        <v>0.48626070667855037</v>
      </c>
      <c r="AN230" s="178">
        <f t="shared" ref="AN230:AQ232" si="606">AN178/SUM($AN178:$AQ178)</f>
        <v>0.27323396054679377</v>
      </c>
      <c r="AO230" s="178">
        <f t="shared" si="606"/>
        <v>0.29363197608760383</v>
      </c>
      <c r="AP230" s="178">
        <f t="shared" si="606"/>
        <v>0.28142294488799491</v>
      </c>
      <c r="AQ230" s="178">
        <f t="shared" si="606"/>
        <v>0.15171111847760746</v>
      </c>
      <c r="AR230" s="178">
        <f t="shared" ref="AR230:AU232" si="607">AR178/SUM($AR178:$AU178)</f>
        <v>0.25242596644784832</v>
      </c>
      <c r="AS230" s="178">
        <f t="shared" si="607"/>
        <v>0.35162363238512034</v>
      </c>
      <c r="AT230" s="178">
        <f t="shared" si="607"/>
        <v>0.27690153172866527</v>
      </c>
      <c r="AU230" s="178">
        <f t="shared" si="607"/>
        <v>0.11904886943836608</v>
      </c>
      <c r="AV230" s="178">
        <f t="shared" ref="AV230:AY232" si="608">AV178/SUM($AV178:$AY178)</f>
        <v>0.16132979437177747</v>
      </c>
      <c r="AW230" s="178">
        <f t="shared" si="608"/>
        <v>0.43218089643078889</v>
      </c>
      <c r="AX230" s="178">
        <f t="shared" si="608"/>
        <v>0.18853612993174543</v>
      </c>
      <c r="AY230" s="178">
        <f t="shared" si="608"/>
        <v>0.21795317926568822</v>
      </c>
      <c r="AZ230" s="178">
        <f t="shared" ref="AZ230:BC232" si="609">AZ178/SUM($AZ178:$BC178)</f>
        <v>0.29434667939885861</v>
      </c>
      <c r="BA230" s="178">
        <f t="shared" si="609"/>
        <v>0.35602391833208286</v>
      </c>
      <c r="BB230" s="178">
        <f t="shared" si="609"/>
        <v>0.18481004024282108</v>
      </c>
      <c r="BC230" s="178">
        <f t="shared" si="609"/>
        <v>0.16481936202623748</v>
      </c>
      <c r="BD230" s="178">
        <f t="shared" ref="BD230:BG232" si="610">BD178/SUM($BD178:$BG178)</f>
        <v>0.15173658961694747</v>
      </c>
      <c r="BE230" s="178">
        <f t="shared" si="610"/>
        <v>0.21541883927138084</v>
      </c>
      <c r="BF230" s="178">
        <f t="shared" si="610"/>
        <v>0.26329363052411459</v>
      </c>
      <c r="BG230" s="178">
        <f t="shared" si="610"/>
        <v>0.36955094058755705</v>
      </c>
      <c r="BH230" s="1466">
        <f t="shared" ref="BH230:BK232" si="611">BH178/SUM($BH178:$BK178)</f>
        <v>0.151676505471734</v>
      </c>
      <c r="BI230" s="1466">
        <f t="shared" si="611"/>
        <v>0.26328142570725016</v>
      </c>
      <c r="BJ230" s="1466">
        <f t="shared" si="611"/>
        <v>0.32871540639615232</v>
      </c>
      <c r="BK230" s="1466">
        <f t="shared" si="611"/>
        <v>0.25632666242486346</v>
      </c>
      <c r="BL230" s="1466">
        <f t="shared" ref="BL230:BN232" si="612">BL178/$M178</f>
        <v>0.24404433124667568</v>
      </c>
      <c r="BM230" s="1466">
        <f t="shared" si="612"/>
        <v>0.2321176506689579</v>
      </c>
      <c r="BN230" s="1466">
        <f t="shared" si="612"/>
        <v>0.1916835440448427</v>
      </c>
      <c r="BO230" s="1466">
        <f t="shared" ref="BO230:BP232" si="613">BO178/SUM($BH178:$BK178)</f>
        <v>0.49937045744196173</v>
      </c>
      <c r="BP230" s="1482">
        <f t="shared" si="613"/>
        <v>0.61334745559081838</v>
      </c>
      <c r="BQ230" s="1801">
        <f>+Inputs!AO234</f>
        <v>0.2321176506689579</v>
      </c>
      <c r="BR230" s="1801">
        <f>+Inputs!AP234</f>
        <v>0.1916835440448427</v>
      </c>
      <c r="BS230" s="2132">
        <f>+Inputs!AQ234</f>
        <v>-3.7148650304619002E-2</v>
      </c>
      <c r="BT230" s="2137">
        <f>+Inputs!AR234</f>
        <v>0.61334745559081838</v>
      </c>
      <c r="BU230" s="1801">
        <f>+Inputs!AS234</f>
        <v>0.2321176506689579</v>
      </c>
      <c r="BV230" s="1801">
        <f>+Inputs!AT234</f>
        <v>0.1916835440448427</v>
      </c>
      <c r="BW230" s="2132">
        <f>+Inputs!AU234</f>
        <v>-3.7148650304619002E-2</v>
      </c>
      <c r="BX230" s="2137">
        <f>+Inputs!AV234</f>
        <v>0.61334745559081838</v>
      </c>
      <c r="BY230" s="1801">
        <f>+Inputs!AW234</f>
        <v>0.2321176506689579</v>
      </c>
      <c r="BZ230" s="1801">
        <f>+Inputs!AX234</f>
        <v>0.1916835440448427</v>
      </c>
      <c r="CA230" s="2132">
        <f>+Inputs!AY234</f>
        <v>-3.7148650304619002E-2</v>
      </c>
      <c r="CB230" s="2137">
        <f>+Inputs!AZ234</f>
        <v>0.61334745559081838</v>
      </c>
      <c r="CC230" s="1801">
        <f>+Inputs!BA234</f>
        <v>0.2321176506689579</v>
      </c>
      <c r="CD230" s="1801">
        <f>+Inputs!BB234</f>
        <v>0.1916835440448427</v>
      </c>
      <c r="CE230" s="2132">
        <f>+Inputs!BC234</f>
        <v>-3.7148650304619002E-2</v>
      </c>
      <c r="CF230" s="2137">
        <f>+Inputs!BD234</f>
        <v>0.61334745559081838</v>
      </c>
      <c r="CG230" s="1801">
        <f>+Inputs!BE234</f>
        <v>0.2321176506689579</v>
      </c>
      <c r="CH230" s="1801">
        <f>+Inputs!BF234</f>
        <v>0.1916835440448427</v>
      </c>
      <c r="CI230" s="2132">
        <f>+Inputs!BG234</f>
        <v>-3.7148650304619002E-2</v>
      </c>
      <c r="CJ230" s="2137">
        <f>+Inputs!BH234</f>
        <v>0.61334745559081838</v>
      </c>
      <c r="CK230" s="1801">
        <f>+Inputs!BI234</f>
        <v>0.2321176506689579</v>
      </c>
      <c r="CL230" s="1801">
        <f>+Inputs!BJ234</f>
        <v>0.1916835440448427</v>
      </c>
      <c r="CM230" s="2132">
        <f>+Inputs!BK234</f>
        <v>-3.7148650304619002E-2</v>
      </c>
      <c r="CN230" s="2137">
        <f>+Inputs!BL234</f>
        <v>0.61334745559081838</v>
      </c>
      <c r="CO230" s="1801">
        <f>+Inputs!BM234</f>
        <v>0.2321176506689579</v>
      </c>
      <c r="CP230" s="1801">
        <f>+Inputs!BN234</f>
        <v>0.1916835440448427</v>
      </c>
      <c r="CQ230" s="2132">
        <f>+Inputs!BO234</f>
        <v>-3.7148650304619002E-2</v>
      </c>
      <c r="CR230" s="2137">
        <f>+Inputs!BP234</f>
        <v>0.61334745559081838</v>
      </c>
      <c r="CS230" s="1801">
        <f>+Inputs!BQ234</f>
        <v>0.2321176506689579</v>
      </c>
      <c r="CT230" s="1801">
        <f>+Inputs!BR234</f>
        <v>0.1916835440448427</v>
      </c>
      <c r="CU230" s="2132">
        <f>+Inputs!BS234</f>
        <v>-3.7148650304619002E-2</v>
      </c>
    </row>
    <row r="231" spans="1:99" s="61" customFormat="1">
      <c r="A231" s="770" t="s">
        <v>1506</v>
      </c>
      <c r="B231" s="695"/>
      <c r="C231" s="695"/>
      <c r="D231" s="695"/>
      <c r="E231" s="695"/>
      <c r="F231" s="695"/>
      <c r="G231" s="695"/>
      <c r="H231" s="695"/>
      <c r="I231" s="943"/>
      <c r="J231" s="943"/>
      <c r="K231" s="943"/>
      <c r="L231" s="943"/>
      <c r="M231" s="2098"/>
      <c r="N231" s="695"/>
      <c r="O231" s="695"/>
      <c r="P231" s="695"/>
      <c r="Q231" s="695"/>
      <c r="R231" s="695"/>
      <c r="S231" s="695"/>
      <c r="T231" s="695"/>
      <c r="U231" s="695"/>
      <c r="V231" s="695"/>
      <c r="W231" s="695"/>
      <c r="X231" s="402"/>
      <c r="Y231" s="402"/>
      <c r="Z231" s="402"/>
      <c r="AA231" s="402"/>
      <c r="AB231" s="402"/>
      <c r="AC231" s="402"/>
      <c r="AD231" s="402"/>
      <c r="AE231" s="402"/>
      <c r="AF231" s="402"/>
      <c r="AG231" s="178"/>
      <c r="AH231" s="178"/>
      <c r="AI231" s="178"/>
      <c r="AJ231" s="178">
        <f t="shared" si="605"/>
        <v>5.6697693241602592E-2</v>
      </c>
      <c r="AK231" s="178">
        <f t="shared" si="605"/>
        <v>0.16173902988957622</v>
      </c>
      <c r="AL231" s="178">
        <f t="shared" si="605"/>
        <v>0.32150661964502519</v>
      </c>
      <c r="AM231" s="178">
        <f t="shared" si="605"/>
        <v>0.46005665722379602</v>
      </c>
      <c r="AN231" s="178">
        <f t="shared" si="606"/>
        <v>0.14954613399694364</v>
      </c>
      <c r="AO231" s="178">
        <f t="shared" si="606"/>
        <v>0.16870704557031793</v>
      </c>
      <c r="AP231" s="178">
        <f t="shared" si="606"/>
        <v>0.36002388328921325</v>
      </c>
      <c r="AQ231" s="178">
        <f t="shared" si="606"/>
        <v>0.32172293714352518</v>
      </c>
      <c r="AR231" s="178">
        <f t="shared" si="607"/>
        <v>0.34029939491448363</v>
      </c>
      <c r="AS231" s="178">
        <f t="shared" si="607"/>
        <v>0.17694379350145148</v>
      </c>
      <c r="AT231" s="178">
        <f t="shared" si="607"/>
        <v>0.31592692339081063</v>
      </c>
      <c r="AU231" s="178">
        <f t="shared" si="607"/>
        <v>0.16682988819325428</v>
      </c>
      <c r="AV231" s="178">
        <f t="shared" si="608"/>
        <v>0.16605216363770645</v>
      </c>
      <c r="AW231" s="178">
        <f t="shared" si="608"/>
        <v>0.2124495094391074</v>
      </c>
      <c r="AX231" s="178">
        <f t="shared" si="608"/>
        <v>0.34003510904824941</v>
      </c>
      <c r="AY231" s="178">
        <f t="shared" si="608"/>
        <v>0.28146321787493678</v>
      </c>
      <c r="AZ231" s="178">
        <f t="shared" si="609"/>
        <v>0.30262272412998387</v>
      </c>
      <c r="BA231" s="178">
        <f t="shared" si="609"/>
        <v>0.2689467619267113</v>
      </c>
      <c r="BB231" s="178">
        <f t="shared" si="609"/>
        <v>0.18162095720980259</v>
      </c>
      <c r="BC231" s="178">
        <f t="shared" si="609"/>
        <v>0.24680955673350233</v>
      </c>
      <c r="BD231" s="178">
        <f t="shared" si="610"/>
        <v>0.27364236126958047</v>
      </c>
      <c r="BE231" s="178">
        <f t="shared" si="610"/>
        <v>0.17862920197364082</v>
      </c>
      <c r="BF231" s="178">
        <f t="shared" si="610"/>
        <v>0.21322116237911953</v>
      </c>
      <c r="BG231" s="178">
        <f t="shared" si="610"/>
        <v>0.33450727437765915</v>
      </c>
      <c r="BH231" s="1466">
        <f t="shared" si="611"/>
        <v>0.11896687221394309</v>
      </c>
      <c r="BI231" s="1466">
        <f t="shared" si="611"/>
        <v>0.20785981914883209</v>
      </c>
      <c r="BJ231" s="1466">
        <f t="shared" si="611"/>
        <v>0.33503282125865369</v>
      </c>
      <c r="BK231" s="1466">
        <f t="shared" si="611"/>
        <v>0.33814048737857116</v>
      </c>
      <c r="BL231" s="1466">
        <f t="shared" si="612"/>
        <v>0.19588043647088108</v>
      </c>
      <c r="BM231" s="1466">
        <f t="shared" si="612"/>
        <v>0.24752000928183665</v>
      </c>
      <c r="BN231" s="1466">
        <f t="shared" si="612"/>
        <v>0.30645967172988359</v>
      </c>
      <c r="BO231" s="1466">
        <f t="shared" si="613"/>
        <v>0.2179426141570007</v>
      </c>
      <c r="BP231" s="1482">
        <f t="shared" si="613"/>
        <v>0.15762193431835153</v>
      </c>
      <c r="BQ231" s="1596">
        <f>+Inputs!AO235</f>
        <v>0.24752000928183665</v>
      </c>
      <c r="BR231" s="1596">
        <f>+Inputs!AP235</f>
        <v>0.30645967172988359</v>
      </c>
      <c r="BS231" s="2134">
        <f>+Inputs!AQ235</f>
        <v>0.28839838466992829</v>
      </c>
      <c r="BT231" s="2139">
        <f>+Inputs!AR235</f>
        <v>0.15762193431835153</v>
      </c>
      <c r="BU231" s="1596">
        <f>+Inputs!AS235</f>
        <v>0.24752000928183665</v>
      </c>
      <c r="BV231" s="1596">
        <f>+Inputs!AT235</f>
        <v>0.30645967172988359</v>
      </c>
      <c r="BW231" s="2134">
        <f>+Inputs!AU235</f>
        <v>0.28839838466992829</v>
      </c>
      <c r="BX231" s="2139">
        <f>+Inputs!AV235</f>
        <v>0.15762193431835153</v>
      </c>
      <c r="BY231" s="1596">
        <f>+Inputs!AW235</f>
        <v>0.24752000928183665</v>
      </c>
      <c r="BZ231" s="1596">
        <f>+Inputs!AX235</f>
        <v>0.30645967172988359</v>
      </c>
      <c r="CA231" s="2134">
        <f>+Inputs!AY235</f>
        <v>0.28839838466992829</v>
      </c>
      <c r="CB231" s="2139">
        <f>+Inputs!AZ235</f>
        <v>0.15762193431835153</v>
      </c>
      <c r="CC231" s="1596">
        <f>+Inputs!BA235</f>
        <v>0.24752000928183665</v>
      </c>
      <c r="CD231" s="1596">
        <f>+Inputs!BB235</f>
        <v>0.30645967172988359</v>
      </c>
      <c r="CE231" s="2134">
        <f>+Inputs!BC235</f>
        <v>0.28839838466992829</v>
      </c>
      <c r="CF231" s="2139">
        <f>+Inputs!BD235</f>
        <v>0.15762193431835153</v>
      </c>
      <c r="CG231" s="1596">
        <f>+Inputs!BE235</f>
        <v>0.24752000928183665</v>
      </c>
      <c r="CH231" s="1596">
        <f>+Inputs!BF235</f>
        <v>0.30645967172988359</v>
      </c>
      <c r="CI231" s="2134">
        <f>+Inputs!BG235</f>
        <v>0.28839838466992829</v>
      </c>
      <c r="CJ231" s="2139">
        <f>+Inputs!BH235</f>
        <v>0.15762193431835153</v>
      </c>
      <c r="CK231" s="1596">
        <f>+Inputs!BI235</f>
        <v>0.24752000928183665</v>
      </c>
      <c r="CL231" s="1596">
        <f>+Inputs!BJ235</f>
        <v>0.30645967172988359</v>
      </c>
      <c r="CM231" s="2134">
        <f>+Inputs!BK235</f>
        <v>0.28839838466992829</v>
      </c>
      <c r="CN231" s="2139">
        <f>+Inputs!BL235</f>
        <v>0.15762193431835153</v>
      </c>
      <c r="CO231" s="1596">
        <f>+Inputs!BM235</f>
        <v>0.24752000928183665</v>
      </c>
      <c r="CP231" s="1596">
        <f>+Inputs!BN235</f>
        <v>0.30645967172988359</v>
      </c>
      <c r="CQ231" s="2134">
        <f>+Inputs!BO235</f>
        <v>0.28839838466992829</v>
      </c>
      <c r="CR231" s="2139">
        <f>+Inputs!BP235</f>
        <v>0.15762193431835153</v>
      </c>
      <c r="CS231" s="1596">
        <f>+Inputs!BQ235</f>
        <v>0.24752000928183665</v>
      </c>
      <c r="CT231" s="1596">
        <f>+Inputs!BR235</f>
        <v>0.30645967172988359</v>
      </c>
      <c r="CU231" s="2134">
        <f>+Inputs!BS235</f>
        <v>0.28839838466992829</v>
      </c>
    </row>
    <row r="232" spans="1:99" s="61" customFormat="1">
      <c r="A232" s="770" t="s">
        <v>1507</v>
      </c>
      <c r="B232" s="695"/>
      <c r="C232" s="695"/>
      <c r="D232" s="695"/>
      <c r="E232" s="695"/>
      <c r="F232" s="695"/>
      <c r="G232" s="695"/>
      <c r="H232" s="695"/>
      <c r="I232" s="943"/>
      <c r="J232" s="943"/>
      <c r="K232" s="943"/>
      <c r="L232" s="943"/>
      <c r="M232" s="2098"/>
      <c r="N232" s="695"/>
      <c r="O232" s="695"/>
      <c r="P232" s="695"/>
      <c r="Q232" s="695"/>
      <c r="R232" s="695"/>
      <c r="S232" s="695"/>
      <c r="T232" s="695"/>
      <c r="U232" s="695"/>
      <c r="V232" s="695"/>
      <c r="W232" s="695"/>
      <c r="X232" s="402"/>
      <c r="Y232" s="402"/>
      <c r="Z232" s="402"/>
      <c r="AA232" s="402"/>
      <c r="AB232" s="402"/>
      <c r="AC232" s="402"/>
      <c r="AD232" s="402"/>
      <c r="AE232" s="402"/>
      <c r="AF232" s="402"/>
      <c r="AG232" s="178"/>
      <c r="AH232" s="178"/>
      <c r="AI232" s="178"/>
      <c r="AJ232" s="178">
        <f t="shared" si="605"/>
        <v>0.16405555175480604</v>
      </c>
      <c r="AK232" s="178">
        <f t="shared" si="605"/>
        <v>0.33132653759321334</v>
      </c>
      <c r="AL232" s="178">
        <f t="shared" si="605"/>
        <v>0.4664431825956078</v>
      </c>
      <c r="AM232" s="178">
        <f t="shared" si="605"/>
        <v>3.8174728056372821E-2</v>
      </c>
      <c r="AN232" s="178">
        <f t="shared" si="606"/>
        <v>0.37462765025407396</v>
      </c>
      <c r="AO232" s="178">
        <f t="shared" si="606"/>
        <v>0.34962911044915607</v>
      </c>
      <c r="AP232" s="178">
        <f t="shared" si="606"/>
        <v>0.29887272939664739</v>
      </c>
      <c r="AQ232" s="178">
        <f t="shared" si="606"/>
        <v>-2.3129490099877394E-2</v>
      </c>
      <c r="AR232" s="178">
        <f t="shared" si="607"/>
        <v>9.6279416275910426E-2</v>
      </c>
      <c r="AS232" s="178">
        <f t="shared" si="607"/>
        <v>0.35930584162320883</v>
      </c>
      <c r="AT232" s="178">
        <f t="shared" si="607"/>
        <v>0.39883430474604492</v>
      </c>
      <c r="AU232" s="178">
        <f t="shared" si="607"/>
        <v>0.14558043735483586</v>
      </c>
      <c r="AV232" s="178">
        <f t="shared" si="608"/>
        <v>0.23004476483925351</v>
      </c>
      <c r="AW232" s="178">
        <f t="shared" si="608"/>
        <v>0.3155630486599616</v>
      </c>
      <c r="AX232" s="178">
        <f t="shared" si="608"/>
        <v>0.48212313237602472</v>
      </c>
      <c r="AY232" s="178">
        <f t="shared" si="608"/>
        <v>-2.7730945875239828E-2</v>
      </c>
      <c r="AZ232" s="178">
        <f t="shared" si="609"/>
        <v>0.10756234644768282</v>
      </c>
      <c r="BA232" s="178">
        <f t="shared" si="609"/>
        <v>0.29026576470456256</v>
      </c>
      <c r="BB232" s="178">
        <f t="shared" si="609"/>
        <v>0.4969093213969194</v>
      </c>
      <c r="BC232" s="178">
        <f t="shared" si="609"/>
        <v>0.10526256745083516</v>
      </c>
      <c r="BD232" s="178">
        <f t="shared" si="610"/>
        <v>0.21301965543236434</v>
      </c>
      <c r="BE232" s="178">
        <f t="shared" si="610"/>
        <v>0.38217772629488661</v>
      </c>
      <c r="BF232" s="178">
        <f t="shared" si="610"/>
        <v>0.35532847923216948</v>
      </c>
      <c r="BG232" s="178">
        <f t="shared" si="610"/>
        <v>4.9474139040579707E-2</v>
      </c>
      <c r="BH232" s="1466">
        <f t="shared" si="611"/>
        <v>0.43669908586216977</v>
      </c>
      <c r="BI232" s="1466">
        <f t="shared" si="611"/>
        <v>0.32470676628960216</v>
      </c>
      <c r="BJ232" s="1466">
        <f t="shared" si="611"/>
        <v>0.21122368052284149</v>
      </c>
      <c r="BK232" s="1466">
        <f t="shared" si="611"/>
        <v>2.7370467325386574E-2</v>
      </c>
      <c r="BL232" s="1466">
        <f t="shared" si="612"/>
        <v>0.29710330883782421</v>
      </c>
      <c r="BM232" s="1466">
        <f t="shared" si="612"/>
        <v>0.42686729655118782</v>
      </c>
      <c r="BN232" s="1466">
        <f t="shared" si="612"/>
        <v>0.22026517360706097</v>
      </c>
      <c r="BO232" s="1466">
        <f t="shared" si="613"/>
        <v>4.2761137514236769E-2</v>
      </c>
      <c r="BP232" s="1482">
        <f t="shared" si="613"/>
        <v>0.35536288230699042</v>
      </c>
      <c r="BQ232" s="2140">
        <f>+Inputs!AO236</f>
        <v>0.42686729655118782</v>
      </c>
      <c r="BR232" s="2140">
        <f>+Inputs!AP236</f>
        <v>0.22026517360706097</v>
      </c>
      <c r="BS232" s="2141">
        <f>+Inputs!AQ236</f>
        <v>-2.4953524652391312E-3</v>
      </c>
      <c r="BT232" s="2142">
        <f>+Inputs!AR236</f>
        <v>0.35536288230699042</v>
      </c>
      <c r="BU232" s="2140">
        <f>+Inputs!AS236</f>
        <v>0.42686729655118782</v>
      </c>
      <c r="BV232" s="2140">
        <f>+Inputs!AT236</f>
        <v>0.22026517360706097</v>
      </c>
      <c r="BW232" s="2141">
        <f>+Inputs!AU236</f>
        <v>-2.4953524652391312E-3</v>
      </c>
      <c r="BX232" s="2142">
        <f>+Inputs!AV236</f>
        <v>0.35536288230699042</v>
      </c>
      <c r="BY232" s="2140">
        <f>+Inputs!AW236</f>
        <v>0.42686729655118782</v>
      </c>
      <c r="BZ232" s="2140">
        <f>+Inputs!AX236</f>
        <v>0.22026517360706097</v>
      </c>
      <c r="CA232" s="2141">
        <f>+Inputs!AY236</f>
        <v>-2.4953524652391312E-3</v>
      </c>
      <c r="CB232" s="2142">
        <f>+Inputs!AZ236</f>
        <v>0.35536288230699042</v>
      </c>
      <c r="CC232" s="2140">
        <f>+Inputs!BA236</f>
        <v>0.42686729655118782</v>
      </c>
      <c r="CD232" s="2140">
        <f>+Inputs!BB236</f>
        <v>0.22026517360706097</v>
      </c>
      <c r="CE232" s="2141">
        <f>+Inputs!BC236</f>
        <v>-2.4953524652391312E-3</v>
      </c>
      <c r="CF232" s="2142">
        <f>+Inputs!BD236</f>
        <v>0.35536288230699042</v>
      </c>
      <c r="CG232" s="2140">
        <f>+Inputs!BE236</f>
        <v>0.42686729655118782</v>
      </c>
      <c r="CH232" s="2140">
        <f>+Inputs!BF236</f>
        <v>0.22026517360706097</v>
      </c>
      <c r="CI232" s="2141">
        <f>+Inputs!BG236</f>
        <v>-2.4953524652391312E-3</v>
      </c>
      <c r="CJ232" s="2142">
        <f>+Inputs!BH236</f>
        <v>0.35536288230699042</v>
      </c>
      <c r="CK232" s="2140">
        <f>+Inputs!BI236</f>
        <v>0.42686729655118782</v>
      </c>
      <c r="CL232" s="2140">
        <f>+Inputs!BJ236</f>
        <v>0.22026517360706097</v>
      </c>
      <c r="CM232" s="2141">
        <f>+Inputs!BK236</f>
        <v>-2.4953524652391312E-3</v>
      </c>
      <c r="CN232" s="2142">
        <f>+Inputs!BL236</f>
        <v>0.35536288230699042</v>
      </c>
      <c r="CO232" s="2140">
        <f>+Inputs!BM236</f>
        <v>0.42686729655118782</v>
      </c>
      <c r="CP232" s="2140">
        <f>+Inputs!BN236</f>
        <v>0.22026517360706097</v>
      </c>
      <c r="CQ232" s="2141">
        <f>+Inputs!BO236</f>
        <v>-2.4953524652391312E-3</v>
      </c>
      <c r="CR232" s="2142">
        <f>+Inputs!BP236</f>
        <v>0.35536288230699042</v>
      </c>
      <c r="CS232" s="2140">
        <f>+Inputs!BQ236</f>
        <v>0.42686729655118782</v>
      </c>
      <c r="CT232" s="2140">
        <f>+Inputs!BR236</f>
        <v>0.22026517360706097</v>
      </c>
      <c r="CU232" s="2141">
        <f>+Inputs!BS236</f>
        <v>-2.4953524652391312E-3</v>
      </c>
    </row>
    <row r="233" spans="1:99" s="61" customFormat="1">
      <c r="A233" s="770"/>
      <c r="B233" s="695"/>
      <c r="C233" s="695"/>
      <c r="D233" s="695"/>
      <c r="E233" s="695"/>
      <c r="F233" s="695"/>
      <c r="G233" s="695"/>
      <c r="H233" s="695"/>
      <c r="I233" s="943"/>
      <c r="J233" s="943"/>
      <c r="K233" s="943"/>
      <c r="L233" s="943"/>
      <c r="M233" s="2098"/>
      <c r="N233" s="695"/>
      <c r="O233" s="695"/>
      <c r="P233" s="695"/>
      <c r="Q233" s="695"/>
      <c r="R233" s="695"/>
      <c r="S233" s="695"/>
      <c r="T233" s="695"/>
      <c r="U233" s="695"/>
      <c r="V233" s="695"/>
      <c r="W233" s="695"/>
      <c r="X233" s="402"/>
      <c r="Y233" s="402"/>
      <c r="Z233" s="402"/>
      <c r="AA233" s="402"/>
      <c r="AB233" s="402"/>
      <c r="AC233" s="402"/>
      <c r="AD233" s="402"/>
      <c r="AE233" s="402"/>
      <c r="AF233" s="402"/>
      <c r="AG233" s="178"/>
      <c r="AH233" s="178"/>
      <c r="AI233" s="178"/>
      <c r="AJ233" s="178"/>
      <c r="AK233" s="178"/>
      <c r="AL233" s="178"/>
      <c r="AM233" s="178"/>
      <c r="AN233" s="178"/>
      <c r="AO233" s="178"/>
      <c r="AP233" s="178"/>
      <c r="AQ233" s="178"/>
      <c r="AR233" s="178"/>
      <c r="AS233" s="178"/>
      <c r="AT233" s="178"/>
      <c r="AU233" s="178"/>
      <c r="AV233" s="178"/>
      <c r="AW233" s="178"/>
      <c r="AX233" s="178"/>
      <c r="AY233" s="178"/>
      <c r="AZ233" s="178"/>
      <c r="BA233" s="178"/>
      <c r="BB233" s="178"/>
      <c r="BC233" s="178"/>
      <c r="BD233" s="178"/>
      <c r="BE233" s="178"/>
      <c r="BF233" s="178"/>
      <c r="BG233" s="178"/>
      <c r="BH233" s="1466"/>
      <c r="BI233" s="1466"/>
      <c r="BJ233" s="1466"/>
      <c r="BK233" s="1466"/>
      <c r="BL233" s="1466"/>
      <c r="BM233" s="1466"/>
      <c r="BN233" s="1466"/>
      <c r="BO233" s="1466"/>
      <c r="BP233" s="1482"/>
      <c r="BQ233" s="622"/>
      <c r="BR233" s="622"/>
      <c r="BS233" s="622"/>
      <c r="BT233" s="622"/>
      <c r="BU233" s="622"/>
      <c r="BV233" s="622"/>
      <c r="BW233" s="622"/>
      <c r="BX233" s="622"/>
      <c r="BY233" s="622"/>
      <c r="BZ233" s="622"/>
      <c r="CA233" s="622"/>
      <c r="CB233" s="622"/>
      <c r="CC233" s="622"/>
      <c r="CD233" s="622"/>
      <c r="CE233" s="622"/>
      <c r="CF233" s="622"/>
      <c r="CG233" s="622"/>
      <c r="CH233" s="622"/>
      <c r="CI233" s="622"/>
      <c r="CJ233" s="622"/>
      <c r="CK233" s="622"/>
      <c r="CL233" s="622"/>
      <c r="CM233" s="622"/>
      <c r="CN233" s="622"/>
      <c r="CO233" s="622"/>
      <c r="CP233" s="622"/>
      <c r="CQ233" s="622"/>
      <c r="CR233" s="622"/>
      <c r="CS233" s="622"/>
      <c r="CT233" s="622"/>
      <c r="CU233" s="622"/>
    </row>
    <row r="234" spans="1:99">
      <c r="A234" s="771"/>
      <c r="B234" s="202"/>
      <c r="C234" s="202"/>
      <c r="D234" s="202"/>
      <c r="E234" s="202"/>
      <c r="F234" s="202"/>
      <c r="G234" s="202"/>
      <c r="H234" s="202"/>
      <c r="I234" s="202"/>
      <c r="J234" s="202"/>
      <c r="K234" s="202"/>
      <c r="L234" s="202"/>
      <c r="M234" s="355"/>
      <c r="N234" s="202"/>
      <c r="O234" s="202"/>
      <c r="P234" s="202"/>
      <c r="Q234" s="202"/>
      <c r="R234" s="202"/>
      <c r="S234" s="202"/>
      <c r="T234" s="202"/>
      <c r="U234" s="202"/>
      <c r="V234" s="178"/>
      <c r="W234" s="178"/>
      <c r="X234" s="178"/>
      <c r="Y234" s="178"/>
      <c r="Z234" s="178"/>
      <c r="AA234" s="178"/>
      <c r="AB234" s="178"/>
      <c r="AC234" s="178"/>
      <c r="AD234" s="178"/>
      <c r="AE234" s="178"/>
      <c r="AF234" s="178"/>
      <c r="AG234" s="178"/>
      <c r="AH234" s="178"/>
      <c r="AI234" s="178"/>
      <c r="AJ234" s="178"/>
      <c r="AK234" s="178"/>
      <c r="AL234" s="178"/>
      <c r="AM234" s="178"/>
      <c r="AN234" s="178"/>
      <c r="AO234" s="178"/>
      <c r="AP234" s="178"/>
      <c r="AQ234" s="178"/>
      <c r="AR234" s="178"/>
      <c r="AS234" s="178"/>
      <c r="AT234" s="178"/>
      <c r="AU234" s="178"/>
      <c r="AV234" s="178"/>
      <c r="AW234" s="178"/>
      <c r="AX234" s="178"/>
      <c r="AY234" s="178"/>
      <c r="AZ234" s="178"/>
      <c r="BA234" s="178"/>
      <c r="BB234" s="178"/>
      <c r="BC234" s="178"/>
      <c r="BD234" s="178"/>
      <c r="BE234" s="178"/>
      <c r="BF234" s="178"/>
      <c r="BG234" s="178"/>
      <c r="BH234" s="178"/>
      <c r="BI234" s="178"/>
      <c r="BJ234" s="178"/>
      <c r="BK234" s="178"/>
      <c r="BL234" s="178"/>
      <c r="BM234" s="178"/>
      <c r="BN234" s="178"/>
      <c r="BO234" s="178"/>
      <c r="BP234" s="1448"/>
    </row>
    <row r="235" spans="1:99" s="106" customFormat="1">
      <c r="A235" s="1555" t="s">
        <v>558</v>
      </c>
      <c r="B235" s="1563"/>
      <c r="C235" s="1563"/>
      <c r="D235" s="1563"/>
      <c r="E235" s="1563"/>
      <c r="F235" s="1563"/>
      <c r="G235" s="1563"/>
      <c r="H235" s="1563"/>
      <c r="I235" s="1563"/>
      <c r="J235" s="1563"/>
      <c r="K235" s="1563"/>
      <c r="L235" s="1563"/>
      <c r="M235" s="381"/>
      <c r="N235" s="1563"/>
      <c r="O235" s="1570"/>
      <c r="P235" s="1570"/>
      <c r="Q235" s="1570"/>
      <c r="R235" s="1570"/>
      <c r="S235" s="1570"/>
      <c r="T235" s="1570"/>
      <c r="U235" s="1570"/>
      <c r="V235" s="1570"/>
      <c r="W235" s="1570"/>
      <c r="X235" s="746"/>
      <c r="Y235" s="746"/>
      <c r="Z235" s="386"/>
      <c r="AA235" s="386"/>
      <c r="AB235" s="386"/>
      <c r="AC235" s="386"/>
      <c r="AD235" s="386"/>
      <c r="AE235" s="386"/>
      <c r="AF235" s="386"/>
      <c r="AG235" s="386"/>
      <c r="AH235" s="386"/>
      <c r="AI235" s="386"/>
      <c r="AJ235" s="386"/>
      <c r="AK235" s="386"/>
      <c r="AL235" s="386"/>
      <c r="AM235" s="386"/>
      <c r="AN235" s="386"/>
      <c r="AO235" s="386"/>
      <c r="AP235" s="386"/>
      <c r="AQ235" s="386"/>
      <c r="AR235" s="386"/>
      <c r="AS235" s="386"/>
      <c r="AT235" s="386"/>
      <c r="AU235" s="386"/>
      <c r="AV235" s="386"/>
      <c r="AW235" s="386"/>
      <c r="AX235" s="386"/>
      <c r="AY235" s="386"/>
      <c r="AZ235" s="386"/>
      <c r="BA235" s="386"/>
      <c r="BB235" s="386"/>
      <c r="BC235" s="386"/>
      <c r="BD235" s="386"/>
      <c r="BE235" s="386"/>
      <c r="BF235" s="386"/>
      <c r="BP235" s="1448"/>
    </row>
    <row r="236" spans="1:99" s="106" customFormat="1" hidden="1" outlineLevel="1">
      <c r="A236" s="1723" t="s">
        <v>1593</v>
      </c>
      <c r="B236" s="1563"/>
      <c r="C236" s="1563"/>
      <c r="D236" s="1563"/>
      <c r="E236" s="1563"/>
      <c r="F236" s="1563"/>
      <c r="G236" s="1563"/>
      <c r="H236" s="1563"/>
      <c r="I236" s="1563"/>
      <c r="J236" s="1563"/>
      <c r="K236" s="1563"/>
      <c r="L236" s="1563"/>
      <c r="M236" s="381"/>
      <c r="N236" s="1563"/>
      <c r="O236" s="1570"/>
      <c r="P236" s="1570"/>
      <c r="Q236" s="1570"/>
      <c r="R236" s="1570"/>
      <c r="S236" s="1570"/>
      <c r="T236" s="1570"/>
      <c r="U236" s="1570"/>
      <c r="V236" s="1570"/>
      <c r="W236" s="1570"/>
      <c r="X236" s="746"/>
      <c r="Y236" s="746"/>
      <c r="Z236" s="386"/>
      <c r="AA236" s="386"/>
      <c r="AB236" s="386"/>
      <c r="AC236" s="386"/>
      <c r="AD236" s="386"/>
      <c r="AE236" s="386"/>
      <c r="AF236" s="1037">
        <v>-1.9999999999953388E-3</v>
      </c>
      <c r="AG236" s="1037">
        <v>1.0000000000331966E-3</v>
      </c>
      <c r="AH236" s="1037">
        <v>-3.0000000000143245E-3</v>
      </c>
      <c r="AI236" s="1037">
        <v>1.0000000000331966E-3</v>
      </c>
      <c r="AJ236" s="1037">
        <v>1.0000000000047748E-3</v>
      </c>
      <c r="AK236" s="1037">
        <v>0</v>
      </c>
      <c r="AL236" s="1037">
        <v>0</v>
      </c>
      <c r="AM236" s="1037">
        <v>1.0000000000331966E-3</v>
      </c>
      <c r="AN236" s="1037">
        <v>3.0999999999949068E-2</v>
      </c>
      <c r="AO236" s="1037">
        <v>-2.0000000000095497E-3</v>
      </c>
      <c r="AP236" s="1037">
        <v>9.9999999997635314E-4</v>
      </c>
      <c r="AQ236" s="1037">
        <v>0</v>
      </c>
      <c r="AR236" s="1037">
        <v>-1.9999999999527063E-3</v>
      </c>
      <c r="AS236" s="1037">
        <v>-9.9999999997635314E-4</v>
      </c>
      <c r="AT236" s="1037">
        <v>-1.0999999999967258E-2</v>
      </c>
      <c r="AU236" s="1037">
        <v>4.0000000000190994E-3</v>
      </c>
      <c r="AV236" s="1037">
        <v>-1.0000000000331966E-3</v>
      </c>
      <c r="AW236" s="1037">
        <v>9.9999999997635314E-4</v>
      </c>
      <c r="AX236" s="1037">
        <v>0</v>
      </c>
      <c r="AY236" s="1037">
        <v>1.0000000000331966E-3</v>
      </c>
      <c r="AZ236" s="1037">
        <v>-0.5120000000000573</v>
      </c>
      <c r="BA236" s="1037">
        <v>0</v>
      </c>
      <c r="BB236" s="1037">
        <v>0</v>
      </c>
      <c r="BC236" s="1037">
        <v>0</v>
      </c>
      <c r="BD236" s="1037">
        <v>-6.3999999999999773</v>
      </c>
      <c r="BE236" s="1037">
        <v>-0.35600000000010823</v>
      </c>
      <c r="BF236" s="1037">
        <v>-1.2799999999999727</v>
      </c>
      <c r="BG236" s="1037">
        <v>9.9999999997635314E-4</v>
      </c>
      <c r="BH236" s="2254">
        <v>0</v>
      </c>
      <c r="BI236" s="2254">
        <v>0</v>
      </c>
      <c r="BJ236" s="2254">
        <v>0</v>
      </c>
      <c r="BK236" s="2254"/>
      <c r="BL236" s="2254"/>
      <c r="BM236" s="1037"/>
      <c r="BN236" s="1037"/>
      <c r="BO236" s="1037"/>
      <c r="BP236" s="1448"/>
    </row>
    <row r="237" spans="1:99" s="106" customFormat="1" hidden="1" outlineLevel="1">
      <c r="A237" s="1723" t="s">
        <v>1594</v>
      </c>
      <c r="B237" s="1563"/>
      <c r="C237" s="1563"/>
      <c r="D237" s="1563"/>
      <c r="E237" s="1563"/>
      <c r="F237" s="1563"/>
      <c r="G237" s="1563"/>
      <c r="H237" s="1563"/>
      <c r="I237" s="1563"/>
      <c r="J237" s="1563"/>
      <c r="K237" s="1563"/>
      <c r="L237" s="1563"/>
      <c r="M237" s="381"/>
      <c r="N237" s="1563"/>
      <c r="O237" s="1570"/>
      <c r="P237" s="1570"/>
      <c r="Q237" s="1570"/>
      <c r="R237" s="1570"/>
      <c r="S237" s="1570"/>
      <c r="T237" s="1570"/>
      <c r="U237" s="1570"/>
      <c r="V237" s="1570"/>
      <c r="W237" s="1570"/>
      <c r="X237" s="746"/>
      <c r="Y237" s="746"/>
      <c r="Z237" s="386"/>
      <c r="AA237" s="386"/>
      <c r="AB237" s="386"/>
      <c r="AC237" s="386"/>
      <c r="AD237" s="386"/>
      <c r="AE237" s="386"/>
      <c r="AF237" s="1037">
        <v>0</v>
      </c>
      <c r="AG237" s="1037">
        <v>0</v>
      </c>
      <c r="AH237" s="1037">
        <v>0</v>
      </c>
      <c r="AI237" s="1037">
        <v>0</v>
      </c>
      <c r="AJ237" s="1037">
        <v>0</v>
      </c>
      <c r="AK237" s="1037">
        <v>-1.999999999981128E-3</v>
      </c>
      <c r="AL237" s="1037">
        <v>3.0000000000001137E-3</v>
      </c>
      <c r="AM237" s="1037">
        <v>9.9999999997635314E-4</v>
      </c>
      <c r="AN237" s="1037">
        <v>1.999999999981128E-3</v>
      </c>
      <c r="AO237" s="1037">
        <v>23.811999999999983</v>
      </c>
      <c r="AP237" s="1037">
        <v>25.680999999999983</v>
      </c>
      <c r="AQ237" s="1037">
        <v>6.0000000000286491E-3</v>
      </c>
      <c r="AR237" s="1037">
        <v>-9.9999999997635314E-4</v>
      </c>
      <c r="AS237" s="1037">
        <v>-4.0029999999999859</v>
      </c>
      <c r="AT237" s="1037">
        <v>4.0020000000000095</v>
      </c>
      <c r="AU237" s="1037">
        <v>7.3079999999999785</v>
      </c>
      <c r="AV237" s="1037">
        <v>2.4310000000000116</v>
      </c>
      <c r="AW237" s="1037">
        <v>1.9319999999999879</v>
      </c>
      <c r="AX237" s="1037">
        <v>-1.7099999999999511</v>
      </c>
      <c r="AY237" s="1037">
        <v>1.5419999999999732</v>
      </c>
      <c r="AZ237" s="1037">
        <v>2.3999999999972488E-2</v>
      </c>
      <c r="BA237" s="1037">
        <v>-1.3189999999999884</v>
      </c>
      <c r="BB237" s="1037">
        <v>0</v>
      </c>
      <c r="BC237" s="1037">
        <v>0.18899999999999295</v>
      </c>
      <c r="BD237" s="1037">
        <v>0</v>
      </c>
      <c r="BE237" s="1037">
        <v>0</v>
      </c>
      <c r="BF237" s="1037">
        <v>0</v>
      </c>
      <c r="BG237" s="1037">
        <v>6.8000000000040473E-2</v>
      </c>
      <c r="BH237" s="1037">
        <v>0</v>
      </c>
      <c r="BI237" s="1037">
        <v>-7.8941540499499752E-4</v>
      </c>
      <c r="BJ237" s="1037">
        <v>4.7527676366598826E-4</v>
      </c>
      <c r="BK237" s="1037">
        <f>BK177-Q_Financials!AO22</f>
        <v>-0.97199999999997999</v>
      </c>
      <c r="BL237" s="1037">
        <f>BL177-Q_Financials!AP22</f>
        <v>-4.9999999999954525E-3</v>
      </c>
      <c r="BM237" s="1037">
        <f>BM177-Q_Financials!AQ22</f>
        <v>0</v>
      </c>
      <c r="BN237" s="1037">
        <f>BN177-Q_Financials!AR22</f>
        <v>0.37000000000000455</v>
      </c>
      <c r="BO237" s="1037">
        <f>BO177-Q_Financials!AS22</f>
        <v>-0.36900000000008504</v>
      </c>
      <c r="BP237" s="1448">
        <f>BP177-Q_Financials!AT22</f>
        <v>2.0000000000095497E-3</v>
      </c>
    </row>
    <row r="238" spans="1:99" s="106" customFormat="1" hidden="1" outlineLevel="1">
      <c r="A238" s="1723" t="s">
        <v>1595</v>
      </c>
      <c r="B238" s="1563"/>
      <c r="C238" s="1563"/>
      <c r="D238" s="1563"/>
      <c r="E238" s="1563"/>
      <c r="F238" s="1563"/>
      <c r="G238" s="1563"/>
      <c r="H238" s="1563"/>
      <c r="I238" s="1563"/>
      <c r="J238" s="1563"/>
      <c r="K238" s="1563"/>
      <c r="L238" s="1563"/>
      <c r="M238" s="381"/>
      <c r="N238" s="1563"/>
      <c r="O238" s="1570"/>
      <c r="P238" s="1570"/>
      <c r="Q238" s="1570"/>
      <c r="R238" s="1570"/>
      <c r="S238" s="1570"/>
      <c r="T238" s="1570"/>
      <c r="U238" s="1570"/>
      <c r="V238" s="1570"/>
      <c r="W238" s="1570"/>
      <c r="X238" s="746"/>
      <c r="Y238" s="746"/>
      <c r="Z238" s="386"/>
      <c r="AA238" s="386"/>
      <c r="AB238" s="386"/>
      <c r="AC238" s="386"/>
      <c r="AD238" s="386"/>
      <c r="AE238" s="386"/>
      <c r="AF238" s="1037">
        <v>0</v>
      </c>
      <c r="AG238" s="1037">
        <v>-2.0270000000000081</v>
      </c>
      <c r="AH238" s="1037">
        <v>0</v>
      </c>
      <c r="AI238" s="1037">
        <v>0</v>
      </c>
      <c r="AJ238" s="1037">
        <v>0</v>
      </c>
      <c r="AK238" s="1037">
        <v>0</v>
      </c>
      <c r="AL238" s="1037">
        <v>9.9999999997635314E-4</v>
      </c>
      <c r="AM238" s="1037">
        <v>-5.6079999999999863</v>
      </c>
      <c r="AN238" s="1037">
        <v>-4.6185277824406512E-14</v>
      </c>
      <c r="AO238" s="1037">
        <v>-4.9059999999999846</v>
      </c>
      <c r="AP238" s="1037">
        <v>15.816999999999979</v>
      </c>
      <c r="AQ238" s="1037">
        <v>2.9999999999361648E-3</v>
      </c>
      <c r="AR238" s="1037">
        <v>0</v>
      </c>
      <c r="AS238" s="1037">
        <v>0</v>
      </c>
      <c r="AT238" s="1037">
        <v>10.577999999999996</v>
      </c>
      <c r="AU238" s="1037">
        <v>-10.577999999999982</v>
      </c>
      <c r="AV238" s="1037">
        <v>-9.9999999999811351E-4</v>
      </c>
      <c r="AW238" s="1037">
        <v>0</v>
      </c>
      <c r="AX238" s="1037">
        <v>2.042810365310288E-14</v>
      </c>
      <c r="AY238" s="1037">
        <v>-5.3290705182007514E-14</v>
      </c>
      <c r="AZ238" s="1037">
        <v>9.9999999999766942E-4</v>
      </c>
      <c r="BA238" s="1037">
        <v>0</v>
      </c>
      <c r="BB238" s="1037">
        <v>0</v>
      </c>
      <c r="BC238" s="1037">
        <v>-3.1086244689504383E-14</v>
      </c>
      <c r="BD238" s="1037">
        <v>0</v>
      </c>
      <c r="BE238" s="1037">
        <v>0</v>
      </c>
      <c r="BF238" s="1037">
        <v>0</v>
      </c>
      <c r="BG238" s="1037">
        <v>1.1368683772161603E-13</v>
      </c>
      <c r="BH238" s="1037">
        <v>4.7780000000000058</v>
      </c>
      <c r="BI238" s="1037">
        <v>-4.2632564145606011E-14</v>
      </c>
      <c r="BJ238" s="1037">
        <v>0</v>
      </c>
      <c r="BK238" s="1037"/>
      <c r="BL238" s="1037"/>
      <c r="BP238" s="1448"/>
    </row>
    <row r="239" spans="1:99" s="1401" customFormat="1" hidden="1" outlineLevel="1">
      <c r="A239" s="1723" t="s">
        <v>1391</v>
      </c>
      <c r="B239" s="950">
        <f>Financials!D36-B104</f>
        <v>0</v>
      </c>
      <c r="C239" s="950">
        <f>Financials!E36-C104</f>
        <v>9.9999999997635314E-4</v>
      </c>
      <c r="D239" s="950">
        <f>Financials!F36-D104</f>
        <v>1.00000000009004E-3</v>
      </c>
      <c r="E239" s="950">
        <f>Financials!G36-E104</f>
        <v>0</v>
      </c>
      <c r="F239" s="950">
        <f>Financials!H36-F104</f>
        <v>-9.9999999997635314E-4</v>
      </c>
      <c r="G239" s="950">
        <f>Financials!I36-G104</f>
        <v>-1.7000000000052751E-2</v>
      </c>
      <c r="H239" s="950">
        <f>Financials!J36-H104</f>
        <v>0</v>
      </c>
      <c r="I239" s="950">
        <f>Financials!K36-I104</f>
        <v>9.9999999997635314E-4</v>
      </c>
      <c r="J239" s="950">
        <f>Financials!L36-J104</f>
        <v>0.5180000000000291</v>
      </c>
      <c r="K239" s="950">
        <f>Financials!M36-K104</f>
        <v>0</v>
      </c>
      <c r="L239" s="950">
        <f>Financials!N36-L104</f>
        <v>0</v>
      </c>
      <c r="M239" s="2099">
        <f>Financials!O36-M104</f>
        <v>0</v>
      </c>
      <c r="N239" s="950">
        <f>Financials!P36-N104</f>
        <v>0</v>
      </c>
      <c r="O239" s="950">
        <f>Financials!Q36-O104</f>
        <v>0</v>
      </c>
      <c r="P239" s="950">
        <f>Financials!R36-P104</f>
        <v>0</v>
      </c>
      <c r="Q239" s="950">
        <f>Financials!S36-Q104</f>
        <v>0</v>
      </c>
      <c r="R239" s="950">
        <f>Financials!T36-R104</f>
        <v>0</v>
      </c>
      <c r="S239" s="950">
        <f>Financials!U36-S104</f>
        <v>0</v>
      </c>
      <c r="T239" s="950">
        <f>Financials!V36-T104</f>
        <v>0</v>
      </c>
      <c r="U239" s="950">
        <f>Financials!W36-U104</f>
        <v>0</v>
      </c>
      <c r="V239" s="951"/>
      <c r="W239" s="951"/>
      <c r="X239" s="1041">
        <f>Q_Financials!B10-X104</f>
        <v>31.998999999999995</v>
      </c>
      <c r="Y239" s="1037">
        <f>Q_Financials!C10-Y104</f>
        <v>9.9999999997635314E-4</v>
      </c>
      <c r="Z239" s="1037">
        <f>Q_Financials!D10-Z104</f>
        <v>-1.0000000000047748E-3</v>
      </c>
      <c r="AA239" s="1037">
        <f>Q_Financials!E10-AA104</f>
        <v>-2.0000000000379714E-3</v>
      </c>
      <c r="AB239" s="1037">
        <f>Q_Financials!F10-AB104</f>
        <v>-9.9999999997635314E-4</v>
      </c>
      <c r="AC239" s="1037">
        <f>Q_Financials!G10-AC104</f>
        <v>-9.9999999997635314E-4</v>
      </c>
      <c r="AD239" s="1037">
        <f>Q_Financials!H10-AD104</f>
        <v>0</v>
      </c>
      <c r="AE239" s="1037">
        <f>Q_Financials!I10-AE104</f>
        <v>9.9999999997635314E-4</v>
      </c>
      <c r="AF239" s="1037">
        <f>Q_Financials!J10-AF104</f>
        <v>1.9999999999953388E-3</v>
      </c>
      <c r="AG239" s="1037">
        <f>Q_Financials!K10-AG104</f>
        <v>-1.0000000000331966E-3</v>
      </c>
      <c r="AH239" s="1037">
        <f>Q_Financials!L10-AH104</f>
        <v>3.0000000000143245E-3</v>
      </c>
      <c r="AI239" s="1037">
        <f>Q_Financials!M10-AI104</f>
        <v>-1.0000000000331966E-3</v>
      </c>
      <c r="AJ239" s="1037">
        <f>Q_Financials!N10-AJ104</f>
        <v>-1.0000000000331966E-3</v>
      </c>
      <c r="AK239" s="1037">
        <f>Q_Financials!O10-AK104</f>
        <v>0</v>
      </c>
      <c r="AL239" s="1037">
        <f>Q_Financials!P10-AL104</f>
        <v>0</v>
      </c>
      <c r="AM239" s="1037">
        <f>Q_Financials!Q10-AM104</f>
        <v>-1.0000000000331966E-3</v>
      </c>
      <c r="AN239" s="1037">
        <f>Q_Financials!R10-AN104</f>
        <v>-3.1000000000005912E-2</v>
      </c>
      <c r="AO239" s="1037">
        <f>Q_Financials!S10-AO104</f>
        <v>2.0000000000095497E-3</v>
      </c>
      <c r="AP239" s="1037">
        <f>Q_Financials!T10-AP104</f>
        <v>-1.0000000000331966E-3</v>
      </c>
      <c r="AQ239" s="1037">
        <f>Q_Financials!U10-AQ104</f>
        <v>-1.8000000000029104E-2</v>
      </c>
      <c r="AR239" s="1037">
        <f>Q_Financials!V10-AR104</f>
        <v>2.0000000000095497E-3</v>
      </c>
      <c r="AS239" s="1037">
        <f>Q_Financials!W10-AS104</f>
        <v>9.9999999991950972E-4</v>
      </c>
      <c r="AT239" s="1037">
        <f>Q_Financials!X10-AT104</f>
        <v>1.0999999999967258E-2</v>
      </c>
      <c r="AU239" s="1037">
        <f>Q_Financials!Y10-AU104</f>
        <v>-3.999999999962256E-3</v>
      </c>
      <c r="AV239" s="1037">
        <f>Q_Financials!Z10-AV104</f>
        <v>1.0000000000331966E-3</v>
      </c>
      <c r="AW239" s="1037">
        <f>Q_Financials!AA10-AW104</f>
        <v>-9.9999999997635314E-4</v>
      </c>
      <c r="AX239" s="1037">
        <f>Q_Financials!AB10-AX104</f>
        <v>0</v>
      </c>
      <c r="AY239" s="1037">
        <f>Q_Financials!AC10-AY104</f>
        <v>-1.0000000000331966E-3</v>
      </c>
      <c r="AZ239" s="1037">
        <f>Q_Financials!AD10-AZ104</f>
        <v>0.5120000000000573</v>
      </c>
      <c r="BA239" s="1037">
        <f>Q_Financials!AE10-BA104</f>
        <v>0</v>
      </c>
      <c r="BB239" s="1037">
        <f>Q_Financials!AF10-BB104</f>
        <v>0</v>
      </c>
      <c r="BC239" s="1037">
        <f>Q_Financials!AG10-BC104</f>
        <v>0</v>
      </c>
      <c r="BD239" s="1037">
        <f>Q_Financials!AH10-BD104</f>
        <v>6.4000000000000341</v>
      </c>
      <c r="BE239" s="1037">
        <f>Q_Financials!AI10-BE104</f>
        <v>0.35600000000010823</v>
      </c>
      <c r="BF239" s="1037">
        <f>Q_Financials!AJ10-BF104</f>
        <v>1.2799999999999727</v>
      </c>
      <c r="BG239" s="1037">
        <f>Q_Financials!AK10-BG104</f>
        <v>-9.9999999997635314E-4</v>
      </c>
      <c r="BH239" s="1037">
        <f>Q_Financials!AL10-BH104</f>
        <v>0</v>
      </c>
      <c r="BI239" s="1037">
        <f>Q_Financials!AM10-BI104</f>
        <v>0</v>
      </c>
      <c r="BJ239" s="2254">
        <v>354.75071597280493</v>
      </c>
      <c r="BK239" s="1037">
        <f>Q_Financials!AO10-BK104</f>
        <v>3.8999999999987267E-2</v>
      </c>
      <c r="BL239" s="1037">
        <f>Q_Financials!AP10-BL104</f>
        <v>0</v>
      </c>
      <c r="BM239" s="1037">
        <f>Q_Financials!AQ10-BM104</f>
        <v>0</v>
      </c>
      <c r="BN239" s="1037">
        <f>Q_Financials!AR10-BN104</f>
        <v>-9.9999999997635314E-4</v>
      </c>
      <c r="BO239" s="1037">
        <f>Q_Financials!AS10-BO104</f>
        <v>0</v>
      </c>
      <c r="BP239" s="1448">
        <f>Q_Financials!AT10-BP104</f>
        <v>0</v>
      </c>
      <c r="BQ239" s="1037">
        <f>Q_Financials!AU10-BQ104</f>
        <v>0</v>
      </c>
      <c r="BR239" s="1037">
        <f>Q_Financials!AV10-BR104</f>
        <v>0</v>
      </c>
      <c r="BS239" s="1037">
        <f>Q_Financials!AW10-BS104</f>
        <v>0</v>
      </c>
      <c r="BT239" s="1037">
        <f>Q_Financials!AX10-BT104</f>
        <v>0</v>
      </c>
      <c r="BU239" s="1037">
        <f>Q_Financials!AY10-BU104</f>
        <v>0</v>
      </c>
      <c r="BV239" s="1037">
        <f>Q_Financials!AZ10-BV104</f>
        <v>0</v>
      </c>
      <c r="BW239" s="1037">
        <f>Q_Financials!BA10-BW104</f>
        <v>0</v>
      </c>
      <c r="BX239" s="1037">
        <f>Q_Financials!BB10-BX104</f>
        <v>0</v>
      </c>
      <c r="BY239" s="1037">
        <f>Q_Financials!BC10-BY104</f>
        <v>0</v>
      </c>
      <c r="BZ239" s="1037">
        <f>Q_Financials!BD10-BZ104</f>
        <v>0</v>
      </c>
      <c r="CA239" s="1037">
        <f>Q_Financials!BE10-CA104</f>
        <v>0</v>
      </c>
      <c r="CB239" s="1037">
        <f>Q_Financials!BF10-CB104</f>
        <v>0</v>
      </c>
      <c r="CC239" s="1037">
        <f>Q_Financials!BG10-CC104</f>
        <v>0</v>
      </c>
      <c r="CD239" s="1037">
        <f>Q_Financials!BH10-CD104</f>
        <v>0</v>
      </c>
      <c r="CE239" s="1037">
        <f>Q_Financials!BI10-CE104</f>
        <v>0</v>
      </c>
      <c r="CF239" s="1037">
        <f>Q_Financials!BJ10-CF104</f>
        <v>0</v>
      </c>
      <c r="CG239" s="1037">
        <f>Q_Financials!BK10-CG104</f>
        <v>0</v>
      </c>
      <c r="CH239" s="1037">
        <f>Q_Financials!BL10-CH104</f>
        <v>0</v>
      </c>
      <c r="CI239" s="1037">
        <f>Q_Financials!BM10-CI104</f>
        <v>0</v>
      </c>
      <c r="CJ239" s="1037">
        <f>Q_Financials!BN10-CJ104</f>
        <v>0</v>
      </c>
      <c r="CK239" s="1037">
        <f>Q_Financials!BO10-CK104</f>
        <v>0</v>
      </c>
      <c r="CL239" s="1037">
        <f>Q_Financials!BP10-CL104</f>
        <v>0</v>
      </c>
      <c r="CM239" s="1037">
        <f>Q_Financials!BQ10-CM104</f>
        <v>0</v>
      </c>
      <c r="CN239" s="1037">
        <f>Q_Financials!BR10-CN104</f>
        <v>0</v>
      </c>
      <c r="CO239" s="1037">
        <f>Q_Financials!BS10-CO104</f>
        <v>0</v>
      </c>
      <c r="CP239" s="1037">
        <f>Q_Financials!BT10-CP104</f>
        <v>0</v>
      </c>
      <c r="CQ239" s="1037">
        <f>Q_Financials!BU10-CQ104</f>
        <v>0</v>
      </c>
      <c r="CR239" s="1037">
        <f>Q_Financials!BV10-CR104</f>
        <v>0</v>
      </c>
      <c r="CS239" s="1037">
        <f>Q_Financials!BW10-CS104</f>
        <v>0</v>
      </c>
      <c r="CT239" s="1037">
        <f>Q_Financials!BX10-CT104</f>
        <v>0</v>
      </c>
      <c r="CU239" s="1037">
        <f>Q_Financials!BY10-CU104</f>
        <v>0</v>
      </c>
    </row>
    <row r="240" spans="1:99" s="1401" customFormat="1" hidden="1" outlineLevel="1">
      <c r="A240" s="1723" t="s">
        <v>889</v>
      </c>
      <c r="B240" s="393"/>
      <c r="C240" s="393"/>
      <c r="D240" s="393"/>
      <c r="E240" s="393"/>
      <c r="F240" s="393"/>
      <c r="G240" s="393"/>
      <c r="H240" s="393"/>
      <c r="I240" s="393"/>
      <c r="J240" s="393"/>
      <c r="K240" s="393"/>
      <c r="L240" s="393"/>
      <c r="M240" s="1394"/>
      <c r="N240" s="393"/>
      <c r="O240" s="393"/>
      <c r="P240" s="393"/>
      <c r="Q240" s="393"/>
      <c r="R240" s="393"/>
      <c r="S240" s="393"/>
      <c r="T240" s="393"/>
      <c r="U240" s="393"/>
      <c r="V240" s="393"/>
      <c r="W240" s="393"/>
      <c r="X240" s="393"/>
      <c r="Y240" s="393"/>
      <c r="Z240" s="393"/>
      <c r="AA240" s="684">
        <f>SUM(X214:AA228)-1300%</f>
        <v>0</v>
      </c>
      <c r="AB240" s="393"/>
      <c r="AC240" s="393"/>
      <c r="AD240" s="393"/>
      <c r="AE240" s="684">
        <f>SUM(AB214:AE228)-1200%</f>
        <v>0</v>
      </c>
      <c r="AF240" s="393"/>
      <c r="AG240" s="393"/>
      <c r="AH240" s="393"/>
      <c r="AI240" s="684">
        <f>SUM(AF214:AI228)-1400%</f>
        <v>0</v>
      </c>
      <c r="AJ240" s="393"/>
      <c r="AK240" s="393"/>
      <c r="AL240" s="393"/>
      <c r="AM240" s="684">
        <f>SUM(AJ214:AM228)-1400%</f>
        <v>0</v>
      </c>
      <c r="AN240" s="393"/>
      <c r="AO240" s="393"/>
      <c r="AP240" s="393"/>
      <c r="AQ240" s="684">
        <f>SUM(AN214:AQ228)-1400%</f>
        <v>0</v>
      </c>
      <c r="AR240" s="408"/>
      <c r="AS240" s="408"/>
      <c r="AT240" s="408"/>
      <c r="AU240" s="684">
        <f>SUM(AR214:AU228)-1400%</f>
        <v>0</v>
      </c>
      <c r="AV240" s="408"/>
      <c r="AW240" s="408"/>
      <c r="AX240" s="408"/>
      <c r="AY240" s="684">
        <f>SUM(AV214:AY227)-1300%</f>
        <v>0</v>
      </c>
      <c r="AZ240" s="408"/>
      <c r="BA240" s="408"/>
      <c r="BB240" s="408"/>
      <c r="BC240" s="684">
        <f>SUM(AZ214:BC227)-1300%</f>
        <v>0</v>
      </c>
      <c r="BD240" s="408"/>
      <c r="BE240" s="408"/>
      <c r="BF240" s="408"/>
      <c r="BG240" s="1443">
        <f>SUM(BD214:BG227)-1300%</f>
        <v>0.99999999999999822</v>
      </c>
      <c r="BH240" s="1443"/>
      <c r="BI240" s="408"/>
      <c r="BJ240" s="1037">
        <v>35.421999999999997</v>
      </c>
      <c r="BK240" s="408"/>
      <c r="BL240" s="408"/>
      <c r="BM240" s="408"/>
      <c r="BN240" s="408"/>
      <c r="BO240" s="408"/>
      <c r="BP240" s="1448"/>
      <c r="BQ240" s="408"/>
      <c r="BR240" s="408"/>
      <c r="BS240" s="684">
        <f>SUM(BP214:BS228)-1500%</f>
        <v>0</v>
      </c>
      <c r="BT240" s="408"/>
      <c r="BU240" s="408"/>
      <c r="BV240" s="393"/>
      <c r="BW240" s="684">
        <f>SUM(BT214:BW228)-1500%</f>
        <v>0</v>
      </c>
      <c r="BX240" s="393"/>
      <c r="BY240" s="393"/>
      <c r="BZ240" s="393"/>
      <c r="CA240" s="684">
        <f>SUM(BX214:CA228)-1500%</f>
        <v>0</v>
      </c>
      <c r="CB240" s="393"/>
      <c r="CC240" s="393"/>
      <c r="CD240" s="393"/>
      <c r="CE240" s="684">
        <f>SUM(CB214:CE228)-1500%</f>
        <v>0</v>
      </c>
      <c r="CI240" s="684">
        <f>SUM(CF214:CI228)-1500%</f>
        <v>0</v>
      </c>
      <c r="CM240" s="684">
        <f>SUM(CJ214:CM228)-1500%</f>
        <v>0</v>
      </c>
      <c r="CQ240" s="684">
        <f>SUM(CN214:CQ228)-1500%</f>
        <v>0</v>
      </c>
      <c r="CU240" s="684">
        <f>SUM(CR214:CU228)-1500%</f>
        <v>0</v>
      </c>
    </row>
    <row r="241" spans="1:99" hidden="1" outlineLevel="1">
      <c r="A241" s="1723" t="s">
        <v>1392</v>
      </c>
      <c r="B241" s="777">
        <f>Financials!D43-B138</f>
        <v>0</v>
      </c>
      <c r="C241" s="777">
        <f>Financials!E43-C138</f>
        <v>0</v>
      </c>
      <c r="D241" s="777">
        <f>Financials!F43-D138</f>
        <v>0</v>
      </c>
      <c r="E241" s="777">
        <f>Financials!G43-E138</f>
        <v>0</v>
      </c>
      <c r="F241" s="777">
        <f>Financials!H43-F138</f>
        <v>-1.0000000002037268E-3</v>
      </c>
      <c r="G241" s="777">
        <f>Financials!I43-G138</f>
        <v>-1.7000000000393811E-2</v>
      </c>
      <c r="H241" s="777">
        <f>Financials!J43-H138</f>
        <v>0</v>
      </c>
      <c r="I241" s="777">
        <f>Financials!K43-I138</f>
        <v>9.9999999974897946E-4</v>
      </c>
      <c r="J241" s="777">
        <f>Financials!L43-J138</f>
        <v>0.51799999999980173</v>
      </c>
      <c r="K241" s="777">
        <f>Financials!M43-K138</f>
        <v>0</v>
      </c>
      <c r="L241" s="777">
        <f>Financials!N43-L138</f>
        <v>0</v>
      </c>
      <c r="M241" s="2100">
        <f>Financials!O43-M138</f>
        <v>0</v>
      </c>
      <c r="N241" s="777">
        <f>Financials!P43-N138</f>
        <v>0</v>
      </c>
      <c r="O241" s="777">
        <f>Financials!Q43-O138</f>
        <v>0</v>
      </c>
      <c r="P241" s="777">
        <f>Financials!R43-P138</f>
        <v>0</v>
      </c>
      <c r="Q241" s="777">
        <f>Financials!S43-Q138</f>
        <v>0</v>
      </c>
      <c r="R241" s="777">
        <f>Financials!T43-R138</f>
        <v>0</v>
      </c>
      <c r="S241" s="777">
        <f>Financials!U43-S138</f>
        <v>0</v>
      </c>
      <c r="T241" s="777">
        <f>Financials!V43-T138</f>
        <v>0</v>
      </c>
      <c r="U241" s="777">
        <f>Financials!W43-U138</f>
        <v>0</v>
      </c>
      <c r="V241" s="178"/>
      <c r="W241" s="178"/>
      <c r="X241" s="876"/>
      <c r="Y241" s="876"/>
      <c r="Z241" s="876"/>
      <c r="AA241" s="876"/>
      <c r="AB241" s="876"/>
      <c r="AC241" s="876"/>
      <c r="AD241" s="876"/>
      <c r="AE241" s="876"/>
      <c r="AF241" s="876"/>
      <c r="AG241" s="876"/>
      <c r="AH241" s="876"/>
      <c r="AI241" s="876"/>
      <c r="AJ241" s="876"/>
      <c r="AK241" s="876"/>
      <c r="AL241" s="876"/>
      <c r="AM241" s="876"/>
      <c r="AN241" s="876"/>
      <c r="AO241" s="876"/>
      <c r="AP241" s="876"/>
      <c r="AQ241" s="876"/>
      <c r="AR241" s="876"/>
      <c r="AS241" s="876"/>
      <c r="AT241" s="876"/>
      <c r="AU241" s="876"/>
      <c r="AV241" s="876"/>
      <c r="AW241" s="876"/>
      <c r="AX241" s="876"/>
      <c r="AY241" s="876"/>
      <c r="AZ241" s="876"/>
      <c r="BA241" s="876"/>
      <c r="BB241" s="876"/>
      <c r="BC241" s="876"/>
      <c r="BD241" s="876"/>
      <c r="BE241" s="876"/>
      <c r="BF241" s="876"/>
      <c r="BG241" s="202"/>
      <c r="BH241" s="202"/>
      <c r="BI241" s="202"/>
      <c r="BJ241" s="1037">
        <v>-4.3892630276041647E-4</v>
      </c>
      <c r="BK241" s="202"/>
      <c r="BL241" s="202"/>
      <c r="BM241" s="202"/>
      <c r="BN241" s="202"/>
      <c r="BO241" s="202"/>
      <c r="BP241" s="1448"/>
    </row>
    <row r="242" spans="1:99" s="1401" customFormat="1" hidden="1" outlineLevel="1">
      <c r="A242" s="1723" t="s">
        <v>1415</v>
      </c>
      <c r="B242" s="1833"/>
      <c r="C242" s="1833"/>
      <c r="D242" s="1833"/>
      <c r="E242" s="1833"/>
      <c r="F242" s="944">
        <f>+SUM(F124:F126,F129)-Financials!H42</f>
        <v>0</v>
      </c>
      <c r="G242" s="944">
        <f>+SUM(G124:G126,G129)-Financials!I42</f>
        <v>0</v>
      </c>
      <c r="H242" s="944">
        <f>+SUM(H124:H126,H129)-Financials!J42</f>
        <v>0</v>
      </c>
      <c r="I242" s="944">
        <f>+SUM(I124:I126,I129)-Financials!K42</f>
        <v>0</v>
      </c>
      <c r="J242" s="944">
        <f>+SUM(J124:J126,J129)-Financials!L42</f>
        <v>0</v>
      </c>
      <c r="K242" s="944">
        <f>+SUM(K124:K126,K129)-Financials!M42</f>
        <v>0</v>
      </c>
      <c r="L242" s="944">
        <f>+SUM(L124:L126,L129)-Financials!N42</f>
        <v>0</v>
      </c>
      <c r="M242" s="2100">
        <f>+SUM(M124:M126,M129)-Financials!O42</f>
        <v>0</v>
      </c>
      <c r="N242" s="777"/>
      <c r="O242" s="777"/>
      <c r="P242" s="777"/>
      <c r="Q242" s="777"/>
      <c r="R242" s="777"/>
      <c r="S242" s="777"/>
      <c r="T242" s="777"/>
      <c r="U242" s="777"/>
      <c r="V242" s="178"/>
      <c r="W242" s="178"/>
      <c r="X242" s="876"/>
      <c r="Y242" s="876"/>
      <c r="Z242" s="876"/>
      <c r="AA242" s="876"/>
      <c r="AB242" s="876"/>
      <c r="AC242" s="876"/>
      <c r="AD242" s="876"/>
      <c r="AE242" s="876"/>
      <c r="AF242" s="876"/>
      <c r="AG242" s="876"/>
      <c r="AH242" s="876"/>
      <c r="AI242" s="876"/>
      <c r="AJ242" s="876"/>
      <c r="AK242" s="876"/>
      <c r="AL242" s="876"/>
      <c r="AM242" s="876"/>
      <c r="AN242" s="876"/>
      <c r="AO242" s="876"/>
      <c r="AP242" s="876"/>
      <c r="AQ242" s="876"/>
      <c r="AR242" s="876"/>
      <c r="AS242" s="876"/>
      <c r="AT242" s="876"/>
      <c r="AU242" s="876"/>
      <c r="AV242" s="876"/>
      <c r="AW242" s="876"/>
      <c r="AX242" s="876"/>
      <c r="AY242" s="876"/>
      <c r="AZ242" s="876"/>
      <c r="BA242" s="876"/>
      <c r="BB242" s="876"/>
      <c r="BC242" s="876"/>
      <c r="BD242" s="876"/>
      <c r="BE242" s="876"/>
      <c r="BF242" s="876"/>
      <c r="BG242" s="202"/>
      <c r="BH242" s="202"/>
      <c r="BI242" s="202"/>
      <c r="BJ242" s="2254">
        <v>82.079000000000008</v>
      </c>
      <c r="BK242" s="202"/>
      <c r="BL242" s="202"/>
      <c r="BM242" s="202"/>
      <c r="BN242" s="202"/>
      <c r="BO242" s="202"/>
      <c r="BP242" s="1448"/>
    </row>
    <row r="243" spans="1:99" s="814" customFormat="1" hidden="1" outlineLevel="1">
      <c r="A243" s="1724" t="s">
        <v>3</v>
      </c>
      <c r="B243" s="1840"/>
      <c r="C243" s="1840"/>
      <c r="D243" s="1833"/>
      <c r="E243" s="1833"/>
      <c r="F243" s="1009">
        <f t="shared" ref="F243:M243" si="614">SUM(F155,F158,F161)-F153</f>
        <v>0</v>
      </c>
      <c r="G243" s="1009">
        <f t="shared" si="614"/>
        <v>0</v>
      </c>
      <c r="H243" s="1009">
        <f t="shared" si="614"/>
        <v>0</v>
      </c>
      <c r="I243" s="1009">
        <f t="shared" si="614"/>
        <v>0</v>
      </c>
      <c r="J243" s="1009">
        <f t="shared" si="614"/>
        <v>0</v>
      </c>
      <c r="K243" s="1009">
        <f t="shared" si="614"/>
        <v>0</v>
      </c>
      <c r="L243" s="1009">
        <f t="shared" si="614"/>
        <v>0</v>
      </c>
      <c r="M243" s="2101">
        <f t="shared" si="614"/>
        <v>0</v>
      </c>
      <c r="N243" s="1009"/>
      <c r="O243" s="1009"/>
      <c r="P243" s="1009"/>
      <c r="Q243" s="1009"/>
      <c r="R243" s="1009"/>
      <c r="S243" s="1009"/>
      <c r="T243" s="1009"/>
      <c r="U243" s="1009"/>
      <c r="V243" s="999"/>
      <c r="W243" s="999"/>
      <c r="X243" s="999"/>
      <c r="Y243" s="999"/>
      <c r="Z243" s="999"/>
      <c r="AA243" s="999"/>
      <c r="AB243" s="999"/>
      <c r="AC243" s="999"/>
      <c r="AD243" s="999"/>
      <c r="AE243" s="1010"/>
      <c r="AF243" s="1008"/>
      <c r="AG243" s="1010"/>
      <c r="AH243" s="1010"/>
      <c r="AI243" s="1010"/>
      <c r="AJ243" s="1010"/>
      <c r="AK243" s="1010"/>
      <c r="AL243" s="1010"/>
      <c r="AM243" s="1010"/>
      <c r="AN243" s="1010"/>
      <c r="AO243" s="1010"/>
      <c r="AP243" s="1010"/>
      <c r="AQ243" s="1010"/>
      <c r="AR243" s="1010"/>
      <c r="AS243" s="1010"/>
      <c r="AT243" s="1010"/>
      <c r="AU243" s="1010"/>
      <c r="AV243" s="1010"/>
      <c r="AW243" s="1010"/>
      <c r="AX243" s="1010"/>
      <c r="AY243" s="1010"/>
      <c r="AZ243" s="1010"/>
      <c r="BA243" s="1010"/>
      <c r="BB243" s="1010"/>
      <c r="BC243" s="1010"/>
      <c r="BD243" s="1010"/>
      <c r="BE243" s="1010"/>
      <c r="BF243" s="1010"/>
      <c r="BG243" s="1010"/>
      <c r="BH243" s="1010"/>
      <c r="BI243" s="1010"/>
      <c r="BJ243" s="1037">
        <v>376.48700000000002</v>
      </c>
      <c r="BK243" s="1010"/>
      <c r="BL243" s="1010"/>
      <c r="BM243" s="1010"/>
      <c r="BN243" s="1010"/>
      <c r="BO243" s="1010"/>
      <c r="BP243" s="1448"/>
    </row>
    <row r="244" spans="1:99" hidden="1" outlineLevel="1">
      <c r="A244" s="1724" t="s">
        <v>5</v>
      </c>
      <c r="B244" s="1834"/>
      <c r="C244" s="1834"/>
      <c r="D244" s="1833"/>
      <c r="E244" s="1833"/>
      <c r="F244" s="1017">
        <f t="shared" ref="F244:M244" si="615">SUM(F167,F168,F169,F171)-F165</f>
        <v>0</v>
      </c>
      <c r="G244" s="1017">
        <f t="shared" si="615"/>
        <v>0</v>
      </c>
      <c r="H244" s="1017">
        <f t="shared" si="615"/>
        <v>0</v>
      </c>
      <c r="I244" s="1017">
        <f t="shared" si="615"/>
        <v>0</v>
      </c>
      <c r="J244" s="1017">
        <f t="shared" si="615"/>
        <v>0</v>
      </c>
      <c r="K244" s="1017">
        <f t="shared" si="615"/>
        <v>0</v>
      </c>
      <c r="L244" s="1017">
        <f t="shared" si="615"/>
        <v>0</v>
      </c>
      <c r="M244" s="1448">
        <f t="shared" si="615"/>
        <v>0</v>
      </c>
      <c r="N244" s="372"/>
      <c r="O244" s="372"/>
      <c r="P244" s="372"/>
      <c r="Q244" s="372"/>
      <c r="R244" s="372"/>
      <c r="S244" s="372"/>
      <c r="T244" s="372"/>
      <c r="U244" s="372"/>
      <c r="V244" s="178"/>
      <c r="W244" s="178"/>
      <c r="X244" s="178"/>
      <c r="Y244" s="178"/>
      <c r="Z244" s="178"/>
      <c r="AA244" s="178"/>
      <c r="AB244" s="178"/>
      <c r="AC244" s="178"/>
      <c r="AD244" s="178"/>
      <c r="AE244" s="178"/>
      <c r="AF244" s="178"/>
      <c r="AG244" s="178"/>
      <c r="AH244" s="178"/>
      <c r="AI244" s="178"/>
      <c r="AJ244" s="1017" t="e">
        <f t="shared" ref="AJ244:BI244" si="616">SUM(AJ167,AJ168,AJ169,AJ171)-AJ165</f>
        <v>#REF!</v>
      </c>
      <c r="AK244" s="1017" t="e">
        <f t="shared" si="616"/>
        <v>#REF!</v>
      </c>
      <c r="AL244" s="1017" t="e">
        <f t="shared" si="616"/>
        <v>#REF!</v>
      </c>
      <c r="AM244" s="1017" t="e">
        <f t="shared" si="616"/>
        <v>#REF!</v>
      </c>
      <c r="AN244" s="1017" t="e">
        <f t="shared" si="616"/>
        <v>#REF!</v>
      </c>
      <c r="AO244" s="1017" t="e">
        <f t="shared" si="616"/>
        <v>#REF!</v>
      </c>
      <c r="AP244" s="1017" t="e">
        <f t="shared" si="616"/>
        <v>#REF!</v>
      </c>
      <c r="AQ244" s="1017" t="e">
        <f t="shared" si="616"/>
        <v>#REF!</v>
      </c>
      <c r="AR244" s="1017" t="e">
        <f t="shared" si="616"/>
        <v>#REF!</v>
      </c>
      <c r="AS244" s="1017" t="e">
        <f t="shared" si="616"/>
        <v>#REF!</v>
      </c>
      <c r="AT244" s="1017" t="e">
        <f t="shared" si="616"/>
        <v>#REF!</v>
      </c>
      <c r="AU244" s="1017" t="e">
        <f t="shared" si="616"/>
        <v>#REF!</v>
      </c>
      <c r="AV244" s="1017" t="e">
        <f t="shared" si="616"/>
        <v>#REF!</v>
      </c>
      <c r="AW244" s="1017" t="e">
        <f t="shared" si="616"/>
        <v>#REF!</v>
      </c>
      <c r="AX244" s="1017" t="e">
        <f t="shared" si="616"/>
        <v>#REF!</v>
      </c>
      <c r="AY244" s="1017" t="e">
        <f t="shared" si="616"/>
        <v>#REF!</v>
      </c>
      <c r="AZ244" s="1017" t="e">
        <f t="shared" si="616"/>
        <v>#REF!</v>
      </c>
      <c r="BA244" s="1017" t="e">
        <f t="shared" si="616"/>
        <v>#REF!</v>
      </c>
      <c r="BB244" s="1017" t="e">
        <f t="shared" si="616"/>
        <v>#REF!</v>
      </c>
      <c r="BC244" s="1017" t="e">
        <f t="shared" si="616"/>
        <v>#REF!</v>
      </c>
      <c r="BD244" s="1017">
        <f t="shared" si="616"/>
        <v>0</v>
      </c>
      <c r="BE244" s="1017">
        <f t="shared" si="616"/>
        <v>0</v>
      </c>
      <c r="BF244" s="1017">
        <f t="shared" si="616"/>
        <v>0</v>
      </c>
      <c r="BG244" s="1017">
        <f t="shared" si="616"/>
        <v>0</v>
      </c>
      <c r="BH244" s="1017">
        <f t="shared" si="616"/>
        <v>0</v>
      </c>
      <c r="BI244" s="1017">
        <f t="shared" si="616"/>
        <v>0</v>
      </c>
      <c r="BJ244" s="1037">
        <v>0.67168827726359015</v>
      </c>
      <c r="BK244" s="1017">
        <f t="shared" ref="BK244:BP244" si="617">SUM(BK167,BK168,BK169,BK171)-BK165</f>
        <v>0</v>
      </c>
      <c r="BL244" s="1017">
        <f t="shared" si="617"/>
        <v>0</v>
      </c>
      <c r="BM244" s="1017">
        <f t="shared" si="617"/>
        <v>0</v>
      </c>
      <c r="BN244" s="1017">
        <f t="shared" si="617"/>
        <v>0</v>
      </c>
      <c r="BO244" s="1017">
        <f t="shared" si="617"/>
        <v>0</v>
      </c>
      <c r="BP244" s="1448">
        <f t="shared" si="617"/>
        <v>0</v>
      </c>
    </row>
    <row r="245" spans="1:99" hidden="1" outlineLevel="1">
      <c r="A245" s="1007" t="s">
        <v>1071</v>
      </c>
      <c r="B245" s="1834"/>
      <c r="C245" s="1834"/>
      <c r="D245" s="1834"/>
      <c r="E245" s="1835"/>
      <c r="F245" s="1834"/>
      <c r="G245" s="808">
        <f t="shared" ref="G245:U245" si="618">G138+G153+G165+G174+G175-G173-G177</f>
        <v>5.000000000336513E-3</v>
      </c>
      <c r="H245" s="808">
        <f t="shared" si="618"/>
        <v>-4.0960000000000036</v>
      </c>
      <c r="I245" s="808">
        <f t="shared" si="618"/>
        <v>1.7180000000000746</v>
      </c>
      <c r="J245" s="808">
        <f t="shared" si="618"/>
        <v>-0.8790000000000191</v>
      </c>
      <c r="K245" s="808">
        <f t="shared" si="618"/>
        <v>-6.7000000000007276E-2</v>
      </c>
      <c r="L245" s="808">
        <f t="shared" si="618"/>
        <v>0.9739999999999327</v>
      </c>
      <c r="M245" s="1588">
        <f t="shared" si="618"/>
        <v>3.9999999999054126E-3</v>
      </c>
      <c r="N245" s="808">
        <f t="shared" si="618"/>
        <v>0</v>
      </c>
      <c r="O245" s="808">
        <f t="shared" si="618"/>
        <v>0</v>
      </c>
      <c r="P245" s="808">
        <f t="shared" si="618"/>
        <v>0</v>
      </c>
      <c r="Q245" s="808">
        <f t="shared" si="618"/>
        <v>0</v>
      </c>
      <c r="R245" s="808">
        <f t="shared" si="618"/>
        <v>0</v>
      </c>
      <c r="S245" s="808">
        <f t="shared" si="618"/>
        <v>0</v>
      </c>
      <c r="T245" s="808">
        <f t="shared" si="618"/>
        <v>0</v>
      </c>
      <c r="U245" s="808">
        <f t="shared" si="618"/>
        <v>0</v>
      </c>
      <c r="V245" s="178"/>
      <c r="W245" s="178"/>
      <c r="X245" s="1047"/>
      <c r="Y245" s="1047"/>
      <c r="Z245" s="1047"/>
      <c r="AA245" s="1047"/>
      <c r="AB245" s="1047"/>
      <c r="AC245" s="1047"/>
      <c r="AD245" s="1047"/>
      <c r="AE245" s="1047"/>
      <c r="AF245" s="1047"/>
      <c r="AG245" s="1047"/>
      <c r="AH245" s="1047"/>
      <c r="AI245" s="1047"/>
      <c r="AJ245" s="1047"/>
      <c r="AK245" s="1047"/>
      <c r="AL245" s="1047"/>
      <c r="AM245" s="1047"/>
      <c r="AN245" s="1047"/>
      <c r="AO245" s="1047"/>
      <c r="AP245" s="1047"/>
      <c r="AQ245" s="1047"/>
      <c r="AR245" s="1047"/>
      <c r="AS245" s="1047"/>
      <c r="AT245" s="808"/>
      <c r="AU245" s="808"/>
      <c r="AV245" s="808"/>
      <c r="AW245" s="1047"/>
      <c r="AX245" s="1047"/>
      <c r="AY245" s="1047"/>
      <c r="AZ245" s="1047"/>
      <c r="BA245" s="1047"/>
      <c r="BB245" s="1047"/>
      <c r="BC245" s="1047"/>
      <c r="BD245" s="1047"/>
      <c r="BE245" s="808"/>
      <c r="BF245" s="808"/>
      <c r="BG245" s="808"/>
      <c r="BH245" s="808"/>
      <c r="BI245" s="808"/>
      <c r="BJ245" s="2254">
        <v>49.033000000000001</v>
      </c>
      <c r="BK245" s="808"/>
      <c r="BL245" s="808"/>
      <c r="BM245" s="808"/>
      <c r="BN245" s="808"/>
      <c r="BO245" s="808"/>
      <c r="BP245" s="1448"/>
    </row>
    <row r="246" spans="1:99" hidden="1" outlineLevel="1">
      <c r="A246" s="1007" t="s">
        <v>1070</v>
      </c>
      <c r="B246" s="1834"/>
      <c r="C246" s="1834"/>
      <c r="D246" s="1834"/>
      <c r="E246" s="1835"/>
      <c r="F246" s="1834"/>
      <c r="G246" s="808">
        <f>Financials!I55-G177</f>
        <v>-2.9999999999290594E-3</v>
      </c>
      <c r="H246" s="808">
        <f>Financials!J55-H177</f>
        <v>-4.0960000000000036</v>
      </c>
      <c r="I246" s="808">
        <f>Financials!K55-I177</f>
        <v>1.7189999999998236</v>
      </c>
      <c r="J246" s="808">
        <f>Financials!L55-J177</f>
        <v>-0.36100000000021737</v>
      </c>
      <c r="K246" s="808">
        <f>Financials!M55-K177</f>
        <v>-6.7000000000007276E-2</v>
      </c>
      <c r="L246" s="808">
        <f>Financials!N55-L177</f>
        <v>0.97299999999995634</v>
      </c>
      <c r="M246" s="1588">
        <f>Financials!O55-M177</f>
        <v>3.9999999999054126E-3</v>
      </c>
      <c r="N246" s="808">
        <f>Financials!P55-N177</f>
        <v>-0.69000000000005457</v>
      </c>
      <c r="O246" s="808">
        <f>Financials!Q55-O177</f>
        <v>-0.69000000000028194</v>
      </c>
      <c r="P246" s="808">
        <f>Financials!R55-P177</f>
        <v>-0.6899999999998272</v>
      </c>
      <c r="Q246" s="808">
        <f>Financials!S55-Q177</f>
        <v>-0.69000000000050932</v>
      </c>
      <c r="R246" s="808">
        <f>Financials!T55-R177</f>
        <v>-0.68999999999869033</v>
      </c>
      <c r="S246" s="808">
        <f>Financials!U55-S177</f>
        <v>-0.69000000000050932</v>
      </c>
      <c r="T246" s="808">
        <f>Financials!V55-T177</f>
        <v>-0.68999999999914507</v>
      </c>
      <c r="U246" s="808">
        <f>Financials!W55-U177</f>
        <v>-0.68999999999959982</v>
      </c>
      <c r="V246" s="178"/>
      <c r="W246" s="178"/>
      <c r="X246" s="178"/>
      <c r="Y246" s="178"/>
      <c r="Z246" s="178"/>
      <c r="AA246" s="178"/>
      <c r="AB246" s="178"/>
      <c r="AC246" s="178"/>
      <c r="AD246" s="178"/>
      <c r="AE246" s="178"/>
      <c r="AF246" s="178"/>
      <c r="AG246" s="178"/>
      <c r="AH246" s="178"/>
      <c r="AI246" s="178"/>
      <c r="AJ246" s="178"/>
      <c r="AK246" s="178"/>
      <c r="AL246" s="178"/>
      <c r="AM246" s="178"/>
      <c r="AN246" s="178"/>
      <c r="AO246" s="178"/>
      <c r="AP246" s="178"/>
      <c r="AQ246" s="178"/>
      <c r="AR246" s="178"/>
      <c r="AS246" s="178"/>
      <c r="AT246" s="178"/>
      <c r="AU246" s="178"/>
      <c r="AV246" s="178"/>
      <c r="AW246" s="178"/>
      <c r="AX246" s="178"/>
      <c r="AY246" s="178"/>
      <c r="AZ246" s="178"/>
      <c r="BA246" s="178"/>
      <c r="BB246" s="178"/>
      <c r="BC246" s="178"/>
      <c r="BD246" s="178"/>
      <c r="BE246" s="178"/>
      <c r="BF246" s="178"/>
      <c r="BG246" s="178"/>
      <c r="BH246" s="178"/>
      <c r="BI246" s="178"/>
      <c r="BJ246" s="1037">
        <v>0</v>
      </c>
      <c r="BK246" s="178"/>
      <c r="BL246" s="178"/>
      <c r="BM246" s="178"/>
      <c r="BN246" s="178"/>
      <c r="BO246" s="178"/>
      <c r="BP246" s="1448"/>
    </row>
    <row r="247" spans="1:99" s="494" customFormat="1" hidden="1" outlineLevel="1">
      <c r="A247" s="1007" t="s">
        <v>1072</v>
      </c>
      <c r="B247" s="1836"/>
      <c r="C247" s="1836"/>
      <c r="D247" s="1836"/>
      <c r="E247" s="1837"/>
      <c r="F247" s="1836"/>
      <c r="G247" s="685">
        <f t="shared" ref="G247:I247" si="619">SUM(G248:G250)</f>
        <v>5.0000000003507239E-3</v>
      </c>
      <c r="H247" s="685">
        <f t="shared" si="619"/>
        <v>-4.095999999999961</v>
      </c>
      <c r="I247" s="685">
        <f t="shared" si="619"/>
        <v>1.718000000000302</v>
      </c>
      <c r="J247" s="685">
        <f t="shared" ref="J247" si="620">SUM(J248:J250)</f>
        <v>-0.87899999999996226</v>
      </c>
      <c r="K247" s="685">
        <f t="shared" ref="K247" si="621">SUM(K248:K250)</f>
        <v>-6.6999999999978854E-2</v>
      </c>
      <c r="L247" s="685">
        <f t="shared" ref="L247:M247" si="622">SUM(L248:L250)</f>
        <v>0.9740000000000606</v>
      </c>
      <c r="M247" s="1588">
        <f t="shared" si="622"/>
        <v>3.9999999998769908E-3</v>
      </c>
      <c r="N247" s="685">
        <f t="shared" ref="N247:Q247" si="623">SUM(N248:N250)</f>
        <v>0</v>
      </c>
      <c r="O247" s="685">
        <f t="shared" si="623"/>
        <v>0</v>
      </c>
      <c r="P247" s="685">
        <f t="shared" si="623"/>
        <v>0</v>
      </c>
      <c r="Q247" s="685">
        <f t="shared" si="623"/>
        <v>0</v>
      </c>
      <c r="R247" s="685">
        <f t="shared" ref="R247:U247" si="624">SUM(R248:R250)</f>
        <v>0</v>
      </c>
      <c r="S247" s="685">
        <f t="shared" si="624"/>
        <v>0</v>
      </c>
      <c r="T247" s="685">
        <f t="shared" si="624"/>
        <v>0</v>
      </c>
      <c r="U247" s="685">
        <f t="shared" si="624"/>
        <v>0</v>
      </c>
      <c r="V247" s="1725"/>
      <c r="W247" s="1725"/>
      <c r="X247" s="1725"/>
      <c r="Y247" s="1725"/>
      <c r="Z247" s="1725"/>
      <c r="AA247" s="1725"/>
      <c r="AB247" s="1725"/>
      <c r="AC247" s="1725"/>
      <c r="AD247" s="1725"/>
      <c r="AE247" s="1725"/>
      <c r="AF247" s="1725"/>
      <c r="AG247" s="1725"/>
      <c r="AH247" s="1725"/>
      <c r="AI247" s="1725"/>
      <c r="AJ247" s="1725"/>
      <c r="AK247" s="1725"/>
      <c r="AL247" s="1725"/>
      <c r="AM247" s="1725"/>
      <c r="AN247" s="1725"/>
      <c r="AO247" s="1725"/>
      <c r="AP247" s="1725"/>
      <c r="AQ247" s="1725"/>
      <c r="AR247" s="1725"/>
      <c r="AS247" s="1725"/>
      <c r="AT247" s="1725"/>
      <c r="AU247" s="1725"/>
      <c r="AV247" s="1725"/>
      <c r="AW247" s="1725"/>
      <c r="AX247" s="1725"/>
      <c r="AY247" s="1725"/>
      <c r="AZ247" s="1725"/>
      <c r="BA247" s="1725"/>
      <c r="BB247" s="1725"/>
      <c r="BC247" s="1725"/>
      <c r="BD247" s="1725"/>
      <c r="BE247" s="1725"/>
      <c r="BF247" s="1725"/>
      <c r="BG247" s="1725"/>
      <c r="BH247" s="1725"/>
      <c r="BI247" s="1725"/>
      <c r="BJ247" s="1037">
        <v>0</v>
      </c>
      <c r="BK247" s="1725"/>
      <c r="BL247" s="1725"/>
      <c r="BM247" s="1725"/>
      <c r="BN247" s="1725"/>
      <c r="BO247" s="1725"/>
      <c r="BP247" s="1448"/>
    </row>
    <row r="248" spans="1:99" s="54" customFormat="1" hidden="1" outlineLevel="1">
      <c r="A248" s="1038" t="s">
        <v>1393</v>
      </c>
      <c r="B248" s="1834"/>
      <c r="C248" s="1834"/>
      <c r="D248" s="1834"/>
      <c r="E248" s="1835"/>
      <c r="F248" s="1834"/>
      <c r="G248" s="808">
        <f t="shared" ref="G248:U248" si="625">G139+G155+G167-G178</f>
        <v>9.9999999991950972E-4</v>
      </c>
      <c r="H248" s="808">
        <f t="shared" si="625"/>
        <v>1.0000000000331966E-3</v>
      </c>
      <c r="I248" s="808">
        <f t="shared" si="625"/>
        <v>0.52600000000001046</v>
      </c>
      <c r="J248" s="808">
        <f t="shared" si="625"/>
        <v>-2.9999999999859028E-3</v>
      </c>
      <c r="K248" s="808">
        <f t="shared" si="625"/>
        <v>-2.7730000000000814</v>
      </c>
      <c r="L248" s="808">
        <f t="shared" si="625"/>
        <v>26.325999999999908</v>
      </c>
      <c r="M248" s="1588">
        <f t="shared" si="625"/>
        <v>0</v>
      </c>
      <c r="N248" s="808">
        <f t="shared" si="625"/>
        <v>0</v>
      </c>
      <c r="O248" s="808">
        <f t="shared" si="625"/>
        <v>0</v>
      </c>
      <c r="P248" s="808">
        <f t="shared" si="625"/>
        <v>0</v>
      </c>
      <c r="Q248" s="808">
        <f t="shared" si="625"/>
        <v>0</v>
      </c>
      <c r="R248" s="808">
        <f t="shared" si="625"/>
        <v>0</v>
      </c>
      <c r="S248" s="808">
        <f t="shared" si="625"/>
        <v>0</v>
      </c>
      <c r="T248" s="808">
        <f t="shared" si="625"/>
        <v>0</v>
      </c>
      <c r="U248" s="808">
        <f t="shared" si="625"/>
        <v>0</v>
      </c>
      <c r="V248" s="336"/>
      <c r="W248" s="336"/>
      <c r="X248" s="336"/>
      <c r="Y248" s="336"/>
      <c r="Z248" s="336"/>
      <c r="AA248" s="336"/>
      <c r="AB248" s="336"/>
      <c r="AC248" s="336"/>
      <c r="AD248" s="336"/>
      <c r="AE248" s="336"/>
      <c r="AF248" s="336"/>
      <c r="AG248" s="336"/>
      <c r="AH248" s="336"/>
      <c r="AI248" s="336"/>
      <c r="AJ248" s="336"/>
      <c r="AK248" s="336"/>
      <c r="AL248" s="336"/>
      <c r="AM248" s="336"/>
      <c r="AN248" s="336"/>
      <c r="AO248" s="336"/>
      <c r="AP248" s="336"/>
      <c r="AQ248" s="336"/>
      <c r="AR248" s="336"/>
      <c r="AS248" s="336"/>
      <c r="AT248" s="336"/>
      <c r="AU248" s="336"/>
      <c r="AV248" s="336"/>
      <c r="AW248" s="336"/>
      <c r="AX248" s="336"/>
      <c r="AY248" s="336"/>
      <c r="AZ248" s="336"/>
      <c r="BA248" s="336"/>
      <c r="BB248" s="336"/>
      <c r="BC248" s="336"/>
      <c r="BD248" s="336"/>
      <c r="BE248" s="336"/>
      <c r="BF248" s="336"/>
      <c r="BG248" s="336"/>
      <c r="BH248" s="336"/>
      <c r="BI248" s="336"/>
      <c r="BJ248" s="2254">
        <v>-23.486999999999998</v>
      </c>
      <c r="BK248" s="336"/>
      <c r="BL248" s="336"/>
      <c r="BM248" s="336"/>
      <c r="BN248" s="336"/>
      <c r="BO248" s="336"/>
      <c r="BP248" s="1448"/>
    </row>
    <row r="249" spans="1:99" s="54" customFormat="1" hidden="1" outlineLevel="1">
      <c r="A249" s="1038" t="s">
        <v>1394</v>
      </c>
      <c r="B249" s="1834"/>
      <c r="C249" s="1834"/>
      <c r="D249" s="1834"/>
      <c r="E249" s="1835"/>
      <c r="F249" s="1834"/>
      <c r="G249" s="808">
        <f t="shared" ref="G249:U249" si="626">G140+G158+G168-G179</f>
        <v>2.0000000000948148E-3</v>
      </c>
      <c r="H249" s="808">
        <f t="shared" si="626"/>
        <v>1.0000000000047748E-3</v>
      </c>
      <c r="I249" s="808">
        <f t="shared" si="626"/>
        <v>0.31399999999993611</v>
      </c>
      <c r="J249" s="808">
        <f t="shared" si="626"/>
        <v>-1.9999999999527063E-3</v>
      </c>
      <c r="K249" s="808">
        <f t="shared" si="626"/>
        <v>2.7759999999999536</v>
      </c>
      <c r="L249" s="808">
        <f t="shared" si="626"/>
        <v>-29.052999999999997</v>
      </c>
      <c r="M249" s="1588">
        <f t="shared" si="626"/>
        <v>9.9999999997635314E-4</v>
      </c>
      <c r="N249" s="808">
        <f t="shared" si="626"/>
        <v>0</v>
      </c>
      <c r="O249" s="808">
        <f t="shared" si="626"/>
        <v>0</v>
      </c>
      <c r="P249" s="808">
        <f t="shared" si="626"/>
        <v>0</v>
      </c>
      <c r="Q249" s="808">
        <f t="shared" si="626"/>
        <v>0</v>
      </c>
      <c r="R249" s="808">
        <f t="shared" si="626"/>
        <v>0</v>
      </c>
      <c r="S249" s="808">
        <f t="shared" si="626"/>
        <v>0</v>
      </c>
      <c r="T249" s="808">
        <f t="shared" si="626"/>
        <v>0</v>
      </c>
      <c r="U249" s="808">
        <f t="shared" si="626"/>
        <v>0</v>
      </c>
      <c r="V249" s="336"/>
      <c r="W249" s="336"/>
      <c r="X249" s="336"/>
      <c r="Y249" s="336"/>
      <c r="Z249" s="336"/>
      <c r="AA249" s="336"/>
      <c r="AB249" s="336"/>
      <c r="AC249" s="336"/>
      <c r="AD249" s="336"/>
      <c r="AE249" s="336"/>
      <c r="AF249" s="336"/>
      <c r="AG249" s="336"/>
      <c r="AH249" s="336"/>
      <c r="AI249" s="336"/>
      <c r="AJ249" s="336"/>
      <c r="AK249" s="336"/>
      <c r="AL249" s="336"/>
      <c r="AM249" s="336"/>
      <c r="AN249" s="336"/>
      <c r="AO249" s="336"/>
      <c r="AP249" s="336"/>
      <c r="AQ249" s="336"/>
      <c r="AR249" s="336"/>
      <c r="AS249" s="336"/>
      <c r="AT249" s="336"/>
      <c r="AU249" s="336"/>
      <c r="AV249" s="336"/>
      <c r="AW249" s="336"/>
      <c r="AX249" s="336"/>
      <c r="AY249" s="336"/>
      <c r="AZ249" s="336"/>
      <c r="BA249" s="336"/>
      <c r="BB249" s="336"/>
      <c r="BC249" s="336"/>
      <c r="BD249" s="336"/>
      <c r="BE249" s="336"/>
      <c r="BF249" s="336"/>
      <c r="BG249" s="336"/>
      <c r="BH249" s="336"/>
      <c r="BI249" s="336"/>
      <c r="BJ249" s="1037">
        <v>0.50855331218104516</v>
      </c>
      <c r="BK249" s="336"/>
      <c r="BL249" s="336"/>
      <c r="BM249" s="336"/>
      <c r="BN249" s="336"/>
      <c r="BO249" s="336"/>
      <c r="BP249" s="1448"/>
    </row>
    <row r="250" spans="1:99" s="54" customFormat="1" hidden="1" outlineLevel="1">
      <c r="A250" s="1038" t="s">
        <v>1395</v>
      </c>
      <c r="B250" s="1834"/>
      <c r="C250" s="1834"/>
      <c r="D250" s="1834"/>
      <c r="E250" s="1835"/>
      <c r="F250" s="1834"/>
      <c r="G250" s="808">
        <f t="shared" ref="G250:U250" si="627">G141+G161+G169+G171+G174+G175-G180-G173</f>
        <v>2.0000000003363994E-3</v>
      </c>
      <c r="H250" s="808">
        <f t="shared" si="627"/>
        <v>-4.097999999999999</v>
      </c>
      <c r="I250" s="808">
        <f t="shared" si="627"/>
        <v>0.87800000000035539</v>
      </c>
      <c r="J250" s="808">
        <f t="shared" si="627"/>
        <v>-0.87400000000002365</v>
      </c>
      <c r="K250" s="808">
        <f t="shared" si="627"/>
        <v>-6.999999999985107E-2</v>
      </c>
      <c r="L250" s="808">
        <f t="shared" si="627"/>
        <v>3.7010000000001497</v>
      </c>
      <c r="M250" s="1588">
        <f t="shared" si="627"/>
        <v>2.9999999999006377E-3</v>
      </c>
      <c r="N250" s="808">
        <f t="shared" si="627"/>
        <v>0</v>
      </c>
      <c r="O250" s="808">
        <f t="shared" si="627"/>
        <v>0</v>
      </c>
      <c r="P250" s="808">
        <f t="shared" si="627"/>
        <v>0</v>
      </c>
      <c r="Q250" s="808">
        <f t="shared" si="627"/>
        <v>0</v>
      </c>
      <c r="R250" s="808">
        <f t="shared" si="627"/>
        <v>0</v>
      </c>
      <c r="S250" s="808">
        <f t="shared" si="627"/>
        <v>0</v>
      </c>
      <c r="T250" s="808">
        <f t="shared" si="627"/>
        <v>0</v>
      </c>
      <c r="U250" s="808">
        <f t="shared" si="627"/>
        <v>0</v>
      </c>
      <c r="V250" s="336"/>
      <c r="W250" s="336"/>
      <c r="X250" s="336"/>
      <c r="Y250" s="336"/>
      <c r="Z250" s="336"/>
      <c r="AA250" s="336"/>
      <c r="AB250" s="336"/>
      <c r="AC250" s="336"/>
      <c r="AD250" s="336"/>
      <c r="AE250" s="336"/>
      <c r="AF250" s="336"/>
      <c r="AG250" s="336"/>
      <c r="AH250" s="336"/>
      <c r="AI250" s="336"/>
      <c r="AJ250" s="336"/>
      <c r="AK250" s="336"/>
      <c r="AL250" s="336"/>
      <c r="AM250" s="336"/>
      <c r="AN250" s="336"/>
      <c r="AO250" s="336"/>
      <c r="AP250" s="336"/>
      <c r="AQ250" s="336"/>
      <c r="AR250" s="336"/>
      <c r="AS250" s="336"/>
      <c r="AT250" s="336"/>
      <c r="AU250" s="336"/>
      <c r="AV250" s="336"/>
      <c r="AW250" s="336"/>
      <c r="AX250" s="336"/>
      <c r="AY250" s="336"/>
      <c r="AZ250" s="336"/>
      <c r="BA250" s="336"/>
      <c r="BB250" s="336"/>
      <c r="BC250" s="336"/>
      <c r="BD250" s="336"/>
      <c r="BE250" s="336"/>
      <c r="BF250" s="336"/>
      <c r="BG250" s="336"/>
      <c r="BH250" s="336"/>
      <c r="BI250" s="336"/>
      <c r="BJ250" s="1037">
        <v>625.33564999999999</v>
      </c>
      <c r="BK250" s="336"/>
      <c r="BL250" s="336"/>
      <c r="BM250" s="336"/>
      <c r="BN250" s="336"/>
      <c r="BO250" s="336"/>
      <c r="BP250" s="1448"/>
    </row>
    <row r="251" spans="1:99" s="54" customFormat="1" hidden="1" outlineLevel="1">
      <c r="A251" s="1007" t="s">
        <v>1054</v>
      </c>
      <c r="B251" s="1834"/>
      <c r="C251" s="1834"/>
      <c r="D251" s="1834"/>
      <c r="E251" s="1838"/>
      <c r="F251" s="1839"/>
      <c r="G251" s="742"/>
      <c r="H251" s="873"/>
      <c r="I251" s="873">
        <f>I182-I177</f>
        <v>0</v>
      </c>
      <c r="J251" s="873">
        <f>J182-J177</f>
        <v>0</v>
      </c>
      <c r="K251" s="873">
        <f>K182-K177</f>
        <v>9.9999999997635314E-4</v>
      </c>
      <c r="L251" s="873">
        <f>L182-L177</f>
        <v>9.9999999974897946E-4</v>
      </c>
      <c r="M251" s="1588">
        <f>M182-M177</f>
        <v>0</v>
      </c>
      <c r="N251" s="897"/>
      <c r="O251" s="897"/>
      <c r="P251" s="1634"/>
      <c r="Q251" s="1634"/>
      <c r="R251" s="1634"/>
      <c r="S251" s="1634"/>
      <c r="T251" s="1634"/>
      <c r="U251" s="1634"/>
      <c r="V251" s="336"/>
      <c r="W251" s="336"/>
      <c r="X251" s="336"/>
      <c r="Y251" s="336"/>
      <c r="Z251" s="336"/>
      <c r="AA251" s="336"/>
      <c r="AB251" s="336"/>
      <c r="AC251" s="336"/>
      <c r="AD251" s="336"/>
      <c r="AE251" s="336"/>
      <c r="AF251" s="336"/>
      <c r="AG251" s="336"/>
      <c r="AH251" s="336"/>
      <c r="AI251" s="336"/>
      <c r="AJ251" s="336"/>
      <c r="AK251" s="336"/>
      <c r="AL251" s="336"/>
      <c r="AM251" s="336"/>
      <c r="AN251" s="336"/>
      <c r="AO251" s="336"/>
      <c r="AP251" s="336"/>
      <c r="AQ251" s="336"/>
      <c r="AR251" s="336"/>
      <c r="AS251" s="336"/>
      <c r="AT251" s="336"/>
      <c r="AU251" s="336"/>
      <c r="AV251" s="336"/>
      <c r="AW251" s="336"/>
      <c r="AX251" s="336"/>
      <c r="AY251" s="336"/>
      <c r="AZ251" s="336"/>
      <c r="BA251" s="336"/>
      <c r="BB251" s="336"/>
      <c r="BC251" s="336"/>
      <c r="BD251" s="336"/>
      <c r="BE251" s="336"/>
      <c r="BF251" s="336"/>
      <c r="BG251" s="336"/>
      <c r="BH251" s="336"/>
      <c r="BI251" s="336"/>
      <c r="BJ251" s="2254">
        <v>22.351000000000003</v>
      </c>
      <c r="BK251" s="336"/>
      <c r="BL251" s="336"/>
      <c r="BM251" s="336"/>
      <c r="BN251" s="336"/>
      <c r="BO251" s="336"/>
      <c r="BP251" s="1448"/>
    </row>
    <row r="252" spans="1:99" s="1816" customFormat="1" hidden="1" outlineLevel="1">
      <c r="A252" s="1727" t="s">
        <v>1193</v>
      </c>
      <c r="B252" s="1814">
        <f t="shared" ref="B252:U252" si="628">SUM(B22,B25,B28)-300%</f>
        <v>0</v>
      </c>
      <c r="C252" s="1814">
        <f t="shared" si="628"/>
        <v>0</v>
      </c>
      <c r="D252" s="1814">
        <f t="shared" si="628"/>
        <v>0</v>
      </c>
      <c r="E252" s="1814">
        <f t="shared" si="628"/>
        <v>0</v>
      </c>
      <c r="F252" s="1814">
        <f t="shared" si="628"/>
        <v>0</v>
      </c>
      <c r="G252" s="1814">
        <f t="shared" si="628"/>
        <v>0</v>
      </c>
      <c r="H252" s="1814">
        <f t="shared" si="628"/>
        <v>0</v>
      </c>
      <c r="I252" s="1814">
        <f t="shared" si="628"/>
        <v>0</v>
      </c>
      <c r="J252" s="1814">
        <f t="shared" si="628"/>
        <v>0</v>
      </c>
      <c r="K252" s="1814">
        <f t="shared" si="628"/>
        <v>0</v>
      </c>
      <c r="L252" s="1814">
        <f t="shared" si="628"/>
        <v>0</v>
      </c>
      <c r="M252" s="2285">
        <f t="shared" si="628"/>
        <v>0</v>
      </c>
      <c r="N252" s="1814">
        <f t="shared" si="628"/>
        <v>0</v>
      </c>
      <c r="O252" s="1814">
        <f t="shared" si="628"/>
        <v>0</v>
      </c>
      <c r="P252" s="1814">
        <f t="shared" si="628"/>
        <v>0</v>
      </c>
      <c r="Q252" s="1814">
        <f t="shared" si="628"/>
        <v>0</v>
      </c>
      <c r="R252" s="1814">
        <f t="shared" si="628"/>
        <v>0</v>
      </c>
      <c r="S252" s="1814">
        <f t="shared" si="628"/>
        <v>0</v>
      </c>
      <c r="T252" s="1814">
        <f t="shared" si="628"/>
        <v>0</v>
      </c>
      <c r="U252" s="1814">
        <f t="shared" si="628"/>
        <v>0</v>
      </c>
      <c r="V252" s="1815"/>
      <c r="X252" s="1814">
        <f t="shared" ref="X252:AJ252" si="629">SUM(X25,X28)-200%</f>
        <v>0</v>
      </c>
      <c r="Y252" s="1814">
        <f t="shared" si="629"/>
        <v>0</v>
      </c>
      <c r="Z252" s="1814">
        <f t="shared" si="629"/>
        <v>0</v>
      </c>
      <c r="AA252" s="1814">
        <f t="shared" si="629"/>
        <v>0</v>
      </c>
      <c r="AB252" s="1814">
        <f t="shared" si="629"/>
        <v>0</v>
      </c>
      <c r="AC252" s="1814">
        <f t="shared" si="629"/>
        <v>0</v>
      </c>
      <c r="AD252" s="1814">
        <f t="shared" si="629"/>
        <v>0</v>
      </c>
      <c r="AE252" s="1814">
        <f t="shared" si="629"/>
        <v>0</v>
      </c>
      <c r="AF252" s="1814">
        <f t="shared" si="629"/>
        <v>0</v>
      </c>
      <c r="AG252" s="1814">
        <f t="shared" si="629"/>
        <v>0</v>
      </c>
      <c r="AH252" s="1814">
        <f t="shared" si="629"/>
        <v>0</v>
      </c>
      <c r="AI252" s="1814">
        <f t="shared" si="629"/>
        <v>0</v>
      </c>
      <c r="AJ252" s="1814">
        <f t="shared" si="629"/>
        <v>0</v>
      </c>
      <c r="AK252" s="1817">
        <f>SUM(AK22,AK25,AK28)-300%</f>
        <v>0</v>
      </c>
      <c r="AL252" s="1814">
        <f>SUM(AL25,AL28)-200%</f>
        <v>0</v>
      </c>
      <c r="AM252" s="1814">
        <f>SUM(AM25,AM28)-200%</f>
        <v>0</v>
      </c>
      <c r="AN252" s="1814">
        <f>SUM(AN25,AN28)-200%</f>
        <v>0</v>
      </c>
      <c r="AO252" s="1817">
        <f>SUM(AO22,AO25,AO28)-300%</f>
        <v>0</v>
      </c>
      <c r="AP252" s="1814">
        <f>SUM(AP25,AP28)-200%</f>
        <v>0</v>
      </c>
      <c r="AQ252" s="1814">
        <f>SUM(AQ25,AQ28)-200%</f>
        <v>0</v>
      </c>
      <c r="AR252" s="1814">
        <f>SUM(AR25,AR28)-200%</f>
        <v>0</v>
      </c>
      <c r="AS252" s="1814">
        <f>SUM(AS25,AS28)-200%</f>
        <v>0</v>
      </c>
      <c r="AT252" s="1814">
        <f>SUM(AT25,AT28)-200%</f>
        <v>0</v>
      </c>
      <c r="AU252" s="1817">
        <f t="shared" ref="AU252:BI252" si="630">SUM(AU22,AU25,AU28)-300%</f>
        <v>0</v>
      </c>
      <c r="AV252" s="1817">
        <f t="shared" si="630"/>
        <v>0</v>
      </c>
      <c r="AW252" s="1817">
        <f t="shared" si="630"/>
        <v>0</v>
      </c>
      <c r="AX252" s="1817">
        <f t="shared" si="630"/>
        <v>0</v>
      </c>
      <c r="AY252" s="1817">
        <f t="shared" si="630"/>
        <v>0</v>
      </c>
      <c r="AZ252" s="1817">
        <f t="shared" si="630"/>
        <v>0</v>
      </c>
      <c r="BA252" s="1817">
        <f t="shared" si="630"/>
        <v>0</v>
      </c>
      <c r="BB252" s="1817">
        <f t="shared" si="630"/>
        <v>0</v>
      </c>
      <c r="BC252" s="1817">
        <f t="shared" si="630"/>
        <v>0</v>
      </c>
      <c r="BD252" s="1817">
        <f t="shared" si="630"/>
        <v>0</v>
      </c>
      <c r="BE252" s="1817">
        <f t="shared" si="630"/>
        <v>0</v>
      </c>
      <c r="BF252" s="1817">
        <f t="shared" si="630"/>
        <v>0</v>
      </c>
      <c r="BG252" s="1818">
        <f t="shared" si="630"/>
        <v>0</v>
      </c>
      <c r="BH252" s="1818">
        <f t="shared" si="630"/>
        <v>0</v>
      </c>
      <c r="BI252" s="1818">
        <f t="shared" si="630"/>
        <v>0</v>
      </c>
      <c r="BJ252" s="1037">
        <v>0.51356574408053302</v>
      </c>
      <c r="BK252" s="1818">
        <f t="shared" ref="BK252:BP252" si="631">SUM(BK22,BK25,BK28)-300%</f>
        <v>0</v>
      </c>
      <c r="BL252" s="1818">
        <f t="shared" si="631"/>
        <v>0</v>
      </c>
      <c r="BM252" s="1818">
        <f t="shared" si="631"/>
        <v>0</v>
      </c>
      <c r="BN252" s="1818">
        <f t="shared" si="631"/>
        <v>0</v>
      </c>
      <c r="BO252" s="1818">
        <f t="shared" si="631"/>
        <v>0</v>
      </c>
      <c r="BP252" s="1448">
        <f t="shared" si="631"/>
        <v>0</v>
      </c>
    </row>
    <row r="253" spans="1:99" s="101" customFormat="1" hidden="1" outlineLevel="1">
      <c r="A253" s="1724" t="s">
        <v>1387</v>
      </c>
      <c r="B253" s="1819" t="str">
        <f>IF(ISERROR(ROUND(B15,0)-ROUND(B16,0)),"NM",ROUND(B15,0)-ROUND(B16,0))</f>
        <v>NM</v>
      </c>
      <c r="C253" s="1819">
        <f t="shared" ref="C253:U253" si="632">ROUND(C15,0)-ROUND(C16,0)</f>
        <v>2</v>
      </c>
      <c r="D253" s="1819">
        <f t="shared" si="632"/>
        <v>1</v>
      </c>
      <c r="E253" s="1819">
        <f t="shared" si="632"/>
        <v>1</v>
      </c>
      <c r="F253" s="1819">
        <f t="shared" si="632"/>
        <v>3</v>
      </c>
      <c r="G253" s="1819">
        <f t="shared" si="632"/>
        <v>-4</v>
      </c>
      <c r="H253" s="1819">
        <f t="shared" si="632"/>
        <v>-95</v>
      </c>
      <c r="I253" s="1819">
        <f t="shared" si="632"/>
        <v>-10</v>
      </c>
      <c r="J253" s="1819">
        <f t="shared" si="632"/>
        <v>-9</v>
      </c>
      <c r="K253" s="1819">
        <f t="shared" si="632"/>
        <v>185</v>
      </c>
      <c r="L253" s="1819">
        <f t="shared" si="632"/>
        <v>-55</v>
      </c>
      <c r="M253" s="2286">
        <f t="shared" si="632"/>
        <v>-74</v>
      </c>
      <c r="N253" s="1820">
        <f t="shared" si="632"/>
        <v>0</v>
      </c>
      <c r="O253" s="1820">
        <f t="shared" si="632"/>
        <v>0</v>
      </c>
      <c r="P253" s="1820">
        <f t="shared" si="632"/>
        <v>0</v>
      </c>
      <c r="Q253" s="1820">
        <f t="shared" si="632"/>
        <v>0</v>
      </c>
      <c r="R253" s="1820">
        <f t="shared" si="632"/>
        <v>0</v>
      </c>
      <c r="S253" s="1820">
        <f t="shared" si="632"/>
        <v>0</v>
      </c>
      <c r="T253" s="1820">
        <f t="shared" si="632"/>
        <v>0</v>
      </c>
      <c r="U253" s="1820">
        <f t="shared" si="632"/>
        <v>0</v>
      </c>
      <c r="V253" s="1821"/>
      <c r="W253" s="1822"/>
      <c r="X253" s="1823"/>
      <c r="Y253" s="1823"/>
      <c r="Z253" s="1823"/>
      <c r="AA253" s="1823"/>
      <c r="AB253" s="1823"/>
      <c r="AC253" s="1823"/>
      <c r="AD253" s="1823"/>
      <c r="AE253" s="1823"/>
      <c r="AF253" s="1823"/>
      <c r="AG253" s="1823"/>
      <c r="AH253" s="1823"/>
      <c r="AI253" s="1823"/>
      <c r="AJ253" s="1823"/>
      <c r="AK253" s="1823"/>
      <c r="AL253" s="1823"/>
      <c r="AM253" s="1823"/>
      <c r="AN253" s="1823"/>
      <c r="AO253" s="1823"/>
      <c r="AP253" s="1823"/>
      <c r="AQ253" s="1823"/>
      <c r="AR253" s="1823"/>
      <c r="AS253" s="1823"/>
      <c r="AT253" s="1823"/>
      <c r="AU253" s="1823"/>
      <c r="AV253" s="2056"/>
      <c r="AW253" s="2056"/>
      <c r="AX253" s="2056"/>
      <c r="AY253" s="2056"/>
      <c r="AZ253" s="2056"/>
      <c r="BA253" s="2056"/>
      <c r="BB253" s="2056"/>
      <c r="BC253" s="2056"/>
      <c r="BD253" s="2056"/>
      <c r="BE253" s="2056"/>
      <c r="BF253" s="2056"/>
      <c r="BG253" s="2057"/>
      <c r="BH253" s="2057"/>
      <c r="BI253" s="2057"/>
      <c r="BJ253" s="1037">
        <v>89.763000000000005</v>
      </c>
      <c r="BK253" s="2057"/>
      <c r="BL253" s="2057"/>
      <c r="BM253" s="2057"/>
      <c r="BN253" s="2057"/>
      <c r="BO253" s="2057"/>
      <c r="BP253" s="1448"/>
    </row>
    <row r="254" spans="1:99" collapsed="1">
      <c r="A254" s="221" t="s">
        <v>201</v>
      </c>
      <c r="B254" s="221"/>
      <c r="C254" s="222"/>
      <c r="D254" s="222"/>
      <c r="E254" s="222"/>
      <c r="F254" s="222"/>
      <c r="G254" s="222"/>
      <c r="H254" s="222"/>
      <c r="I254" s="222"/>
      <c r="J254" s="222"/>
      <c r="K254" s="222"/>
      <c r="L254" s="222"/>
      <c r="M254" s="222"/>
      <c r="N254" s="222"/>
      <c r="O254" s="222"/>
      <c r="P254" s="222"/>
      <c r="Q254" s="222"/>
      <c r="R254" s="222"/>
      <c r="S254" s="222"/>
      <c r="T254" s="222"/>
      <c r="U254" s="222"/>
      <c r="V254" s="222"/>
      <c r="W254" s="222"/>
      <c r="X254" s="222"/>
      <c r="Y254" s="222"/>
      <c r="Z254" s="222"/>
      <c r="AA254" s="222"/>
      <c r="AB254" s="222"/>
      <c r="AC254" s="222"/>
      <c r="AD254" s="222"/>
      <c r="AE254" s="222"/>
      <c r="AF254" s="222"/>
      <c r="AG254" s="222"/>
      <c r="AH254" s="222"/>
      <c r="AI254" s="222"/>
      <c r="AJ254" s="222"/>
      <c r="AK254" s="222"/>
      <c r="AL254" s="222"/>
      <c r="AM254" s="222"/>
      <c r="AN254" s="222"/>
      <c r="AO254" s="222"/>
      <c r="AP254" s="222"/>
      <c r="AQ254" s="222"/>
      <c r="AR254" s="222"/>
      <c r="AS254" s="222"/>
      <c r="AT254" s="222"/>
      <c r="AU254" s="222"/>
      <c r="AV254" s="222"/>
      <c r="AW254" s="222"/>
      <c r="AX254" s="222"/>
      <c r="AY254" s="222"/>
      <c r="AZ254" s="222"/>
      <c r="BA254" s="222"/>
      <c r="BB254" s="222"/>
      <c r="BC254" s="222"/>
      <c r="BD254" s="222"/>
      <c r="BE254" s="222"/>
      <c r="BF254" s="222"/>
      <c r="BG254" s="222"/>
      <c r="BH254" s="222"/>
      <c r="BI254" s="222"/>
      <c r="BJ254" s="222"/>
      <c r="BK254" s="222"/>
      <c r="BL254" s="222"/>
      <c r="BM254" s="220"/>
      <c r="BN254" s="220"/>
      <c r="BO254" s="220"/>
      <c r="BP254" s="220"/>
      <c r="BQ254" s="220"/>
      <c r="BR254" s="220"/>
      <c r="BS254" s="220"/>
      <c r="BT254" s="220"/>
      <c r="BU254" s="220"/>
      <c r="BV254" s="220"/>
      <c r="BW254" s="220"/>
      <c r="BX254" s="220"/>
      <c r="BY254" s="220"/>
      <c r="BZ254" s="220"/>
      <c r="CA254" s="220"/>
      <c r="CB254" s="220"/>
      <c r="CC254" s="220"/>
      <c r="CD254" s="220"/>
      <c r="CE254" s="220"/>
      <c r="CF254" s="220"/>
      <c r="CG254" s="220"/>
      <c r="CH254" s="220"/>
      <c r="CI254" s="220"/>
      <c r="CJ254" s="220"/>
      <c r="CK254" s="220"/>
      <c r="CL254" s="220"/>
      <c r="CM254" s="220"/>
      <c r="CN254" s="220"/>
      <c r="CO254" s="220"/>
      <c r="CP254" s="220"/>
      <c r="CQ254" s="220"/>
      <c r="CR254" s="220"/>
      <c r="CS254" s="220"/>
      <c r="CT254" s="220"/>
      <c r="CU254" s="659" t="s">
        <v>200</v>
      </c>
    </row>
    <row r="255" spans="1:99">
      <c r="A255" s="201"/>
      <c r="B255" s="201"/>
      <c r="C255" s="422"/>
      <c r="D255" s="423"/>
      <c r="E255" s="423"/>
      <c r="F255" s="423"/>
      <c r="G255" s="423"/>
      <c r="H255" s="423"/>
      <c r="I255" s="423"/>
      <c r="J255" s="423"/>
      <c r="K255" s="423"/>
      <c r="L255" s="423"/>
    </row>
  </sheetData>
  <phoneticPr fontId="11" type="noConversion"/>
  <conditionalFormatting sqref="J253 V253">
    <cfRule type="cellIs" dxfId="80" priority="14" stopIfTrue="1" operator="equal">
      <formula>"ü"</formula>
    </cfRule>
  </conditionalFormatting>
  <conditionalFormatting sqref="I253">
    <cfRule type="cellIs" dxfId="79" priority="13" stopIfTrue="1" operator="equal">
      <formula>"ü"</formula>
    </cfRule>
  </conditionalFormatting>
  <conditionalFormatting sqref="K253">
    <cfRule type="cellIs" dxfId="78" priority="10" stopIfTrue="1" operator="equal">
      <formula>"ü"</formula>
    </cfRule>
  </conditionalFormatting>
  <conditionalFormatting sqref="L253:U253">
    <cfRule type="cellIs" dxfId="77" priority="12" stopIfTrue="1" operator="equal">
      <formula>"ü"</formula>
    </cfRule>
  </conditionalFormatting>
  <conditionalFormatting sqref="B253:H253">
    <cfRule type="cellIs" dxfId="76" priority="11" stopIfTrue="1" operator="equal">
      <formula>"ü"</formula>
    </cfRule>
  </conditionalFormatting>
  <conditionalFormatting sqref="K253:M253">
    <cfRule type="cellIs" dxfId="75" priority="9" stopIfTrue="1" operator="equal">
      <formula>"ü"</formula>
    </cfRule>
  </conditionalFormatting>
  <conditionalFormatting sqref="J253">
    <cfRule type="cellIs" dxfId="74" priority="8" stopIfTrue="1" operator="equal">
      <formula>"ü"</formula>
    </cfRule>
  </conditionalFormatting>
  <conditionalFormatting sqref="K253:M253">
    <cfRule type="cellIs" dxfId="73" priority="7" stopIfTrue="1" operator="equal">
      <formula>"ü"</formula>
    </cfRule>
  </conditionalFormatting>
  <conditionalFormatting sqref="L253">
    <cfRule type="cellIs" dxfId="72" priority="6" stopIfTrue="1" operator="equal">
      <formula>"ü"</formula>
    </cfRule>
  </conditionalFormatting>
  <conditionalFormatting sqref="L253">
    <cfRule type="cellIs" dxfId="71" priority="5" stopIfTrue="1" operator="equal">
      <formula>"ü"</formula>
    </cfRule>
  </conditionalFormatting>
  <conditionalFormatting sqref="K253:M253">
    <cfRule type="cellIs" dxfId="70" priority="4" stopIfTrue="1" operator="equal">
      <formula>"ü"</formula>
    </cfRule>
  </conditionalFormatting>
  <conditionalFormatting sqref="L253">
    <cfRule type="cellIs" dxfId="69" priority="3" stopIfTrue="1" operator="equal">
      <formula>"ü"</formula>
    </cfRule>
  </conditionalFormatting>
  <conditionalFormatting sqref="M253">
    <cfRule type="cellIs" dxfId="68" priority="2" stopIfTrue="1" operator="equal">
      <formula>"ü"</formula>
    </cfRule>
  </conditionalFormatting>
  <conditionalFormatting sqref="M253">
    <cfRule type="cellIs" dxfId="67" priority="1" stopIfTrue="1" operator="equal">
      <formula>"ü"</formula>
    </cfRule>
  </conditionalFormatting>
  <pageMargins left="0.7" right="0.7" top="0.75" bottom="0.75" header="0.3" footer="0.3"/>
  <pageSetup scale="46" orientation="portrait" r:id="rId1"/>
  <headerFooter alignWithMargins="0"/>
  <rowBreaks count="1" manualBreakCount="1">
    <brk id="102" max="15" man="1"/>
  </rowBreaks>
  <ignoredErrors>
    <ignoredError sqref="BQ208:CV209 CV207 BQ211:CV213 CV210" formula="1"/>
  </ignoredErrors>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tabColor theme="4" tint="0.59999389629810485"/>
    <pageSetUpPr fitToPage="1"/>
  </sheetPr>
  <dimension ref="A1:BS181"/>
  <sheetViews>
    <sheetView showGridLines="0" workbookViewId="0">
      <pane xSplit="1" ySplit="5" topLeftCell="B6" activePane="bottomRight" state="frozen"/>
      <selection activeCell="AC362" sqref="AC362"/>
      <selection pane="topRight" activeCell="AC362" sqref="AC362"/>
      <selection pane="bottomLeft" activeCell="AC362" sqref="AC362"/>
      <selection pane="bottomRight"/>
    </sheetView>
  </sheetViews>
  <sheetFormatPr defaultRowHeight="11.25" outlineLevelRow="1" outlineLevelCol="1"/>
  <cols>
    <col min="1" max="1" width="28" style="52" customWidth="1"/>
    <col min="2" max="30" width="10.7109375" style="52" hidden="1" customWidth="1" outlineLevel="1"/>
    <col min="31" max="31" width="10.7109375" style="52" customWidth="1" collapsed="1"/>
    <col min="32" max="33" width="10.7109375" style="52" customWidth="1"/>
    <col min="34" max="36" width="10.7109375" style="1401" customWidth="1"/>
    <col min="37" max="55" width="10.7109375" style="52" customWidth="1"/>
    <col min="56" max="16384" width="9.140625" style="52"/>
  </cols>
  <sheetData>
    <row r="1" spans="1:71" s="106" customFormat="1" ht="18">
      <c r="A1" s="112" t="str">
        <f>Index!B1</f>
        <v>São Martinho</v>
      </c>
      <c r="B1" s="127"/>
      <c r="C1" s="127"/>
      <c r="D1" s="666"/>
      <c r="E1" s="666"/>
      <c r="F1" s="666"/>
      <c r="G1" s="666"/>
      <c r="H1" s="666"/>
      <c r="I1" s="666"/>
      <c r="J1" s="666"/>
      <c r="K1" s="666"/>
      <c r="L1" s="666"/>
      <c r="M1" s="666"/>
      <c r="N1" s="666"/>
      <c r="O1" s="666"/>
      <c r="P1" s="666"/>
      <c r="Q1" s="666"/>
      <c r="R1" s="666"/>
      <c r="S1" s="666"/>
      <c r="T1" s="666"/>
      <c r="U1" s="666"/>
      <c r="V1" s="666"/>
      <c r="W1" s="666"/>
      <c r="X1" s="666"/>
      <c r="Y1" s="666"/>
      <c r="Z1" s="666"/>
      <c r="AA1" s="666"/>
      <c r="AB1" s="666"/>
      <c r="AC1" s="666"/>
      <c r="AD1" s="666"/>
      <c r="AE1" s="666"/>
      <c r="AF1" s="666"/>
      <c r="AG1" s="666"/>
      <c r="AH1" s="666"/>
      <c r="AI1" s="666"/>
      <c r="AJ1" s="666"/>
      <c r="AK1" s="666"/>
      <c r="AL1" s="666"/>
      <c r="AM1" s="666"/>
      <c r="AN1" s="666"/>
      <c r="AO1" s="666"/>
      <c r="AP1" s="666"/>
      <c r="AQ1" s="666"/>
      <c r="AR1" s="666"/>
      <c r="AS1" s="666"/>
      <c r="AT1" s="666"/>
      <c r="AU1" s="666"/>
      <c r="AV1" s="666"/>
      <c r="AW1" s="666"/>
      <c r="AX1" s="666"/>
      <c r="AY1" s="666"/>
      <c r="AZ1" s="666"/>
      <c r="BA1" s="666"/>
      <c r="BB1" s="666"/>
      <c r="BC1" s="666"/>
      <c r="BD1" s="666"/>
      <c r="BE1" s="666"/>
      <c r="BF1" s="666"/>
      <c r="BG1" s="666"/>
      <c r="BH1" s="666"/>
      <c r="BI1" s="666"/>
      <c r="BJ1" s="666"/>
      <c r="BK1" s="666"/>
      <c r="BL1" s="666"/>
      <c r="BM1" s="666"/>
      <c r="BN1" s="666"/>
      <c r="BO1" s="666"/>
      <c r="BP1" s="666"/>
      <c r="BQ1" s="666"/>
      <c r="BR1" s="666"/>
      <c r="BS1" s="666"/>
    </row>
    <row r="2" spans="1:71" s="106" customFormat="1" ht="12.75">
      <c r="A2" s="170" t="s">
        <v>281</v>
      </c>
      <c r="B2" s="666"/>
      <c r="C2" s="666"/>
      <c r="D2" s="666"/>
      <c r="E2" s="666"/>
      <c r="F2" s="666"/>
      <c r="G2" s="666"/>
      <c r="H2" s="666"/>
      <c r="I2" s="666"/>
      <c r="J2" s="666"/>
      <c r="K2" s="666"/>
      <c r="L2" s="666"/>
      <c r="M2" s="666"/>
      <c r="N2" s="666"/>
      <c r="O2" s="666"/>
      <c r="P2" s="666"/>
      <c r="Q2" s="666"/>
      <c r="R2" s="666"/>
      <c r="S2" s="666"/>
      <c r="T2" s="666"/>
      <c r="U2" s="666"/>
      <c r="V2" s="666"/>
      <c r="W2" s="666"/>
      <c r="X2" s="666"/>
      <c r="Y2" s="666"/>
      <c r="Z2" s="666"/>
      <c r="AA2" s="666"/>
      <c r="AB2" s="666"/>
      <c r="AC2" s="666"/>
      <c r="AD2" s="666"/>
      <c r="AE2" s="431"/>
      <c r="AF2" s="666"/>
      <c r="AG2" s="666"/>
      <c r="AH2" s="666"/>
      <c r="AI2" s="666"/>
      <c r="AJ2" s="666"/>
      <c r="AK2" s="666"/>
      <c r="AL2" s="666"/>
      <c r="AM2" s="666"/>
      <c r="AN2" s="666"/>
      <c r="AO2" s="666"/>
      <c r="AP2" s="666"/>
      <c r="AQ2" s="666"/>
      <c r="AR2" s="666"/>
      <c r="AS2" s="666"/>
      <c r="AT2" s="666"/>
      <c r="AU2" s="666"/>
      <c r="AV2" s="666"/>
      <c r="AW2" s="666"/>
      <c r="AX2" s="666"/>
      <c r="AY2" s="666"/>
      <c r="AZ2" s="666"/>
      <c r="BA2" s="666"/>
      <c r="BB2" s="666"/>
      <c r="BC2" s="666"/>
      <c r="BD2" s="666"/>
      <c r="BE2" s="666"/>
      <c r="BF2" s="666"/>
      <c r="BG2" s="666"/>
      <c r="BH2" s="666"/>
      <c r="BI2" s="666"/>
      <c r="BJ2" s="666"/>
      <c r="BK2" s="666"/>
      <c r="BL2" s="666"/>
      <c r="BM2" s="666"/>
      <c r="BN2" s="666"/>
      <c r="BO2" s="666"/>
      <c r="BP2" s="666"/>
      <c r="BQ2" s="666"/>
      <c r="BR2" s="666"/>
      <c r="BS2" s="432" t="s">
        <v>27</v>
      </c>
    </row>
    <row r="3" spans="1:71" s="210" customFormat="1" ht="12.75">
      <c r="A3" s="1647"/>
      <c r="B3" s="646"/>
      <c r="C3" s="646"/>
      <c r="D3" s="646"/>
      <c r="E3" s="646"/>
      <c r="F3" s="646"/>
      <c r="G3" s="646"/>
      <c r="H3" s="646"/>
      <c r="I3" s="646"/>
      <c r="J3" s="646"/>
      <c r="K3" s="646"/>
      <c r="L3" s="646"/>
      <c r="M3" s="646"/>
      <c r="N3" s="646"/>
      <c r="O3" s="646"/>
      <c r="P3" s="646"/>
      <c r="Q3" s="646"/>
      <c r="R3" s="646"/>
      <c r="S3" s="646"/>
      <c r="T3" s="646"/>
      <c r="U3" s="646"/>
      <c r="V3" s="646"/>
      <c r="W3" s="646"/>
      <c r="X3" s="646"/>
      <c r="Y3" s="646"/>
      <c r="Z3" s="646"/>
      <c r="AA3" s="646"/>
      <c r="AB3" s="646"/>
      <c r="AC3" s="646"/>
      <c r="AD3" s="646"/>
      <c r="AE3" s="2320"/>
      <c r="AF3" s="646"/>
      <c r="AG3" s="646"/>
      <c r="AH3" s="646"/>
      <c r="AI3" s="646"/>
      <c r="AJ3" s="646"/>
      <c r="AK3" s="646"/>
      <c r="AL3" s="646"/>
      <c r="AM3" s="646"/>
      <c r="AN3" s="646"/>
      <c r="AO3" s="646"/>
      <c r="AP3" s="646"/>
      <c r="AQ3" s="646"/>
      <c r="AR3" s="646"/>
      <c r="AS3" s="646"/>
      <c r="AT3" s="646"/>
      <c r="AU3" s="646"/>
      <c r="AV3" s="646"/>
      <c r="AW3" s="646"/>
      <c r="AX3" s="646"/>
      <c r="AY3" s="646"/>
      <c r="AZ3" s="646"/>
      <c r="BA3" s="646"/>
      <c r="BB3" s="646"/>
      <c r="BC3" s="646"/>
      <c r="BD3" s="646"/>
      <c r="BE3" s="646"/>
      <c r="BF3" s="646"/>
      <c r="BG3" s="646"/>
      <c r="BH3" s="646"/>
      <c r="BI3" s="646"/>
      <c r="BJ3" s="646"/>
      <c r="BK3" s="646"/>
      <c r="BL3" s="646"/>
      <c r="BM3" s="646"/>
      <c r="BN3" s="646"/>
      <c r="BO3" s="646"/>
      <c r="BP3" s="646"/>
      <c r="BQ3" s="646"/>
      <c r="BR3" s="646"/>
      <c r="BS3" s="2321"/>
    </row>
    <row r="4" spans="1:71" s="210" customFormat="1" ht="12.75">
      <c r="A4" s="1647"/>
      <c r="B4" s="615" t="s">
        <v>584</v>
      </c>
      <c r="C4" s="615" t="s">
        <v>585</v>
      </c>
      <c r="D4" s="615" t="s">
        <v>586</v>
      </c>
      <c r="E4" s="615" t="s">
        <v>587</v>
      </c>
      <c r="F4" s="615" t="s">
        <v>588</v>
      </c>
      <c r="G4" s="615" t="s">
        <v>589</v>
      </c>
      <c r="H4" s="615" t="s">
        <v>590</v>
      </c>
      <c r="I4" s="615" t="s">
        <v>591</v>
      </c>
      <c r="J4" s="615" t="s">
        <v>592</v>
      </c>
      <c r="K4" s="615" t="s">
        <v>593</v>
      </c>
      <c r="L4" s="615" t="s">
        <v>594</v>
      </c>
      <c r="M4" s="615" t="s">
        <v>595</v>
      </c>
      <c r="N4" s="615" t="s">
        <v>517</v>
      </c>
      <c r="O4" s="615" t="s">
        <v>518</v>
      </c>
      <c r="P4" s="615" t="s">
        <v>519</v>
      </c>
      <c r="Q4" s="615" t="s">
        <v>520</v>
      </c>
      <c r="R4" s="615" t="s">
        <v>521</v>
      </c>
      <c r="S4" s="615" t="s">
        <v>522</v>
      </c>
      <c r="T4" s="615" t="s">
        <v>523</v>
      </c>
      <c r="U4" s="615" t="s">
        <v>467</v>
      </c>
      <c r="V4" s="615" t="s">
        <v>524</v>
      </c>
      <c r="W4" s="615" t="s">
        <v>525</v>
      </c>
      <c r="X4" s="615" t="s">
        <v>526</v>
      </c>
      <c r="Y4" s="615" t="s">
        <v>446</v>
      </c>
      <c r="Z4" s="615" t="s">
        <v>596</v>
      </c>
      <c r="AA4" s="615" t="s">
        <v>597</v>
      </c>
      <c r="AB4" s="615" t="s">
        <v>650</v>
      </c>
      <c r="AC4" s="615" t="s">
        <v>777</v>
      </c>
      <c r="AD4" s="615" t="s">
        <v>778</v>
      </c>
      <c r="AE4" s="615" t="s">
        <v>779</v>
      </c>
      <c r="AF4" s="615" t="s">
        <v>780</v>
      </c>
      <c r="AG4" s="615" t="s">
        <v>781</v>
      </c>
      <c r="AH4" s="615" t="s">
        <v>782</v>
      </c>
      <c r="AI4" s="615" t="s">
        <v>783</v>
      </c>
      <c r="AJ4" s="615" t="s">
        <v>785</v>
      </c>
      <c r="AK4" s="615" t="s">
        <v>786</v>
      </c>
      <c r="AL4" s="615" t="s">
        <v>787</v>
      </c>
      <c r="AM4" s="615" t="s">
        <v>788</v>
      </c>
      <c r="AN4" s="615" t="s">
        <v>789</v>
      </c>
      <c r="AO4" s="993" t="s">
        <v>790</v>
      </c>
      <c r="AP4" s="993" t="s">
        <v>791</v>
      </c>
      <c r="AQ4" s="993" t="s">
        <v>792</v>
      </c>
      <c r="AR4" s="993" t="s">
        <v>793</v>
      </c>
      <c r="AS4" s="993" t="s">
        <v>794</v>
      </c>
      <c r="AT4" s="993" t="s">
        <v>795</v>
      </c>
      <c r="AU4" s="993" t="s">
        <v>796</v>
      </c>
      <c r="AV4" s="993" t="s">
        <v>797</v>
      </c>
      <c r="AW4" s="993" t="s">
        <v>798</v>
      </c>
      <c r="AX4" s="993" t="s">
        <v>799</v>
      </c>
      <c r="AY4" s="993" t="s">
        <v>800</v>
      </c>
      <c r="AZ4" s="993" t="s">
        <v>801</v>
      </c>
      <c r="BA4" s="993" t="s">
        <v>802</v>
      </c>
      <c r="BB4" s="993" t="s">
        <v>803</v>
      </c>
      <c r="BC4" s="993" t="s">
        <v>804</v>
      </c>
      <c r="BD4" s="993" t="s">
        <v>805</v>
      </c>
      <c r="BE4" s="993" t="s">
        <v>806</v>
      </c>
      <c r="BF4" s="993" t="s">
        <v>807</v>
      </c>
      <c r="BG4" s="993" t="s">
        <v>1401</v>
      </c>
      <c r="BH4" s="993" t="s">
        <v>1402</v>
      </c>
      <c r="BI4" s="993" t="s">
        <v>1403</v>
      </c>
      <c r="BJ4" s="993" t="s">
        <v>1404</v>
      </c>
      <c r="BK4" s="993" t="s">
        <v>1405</v>
      </c>
      <c r="BL4" s="993" t="s">
        <v>1406</v>
      </c>
      <c r="BM4" s="993" t="s">
        <v>1407</v>
      </c>
      <c r="BN4" s="993" t="s">
        <v>1408</v>
      </c>
      <c r="BO4" s="993" t="s">
        <v>1409</v>
      </c>
      <c r="BP4" s="993" t="s">
        <v>1410</v>
      </c>
      <c r="BQ4" s="993" t="s">
        <v>1411</v>
      </c>
      <c r="BR4" s="993" t="s">
        <v>1412</v>
      </c>
      <c r="BS4" s="993" t="s">
        <v>1413</v>
      </c>
    </row>
    <row r="5" spans="1:71">
      <c r="A5" s="652" t="s">
        <v>1464</v>
      </c>
      <c r="B5" s="631">
        <v>39447</v>
      </c>
      <c r="C5" s="631">
        <v>39538</v>
      </c>
      <c r="D5" s="631">
        <v>39629</v>
      </c>
      <c r="E5" s="631">
        <v>39721</v>
      </c>
      <c r="F5" s="631">
        <v>39813</v>
      </c>
      <c r="G5" s="631">
        <v>39903</v>
      </c>
      <c r="H5" s="631">
        <v>39994</v>
      </c>
      <c r="I5" s="631">
        <v>40086</v>
      </c>
      <c r="J5" s="631">
        <v>40178</v>
      </c>
      <c r="K5" s="631">
        <v>40268</v>
      </c>
      <c r="L5" s="631">
        <v>40359</v>
      </c>
      <c r="M5" s="631">
        <v>40451</v>
      </c>
      <c r="N5" s="631">
        <v>40543</v>
      </c>
      <c r="O5" s="631">
        <v>40633</v>
      </c>
      <c r="P5" s="631">
        <v>40724</v>
      </c>
      <c r="Q5" s="631">
        <v>40816</v>
      </c>
      <c r="R5" s="631">
        <v>40908</v>
      </c>
      <c r="S5" s="631">
        <v>40999</v>
      </c>
      <c r="T5" s="631">
        <v>41090</v>
      </c>
      <c r="U5" s="631">
        <v>41182</v>
      </c>
      <c r="V5" s="631">
        <v>41274</v>
      </c>
      <c r="W5" s="631">
        <v>41364</v>
      </c>
      <c r="X5" s="631">
        <v>41455</v>
      </c>
      <c r="Y5" s="631">
        <v>41547</v>
      </c>
      <c r="Z5" s="631">
        <v>41639</v>
      </c>
      <c r="AA5" s="631">
        <v>41729</v>
      </c>
      <c r="AB5" s="631">
        <v>41820</v>
      </c>
      <c r="AC5" s="631">
        <v>41912</v>
      </c>
      <c r="AD5" s="631">
        <v>42004</v>
      </c>
      <c r="AE5" s="1451">
        <v>42094</v>
      </c>
      <c r="AF5" s="1451">
        <v>42185</v>
      </c>
      <c r="AG5" s="1451">
        <v>42277</v>
      </c>
      <c r="AH5" s="1451">
        <v>42369</v>
      </c>
      <c r="AI5" s="1451">
        <v>42460</v>
      </c>
      <c r="AJ5" s="1451">
        <v>42551</v>
      </c>
      <c r="AK5" s="1451">
        <v>42643</v>
      </c>
      <c r="AL5" s="1451">
        <v>42735</v>
      </c>
      <c r="AM5" s="1451">
        <v>42825</v>
      </c>
      <c r="AN5" s="1451">
        <v>42916</v>
      </c>
      <c r="AO5" s="608">
        <v>43008</v>
      </c>
      <c r="AP5" s="608">
        <v>43100</v>
      </c>
      <c r="AQ5" s="608">
        <v>43190</v>
      </c>
      <c r="AR5" s="608">
        <v>43281</v>
      </c>
      <c r="AS5" s="608">
        <v>43373</v>
      </c>
      <c r="AT5" s="608">
        <v>43465</v>
      </c>
      <c r="AU5" s="608">
        <v>43555</v>
      </c>
      <c r="AV5" s="608">
        <v>43646</v>
      </c>
      <c r="AW5" s="608">
        <v>43738</v>
      </c>
      <c r="AX5" s="608">
        <v>43830</v>
      </c>
      <c r="AY5" s="608">
        <v>43921</v>
      </c>
      <c r="AZ5" s="608">
        <v>44012</v>
      </c>
      <c r="BA5" s="608">
        <v>44104</v>
      </c>
      <c r="BB5" s="608">
        <v>44196</v>
      </c>
      <c r="BC5" s="608">
        <v>44286</v>
      </c>
      <c r="BD5" s="608">
        <v>44377</v>
      </c>
      <c r="BE5" s="608">
        <v>44469</v>
      </c>
      <c r="BF5" s="608">
        <v>44561</v>
      </c>
      <c r="BG5" s="608">
        <v>44651</v>
      </c>
      <c r="BH5" s="608">
        <v>44742</v>
      </c>
      <c r="BI5" s="608">
        <v>44834</v>
      </c>
      <c r="BJ5" s="608">
        <v>44926</v>
      </c>
      <c r="BK5" s="608">
        <v>45016</v>
      </c>
      <c r="BL5" s="608">
        <v>45107</v>
      </c>
      <c r="BM5" s="608">
        <v>45199</v>
      </c>
      <c r="BN5" s="608">
        <v>45291</v>
      </c>
      <c r="BO5" s="608">
        <v>45382</v>
      </c>
      <c r="BP5" s="608">
        <v>45473</v>
      </c>
      <c r="BQ5" s="608">
        <v>45565</v>
      </c>
      <c r="BR5" s="608">
        <v>45657</v>
      </c>
      <c r="BS5" s="608">
        <v>45747</v>
      </c>
    </row>
    <row r="6" spans="1:71">
      <c r="A6" s="385" t="s">
        <v>394</v>
      </c>
      <c r="B6" s="196">
        <f>Q_Financials!H10</f>
        <v>127.28599999999999</v>
      </c>
      <c r="C6" s="196">
        <f>Q_Financials!I10</f>
        <v>231.5</v>
      </c>
      <c r="D6" s="196">
        <f>Q_Financials!J10</f>
        <v>92.055999999999997</v>
      </c>
      <c r="E6" s="196">
        <f>Q_Financials!K10</f>
        <v>194.31299999999999</v>
      </c>
      <c r="F6" s="196">
        <f>Q_Financials!L10</f>
        <v>220.816</v>
      </c>
      <c r="G6" s="196">
        <f>Q_Financials!M10</f>
        <v>267.25799999999998</v>
      </c>
      <c r="H6" s="196">
        <f>Q_Financials!N10</f>
        <v>217.45499999999998</v>
      </c>
      <c r="I6" s="196">
        <f>Q_Financials!O10</f>
        <v>286.29699999999997</v>
      </c>
      <c r="J6" s="196">
        <f>Q_Financials!P10</f>
        <v>324.15699999999998</v>
      </c>
      <c r="K6" s="196">
        <f>Q_Financials!Q10</f>
        <v>355.37700000000001</v>
      </c>
      <c r="L6" s="196">
        <f>Q_Financials!R10</f>
        <v>285.45099999999996</v>
      </c>
      <c r="M6" s="196">
        <f>Q_Financials!S10</f>
        <v>338.75200000000001</v>
      </c>
      <c r="N6" s="196">
        <f>Q_Financials!T10</f>
        <v>390.28499999999997</v>
      </c>
      <c r="O6" s="196">
        <f>Q_Financials!U10</f>
        <v>280.53999999999996</v>
      </c>
      <c r="P6" s="196">
        <f>Q_Financials!V10</f>
        <v>328.94800000000004</v>
      </c>
      <c r="Q6" s="196">
        <f>Q_Financials!W10</f>
        <v>398.12199999999996</v>
      </c>
      <c r="R6" s="196">
        <f>Q_Financials!X10</f>
        <v>380.44799999999998</v>
      </c>
      <c r="S6" s="196">
        <f>Q_Financials!Y10</f>
        <v>259.47200000000004</v>
      </c>
      <c r="T6" s="196">
        <f>Q_Financials!Z10</f>
        <v>290.31299999999999</v>
      </c>
      <c r="U6" s="196">
        <f>Q_Financials!AA10</f>
        <v>546.91300000000001</v>
      </c>
      <c r="V6" s="196">
        <f>Q_Financials!AB10</f>
        <v>394.916</v>
      </c>
      <c r="W6" s="196">
        <f>Q_Financials!AC10</f>
        <v>403.81299999999999</v>
      </c>
      <c r="X6" s="196">
        <f>Q_Financials!AD10</f>
        <v>494.26100000000002</v>
      </c>
      <c r="Y6" s="196">
        <f>Q_Financials!AE10</f>
        <v>614.49400000000003</v>
      </c>
      <c r="Z6" s="196">
        <f>Q_Financials!AF10</f>
        <v>424.81200000000001</v>
      </c>
      <c r="AA6" s="196">
        <f>Q_Financials!AG10</f>
        <v>438.12299999999999</v>
      </c>
      <c r="AB6" s="196">
        <f>Q_Financials!AH10</f>
        <v>504.63400000000007</v>
      </c>
      <c r="AC6" s="196">
        <f>Q_Financials!AI10</f>
        <v>507.50700000000001</v>
      </c>
      <c r="AD6" s="196">
        <f>Q_Financials!AJ10</f>
        <v>584.98699999999997</v>
      </c>
      <c r="AE6" s="202">
        <f>Q_Financials!AK10</f>
        <v>696.85400000000004</v>
      </c>
      <c r="AF6" s="202">
        <f>Q_Financials!AL10</f>
        <v>451.12</v>
      </c>
      <c r="AG6" s="202">
        <f>Q_Financials!AM10</f>
        <v>660.75599999999997</v>
      </c>
      <c r="AH6" s="202">
        <f>Q_Financials!AN10</f>
        <v>802.05700000000002</v>
      </c>
      <c r="AI6" s="202">
        <f>Q_Financials!AO10</f>
        <v>813.48500000000001</v>
      </c>
      <c r="AJ6" s="202">
        <f>Q_Financials!AP10</f>
        <v>641.43799999999999</v>
      </c>
      <c r="AK6" s="202">
        <f>Q_Financials!AQ10</f>
        <v>724.447</v>
      </c>
      <c r="AL6" s="202">
        <f>Q_Financials!AR10</f>
        <v>736.92399999999998</v>
      </c>
      <c r="AM6" s="202">
        <f>Q_Financials!AS10</f>
        <v>900.072</v>
      </c>
      <c r="AN6" s="355">
        <f>Q_Financials!AT10</f>
        <v>812.34699999999998</v>
      </c>
      <c r="AO6" s="357">
        <f>Q_Financials!AU10</f>
        <v>916.69511232353398</v>
      </c>
      <c r="AP6" s="357">
        <f>Q_Financials!AV10</f>
        <v>887.61064818875047</v>
      </c>
      <c r="AQ6" s="357">
        <f>Q_Financials!AW10</f>
        <v>1040.1083733831492</v>
      </c>
      <c r="AR6" s="357">
        <f>Q_Financials!AX10</f>
        <v>1184.6992214143891</v>
      </c>
      <c r="AS6" s="357">
        <f>Q_Financials!AY10</f>
        <v>946.95058578120745</v>
      </c>
      <c r="AT6" s="357">
        <f>Q_Financials!AZ10</f>
        <v>913.28117219698765</v>
      </c>
      <c r="AU6" s="357">
        <f>Q_Financials!BA10</f>
        <v>737.16485500801218</v>
      </c>
      <c r="AV6" s="357">
        <f>Q_Financials!BB10</f>
        <v>1270.6108839582423</v>
      </c>
      <c r="AW6" s="357">
        <f>Q_Financials!BC10</f>
        <v>1025.519903401153</v>
      </c>
      <c r="AX6" s="357">
        <f>Q_Financials!BD10</f>
        <v>987.70738151310616</v>
      </c>
      <c r="AY6" s="357">
        <f>Q_Financials!BE10</f>
        <v>800.94677984351722</v>
      </c>
      <c r="AZ6" s="357">
        <f>Q_Financials!BF10</f>
        <v>1501.4294834795614</v>
      </c>
      <c r="BA6" s="357">
        <f>Q_Financials!BG10</f>
        <v>1170.7958835857437</v>
      </c>
      <c r="BB6" s="357">
        <f>Q_Financials!BH10</f>
        <v>1130.9959576958342</v>
      </c>
      <c r="BC6" s="357">
        <f>Q_Financials!BI10</f>
        <v>897.86330859548946</v>
      </c>
      <c r="BD6" s="357">
        <f>Q_Financials!BJ10</f>
        <v>1617.9581718899722</v>
      </c>
      <c r="BE6" s="357">
        <f>Q_Financials!BK10</f>
        <v>1251.4150949342525</v>
      </c>
      <c r="BF6" s="357">
        <f>Q_Financials!BL10</f>
        <v>1208.5162425853471</v>
      </c>
      <c r="BG6" s="357">
        <f>Q_Financials!BM10</f>
        <v>953.30950003815497</v>
      </c>
      <c r="BH6" s="357">
        <f>Q_Financials!BN10</f>
        <v>1482.0523034075889</v>
      </c>
      <c r="BI6" s="357">
        <f>Q_Financials!BO10</f>
        <v>1206.8948315293439</v>
      </c>
      <c r="BJ6" s="357">
        <f>Q_Financials!BP10</f>
        <v>1158.29587155067</v>
      </c>
      <c r="BK6" s="357">
        <f>Q_Financials!BQ10</f>
        <v>940.91388284238724</v>
      </c>
      <c r="BL6" s="357">
        <f>Q_Financials!BR10</f>
        <v>1398.2268745948106</v>
      </c>
      <c r="BM6" s="357">
        <f>Q_Financials!BS10</f>
        <v>1188.4235269001581</v>
      </c>
      <c r="BN6" s="357">
        <f>Q_Financials!BT10</f>
        <v>1135.1571026100767</v>
      </c>
      <c r="BO6" s="357">
        <f>Q_Financials!BU10</f>
        <v>943.74465594901744</v>
      </c>
      <c r="BP6" s="357">
        <f>Q_Financials!BV10</f>
        <v>1584.9557287764851</v>
      </c>
      <c r="BQ6" s="357">
        <f>Q_Financials!BW10</f>
        <v>1322.4876867503706</v>
      </c>
      <c r="BR6" s="357">
        <f>Q_Financials!BX10</f>
        <v>1267.9275261659968</v>
      </c>
      <c r="BS6" s="357">
        <f>Q_Financials!BY10</f>
        <v>1045.6773310549142</v>
      </c>
    </row>
    <row r="7" spans="1:71">
      <c r="A7" s="385" t="s">
        <v>395</v>
      </c>
      <c r="B7" s="196">
        <f>Q_Financials!H12</f>
        <v>-81.536999999999992</v>
      </c>
      <c r="C7" s="196">
        <f>Q_Financials!I12</f>
        <v>-125.34899999999999</v>
      </c>
      <c r="D7" s="196">
        <f>Q_Financials!J12</f>
        <v>-60.234999999999999</v>
      </c>
      <c r="E7" s="196">
        <f>Q_Financials!K12</f>
        <v>-106.443</v>
      </c>
      <c r="F7" s="196">
        <f>Q_Financials!L12</f>
        <v>-112.273</v>
      </c>
      <c r="G7" s="196">
        <f>Q_Financials!M12</f>
        <v>-155.584</v>
      </c>
      <c r="H7" s="196">
        <f>Q_Financials!N12</f>
        <v>-137.054</v>
      </c>
      <c r="I7" s="196">
        <f>Q_Financials!O12</f>
        <v>-157.18599999999998</v>
      </c>
      <c r="J7" s="196">
        <f>Q_Financials!P12</f>
        <v>-168.733</v>
      </c>
      <c r="K7" s="196">
        <f>Q_Financials!Q12</f>
        <v>-164.78</v>
      </c>
      <c r="L7" s="196">
        <f>Q_Financials!R12</f>
        <v>-124.80499999999999</v>
      </c>
      <c r="M7" s="196">
        <f>Q_Financials!S12</f>
        <v>-140.256</v>
      </c>
      <c r="N7" s="196">
        <f>Q_Financials!T12</f>
        <v>-167.553</v>
      </c>
      <c r="O7" s="196">
        <f>Q_Financials!U12</f>
        <v>-132.72000000000003</v>
      </c>
      <c r="P7" s="196">
        <f>Q_Financials!V12</f>
        <v>-145.73999999999998</v>
      </c>
      <c r="Q7" s="196">
        <f>Q_Financials!W12</f>
        <v>-156.80500000000001</v>
      </c>
      <c r="R7" s="196">
        <f>Q_Financials!X12</f>
        <v>-186.005</v>
      </c>
      <c r="S7" s="196">
        <f>Q_Financials!Y12</f>
        <v>-150.26100000000002</v>
      </c>
      <c r="T7" s="196">
        <f>Q_Financials!Z12</f>
        <v>-130.755</v>
      </c>
      <c r="U7" s="196">
        <f>Q_Financials!AA12</f>
        <v>-249.45400000000001</v>
      </c>
      <c r="V7" s="196">
        <f>Q_Financials!AB12</f>
        <v>-193.82799999999997</v>
      </c>
      <c r="W7" s="196">
        <f>Q_Financials!AC12</f>
        <v>-206.70800000000003</v>
      </c>
      <c r="X7" s="196">
        <f>Q_Financials!AD12</f>
        <v>-225.14400000000001</v>
      </c>
      <c r="Y7" s="196">
        <f>Q_Financials!AE12</f>
        <v>-309.69</v>
      </c>
      <c r="Z7" s="196">
        <f>Q_Financials!AF12</f>
        <v>-215.05599999999998</v>
      </c>
      <c r="AA7" s="196">
        <f>Q_Financials!AG12</f>
        <v>-243.04300000000001</v>
      </c>
      <c r="AB7" s="196">
        <f>Q_Financials!AH12</f>
        <v>-227.00500000000002</v>
      </c>
      <c r="AC7" s="196">
        <f>Q_Financials!AI12</f>
        <v>-216.15699999999998</v>
      </c>
      <c r="AD7" s="196">
        <f>Q_Financials!AJ12</f>
        <v>-242.44799999999998</v>
      </c>
      <c r="AE7" s="202">
        <f>Q_Financials!AK12</f>
        <v>-358.41699999999992</v>
      </c>
      <c r="AF7" s="202">
        <f>Q_Financials!AL12</f>
        <v>-208.459</v>
      </c>
      <c r="AG7" s="202">
        <f>Q_Financials!AM12</f>
        <v>-255.69300000000004</v>
      </c>
      <c r="AH7" s="202">
        <f>Q_Financials!AN12</f>
        <v>-379.51900000000001</v>
      </c>
      <c r="AI7" s="202">
        <f>Q_Financials!AO12</f>
        <v>-393.94900000000007</v>
      </c>
      <c r="AJ7" s="202">
        <f>Q_Financials!AP12</f>
        <v>-294.38099999999997</v>
      </c>
      <c r="AK7" s="202">
        <f>Q_Financials!AQ12</f>
        <v>-334.149</v>
      </c>
      <c r="AL7" s="202">
        <f>Q_Financials!AR12</f>
        <v>-354.64800000000002</v>
      </c>
      <c r="AM7" s="202">
        <f>Q_Financials!AS12</f>
        <v>-452.94399999999996</v>
      </c>
      <c r="AN7" s="355">
        <f>Q_Financials!AT12</f>
        <v>-334.84999999999997</v>
      </c>
      <c r="AO7" s="357">
        <f>Q_Financials!AU12</f>
        <v>-374.01843906602886</v>
      </c>
      <c r="AP7" s="357">
        <f>Q_Financials!AV12</f>
        <v>-396.96330492651185</v>
      </c>
      <c r="AQ7" s="357">
        <f>Q_Financials!AW12</f>
        <v>-501.64309133057395</v>
      </c>
      <c r="AR7" s="357">
        <f>Q_Financials!AX12</f>
        <v>-457.95270399610564</v>
      </c>
      <c r="AS7" s="357">
        <f>Q_Financials!AY12</f>
        <v>-393.82789476467127</v>
      </c>
      <c r="AT7" s="357">
        <f>Q_Financials!AZ12</f>
        <v>-417.9880090094573</v>
      </c>
      <c r="AU7" s="357">
        <f>Q_Financials!BA12</f>
        <v>-422.8442801487156</v>
      </c>
      <c r="AV7" s="357">
        <f>Q_Financials!BB12</f>
        <v>-488.53950993101552</v>
      </c>
      <c r="AW7" s="357">
        <f>Q_Financials!BC12</f>
        <v>-420.13178441049706</v>
      </c>
      <c r="AX7" s="357">
        <f>Q_Financials!BD12</f>
        <v>-445.90556032672242</v>
      </c>
      <c r="AY7" s="357">
        <f>Q_Financials!BE12</f>
        <v>-451.08618335124675</v>
      </c>
      <c r="AZ7" s="357">
        <f>Q_Financials!BF12</f>
        <v>-556.61101534615216</v>
      </c>
      <c r="BA7" s="357">
        <f>Q_Financials!BG12</f>
        <v>-478.67157997710029</v>
      </c>
      <c r="BB7" s="357">
        <f>Q_Financials!BH12</f>
        <v>-508.03658995154461</v>
      </c>
      <c r="BC7" s="357">
        <f>Q_Financials!BI12</f>
        <v>-513.93906412853244</v>
      </c>
      <c r="BD7" s="357">
        <f>Q_Financials!BJ12</f>
        <v>-597.81458601232407</v>
      </c>
      <c r="BE7" s="357">
        <f>Q_Financials!BK12</f>
        <v>-514.10562229336495</v>
      </c>
      <c r="BF7" s="357">
        <f>Q_Financials!BL12</f>
        <v>-545.64440035761686</v>
      </c>
      <c r="BG7" s="357">
        <f>Q_Financials!BM12</f>
        <v>-551.98380985415747</v>
      </c>
      <c r="BH7" s="357">
        <f>Q_Financials!BN12</f>
        <v>-589.37734677594062</v>
      </c>
      <c r="BI7" s="357">
        <f>Q_Financials!BO12</f>
        <v>-506.84980714674447</v>
      </c>
      <c r="BJ7" s="357">
        <f>Q_Financials!BP12</f>
        <v>-537.94346355960556</v>
      </c>
      <c r="BK7" s="357">
        <f>Q_Financials!BQ12</f>
        <v>-544.19340197967631</v>
      </c>
      <c r="BL7" s="357">
        <f>Q_Financials!BR12</f>
        <v>-587.62631896601067</v>
      </c>
      <c r="BM7" s="357">
        <f>Q_Financials!BS12</f>
        <v>-505.34396693651843</v>
      </c>
      <c r="BN7" s="357">
        <f>Q_Financials!BT12</f>
        <v>-536.34524474441753</v>
      </c>
      <c r="BO7" s="357">
        <f>Q_Financials!BU12</f>
        <v>-542.57661472774134</v>
      </c>
      <c r="BP7" s="357">
        <f>Q_Financials!BV12</f>
        <v>-579.63357473491055</v>
      </c>
      <c r="BQ7" s="357">
        <f>Q_Financials!BW12</f>
        <v>-498.47040639967872</v>
      </c>
      <c r="BR7" s="357">
        <f>Q_Financials!BX12</f>
        <v>-529.05001268545846</v>
      </c>
      <c r="BS7" s="357">
        <f>Q_Financials!BY12</f>
        <v>-535.19662515388109</v>
      </c>
    </row>
    <row r="8" spans="1:71">
      <c r="A8" s="385" t="s">
        <v>6</v>
      </c>
      <c r="B8" s="196">
        <v>92</v>
      </c>
      <c r="C8" s="196">
        <f t="shared" ref="C8:AH8" si="0">C5-B5</f>
        <v>91</v>
      </c>
      <c r="D8" s="196">
        <f t="shared" si="0"/>
        <v>91</v>
      </c>
      <c r="E8" s="196">
        <f t="shared" si="0"/>
        <v>92</v>
      </c>
      <c r="F8" s="196">
        <f t="shared" si="0"/>
        <v>92</v>
      </c>
      <c r="G8" s="196">
        <f t="shared" si="0"/>
        <v>90</v>
      </c>
      <c r="H8" s="196">
        <f t="shared" si="0"/>
        <v>91</v>
      </c>
      <c r="I8" s="196">
        <f t="shared" si="0"/>
        <v>92</v>
      </c>
      <c r="J8" s="196">
        <f t="shared" si="0"/>
        <v>92</v>
      </c>
      <c r="K8" s="196">
        <f t="shared" si="0"/>
        <v>90</v>
      </c>
      <c r="L8" s="196">
        <f t="shared" si="0"/>
        <v>91</v>
      </c>
      <c r="M8" s="196">
        <f t="shared" si="0"/>
        <v>92</v>
      </c>
      <c r="N8" s="196">
        <f t="shared" si="0"/>
        <v>92</v>
      </c>
      <c r="O8" s="196">
        <f t="shared" si="0"/>
        <v>90</v>
      </c>
      <c r="P8" s="196">
        <f t="shared" si="0"/>
        <v>91</v>
      </c>
      <c r="Q8" s="196">
        <f t="shared" si="0"/>
        <v>92</v>
      </c>
      <c r="R8" s="196">
        <f t="shared" si="0"/>
        <v>92</v>
      </c>
      <c r="S8" s="196">
        <f t="shared" si="0"/>
        <v>91</v>
      </c>
      <c r="T8" s="196">
        <f t="shared" si="0"/>
        <v>91</v>
      </c>
      <c r="U8" s="196">
        <f t="shared" si="0"/>
        <v>92</v>
      </c>
      <c r="V8" s="196">
        <f t="shared" si="0"/>
        <v>92</v>
      </c>
      <c r="W8" s="196">
        <f t="shared" si="0"/>
        <v>90</v>
      </c>
      <c r="X8" s="196">
        <f t="shared" si="0"/>
        <v>91</v>
      </c>
      <c r="Y8" s="196">
        <f t="shared" si="0"/>
        <v>92</v>
      </c>
      <c r="Z8" s="196">
        <f t="shared" si="0"/>
        <v>92</v>
      </c>
      <c r="AA8" s="196">
        <f t="shared" si="0"/>
        <v>90</v>
      </c>
      <c r="AB8" s="196">
        <f t="shared" si="0"/>
        <v>91</v>
      </c>
      <c r="AC8" s="196">
        <f t="shared" si="0"/>
        <v>92</v>
      </c>
      <c r="AD8" s="196">
        <f t="shared" si="0"/>
        <v>92</v>
      </c>
      <c r="AE8" s="202">
        <f t="shared" si="0"/>
        <v>90</v>
      </c>
      <c r="AF8" s="202">
        <f t="shared" si="0"/>
        <v>91</v>
      </c>
      <c r="AG8" s="202">
        <f t="shared" si="0"/>
        <v>92</v>
      </c>
      <c r="AH8" s="202">
        <f t="shared" si="0"/>
        <v>92</v>
      </c>
      <c r="AI8" s="202">
        <f t="shared" ref="AI8:BC8" si="1">AI5-AH5</f>
        <v>91</v>
      </c>
      <c r="AJ8" s="202">
        <f t="shared" si="1"/>
        <v>91</v>
      </c>
      <c r="AK8" s="202">
        <f t="shared" si="1"/>
        <v>92</v>
      </c>
      <c r="AL8" s="202">
        <f t="shared" si="1"/>
        <v>92</v>
      </c>
      <c r="AM8" s="202">
        <f t="shared" si="1"/>
        <v>90</v>
      </c>
      <c r="AN8" s="355">
        <f t="shared" si="1"/>
        <v>91</v>
      </c>
      <c r="AO8" s="357">
        <f t="shared" si="1"/>
        <v>92</v>
      </c>
      <c r="AP8" s="357">
        <f t="shared" si="1"/>
        <v>92</v>
      </c>
      <c r="AQ8" s="357">
        <f t="shared" si="1"/>
        <v>90</v>
      </c>
      <c r="AR8" s="357">
        <f t="shared" si="1"/>
        <v>91</v>
      </c>
      <c r="AS8" s="357">
        <f t="shared" si="1"/>
        <v>92</v>
      </c>
      <c r="AT8" s="357">
        <f t="shared" si="1"/>
        <v>92</v>
      </c>
      <c r="AU8" s="357">
        <f t="shared" si="1"/>
        <v>90</v>
      </c>
      <c r="AV8" s="357">
        <f t="shared" si="1"/>
        <v>91</v>
      </c>
      <c r="AW8" s="357">
        <f t="shared" si="1"/>
        <v>92</v>
      </c>
      <c r="AX8" s="357">
        <f t="shared" si="1"/>
        <v>92</v>
      </c>
      <c r="AY8" s="357">
        <f t="shared" si="1"/>
        <v>91</v>
      </c>
      <c r="AZ8" s="357">
        <f t="shared" si="1"/>
        <v>91</v>
      </c>
      <c r="BA8" s="357">
        <f t="shared" si="1"/>
        <v>92</v>
      </c>
      <c r="BB8" s="357">
        <f t="shared" si="1"/>
        <v>92</v>
      </c>
      <c r="BC8" s="357">
        <f t="shared" si="1"/>
        <v>90</v>
      </c>
      <c r="BD8" s="357">
        <f t="shared" ref="BD8" si="2">BD5-BC5</f>
        <v>91</v>
      </c>
      <c r="BE8" s="357">
        <f t="shared" ref="BE8" si="3">BE5-BD5</f>
        <v>92</v>
      </c>
      <c r="BF8" s="357">
        <f t="shared" ref="BF8" si="4">BF5-BE5</f>
        <v>92</v>
      </c>
      <c r="BG8" s="357">
        <f t="shared" ref="BG8" si="5">BG5-BF5</f>
        <v>90</v>
      </c>
      <c r="BH8" s="357">
        <f t="shared" ref="BH8" si="6">BH5-BG5</f>
        <v>91</v>
      </c>
      <c r="BI8" s="357">
        <f t="shared" ref="BI8" si="7">BI5-BH5</f>
        <v>92</v>
      </c>
      <c r="BJ8" s="357">
        <f t="shared" ref="BJ8" si="8">BJ5-BI5</f>
        <v>92</v>
      </c>
      <c r="BK8" s="357">
        <f t="shared" ref="BK8" si="9">BK5-BJ5</f>
        <v>90</v>
      </c>
      <c r="BL8" s="357">
        <f t="shared" ref="BL8" si="10">BL5-BK5</f>
        <v>91</v>
      </c>
      <c r="BM8" s="357">
        <f t="shared" ref="BM8" si="11">BM5-BL5</f>
        <v>92</v>
      </c>
      <c r="BN8" s="357">
        <f t="shared" ref="BN8" si="12">BN5-BM5</f>
        <v>92</v>
      </c>
      <c r="BO8" s="357">
        <f t="shared" ref="BO8" si="13">BO5-BN5</f>
        <v>91</v>
      </c>
      <c r="BP8" s="357">
        <f t="shared" ref="BP8" si="14">BP5-BO5</f>
        <v>91</v>
      </c>
      <c r="BQ8" s="357">
        <f t="shared" ref="BQ8" si="15">BQ5-BP5</f>
        <v>92</v>
      </c>
      <c r="BR8" s="357">
        <f t="shared" ref="BR8" si="16">BR5-BQ5</f>
        <v>92</v>
      </c>
      <c r="BS8" s="357">
        <f t="shared" ref="BS8" si="17">BS5-BR5</f>
        <v>90</v>
      </c>
    </row>
    <row r="9" spans="1:71" s="1401" customFormat="1">
      <c r="A9" s="385"/>
      <c r="B9" s="196"/>
      <c r="C9" s="196"/>
      <c r="D9" s="196"/>
      <c r="E9" s="196"/>
      <c r="F9" s="196"/>
      <c r="G9" s="196"/>
      <c r="H9" s="196"/>
      <c r="I9" s="196"/>
      <c r="J9" s="196"/>
      <c r="K9" s="196"/>
      <c r="L9" s="196"/>
      <c r="M9" s="196"/>
      <c r="N9" s="196"/>
      <c r="O9" s="196"/>
      <c r="P9" s="196"/>
      <c r="Q9" s="196"/>
      <c r="R9" s="196"/>
      <c r="S9" s="196"/>
      <c r="T9" s="196"/>
      <c r="U9" s="196"/>
      <c r="V9" s="196"/>
      <c r="W9" s="196"/>
      <c r="X9" s="196"/>
      <c r="Y9" s="196"/>
      <c r="Z9" s="196"/>
      <c r="AA9" s="196"/>
      <c r="AB9" s="196"/>
      <c r="AC9" s="196"/>
      <c r="AD9" s="196"/>
      <c r="AE9" s="202"/>
      <c r="AF9" s="202"/>
      <c r="AG9" s="202"/>
      <c r="AH9" s="202"/>
      <c r="AI9" s="202"/>
      <c r="AJ9" s="202"/>
      <c r="AK9" s="202"/>
      <c r="AL9" s="202"/>
      <c r="AM9" s="202"/>
      <c r="AN9" s="355"/>
      <c r="AO9" s="357"/>
      <c r="AP9" s="357"/>
      <c r="AQ9" s="357"/>
      <c r="AR9" s="357"/>
      <c r="AS9" s="357"/>
      <c r="AT9" s="357"/>
      <c r="AU9" s="357"/>
      <c r="AV9" s="357"/>
      <c r="AW9" s="357"/>
      <c r="AX9" s="357"/>
      <c r="AY9" s="357"/>
      <c r="AZ9" s="357"/>
      <c r="BA9" s="357"/>
      <c r="BB9" s="357"/>
      <c r="BC9" s="357"/>
      <c r="BD9" s="357"/>
      <c r="BE9" s="357"/>
      <c r="BF9" s="357"/>
      <c r="BG9" s="357"/>
      <c r="BH9" s="357"/>
      <c r="BI9" s="357"/>
      <c r="BJ9" s="357"/>
      <c r="BK9" s="357"/>
      <c r="BL9" s="357"/>
      <c r="BM9" s="357"/>
      <c r="BN9" s="357"/>
      <c r="BO9" s="357"/>
      <c r="BP9" s="357"/>
      <c r="BQ9" s="357"/>
      <c r="BR9" s="357"/>
      <c r="BS9" s="357"/>
    </row>
    <row r="10" spans="1:71">
      <c r="A10" s="410" t="s">
        <v>7</v>
      </c>
      <c r="B10" s="362">
        <f>B14+B17+B20+B23-B26-B29-B32</f>
        <v>231.94629999999998</v>
      </c>
      <c r="C10" s="362">
        <f t="shared" ref="C10:BC10" si="18">C14+C17+C20+C23-C26-C29-C32</f>
        <v>168.72899999999998</v>
      </c>
      <c r="D10" s="362">
        <f t="shared" si="18"/>
        <v>229.09979999999996</v>
      </c>
      <c r="E10" s="362">
        <f t="shared" si="18"/>
        <v>379.22765000000004</v>
      </c>
      <c r="F10" s="362">
        <f t="shared" si="18"/>
        <v>437.89980000000003</v>
      </c>
      <c r="G10" s="362">
        <f t="shared" si="18"/>
        <v>270.33589999999998</v>
      </c>
      <c r="H10" s="362">
        <f t="shared" si="18"/>
        <v>292.47874999999999</v>
      </c>
      <c r="I10" s="362">
        <f t="shared" si="18"/>
        <v>345.92385000000007</v>
      </c>
      <c r="J10" s="362">
        <f t="shared" si="18"/>
        <v>359.68585000000007</v>
      </c>
      <c r="K10" s="362">
        <f t="shared" si="18"/>
        <v>16.206849999999996</v>
      </c>
      <c r="L10" s="362">
        <f t="shared" si="18"/>
        <v>237.54954999999998</v>
      </c>
      <c r="M10" s="362">
        <f t="shared" si="18"/>
        <v>358.65960000000001</v>
      </c>
      <c r="N10" s="362">
        <f t="shared" si="18"/>
        <v>341.10425000000004</v>
      </c>
      <c r="O10" s="362">
        <f t="shared" si="18"/>
        <v>95.288999999999959</v>
      </c>
      <c r="P10" s="362">
        <f t="shared" si="18"/>
        <v>139.15440000000001</v>
      </c>
      <c r="Q10" s="362">
        <f t="shared" si="18"/>
        <v>284.1921000000001</v>
      </c>
      <c r="R10" s="362">
        <f t="shared" si="18"/>
        <v>312.57040000000001</v>
      </c>
      <c r="S10" s="362">
        <f t="shared" si="18"/>
        <v>44.109499999999997</v>
      </c>
      <c r="T10" s="362">
        <f t="shared" si="18"/>
        <v>132.32074999999998</v>
      </c>
      <c r="U10" s="362">
        <f t="shared" si="18"/>
        <v>272.14429999999999</v>
      </c>
      <c r="V10" s="362">
        <f t="shared" si="18"/>
        <v>441.14970000000005</v>
      </c>
      <c r="W10" s="362">
        <f t="shared" si="18"/>
        <v>98.373750000000001</v>
      </c>
      <c r="X10" s="362">
        <f t="shared" si="18"/>
        <v>81.263149999999939</v>
      </c>
      <c r="Y10" s="362">
        <f t="shared" si="18"/>
        <v>187.23020000000002</v>
      </c>
      <c r="Z10" s="362">
        <f t="shared" si="18"/>
        <v>327.64399999999995</v>
      </c>
      <c r="AA10" s="362">
        <f t="shared" si="18"/>
        <v>102.71949999999998</v>
      </c>
      <c r="AB10" s="362">
        <f t="shared" si="18"/>
        <v>241.04814999999999</v>
      </c>
      <c r="AC10" s="362">
        <f t="shared" si="18"/>
        <v>560.1618000000002</v>
      </c>
      <c r="AD10" s="362">
        <f t="shared" ref="AD10:AE10" si="19">AD14+AD17+AD20+AD23-AD26-AD29-AD32</f>
        <v>675.04855000000009</v>
      </c>
      <c r="AE10" s="390">
        <f t="shared" si="19"/>
        <v>50.075100000000077</v>
      </c>
      <c r="AF10" s="390">
        <f t="shared" ref="AF10:AG10" si="20">AF14+AF17+AF20+AF23-AF26-AF29-AF32</f>
        <v>410.99740000000008</v>
      </c>
      <c r="AG10" s="390">
        <f t="shared" si="20"/>
        <v>566.00085000000001</v>
      </c>
      <c r="AH10" s="390">
        <f t="shared" ref="AH10" si="21">AH14+AH17+AH20+AH23-AH26-AH29-AH32</f>
        <v>672.25535000000025</v>
      </c>
      <c r="AI10" s="390">
        <f t="shared" ref="AI10:AJ10" si="22">AI14+AI17+AI20+AI23-AI26-AI29-AI32</f>
        <v>104.51290000000006</v>
      </c>
      <c r="AJ10" s="390">
        <f t="shared" si="22"/>
        <v>321.25179999999978</v>
      </c>
      <c r="AK10" s="390">
        <f t="shared" ref="AK10:AL10" si="23">AK14+AK17+AK20+AK23-AK26-AK29-AK32</f>
        <v>649.09734999999978</v>
      </c>
      <c r="AL10" s="390">
        <f t="shared" si="23"/>
        <v>638.20749999999964</v>
      </c>
      <c r="AM10" s="390">
        <f t="shared" ref="AM10" si="24">AM14+AM17+AM20+AM23-AM26-AM29-AM32</f>
        <v>175.51204999999993</v>
      </c>
      <c r="AN10" s="391">
        <f t="shared" si="18"/>
        <v>537.0005000000001</v>
      </c>
      <c r="AO10" s="364">
        <f t="shared" si="18"/>
        <v>902.07900217866973</v>
      </c>
      <c r="AP10" s="364">
        <f t="shared" si="18"/>
        <v>790.74963124407668</v>
      </c>
      <c r="AQ10" s="364">
        <f t="shared" si="18"/>
        <v>225.10748691859089</v>
      </c>
      <c r="AR10" s="364">
        <f t="shared" si="18"/>
        <v>790.88819749071922</v>
      </c>
      <c r="AS10" s="364">
        <f t="shared" si="18"/>
        <v>1036.8050904296499</v>
      </c>
      <c r="AT10" s="364">
        <f t="shared" si="18"/>
        <v>910.99141669393055</v>
      </c>
      <c r="AU10" s="364">
        <f t="shared" si="18"/>
        <v>293.04684425910023</v>
      </c>
      <c r="AV10" s="364">
        <f t="shared" si="18"/>
        <v>896.01547628291553</v>
      </c>
      <c r="AW10" s="364">
        <f t="shared" si="18"/>
        <v>1144.3184953399411</v>
      </c>
      <c r="AX10" s="364">
        <f t="shared" si="18"/>
        <v>1015.3245740707199</v>
      </c>
      <c r="AY10" s="364">
        <f t="shared" si="18"/>
        <v>368.92843378789894</v>
      </c>
      <c r="AZ10" s="364">
        <f t="shared" si="18"/>
        <v>1102.0029573836282</v>
      </c>
      <c r="BA10" s="364">
        <f t="shared" si="18"/>
        <v>1370.931888156221</v>
      </c>
      <c r="BB10" s="364">
        <f t="shared" si="18"/>
        <v>1227.7352893351542</v>
      </c>
      <c r="BC10" s="364">
        <f t="shared" si="18"/>
        <v>489.62416096609593</v>
      </c>
      <c r="BD10" s="364">
        <f t="shared" ref="BD10:BS10" si="25">BD14+BD17+BD20+BD23-BD26-BD29-BD32</f>
        <v>1285.5908828827835</v>
      </c>
      <c r="BE10" s="364">
        <f t="shared" si="25"/>
        <v>1553.048496547704</v>
      </c>
      <c r="BF10" s="364">
        <f t="shared" si="25"/>
        <v>1395.1884353527112</v>
      </c>
      <c r="BG10" s="364">
        <f t="shared" si="25"/>
        <v>593.67640730986193</v>
      </c>
      <c r="BH10" s="364">
        <f t="shared" si="25"/>
        <v>1356.0237902481308</v>
      </c>
      <c r="BI10" s="364">
        <f t="shared" si="25"/>
        <v>1607.921188844547</v>
      </c>
      <c r="BJ10" s="364">
        <f t="shared" si="25"/>
        <v>1442.2218544216339</v>
      </c>
      <c r="BK10" s="364">
        <f t="shared" si="25"/>
        <v>644.36240579541288</v>
      </c>
      <c r="BL10" s="364">
        <f t="shared" si="25"/>
        <v>1420.8824945689985</v>
      </c>
      <c r="BM10" s="364">
        <f t="shared" si="25"/>
        <v>1668.6712548405221</v>
      </c>
      <c r="BN10" s="364">
        <f t="shared" si="25"/>
        <v>1502.5882658117621</v>
      </c>
      <c r="BO10" s="364">
        <f t="shared" si="25"/>
        <v>699.78636150236025</v>
      </c>
      <c r="BP10" s="364">
        <f t="shared" si="25"/>
        <v>1527.8795283487711</v>
      </c>
      <c r="BQ10" s="364">
        <f t="shared" si="25"/>
        <v>1731.1733427712852</v>
      </c>
      <c r="BR10" s="364">
        <f t="shared" si="25"/>
        <v>1597.5915107684004</v>
      </c>
      <c r="BS10" s="364">
        <f t="shared" si="25"/>
        <v>807.03020747956475</v>
      </c>
    </row>
    <row r="11" spans="1:71">
      <c r="A11" s="396" t="s">
        <v>8</v>
      </c>
      <c r="B11" s="107">
        <f t="shared" ref="B11:AG11" si="26">IF(ISNUMBER(B10/B6),B10/B6,"")</f>
        <v>1.8222451801454991</v>
      </c>
      <c r="C11" s="107">
        <f t="shared" si="26"/>
        <v>0.72885097192224613</v>
      </c>
      <c r="D11" s="107">
        <f t="shared" si="26"/>
        <v>2.4887003563048578</v>
      </c>
      <c r="E11" s="107">
        <f t="shared" si="26"/>
        <v>1.951632932433754</v>
      </c>
      <c r="F11" s="107">
        <f t="shared" si="26"/>
        <v>1.983098145061952</v>
      </c>
      <c r="G11" s="107">
        <f t="shared" si="26"/>
        <v>1.0115165869683975</v>
      </c>
      <c r="H11" s="107">
        <f t="shared" si="26"/>
        <v>1.3450081626083559</v>
      </c>
      <c r="I11" s="107">
        <f t="shared" si="26"/>
        <v>1.2082692099463148</v>
      </c>
      <c r="J11" s="107">
        <f t="shared" si="26"/>
        <v>1.109603833944663</v>
      </c>
      <c r="K11" s="107">
        <f t="shared" si="26"/>
        <v>4.5604667719070159E-2</v>
      </c>
      <c r="L11" s="107">
        <f t="shared" si="26"/>
        <v>0.83219028835071518</v>
      </c>
      <c r="M11" s="107">
        <f t="shared" si="26"/>
        <v>1.0587674759115813</v>
      </c>
      <c r="N11" s="107">
        <f t="shared" si="26"/>
        <v>0.87398759880600085</v>
      </c>
      <c r="O11" s="107">
        <f t="shared" si="26"/>
        <v>0.33966279318457249</v>
      </c>
      <c r="P11" s="107">
        <f t="shared" si="26"/>
        <v>0.42302856378515752</v>
      </c>
      <c r="Q11" s="107">
        <f t="shared" si="26"/>
        <v>0.71383168978353406</v>
      </c>
      <c r="R11" s="107">
        <f t="shared" si="26"/>
        <v>0.82158507864412489</v>
      </c>
      <c r="S11" s="107">
        <f t="shared" si="26"/>
        <v>0.16999714805451066</v>
      </c>
      <c r="T11" s="107">
        <f t="shared" si="26"/>
        <v>0.45578651317715702</v>
      </c>
      <c r="U11" s="107">
        <f t="shared" si="26"/>
        <v>0.49760071528744054</v>
      </c>
      <c r="V11" s="107">
        <f t="shared" si="26"/>
        <v>1.1170722381468465</v>
      </c>
      <c r="W11" s="107">
        <f t="shared" si="26"/>
        <v>0.2436121422539641</v>
      </c>
      <c r="X11" s="107">
        <f t="shared" si="26"/>
        <v>0.16441343743487738</v>
      </c>
      <c r="Y11" s="107">
        <f t="shared" si="26"/>
        <v>0.30469003765699909</v>
      </c>
      <c r="Z11" s="107">
        <f t="shared" si="26"/>
        <v>0.77126823159421098</v>
      </c>
      <c r="AA11" s="107">
        <f t="shared" si="26"/>
        <v>0.23445356669245848</v>
      </c>
      <c r="AB11" s="107">
        <f t="shared" si="26"/>
        <v>0.47766926128639758</v>
      </c>
      <c r="AC11" s="107">
        <f t="shared" si="26"/>
        <v>1.1037518694323432</v>
      </c>
      <c r="AD11" s="107">
        <f t="shared" si="26"/>
        <v>1.1539547887388952</v>
      </c>
      <c r="AE11" s="372">
        <f t="shared" si="26"/>
        <v>7.1858811171350206E-2</v>
      </c>
      <c r="AF11" s="372">
        <f t="shared" si="26"/>
        <v>0.91106002837382527</v>
      </c>
      <c r="AG11" s="372">
        <f t="shared" si="26"/>
        <v>0.8565958538401468</v>
      </c>
      <c r="AH11" s="372">
        <f t="shared" ref="AH11:BC11" si="27">IF(ISNUMBER(AH10/AH6),AH10/AH6,"")</f>
        <v>0.83816405816544237</v>
      </c>
      <c r="AI11" s="372">
        <f t="shared" si="27"/>
        <v>0.12847550968979152</v>
      </c>
      <c r="AJ11" s="372">
        <f t="shared" ref="AJ11:AK11" si="28">IF(ISNUMBER(AJ10/AJ6),AJ10/AJ6,"")</f>
        <v>0.50083063366997249</v>
      </c>
      <c r="AK11" s="372">
        <f t="shared" si="28"/>
        <v>0.8959901138385552</v>
      </c>
      <c r="AL11" s="372">
        <f t="shared" ref="AL11:AM11" si="29">IF(ISNUMBER(AL10/AL6),AL10/AL6,"")</f>
        <v>0.86604249556263557</v>
      </c>
      <c r="AM11" s="372">
        <f t="shared" si="29"/>
        <v>0.19499778906576354</v>
      </c>
      <c r="AN11" s="406">
        <f t="shared" si="27"/>
        <v>0.66104817276360983</v>
      </c>
      <c r="AO11" s="407">
        <f t="shared" si="27"/>
        <v>0.9840556473484221</v>
      </c>
      <c r="AP11" s="407">
        <f t="shared" si="27"/>
        <v>0.89087443110070008</v>
      </c>
      <c r="AQ11" s="407">
        <f t="shared" si="27"/>
        <v>0.2164269538436521</v>
      </c>
      <c r="AR11" s="407">
        <f t="shared" si="27"/>
        <v>0.66758564806558529</v>
      </c>
      <c r="AS11" s="407">
        <f t="shared" si="27"/>
        <v>1.094888271888353</v>
      </c>
      <c r="AT11" s="407">
        <f t="shared" si="27"/>
        <v>0.99749282524072092</v>
      </c>
      <c r="AU11" s="407">
        <f t="shared" si="27"/>
        <v>0.39753230538359718</v>
      </c>
      <c r="AV11" s="407">
        <f t="shared" si="27"/>
        <v>0.70518479543605295</v>
      </c>
      <c r="AW11" s="407">
        <f t="shared" si="27"/>
        <v>1.1158423074430743</v>
      </c>
      <c r="AX11" s="407">
        <f t="shared" si="27"/>
        <v>1.0279609052990026</v>
      </c>
      <c r="AY11" s="407">
        <f t="shared" si="27"/>
        <v>0.4606154154961174</v>
      </c>
      <c r="AZ11" s="407">
        <f t="shared" si="27"/>
        <v>0.73396917371686177</v>
      </c>
      <c r="BA11" s="407">
        <f t="shared" si="27"/>
        <v>1.1709401334394256</v>
      </c>
      <c r="BB11" s="407">
        <f t="shared" si="27"/>
        <v>1.0855346396077366</v>
      </c>
      <c r="BC11" s="407">
        <f t="shared" si="27"/>
        <v>0.54532149412810482</v>
      </c>
      <c r="BD11" s="407">
        <f t="shared" ref="BD11:BS11" si="30">IF(ISNUMBER(BD10/BD6),BD10/BD6,"")</f>
        <v>0.79457609301546828</v>
      </c>
      <c r="BE11" s="407">
        <f t="shared" si="30"/>
        <v>1.2410338526636511</v>
      </c>
      <c r="BF11" s="407">
        <f t="shared" si="30"/>
        <v>1.1544639502469749</v>
      </c>
      <c r="BG11" s="407">
        <f t="shared" si="30"/>
        <v>0.62275305898672029</v>
      </c>
      <c r="BH11" s="407">
        <f t="shared" si="30"/>
        <v>0.91496351858184177</v>
      </c>
      <c r="BI11" s="407">
        <f t="shared" si="30"/>
        <v>1.3322794553747765</v>
      </c>
      <c r="BJ11" s="407">
        <f t="shared" si="30"/>
        <v>1.2451238840132079</v>
      </c>
      <c r="BK11" s="407">
        <f t="shared" si="30"/>
        <v>0.68482612228961048</v>
      </c>
      <c r="BL11" s="407">
        <f t="shared" si="30"/>
        <v>1.0162031072251798</v>
      </c>
      <c r="BM11" s="407">
        <f t="shared" si="30"/>
        <v>1.4041048641918301</v>
      </c>
      <c r="BN11" s="407">
        <f t="shared" si="30"/>
        <v>1.3236830940464961</v>
      </c>
      <c r="BO11" s="407">
        <f t="shared" si="30"/>
        <v>0.74149968118088483</v>
      </c>
      <c r="BP11" s="407">
        <f t="shared" si="30"/>
        <v>0.96398877306700914</v>
      </c>
      <c r="BQ11" s="407">
        <f t="shared" si="30"/>
        <v>1.3090279479464499</v>
      </c>
      <c r="BR11" s="407">
        <f t="shared" si="30"/>
        <v>1.2600022302530596</v>
      </c>
      <c r="BS11" s="407">
        <f t="shared" si="30"/>
        <v>0.77177747237324701</v>
      </c>
    </row>
    <row r="12" spans="1:71">
      <c r="A12" s="1803" t="s">
        <v>9</v>
      </c>
      <c r="B12" s="196">
        <f t="shared" ref="B12:AG12" si="31">IF(ISNUMBER(B8/(B6/B10)),B8/(B6/B10),"")</f>
        <v>167.64655657338594</v>
      </c>
      <c r="C12" s="196">
        <f t="shared" si="31"/>
        <v>66.325438444924401</v>
      </c>
      <c r="D12" s="196">
        <f t="shared" si="31"/>
        <v>226.47173242374205</v>
      </c>
      <c r="E12" s="196">
        <f t="shared" si="31"/>
        <v>179.55022978390537</v>
      </c>
      <c r="F12" s="196">
        <f t="shared" si="31"/>
        <v>182.44502934569962</v>
      </c>
      <c r="G12" s="196">
        <f t="shared" si="31"/>
        <v>91.036492827155783</v>
      </c>
      <c r="H12" s="196">
        <f t="shared" si="31"/>
        <v>122.39574279736037</v>
      </c>
      <c r="I12" s="196">
        <f t="shared" si="31"/>
        <v>111.16076731506097</v>
      </c>
      <c r="J12" s="196">
        <f t="shared" si="31"/>
        <v>102.08355272290899</v>
      </c>
      <c r="K12" s="196">
        <f t="shared" si="31"/>
        <v>4.1044200947163141</v>
      </c>
      <c r="L12" s="196">
        <f t="shared" si="31"/>
        <v>75.729316239915093</v>
      </c>
      <c r="M12" s="196">
        <f t="shared" si="31"/>
        <v>97.406607783865482</v>
      </c>
      <c r="N12" s="196">
        <f t="shared" si="31"/>
        <v>80.406859090152082</v>
      </c>
      <c r="O12" s="196">
        <f t="shared" si="31"/>
        <v>30.569651386611525</v>
      </c>
      <c r="P12" s="196">
        <f t="shared" si="31"/>
        <v>38.495599304449335</v>
      </c>
      <c r="Q12" s="196">
        <f t="shared" si="31"/>
        <v>65.672515460085123</v>
      </c>
      <c r="R12" s="196">
        <f t="shared" si="31"/>
        <v>75.585827235259487</v>
      </c>
      <c r="S12" s="196">
        <f t="shared" si="31"/>
        <v>15.469740472960471</v>
      </c>
      <c r="T12" s="196">
        <f t="shared" si="31"/>
        <v>41.476572699121292</v>
      </c>
      <c r="U12" s="196">
        <f t="shared" si="31"/>
        <v>45.779265806444535</v>
      </c>
      <c r="V12" s="196">
        <f t="shared" si="31"/>
        <v>102.77064590950989</v>
      </c>
      <c r="W12" s="196">
        <f t="shared" si="31"/>
        <v>21.925092802856767</v>
      </c>
      <c r="X12" s="196">
        <f t="shared" si="31"/>
        <v>14.961622806573843</v>
      </c>
      <c r="Y12" s="196">
        <f t="shared" si="31"/>
        <v>28.031483464443919</v>
      </c>
      <c r="Z12" s="196">
        <f t="shared" si="31"/>
        <v>70.956677306667402</v>
      </c>
      <c r="AA12" s="196">
        <f t="shared" si="31"/>
        <v>21.100821002321261</v>
      </c>
      <c r="AB12" s="196">
        <f t="shared" si="31"/>
        <v>43.467902777062179</v>
      </c>
      <c r="AC12" s="196">
        <f t="shared" si="31"/>
        <v>101.54517198777557</v>
      </c>
      <c r="AD12" s="196">
        <f t="shared" si="31"/>
        <v>106.16384056397837</v>
      </c>
      <c r="AE12" s="202">
        <f t="shared" si="31"/>
        <v>6.4672930054215181</v>
      </c>
      <c r="AF12" s="202">
        <f t="shared" si="31"/>
        <v>82.906462582018108</v>
      </c>
      <c r="AG12" s="202">
        <f t="shared" si="31"/>
        <v>78.806818553293496</v>
      </c>
      <c r="AH12" s="202">
        <f t="shared" ref="AH12:BC12" si="32">IF(ISNUMBER(AH8/(AH6/AH10)),AH8/(AH6/AH10),"")</f>
        <v>77.111093351220688</v>
      </c>
      <c r="AI12" s="202">
        <f t="shared" si="32"/>
        <v>11.691271381771029</v>
      </c>
      <c r="AJ12" s="202">
        <f t="shared" ref="AJ12:AK12" si="33">IF(ISNUMBER(AJ8/(AJ6/AJ10)),AJ8/(AJ6/AJ10),"")</f>
        <v>45.575587663967497</v>
      </c>
      <c r="AK12" s="202">
        <f t="shared" si="33"/>
        <v>82.431090473147066</v>
      </c>
      <c r="AL12" s="202">
        <f t="shared" ref="AL12:AM12" si="34">IF(ISNUMBER(AL8/(AL6/AL10)),AL8/(AL6/AL10),"")</f>
        <v>79.675909591762462</v>
      </c>
      <c r="AM12" s="202">
        <f t="shared" si="34"/>
        <v>17.549801015918717</v>
      </c>
      <c r="AN12" s="355">
        <f t="shared" si="32"/>
        <v>60.155383721488491</v>
      </c>
      <c r="AO12" s="357">
        <f t="shared" si="32"/>
        <v>90.533119556054828</v>
      </c>
      <c r="AP12" s="357">
        <f t="shared" si="32"/>
        <v>81.960447661264396</v>
      </c>
      <c r="AQ12" s="357">
        <f t="shared" si="32"/>
        <v>19.478425845928687</v>
      </c>
      <c r="AR12" s="357">
        <f t="shared" si="32"/>
        <v>60.750293973968262</v>
      </c>
      <c r="AS12" s="357">
        <f t="shared" si="32"/>
        <v>100.72972101372849</v>
      </c>
      <c r="AT12" s="357">
        <f t="shared" si="32"/>
        <v>91.76933992214633</v>
      </c>
      <c r="AU12" s="357">
        <f t="shared" si="32"/>
        <v>35.777907484523745</v>
      </c>
      <c r="AV12" s="357">
        <f t="shared" si="32"/>
        <v>64.171816384680824</v>
      </c>
      <c r="AW12" s="357">
        <f t="shared" si="32"/>
        <v>102.65749228476282</v>
      </c>
      <c r="AX12" s="357">
        <f t="shared" si="32"/>
        <v>94.572403287508237</v>
      </c>
      <c r="AY12" s="357">
        <f t="shared" si="32"/>
        <v>41.916002810146679</v>
      </c>
      <c r="AZ12" s="357">
        <f t="shared" si="32"/>
        <v>66.791194808234408</v>
      </c>
      <c r="BA12" s="357">
        <f t="shared" si="32"/>
        <v>107.72649227642717</v>
      </c>
      <c r="BB12" s="357">
        <f t="shared" si="32"/>
        <v>99.869186843911748</v>
      </c>
      <c r="BC12" s="357">
        <f t="shared" si="32"/>
        <v>49.078934471529429</v>
      </c>
      <c r="BD12" s="357">
        <f t="shared" ref="BD12:BS12" si="35">IF(ISNUMBER(BD8/(BD6/BD10)),BD8/(BD6/BD10),"")</f>
        <v>72.306424464407613</v>
      </c>
      <c r="BE12" s="357">
        <f t="shared" si="35"/>
        <v>114.1751144450559</v>
      </c>
      <c r="BF12" s="357">
        <f t="shared" si="35"/>
        <v>106.2106834227217</v>
      </c>
      <c r="BG12" s="357">
        <f t="shared" si="35"/>
        <v>56.047775308804823</v>
      </c>
      <c r="BH12" s="357">
        <f t="shared" si="35"/>
        <v>83.261680190947601</v>
      </c>
      <c r="BI12" s="357">
        <f t="shared" si="35"/>
        <v>122.56970989447944</v>
      </c>
      <c r="BJ12" s="357">
        <f t="shared" si="35"/>
        <v>114.55139732921512</v>
      </c>
      <c r="BK12" s="357">
        <f t="shared" si="35"/>
        <v>61.634351006064939</v>
      </c>
      <c r="BL12" s="357">
        <f t="shared" si="35"/>
        <v>92.474482757491359</v>
      </c>
      <c r="BM12" s="357">
        <f t="shared" si="35"/>
        <v>129.17764750564837</v>
      </c>
      <c r="BN12" s="357">
        <f t="shared" si="35"/>
        <v>121.77884465227763</v>
      </c>
      <c r="BO12" s="357">
        <f t="shared" si="35"/>
        <v>67.476470987460516</v>
      </c>
      <c r="BP12" s="357">
        <f t="shared" si="35"/>
        <v>87.722978349097843</v>
      </c>
      <c r="BQ12" s="357">
        <f t="shared" si="35"/>
        <v>120.4305712110734</v>
      </c>
      <c r="BR12" s="357">
        <f t="shared" si="35"/>
        <v>115.92020518328148</v>
      </c>
      <c r="BS12" s="357">
        <f t="shared" si="35"/>
        <v>69.459972513592234</v>
      </c>
    </row>
    <row r="13" spans="1:71" ht="5.25" customHeight="1">
      <c r="A13" s="385"/>
      <c r="B13" s="348"/>
      <c r="C13" s="348"/>
      <c r="D13" s="348"/>
      <c r="E13" s="348"/>
      <c r="F13" s="348"/>
      <c r="G13" s="348"/>
      <c r="H13" s="348"/>
      <c r="I13" s="348"/>
      <c r="J13" s="348"/>
      <c r="K13" s="348"/>
      <c r="L13" s="348"/>
      <c r="M13" s="348"/>
      <c r="N13" s="348"/>
      <c r="O13" s="348"/>
      <c r="P13" s="348"/>
      <c r="Q13" s="348"/>
      <c r="R13" s="348"/>
      <c r="S13" s="348"/>
      <c r="T13" s="348"/>
      <c r="U13" s="348"/>
      <c r="V13" s="348"/>
      <c r="W13" s="348"/>
      <c r="X13" s="386"/>
      <c r="Y13" s="386"/>
      <c r="Z13" s="386"/>
      <c r="AA13" s="386"/>
      <c r="AB13" s="386"/>
      <c r="AC13" s="386"/>
      <c r="AD13" s="386"/>
      <c r="AE13" s="386"/>
      <c r="AF13" s="386"/>
      <c r="AG13" s="386"/>
      <c r="AH13" s="386"/>
      <c r="AI13" s="386"/>
      <c r="AJ13" s="386"/>
      <c r="AK13" s="386"/>
      <c r="AL13" s="386"/>
      <c r="AM13" s="386"/>
      <c r="AN13" s="403"/>
      <c r="AO13" s="413"/>
      <c r="AP13" s="413"/>
      <c r="AQ13" s="413"/>
      <c r="AR13" s="413"/>
      <c r="AS13" s="413"/>
      <c r="AT13" s="413"/>
      <c r="AU13" s="413"/>
      <c r="AV13" s="413"/>
      <c r="AW13" s="413"/>
      <c r="AX13" s="413"/>
      <c r="AY13" s="413"/>
      <c r="AZ13" s="413"/>
      <c r="BA13" s="413"/>
      <c r="BB13" s="413"/>
      <c r="BC13" s="413"/>
      <c r="BD13" s="413"/>
      <c r="BE13" s="413"/>
      <c r="BF13" s="413"/>
      <c r="BG13" s="413"/>
      <c r="BH13" s="413"/>
      <c r="BI13" s="413"/>
      <c r="BJ13" s="413"/>
      <c r="BK13" s="413"/>
      <c r="BL13" s="413"/>
      <c r="BM13" s="413"/>
      <c r="BN13" s="413"/>
      <c r="BO13" s="413"/>
      <c r="BP13" s="413"/>
      <c r="BQ13" s="413"/>
      <c r="BR13" s="413"/>
      <c r="BS13" s="413"/>
    </row>
    <row r="14" spans="1:71">
      <c r="A14" s="385" t="s">
        <v>10</v>
      </c>
      <c r="B14" s="196">
        <f t="shared" ref="B14:R14" si="36">SUM(B6:B6)*B15</f>
        <v>6.3643000000000001</v>
      </c>
      <c r="C14" s="196">
        <f t="shared" si="36"/>
        <v>11.575000000000001</v>
      </c>
      <c r="D14" s="196">
        <f t="shared" si="36"/>
        <v>4.6028000000000002</v>
      </c>
      <c r="E14" s="196">
        <f t="shared" si="36"/>
        <v>9.7156500000000001</v>
      </c>
      <c r="F14" s="196">
        <f t="shared" si="36"/>
        <v>11.040800000000001</v>
      </c>
      <c r="G14" s="196">
        <f t="shared" si="36"/>
        <v>13.3629</v>
      </c>
      <c r="H14" s="196">
        <f t="shared" si="36"/>
        <v>10.87275</v>
      </c>
      <c r="I14" s="196">
        <f t="shared" si="36"/>
        <v>14.31485</v>
      </c>
      <c r="J14" s="196">
        <f t="shared" si="36"/>
        <v>16.207850000000001</v>
      </c>
      <c r="K14" s="196">
        <f t="shared" si="36"/>
        <v>17.76885</v>
      </c>
      <c r="L14" s="196">
        <f t="shared" si="36"/>
        <v>14.272549999999999</v>
      </c>
      <c r="M14" s="196">
        <f t="shared" si="36"/>
        <v>16.9376</v>
      </c>
      <c r="N14" s="196">
        <f t="shared" si="36"/>
        <v>19.514250000000001</v>
      </c>
      <c r="O14" s="196">
        <f t="shared" si="36"/>
        <v>14.026999999999999</v>
      </c>
      <c r="P14" s="196">
        <f t="shared" si="36"/>
        <v>16.447400000000002</v>
      </c>
      <c r="Q14" s="196">
        <f t="shared" si="36"/>
        <v>19.906099999999999</v>
      </c>
      <c r="R14" s="196">
        <f t="shared" si="36"/>
        <v>19.022400000000001</v>
      </c>
      <c r="S14" s="196">
        <f t="shared" ref="S14:BC14" si="37">SUM(P6:S6)*S15</f>
        <v>68.349500000000006</v>
      </c>
      <c r="T14" s="196">
        <f t="shared" si="37"/>
        <v>66.417749999999998</v>
      </c>
      <c r="U14" s="196">
        <f t="shared" si="37"/>
        <v>73.857300000000009</v>
      </c>
      <c r="V14" s="196">
        <f t="shared" si="37"/>
        <v>74.580700000000007</v>
      </c>
      <c r="W14" s="196">
        <f t="shared" si="37"/>
        <v>81.797750000000008</v>
      </c>
      <c r="X14" s="196">
        <f t="shared" si="37"/>
        <v>91.995149999999995</v>
      </c>
      <c r="Y14" s="196">
        <f t="shared" si="37"/>
        <v>95.374200000000002</v>
      </c>
      <c r="Z14" s="196">
        <f t="shared" si="37"/>
        <v>96.869000000000014</v>
      </c>
      <c r="AA14" s="196">
        <f t="shared" si="37"/>
        <v>98.584500000000006</v>
      </c>
      <c r="AB14" s="196">
        <f t="shared" si="37"/>
        <v>99.103150000000014</v>
      </c>
      <c r="AC14" s="196">
        <f t="shared" si="37"/>
        <v>93.753800000000012</v>
      </c>
      <c r="AD14" s="196">
        <f t="shared" si="37"/>
        <v>101.76255000000002</v>
      </c>
      <c r="AE14" s="202">
        <f t="shared" si="37"/>
        <v>114.6991</v>
      </c>
      <c r="AF14" s="202">
        <f t="shared" si="37"/>
        <v>112.0234</v>
      </c>
      <c r="AG14" s="202">
        <f t="shared" si="37"/>
        <v>119.68584999999999</v>
      </c>
      <c r="AH14" s="202">
        <f t="shared" si="37"/>
        <v>130.53935000000001</v>
      </c>
      <c r="AI14" s="202">
        <f t="shared" si="37"/>
        <v>136.37090000000001</v>
      </c>
      <c r="AJ14" s="202">
        <f t="shared" si="37"/>
        <v>145.88680000000002</v>
      </c>
      <c r="AK14" s="202">
        <f t="shared" si="37"/>
        <v>149.07135000000002</v>
      </c>
      <c r="AL14" s="202">
        <f t="shared" si="37"/>
        <v>145.81469999999999</v>
      </c>
      <c r="AM14" s="202">
        <f t="shared" si="37"/>
        <v>150.14405000000002</v>
      </c>
      <c r="AN14" s="355">
        <f t="shared" si="37"/>
        <v>158.68950000000001</v>
      </c>
      <c r="AO14" s="357">
        <f t="shared" si="37"/>
        <v>168.3019056161767</v>
      </c>
      <c r="AP14" s="357">
        <f t="shared" si="37"/>
        <v>175.83623802561422</v>
      </c>
      <c r="AQ14" s="357">
        <f t="shared" si="37"/>
        <v>182.83805669477169</v>
      </c>
      <c r="AR14" s="357">
        <f t="shared" si="37"/>
        <v>201.45566776549114</v>
      </c>
      <c r="AS14" s="357">
        <f t="shared" si="37"/>
        <v>202.96844143837481</v>
      </c>
      <c r="AT14" s="357">
        <f t="shared" si="37"/>
        <v>204.25196763878668</v>
      </c>
      <c r="AU14" s="357">
        <f t="shared" si="37"/>
        <v>189.10479172002982</v>
      </c>
      <c r="AV14" s="357">
        <f t="shared" si="37"/>
        <v>193.40037484722248</v>
      </c>
      <c r="AW14" s="357">
        <f t="shared" si="37"/>
        <v>197.32884072821977</v>
      </c>
      <c r="AX14" s="357">
        <f t="shared" si="37"/>
        <v>201.05015119402572</v>
      </c>
      <c r="AY14" s="357">
        <f t="shared" si="37"/>
        <v>204.23924743580093</v>
      </c>
      <c r="AZ14" s="357">
        <f t="shared" si="37"/>
        <v>215.78017741186687</v>
      </c>
      <c r="BA14" s="357">
        <f t="shared" si="37"/>
        <v>223.04397642109643</v>
      </c>
      <c r="BB14" s="357">
        <f t="shared" si="37"/>
        <v>230.20840523023287</v>
      </c>
      <c r="BC14" s="357">
        <f t="shared" si="37"/>
        <v>235.05423166783149</v>
      </c>
      <c r="BD14" s="357">
        <f t="shared" ref="BD14" si="38">SUM(BA6:BD6)*BD15</f>
        <v>240.88066608835197</v>
      </c>
      <c r="BE14" s="357">
        <f t="shared" ref="BE14" si="39">SUM(BB6:BE6)*BE15</f>
        <v>244.91162665577741</v>
      </c>
      <c r="BF14" s="357">
        <f t="shared" ref="BF14" si="40">SUM(BC6:BF6)*BF15</f>
        <v>248.78764090025308</v>
      </c>
      <c r="BG14" s="357">
        <f t="shared" ref="BG14" si="41">SUM(BD6:BG6)*BG15</f>
        <v>251.5599504723863</v>
      </c>
      <c r="BH14" s="357">
        <f t="shared" ref="BH14" si="42">SUM(BE6:BH6)*BH15</f>
        <v>244.7646570482672</v>
      </c>
      <c r="BI14" s="357">
        <f t="shared" ref="BI14" si="43">SUM(BF6:BI6)*BI15</f>
        <v>242.53864387802173</v>
      </c>
      <c r="BJ14" s="357">
        <f t="shared" ref="BJ14" si="44">SUM(BG6:BJ6)*BJ15</f>
        <v>240.0276253262879</v>
      </c>
      <c r="BK14" s="357">
        <f t="shared" ref="BK14" si="45">SUM(BH6:BK6)*BK15</f>
        <v>239.40784446649951</v>
      </c>
      <c r="BL14" s="357">
        <f t="shared" ref="BL14" si="46">SUM(BI6:BL6)*BL15</f>
        <v>235.21657302586061</v>
      </c>
      <c r="BM14" s="357">
        <f t="shared" ref="BM14" si="47">SUM(BJ6:BM6)*BM15</f>
        <v>234.29300779440132</v>
      </c>
      <c r="BN14" s="357">
        <f t="shared" ref="BN14" si="48">SUM(BK6:BN6)*BN15</f>
        <v>233.13606934737163</v>
      </c>
      <c r="BO14" s="357">
        <f t="shared" ref="BO14" si="49">SUM(BL6:BO6)*BO15</f>
        <v>233.27760800270312</v>
      </c>
      <c r="BP14" s="357">
        <f t="shared" ref="BP14" si="50">SUM(BM6:BP6)*BP15</f>
        <v>242.61405071178689</v>
      </c>
      <c r="BQ14" s="357">
        <f t="shared" ref="BQ14" si="51">SUM(BN6:BQ6)*BQ15</f>
        <v>249.3172587042975</v>
      </c>
      <c r="BR14" s="357">
        <f t="shared" ref="BR14" si="52">SUM(BO6:BR6)*BR15</f>
        <v>255.95577988209354</v>
      </c>
      <c r="BS14" s="357">
        <f t="shared" ref="BS14" si="53">SUM(BP6:BS6)*BS15</f>
        <v>261.05241363738833</v>
      </c>
    </row>
    <row r="15" spans="1:71">
      <c r="A15" s="396" t="s">
        <v>8</v>
      </c>
      <c r="B15" s="107">
        <f t="shared" ref="B15:Q15" si="54">C15</f>
        <v>0.05</v>
      </c>
      <c r="C15" s="107">
        <f t="shared" si="54"/>
        <v>0.05</v>
      </c>
      <c r="D15" s="107">
        <f t="shared" si="54"/>
        <v>0.05</v>
      </c>
      <c r="E15" s="107">
        <f t="shared" si="54"/>
        <v>0.05</v>
      </c>
      <c r="F15" s="107">
        <f t="shared" si="54"/>
        <v>0.05</v>
      </c>
      <c r="G15" s="107">
        <f t="shared" si="54"/>
        <v>0.05</v>
      </c>
      <c r="H15" s="107">
        <f t="shared" si="54"/>
        <v>0.05</v>
      </c>
      <c r="I15" s="107">
        <f t="shared" si="54"/>
        <v>0.05</v>
      </c>
      <c r="J15" s="107">
        <f t="shared" si="54"/>
        <v>0.05</v>
      </c>
      <c r="K15" s="107">
        <f t="shared" si="54"/>
        <v>0.05</v>
      </c>
      <c r="L15" s="107">
        <f t="shared" si="54"/>
        <v>0.05</v>
      </c>
      <c r="M15" s="107">
        <f t="shared" si="54"/>
        <v>0.05</v>
      </c>
      <c r="N15" s="107">
        <f t="shared" si="54"/>
        <v>0.05</v>
      </c>
      <c r="O15" s="107">
        <f t="shared" si="54"/>
        <v>0.05</v>
      </c>
      <c r="P15" s="107">
        <f t="shared" si="54"/>
        <v>0.05</v>
      </c>
      <c r="Q15" s="107">
        <f t="shared" si="54"/>
        <v>0.05</v>
      </c>
      <c r="R15" s="107">
        <v>0.05</v>
      </c>
      <c r="S15" s="185">
        <f t="shared" ref="S15:BC15" si="55">R15</f>
        <v>0.05</v>
      </c>
      <c r="T15" s="185">
        <f t="shared" si="55"/>
        <v>0.05</v>
      </c>
      <c r="U15" s="84">
        <f t="shared" si="55"/>
        <v>0.05</v>
      </c>
      <c r="V15" s="84">
        <f t="shared" si="55"/>
        <v>0.05</v>
      </c>
      <c r="W15" s="84">
        <f t="shared" si="55"/>
        <v>0.05</v>
      </c>
      <c r="X15" s="84">
        <f t="shared" si="55"/>
        <v>0.05</v>
      </c>
      <c r="Y15" s="84">
        <f t="shared" si="55"/>
        <v>0.05</v>
      </c>
      <c r="Z15" s="84">
        <f t="shared" si="55"/>
        <v>0.05</v>
      </c>
      <c r="AA15" s="84">
        <f t="shared" si="55"/>
        <v>0.05</v>
      </c>
      <c r="AB15" s="84">
        <f t="shared" si="55"/>
        <v>0.05</v>
      </c>
      <c r="AC15" s="84">
        <f t="shared" si="55"/>
        <v>0.05</v>
      </c>
      <c r="AD15" s="84">
        <f t="shared" si="55"/>
        <v>0.05</v>
      </c>
      <c r="AE15" s="103">
        <f t="shared" si="55"/>
        <v>0.05</v>
      </c>
      <c r="AF15" s="103">
        <f t="shared" si="55"/>
        <v>0.05</v>
      </c>
      <c r="AG15" s="103">
        <f t="shared" si="55"/>
        <v>0.05</v>
      </c>
      <c r="AH15" s="103">
        <f t="shared" si="55"/>
        <v>0.05</v>
      </c>
      <c r="AI15" s="103">
        <f t="shared" si="55"/>
        <v>0.05</v>
      </c>
      <c r="AJ15" s="103">
        <f t="shared" si="55"/>
        <v>0.05</v>
      </c>
      <c r="AK15" s="103">
        <f t="shared" si="55"/>
        <v>0.05</v>
      </c>
      <c r="AL15" s="103">
        <f t="shared" si="55"/>
        <v>0.05</v>
      </c>
      <c r="AM15" s="103">
        <f t="shared" si="55"/>
        <v>0.05</v>
      </c>
      <c r="AN15" s="469">
        <f t="shared" si="55"/>
        <v>0.05</v>
      </c>
      <c r="AO15" s="109">
        <f t="shared" si="55"/>
        <v>0.05</v>
      </c>
      <c r="AP15" s="109">
        <f t="shared" si="55"/>
        <v>0.05</v>
      </c>
      <c r="AQ15" s="109">
        <f t="shared" si="55"/>
        <v>0.05</v>
      </c>
      <c r="AR15" s="109">
        <f t="shared" si="55"/>
        <v>0.05</v>
      </c>
      <c r="AS15" s="109">
        <f t="shared" si="55"/>
        <v>0.05</v>
      </c>
      <c r="AT15" s="109">
        <f t="shared" si="55"/>
        <v>0.05</v>
      </c>
      <c r="AU15" s="109">
        <f t="shared" si="55"/>
        <v>0.05</v>
      </c>
      <c r="AV15" s="109">
        <f t="shared" si="55"/>
        <v>0.05</v>
      </c>
      <c r="AW15" s="109">
        <f t="shared" si="55"/>
        <v>0.05</v>
      </c>
      <c r="AX15" s="109">
        <f t="shared" si="55"/>
        <v>0.05</v>
      </c>
      <c r="AY15" s="109">
        <f t="shared" si="55"/>
        <v>0.05</v>
      </c>
      <c r="AZ15" s="109">
        <f t="shared" si="55"/>
        <v>0.05</v>
      </c>
      <c r="BA15" s="109">
        <f t="shared" si="55"/>
        <v>0.05</v>
      </c>
      <c r="BB15" s="109">
        <f t="shared" si="55"/>
        <v>0.05</v>
      </c>
      <c r="BC15" s="109">
        <f t="shared" si="55"/>
        <v>0.05</v>
      </c>
      <c r="BD15" s="109">
        <f t="shared" ref="BD15" si="56">BC15</f>
        <v>0.05</v>
      </c>
      <c r="BE15" s="109">
        <f t="shared" ref="BE15" si="57">BD15</f>
        <v>0.05</v>
      </c>
      <c r="BF15" s="109">
        <f t="shared" ref="BF15" si="58">BE15</f>
        <v>0.05</v>
      </c>
      <c r="BG15" s="109">
        <f t="shared" ref="BG15" si="59">BF15</f>
        <v>0.05</v>
      </c>
      <c r="BH15" s="109">
        <f t="shared" ref="BH15" si="60">BG15</f>
        <v>0.05</v>
      </c>
      <c r="BI15" s="109">
        <f t="shared" ref="BI15" si="61">BH15</f>
        <v>0.05</v>
      </c>
      <c r="BJ15" s="109">
        <f t="shared" ref="BJ15" si="62">BI15</f>
        <v>0.05</v>
      </c>
      <c r="BK15" s="109">
        <f t="shared" ref="BK15" si="63">BJ15</f>
        <v>0.05</v>
      </c>
      <c r="BL15" s="109">
        <f t="shared" ref="BL15" si="64">BK15</f>
        <v>0.05</v>
      </c>
      <c r="BM15" s="109">
        <f t="shared" ref="BM15" si="65">BL15</f>
        <v>0.05</v>
      </c>
      <c r="BN15" s="109">
        <f t="shared" ref="BN15" si="66">BM15</f>
        <v>0.05</v>
      </c>
      <c r="BO15" s="109">
        <f t="shared" ref="BO15" si="67">BN15</f>
        <v>0.05</v>
      </c>
      <c r="BP15" s="109">
        <f t="shared" ref="BP15" si="68">BO15</f>
        <v>0.05</v>
      </c>
      <c r="BQ15" s="109">
        <f t="shared" ref="BQ15" si="69">BP15</f>
        <v>0.05</v>
      </c>
      <c r="BR15" s="109">
        <f t="shared" ref="BR15" si="70">BQ15</f>
        <v>0.05</v>
      </c>
      <c r="BS15" s="109">
        <f t="shared" ref="BS15" si="71">BR15</f>
        <v>0.05</v>
      </c>
    </row>
    <row r="16" spans="1:71" ht="5.25" customHeight="1">
      <c r="AE16" s="106"/>
      <c r="AF16" s="106"/>
      <c r="AG16" s="106"/>
      <c r="AH16" s="106"/>
      <c r="AI16" s="106"/>
      <c r="AJ16" s="106"/>
      <c r="AK16" s="106"/>
      <c r="AL16" s="106"/>
      <c r="AM16" s="106"/>
      <c r="AN16" s="381"/>
      <c r="BD16" s="1401"/>
      <c r="BE16" s="1401"/>
      <c r="BF16" s="1401"/>
      <c r="BG16" s="1401"/>
      <c r="BH16" s="1401"/>
      <c r="BI16" s="1401"/>
      <c r="BJ16" s="1401"/>
      <c r="BK16" s="1401"/>
      <c r="BL16" s="1401"/>
      <c r="BM16" s="1401"/>
      <c r="BN16" s="1401"/>
      <c r="BO16" s="1401"/>
      <c r="BP16" s="1401"/>
      <c r="BQ16" s="1401"/>
      <c r="BR16" s="1401"/>
      <c r="BS16" s="1401"/>
    </row>
    <row r="17" spans="1:71">
      <c r="A17" s="385" t="s">
        <v>11</v>
      </c>
      <c r="B17" s="196">
        <f>'Quarterly historicals'!H197</f>
        <v>26.902000000000001</v>
      </c>
      <c r="C17" s="196">
        <f>'Quarterly historicals'!I197</f>
        <v>94.224999999999994</v>
      </c>
      <c r="D17" s="196">
        <f>'Quarterly historicals'!J197</f>
        <v>41.875999999999998</v>
      </c>
      <c r="E17" s="196">
        <f>'Quarterly historicals'!K197</f>
        <v>48.982999999999997</v>
      </c>
      <c r="F17" s="196">
        <f>'Quarterly historicals'!L197</f>
        <v>35.475999999999999</v>
      </c>
      <c r="G17" s="196">
        <f>'Quarterly historicals'!M197</f>
        <v>45.543999999999997</v>
      </c>
      <c r="H17" s="196">
        <f>'Quarterly historicals'!N197</f>
        <v>27.882999999999999</v>
      </c>
      <c r="I17" s="196">
        <f>'Quarterly historicals'!O197</f>
        <v>71.97</v>
      </c>
      <c r="J17" s="196">
        <f>'Quarterly historicals'!P197</f>
        <v>62.804000000000002</v>
      </c>
      <c r="K17" s="196">
        <f>'Quarterly historicals'!Q197</f>
        <v>41.628</v>
      </c>
      <c r="L17" s="196">
        <f>'Quarterly historicals'!R197</f>
        <v>59.459000000000003</v>
      </c>
      <c r="M17" s="196">
        <f>'Quarterly historicals'!S197</f>
        <v>72.236000000000004</v>
      </c>
      <c r="N17" s="196">
        <f>'Quarterly historicals'!T197</f>
        <v>77.081999999999994</v>
      </c>
      <c r="O17" s="196">
        <f>'Quarterly historicals'!U197</f>
        <v>59.673000000000002</v>
      </c>
      <c r="P17" s="196">
        <f>'Quarterly historicals'!V197</f>
        <v>55.308999999999997</v>
      </c>
      <c r="Q17" s="196">
        <f>'Quarterly historicals'!W197</f>
        <v>62.49</v>
      </c>
      <c r="R17" s="196">
        <f>'Quarterly historicals'!X197</f>
        <v>63.686</v>
      </c>
      <c r="S17" s="196">
        <f>'Quarterly historicals'!Y197</f>
        <v>38.399000000000001</v>
      </c>
      <c r="T17" s="196">
        <f>'Quarterly historicals'!Z197</f>
        <v>64.602000000000004</v>
      </c>
      <c r="U17" s="196">
        <f>'Quarterly historicals'!AA197</f>
        <v>128.899</v>
      </c>
      <c r="V17" s="196">
        <f>'Quarterly historicals'!AB197</f>
        <v>117.80500000000001</v>
      </c>
      <c r="W17" s="196">
        <f>'Quarterly historicals'!AC197</f>
        <v>62.667000000000002</v>
      </c>
      <c r="X17" s="196">
        <f>'Quarterly historicals'!AD197</f>
        <v>115.60299999999999</v>
      </c>
      <c r="Y17" s="196">
        <f>'Quarterly historicals'!AE197</f>
        <v>163.821</v>
      </c>
      <c r="Z17" s="196">
        <f>'Quarterly historicals'!AF197</f>
        <v>154.02600000000001</v>
      </c>
      <c r="AA17" s="196">
        <f>'Quarterly historicals'!AG197</f>
        <v>95.051000000000002</v>
      </c>
      <c r="AB17" s="196">
        <f>'Quarterly historicals'!AH197</f>
        <v>172.19300000000001</v>
      </c>
      <c r="AC17" s="196">
        <f>'Quarterly historicals'!AI197</f>
        <v>170.078</v>
      </c>
      <c r="AD17" s="196">
        <f>'Quarterly historicals'!AJ197</f>
        <v>231.72200000000001</v>
      </c>
      <c r="AE17" s="202">
        <f>'Quarterly historicals'!AK197</f>
        <v>168.03100000000001</v>
      </c>
      <c r="AF17" s="202">
        <f>'Quarterly historicals'!AL197</f>
        <v>155.40199999999999</v>
      </c>
      <c r="AG17" s="202">
        <f>'Quarterly historicals'!AM197</f>
        <v>218.637</v>
      </c>
      <c r="AH17" s="202">
        <f>'Quarterly historicals'!AN197</f>
        <v>249.09399999999999</v>
      </c>
      <c r="AI17" s="202">
        <f>'Quarterly historicals'!AO197</f>
        <v>116.965</v>
      </c>
      <c r="AJ17" s="202">
        <f>'Quarterly historicals'!AP197</f>
        <v>160.38</v>
      </c>
      <c r="AK17" s="202">
        <f>'Quarterly historicals'!AQ197</f>
        <v>144.90899999999999</v>
      </c>
      <c r="AL17" s="202">
        <f>'Quarterly historicals'!AR197</f>
        <v>249.25700000000001</v>
      </c>
      <c r="AM17" s="202">
        <f>'Quarterly historicals'!AS197</f>
        <v>169.12899999999999</v>
      </c>
      <c r="AN17" s="355">
        <f>'Quarterly historicals'!AT197</f>
        <v>303.72300000000001</v>
      </c>
      <c r="AO17" s="357">
        <f t="shared" ref="AO17:BS17" si="72">AO$6/AO$8*AO18</f>
        <v>264.63174672128207</v>
      </c>
      <c r="AP17" s="357">
        <f t="shared" si="72"/>
        <v>309.1617414935609</v>
      </c>
      <c r="AQ17" s="357">
        <f t="shared" si="72"/>
        <v>199.15102765726729</v>
      </c>
      <c r="AR17" s="357">
        <f t="shared" si="72"/>
        <v>382.41920742544266</v>
      </c>
      <c r="AS17" s="357">
        <f t="shared" si="72"/>
        <v>304.2447269053871</v>
      </c>
      <c r="AT17" s="357">
        <f t="shared" si="72"/>
        <v>347.88389387405186</v>
      </c>
      <c r="AU17" s="357">
        <f t="shared" si="72"/>
        <v>165.71816371621969</v>
      </c>
      <c r="AV17" s="357">
        <f t="shared" si="72"/>
        <v>452.0396396237926</v>
      </c>
      <c r="AW17" s="357">
        <f t="shared" si="72"/>
        <v>362.92904418423973</v>
      </c>
      <c r="AX17" s="357">
        <f t="shared" si="72"/>
        <v>408.44191657096087</v>
      </c>
      <c r="AY17" s="357">
        <f t="shared" si="72"/>
        <v>204.48283808420524</v>
      </c>
      <c r="AZ17" s="357">
        <f t="shared" si="72"/>
        <v>583.65463174942556</v>
      </c>
      <c r="BA17" s="357">
        <f t="shared" si="72"/>
        <v>452.51999319374295</v>
      </c>
      <c r="BB17" s="357">
        <f t="shared" si="72"/>
        <v>504.57566015765815</v>
      </c>
      <c r="BC17" s="357">
        <f t="shared" si="72"/>
        <v>261.70149391215585</v>
      </c>
      <c r="BD17" s="357">
        <f t="shared" si="72"/>
        <v>682.29241564807614</v>
      </c>
      <c r="BE17" s="357">
        <f t="shared" si="72"/>
        <v>524.4868408090548</v>
      </c>
      <c r="BF17" s="357">
        <f t="shared" si="72"/>
        <v>578.56822708330583</v>
      </c>
      <c r="BG17" s="357">
        <f t="shared" si="72"/>
        <v>309.63945742422618</v>
      </c>
      <c r="BH17" s="357">
        <f t="shared" si="72"/>
        <v>673.83982387026322</v>
      </c>
      <c r="BI17" s="357">
        <f t="shared" si="72"/>
        <v>545.18299674038155</v>
      </c>
      <c r="BJ17" s="357">
        <f t="shared" si="72"/>
        <v>592.29611284363523</v>
      </c>
      <c r="BK17" s="357">
        <f t="shared" si="72"/>
        <v>336.97709812790339</v>
      </c>
      <c r="BL17" s="357">
        <f t="shared" si="72"/>
        <v>681.82258459373395</v>
      </c>
      <c r="BM17" s="357">
        <f t="shared" si="72"/>
        <v>575.59201179569368</v>
      </c>
      <c r="BN17" s="357">
        <f t="shared" si="72"/>
        <v>617.48006547935552</v>
      </c>
      <c r="BO17" s="357">
        <f t="shared" si="72"/>
        <v>365.3891812005125</v>
      </c>
      <c r="BP17" s="357">
        <f t="shared" si="72"/>
        <v>825.12915979832269</v>
      </c>
      <c r="BQ17" s="357">
        <f t="shared" si="72"/>
        <v>683.64822575821267</v>
      </c>
      <c r="BR17" s="357">
        <f t="shared" si="72"/>
        <v>731.04732881569259</v>
      </c>
      <c r="BS17" s="357">
        <f t="shared" si="72"/>
        <v>444.20870113916521</v>
      </c>
    </row>
    <row r="18" spans="1:71">
      <c r="A18" s="1804" t="s">
        <v>12</v>
      </c>
      <c r="B18" s="196">
        <f t="shared" ref="B18:AI18" si="73">IF(ISNUMBER(B17/B$6),B$8/(B$6/B17),"")</f>
        <v>19.444275097025599</v>
      </c>
      <c r="C18" s="196">
        <f t="shared" si="73"/>
        <v>37.038768898488122</v>
      </c>
      <c r="D18" s="196">
        <f t="shared" si="73"/>
        <v>41.395628747718781</v>
      </c>
      <c r="E18" s="196">
        <f t="shared" si="73"/>
        <v>23.191634116091048</v>
      </c>
      <c r="F18" s="196">
        <f t="shared" si="73"/>
        <v>14.780595609013838</v>
      </c>
      <c r="G18" s="196">
        <f t="shared" si="73"/>
        <v>15.337090002918529</v>
      </c>
      <c r="H18" s="196">
        <f t="shared" si="73"/>
        <v>11.668404957347498</v>
      </c>
      <c r="I18" s="196">
        <f t="shared" si="73"/>
        <v>23.127172132435899</v>
      </c>
      <c r="J18" s="196">
        <f t="shared" si="73"/>
        <v>17.824597340177757</v>
      </c>
      <c r="K18" s="196">
        <f t="shared" si="73"/>
        <v>10.542381752336253</v>
      </c>
      <c r="L18" s="196">
        <f t="shared" si="73"/>
        <v>18.955158678722444</v>
      </c>
      <c r="M18" s="196">
        <f t="shared" si="73"/>
        <v>19.618222180238053</v>
      </c>
      <c r="N18" s="196">
        <f t="shared" si="73"/>
        <v>18.170167954187324</v>
      </c>
      <c r="O18" s="196">
        <f t="shared" si="73"/>
        <v>19.143687174734442</v>
      </c>
      <c r="P18" s="196">
        <f t="shared" si="73"/>
        <v>15.300652382747423</v>
      </c>
      <c r="Q18" s="196">
        <f t="shared" si="73"/>
        <v>14.440498138761487</v>
      </c>
      <c r="R18" s="196">
        <f t="shared" si="73"/>
        <v>15.400559340566913</v>
      </c>
      <c r="S18" s="196">
        <f t="shared" si="73"/>
        <v>13.466998365912312</v>
      </c>
      <c r="T18" s="196">
        <f t="shared" si="73"/>
        <v>20.249806243606042</v>
      </c>
      <c r="U18" s="196">
        <f t="shared" si="73"/>
        <v>21.682987970664438</v>
      </c>
      <c r="V18" s="196">
        <f t="shared" si="73"/>
        <v>27.443962766765594</v>
      </c>
      <c r="W18" s="196">
        <f t="shared" si="73"/>
        <v>13.96693519029848</v>
      </c>
      <c r="X18" s="196">
        <f t="shared" si="73"/>
        <v>21.284044260016469</v>
      </c>
      <c r="Y18" s="196">
        <f t="shared" si="73"/>
        <v>24.526735818413197</v>
      </c>
      <c r="Z18" s="196">
        <f t="shared" si="73"/>
        <v>33.356854326148984</v>
      </c>
      <c r="AA18" s="196">
        <f t="shared" si="73"/>
        <v>19.525544196492767</v>
      </c>
      <c r="AB18" s="196">
        <f t="shared" si="73"/>
        <v>31.05134216085321</v>
      </c>
      <c r="AC18" s="196">
        <f t="shared" si="73"/>
        <v>30.8314486302652</v>
      </c>
      <c r="AD18" s="196">
        <f t="shared" si="73"/>
        <v>36.442560262022923</v>
      </c>
      <c r="AE18" s="202">
        <f t="shared" si="73"/>
        <v>21.701518539033998</v>
      </c>
      <c r="AF18" s="202">
        <f t="shared" si="73"/>
        <v>31.347716793757758</v>
      </c>
      <c r="AG18" s="202">
        <f t="shared" si="73"/>
        <v>30.441803025625195</v>
      </c>
      <c r="AH18" s="202">
        <f t="shared" si="73"/>
        <v>28.572343362130123</v>
      </c>
      <c r="AI18" s="202">
        <f t="shared" si="73"/>
        <v>13.084217901989588</v>
      </c>
      <c r="AJ18" s="202">
        <f t="shared" ref="AJ18:AK18" si="74">IF(ISNUMBER(AJ17/AJ$6),AJ$8/(AJ$6/AJ17),"")</f>
        <v>22.752908309142896</v>
      </c>
      <c r="AK18" s="202">
        <f t="shared" si="74"/>
        <v>18.402489070974134</v>
      </c>
      <c r="AL18" s="202">
        <f t="shared" ref="AL18:AM18" si="75">IF(ISNUMBER(AL17/AL$6),AL$8/(AL$6/AL17),"")</f>
        <v>31.118058307233856</v>
      </c>
      <c r="AM18" s="202">
        <f t="shared" si="75"/>
        <v>16.911547076233898</v>
      </c>
      <c r="AN18" s="355">
        <f t="shared" ref="AN18" si="76">IF(ISNUMBER(AN17/AN$6),AN$8/(AN$6/AN17),"")</f>
        <v>34.023382864711756</v>
      </c>
      <c r="AO18" s="484">
        <f>+Inputs!AO197</f>
        <v>26.558580242288176</v>
      </c>
      <c r="AP18" s="484">
        <f>+Inputs!AP197</f>
        <v>32.044320643795636</v>
      </c>
      <c r="AQ18" s="484">
        <f>+Inputs!AQ197</f>
        <v>17.232427839085826</v>
      </c>
      <c r="AR18" s="484">
        <f>+Inputs!AR197</f>
        <v>29.374669322537471</v>
      </c>
      <c r="AS18" s="484">
        <f>+Inputs!AS197</f>
        <v>29.558580242288176</v>
      </c>
      <c r="AT18" s="484">
        <f>+Inputs!AT197</f>
        <v>35.044320643795636</v>
      </c>
      <c r="AU18" s="484">
        <f>+Inputs!AU197</f>
        <v>20.232427839085826</v>
      </c>
      <c r="AV18" s="484">
        <f>+Inputs!AV197</f>
        <v>32.374669322537471</v>
      </c>
      <c r="AW18" s="484">
        <f>+Inputs!AW197</f>
        <v>32.558580242288173</v>
      </c>
      <c r="AX18" s="484">
        <f>+Inputs!AX197</f>
        <v>38.044320643795636</v>
      </c>
      <c r="AY18" s="484">
        <f>+Inputs!AY197</f>
        <v>23.232427839085826</v>
      </c>
      <c r="AZ18" s="484">
        <f>+Inputs!AZ197</f>
        <v>35.374669322537471</v>
      </c>
      <c r="BA18" s="484">
        <f>+Inputs!BA197</f>
        <v>35.558580242288173</v>
      </c>
      <c r="BB18" s="484">
        <f>+Inputs!BB197</f>
        <v>41.044320643795636</v>
      </c>
      <c r="BC18" s="484">
        <f>+Inputs!BC197</f>
        <v>26.232427839085826</v>
      </c>
      <c r="BD18" s="484">
        <f>+Inputs!BD197</f>
        <v>38.374669322537471</v>
      </c>
      <c r="BE18" s="484">
        <f>+Inputs!BE197</f>
        <v>38.558580242288173</v>
      </c>
      <c r="BF18" s="484">
        <f>+Inputs!BF197</f>
        <v>44.044320643795636</v>
      </c>
      <c r="BG18" s="484">
        <f>+Inputs!BG197</f>
        <v>29.232427839085826</v>
      </c>
      <c r="BH18" s="484">
        <f>+Inputs!BH197</f>
        <v>41.374669322537471</v>
      </c>
      <c r="BI18" s="484">
        <f>+Inputs!BI197</f>
        <v>41.558580242288173</v>
      </c>
      <c r="BJ18" s="484">
        <f>+Inputs!BJ197</f>
        <v>47.044320643795636</v>
      </c>
      <c r="BK18" s="484">
        <f>+Inputs!BK197</f>
        <v>32.23242783908583</v>
      </c>
      <c r="BL18" s="484">
        <f>+Inputs!BL197</f>
        <v>44.374669322537471</v>
      </c>
      <c r="BM18" s="484">
        <f>+Inputs!BM197</f>
        <v>44.558580242288173</v>
      </c>
      <c r="BN18" s="484">
        <f>+Inputs!BN197</f>
        <v>50.044320643795636</v>
      </c>
      <c r="BO18" s="484">
        <f>+Inputs!BO197</f>
        <v>35.23242783908583</v>
      </c>
      <c r="BP18" s="484">
        <f>+Inputs!BP197</f>
        <v>47.374669322537471</v>
      </c>
      <c r="BQ18" s="484">
        <f>+Inputs!BQ197</f>
        <v>47.558580242288173</v>
      </c>
      <c r="BR18" s="484">
        <f>+Inputs!BR197</f>
        <v>53.044320643795636</v>
      </c>
      <c r="BS18" s="484">
        <f>+Inputs!BS197</f>
        <v>38.23242783908583</v>
      </c>
    </row>
    <row r="19" spans="1:71" ht="5.25" customHeight="1">
      <c r="A19" s="198"/>
      <c r="B19" s="198"/>
      <c r="C19" s="198"/>
      <c r="D19" s="198"/>
      <c r="E19" s="198"/>
      <c r="F19" s="198"/>
      <c r="G19" s="198"/>
      <c r="H19" s="198"/>
      <c r="I19" s="198"/>
      <c r="J19" s="198"/>
      <c r="K19" s="198"/>
      <c r="L19" s="198"/>
      <c r="M19" s="198"/>
      <c r="N19" s="198"/>
      <c r="O19" s="198"/>
      <c r="P19" s="198"/>
      <c r="Q19" s="198"/>
      <c r="R19" s="198"/>
      <c r="S19" s="198"/>
      <c r="T19" s="198"/>
      <c r="U19" s="198"/>
      <c r="V19" s="198"/>
      <c r="W19" s="198"/>
      <c r="X19" s="198"/>
      <c r="Y19" s="198"/>
      <c r="Z19" s="198"/>
      <c r="AA19" s="198"/>
      <c r="AB19" s="198"/>
      <c r="AC19" s="198"/>
      <c r="AD19" s="198"/>
      <c r="AE19" s="934"/>
      <c r="AF19" s="934"/>
      <c r="AG19" s="934"/>
      <c r="AH19" s="934"/>
      <c r="AI19" s="934"/>
      <c r="AJ19" s="934"/>
      <c r="AK19" s="934"/>
      <c r="AL19" s="934"/>
      <c r="AM19" s="934"/>
      <c r="AN19" s="1805"/>
      <c r="AO19" s="1645"/>
      <c r="AP19" s="1645"/>
      <c r="AQ19" s="1645"/>
      <c r="AR19" s="1645"/>
      <c r="AS19" s="1645"/>
      <c r="AT19" s="1645"/>
      <c r="AU19" s="1645"/>
      <c r="AV19" s="1645"/>
      <c r="AW19" s="1645"/>
      <c r="AX19" s="1645"/>
      <c r="AY19" s="1645"/>
      <c r="AZ19" s="1645"/>
      <c r="BA19" s="1645"/>
      <c r="BB19" s="1645"/>
      <c r="BC19" s="1645"/>
      <c r="BD19" s="1645"/>
      <c r="BE19" s="1645"/>
      <c r="BF19" s="1645"/>
      <c r="BG19" s="1645"/>
      <c r="BH19" s="1645"/>
      <c r="BI19" s="1645"/>
      <c r="BJ19" s="1645"/>
      <c r="BK19" s="1645"/>
      <c r="BL19" s="1645"/>
      <c r="BM19" s="1645"/>
      <c r="BN19" s="1645"/>
      <c r="BO19" s="1645"/>
      <c r="BP19" s="1645"/>
      <c r="BQ19" s="1645"/>
      <c r="BR19" s="1645"/>
      <c r="BS19" s="1645"/>
    </row>
    <row r="20" spans="1:71">
      <c r="A20" s="1806" t="s">
        <v>406</v>
      </c>
      <c r="B20" s="196">
        <f>'Quarterly historicals'!H198</f>
        <v>313.15100000000001</v>
      </c>
      <c r="C20" s="196">
        <f>'Quarterly historicals'!I198</f>
        <v>173.625</v>
      </c>
      <c r="D20" s="196">
        <f>'Quarterly historicals'!J198</f>
        <v>261.125</v>
      </c>
      <c r="E20" s="196">
        <f>'Quarterly historicals'!K198</f>
        <v>405.11200000000002</v>
      </c>
      <c r="F20" s="196">
        <f>'Quarterly historicals'!L198</f>
        <v>467.77600000000001</v>
      </c>
      <c r="G20" s="196">
        <f>'Quarterly historicals'!M198</f>
        <v>296.404</v>
      </c>
      <c r="H20" s="196">
        <f>'Quarterly historicals'!N198</f>
        <v>353.05</v>
      </c>
      <c r="I20" s="196">
        <f>'Quarterly historicals'!O198</f>
        <v>430.43</v>
      </c>
      <c r="J20" s="196">
        <f>'Quarterly historicals'!P198</f>
        <v>447.58100000000002</v>
      </c>
      <c r="K20" s="196">
        <f>'Quarterly historicals'!Q198</f>
        <v>105.069</v>
      </c>
      <c r="L20" s="196">
        <f>'Quarterly historicals'!R198</f>
        <v>340.30599999999998</v>
      </c>
      <c r="M20" s="196">
        <f>'Quarterly historicals'!S198</f>
        <v>510.65699999999998</v>
      </c>
      <c r="N20" s="196">
        <f>'Quarterly historicals'!T198</f>
        <v>456.43400000000003</v>
      </c>
      <c r="O20" s="196">
        <f>'Quarterly historicals'!U198</f>
        <v>139.10599999999999</v>
      </c>
      <c r="P20" s="196">
        <f>'Quarterly historicals'!V198</f>
        <v>216.392</v>
      </c>
      <c r="Q20" s="196">
        <f>'Quarterly historicals'!W198</f>
        <v>443.851</v>
      </c>
      <c r="R20" s="196">
        <f>'Quarterly historicals'!X198</f>
        <v>384.00599999999997</v>
      </c>
      <c r="S20" s="196">
        <f>'Quarterly historicals'!Y198</f>
        <v>137.375</v>
      </c>
      <c r="T20" s="196">
        <f>'Quarterly historicals'!Z198</f>
        <v>199.28899999999999</v>
      </c>
      <c r="U20" s="196">
        <f>'Quarterly historicals'!AA198</f>
        <v>390.80200000000002</v>
      </c>
      <c r="V20" s="196">
        <f>'Quarterly historicals'!AB198</f>
        <v>478.63</v>
      </c>
      <c r="W20" s="196">
        <f>'Quarterly historicals'!AC198</f>
        <v>148.661</v>
      </c>
      <c r="X20" s="196">
        <f>'Quarterly historicals'!AD198</f>
        <v>205.24700000000001</v>
      </c>
      <c r="Y20" s="196">
        <f>'Quarterly historicals'!AE198</f>
        <v>374.17399999999998</v>
      </c>
      <c r="Z20" s="196">
        <f>'Quarterly historicals'!AF198</f>
        <v>422.709</v>
      </c>
      <c r="AA20" s="196">
        <f>'Quarterly historicals'!AG198</f>
        <v>145.02799999999999</v>
      </c>
      <c r="AB20" s="196">
        <f>'Quarterly historicals'!AH198</f>
        <v>328.06200000000001</v>
      </c>
      <c r="AC20" s="196">
        <f>'Quarterly historicals'!AI198</f>
        <v>740.68399999999997</v>
      </c>
      <c r="AD20" s="196">
        <f>'Quarterly historicals'!AJ198</f>
        <v>690.79200000000003</v>
      </c>
      <c r="AE20" s="202">
        <f>'Quarterly historicals'!AK198</f>
        <v>212.97499999999999</v>
      </c>
      <c r="AF20" s="202">
        <f>'Quarterly historicals'!AL198</f>
        <v>550.15899999999999</v>
      </c>
      <c r="AG20" s="202">
        <f>'Quarterly historicals'!AM198</f>
        <v>797.13900000000001</v>
      </c>
      <c r="AH20" s="202">
        <f>'Quarterly historicals'!AN198</f>
        <v>759.49900000000002</v>
      </c>
      <c r="AI20" s="202">
        <f>'Quarterly historicals'!AO198</f>
        <v>270.35199999999998</v>
      </c>
      <c r="AJ20" s="202">
        <f>'Quarterly historicals'!AP198</f>
        <v>556.52700000000004</v>
      </c>
      <c r="AK20" s="202">
        <f>'Quarterly historicals'!AQ198</f>
        <v>889.82399999999996</v>
      </c>
      <c r="AL20" s="202">
        <f>'Quarterly historicals'!AR198</f>
        <v>784.94600000000003</v>
      </c>
      <c r="AM20" s="202">
        <f>'Quarterly historicals'!AS198</f>
        <v>256.57400000000001</v>
      </c>
      <c r="AN20" s="355">
        <f>'Quarterly historicals'!AT198</f>
        <v>590.60400000000004</v>
      </c>
      <c r="AO20" s="357">
        <f t="shared" ref="AO20:BS20" si="77">-AO$7/AO$8*AO21</f>
        <v>1147.8776208561933</v>
      </c>
      <c r="AP20" s="357">
        <f t="shared" si="77"/>
        <v>934.68484489120999</v>
      </c>
      <c r="AQ20" s="357">
        <f t="shared" si="77"/>
        <v>310.10826607176898</v>
      </c>
      <c r="AR20" s="357">
        <f t="shared" si="77"/>
        <v>960.70189411542674</v>
      </c>
      <c r="AS20" s="357">
        <f t="shared" si="77"/>
        <v>1221.5158504738433</v>
      </c>
      <c r="AT20" s="357">
        <f t="shared" si="77"/>
        <v>997.81939457291458</v>
      </c>
      <c r="AU20" s="357">
        <f t="shared" si="77"/>
        <v>275.49082734678495</v>
      </c>
      <c r="AV20" s="357">
        <f t="shared" si="77"/>
        <v>1040.9731755906291</v>
      </c>
      <c r="AW20" s="357">
        <f t="shared" si="77"/>
        <v>1316.8012299429436</v>
      </c>
      <c r="AX20" s="357">
        <f t="shared" si="77"/>
        <v>1079.0044662193993</v>
      </c>
      <c r="AY20" s="357">
        <f t="shared" si="77"/>
        <v>305.53234906692978</v>
      </c>
      <c r="AZ20" s="357">
        <f t="shared" si="77"/>
        <v>1204.3688038362816</v>
      </c>
      <c r="BA20" s="357">
        <f t="shared" si="77"/>
        <v>1515.8888838057603</v>
      </c>
      <c r="BB20" s="357">
        <f t="shared" si="77"/>
        <v>1245.9158475817374</v>
      </c>
      <c r="BC20" s="357">
        <f t="shared" si="77"/>
        <v>369.1033592046997</v>
      </c>
      <c r="BD20" s="357">
        <f t="shared" si="77"/>
        <v>1313.2313303089943</v>
      </c>
      <c r="BE20" s="357">
        <f t="shared" si="77"/>
        <v>1644.8680712022806</v>
      </c>
      <c r="BF20" s="357">
        <f t="shared" si="77"/>
        <v>1355.9385058499502</v>
      </c>
      <c r="BG20" s="357">
        <f t="shared" si="77"/>
        <v>414.82598764304885</v>
      </c>
      <c r="BH20" s="357">
        <f t="shared" si="77"/>
        <v>1314.12709952562</v>
      </c>
      <c r="BI20" s="357">
        <f t="shared" si="77"/>
        <v>1638.1809833459115</v>
      </c>
      <c r="BJ20" s="357">
        <f t="shared" si="77"/>
        <v>1354.3431408136662</v>
      </c>
      <c r="BK20" s="357">
        <f t="shared" si="77"/>
        <v>427.11113287558578</v>
      </c>
      <c r="BL20" s="357">
        <f t="shared" si="77"/>
        <v>1329.5951515395052</v>
      </c>
      <c r="BM20" s="357">
        <f t="shared" si="77"/>
        <v>1649.7925894146902</v>
      </c>
      <c r="BN20" s="357">
        <f t="shared" si="77"/>
        <v>1367.8089344280218</v>
      </c>
      <c r="BO20" s="357">
        <f t="shared" si="77"/>
        <v>439.04975119300758</v>
      </c>
      <c r="BP20" s="357">
        <f t="shared" si="77"/>
        <v>1330.619134499131</v>
      </c>
      <c r="BQ20" s="357">
        <f t="shared" si="77"/>
        <v>1643.6069985991371</v>
      </c>
      <c r="BR20" s="357">
        <f t="shared" si="77"/>
        <v>1366.4559748810987</v>
      </c>
      <c r="BS20" s="357">
        <f t="shared" si="77"/>
        <v>455.72977203172456</v>
      </c>
    </row>
    <row r="21" spans="1:71">
      <c r="A21" s="1804" t="s">
        <v>13</v>
      </c>
      <c r="B21" s="196">
        <f t="shared" ref="B21:AI21" si="78">IF(ISNUMBER(B20/B$7),B$8/(-B$7/B20),"")</f>
        <v>353.33519751769137</v>
      </c>
      <c r="C21" s="196">
        <f t="shared" si="78"/>
        <v>126.04707656223825</v>
      </c>
      <c r="D21" s="196">
        <f t="shared" si="78"/>
        <v>394.49447995351539</v>
      </c>
      <c r="E21" s="196">
        <f t="shared" si="78"/>
        <v>350.14330674633374</v>
      </c>
      <c r="F21" s="196">
        <f t="shared" si="78"/>
        <v>383.31025268764535</v>
      </c>
      <c r="G21" s="196">
        <f t="shared" si="78"/>
        <v>171.45953311394487</v>
      </c>
      <c r="H21" s="196">
        <f t="shared" si="78"/>
        <v>234.41526697506092</v>
      </c>
      <c r="I21" s="196">
        <f t="shared" si="78"/>
        <v>251.92803430330952</v>
      </c>
      <c r="J21" s="196">
        <f t="shared" si="78"/>
        <v>244.03911505159039</v>
      </c>
      <c r="K21" s="196">
        <f t="shared" si="78"/>
        <v>57.386879475664522</v>
      </c>
      <c r="L21" s="196">
        <f t="shared" si="78"/>
        <v>248.12985056688436</v>
      </c>
      <c r="M21" s="196">
        <f t="shared" si="78"/>
        <v>334.96209787816565</v>
      </c>
      <c r="N21" s="196">
        <f t="shared" si="78"/>
        <v>250.61877734209477</v>
      </c>
      <c r="O21" s="196">
        <f t="shared" si="78"/>
        <v>94.330470162748625</v>
      </c>
      <c r="P21" s="196">
        <f t="shared" si="78"/>
        <v>135.11508165225746</v>
      </c>
      <c r="Q21" s="196">
        <f t="shared" si="78"/>
        <v>260.4144765791907</v>
      </c>
      <c r="R21" s="196">
        <f t="shared" si="78"/>
        <v>189.93334587779898</v>
      </c>
      <c r="S21" s="196">
        <f t="shared" si="78"/>
        <v>83.196072167761415</v>
      </c>
      <c r="T21" s="196">
        <f t="shared" si="78"/>
        <v>138.69679170968604</v>
      </c>
      <c r="U21" s="196">
        <f t="shared" si="78"/>
        <v>144.12991573596736</v>
      </c>
      <c r="V21" s="196">
        <f t="shared" si="78"/>
        <v>227.18059310316366</v>
      </c>
      <c r="W21" s="196">
        <f t="shared" si="78"/>
        <v>64.726522437447983</v>
      </c>
      <c r="X21" s="196">
        <f t="shared" si="78"/>
        <v>82.957915822762331</v>
      </c>
      <c r="Y21" s="196">
        <f t="shared" si="78"/>
        <v>111.1563434402144</v>
      </c>
      <c r="Z21" s="196">
        <f t="shared" si="78"/>
        <v>180.83302953649283</v>
      </c>
      <c r="AA21" s="196">
        <f t="shared" si="78"/>
        <v>53.704570796114261</v>
      </c>
      <c r="AB21" s="196">
        <f t="shared" si="78"/>
        <v>131.51094469284817</v>
      </c>
      <c r="AC21" s="196">
        <f t="shared" si="78"/>
        <v>315.24738037630055</v>
      </c>
      <c r="AD21" s="196">
        <f t="shared" si="78"/>
        <v>262.12987527222333</v>
      </c>
      <c r="AE21" s="202">
        <f t="shared" si="78"/>
        <v>53.47890864551627</v>
      </c>
      <c r="AF21" s="202">
        <f t="shared" si="78"/>
        <v>240.16458392297764</v>
      </c>
      <c r="AG21" s="202">
        <f t="shared" si="78"/>
        <v>286.81578298975722</v>
      </c>
      <c r="AH21" s="202">
        <f t="shared" si="78"/>
        <v>184.11175198079675</v>
      </c>
      <c r="AI21" s="202">
        <f t="shared" si="78"/>
        <v>62.449789185909836</v>
      </c>
      <c r="AJ21" s="202">
        <f t="shared" ref="AJ21:AK21" si="79">IF(ISNUMBER(AJ20/AJ$7),AJ$8/(-AJ$7/AJ20),"")</f>
        <v>172.03541329093932</v>
      </c>
      <c r="AK21" s="202">
        <f t="shared" si="79"/>
        <v>244.99192875034788</v>
      </c>
      <c r="AL21" s="202">
        <f t="shared" ref="AL21:AM21" si="80">IF(ISNUMBER(AL20/AL$7),AL$8/(-AL$7/AL20),"")</f>
        <v>203.62452911055468</v>
      </c>
      <c r="AM21" s="202">
        <f t="shared" si="80"/>
        <v>50.981269207672483</v>
      </c>
      <c r="AN21" s="355">
        <f t="shared" ref="AN21" si="81">IF(ISNUMBER(AN20/AN$7),AN$8/(-AN$7/AN20),"")</f>
        <v>160.50459608780054</v>
      </c>
      <c r="AO21" s="484">
        <f>+Inputs!AO202</f>
        <v>282.35169737213522</v>
      </c>
      <c r="AP21" s="484">
        <f>+Inputs!AP202</f>
        <v>216.62205212119159</v>
      </c>
      <c r="AQ21" s="484">
        <f>+Inputs!AQ202</f>
        <v>55.636655679699537</v>
      </c>
      <c r="AR21" s="484">
        <f>+Inputs!AR202</f>
        <v>190.9015311005725</v>
      </c>
      <c r="AS21" s="484">
        <f>+Inputs!AS202</f>
        <v>285.35169737213522</v>
      </c>
      <c r="AT21" s="484">
        <f>+Inputs!AT202</f>
        <v>219.62205212119159</v>
      </c>
      <c r="AU21" s="484">
        <f>+Inputs!AU202</f>
        <v>58.636655679699537</v>
      </c>
      <c r="AV21" s="484">
        <f>+Inputs!AV202</f>
        <v>193.9015311005725</v>
      </c>
      <c r="AW21" s="484">
        <f>+Inputs!AW202</f>
        <v>288.35169737213522</v>
      </c>
      <c r="AX21" s="484">
        <f>+Inputs!AX202</f>
        <v>222.62205212119159</v>
      </c>
      <c r="AY21" s="484">
        <f>+Inputs!AY202</f>
        <v>61.636655679699537</v>
      </c>
      <c r="AZ21" s="484">
        <f>+Inputs!AZ202</f>
        <v>196.9015311005725</v>
      </c>
      <c r="BA21" s="484">
        <f>+Inputs!BA202</f>
        <v>291.35169737213522</v>
      </c>
      <c r="BB21" s="484">
        <f>+Inputs!BB202</f>
        <v>225.62205212119159</v>
      </c>
      <c r="BC21" s="484">
        <f>+Inputs!BC202</f>
        <v>64.636655679699544</v>
      </c>
      <c r="BD21" s="484">
        <f>+Inputs!BD202</f>
        <v>199.9015311005725</v>
      </c>
      <c r="BE21" s="484">
        <f>+Inputs!BE202</f>
        <v>294.35169737213522</v>
      </c>
      <c r="BF21" s="484">
        <f>+Inputs!BF202</f>
        <v>228.62205212119159</v>
      </c>
      <c r="BG21" s="484">
        <f>+Inputs!BG202</f>
        <v>67.636655679699544</v>
      </c>
      <c r="BH21" s="484">
        <f>+Inputs!BH202</f>
        <v>202.9015311005725</v>
      </c>
      <c r="BI21" s="484">
        <f>+Inputs!BI202</f>
        <v>297.35169737213522</v>
      </c>
      <c r="BJ21" s="484">
        <f>+Inputs!BJ202</f>
        <v>231.62205212119159</v>
      </c>
      <c r="BK21" s="484">
        <f>+Inputs!BK202</f>
        <v>70.636655679699544</v>
      </c>
      <c r="BL21" s="484">
        <f>+Inputs!BL202</f>
        <v>205.9015311005725</v>
      </c>
      <c r="BM21" s="484">
        <f>+Inputs!BM202</f>
        <v>300.35169737213522</v>
      </c>
      <c r="BN21" s="484">
        <f>+Inputs!BN202</f>
        <v>234.62205212119159</v>
      </c>
      <c r="BO21" s="484">
        <f>+Inputs!BO202</f>
        <v>73.636655679699544</v>
      </c>
      <c r="BP21" s="484">
        <f>+Inputs!BP202</f>
        <v>208.9015311005725</v>
      </c>
      <c r="BQ21" s="484">
        <f>+Inputs!BQ202</f>
        <v>303.35169737213522</v>
      </c>
      <c r="BR21" s="484">
        <f>+Inputs!BR202</f>
        <v>237.62205212119159</v>
      </c>
      <c r="BS21" s="484">
        <f>+Inputs!BS202</f>
        <v>76.636655679699544</v>
      </c>
    </row>
    <row r="22" spans="1:71" ht="5.25" customHeight="1">
      <c r="A22" s="198"/>
      <c r="B22" s="198"/>
      <c r="C22" s="198"/>
      <c r="D22" s="198"/>
      <c r="E22" s="198"/>
      <c r="F22" s="198"/>
      <c r="G22" s="198"/>
      <c r="H22" s="198"/>
      <c r="I22" s="198"/>
      <c r="J22" s="198"/>
      <c r="K22" s="198"/>
      <c r="L22" s="198"/>
      <c r="M22" s="198"/>
      <c r="N22" s="198"/>
      <c r="O22" s="198"/>
      <c r="P22" s="198"/>
      <c r="Q22" s="198"/>
      <c r="R22" s="198"/>
      <c r="S22" s="198"/>
      <c r="T22" s="198"/>
      <c r="U22" s="198"/>
      <c r="V22" s="198"/>
      <c r="W22" s="198"/>
      <c r="X22" s="198"/>
      <c r="Y22" s="198"/>
      <c r="Z22" s="198"/>
      <c r="AA22" s="198"/>
      <c r="AB22" s="198"/>
      <c r="AC22" s="198"/>
      <c r="AD22" s="198"/>
      <c r="AE22" s="934"/>
      <c r="AF22" s="934"/>
      <c r="AG22" s="934"/>
      <c r="AH22" s="934"/>
      <c r="AI22" s="934"/>
      <c r="AJ22" s="934"/>
      <c r="AK22" s="934"/>
      <c r="AL22" s="934"/>
      <c r="AM22" s="934"/>
      <c r="AN22" s="1805"/>
      <c r="AO22" s="1645"/>
      <c r="AP22" s="1645"/>
      <c r="AQ22" s="1645"/>
      <c r="AR22" s="1645"/>
      <c r="AS22" s="1645"/>
      <c r="AT22" s="1645"/>
      <c r="AU22" s="1645"/>
      <c r="AV22" s="1645"/>
      <c r="AW22" s="1645"/>
      <c r="AX22" s="1645"/>
      <c r="AY22" s="1645"/>
      <c r="AZ22" s="1645"/>
      <c r="BA22" s="1645"/>
      <c r="BB22" s="1645"/>
      <c r="BC22" s="1645"/>
      <c r="BD22" s="1645"/>
      <c r="BE22" s="1645"/>
      <c r="BF22" s="1645"/>
      <c r="BG22" s="1645"/>
      <c r="BH22" s="1645"/>
      <c r="BI22" s="1645"/>
      <c r="BJ22" s="1645"/>
      <c r="BK22" s="1645"/>
      <c r="BL22" s="1645"/>
      <c r="BM22" s="1645"/>
      <c r="BN22" s="1645"/>
      <c r="BO22" s="1645"/>
      <c r="BP22" s="1645"/>
      <c r="BQ22" s="1645"/>
      <c r="BR22" s="1645"/>
      <c r="BS22" s="1645"/>
    </row>
    <row r="23" spans="1:71">
      <c r="A23" s="1806" t="s">
        <v>92</v>
      </c>
      <c r="B23" s="196">
        <f>'Quarterly historicals'!H199</f>
        <v>65.265000000000001</v>
      </c>
      <c r="C23" s="196">
        <f>'Quarterly historicals'!I199</f>
        <v>57.356000000000002</v>
      </c>
      <c r="D23" s="196">
        <f>'Quarterly historicals'!J199</f>
        <v>51.18</v>
      </c>
      <c r="E23" s="196">
        <f>'Quarterly historicals'!K199</f>
        <v>62.878999999999998</v>
      </c>
      <c r="F23" s="196">
        <f>'Quarterly historicals'!L199</f>
        <v>58.069000000000003</v>
      </c>
      <c r="G23" s="196">
        <f>'Quarterly historicals'!M199</f>
        <v>63.872</v>
      </c>
      <c r="H23" s="196">
        <f>'Quarterly historicals'!N199</f>
        <v>73.995000000000005</v>
      </c>
      <c r="I23" s="196">
        <f>'Quarterly historicals'!O199</f>
        <v>11.359</v>
      </c>
      <c r="J23" s="196">
        <f>'Quarterly historicals'!P199</f>
        <v>10.537000000000001</v>
      </c>
      <c r="K23" s="196">
        <f>'Quarterly historicals'!Q199</f>
        <v>6.0860000000000003</v>
      </c>
      <c r="L23" s="196">
        <f>'Quarterly historicals'!R199</f>
        <v>11.579000000000001</v>
      </c>
      <c r="M23" s="196">
        <f>'Quarterly historicals'!S199</f>
        <v>13.789</v>
      </c>
      <c r="N23" s="196">
        <f>'Quarterly historicals'!T199</f>
        <v>8.2870000000000008</v>
      </c>
      <c r="O23" s="196">
        <f>'Quarterly historicals'!U199</f>
        <v>11.658999999999999</v>
      </c>
      <c r="P23" s="196">
        <f>'Quarterly historicals'!V199</f>
        <v>36.234999999999999</v>
      </c>
      <c r="Q23" s="196">
        <f>'Quarterly historicals'!W199</f>
        <v>5.8010000000000002</v>
      </c>
      <c r="R23" s="196">
        <f>'Quarterly historicals'!X199</f>
        <v>44.436999999999998</v>
      </c>
      <c r="S23" s="196">
        <f>'Quarterly historicals'!Y199</f>
        <v>16.614000000000001</v>
      </c>
      <c r="T23" s="196">
        <f>'Quarterly historicals'!Z199</f>
        <v>62.588999999999999</v>
      </c>
      <c r="U23" s="196">
        <f>'Quarterly historicals'!AA199</f>
        <v>32.545000000000002</v>
      </c>
      <c r="V23" s="196">
        <f>'Quarterly historicals'!AB199</f>
        <v>55.722999999999999</v>
      </c>
      <c r="W23" s="196">
        <f>'Quarterly historicals'!AC199</f>
        <v>84.998000000000005</v>
      </c>
      <c r="X23" s="196">
        <f>'Quarterly historicals'!AD199</f>
        <v>85.873999999999995</v>
      </c>
      <c r="Y23" s="196">
        <f>'Quarterly historicals'!AE199</f>
        <v>21.672999999999998</v>
      </c>
      <c r="Z23" s="196">
        <f>'Quarterly historicals'!AF199</f>
        <v>20.228000000000002</v>
      </c>
      <c r="AA23" s="196">
        <f>'Quarterly historicals'!AG199</f>
        <v>37.466999999999999</v>
      </c>
      <c r="AB23" s="196">
        <f>'Quarterly historicals'!AH199</f>
        <v>30.155000000000001</v>
      </c>
      <c r="AC23" s="196">
        <f>'Quarterly historicals'!AI199</f>
        <v>25.247</v>
      </c>
      <c r="AD23" s="196">
        <f>'Quarterly historicals'!AJ199</f>
        <v>20.696000000000002</v>
      </c>
      <c r="AE23" s="202">
        <f>'Quarterly historicals'!AK199</f>
        <v>68.718000000000004</v>
      </c>
      <c r="AF23" s="202">
        <f>'Quarterly historicals'!AL199</f>
        <v>83.635999999999996</v>
      </c>
      <c r="AG23" s="202">
        <f>'Quarterly historicals'!AM199</f>
        <v>94.132999999999996</v>
      </c>
      <c r="AH23" s="202">
        <f>'Quarterly historicals'!AN199</f>
        <v>89.763000000000005</v>
      </c>
      <c r="AI23" s="202">
        <f>'Quarterly historicals'!AO199</f>
        <v>119.78100000000001</v>
      </c>
      <c r="AJ23" s="202">
        <f>'Quarterly historicals'!AP199</f>
        <v>121.256</v>
      </c>
      <c r="AK23" s="202">
        <f>'Quarterly historicals'!AQ199</f>
        <v>123.762</v>
      </c>
      <c r="AL23" s="202">
        <f>'Quarterly historicals'!AR199</f>
        <v>7.9000000000000001E-2</v>
      </c>
      <c r="AM23" s="202">
        <f>'Quarterly historicals'!AS199</f>
        <v>11.231999999999999</v>
      </c>
      <c r="AN23" s="355">
        <f>'Quarterly historicals'!AT199</f>
        <v>4.8849999999999998</v>
      </c>
      <c r="AO23" s="357">
        <f t="shared" ref="AO23:BS23" si="82">-AO$7/AO$8*AO24</f>
        <v>138.52883011976652</v>
      </c>
      <c r="AP23" s="357">
        <f t="shared" si="82"/>
        <v>8.8425991657063996E-2</v>
      </c>
      <c r="AQ23" s="357">
        <f t="shared" si="82"/>
        <v>12.439628744005896</v>
      </c>
      <c r="AR23" s="357">
        <f t="shared" si="82"/>
        <v>6.6808987875794426</v>
      </c>
      <c r="AS23" s="357">
        <f t="shared" si="82"/>
        <v>145.86585000064414</v>
      </c>
      <c r="AT23" s="357">
        <f t="shared" si="82"/>
        <v>9.3109372424903344E-2</v>
      </c>
      <c r="AU23" s="357">
        <f t="shared" si="82"/>
        <v>10.485594145480178</v>
      </c>
      <c r="AV23" s="357">
        <f t="shared" si="82"/>
        <v>7.1271181305450533</v>
      </c>
      <c r="AW23" s="357">
        <f t="shared" si="82"/>
        <v>155.60827625464071</v>
      </c>
      <c r="AX23" s="357">
        <f t="shared" si="82"/>
        <v>9.9328176856519887E-2</v>
      </c>
      <c r="AY23" s="357">
        <f t="shared" si="82"/>
        <v>11.063007983766187</v>
      </c>
      <c r="AZ23" s="357">
        <f t="shared" si="82"/>
        <v>8.1201875764251259</v>
      </c>
      <c r="BA23" s="357">
        <f t="shared" si="82"/>
        <v>177.29022705776731</v>
      </c>
      <c r="BB23" s="357">
        <f t="shared" si="82"/>
        <v>0.11316824176696899</v>
      </c>
      <c r="BC23" s="357">
        <f t="shared" si="82"/>
        <v>12.744541418567584</v>
      </c>
      <c r="BD23" s="357">
        <f t="shared" si="82"/>
        <v>8.7212908844861978</v>
      </c>
      <c r="BE23" s="357">
        <f t="shared" si="82"/>
        <v>190.41427634459905</v>
      </c>
      <c r="BF23" s="357">
        <f t="shared" si="82"/>
        <v>0.12154561037494001</v>
      </c>
      <c r="BG23" s="357">
        <f t="shared" si="82"/>
        <v>13.687966177456588</v>
      </c>
      <c r="BH23" s="357">
        <f t="shared" si="82"/>
        <v>8.5982031924756459</v>
      </c>
      <c r="BI23" s="357">
        <f t="shared" si="82"/>
        <v>187.72686984577356</v>
      </c>
      <c r="BJ23" s="357">
        <f t="shared" si="82"/>
        <v>0.1198301798437009</v>
      </c>
      <c r="BK23" s="357">
        <f t="shared" si="82"/>
        <v>13.494781454298376</v>
      </c>
      <c r="BL23" s="357">
        <f t="shared" si="82"/>
        <v>8.5726581100461772</v>
      </c>
      <c r="BM23" s="357">
        <f t="shared" si="82"/>
        <v>187.16913722919236</v>
      </c>
      <c r="BN23" s="357">
        <f t="shared" si="82"/>
        <v>0.11947416687760534</v>
      </c>
      <c r="BO23" s="357">
        <f t="shared" si="82"/>
        <v>13.306835017520037</v>
      </c>
      <c r="BP23" s="357">
        <f t="shared" si="82"/>
        <v>8.4560549875467768</v>
      </c>
      <c r="BQ23" s="357">
        <f t="shared" si="82"/>
        <v>184.62331007076796</v>
      </c>
      <c r="BR23" s="357">
        <f t="shared" si="82"/>
        <v>0.11784910954566559</v>
      </c>
      <c r="BS23" s="357">
        <f t="shared" si="82"/>
        <v>13.271681474372974</v>
      </c>
    </row>
    <row r="24" spans="1:71">
      <c r="A24" s="1804" t="s">
        <v>13</v>
      </c>
      <c r="B24" s="196">
        <f t="shared" ref="B24:AI24" si="83">IF(ISNUMBER(B23/B$7),B$8/(-B$7/B23),"")</f>
        <v>73.639942602744782</v>
      </c>
      <c r="C24" s="196">
        <f t="shared" si="83"/>
        <v>41.638912157256939</v>
      </c>
      <c r="D24" s="196">
        <f t="shared" si="83"/>
        <v>77.320162696106919</v>
      </c>
      <c r="E24" s="196">
        <f t="shared" si="83"/>
        <v>54.347096568116264</v>
      </c>
      <c r="F24" s="196">
        <f t="shared" si="83"/>
        <v>47.583550809188317</v>
      </c>
      <c r="G24" s="196">
        <f t="shared" si="83"/>
        <v>36.947758124228713</v>
      </c>
      <c r="H24" s="196">
        <f t="shared" si="83"/>
        <v>49.130598158390121</v>
      </c>
      <c r="I24" s="196">
        <f t="shared" si="83"/>
        <v>6.6483529067474212</v>
      </c>
      <c r="J24" s="196">
        <f t="shared" si="83"/>
        <v>5.7451950715034998</v>
      </c>
      <c r="K24" s="196">
        <f t="shared" si="83"/>
        <v>3.3240684549095767</v>
      </c>
      <c r="L24" s="196">
        <f t="shared" si="83"/>
        <v>8.4426825848323386</v>
      </c>
      <c r="M24" s="196">
        <f t="shared" si="83"/>
        <v>9.0448037873602551</v>
      </c>
      <c r="N24" s="196">
        <f t="shared" si="83"/>
        <v>4.5502258986708686</v>
      </c>
      <c r="O24" s="196">
        <f t="shared" si="83"/>
        <v>7.9061934900542479</v>
      </c>
      <c r="P24" s="196">
        <f t="shared" si="83"/>
        <v>22.625120076849189</v>
      </c>
      <c r="Q24" s="196">
        <f t="shared" si="83"/>
        <v>3.4035394279519147</v>
      </c>
      <c r="R24" s="196">
        <f t="shared" si="83"/>
        <v>21.979000564500954</v>
      </c>
      <c r="S24" s="196">
        <f t="shared" si="83"/>
        <v>10.061652724259787</v>
      </c>
      <c r="T24" s="196">
        <f t="shared" si="83"/>
        <v>43.559320867270856</v>
      </c>
      <c r="U24" s="196">
        <f t="shared" si="83"/>
        <v>12.00277405854386</v>
      </c>
      <c r="V24" s="196">
        <f t="shared" si="83"/>
        <v>26.448789648554392</v>
      </c>
      <c r="W24" s="196">
        <f t="shared" si="83"/>
        <v>37.007856493217481</v>
      </c>
      <c r="X24" s="196">
        <f t="shared" si="83"/>
        <v>34.709048431226236</v>
      </c>
      <c r="Y24" s="196">
        <f t="shared" si="83"/>
        <v>6.4384255222964892</v>
      </c>
      <c r="Z24" s="196">
        <f t="shared" si="83"/>
        <v>8.6534484041365989</v>
      </c>
      <c r="AA24" s="196">
        <f t="shared" si="83"/>
        <v>13.874211559271403</v>
      </c>
      <c r="AB24" s="196">
        <f t="shared" si="83"/>
        <v>12.088302019779301</v>
      </c>
      <c r="AC24" s="196">
        <f t="shared" si="83"/>
        <v>10.745541435160556</v>
      </c>
      <c r="AD24" s="196">
        <f t="shared" si="83"/>
        <v>7.8533623704876927</v>
      </c>
      <c r="AE24" s="202">
        <f t="shared" si="83"/>
        <v>17.255375721575714</v>
      </c>
      <c r="AF24" s="202">
        <f t="shared" si="83"/>
        <v>36.510181858303064</v>
      </c>
      <c r="AG24" s="202">
        <f t="shared" si="83"/>
        <v>33.869664011138347</v>
      </c>
      <c r="AH24" s="202">
        <f t="shared" si="83"/>
        <v>21.759637857393177</v>
      </c>
      <c r="AI24" s="202">
        <f t="shared" si="83"/>
        <v>27.668736308506936</v>
      </c>
      <c r="AJ24" s="202">
        <f t="shared" ref="AJ24:AK24" si="84">IF(ISNUMBER(AJ23/AJ$7),AJ$8/(-AJ$7/AJ23),"")</f>
        <v>37.483044082328689</v>
      </c>
      <c r="AK24" s="202">
        <f t="shared" si="84"/>
        <v>34.074930644712389</v>
      </c>
      <c r="AL24" s="202">
        <f t="shared" ref="AL24:AN24" si="85">IF(ISNUMBER(AL23/AL$7),AL$8/(-AL$7/AL23),"")</f>
        <v>2.0493559811418642E-2</v>
      </c>
      <c r="AM24" s="202">
        <f t="shared" si="85"/>
        <v>2.2317990744992757</v>
      </c>
      <c r="AN24" s="355">
        <f t="shared" si="85"/>
        <v>1.3275645811557415</v>
      </c>
      <c r="AO24" s="361">
        <f t="shared" ref="AO24" si="86">AK24</f>
        <v>34.074930644712389</v>
      </c>
      <c r="AP24" s="361">
        <f t="shared" ref="AP24" si="87">AL24</f>
        <v>2.0493559811418642E-2</v>
      </c>
      <c r="AQ24" s="361">
        <f t="shared" ref="AQ24" si="88">AM24</f>
        <v>2.2317990744992757</v>
      </c>
      <c r="AR24" s="361">
        <f t="shared" ref="AR24" si="89">AN24</f>
        <v>1.3275645811557415</v>
      </c>
      <c r="AS24" s="361">
        <f t="shared" ref="AS24" si="90">AO24</f>
        <v>34.074930644712389</v>
      </c>
      <c r="AT24" s="361">
        <f t="shared" ref="AT24" si="91">AP24</f>
        <v>2.0493559811418642E-2</v>
      </c>
      <c r="AU24" s="361">
        <f t="shared" ref="AU24" si="92">AQ24</f>
        <v>2.2317990744992757</v>
      </c>
      <c r="AV24" s="361">
        <f t="shared" ref="AV24" si="93">AR24</f>
        <v>1.3275645811557415</v>
      </c>
      <c r="AW24" s="361">
        <f t="shared" ref="AW24" si="94">AS24</f>
        <v>34.074930644712389</v>
      </c>
      <c r="AX24" s="361">
        <f t="shared" ref="AX24" si="95">AT24</f>
        <v>2.0493559811418642E-2</v>
      </c>
      <c r="AY24" s="361">
        <f t="shared" ref="AY24" si="96">AU24</f>
        <v>2.2317990744992757</v>
      </c>
      <c r="AZ24" s="361">
        <f t="shared" ref="AZ24" si="97">AV24</f>
        <v>1.3275645811557415</v>
      </c>
      <c r="BA24" s="361">
        <f t="shared" ref="BA24" si="98">AW24</f>
        <v>34.074930644712389</v>
      </c>
      <c r="BB24" s="361">
        <f t="shared" ref="BB24" si="99">AX24</f>
        <v>2.0493559811418642E-2</v>
      </c>
      <c r="BC24" s="361">
        <f t="shared" ref="BC24" si="100">AY24</f>
        <v>2.2317990744992757</v>
      </c>
      <c r="BD24" s="361">
        <f t="shared" ref="BD24" si="101">AZ24</f>
        <v>1.3275645811557415</v>
      </c>
      <c r="BE24" s="361">
        <f t="shared" ref="BE24" si="102">BA24</f>
        <v>34.074930644712389</v>
      </c>
      <c r="BF24" s="361">
        <f t="shared" ref="BF24" si="103">BB24</f>
        <v>2.0493559811418642E-2</v>
      </c>
      <c r="BG24" s="361">
        <f t="shared" ref="BG24" si="104">BC24</f>
        <v>2.2317990744992757</v>
      </c>
      <c r="BH24" s="361">
        <f t="shared" ref="BH24" si="105">BD24</f>
        <v>1.3275645811557415</v>
      </c>
      <c r="BI24" s="361">
        <f t="shared" ref="BI24" si="106">BE24</f>
        <v>34.074930644712389</v>
      </c>
      <c r="BJ24" s="361">
        <f t="shared" ref="BJ24" si="107">BF24</f>
        <v>2.0493559811418642E-2</v>
      </c>
      <c r="BK24" s="361">
        <f t="shared" ref="BK24" si="108">BG24</f>
        <v>2.2317990744992757</v>
      </c>
      <c r="BL24" s="361">
        <f t="shared" ref="BL24" si="109">BH24</f>
        <v>1.3275645811557415</v>
      </c>
      <c r="BM24" s="361">
        <f t="shared" ref="BM24" si="110">BI24</f>
        <v>34.074930644712389</v>
      </c>
      <c r="BN24" s="361">
        <f t="shared" ref="BN24" si="111">BJ24</f>
        <v>2.0493559811418642E-2</v>
      </c>
      <c r="BO24" s="361">
        <f t="shared" ref="BO24" si="112">BK24</f>
        <v>2.2317990744992757</v>
      </c>
      <c r="BP24" s="361">
        <f t="shared" ref="BP24" si="113">BL24</f>
        <v>1.3275645811557415</v>
      </c>
      <c r="BQ24" s="361">
        <f t="shared" ref="BQ24" si="114">BM24</f>
        <v>34.074930644712389</v>
      </c>
      <c r="BR24" s="361">
        <f t="shared" ref="BR24" si="115">BN24</f>
        <v>2.0493559811418642E-2</v>
      </c>
      <c r="BS24" s="361">
        <f t="shared" ref="BS24" si="116">BO24</f>
        <v>2.2317990744992757</v>
      </c>
    </row>
    <row r="25" spans="1:71" ht="4.5" customHeight="1">
      <c r="A25" s="198"/>
      <c r="B25" s="198"/>
      <c r="C25" s="198"/>
      <c r="D25" s="198"/>
      <c r="E25" s="198"/>
      <c r="F25" s="198"/>
      <c r="G25" s="198"/>
      <c r="H25" s="198"/>
      <c r="I25" s="198"/>
      <c r="J25" s="198"/>
      <c r="K25" s="198"/>
      <c r="L25" s="198"/>
      <c r="M25" s="198"/>
      <c r="N25" s="198"/>
      <c r="O25" s="198"/>
      <c r="P25" s="198"/>
      <c r="Q25" s="198"/>
      <c r="R25" s="198"/>
      <c r="S25" s="198"/>
      <c r="T25" s="198"/>
      <c r="U25" s="198"/>
      <c r="V25" s="198"/>
      <c r="W25" s="198"/>
      <c r="X25" s="198"/>
      <c r="Y25" s="198"/>
      <c r="Z25" s="198"/>
      <c r="AA25" s="198"/>
      <c r="AB25" s="198"/>
      <c r="AC25" s="198"/>
      <c r="AD25" s="198"/>
      <c r="AE25" s="934"/>
      <c r="AF25" s="934"/>
      <c r="AG25" s="934"/>
      <c r="AH25" s="934"/>
      <c r="AI25" s="934"/>
      <c r="AJ25" s="934"/>
      <c r="AK25" s="934"/>
      <c r="AL25" s="934"/>
      <c r="AM25" s="934"/>
      <c r="AN25" s="1805"/>
      <c r="AO25" s="1645"/>
      <c r="AP25" s="1645"/>
      <c r="AQ25" s="1645"/>
      <c r="AR25" s="1645"/>
      <c r="AS25" s="1645"/>
      <c r="AT25" s="1645"/>
      <c r="AU25" s="1645"/>
      <c r="AV25" s="1645"/>
      <c r="AW25" s="1645"/>
      <c r="AX25" s="1645"/>
      <c r="AY25" s="1645"/>
      <c r="AZ25" s="1645"/>
      <c r="BA25" s="1645"/>
      <c r="BB25" s="1645"/>
      <c r="BC25" s="1645"/>
      <c r="BD25" s="1645"/>
      <c r="BE25" s="1645"/>
      <c r="BF25" s="1645"/>
      <c r="BG25" s="1645"/>
      <c r="BH25" s="1645"/>
      <c r="BI25" s="1645"/>
      <c r="BJ25" s="1645"/>
      <c r="BK25" s="1645"/>
      <c r="BL25" s="1645"/>
      <c r="BM25" s="1645"/>
      <c r="BN25" s="1645"/>
      <c r="BO25" s="1645"/>
      <c r="BP25" s="1645"/>
      <c r="BQ25" s="1645"/>
      <c r="BR25" s="1645"/>
      <c r="BS25" s="1645"/>
    </row>
    <row r="26" spans="1:71">
      <c r="A26" s="1806" t="s">
        <v>14</v>
      </c>
      <c r="B26" s="196">
        <f>'Quarterly historicals'!H218</f>
        <v>150.46799999999999</v>
      </c>
      <c r="C26" s="196">
        <f>'Quarterly historicals'!I218</f>
        <v>133.15100000000001</v>
      </c>
      <c r="D26" s="196">
        <f>'Quarterly historicals'!J218</f>
        <v>80.41</v>
      </c>
      <c r="E26" s="196">
        <f>'Quarterly historicals'!K218</f>
        <v>97.385999999999996</v>
      </c>
      <c r="F26" s="196">
        <f>'Quarterly historicals'!L218</f>
        <v>90.543999999999997</v>
      </c>
      <c r="G26" s="196">
        <f>'Quarterly historicals'!M218</f>
        <v>78.353000000000009</v>
      </c>
      <c r="H26" s="196">
        <f>'Quarterly historicals'!N218</f>
        <v>90.831000000000003</v>
      </c>
      <c r="I26" s="196">
        <f>'Quarterly historicals'!O218</f>
        <v>104.47499999999999</v>
      </c>
      <c r="J26" s="196">
        <f>'Quarterly historicals'!P218</f>
        <v>109.211</v>
      </c>
      <c r="K26" s="196">
        <f>'Quarterly historicals'!Q218</f>
        <v>76.375</v>
      </c>
      <c r="L26" s="196">
        <f>'Quarterly historicals'!R218</f>
        <v>99.15</v>
      </c>
      <c r="M26" s="196">
        <f>'Quarterly historicals'!S218</f>
        <v>138.077</v>
      </c>
      <c r="N26" s="196">
        <f>'Quarterly historicals'!T218</f>
        <v>133.88400000000001</v>
      </c>
      <c r="O26" s="196">
        <f>'Quarterly historicals'!U218</f>
        <v>63.298999999999999</v>
      </c>
      <c r="P26" s="196">
        <f>'Quarterly historicals'!V218</f>
        <v>106.333</v>
      </c>
      <c r="Q26" s="196">
        <f>'Quarterly historicals'!W218</f>
        <v>170.25700000000001</v>
      </c>
      <c r="R26" s="196">
        <f>'Quarterly historicals'!X218</f>
        <v>124.729</v>
      </c>
      <c r="S26" s="196">
        <f>'Quarterly historicals'!Y218</f>
        <v>79.010999999999996</v>
      </c>
      <c r="T26" s="196">
        <f>'Quarterly historicals'!Z218</f>
        <v>104.29100000000001</v>
      </c>
      <c r="U26" s="196">
        <f>'Quarterly historicals'!AA218</f>
        <v>173.13899999999998</v>
      </c>
      <c r="V26" s="196">
        <f>'Quarterly historicals'!AB218</f>
        <v>148.86699999999999</v>
      </c>
      <c r="W26" s="196">
        <f>'Quarterly historicals'!AC218</f>
        <v>98.234999999999999</v>
      </c>
      <c r="X26" s="196">
        <f>'Quarterly historicals'!AD218</f>
        <v>130.571</v>
      </c>
      <c r="Y26" s="196">
        <f>'Quarterly historicals'!AE218</f>
        <v>187.70400000000001</v>
      </c>
      <c r="Z26" s="196">
        <f>'Quarterly historicals'!AF218</f>
        <v>166.047</v>
      </c>
      <c r="AA26" s="196">
        <f>'Quarterly historicals'!AG218</f>
        <v>90.602000000000004</v>
      </c>
      <c r="AB26" s="196">
        <f>'Quarterly historicals'!AH218</f>
        <v>149.02799999999999</v>
      </c>
      <c r="AC26" s="196">
        <f>'Quarterly historicals'!AI218</f>
        <v>223.256</v>
      </c>
      <c r="AD26" s="196">
        <f>'Quarterly historicals'!AJ218</f>
        <v>151.96199999999999</v>
      </c>
      <c r="AE26" s="202">
        <f>'Quarterly historicals'!AK218</f>
        <v>115.727</v>
      </c>
      <c r="AF26" s="202">
        <f>'Quarterly historicals'!AL218</f>
        <v>176.12100000000001</v>
      </c>
      <c r="AG26" s="202">
        <f>'Quarterly historicals'!AM218</f>
        <v>189.797</v>
      </c>
      <c r="AH26" s="202">
        <f>'Quarterly historicals'!AN218</f>
        <v>191.78200000000001</v>
      </c>
      <c r="AI26" s="202">
        <f>'Quarterly historicals'!AO218</f>
        <v>137.71100000000001</v>
      </c>
      <c r="AJ26" s="202">
        <f>'Quarterly historicals'!AP218</f>
        <v>186.65799999999999</v>
      </c>
      <c r="AK26" s="202">
        <f>'Quarterly historicals'!AQ218</f>
        <v>265.904</v>
      </c>
      <c r="AL26" s="202">
        <f>'Quarterly historicals'!AR218</f>
        <v>208.661</v>
      </c>
      <c r="AM26" s="202">
        <f>'Quarterly historicals'!AS218</f>
        <v>138.93899999999999</v>
      </c>
      <c r="AN26" s="355">
        <f>'Quarterly historicals'!AT218</f>
        <v>224.49799999999999</v>
      </c>
      <c r="AO26" s="357">
        <f t="shared" ref="AO26:BS26" si="117">-AO$7/AO$8*AO27</f>
        <v>320.52025360651277</v>
      </c>
      <c r="AP26" s="357">
        <f t="shared" si="117"/>
        <v>227.65472298309444</v>
      </c>
      <c r="AQ26" s="357">
        <f t="shared" si="117"/>
        <v>164.38506733799198</v>
      </c>
      <c r="AR26" s="357">
        <f t="shared" si="117"/>
        <v>328.10542171168919</v>
      </c>
      <c r="AS26" s="357">
        <f t="shared" si="117"/>
        <v>324.65402559067252</v>
      </c>
      <c r="AT26" s="357">
        <f t="shared" si="117"/>
        <v>226.08214932076041</v>
      </c>
      <c r="AU26" s="357">
        <f t="shared" si="117"/>
        <v>124.46841751959911</v>
      </c>
      <c r="AV26" s="357">
        <f t="shared" si="117"/>
        <v>333.91398846690868</v>
      </c>
      <c r="AW26" s="357">
        <f t="shared" si="117"/>
        <v>332.63782114535627</v>
      </c>
      <c r="AX26" s="357">
        <f t="shared" si="117"/>
        <v>226.64184886975394</v>
      </c>
      <c r="AY26" s="357">
        <f t="shared" si="117"/>
        <v>116.45158982557402</v>
      </c>
      <c r="AZ26" s="357">
        <f t="shared" si="117"/>
        <v>362.09066324043295</v>
      </c>
      <c r="BA26" s="357">
        <f t="shared" si="117"/>
        <v>363.37763674135482</v>
      </c>
      <c r="BB26" s="357">
        <f t="shared" si="117"/>
        <v>241.65497596814316</v>
      </c>
      <c r="BC26" s="357">
        <f t="shared" si="117"/>
        <v>117.02046851715049</v>
      </c>
      <c r="BD26" s="357">
        <f t="shared" si="117"/>
        <v>369.18653781957534</v>
      </c>
      <c r="BE26" s="357">
        <f t="shared" si="117"/>
        <v>373.51263994664879</v>
      </c>
      <c r="BF26" s="357">
        <f t="shared" si="117"/>
        <v>241.75092451721591</v>
      </c>
      <c r="BG26" s="357">
        <f t="shared" si="117"/>
        <v>107.28354092877612</v>
      </c>
      <c r="BH26" s="357">
        <f t="shared" si="117"/>
        <v>344.54601164803256</v>
      </c>
      <c r="BI26" s="357">
        <f t="shared" si="117"/>
        <v>351.71336877377519</v>
      </c>
      <c r="BJ26" s="357">
        <f t="shared" si="117"/>
        <v>220.79734500638395</v>
      </c>
      <c r="BK26" s="357">
        <f t="shared" si="117"/>
        <v>87.629617644936758</v>
      </c>
      <c r="BL26" s="357">
        <f t="shared" si="117"/>
        <v>324.15007640087418</v>
      </c>
      <c r="BM26" s="357">
        <f t="shared" si="117"/>
        <v>334.18982807017494</v>
      </c>
      <c r="BN26" s="357">
        <f t="shared" si="117"/>
        <v>202.65184184719251</v>
      </c>
      <c r="BO26" s="357">
        <f t="shared" si="117"/>
        <v>68.522028844178536</v>
      </c>
      <c r="BP26" s="357">
        <f t="shared" si="117"/>
        <v>300.63227006453479</v>
      </c>
      <c r="BQ26" s="357">
        <f t="shared" si="117"/>
        <v>313.38979296982421</v>
      </c>
      <c r="BR26" s="357">
        <f t="shared" si="117"/>
        <v>182.64379201688081</v>
      </c>
      <c r="BS26" s="357">
        <f t="shared" si="117"/>
        <v>50.501122179021507</v>
      </c>
    </row>
    <row r="27" spans="1:71">
      <c r="A27" s="1804" t="s">
        <v>13</v>
      </c>
      <c r="B27" s="196">
        <f t="shared" ref="B27:AI27" si="118">IF(ISNUMBER(B26/B$7),B$8/(-B$7/B26),"")</f>
        <v>169.77637146326211</v>
      </c>
      <c r="C27" s="196">
        <f t="shared" si="118"/>
        <v>96.664041994750662</v>
      </c>
      <c r="D27" s="196">
        <f t="shared" si="118"/>
        <v>121.47937245787332</v>
      </c>
      <c r="E27" s="196">
        <f t="shared" si="118"/>
        <v>84.171923001042813</v>
      </c>
      <c r="F27" s="196">
        <f t="shared" si="118"/>
        <v>74.194579284422787</v>
      </c>
      <c r="G27" s="196">
        <f t="shared" si="118"/>
        <v>45.324519230769234</v>
      </c>
      <c r="H27" s="196">
        <f t="shared" si="118"/>
        <v>60.309228479285544</v>
      </c>
      <c r="I27" s="196">
        <f t="shared" si="118"/>
        <v>61.148575572888177</v>
      </c>
      <c r="J27" s="196">
        <f t="shared" si="118"/>
        <v>59.546217989367818</v>
      </c>
      <c r="K27" s="196">
        <f t="shared" si="118"/>
        <v>41.714710523121738</v>
      </c>
      <c r="L27" s="196">
        <f t="shared" si="118"/>
        <v>72.293978606626339</v>
      </c>
      <c r="M27" s="196">
        <f t="shared" si="118"/>
        <v>90.570699292721883</v>
      </c>
      <c r="N27" s="196">
        <f t="shared" si="118"/>
        <v>73.51302572917227</v>
      </c>
      <c r="O27" s="196">
        <f t="shared" si="118"/>
        <v>42.924276672694383</v>
      </c>
      <c r="P27" s="196">
        <f t="shared" si="118"/>
        <v>66.394284341978874</v>
      </c>
      <c r="Q27" s="196">
        <f t="shared" si="118"/>
        <v>99.892503427824366</v>
      </c>
      <c r="R27" s="196">
        <f t="shared" si="118"/>
        <v>61.692255584527295</v>
      </c>
      <c r="S27" s="196">
        <f t="shared" si="118"/>
        <v>47.850080859304803</v>
      </c>
      <c r="T27" s="196">
        <f t="shared" si="118"/>
        <v>72.582165117968728</v>
      </c>
      <c r="U27" s="196">
        <f t="shared" si="118"/>
        <v>63.854610469264863</v>
      </c>
      <c r="V27" s="196">
        <f t="shared" si="118"/>
        <v>70.659368099552196</v>
      </c>
      <c r="W27" s="196">
        <f t="shared" si="118"/>
        <v>42.771203823751371</v>
      </c>
      <c r="X27" s="196">
        <f t="shared" si="118"/>
        <v>52.774939594215255</v>
      </c>
      <c r="Y27" s="196">
        <f t="shared" si="118"/>
        <v>55.76146469049695</v>
      </c>
      <c r="Z27" s="196">
        <f t="shared" si="118"/>
        <v>71.034167844654419</v>
      </c>
      <c r="AA27" s="196">
        <f t="shared" si="118"/>
        <v>33.550359401422796</v>
      </c>
      <c r="AB27" s="196">
        <f t="shared" si="118"/>
        <v>59.741186317481983</v>
      </c>
      <c r="AC27" s="196">
        <f t="shared" si="118"/>
        <v>95.021452000166562</v>
      </c>
      <c r="AD27" s="196">
        <f t="shared" si="118"/>
        <v>57.663927935062368</v>
      </c>
      <c r="AE27" s="202">
        <f t="shared" si="118"/>
        <v>29.059531216432266</v>
      </c>
      <c r="AF27" s="202">
        <f t="shared" si="118"/>
        <v>76.883276807429766</v>
      </c>
      <c r="AG27" s="202">
        <f t="shared" si="118"/>
        <v>68.290191753391753</v>
      </c>
      <c r="AH27" s="202">
        <f t="shared" si="118"/>
        <v>46.490278484081166</v>
      </c>
      <c r="AI27" s="202">
        <f t="shared" si="118"/>
        <v>31.810465314038108</v>
      </c>
      <c r="AJ27" s="202">
        <f t="shared" ref="AJ27:AK27" si="119">IF(ISNUMBER(AJ26/AJ$7),AJ$8/(-AJ$7/AJ26),"")</f>
        <v>57.700320333173678</v>
      </c>
      <c r="AK27" s="202">
        <f t="shared" si="119"/>
        <v>73.210358253354045</v>
      </c>
      <c r="AL27" s="202">
        <f t="shared" ref="AL27:AM27" si="120">IF(ISNUMBER(AL26/AL$7),AL$8/(-AL$7/AL26),"")</f>
        <v>54.129198529245897</v>
      </c>
      <c r="AM27" s="202">
        <f t="shared" si="120"/>
        <v>27.607187643505601</v>
      </c>
      <c r="AN27" s="355">
        <f t="shared" ref="AN27" si="121">IF(ISNUMBER(AN26/AN$7),AN$8/(-AN$7/AN26),"")</f>
        <v>61.010356876213237</v>
      </c>
      <c r="AO27" s="484">
        <f>+Inputs!AO207</f>
        <v>78.840667335637463</v>
      </c>
      <c r="AP27" s="484">
        <f>+Inputs!AP207</f>
        <v>52.761134982796477</v>
      </c>
      <c r="AQ27" s="484">
        <f>+Inputs!AQ207</f>
        <v>29.492394724658656</v>
      </c>
      <c r="AR27" s="484">
        <f>+Inputs!AR207</f>
        <v>65.197984672272227</v>
      </c>
      <c r="AS27" s="484">
        <f>+Inputs!AS207</f>
        <v>75.840667335637463</v>
      </c>
      <c r="AT27" s="484">
        <f>+Inputs!AT207</f>
        <v>49.761134982796477</v>
      </c>
      <c r="AU27" s="484">
        <f>+Inputs!AU207</f>
        <v>26.492394724658656</v>
      </c>
      <c r="AV27" s="484">
        <f>+Inputs!AV207</f>
        <v>62.197984672272227</v>
      </c>
      <c r="AW27" s="484">
        <f>+Inputs!AW207</f>
        <v>72.840667335637463</v>
      </c>
      <c r="AX27" s="484">
        <f>+Inputs!AX207</f>
        <v>46.761134982796477</v>
      </c>
      <c r="AY27" s="484">
        <f>+Inputs!AY207</f>
        <v>23.492394724658656</v>
      </c>
      <c r="AZ27" s="484">
        <f>+Inputs!AZ207</f>
        <v>59.197984672272227</v>
      </c>
      <c r="BA27" s="484">
        <f>+Inputs!BA207</f>
        <v>69.840667335637463</v>
      </c>
      <c r="BB27" s="484">
        <f>+Inputs!BB207</f>
        <v>43.761134982796477</v>
      </c>
      <c r="BC27" s="484">
        <f>+Inputs!BC207</f>
        <v>20.492394724658656</v>
      </c>
      <c r="BD27" s="484">
        <f>+Inputs!BD207</f>
        <v>56.197984672272227</v>
      </c>
      <c r="BE27" s="484">
        <f>+Inputs!BE207</f>
        <v>66.840667335637463</v>
      </c>
      <c r="BF27" s="484">
        <f>+Inputs!BF207</f>
        <v>40.761134982796477</v>
      </c>
      <c r="BG27" s="484">
        <f>+Inputs!BG207</f>
        <v>17.492394724658656</v>
      </c>
      <c r="BH27" s="484">
        <f>+Inputs!BH207</f>
        <v>53.197984672272227</v>
      </c>
      <c r="BI27" s="484">
        <f>+Inputs!BI207</f>
        <v>63.840667335637463</v>
      </c>
      <c r="BJ27" s="484">
        <f>+Inputs!BJ207</f>
        <v>37.761134982796477</v>
      </c>
      <c r="BK27" s="484">
        <f>+Inputs!BK207</f>
        <v>14.492394724658656</v>
      </c>
      <c r="BL27" s="484">
        <f>+Inputs!BL207</f>
        <v>50.197984672272227</v>
      </c>
      <c r="BM27" s="484">
        <f>+Inputs!BM207</f>
        <v>60.840667335637463</v>
      </c>
      <c r="BN27" s="484">
        <f>+Inputs!BN207</f>
        <v>34.761134982796477</v>
      </c>
      <c r="BO27" s="484">
        <f>+Inputs!BO207</f>
        <v>11.492394724658656</v>
      </c>
      <c r="BP27" s="484">
        <f>+Inputs!BP207</f>
        <v>47.197984672272227</v>
      </c>
      <c r="BQ27" s="484">
        <f>+Inputs!BQ207</f>
        <v>57.840667335637463</v>
      </c>
      <c r="BR27" s="484">
        <f>+Inputs!BR207</f>
        <v>31.761134982796477</v>
      </c>
      <c r="BS27" s="484">
        <f>+Inputs!BS207</f>
        <v>8.4923947246586557</v>
      </c>
    </row>
    <row r="28" spans="1:71" ht="5.25" customHeight="1">
      <c r="A28" s="198"/>
      <c r="B28" s="198"/>
      <c r="C28" s="198"/>
      <c r="D28" s="198"/>
      <c r="E28" s="198"/>
      <c r="F28" s="198"/>
      <c r="G28" s="198"/>
      <c r="H28" s="198"/>
      <c r="I28" s="198"/>
      <c r="J28" s="198"/>
      <c r="K28" s="198"/>
      <c r="L28" s="198"/>
      <c r="M28" s="198"/>
      <c r="N28" s="198"/>
      <c r="O28" s="198"/>
      <c r="P28" s="198"/>
      <c r="Q28" s="198"/>
      <c r="R28" s="198"/>
      <c r="S28" s="198"/>
      <c r="T28" s="198"/>
      <c r="U28" s="198"/>
      <c r="V28" s="198"/>
      <c r="W28" s="198"/>
      <c r="X28" s="198"/>
      <c r="Y28" s="198"/>
      <c r="Z28" s="198"/>
      <c r="AA28" s="198"/>
      <c r="AB28" s="198"/>
      <c r="AC28" s="198"/>
      <c r="AD28" s="198"/>
      <c r="AE28" s="934"/>
      <c r="AF28" s="934"/>
      <c r="AG28" s="934"/>
      <c r="AH28" s="934"/>
      <c r="AI28" s="934"/>
      <c r="AJ28" s="934"/>
      <c r="AK28" s="934"/>
      <c r="AL28" s="934"/>
      <c r="AM28" s="934"/>
      <c r="AN28" s="1805"/>
      <c r="AO28" s="1807"/>
      <c r="AP28" s="1807"/>
      <c r="AQ28" s="1807"/>
      <c r="AR28" s="1807"/>
      <c r="AS28" s="1807"/>
      <c r="AT28" s="1807"/>
      <c r="AU28" s="1807"/>
      <c r="AV28" s="1807"/>
      <c r="AW28" s="1807"/>
      <c r="AX28" s="1807"/>
      <c r="AY28" s="1807"/>
      <c r="AZ28" s="1807"/>
      <c r="BA28" s="1807"/>
      <c r="BB28" s="1807"/>
      <c r="BC28" s="1807"/>
      <c r="BD28" s="1807"/>
      <c r="BE28" s="1807"/>
      <c r="BF28" s="1807"/>
      <c r="BG28" s="1807"/>
      <c r="BH28" s="1807"/>
      <c r="BI28" s="1807"/>
      <c r="BJ28" s="1807"/>
      <c r="BK28" s="1807"/>
      <c r="BL28" s="1807"/>
      <c r="BM28" s="1807"/>
      <c r="BN28" s="1807"/>
      <c r="BO28" s="1807"/>
      <c r="BP28" s="1807"/>
      <c r="BQ28" s="1807"/>
      <c r="BR28" s="1807"/>
      <c r="BS28" s="1807"/>
    </row>
    <row r="29" spans="1:71">
      <c r="A29" s="1806" t="s">
        <v>103</v>
      </c>
      <c r="B29" s="196">
        <f>'Quarterly historicals'!H219</f>
        <v>6.5229999999999997</v>
      </c>
      <c r="C29" s="196">
        <f>'Quarterly historicals'!I219</f>
        <v>9.9700000000000006</v>
      </c>
      <c r="D29" s="196">
        <f>'Quarterly historicals'!J219</f>
        <v>9.1519999999999992</v>
      </c>
      <c r="E29" s="196">
        <f>'Quarterly historicals'!K219</f>
        <v>9.6289999999999996</v>
      </c>
      <c r="F29" s="196">
        <f>'Quarterly historicals'!L219</f>
        <v>9.1029999999999998</v>
      </c>
      <c r="G29" s="196">
        <f>'Quarterly historicals'!M219</f>
        <v>9.7040000000000006</v>
      </c>
      <c r="H29" s="196">
        <f>'Quarterly historicals'!N219</f>
        <v>12.061999999999999</v>
      </c>
      <c r="I29" s="196">
        <f>'Quarterly historicals'!O219</f>
        <v>12.260999999999999</v>
      </c>
      <c r="J29" s="196">
        <f>'Quarterly historicals'!P219</f>
        <v>12.364000000000001</v>
      </c>
      <c r="K29" s="196">
        <f>'Quarterly historicals'!Q219</f>
        <v>16.602</v>
      </c>
      <c r="L29" s="196">
        <f>'Quarterly historicals'!R219</f>
        <v>14.747</v>
      </c>
      <c r="M29" s="196">
        <f>'Quarterly historicals'!S219</f>
        <v>27.561</v>
      </c>
      <c r="N29" s="196">
        <f>'Quarterly historicals'!T219</f>
        <v>19.652000000000001</v>
      </c>
      <c r="O29" s="196">
        <f>'Quarterly historicals'!U219</f>
        <v>64.343000000000004</v>
      </c>
      <c r="P29" s="196">
        <f>'Quarterly historicals'!V219</f>
        <v>15.81</v>
      </c>
      <c r="Q29" s="196">
        <f>'Quarterly historicals'!W219</f>
        <v>23.901</v>
      </c>
      <c r="R29" s="196">
        <f>'Quarterly historicals'!X219</f>
        <v>14.074999999999999</v>
      </c>
      <c r="S29" s="196">
        <f>'Quarterly historicals'!Y219</f>
        <v>12.199</v>
      </c>
      <c r="T29" s="196">
        <f>'Quarterly historicals'!Z219</f>
        <v>12.513999999999999</v>
      </c>
      <c r="U29" s="196">
        <f>'Quarterly historicals'!AA219</f>
        <v>15.37</v>
      </c>
      <c r="V29" s="196">
        <f>'Quarterly historicals'!AB219</f>
        <v>13.515000000000001</v>
      </c>
      <c r="W29" s="196">
        <f>'Quarterly historicals'!AC219</f>
        <v>12.484999999999999</v>
      </c>
      <c r="X29" s="196">
        <f>'Quarterly historicals'!AD219</f>
        <v>12.907999999999999</v>
      </c>
      <c r="Y29" s="196">
        <f>'Quarterly historicals'!AE219</f>
        <v>14.691000000000001</v>
      </c>
      <c r="Z29" s="196">
        <f>'Quarterly historicals'!AF219</f>
        <v>15.965999999999999</v>
      </c>
      <c r="AA29" s="196">
        <f>'Quarterly historicals'!AG219</f>
        <v>13.749000000000001</v>
      </c>
      <c r="AB29" s="196">
        <f>'Quarterly historicals'!AH219</f>
        <v>14.471</v>
      </c>
      <c r="AC29" s="196">
        <f>'Quarterly historicals'!AI219</f>
        <v>19.382999999999999</v>
      </c>
      <c r="AD29" s="196">
        <f>'Quarterly historicals'!AJ219</f>
        <v>11.967000000000001</v>
      </c>
      <c r="AE29" s="202">
        <f>'Quarterly historicals'!AK219</f>
        <v>14.531000000000001</v>
      </c>
      <c r="AF29" s="202">
        <f>'Quarterly historicals'!AL219</f>
        <v>15.038</v>
      </c>
      <c r="AG29" s="202">
        <f>'Quarterly historicals'!AM219</f>
        <v>18.995000000000001</v>
      </c>
      <c r="AH29" s="202">
        <f>'Quarterly historicals'!AN219</f>
        <v>17.611999999999998</v>
      </c>
      <c r="AI29" s="202">
        <f>'Quarterly historicals'!AO219</f>
        <v>19.614999999999998</v>
      </c>
      <c r="AJ29" s="202">
        <f>'Quarterly historicals'!AP219</f>
        <v>16.477</v>
      </c>
      <c r="AK29" s="202">
        <f>'Quarterly historicals'!AQ219</f>
        <v>11.164</v>
      </c>
      <c r="AL29" s="202">
        <f>'Quarterly historicals'!AR219</f>
        <v>15.59</v>
      </c>
      <c r="AM29" s="202">
        <f>'Quarterly historicals'!AS219</f>
        <v>20.481000000000002</v>
      </c>
      <c r="AN29" s="355">
        <f>'Quarterly historicals'!AT219</f>
        <v>20.404</v>
      </c>
      <c r="AO29" s="357">
        <f t="shared" ref="AO29:BS29" si="122">AO$6/AO$8*AO30</f>
        <v>14.126615520500373</v>
      </c>
      <c r="AP29" s="357">
        <f t="shared" si="122"/>
        <v>18.777852268704262</v>
      </c>
      <c r="AQ29" s="357">
        <f t="shared" si="122"/>
        <v>23.667506149797219</v>
      </c>
      <c r="AR29" s="357">
        <f t="shared" si="122"/>
        <v>29.756499271541834</v>
      </c>
      <c r="AS29" s="357">
        <f t="shared" si="122"/>
        <v>14.592863714890669</v>
      </c>
      <c r="AT29" s="357">
        <f t="shared" si="122"/>
        <v>19.320925189776744</v>
      </c>
      <c r="AU29" s="357">
        <f t="shared" si="122"/>
        <v>16.77407295796236</v>
      </c>
      <c r="AV29" s="357">
        <f t="shared" si="122"/>
        <v>31.914372154121299</v>
      </c>
      <c r="AW29" s="357">
        <f t="shared" si="122"/>
        <v>15.803646369672968</v>
      </c>
      <c r="AX29" s="357">
        <f t="shared" si="122"/>
        <v>20.895449297063642</v>
      </c>
      <c r="AY29" s="357">
        <f t="shared" si="122"/>
        <v>18.025141502938094</v>
      </c>
      <c r="AZ29" s="357">
        <f t="shared" si="122"/>
        <v>37.711922590859537</v>
      </c>
      <c r="BA29" s="357">
        <f t="shared" si="122"/>
        <v>18.042403715318365</v>
      </c>
      <c r="BB29" s="357">
        <f t="shared" si="122"/>
        <v>23.926791610095556</v>
      </c>
      <c r="BC29" s="357">
        <f t="shared" si="122"/>
        <v>20.430741566612696</v>
      </c>
      <c r="BD29" s="357">
        <f t="shared" si="122"/>
        <v>40.638813880328229</v>
      </c>
      <c r="BE29" s="357">
        <f t="shared" si="122"/>
        <v>19.284776001344465</v>
      </c>
      <c r="BF29" s="357">
        <f t="shared" si="122"/>
        <v>25.566772451305102</v>
      </c>
      <c r="BG29" s="357">
        <f t="shared" si="122"/>
        <v>21.692411129644579</v>
      </c>
      <c r="BH29" s="357">
        <f t="shared" si="122"/>
        <v>37.225219270494556</v>
      </c>
      <c r="BI29" s="357">
        <f t="shared" si="122"/>
        <v>18.598702043342847</v>
      </c>
      <c r="BJ29" s="357">
        <f t="shared" si="122"/>
        <v>24.504335097615151</v>
      </c>
      <c r="BK29" s="357">
        <f t="shared" si="122"/>
        <v>21.410350765821995</v>
      </c>
      <c r="BL29" s="357">
        <f t="shared" si="122"/>
        <v>35.119747040651987</v>
      </c>
      <c r="BM29" s="357">
        <f t="shared" si="122"/>
        <v>18.314052310677475</v>
      </c>
      <c r="BN29" s="357">
        <f t="shared" si="122"/>
        <v>24.014822735711007</v>
      </c>
      <c r="BO29" s="357">
        <f t="shared" si="122"/>
        <v>21.238778148838012</v>
      </c>
      <c r="BP29" s="357">
        <f t="shared" si="122"/>
        <v>39.809880125064041</v>
      </c>
      <c r="BQ29" s="357">
        <f t="shared" si="122"/>
        <v>20.380031299572138</v>
      </c>
      <c r="BR29" s="357">
        <f t="shared" si="122"/>
        <v>26.823648209215456</v>
      </c>
      <c r="BS29" s="357">
        <f t="shared" si="122"/>
        <v>23.794226925552291</v>
      </c>
    </row>
    <row r="30" spans="1:71">
      <c r="A30" s="1804" t="s">
        <v>12</v>
      </c>
      <c r="B30" s="196">
        <f t="shared" ref="B30:AI30" si="123">IF(ISNUMBER(B29/B$6),B$8/(B$6/B29),"")</f>
        <v>4.7147054664299297</v>
      </c>
      <c r="C30" s="196">
        <f t="shared" si="123"/>
        <v>3.9190928725701948</v>
      </c>
      <c r="D30" s="196">
        <f t="shared" si="123"/>
        <v>9.0470148605196847</v>
      </c>
      <c r="E30" s="196">
        <f t="shared" si="123"/>
        <v>4.55897443814876</v>
      </c>
      <c r="F30" s="196">
        <f t="shared" si="123"/>
        <v>3.792641837548004</v>
      </c>
      <c r="G30" s="196">
        <f t="shared" si="123"/>
        <v>3.2678535347866111</v>
      </c>
      <c r="H30" s="196">
        <f t="shared" si="123"/>
        <v>5.047674231450185</v>
      </c>
      <c r="I30" s="196">
        <f t="shared" si="123"/>
        <v>3.9400063570348274</v>
      </c>
      <c r="J30" s="196">
        <f t="shared" si="123"/>
        <v>3.509065051811314</v>
      </c>
      <c r="K30" s="196">
        <f t="shared" si="123"/>
        <v>4.2044926936746041</v>
      </c>
      <c r="L30" s="196">
        <f t="shared" si="123"/>
        <v>4.7012517034447248</v>
      </c>
      <c r="M30" s="196">
        <f t="shared" si="123"/>
        <v>7.4851572832042326</v>
      </c>
      <c r="N30" s="196">
        <f t="shared" si="123"/>
        <v>4.6324711428827658</v>
      </c>
      <c r="O30" s="196">
        <f t="shared" si="123"/>
        <v>20.64186925215656</v>
      </c>
      <c r="P30" s="196">
        <f t="shared" si="123"/>
        <v>4.3736700025535944</v>
      </c>
      <c r="Q30" s="196">
        <f t="shared" si="123"/>
        <v>5.5231612420313381</v>
      </c>
      <c r="R30" s="196">
        <f t="shared" si="123"/>
        <v>3.4036188914122301</v>
      </c>
      <c r="S30" s="196">
        <f t="shared" si="123"/>
        <v>4.2783383178146384</v>
      </c>
      <c r="T30" s="196">
        <f t="shared" si="123"/>
        <v>3.9225732226941266</v>
      </c>
      <c r="U30" s="196">
        <f t="shared" si="123"/>
        <v>2.5854934879953482</v>
      </c>
      <c r="V30" s="196">
        <f t="shared" si="123"/>
        <v>3.1484670157704429</v>
      </c>
      <c r="W30" s="196">
        <f t="shared" si="123"/>
        <v>2.7825998667700151</v>
      </c>
      <c r="X30" s="196">
        <f t="shared" si="123"/>
        <v>2.3765338555945137</v>
      </c>
      <c r="Y30" s="196">
        <f t="shared" si="123"/>
        <v>2.1994877085862514</v>
      </c>
      <c r="Z30" s="196">
        <f t="shared" si="123"/>
        <v>3.4576989350583318</v>
      </c>
      <c r="AA30" s="196">
        <f t="shared" si="123"/>
        <v>2.8243438486452437</v>
      </c>
      <c r="AB30" s="196">
        <f t="shared" si="123"/>
        <v>2.6095368128187948</v>
      </c>
      <c r="AC30" s="196">
        <f t="shared" si="123"/>
        <v>3.5137170521785905</v>
      </c>
      <c r="AD30" s="196">
        <f t="shared" si="123"/>
        <v>1.8820315665134439</v>
      </c>
      <c r="AE30" s="202">
        <f t="shared" si="123"/>
        <v>1.8767058810023334</v>
      </c>
      <c r="AF30" s="202">
        <f t="shared" si="123"/>
        <v>3.0334678134420998</v>
      </c>
      <c r="AG30" s="202">
        <f t="shared" si="123"/>
        <v>2.6447584282246401</v>
      </c>
      <c r="AH30" s="202">
        <f t="shared" si="123"/>
        <v>2.0201855977817034</v>
      </c>
      <c r="AI30" s="202">
        <f t="shared" si="123"/>
        <v>2.1942199302998824</v>
      </c>
      <c r="AJ30" s="202">
        <f t="shared" ref="AJ30:AK30" si="124">IF(ISNUMBER(AJ29/AJ$6),AJ$8/(AJ$6/AJ29),"")</f>
        <v>2.3375712071938364</v>
      </c>
      <c r="AK30" s="202">
        <f t="shared" si="124"/>
        <v>1.4177545079212144</v>
      </c>
      <c r="AL30" s="202">
        <f t="shared" ref="AL30:AM30" si="125">IF(ISNUMBER(AL29/AL$6),AL$8/(AL$6/AL29),"")</f>
        <v>1.9463065390732288</v>
      </c>
      <c r="AM30" s="202">
        <f t="shared" si="125"/>
        <v>2.0479361651067918</v>
      </c>
      <c r="AN30" s="355">
        <f t="shared" ref="AN30" si="126">IF(ISNUMBER(AN29/AN$6),AN$8/(AN$6/AN29),"")</f>
        <v>2.2856784108269004</v>
      </c>
      <c r="AO30" s="361">
        <f t="shared" ref="AO30:BS30" si="127">AK30</f>
        <v>1.4177545079212144</v>
      </c>
      <c r="AP30" s="361">
        <f t="shared" si="127"/>
        <v>1.9463065390732288</v>
      </c>
      <c r="AQ30" s="361">
        <f t="shared" si="127"/>
        <v>2.0479361651067918</v>
      </c>
      <c r="AR30" s="361">
        <f t="shared" si="127"/>
        <v>2.2856784108269004</v>
      </c>
      <c r="AS30" s="361">
        <f t="shared" si="127"/>
        <v>1.4177545079212144</v>
      </c>
      <c r="AT30" s="361">
        <f t="shared" si="127"/>
        <v>1.9463065390732288</v>
      </c>
      <c r="AU30" s="361">
        <f t="shared" si="127"/>
        <v>2.0479361651067918</v>
      </c>
      <c r="AV30" s="361">
        <f t="shared" si="127"/>
        <v>2.2856784108269004</v>
      </c>
      <c r="AW30" s="361">
        <f t="shared" si="127"/>
        <v>1.4177545079212144</v>
      </c>
      <c r="AX30" s="361">
        <f t="shared" si="127"/>
        <v>1.9463065390732288</v>
      </c>
      <c r="AY30" s="361">
        <f t="shared" si="127"/>
        <v>2.0479361651067918</v>
      </c>
      <c r="AZ30" s="361">
        <f t="shared" si="127"/>
        <v>2.2856784108269004</v>
      </c>
      <c r="BA30" s="361">
        <f t="shared" si="127"/>
        <v>1.4177545079212144</v>
      </c>
      <c r="BB30" s="361">
        <f t="shared" si="127"/>
        <v>1.9463065390732288</v>
      </c>
      <c r="BC30" s="361">
        <f t="shared" si="127"/>
        <v>2.0479361651067918</v>
      </c>
      <c r="BD30" s="361">
        <f t="shared" si="127"/>
        <v>2.2856784108269004</v>
      </c>
      <c r="BE30" s="361">
        <f t="shared" si="127"/>
        <v>1.4177545079212144</v>
      </c>
      <c r="BF30" s="361">
        <f t="shared" si="127"/>
        <v>1.9463065390732288</v>
      </c>
      <c r="BG30" s="361">
        <f t="shared" si="127"/>
        <v>2.0479361651067918</v>
      </c>
      <c r="BH30" s="361">
        <f t="shared" si="127"/>
        <v>2.2856784108269004</v>
      </c>
      <c r="BI30" s="361">
        <f t="shared" si="127"/>
        <v>1.4177545079212144</v>
      </c>
      <c r="BJ30" s="361">
        <f t="shared" si="127"/>
        <v>1.9463065390732288</v>
      </c>
      <c r="BK30" s="361">
        <f t="shared" si="127"/>
        <v>2.0479361651067918</v>
      </c>
      <c r="BL30" s="361">
        <f t="shared" si="127"/>
        <v>2.2856784108269004</v>
      </c>
      <c r="BM30" s="361">
        <f t="shared" si="127"/>
        <v>1.4177545079212144</v>
      </c>
      <c r="BN30" s="361">
        <f t="shared" si="127"/>
        <v>1.9463065390732288</v>
      </c>
      <c r="BO30" s="361">
        <f t="shared" si="127"/>
        <v>2.0479361651067918</v>
      </c>
      <c r="BP30" s="361">
        <f t="shared" si="127"/>
        <v>2.2856784108269004</v>
      </c>
      <c r="BQ30" s="361">
        <f t="shared" si="127"/>
        <v>1.4177545079212144</v>
      </c>
      <c r="BR30" s="361">
        <f t="shared" si="127"/>
        <v>1.9463065390732288</v>
      </c>
      <c r="BS30" s="361">
        <f t="shared" si="127"/>
        <v>2.0479361651067918</v>
      </c>
    </row>
    <row r="31" spans="1:71" ht="5.25" customHeight="1">
      <c r="A31" s="198"/>
      <c r="B31" s="198"/>
      <c r="C31" s="198"/>
      <c r="D31" s="198"/>
      <c r="E31" s="198"/>
      <c r="F31" s="198"/>
      <c r="G31" s="198"/>
      <c r="H31" s="198"/>
      <c r="I31" s="198"/>
      <c r="J31" s="198"/>
      <c r="K31" s="198"/>
      <c r="L31" s="198"/>
      <c r="M31" s="198"/>
      <c r="N31" s="198"/>
      <c r="O31" s="198"/>
      <c r="P31" s="198"/>
      <c r="Q31" s="198"/>
      <c r="R31" s="198"/>
      <c r="S31" s="198"/>
      <c r="T31" s="198"/>
      <c r="U31" s="198"/>
      <c r="V31" s="198"/>
      <c r="W31" s="198"/>
      <c r="X31" s="198"/>
      <c r="Y31" s="198"/>
      <c r="Z31" s="198"/>
      <c r="AA31" s="198"/>
      <c r="AB31" s="198"/>
      <c r="AC31" s="198"/>
      <c r="AD31" s="198"/>
      <c r="AE31" s="934"/>
      <c r="AF31" s="934"/>
      <c r="AG31" s="934"/>
      <c r="AH31" s="934"/>
      <c r="AI31" s="934"/>
      <c r="AJ31" s="934"/>
      <c r="AK31" s="934"/>
      <c r="AL31" s="934"/>
      <c r="AM31" s="934"/>
      <c r="AN31" s="1805"/>
      <c r="AO31" s="1645"/>
      <c r="AP31" s="1645"/>
      <c r="AQ31" s="1645"/>
      <c r="AR31" s="1645"/>
      <c r="AS31" s="1645"/>
      <c r="AT31" s="1645"/>
      <c r="AU31" s="1645"/>
      <c r="AV31" s="1645"/>
      <c r="AW31" s="1645"/>
      <c r="AX31" s="1645"/>
      <c r="AY31" s="1645"/>
      <c r="AZ31" s="1645"/>
      <c r="BA31" s="1645"/>
      <c r="BB31" s="1645"/>
      <c r="BC31" s="1645"/>
      <c r="BD31" s="1645"/>
      <c r="BE31" s="1645"/>
      <c r="BF31" s="1645"/>
      <c r="BG31" s="1645"/>
      <c r="BH31" s="1645"/>
      <c r="BI31" s="1645"/>
      <c r="BJ31" s="1645"/>
      <c r="BK31" s="1645"/>
      <c r="BL31" s="1645"/>
      <c r="BM31" s="1645"/>
      <c r="BN31" s="1645"/>
      <c r="BO31" s="1645"/>
      <c r="BP31" s="1645"/>
      <c r="BQ31" s="1645"/>
      <c r="BR31" s="1645"/>
      <c r="BS31" s="1645"/>
    </row>
    <row r="32" spans="1:71">
      <c r="A32" s="1806" t="s">
        <v>105</v>
      </c>
      <c r="B32" s="196">
        <f>'Quarterly historicals'!H222</f>
        <v>22.745000000000001</v>
      </c>
      <c r="C32" s="196">
        <f>'Quarterly historicals'!I222</f>
        <v>24.931000000000001</v>
      </c>
      <c r="D32" s="196">
        <f>'Quarterly historicals'!J222</f>
        <v>40.122</v>
      </c>
      <c r="E32" s="196">
        <f>'Quarterly historicals'!K222</f>
        <v>40.447000000000003</v>
      </c>
      <c r="F32" s="196">
        <f>'Quarterly historicals'!L222</f>
        <v>34.814999999999998</v>
      </c>
      <c r="G32" s="196">
        <f>'Quarterly historicals'!M222</f>
        <v>60.790000000000006</v>
      </c>
      <c r="H32" s="196">
        <f>'Quarterly historicals'!N222</f>
        <v>70.429000000000002</v>
      </c>
      <c r="I32" s="196">
        <f>'Quarterly historicals'!O222</f>
        <v>65.414000000000001</v>
      </c>
      <c r="J32" s="196">
        <f>'Quarterly historicals'!P222</f>
        <v>55.869</v>
      </c>
      <c r="K32" s="196">
        <f>'Quarterly historicals'!Q222</f>
        <v>61.368000000000002</v>
      </c>
      <c r="L32" s="196">
        <f>'Quarterly historicals'!R222</f>
        <v>74.169999999999987</v>
      </c>
      <c r="M32" s="196">
        <f>'Quarterly historicals'!S222</f>
        <v>89.322000000000003</v>
      </c>
      <c r="N32" s="196">
        <f>'Quarterly historicals'!T222</f>
        <v>66.677000000000007</v>
      </c>
      <c r="O32" s="196">
        <f>'Quarterly historicals'!U222</f>
        <v>1.5339999999999998</v>
      </c>
      <c r="P32" s="196">
        <f>'Quarterly historicals'!V222</f>
        <v>63.085999999999999</v>
      </c>
      <c r="Q32" s="196">
        <f>'Quarterly historicals'!W222</f>
        <v>53.698</v>
      </c>
      <c r="R32" s="196">
        <f>'Quarterly historicals'!X222</f>
        <v>59.777000000000001</v>
      </c>
      <c r="S32" s="196">
        <f>'Quarterly historicals'!Y222</f>
        <v>125.41800000000001</v>
      </c>
      <c r="T32" s="196">
        <f>'Quarterly historicals'!Z222</f>
        <v>143.77199999999999</v>
      </c>
      <c r="U32" s="196">
        <f>'Quarterly historicals'!AA222</f>
        <v>165.45</v>
      </c>
      <c r="V32" s="196">
        <f>'Quarterly historicals'!AB222</f>
        <v>123.20699999999999</v>
      </c>
      <c r="W32" s="196">
        <f>'Quarterly historicals'!AC222</f>
        <v>169.03</v>
      </c>
      <c r="X32" s="196">
        <f>'Quarterly historicals'!AD222</f>
        <v>273.97700000000003</v>
      </c>
      <c r="Y32" s="196">
        <f>'Quarterly historicals'!AE222</f>
        <v>265.41699999999997</v>
      </c>
      <c r="Z32" s="196">
        <f>'Quarterly historicals'!AF222</f>
        <v>184.17500000000001</v>
      </c>
      <c r="AA32" s="196">
        <f>'Quarterly historicals'!AG222</f>
        <v>169.06</v>
      </c>
      <c r="AB32" s="196">
        <f>'Quarterly historicals'!AH222</f>
        <v>224.96599999999998</v>
      </c>
      <c r="AC32" s="196">
        <f>'Quarterly historicals'!AI222</f>
        <v>226.96199999999976</v>
      </c>
      <c r="AD32" s="196">
        <f>'Quarterly historicals'!AJ222</f>
        <v>205.99499999999989</v>
      </c>
      <c r="AE32" s="202">
        <f>'Quarterly historicals'!AK222</f>
        <v>384.08999999999992</v>
      </c>
      <c r="AF32" s="202">
        <f>'Quarterly historicals'!AL222</f>
        <v>299.06399999999985</v>
      </c>
      <c r="AG32" s="202">
        <f>'Quarterly historicals'!AM222</f>
        <v>454.80200000000013</v>
      </c>
      <c r="AH32" s="202">
        <f>'Quarterly historicals'!AN222</f>
        <v>347.24599999999987</v>
      </c>
      <c r="AI32" s="202">
        <f>'Quarterly historicals'!AO222</f>
        <v>381.63</v>
      </c>
      <c r="AJ32" s="202">
        <f>'Quarterly historicals'!AP222</f>
        <v>459.66300000000024</v>
      </c>
      <c r="AK32" s="202">
        <f>'Quarterly historicals'!AQ222</f>
        <v>381.40100000000007</v>
      </c>
      <c r="AL32" s="202">
        <f>'Quarterly historicals'!AR222</f>
        <v>317.6382000000001</v>
      </c>
      <c r="AM32" s="202">
        <f>'Quarterly historicals'!AS222</f>
        <v>252.14700000000016</v>
      </c>
      <c r="AN32" s="355">
        <f>'Quarterly historicals'!AT222</f>
        <v>275.99900000000002</v>
      </c>
      <c r="AO32" s="357">
        <f t="shared" ref="AO32:BS32" si="128">AO$6/AO$8*AO33</f>
        <v>482.61423200773584</v>
      </c>
      <c r="AP32" s="357">
        <f t="shared" si="128"/>
        <v>382.58904390616675</v>
      </c>
      <c r="AQ32" s="357">
        <f t="shared" si="128"/>
        <v>291.37691876143367</v>
      </c>
      <c r="AR32" s="357">
        <f t="shared" si="128"/>
        <v>402.50754961998996</v>
      </c>
      <c r="AS32" s="357">
        <f t="shared" si="128"/>
        <v>498.54288908303624</v>
      </c>
      <c r="AT32" s="357">
        <f t="shared" si="128"/>
        <v>393.65387425371034</v>
      </c>
      <c r="AU32" s="357">
        <f t="shared" si="128"/>
        <v>206.51004219185282</v>
      </c>
      <c r="AV32" s="357">
        <f t="shared" si="128"/>
        <v>431.69647128824374</v>
      </c>
      <c r="AW32" s="357">
        <f t="shared" si="128"/>
        <v>539.90742825507346</v>
      </c>
      <c r="AX32" s="357">
        <f t="shared" si="128"/>
        <v>425.73398992370505</v>
      </c>
      <c r="AY32" s="357">
        <f t="shared" si="128"/>
        <v>221.912277454291</v>
      </c>
      <c r="AZ32" s="357">
        <f t="shared" si="128"/>
        <v>510.11825735907871</v>
      </c>
      <c r="BA32" s="357">
        <f t="shared" si="128"/>
        <v>616.39115186547292</v>
      </c>
      <c r="BB32" s="357">
        <f t="shared" si="128"/>
        <v>487.49602429800228</v>
      </c>
      <c r="BC32" s="357">
        <f t="shared" si="128"/>
        <v>251.52825515339555</v>
      </c>
      <c r="BD32" s="357">
        <f t="shared" si="128"/>
        <v>549.70946834722167</v>
      </c>
      <c r="BE32" s="357">
        <f t="shared" si="128"/>
        <v>658.83490251601404</v>
      </c>
      <c r="BF32" s="357">
        <f t="shared" si="128"/>
        <v>520.90978712265178</v>
      </c>
      <c r="BG32" s="357">
        <f t="shared" si="128"/>
        <v>267.06100234883525</v>
      </c>
      <c r="BH32" s="357">
        <f t="shared" si="128"/>
        <v>503.53476246996803</v>
      </c>
      <c r="BI32" s="357">
        <f t="shared" si="128"/>
        <v>635.39623414842401</v>
      </c>
      <c r="BJ32" s="357">
        <f t="shared" si="128"/>
        <v>499.26317463779998</v>
      </c>
      <c r="BK32" s="357">
        <f t="shared" si="128"/>
        <v>263.58848271811542</v>
      </c>
      <c r="BL32" s="357">
        <f t="shared" si="128"/>
        <v>475.05464925862123</v>
      </c>
      <c r="BM32" s="357">
        <f t="shared" si="128"/>
        <v>625.67161101260308</v>
      </c>
      <c r="BN32" s="357">
        <f t="shared" si="128"/>
        <v>489.28961302696092</v>
      </c>
      <c r="BO32" s="357">
        <f t="shared" si="128"/>
        <v>261.47620691836636</v>
      </c>
      <c r="BP32" s="357">
        <f t="shared" si="128"/>
        <v>538.49672145841748</v>
      </c>
      <c r="BQ32" s="357">
        <f t="shared" si="128"/>
        <v>696.25262609173353</v>
      </c>
      <c r="BR32" s="357">
        <f t="shared" si="128"/>
        <v>546.51798169393339</v>
      </c>
      <c r="BS32" s="357">
        <f t="shared" si="128"/>
        <v>292.93701169851261</v>
      </c>
    </row>
    <row r="33" spans="1:71">
      <c r="A33" s="1804" t="s">
        <v>12</v>
      </c>
      <c r="B33" s="196">
        <f t="shared" ref="B33:AI33" si="129">IF(ISNUMBER(B32/B$6),B$8/(B$6/B32),"")</f>
        <v>16.439671291422467</v>
      </c>
      <c r="C33" s="196">
        <f t="shared" si="129"/>
        <v>9.8000907127429802</v>
      </c>
      <c r="D33" s="196">
        <f t="shared" si="129"/>
        <v>39.66174936994873</v>
      </c>
      <c r="E33" s="196">
        <f t="shared" si="129"/>
        <v>19.150154647398789</v>
      </c>
      <c r="F33" s="196">
        <f t="shared" si="129"/>
        <v>14.505198898630534</v>
      </c>
      <c r="G33" s="196">
        <f t="shared" si="129"/>
        <v>20.471230047369961</v>
      </c>
      <c r="H33" s="196">
        <f t="shared" si="129"/>
        <v>29.472943827458558</v>
      </c>
      <c r="I33" s="196">
        <f t="shared" si="129"/>
        <v>21.020436819107431</v>
      </c>
      <c r="J33" s="196">
        <f t="shared" si="129"/>
        <v>15.856353557072653</v>
      </c>
      <c r="K33" s="196">
        <f t="shared" si="129"/>
        <v>15.541579787099334</v>
      </c>
      <c r="L33" s="196">
        <f t="shared" si="129"/>
        <v>23.644933806502692</v>
      </c>
      <c r="M33" s="196">
        <f t="shared" si="129"/>
        <v>24.258525410920083</v>
      </c>
      <c r="N33" s="196">
        <f t="shared" si="129"/>
        <v>15.717447506309496</v>
      </c>
      <c r="O33" s="196">
        <f t="shared" si="129"/>
        <v>0.49212233549582951</v>
      </c>
      <c r="P33" s="196">
        <f t="shared" si="129"/>
        <v>17.452077532011135</v>
      </c>
      <c r="Q33" s="196">
        <f t="shared" si="129"/>
        <v>12.408799312773473</v>
      </c>
      <c r="R33" s="196">
        <f t="shared" si="129"/>
        <v>14.455284296408447</v>
      </c>
      <c r="S33" s="196">
        <f t="shared" si="129"/>
        <v>43.985624653141755</v>
      </c>
      <c r="T33" s="196">
        <f t="shared" si="129"/>
        <v>45.066021845387567</v>
      </c>
      <c r="U33" s="196">
        <f t="shared" si="129"/>
        <v>27.831483252363718</v>
      </c>
      <c r="V33" s="196">
        <f t="shared" si="129"/>
        <v>28.70241772933991</v>
      </c>
      <c r="W33" s="196">
        <f t="shared" si="129"/>
        <v>37.672635601132207</v>
      </c>
      <c r="X33" s="196">
        <f t="shared" si="129"/>
        <v>50.442796417277513</v>
      </c>
      <c r="Y33" s="196">
        <f t="shared" si="129"/>
        <v>39.737351381787292</v>
      </c>
      <c r="Z33" s="196">
        <f t="shared" si="129"/>
        <v>39.886114328220486</v>
      </c>
      <c r="AA33" s="196">
        <f t="shared" si="129"/>
        <v>34.728603611314632</v>
      </c>
      <c r="AB33" s="196">
        <f t="shared" si="129"/>
        <v>40.567829357514547</v>
      </c>
      <c r="AC33" s="196">
        <f t="shared" si="129"/>
        <v>41.143282752750167</v>
      </c>
      <c r="AD33" s="196">
        <f t="shared" si="129"/>
        <v>32.39651479434584</v>
      </c>
      <c r="AE33" s="202">
        <f t="shared" si="129"/>
        <v>49.605943282237014</v>
      </c>
      <c r="AF33" s="202">
        <f t="shared" si="129"/>
        <v>60.32723887214042</v>
      </c>
      <c r="AG33" s="202">
        <f t="shared" si="129"/>
        <v>63.324107537426848</v>
      </c>
      <c r="AH33" s="202">
        <f t="shared" si="129"/>
        <v>39.830874863008468</v>
      </c>
      <c r="AI33" s="202">
        <f t="shared" si="129"/>
        <v>42.690805607970645</v>
      </c>
      <c r="AJ33" s="202">
        <f t="shared" ref="AJ33:AK33" si="130">IF(ISNUMBER(AJ32/AJ$6),AJ$8/(AJ$6/AJ32),"")</f>
        <v>65.211810026845967</v>
      </c>
      <c r="AK33" s="202">
        <f t="shared" si="130"/>
        <v>48.435416255433459</v>
      </c>
      <c r="AL33" s="202">
        <f t="shared" ref="AL33:AM33" si="131">IF(ISNUMBER(AL32/AL$6),AL$8/(AL$6/AL32),"")</f>
        <v>39.654990745314315</v>
      </c>
      <c r="AM33" s="202">
        <f t="shared" si="131"/>
        <v>25.212682985361187</v>
      </c>
      <c r="AN33" s="355">
        <f t="shared" ref="AN33" si="132">IF(ISNUMBER(AN32/AN$6),AN$8/(AN$6/AN32),"")</f>
        <v>30.917710042629569</v>
      </c>
      <c r="AO33" s="361">
        <f t="shared" ref="AO33" si="133">AK33</f>
        <v>48.435416255433459</v>
      </c>
      <c r="AP33" s="361">
        <f t="shared" ref="AP33" si="134">AL33</f>
        <v>39.654990745314315</v>
      </c>
      <c r="AQ33" s="361">
        <f t="shared" ref="AQ33" si="135">AM33</f>
        <v>25.212682985361187</v>
      </c>
      <c r="AR33" s="361">
        <f t="shared" ref="AR33" si="136">AN33</f>
        <v>30.917710042629569</v>
      </c>
      <c r="AS33" s="361">
        <f t="shared" ref="AS33" si="137">AO33</f>
        <v>48.435416255433459</v>
      </c>
      <c r="AT33" s="361">
        <f t="shared" ref="AT33" si="138">AP33</f>
        <v>39.654990745314315</v>
      </c>
      <c r="AU33" s="361">
        <f t="shared" ref="AU33" si="139">AQ33</f>
        <v>25.212682985361187</v>
      </c>
      <c r="AV33" s="361">
        <f t="shared" ref="AV33" si="140">AR33</f>
        <v>30.917710042629569</v>
      </c>
      <c r="AW33" s="361">
        <f t="shared" ref="AW33" si="141">AS33</f>
        <v>48.435416255433459</v>
      </c>
      <c r="AX33" s="361">
        <f t="shared" ref="AX33" si="142">AT33</f>
        <v>39.654990745314315</v>
      </c>
      <c r="AY33" s="361">
        <f t="shared" ref="AY33" si="143">AU33</f>
        <v>25.212682985361187</v>
      </c>
      <c r="AZ33" s="361">
        <f t="shared" ref="AZ33" si="144">AV33</f>
        <v>30.917710042629569</v>
      </c>
      <c r="BA33" s="361">
        <f t="shared" ref="BA33" si="145">AW33</f>
        <v>48.435416255433459</v>
      </c>
      <c r="BB33" s="361">
        <f t="shared" ref="BB33" si="146">AX33</f>
        <v>39.654990745314315</v>
      </c>
      <c r="BC33" s="361">
        <f t="shared" ref="BC33" si="147">AY33</f>
        <v>25.212682985361187</v>
      </c>
      <c r="BD33" s="361">
        <f t="shared" ref="BD33" si="148">AZ33</f>
        <v>30.917710042629569</v>
      </c>
      <c r="BE33" s="361">
        <f t="shared" ref="BE33" si="149">BA33</f>
        <v>48.435416255433459</v>
      </c>
      <c r="BF33" s="361">
        <f t="shared" ref="BF33" si="150">BB33</f>
        <v>39.654990745314315</v>
      </c>
      <c r="BG33" s="361">
        <f t="shared" ref="BG33" si="151">BC33</f>
        <v>25.212682985361187</v>
      </c>
      <c r="BH33" s="361">
        <f t="shared" ref="BH33" si="152">BD33</f>
        <v>30.917710042629569</v>
      </c>
      <c r="BI33" s="361">
        <f t="shared" ref="BI33" si="153">BE33</f>
        <v>48.435416255433459</v>
      </c>
      <c r="BJ33" s="361">
        <f t="shared" ref="BJ33" si="154">BF33</f>
        <v>39.654990745314315</v>
      </c>
      <c r="BK33" s="361">
        <f t="shared" ref="BK33" si="155">BG33</f>
        <v>25.212682985361187</v>
      </c>
      <c r="BL33" s="361">
        <f t="shared" ref="BL33" si="156">BH33</f>
        <v>30.917710042629569</v>
      </c>
      <c r="BM33" s="361">
        <f t="shared" ref="BM33" si="157">BI33</f>
        <v>48.435416255433459</v>
      </c>
      <c r="BN33" s="361">
        <f t="shared" ref="BN33" si="158">BJ33</f>
        <v>39.654990745314315</v>
      </c>
      <c r="BO33" s="361">
        <f t="shared" ref="BO33" si="159">BK33</f>
        <v>25.212682985361187</v>
      </c>
      <c r="BP33" s="361">
        <f t="shared" ref="BP33" si="160">BL33</f>
        <v>30.917710042629569</v>
      </c>
      <c r="BQ33" s="361">
        <f t="shared" ref="BQ33" si="161">BM33</f>
        <v>48.435416255433459</v>
      </c>
      <c r="BR33" s="361">
        <f t="shared" ref="BR33" si="162">BN33</f>
        <v>39.654990745314315</v>
      </c>
      <c r="BS33" s="361">
        <f t="shared" ref="BS33" si="163">BO33</f>
        <v>25.212682985361187</v>
      </c>
    </row>
    <row r="34" spans="1:71">
      <c r="A34" s="101"/>
      <c r="B34" s="372"/>
      <c r="C34" s="372"/>
      <c r="D34" s="372"/>
      <c r="E34" s="372"/>
      <c r="F34" s="372"/>
      <c r="G34" s="372"/>
      <c r="H34" s="372"/>
      <c r="I34" s="372"/>
      <c r="J34" s="372"/>
      <c r="K34" s="372"/>
      <c r="L34" s="372"/>
      <c r="M34" s="372"/>
      <c r="N34" s="372"/>
      <c r="O34" s="372"/>
      <c r="P34" s="372"/>
      <c r="Q34" s="374"/>
      <c r="R34" s="374"/>
      <c r="S34" s="374"/>
      <c r="T34" s="374"/>
      <c r="U34" s="374"/>
      <c r="V34" s="374"/>
      <c r="W34" s="374"/>
      <c r="X34" s="374"/>
      <c r="Y34" s="374"/>
      <c r="Z34" s="374"/>
      <c r="AA34" s="374"/>
      <c r="AB34" s="374"/>
      <c r="AC34" s="374"/>
      <c r="AD34" s="374"/>
      <c r="AE34" s="374"/>
      <c r="AF34" s="374"/>
      <c r="AG34" s="374"/>
      <c r="AH34" s="374"/>
      <c r="AI34" s="374"/>
      <c r="AJ34" s="374"/>
      <c r="AK34" s="374"/>
      <c r="AL34" s="374"/>
      <c r="AM34" s="374"/>
      <c r="AN34" s="1442"/>
      <c r="AO34" s="376"/>
      <c r="AP34" s="376"/>
      <c r="AQ34" s="376"/>
      <c r="AR34" s="376"/>
      <c r="AS34" s="376"/>
      <c r="AT34" s="376"/>
      <c r="AU34" s="376"/>
      <c r="AV34" s="376"/>
      <c r="AW34" s="376"/>
      <c r="AX34" s="376"/>
      <c r="AY34" s="376"/>
      <c r="AZ34" s="376"/>
      <c r="BA34" s="376"/>
      <c r="BB34" s="376"/>
      <c r="BC34" s="376"/>
    </row>
    <row r="35" spans="1:71" s="1401" customFormat="1">
      <c r="A35" s="893" t="s">
        <v>1463</v>
      </c>
      <c r="B35" s="631">
        <v>39447</v>
      </c>
      <c r="C35" s="631">
        <v>39538</v>
      </c>
      <c r="D35" s="631">
        <v>39629</v>
      </c>
      <c r="E35" s="631">
        <v>39721</v>
      </c>
      <c r="F35" s="631">
        <v>39813</v>
      </c>
      <c r="G35" s="631">
        <v>39903</v>
      </c>
      <c r="H35" s="631">
        <v>39994</v>
      </c>
      <c r="I35" s="631">
        <v>40086</v>
      </c>
      <c r="J35" s="631">
        <v>40178</v>
      </c>
      <c r="K35" s="631">
        <v>40268</v>
      </c>
      <c r="L35" s="631">
        <v>40359</v>
      </c>
      <c r="M35" s="631">
        <v>40451</v>
      </c>
      <c r="N35" s="631">
        <v>40543</v>
      </c>
      <c r="O35" s="631">
        <v>40633</v>
      </c>
      <c r="P35" s="631">
        <v>40724</v>
      </c>
      <c r="Q35" s="631">
        <v>40816</v>
      </c>
      <c r="R35" s="631">
        <v>40908</v>
      </c>
      <c r="S35" s="631">
        <v>40999</v>
      </c>
      <c r="T35" s="631">
        <v>41090</v>
      </c>
      <c r="U35" s="631">
        <v>41182</v>
      </c>
      <c r="V35" s="631">
        <v>41274</v>
      </c>
      <c r="W35" s="631">
        <v>41364</v>
      </c>
      <c r="X35" s="631">
        <v>41455</v>
      </c>
      <c r="Y35" s="631">
        <v>41547</v>
      </c>
      <c r="Z35" s="631">
        <v>41639</v>
      </c>
      <c r="AA35" s="631">
        <v>41729</v>
      </c>
      <c r="AB35" s="631">
        <v>41820</v>
      </c>
      <c r="AC35" s="631">
        <f>+AC5</f>
        <v>41912</v>
      </c>
      <c r="AD35" s="631">
        <f t="shared" ref="AD35:BS35" si="164">+AD5</f>
        <v>42004</v>
      </c>
      <c r="AE35" s="1451">
        <f t="shared" si="164"/>
        <v>42094</v>
      </c>
      <c r="AF35" s="1451">
        <f t="shared" si="164"/>
        <v>42185</v>
      </c>
      <c r="AG35" s="1451">
        <f t="shared" si="164"/>
        <v>42277</v>
      </c>
      <c r="AH35" s="1451">
        <f t="shared" si="164"/>
        <v>42369</v>
      </c>
      <c r="AI35" s="1451">
        <f t="shared" si="164"/>
        <v>42460</v>
      </c>
      <c r="AJ35" s="1451">
        <f t="shared" si="164"/>
        <v>42551</v>
      </c>
      <c r="AK35" s="1451">
        <f t="shared" si="164"/>
        <v>42643</v>
      </c>
      <c r="AL35" s="1451">
        <f t="shared" ref="AL35:AM35" si="165">+AL5</f>
        <v>42735</v>
      </c>
      <c r="AM35" s="1451">
        <f t="shared" si="165"/>
        <v>42825</v>
      </c>
      <c r="AN35" s="632">
        <f t="shared" si="164"/>
        <v>42916</v>
      </c>
      <c r="AO35" s="608">
        <f t="shared" si="164"/>
        <v>43008</v>
      </c>
      <c r="AP35" s="608">
        <f t="shared" si="164"/>
        <v>43100</v>
      </c>
      <c r="AQ35" s="608">
        <f t="shared" si="164"/>
        <v>43190</v>
      </c>
      <c r="AR35" s="608">
        <f t="shared" si="164"/>
        <v>43281</v>
      </c>
      <c r="AS35" s="608">
        <f t="shared" si="164"/>
        <v>43373</v>
      </c>
      <c r="AT35" s="608">
        <f t="shared" si="164"/>
        <v>43465</v>
      </c>
      <c r="AU35" s="608">
        <f t="shared" si="164"/>
        <v>43555</v>
      </c>
      <c r="AV35" s="608">
        <f t="shared" si="164"/>
        <v>43646</v>
      </c>
      <c r="AW35" s="608">
        <f t="shared" si="164"/>
        <v>43738</v>
      </c>
      <c r="AX35" s="608">
        <f t="shared" si="164"/>
        <v>43830</v>
      </c>
      <c r="AY35" s="608">
        <f t="shared" si="164"/>
        <v>43921</v>
      </c>
      <c r="AZ35" s="608">
        <f t="shared" si="164"/>
        <v>44012</v>
      </c>
      <c r="BA35" s="608">
        <f t="shared" si="164"/>
        <v>44104</v>
      </c>
      <c r="BB35" s="608">
        <f t="shared" si="164"/>
        <v>44196</v>
      </c>
      <c r="BC35" s="608">
        <f t="shared" si="164"/>
        <v>44286</v>
      </c>
      <c r="BD35" s="608">
        <f t="shared" si="164"/>
        <v>44377</v>
      </c>
      <c r="BE35" s="608">
        <f t="shared" si="164"/>
        <v>44469</v>
      </c>
      <c r="BF35" s="608">
        <f t="shared" si="164"/>
        <v>44561</v>
      </c>
      <c r="BG35" s="608">
        <f t="shared" si="164"/>
        <v>44651</v>
      </c>
      <c r="BH35" s="608">
        <f t="shared" si="164"/>
        <v>44742</v>
      </c>
      <c r="BI35" s="608">
        <f t="shared" si="164"/>
        <v>44834</v>
      </c>
      <c r="BJ35" s="608">
        <f t="shared" si="164"/>
        <v>44926</v>
      </c>
      <c r="BK35" s="608">
        <f t="shared" si="164"/>
        <v>45016</v>
      </c>
      <c r="BL35" s="608">
        <f t="shared" si="164"/>
        <v>45107</v>
      </c>
      <c r="BM35" s="608">
        <f t="shared" si="164"/>
        <v>45199</v>
      </c>
      <c r="BN35" s="608">
        <f t="shared" si="164"/>
        <v>45291</v>
      </c>
      <c r="BO35" s="608">
        <f t="shared" si="164"/>
        <v>45382</v>
      </c>
      <c r="BP35" s="608">
        <f t="shared" si="164"/>
        <v>45473</v>
      </c>
      <c r="BQ35" s="608">
        <f t="shared" si="164"/>
        <v>45565</v>
      </c>
      <c r="BR35" s="608">
        <f t="shared" si="164"/>
        <v>45657</v>
      </c>
      <c r="BS35" s="608">
        <f t="shared" si="164"/>
        <v>45747</v>
      </c>
    </row>
    <row r="36" spans="1:71" s="1401" customFormat="1">
      <c r="A36" s="786" t="s">
        <v>906</v>
      </c>
      <c r="B36" s="896"/>
      <c r="C36" s="896"/>
      <c r="D36" s="178"/>
      <c r="E36" s="178"/>
      <c r="F36" s="178"/>
      <c r="G36" s="178"/>
      <c r="H36" s="178"/>
      <c r="I36" s="178"/>
      <c r="J36" s="178"/>
      <c r="K36" s="178"/>
      <c r="L36" s="178"/>
      <c r="M36" s="178"/>
      <c r="N36" s="178"/>
      <c r="O36" s="178"/>
      <c r="P36" s="178"/>
      <c r="Q36" s="178"/>
      <c r="R36" s="178"/>
      <c r="S36" s="178"/>
      <c r="T36" s="178"/>
      <c r="U36" s="178"/>
      <c r="V36" s="178"/>
      <c r="W36" s="178"/>
      <c r="X36" s="178"/>
      <c r="Y36" s="178"/>
      <c r="Z36" s="178"/>
      <c r="AA36" s="178"/>
      <c r="AB36" s="178"/>
      <c r="AC36" s="178"/>
      <c r="AD36" s="178"/>
      <c r="AE36" s="178"/>
      <c r="AF36" s="178"/>
      <c r="AG36" s="178"/>
      <c r="AH36" s="178"/>
      <c r="AI36" s="178"/>
      <c r="AJ36" s="178"/>
      <c r="AK36" s="178"/>
      <c r="AL36" s="178"/>
      <c r="AM36" s="178"/>
      <c r="AN36" s="426"/>
      <c r="AO36" s="382"/>
      <c r="AP36" s="382"/>
      <c r="AQ36" s="382"/>
      <c r="AR36" s="382"/>
      <c r="AS36" s="382"/>
      <c r="AT36" s="382"/>
      <c r="AU36" s="382"/>
      <c r="AV36" s="382"/>
      <c r="AW36" s="382"/>
      <c r="AX36" s="382"/>
      <c r="AY36" s="382"/>
      <c r="AZ36" s="382"/>
      <c r="BA36" s="382"/>
      <c r="BB36" s="382"/>
      <c r="BC36" s="382"/>
      <c r="BD36" s="382"/>
      <c r="BE36" s="382"/>
      <c r="BF36" s="382"/>
      <c r="BG36" s="382"/>
      <c r="BH36" s="382"/>
      <c r="BI36" s="382"/>
      <c r="BJ36" s="382"/>
      <c r="BK36" s="382"/>
      <c r="BL36" s="382"/>
      <c r="BM36" s="382"/>
      <c r="BN36" s="382"/>
      <c r="BO36" s="382"/>
      <c r="BP36" s="382"/>
      <c r="BQ36" s="382"/>
      <c r="BR36" s="382"/>
      <c r="BS36" s="382"/>
    </row>
    <row r="37" spans="1:71" s="1401" customFormat="1">
      <c r="A37" s="454" t="s">
        <v>907</v>
      </c>
      <c r="B37" s="896"/>
      <c r="C37" s="896"/>
      <c r="D37" s="788">
        <f>'Quarterly historicals'!J242</f>
        <v>-34.323999999999998</v>
      </c>
      <c r="E37" s="788">
        <f>'Quarterly historicals'!K242</f>
        <v>-21.662000000000003</v>
      </c>
      <c r="F37" s="788">
        <f>'Quarterly historicals'!L242</f>
        <v>-34.709000000000003</v>
      </c>
      <c r="G37" s="788">
        <f>'Quarterly historicals'!M242</f>
        <v>-93.426000000000002</v>
      </c>
      <c r="H37" s="788">
        <f>'Quarterly historicals'!N242</f>
        <v>-37.370000000000005</v>
      </c>
      <c r="I37" s="788">
        <f>'Quarterly historicals'!O242</f>
        <v>-24.984999999999999</v>
      </c>
      <c r="J37" s="788">
        <f>'Quarterly historicals'!P242</f>
        <v>-36.058000000000007</v>
      </c>
      <c r="K37" s="788">
        <f>'Quarterly historicals'!Q242</f>
        <v>-117.569</v>
      </c>
      <c r="L37" s="788">
        <f>'Quarterly historicals'!R242</f>
        <v>-45.677999999999997</v>
      </c>
      <c r="M37" s="788">
        <f>'Quarterly historicals'!S242</f>
        <v>-57.608000000000004</v>
      </c>
      <c r="N37" s="788">
        <f>'Quarterly historicals'!T242</f>
        <v>-78.811000000000007</v>
      </c>
      <c r="O37" s="788">
        <f>'Quarterly historicals'!U242</f>
        <v>-102.55200000000001</v>
      </c>
      <c r="P37" s="788">
        <f>'Quarterly historicals'!V242</f>
        <v>-55.350999999999999</v>
      </c>
      <c r="Q37" s="788">
        <f>'Quarterly historicals'!W242</f>
        <v>-53.031999999999996</v>
      </c>
      <c r="R37" s="788">
        <f>'Quarterly historicals'!X242</f>
        <v>-89.347999999999999</v>
      </c>
      <c r="S37" s="788">
        <f>'Quarterly historicals'!Y242</f>
        <v>-122.16799999999999</v>
      </c>
      <c r="T37" s="788">
        <f>'Quarterly historicals'!Z242</f>
        <v>-79.551999999999992</v>
      </c>
      <c r="U37" s="788">
        <f>'Quarterly historicals'!AA242</f>
        <v>-82.903999999999996</v>
      </c>
      <c r="V37" s="788">
        <f>'Quarterly historicals'!AB242</f>
        <v>-101.146</v>
      </c>
      <c r="W37" s="788">
        <f>'Quarterly historicals'!AC242</f>
        <v>-177.11500000000001</v>
      </c>
      <c r="X37" s="788">
        <f>'Quarterly historicals'!AD242</f>
        <v>-74.301000000000002</v>
      </c>
      <c r="Y37" s="788">
        <f>'Quarterly historicals'!AE242</f>
        <v>-82.509999999999991</v>
      </c>
      <c r="Z37" s="788">
        <f>'Quarterly historicals'!AF242</f>
        <v>-95.195999999999998</v>
      </c>
      <c r="AA37" s="788">
        <f>'Quarterly historicals'!AG242</f>
        <v>-190.09099999999998</v>
      </c>
      <c r="AB37" s="788">
        <f>'Quarterly historicals'!AH242</f>
        <v>-90.009</v>
      </c>
      <c r="AC37" s="788">
        <f>'Quarterly historicals'!AI242</f>
        <v>-112.235</v>
      </c>
      <c r="AD37" s="788">
        <f>'Quarterly historicals'!AJ242</f>
        <v>-167.36099999999999</v>
      </c>
      <c r="AE37" s="679">
        <f>'Quarterly historicals'!AK242</f>
        <v>-254.09299999999996</v>
      </c>
      <c r="AF37" s="679">
        <f>'Quarterly historicals'!AL242</f>
        <v>-123.798</v>
      </c>
      <c r="AG37" s="679">
        <f>'Quarterly historicals'!AM242</f>
        <v>-124.654</v>
      </c>
      <c r="AH37" s="679">
        <f>'Quarterly historicals'!AN242</f>
        <v>-153.90300000000002</v>
      </c>
      <c r="AI37" s="679">
        <f>'Quarterly historicals'!AO242</f>
        <v>-274.24</v>
      </c>
      <c r="AJ37" s="679">
        <f>'Quarterly historicals'!AP242</f>
        <v>-131.251</v>
      </c>
      <c r="AK37" s="679">
        <f>'Quarterly historicals'!AQ242</f>
        <v>-145.37199999999999</v>
      </c>
      <c r="AL37" s="679">
        <f>'Quarterly historicals'!AR242</f>
        <v>-218.22199999999998</v>
      </c>
      <c r="AM37" s="679">
        <f>'Quarterly historicals'!AS242</f>
        <v>-297.33699999999999</v>
      </c>
      <c r="AN37" s="965">
        <f>'Quarterly historicals'!AT242</f>
        <v>-155.273</v>
      </c>
      <c r="AO37" s="382"/>
      <c r="AP37" s="382"/>
      <c r="AQ37" s="382"/>
      <c r="AR37" s="382"/>
      <c r="AS37" s="382"/>
      <c r="AT37" s="382"/>
      <c r="AU37" s="382"/>
      <c r="AV37" s="382"/>
      <c r="AW37" s="382"/>
      <c r="AX37" s="382"/>
      <c r="AY37" s="382"/>
      <c r="AZ37" s="382"/>
      <c r="BA37" s="382"/>
      <c r="BB37" s="382"/>
      <c r="BC37" s="382"/>
      <c r="BD37" s="382"/>
      <c r="BE37" s="382"/>
      <c r="BF37" s="382"/>
      <c r="BG37" s="382"/>
      <c r="BH37" s="382"/>
      <c r="BI37" s="382"/>
      <c r="BJ37" s="382"/>
      <c r="BK37" s="382"/>
      <c r="BL37" s="382"/>
      <c r="BM37" s="382"/>
      <c r="BN37" s="382"/>
      <c r="BO37" s="382"/>
      <c r="BP37" s="382"/>
      <c r="BQ37" s="382"/>
      <c r="BR37" s="382"/>
      <c r="BS37" s="382"/>
    </row>
    <row r="38" spans="1:71" s="1401" customFormat="1">
      <c r="A38" s="454" t="s">
        <v>909</v>
      </c>
      <c r="B38" s="896"/>
      <c r="C38" s="896"/>
      <c r="D38" s="788">
        <f>'Quarterly historicals'!J246</f>
        <v>0</v>
      </c>
      <c r="E38" s="788">
        <f>'Quarterly historicals'!K246</f>
        <v>0</v>
      </c>
      <c r="F38" s="788">
        <f>'Quarterly historicals'!L246</f>
        <v>0</v>
      </c>
      <c r="G38" s="788">
        <f>'Quarterly historicals'!M246</f>
        <v>0</v>
      </c>
      <c r="H38" s="788">
        <f>'Quarterly historicals'!N246</f>
        <v>0</v>
      </c>
      <c r="I38" s="788">
        <f>'Quarterly historicals'!O246</f>
        <v>0</v>
      </c>
      <c r="J38" s="788">
        <f>'Quarterly historicals'!P246</f>
        <v>0</v>
      </c>
      <c r="K38" s="788">
        <f>'Quarterly historicals'!Q246</f>
        <v>0</v>
      </c>
      <c r="L38" s="788">
        <f>'Quarterly historicals'!R246</f>
        <v>0</v>
      </c>
      <c r="M38" s="788">
        <f>'Quarterly historicals'!S246</f>
        <v>0</v>
      </c>
      <c r="N38" s="788">
        <f>'Quarterly historicals'!T246</f>
        <v>0</v>
      </c>
      <c r="O38" s="788">
        <f>'Quarterly historicals'!U246</f>
        <v>0</v>
      </c>
      <c r="P38" s="788">
        <f>'Quarterly historicals'!V246</f>
        <v>0</v>
      </c>
      <c r="Q38" s="788">
        <f>'Quarterly historicals'!W246</f>
        <v>0</v>
      </c>
      <c r="R38" s="788">
        <f>'Quarterly historicals'!X246</f>
        <v>0</v>
      </c>
      <c r="S38" s="788">
        <f>'Quarterly historicals'!Y246</f>
        <v>0</v>
      </c>
      <c r="T38" s="788">
        <f>'Quarterly historicals'!Z246</f>
        <v>0</v>
      </c>
      <c r="U38" s="788">
        <f>'Quarterly historicals'!AA246</f>
        <v>0</v>
      </c>
      <c r="V38" s="788">
        <f>'Quarterly historicals'!AB246</f>
        <v>0</v>
      </c>
      <c r="W38" s="788">
        <f>'Quarterly historicals'!AC246</f>
        <v>-9.84</v>
      </c>
      <c r="X38" s="788">
        <f>'Quarterly historicals'!AD246</f>
        <v>-2.7839999999999998</v>
      </c>
      <c r="Y38" s="788">
        <f>'Quarterly historicals'!AE246</f>
        <v>-7.3529999999999998</v>
      </c>
      <c r="Z38" s="788">
        <f>'Quarterly historicals'!AF246</f>
        <v>-21.131</v>
      </c>
      <c r="AA38" s="788">
        <f>'Quarterly historicals'!AG246</f>
        <v>-13.032</v>
      </c>
      <c r="AB38" s="788">
        <f>'Quarterly historicals'!AH246</f>
        <v>-6.101</v>
      </c>
      <c r="AC38" s="788">
        <f>'Quarterly historicals'!AI246</f>
        <v>-12.302</v>
      </c>
      <c r="AD38" s="788">
        <f>'Quarterly historicals'!AJ246</f>
        <v>-26.710999999999999</v>
      </c>
      <c r="AE38" s="679">
        <f>'Quarterly historicals'!AK246</f>
        <v>-18.187999999999999</v>
      </c>
      <c r="AF38" s="679">
        <f>'Quarterly historicals'!AL246</f>
        <v>-18.481999999999999</v>
      </c>
      <c r="AG38" s="679">
        <f>'Quarterly historicals'!AM246</f>
        <v>-11.207000000000001</v>
      </c>
      <c r="AH38" s="679">
        <f>'Quarterly historicals'!AN246</f>
        <v>-25.582000000000001</v>
      </c>
      <c r="AI38" s="679">
        <f>'Quarterly historicals'!AO246</f>
        <v>-19.273</v>
      </c>
      <c r="AJ38" s="679">
        <f>'Quarterly historicals'!AP246</f>
        <v>-14.516999999999999</v>
      </c>
      <c r="AK38" s="679">
        <f>'Quarterly historicals'!AQ246</f>
        <v>-14.231</v>
      </c>
      <c r="AL38" s="679">
        <f>'Quarterly historicals'!AR246</f>
        <v>-26.155000000000001</v>
      </c>
      <c r="AM38" s="679">
        <f>'Quarterly historicals'!AS246</f>
        <v>-22.068000000000001</v>
      </c>
      <c r="AN38" s="965">
        <f>'Quarterly historicals'!AT246</f>
        <v>30.585000000000001</v>
      </c>
      <c r="AO38" s="382"/>
      <c r="AP38" s="382"/>
      <c r="AQ38" s="382"/>
      <c r="AR38" s="382"/>
      <c r="AS38" s="382"/>
      <c r="AT38" s="382"/>
      <c r="AU38" s="382"/>
      <c r="AV38" s="382"/>
      <c r="AW38" s="382"/>
      <c r="AX38" s="382"/>
      <c r="AY38" s="382"/>
      <c r="AZ38" s="382"/>
      <c r="BA38" s="382"/>
      <c r="BB38" s="382"/>
      <c r="BC38" s="382"/>
      <c r="BD38" s="382"/>
      <c r="BE38" s="382"/>
      <c r="BF38" s="382"/>
      <c r="BG38" s="382"/>
      <c r="BH38" s="382"/>
      <c r="BI38" s="382"/>
      <c r="BJ38" s="382"/>
      <c r="BK38" s="382"/>
      <c r="BL38" s="382"/>
      <c r="BM38" s="382"/>
      <c r="BN38" s="382"/>
      <c r="BO38" s="382"/>
      <c r="BP38" s="382"/>
      <c r="BQ38" s="382"/>
      <c r="BR38" s="382"/>
      <c r="BS38" s="382"/>
    </row>
    <row r="39" spans="1:71" s="1401" customFormat="1">
      <c r="A39" s="454" t="s">
        <v>908</v>
      </c>
      <c r="B39" s="896"/>
      <c r="C39" s="896"/>
      <c r="D39" s="788">
        <f>'Quarterly historicals'!J248</f>
        <v>-117.38899999999998</v>
      </c>
      <c r="E39" s="788">
        <f>'Quarterly historicals'!K248</f>
        <v>-65.498000000000005</v>
      </c>
      <c r="F39" s="788">
        <f>'Quarterly historicals'!L248</f>
        <v>-48.614000000000004</v>
      </c>
      <c r="G39" s="788">
        <f>'Quarterly historicals'!M248</f>
        <v>-41.668999999999997</v>
      </c>
      <c r="H39" s="788">
        <f>'Quarterly historicals'!N248</f>
        <v>-37.429000000000002</v>
      </c>
      <c r="I39" s="788">
        <f>'Quarterly historicals'!O248</f>
        <v>-27.174999999999997</v>
      </c>
      <c r="J39" s="788">
        <f>'Quarterly historicals'!P248</f>
        <v>-16.582999999999998</v>
      </c>
      <c r="K39" s="788">
        <f>'Quarterly historicals'!Q248</f>
        <v>-37.177</v>
      </c>
      <c r="L39" s="788">
        <f>'Quarterly historicals'!R248</f>
        <v>-23.885000000000002</v>
      </c>
      <c r="M39" s="788">
        <f>'Quarterly historicals'!S248</f>
        <v>-46.04</v>
      </c>
      <c r="N39" s="788">
        <f>'Quarterly historicals'!T248</f>
        <v>-55.809999999999995</v>
      </c>
      <c r="O39" s="788">
        <f>'Quarterly historicals'!U248</f>
        <v>-43.785000000000004</v>
      </c>
      <c r="P39" s="788">
        <f>'Quarterly historicals'!V248</f>
        <v>-54.346999999999994</v>
      </c>
      <c r="Q39" s="788">
        <f>'Quarterly historicals'!W248</f>
        <v>-76.682999999999993</v>
      </c>
      <c r="R39" s="788">
        <f>'Quarterly historicals'!X248</f>
        <v>-87.709000000000003</v>
      </c>
      <c r="S39" s="788">
        <f>'Quarterly historicals'!Y248</f>
        <v>-92.428000000000011</v>
      </c>
      <c r="T39" s="788">
        <f>'Quarterly historicals'!Z248</f>
        <v>-52.206999999999994</v>
      </c>
      <c r="U39" s="788">
        <f>'Quarterly historicals'!AA248</f>
        <v>-66.305999999999997</v>
      </c>
      <c r="V39" s="788">
        <f>'Quarterly historicals'!AB248</f>
        <v>-36.389000000000003</v>
      </c>
      <c r="W39" s="788">
        <f>'Quarterly historicals'!AC248</f>
        <v>-74.381999999999991</v>
      </c>
      <c r="X39" s="788">
        <f>'Quarterly historicals'!AD248</f>
        <v>-38.331000000000003</v>
      </c>
      <c r="Y39" s="788">
        <f>'Quarterly historicals'!AE248</f>
        <v>-29.830000000000002</v>
      </c>
      <c r="Z39" s="788">
        <f>'Quarterly historicals'!AF248</f>
        <v>-50.601999999999997</v>
      </c>
      <c r="AA39" s="788">
        <f>'Quarterly historicals'!AG248</f>
        <v>-53.283000000000001</v>
      </c>
      <c r="AB39" s="788">
        <f>'Quarterly historicals'!AH248</f>
        <v>-23.074000000000002</v>
      </c>
      <c r="AC39" s="788">
        <f>'Quarterly historicals'!AI248</f>
        <v>-24.033999999999999</v>
      </c>
      <c r="AD39" s="788">
        <f>'Quarterly historicals'!AJ248</f>
        <v>-26.65</v>
      </c>
      <c r="AE39" s="679">
        <f>'Quarterly historicals'!AK248</f>
        <v>-51.271000000000001</v>
      </c>
      <c r="AF39" s="679">
        <f>'Quarterly historicals'!AL248</f>
        <v>-17.532</v>
      </c>
      <c r="AG39" s="679">
        <f>'Quarterly historicals'!AM248</f>
        <v>-16.879000000000001</v>
      </c>
      <c r="AH39" s="679">
        <f>'Quarterly historicals'!AN248</f>
        <v>-30.068999999999999</v>
      </c>
      <c r="AI39" s="679">
        <f>'Quarterly historicals'!AO248</f>
        <v>-25.195</v>
      </c>
      <c r="AJ39" s="679">
        <f>'Quarterly historicals'!AP248</f>
        <v>-17.873000000000001</v>
      </c>
      <c r="AK39" s="679">
        <f>'Quarterly historicals'!AQ248</f>
        <v>-26.603999999999999</v>
      </c>
      <c r="AL39" s="679">
        <f>'Quarterly historicals'!AR248</f>
        <v>-36.588999999999999</v>
      </c>
      <c r="AM39" s="679">
        <f>'Quarterly historicals'!AS248</f>
        <v>-26.760999999999999</v>
      </c>
      <c r="AN39" s="965">
        <f>'Quarterly historicals'!AT248</f>
        <v>10.202</v>
      </c>
      <c r="AO39" s="382"/>
      <c r="AP39" s="382"/>
      <c r="AQ39" s="382"/>
      <c r="AR39" s="382"/>
      <c r="AS39" s="382"/>
      <c r="AT39" s="382"/>
      <c r="AU39" s="382"/>
      <c r="AV39" s="382"/>
      <c r="AW39" s="382"/>
      <c r="AX39" s="382"/>
      <c r="AY39" s="382"/>
      <c r="AZ39" s="382"/>
      <c r="BA39" s="382"/>
      <c r="BB39" s="382"/>
      <c r="BC39" s="382"/>
      <c r="BD39" s="382"/>
      <c r="BE39" s="382"/>
      <c r="BF39" s="382"/>
      <c r="BG39" s="382"/>
      <c r="BH39" s="382"/>
      <c r="BI39" s="382"/>
      <c r="BJ39" s="382"/>
      <c r="BK39" s="382"/>
      <c r="BL39" s="382"/>
      <c r="BM39" s="382"/>
      <c r="BN39" s="382"/>
      <c r="BO39" s="382"/>
      <c r="BP39" s="382"/>
      <c r="BQ39" s="382"/>
      <c r="BR39" s="382"/>
      <c r="BS39" s="382"/>
    </row>
    <row r="40" spans="1:71" s="1401" customFormat="1">
      <c r="A40" s="982" t="s">
        <v>1031</v>
      </c>
      <c r="B40" s="896"/>
      <c r="C40" s="896"/>
      <c r="D40" s="336"/>
      <c r="E40" s="336"/>
      <c r="F40" s="336"/>
      <c r="G40" s="336"/>
      <c r="H40" s="336"/>
      <c r="I40" s="336"/>
      <c r="J40" s="336"/>
      <c r="K40" s="336"/>
      <c r="L40" s="336"/>
      <c r="M40" s="336"/>
      <c r="N40" s="336"/>
      <c r="O40" s="336"/>
      <c r="P40" s="336"/>
      <c r="Q40" s="336"/>
      <c r="R40" s="336"/>
      <c r="S40" s="336"/>
      <c r="T40" s="336"/>
      <c r="U40" s="336"/>
      <c r="V40" s="336"/>
      <c r="W40" s="336"/>
      <c r="X40" s="336"/>
      <c r="Y40" s="336"/>
      <c r="Z40" s="336"/>
      <c r="AA40" s="336"/>
      <c r="AB40" s="336"/>
      <c r="AC40" s="336"/>
      <c r="AD40" s="336"/>
      <c r="AE40" s="336"/>
      <c r="AF40" s="336"/>
      <c r="AG40" s="336"/>
      <c r="AH40" s="336"/>
      <c r="AI40" s="336"/>
      <c r="AJ40" s="336"/>
      <c r="AK40" s="336"/>
      <c r="AL40" s="336"/>
      <c r="AM40" s="336"/>
      <c r="AN40" s="365"/>
      <c r="AO40" s="412"/>
      <c r="AP40" s="412"/>
      <c r="AQ40" s="412"/>
      <c r="AR40" s="412"/>
      <c r="AS40" s="412"/>
      <c r="AT40" s="412"/>
      <c r="AU40" s="412"/>
      <c r="AV40" s="412"/>
      <c r="AW40" s="412"/>
      <c r="AX40" s="412"/>
      <c r="AY40" s="412"/>
      <c r="AZ40" s="412"/>
      <c r="BA40" s="412"/>
      <c r="BB40" s="412"/>
      <c r="BC40" s="412"/>
      <c r="BD40" s="412"/>
      <c r="BE40" s="412"/>
      <c r="BF40" s="412"/>
      <c r="BG40" s="412"/>
      <c r="BH40" s="412"/>
      <c r="BI40" s="412"/>
      <c r="BJ40" s="412"/>
      <c r="BK40" s="412"/>
      <c r="BL40" s="412"/>
      <c r="BM40" s="412"/>
      <c r="BN40" s="412"/>
      <c r="BO40" s="412"/>
      <c r="BP40" s="412"/>
      <c r="BQ40" s="412"/>
      <c r="BR40" s="412"/>
      <c r="BS40" s="412"/>
    </row>
    <row r="41" spans="1:71" s="1401" customFormat="1">
      <c r="A41" s="982" t="s">
        <v>1029</v>
      </c>
      <c r="B41" s="896"/>
      <c r="C41" s="896"/>
      <c r="D41" s="336"/>
      <c r="E41" s="336"/>
      <c r="F41" s="336"/>
      <c r="G41" s="336"/>
      <c r="H41" s="336"/>
      <c r="I41" s="336"/>
      <c r="J41" s="336"/>
      <c r="K41" s="336"/>
      <c r="L41" s="336"/>
      <c r="M41" s="336"/>
      <c r="N41" s="336"/>
      <c r="O41" s="336"/>
      <c r="P41" s="336"/>
      <c r="Q41" s="336"/>
      <c r="R41" s="336"/>
      <c r="S41" s="336"/>
      <c r="T41" s="336"/>
      <c r="U41" s="336"/>
      <c r="V41" s="336"/>
      <c r="W41" s="336"/>
      <c r="X41" s="336"/>
      <c r="Y41" s="336"/>
      <c r="Z41" s="336"/>
      <c r="AA41" s="336"/>
      <c r="AB41" s="336"/>
      <c r="AC41" s="336"/>
      <c r="AD41" s="336"/>
      <c r="AE41" s="336"/>
      <c r="AF41" s="336"/>
      <c r="AG41" s="336"/>
      <c r="AH41" s="336"/>
      <c r="AI41" s="336"/>
      <c r="AJ41" s="336"/>
      <c r="AK41" s="336"/>
      <c r="AL41" s="336"/>
      <c r="AM41" s="336"/>
      <c r="AN41" s="365"/>
      <c r="AO41" s="412"/>
      <c r="AP41" s="412"/>
      <c r="AQ41" s="412"/>
      <c r="AR41" s="412"/>
      <c r="AS41" s="412"/>
      <c r="AT41" s="412"/>
      <c r="AU41" s="412"/>
      <c r="AV41" s="412"/>
      <c r="AW41" s="412"/>
      <c r="AX41" s="412"/>
      <c r="AY41" s="412"/>
      <c r="AZ41" s="412"/>
      <c r="BA41" s="412"/>
      <c r="BB41" s="412"/>
      <c r="BC41" s="412"/>
      <c r="BD41" s="412"/>
      <c r="BE41" s="412"/>
      <c r="BF41" s="412"/>
      <c r="BG41" s="412"/>
      <c r="BH41" s="412"/>
      <c r="BI41" s="412"/>
      <c r="BJ41" s="412"/>
      <c r="BK41" s="412"/>
      <c r="BL41" s="412"/>
      <c r="BM41" s="412"/>
      <c r="BN41" s="412"/>
      <c r="BO41" s="412"/>
      <c r="BP41" s="412"/>
      <c r="BQ41" s="412"/>
      <c r="BR41" s="412"/>
      <c r="BS41" s="412"/>
    </row>
    <row r="42" spans="1:71" s="1401" customFormat="1">
      <c r="A42" s="982" t="s">
        <v>1030</v>
      </c>
      <c r="B42" s="896"/>
      <c r="C42" s="896"/>
      <c r="D42" s="336"/>
      <c r="E42" s="336"/>
      <c r="F42" s="336"/>
      <c r="G42" s="336"/>
      <c r="H42" s="336"/>
      <c r="I42" s="336"/>
      <c r="J42" s="336"/>
      <c r="K42" s="336"/>
      <c r="L42" s="336"/>
      <c r="M42" s="336"/>
      <c r="N42" s="336"/>
      <c r="O42" s="336"/>
      <c r="P42" s="336"/>
      <c r="Q42" s="336"/>
      <c r="R42" s="336"/>
      <c r="S42" s="336"/>
      <c r="T42" s="336"/>
      <c r="U42" s="336"/>
      <c r="V42" s="336"/>
      <c r="W42" s="336"/>
      <c r="X42" s="336"/>
      <c r="Y42" s="336"/>
      <c r="Z42" s="336"/>
      <c r="AA42" s="336"/>
      <c r="AB42" s="336"/>
      <c r="AC42" s="336"/>
      <c r="AD42" s="336"/>
      <c r="AE42" s="336"/>
      <c r="AF42" s="336"/>
      <c r="AG42" s="336"/>
      <c r="AH42" s="336"/>
      <c r="AI42" s="336"/>
      <c r="AJ42" s="336"/>
      <c r="AK42" s="336"/>
      <c r="AL42" s="336"/>
      <c r="AM42" s="336"/>
      <c r="AN42" s="365"/>
      <c r="AO42" s="412"/>
      <c r="AP42" s="412"/>
      <c r="AQ42" s="412"/>
      <c r="AR42" s="412"/>
      <c r="AS42" s="412"/>
      <c r="AT42" s="412"/>
      <c r="AU42" s="412"/>
      <c r="AV42" s="412"/>
      <c r="AW42" s="412"/>
      <c r="AX42" s="412"/>
      <c r="AY42" s="412"/>
      <c r="AZ42" s="412"/>
      <c r="BA42" s="412"/>
      <c r="BB42" s="412"/>
      <c r="BC42" s="412"/>
      <c r="BD42" s="412"/>
      <c r="BE42" s="412"/>
      <c r="BF42" s="412"/>
      <c r="BG42" s="412"/>
      <c r="BH42" s="412"/>
      <c r="BI42" s="412"/>
      <c r="BJ42" s="412"/>
      <c r="BK42" s="412"/>
      <c r="BL42" s="412"/>
      <c r="BM42" s="412"/>
      <c r="BN42" s="412"/>
      <c r="BO42" s="412"/>
      <c r="BP42" s="412"/>
      <c r="BQ42" s="412"/>
      <c r="BR42" s="412"/>
      <c r="BS42" s="412"/>
    </row>
    <row r="43" spans="1:71" s="1401" customFormat="1">
      <c r="A43" s="787" t="s">
        <v>138</v>
      </c>
      <c r="B43" s="896"/>
      <c r="C43" s="896"/>
      <c r="D43" s="1066">
        <f t="shared" ref="D43:AI43" si="166">SUM(D37:D39)</f>
        <v>-151.71299999999997</v>
      </c>
      <c r="E43" s="1066">
        <f t="shared" si="166"/>
        <v>-87.160000000000011</v>
      </c>
      <c r="F43" s="1066">
        <f t="shared" si="166"/>
        <v>-83.323000000000008</v>
      </c>
      <c r="G43" s="1066">
        <f t="shared" si="166"/>
        <v>-135.095</v>
      </c>
      <c r="H43" s="1066">
        <f t="shared" si="166"/>
        <v>-74.799000000000007</v>
      </c>
      <c r="I43" s="1066">
        <f t="shared" si="166"/>
        <v>-52.16</v>
      </c>
      <c r="J43" s="1066">
        <f t="shared" si="166"/>
        <v>-52.641000000000005</v>
      </c>
      <c r="K43" s="1066">
        <f t="shared" si="166"/>
        <v>-154.74600000000001</v>
      </c>
      <c r="L43" s="1066">
        <f t="shared" si="166"/>
        <v>-69.563000000000002</v>
      </c>
      <c r="M43" s="1066">
        <f t="shared" si="166"/>
        <v>-103.648</v>
      </c>
      <c r="N43" s="1066">
        <f t="shared" si="166"/>
        <v>-134.62100000000001</v>
      </c>
      <c r="O43" s="1066">
        <f t="shared" si="166"/>
        <v>-146.33700000000002</v>
      </c>
      <c r="P43" s="1066">
        <f t="shared" si="166"/>
        <v>-109.69799999999999</v>
      </c>
      <c r="Q43" s="1066">
        <f t="shared" si="166"/>
        <v>-129.71499999999997</v>
      </c>
      <c r="R43" s="1066">
        <f t="shared" si="166"/>
        <v>-177.05700000000002</v>
      </c>
      <c r="S43" s="1066">
        <f t="shared" si="166"/>
        <v>-214.596</v>
      </c>
      <c r="T43" s="1066">
        <f t="shared" si="166"/>
        <v>-131.75899999999999</v>
      </c>
      <c r="U43" s="1066">
        <f t="shared" si="166"/>
        <v>-149.20999999999998</v>
      </c>
      <c r="V43" s="1066">
        <f t="shared" si="166"/>
        <v>-137.535</v>
      </c>
      <c r="W43" s="1066">
        <f t="shared" si="166"/>
        <v>-261.33699999999999</v>
      </c>
      <c r="X43" s="1066">
        <f t="shared" si="166"/>
        <v>-115.41600000000001</v>
      </c>
      <c r="Y43" s="1066">
        <f t="shared" si="166"/>
        <v>-119.69299999999998</v>
      </c>
      <c r="Z43" s="1066">
        <f t="shared" si="166"/>
        <v>-166.929</v>
      </c>
      <c r="AA43" s="1066">
        <f t="shared" si="166"/>
        <v>-256.40600000000001</v>
      </c>
      <c r="AB43" s="1066">
        <f t="shared" si="166"/>
        <v>-119.184</v>
      </c>
      <c r="AC43" s="1066">
        <f t="shared" si="166"/>
        <v>-148.571</v>
      </c>
      <c r="AD43" s="1066">
        <f t="shared" si="166"/>
        <v>-220.72200000000001</v>
      </c>
      <c r="AE43" s="1444">
        <f t="shared" si="166"/>
        <v>-323.55199999999996</v>
      </c>
      <c r="AF43" s="1444">
        <f t="shared" si="166"/>
        <v>-159.81200000000001</v>
      </c>
      <c r="AG43" s="1444">
        <f t="shared" si="166"/>
        <v>-152.73999999999998</v>
      </c>
      <c r="AH43" s="1444">
        <f t="shared" si="166"/>
        <v>-209.554</v>
      </c>
      <c r="AI43" s="1444">
        <f t="shared" si="166"/>
        <v>-318.70800000000003</v>
      </c>
      <c r="AJ43" s="1444">
        <f t="shared" ref="AJ43:AK43" si="167">SUM(AJ37:AJ39)</f>
        <v>-163.64099999999999</v>
      </c>
      <c r="AK43" s="1444">
        <f t="shared" si="167"/>
        <v>-186.20699999999999</v>
      </c>
      <c r="AL43" s="1444">
        <f t="shared" ref="AL43:AM43" si="168">SUM(AL37:AL39)</f>
        <v>-280.96600000000001</v>
      </c>
      <c r="AM43" s="1444">
        <f t="shared" si="168"/>
        <v>-346.166</v>
      </c>
      <c r="AN43" s="1067">
        <f t="shared" ref="AN43" si="169">SUM(AN37:AN39)</f>
        <v>-114.48599999999999</v>
      </c>
      <c r="AO43" s="620">
        <f>Q_BS!$P91*AO46</f>
        <v>-193.58474608834001</v>
      </c>
      <c r="AP43" s="620">
        <f>Q_BS!$P91*AP46</f>
        <v>-282.47687633002835</v>
      </c>
      <c r="AQ43" s="620">
        <f>Q_BS!$P91-SUM(AN43:AP43)</f>
        <v>-400.36466105549005</v>
      </c>
      <c r="AR43" s="620">
        <f>Q_BS!$Q91*AR46</f>
        <v>-177.47935249388911</v>
      </c>
      <c r="AS43" s="620">
        <f>Q_BS!$Q91*AS46</f>
        <v>-203.93050977841608</v>
      </c>
      <c r="AT43" s="620">
        <f>Q_BS!$Q91*AT46</f>
        <v>-295.92471457386682</v>
      </c>
      <c r="AU43" s="620">
        <f>Q_BS!$Q91-SUM(AR43:AT43)</f>
        <v>-344.91138175397691</v>
      </c>
      <c r="AV43" s="620">
        <f>Q_BS!$R91*AV46</f>
        <v>-205.76259737431042</v>
      </c>
      <c r="AW43" s="620">
        <f>Q_BS!$R91*AW46</f>
        <v>-251.4158676168982</v>
      </c>
      <c r="AX43" s="620">
        <f>Q_BS!$R91*AX46</f>
        <v>-370.69562550398592</v>
      </c>
      <c r="AY43" s="620">
        <f>Q_BS!$R91-SUM(AV43:AX43)</f>
        <v>-395.93175468381003</v>
      </c>
      <c r="AZ43" s="620">
        <f>Q_BS!$S91*AZ46</f>
        <v>-220.38401237963504</v>
      </c>
      <c r="BA43" s="620">
        <f>Q_BS!$S91*BA46</f>
        <v>-276.81789624470531</v>
      </c>
      <c r="BB43" s="620">
        <f>Q_BS!$S91*BB46</f>
        <v>-404.63013954020749</v>
      </c>
      <c r="BC43" s="620">
        <f>Q_BS!$S91-SUM(AZ43:BB43)</f>
        <v>-481.58777292660943</v>
      </c>
      <c r="BD43" s="620">
        <f>Q_BS!$T91*BD46</f>
        <v>-245.80571013967241</v>
      </c>
      <c r="BE43" s="620">
        <f>Q_BS!$T91*BE46</f>
        <v>-296.81243016937037</v>
      </c>
      <c r="BF43" s="620">
        <f>Q_BS!$T91*BF46</f>
        <v>-434.09899880897177</v>
      </c>
      <c r="BG43" s="620">
        <f>Q_BS!$T91-SUM(BD43:BF43)</f>
        <v>-495.01404915700505</v>
      </c>
      <c r="BH43" s="620">
        <f>Q_BS!$U91*BH46</f>
        <v>-233.54898285001175</v>
      </c>
      <c r="BI43" s="620">
        <f>Q_BS!$U91*BI46</f>
        <v>-286.8072249206935</v>
      </c>
      <c r="BJ43" s="620">
        <f>Q_BS!$U91*BJ46</f>
        <v>-420.54311792349449</v>
      </c>
      <c r="BK43" s="620">
        <f>Q_BS!$U91-SUM(BH43:BJ43)</f>
        <v>-476.10854773156132</v>
      </c>
      <c r="BL43" s="620">
        <f>Q_BS!$V91*BL46</f>
        <v>-227.9970604460523</v>
      </c>
      <c r="BM43" s="620">
        <f>Q_BS!$V91*BM46</f>
        <v>-280.47045850351975</v>
      </c>
      <c r="BN43" s="620">
        <f>Q_BS!$V91*BN46</f>
        <v>-410.47525421525904</v>
      </c>
      <c r="BO43" s="620">
        <f>Q_BS!$V91-SUM(BL43:BN43)</f>
        <v>-473.71677059005219</v>
      </c>
      <c r="BP43" s="620">
        <f>Q_BS!$W91*BP46</f>
        <v>-254.07070832140781</v>
      </c>
      <c r="BQ43" s="620">
        <f>Q_BS!$W91*BQ46</f>
        <v>-310.42780542694237</v>
      </c>
      <c r="BR43" s="620">
        <f>Q_BS!$W91*BR46</f>
        <v>-454.50366993506088</v>
      </c>
      <c r="BS43" s="620">
        <f>Q_BS!$W91-SUM(BP43:BR43)</f>
        <v>-519.11156640951833</v>
      </c>
    </row>
    <row r="44" spans="1:71" s="1401" customFormat="1">
      <c r="A44" s="789" t="s">
        <v>910</v>
      </c>
      <c r="B44" s="896"/>
      <c r="C44" s="896"/>
      <c r="D44" s="1068">
        <f>-D43/Q_IS!AF104</f>
        <v>1.6480869924174937</v>
      </c>
      <c r="E44" s="1068">
        <f>-E43/Q_IS!AG104</f>
        <v>0.44855234311475239</v>
      </c>
      <c r="F44" s="1068">
        <f>-F43/Q_IS!AH104</f>
        <v>0.37734644246489119</v>
      </c>
      <c r="G44" s="1068">
        <f>-G43/Q_IS!AI104</f>
        <v>0.50548344489802022</v>
      </c>
      <c r="H44" s="1068">
        <f>-H43/Q_IS!AJ104</f>
        <v>0.34397303362519316</v>
      </c>
      <c r="I44" s="1068">
        <f>-I43/Q_IS!AK104</f>
        <v>0.18218842670373772</v>
      </c>
      <c r="J44" s="1068">
        <f>-J43/Q_IS!AL104</f>
        <v>0.16239353152947492</v>
      </c>
      <c r="K44" s="1068">
        <f>-K43/Q_IS!AM104</f>
        <v>0.43544057313620987</v>
      </c>
      <c r="L44" s="1068">
        <f>-L43/Q_IS!AN104</f>
        <v>0.24366860257389261</v>
      </c>
      <c r="M44" s="1068">
        <f>-M43/Q_IS!AO104</f>
        <v>0.30597195571955721</v>
      </c>
      <c r="N44" s="1068">
        <f>-N43/Q_IS!AP104</f>
        <v>0.34492910327298443</v>
      </c>
      <c r="O44" s="1068">
        <f>-O43/Q_IS!AQ104</f>
        <v>0.52159268315285978</v>
      </c>
      <c r="P44" s="1068">
        <f>-P43/Q_IS!AR104</f>
        <v>0.33348330729055831</v>
      </c>
      <c r="Q44" s="1068">
        <f>-Q43/Q_IS!AS104</f>
        <v>0.32581803019684963</v>
      </c>
      <c r="R44" s="1068">
        <f>-R43/Q_IS!AT104</f>
        <v>0.46540425878660596</v>
      </c>
      <c r="S44" s="1068">
        <f>-S43/Q_IS!AU104</f>
        <v>0.82703602645331364</v>
      </c>
      <c r="T44" s="1068">
        <f>-T43/Q_IS!AV104</f>
        <v>0.45385309597949797</v>
      </c>
      <c r="U44" s="1068">
        <f>-U43/Q_IS!AW104</f>
        <v>0.27282168677342322</v>
      </c>
      <c r="V44" s="1068">
        <f>-V43/Q_IS!AX104</f>
        <v>0.34826393460887883</v>
      </c>
      <c r="W44" s="1068">
        <f>-W43/Q_IS!AY104</f>
        <v>0.64717171767199744</v>
      </c>
      <c r="X44" s="1068">
        <f>-X43/Q_IS!AZ104</f>
        <v>0.23375439747726076</v>
      </c>
      <c r="Y44" s="1068">
        <f>-Y43/Q_IS!BA104</f>
        <v>0.19478302473254414</v>
      </c>
      <c r="Z44" s="1068">
        <f>-Z43/Q_IS!BB104</f>
        <v>0.39294793932374789</v>
      </c>
      <c r="AA44" s="1068">
        <f>-AA43/Q_IS!BC104</f>
        <v>0.58523747897279987</v>
      </c>
      <c r="AB44" s="1068">
        <f>-AB43/Q_IS!BD104</f>
        <v>0.23921289996266812</v>
      </c>
      <c r="AC44" s="1068">
        <f>-AC43/Q_IS!BE104</f>
        <v>0.29295219766893887</v>
      </c>
      <c r="AD44" s="1068">
        <f>-AD43/Q_IS!BF104</f>
        <v>0.37813834680755931</v>
      </c>
      <c r="AE44" s="1068">
        <f>-AE43/Q_IS!BG104</f>
        <v>0.46430319076421916</v>
      </c>
      <c r="AF44" s="1068">
        <f>-AF43/Q_IS!BH104</f>
        <v>0.3542560737719454</v>
      </c>
      <c r="AG44" s="1068">
        <f>-AG43/Q_IS!BI104</f>
        <v>0.23115945977032362</v>
      </c>
      <c r="AH44" s="1068">
        <f>-AH43/Q_IS!BJ104</f>
        <v>0.26127070769284477</v>
      </c>
      <c r="AI44" s="1068">
        <f>-AI43/Q_IS!BK104</f>
        <v>0.39179982445054745</v>
      </c>
      <c r="AJ44" s="1068">
        <f>-AJ43/Q_IS!BL104</f>
        <v>0.25511584907660595</v>
      </c>
      <c r="AK44" s="1068">
        <f>-AK43/Q_IS!BM104</f>
        <v>0.2570332957414414</v>
      </c>
      <c r="AL44" s="1068">
        <f>-AL43/Q_IS!BN104</f>
        <v>0.38126810733792454</v>
      </c>
      <c r="AM44" s="1068">
        <f>-AM43/Q_IS!BO104</f>
        <v>0.38459812103920576</v>
      </c>
      <c r="AN44" s="1069">
        <f>-AN43/Q_IS!BP104</f>
        <v>0.14093238480600037</v>
      </c>
      <c r="AO44" s="1611">
        <f>-AO43/Q_IS!BQ104</f>
        <v>0.211176806209497</v>
      </c>
      <c r="AP44" s="1611">
        <f>-AP43/Q_IS!BR104</f>
        <v>0.31824412754223697</v>
      </c>
      <c r="AQ44" s="1611">
        <f>-AQ43/Q_IS!BS104</f>
        <v>0.38492590897353152</v>
      </c>
      <c r="AR44" s="1611">
        <f>-AR43/Q_IS!BT104</f>
        <v>0.14980963039884504</v>
      </c>
      <c r="AS44" s="1611">
        <f>-AS43/Q_IS!BU104</f>
        <v>0.21535496449392783</v>
      </c>
      <c r="AT44" s="1611">
        <f>-AT43/Q_IS!BV104</f>
        <v>0.32402366717140441</v>
      </c>
      <c r="AU44" s="1611">
        <f>-AU43/Q_IS!BW104</f>
        <v>0.46788907448691119</v>
      </c>
      <c r="AV44" s="1611">
        <f>-AV43/Q_IS!BX104</f>
        <v>0.16193989833717862</v>
      </c>
      <c r="AW44" s="1611">
        <f>-AW43/Q_IS!BY104</f>
        <v>0.24515942282843414</v>
      </c>
      <c r="AX44" s="1611">
        <f>-AX43/Q_IS!BZ104</f>
        <v>0.37530915779540225</v>
      </c>
      <c r="AY44" s="1611">
        <f>-AY43/Q_IS!CA104</f>
        <v>0.49432966664921746</v>
      </c>
      <c r="AZ44" s="1611">
        <f>-AZ43/Q_IS!CB104</f>
        <v>0.1467827925350815</v>
      </c>
      <c r="BA44" s="1611">
        <f>-BA43/Q_IS!CC104</f>
        <v>0.23643565896124236</v>
      </c>
      <c r="BB44" s="1611">
        <f>-BB43/Q_IS!CD104</f>
        <v>0.35776444361884024</v>
      </c>
      <c r="BC44" s="1611">
        <f>-BC43/Q_IS!CE104</f>
        <v>0.53637092452296331</v>
      </c>
      <c r="BD44" s="1611">
        <f>-BD43/Q_IS!CF104</f>
        <v>0.15192340223019574</v>
      </c>
      <c r="BE44" s="1611">
        <f>-BE43/Q_IS!CG104</f>
        <v>0.23718143673579745</v>
      </c>
      <c r="BF44" s="1611">
        <f>-BF43/Q_IS!CH104</f>
        <v>0.35919997060222802</v>
      </c>
      <c r="BG44" s="1611">
        <f>-BG43/Q_IS!CI104</f>
        <v>0.51925848755015314</v>
      </c>
      <c r="BH44" s="1611">
        <f>-BH43/Q_IS!CJ104</f>
        <v>0.15758484522646563</v>
      </c>
      <c r="BI44" s="1611">
        <f>-BI43/Q_IS!CK104</f>
        <v>0.23764061078732043</v>
      </c>
      <c r="BJ44" s="1611">
        <f>-BJ43/Q_IS!CL104</f>
        <v>0.36307054894402058</v>
      </c>
      <c r="BK44" s="1611">
        <f>-BK43/Q_IS!CM104</f>
        <v>0.50600650751723941</v>
      </c>
      <c r="BL44" s="1611">
        <f>-BL43/Q_IS!CN104</f>
        <v>0.16306156360506452</v>
      </c>
      <c r="BM44" s="1611">
        <f>-BM43/Q_IS!CO104</f>
        <v>0.23600210880635203</v>
      </c>
      <c r="BN44" s="1611">
        <f>-BN43/Q_IS!CP104</f>
        <v>0.36160215468982199</v>
      </c>
      <c r="BO44" s="1611">
        <f>-BO43/Q_IS!CQ104</f>
        <v>0.50195438734822684</v>
      </c>
      <c r="BP44" s="1611">
        <f>-BP43/Q_IS!CR104</f>
        <v>0.16030145429837275</v>
      </c>
      <c r="BQ44" s="1611">
        <f>-BQ43/Q_IS!CS104</f>
        <v>0.23473020470211603</v>
      </c>
      <c r="BR44" s="1611">
        <f>-BR43/Q_IS!CT104</f>
        <v>0.3584618683288664</v>
      </c>
      <c r="BS44" s="1611">
        <f>-BS43/Q_IS!CU104</f>
        <v>0.49643570821777422</v>
      </c>
    </row>
    <row r="45" spans="1:71" s="1401" customFormat="1">
      <c r="A45" s="1992" t="s">
        <v>911</v>
      </c>
      <c r="B45" s="896"/>
      <c r="C45" s="896"/>
      <c r="D45" s="1081">
        <f>-D43*4/Q_Financials!I60</f>
        <v>0.26475138275808208</v>
      </c>
      <c r="E45" s="1081">
        <f>-E43*4/Q_Financials!J60</f>
        <v>0.14558142584112066</v>
      </c>
      <c r="F45" s="1081">
        <f>-F43*4/Q_Financials!K60</f>
        <v>0.13977021443270091</v>
      </c>
      <c r="G45" s="1081">
        <f>-G43*4/Q_Financials!L60</f>
        <v>0.22909106325250125</v>
      </c>
      <c r="H45" s="1081">
        <f>-H43*4/Q_Financials!M60</f>
        <v>0.12056552110428534</v>
      </c>
      <c r="I45" s="1081">
        <f>-I43*4/Q_Financials!N60</f>
        <v>8.4070928398679301E-2</v>
      </c>
      <c r="J45" s="1081">
        <f>-J43*4/Q_Financials!O60</f>
        <v>8.6172371753711147E-2</v>
      </c>
      <c r="K45" s="1081">
        <f>-K43*4/Q_Financials!P60</f>
        <v>0.25479638813696631</v>
      </c>
      <c r="L45" s="1081">
        <f>-L43*4/Q_Financials!Q60</f>
        <v>9.1447268745240756E-2</v>
      </c>
      <c r="M45" s="1081">
        <f>-M43*4/Q_Financials!R60</f>
        <v>0.165890482160027</v>
      </c>
      <c r="N45" s="1081">
        <f>-N43*4/Q_Financials!S60</f>
        <v>0.21766488958989264</v>
      </c>
      <c r="O45" s="1081">
        <f>-O43*4/Q_Financials!T60</f>
        <v>0.26194426991875158</v>
      </c>
      <c r="P45" s="1081">
        <f>-P43*4/Q_Financials!U60</f>
        <v>0.14123068925754481</v>
      </c>
      <c r="Q45" s="1081">
        <f>-Q43*4/Q_Financials!V60</f>
        <v>0.16705362862825596</v>
      </c>
      <c r="R45" s="1081">
        <f>-R43*4/Q_Financials!W60</f>
        <v>0.22824182604134471</v>
      </c>
      <c r="S45" s="1081">
        <f>-S43*4/Q_Financials!X60</f>
        <v>0.25563489887242147</v>
      </c>
      <c r="T45" s="1081">
        <f>-T43*4/Q_Financials!Y60</f>
        <v>0.14655514826771868</v>
      </c>
      <c r="U45" s="1081">
        <f>-U43*4/Q_Financials!Z60</f>
        <v>0.16465784082468371</v>
      </c>
      <c r="V45" s="1081">
        <f>-V43*4/Q_Financials!AA60</f>
        <v>0.15419201472230537</v>
      </c>
      <c r="W45" s="1081">
        <f>-W43*4/Q_Financials!AB60</f>
        <v>0.29383864833272799</v>
      </c>
      <c r="X45" s="1081">
        <f>-X43*4/Q_Financials!AC60</f>
        <v>0.12202872437078015</v>
      </c>
      <c r="Y45" s="1081">
        <f>-Y43*4/Q_Financials!AD60</f>
        <v>0.128076440113009</v>
      </c>
      <c r="Z45" s="1081">
        <f>-Z43*4/Q_Financials!AE60</f>
        <v>0.18103990560750743</v>
      </c>
      <c r="AA45" s="1081">
        <f>-AA43*4/Q_Financials!AF60</f>
        <v>0.27566172219806617</v>
      </c>
      <c r="AB45" s="1081">
        <f>-AB43*4/Q_Financials!AG60</f>
        <v>0.12185940470772866</v>
      </c>
      <c r="AC45" s="1081">
        <f>-AC43*4/Q_Financials!AH60</f>
        <v>0.15308415085261379</v>
      </c>
      <c r="AD45" s="1081">
        <f>-AD43*4/Q_Financials!AI60</f>
        <v>0.2197348604759794</v>
      </c>
      <c r="AE45" s="1081">
        <f>-AE43*4/Q_Financials!AJ60</f>
        <v>0.31113604846930965</v>
      </c>
      <c r="AF45" s="1081">
        <f>-AF43*4/Q_Financials!AK60</f>
        <v>0.14470133359801127</v>
      </c>
      <c r="AG45" s="1081">
        <f>-AG43*4/Q_Financials!AL60</f>
        <v>0.14020725073397952</v>
      </c>
      <c r="AH45" s="1081">
        <f>-AH43*4/Q_Financials!AM60</f>
        <v>0.19575265647001217</v>
      </c>
      <c r="AI45" s="1081">
        <f>-AI43*4/Q_Financials!AN60</f>
        <v>0.29817833989550752</v>
      </c>
      <c r="AJ45" s="1081">
        <f>-AJ43*4/Q_Financials!AO60</f>
        <v>0.14570273493687869</v>
      </c>
      <c r="AK45" s="1081">
        <f>-AK43*4/Q_Financials!AP60</f>
        <v>0.16828437725372389</v>
      </c>
      <c r="AL45" s="1081">
        <f>-AL43*4/Q_Financials!AQ60</f>
        <v>0.25760874398706485</v>
      </c>
      <c r="AM45" s="1081">
        <f>-AM43*4/Q_Financials!AR60</f>
        <v>0.31258442956316956</v>
      </c>
      <c r="AN45" s="1082">
        <f>-AN43*4/Q_Financials!AS60</f>
        <v>8.6569598559063737E-2</v>
      </c>
      <c r="AO45" s="1612">
        <f>-AO43*4/Q_Financials!AT60</f>
        <v>0.15053922218384225</v>
      </c>
      <c r="AP45" s="1612">
        <f>-AP43*4/Q_Financials!AU60</f>
        <v>0.22115463113836084</v>
      </c>
      <c r="AQ45" s="1612">
        <f>-AQ43*4/Q_Financials!AV60</f>
        <v>0.31090067641329355</v>
      </c>
      <c r="AR45" s="1612">
        <f>-AR43*4/Q_Financials!AW60</f>
        <v>0.13431873592291124</v>
      </c>
      <c r="AS45" s="1612">
        <f>-AS43*4/Q_Financials!AX60</f>
        <v>0.15710778178127358</v>
      </c>
      <c r="AT45" s="1612">
        <f>-AT43*4/Q_Financials!AY60</f>
        <v>0.22939897700542955</v>
      </c>
      <c r="AU45" s="1612">
        <f>-AU43*4/Q_Financials!AZ60</f>
        <v>0.2649544949252316</v>
      </c>
      <c r="AV45" s="1612">
        <f>-AV43*4/Q_Financials!BA60</f>
        <v>0.15417472886775957</v>
      </c>
      <c r="AW45" s="1612">
        <f>-AW43*4/Q_Financials!BB60</f>
        <v>0.19148768430479529</v>
      </c>
      <c r="AX45" s="1612">
        <f>-AX43*4/Q_Financials!BC60</f>
        <v>0.28252509628284922</v>
      </c>
      <c r="AY45" s="1612">
        <f>-AY43*4/Q_Financials!BD60</f>
        <v>0.29600815822448318</v>
      </c>
      <c r="AZ45" s="1612">
        <f>-AZ43*4/Q_Financials!BE60</f>
        <v>0.15982797352754491</v>
      </c>
      <c r="BA45" s="1612">
        <f>-BA43*4/Q_Financials!BF60</f>
        <v>0.20507072952172714</v>
      </c>
      <c r="BB45" s="1612">
        <f>-BB43*4/Q_Financials!BG60</f>
        <v>0.30067947281477264</v>
      </c>
      <c r="BC45" s="1612">
        <f>-BC43*4/Q_Financials!BH60</f>
        <v>0.35163777824842823</v>
      </c>
      <c r="BD45" s="1612">
        <f>-BD43*4/Q_Financials!BI60</f>
        <v>0.17266712431691852</v>
      </c>
      <c r="BE45" s="1612">
        <f>-BE43*4/Q_Financials!BJ60</f>
        <v>0.21276675255858898</v>
      </c>
      <c r="BF45" s="1612">
        <f>-BF43*4/Q_Financials!BK60</f>
        <v>0.31214091690867851</v>
      </c>
      <c r="BG45" s="1612">
        <f>-BG43*4/Q_Financials!BL60</f>
        <v>0.34946532605652753</v>
      </c>
      <c r="BH45" s="1612">
        <f>-BH43*4/Q_Financials!BM60</f>
        <v>0.15896222018584422</v>
      </c>
      <c r="BI45" s="1612">
        <f>-BI43*4/Q_Financials!BN60</f>
        <v>0.19890553600171407</v>
      </c>
      <c r="BJ45" s="1612">
        <f>-BJ43*4/Q_Financials!BO60</f>
        <v>0.29226317329082468</v>
      </c>
      <c r="BK45" s="1612">
        <f>-BK43*4/Q_Financials!BP60</f>
        <v>0.3249216479138069</v>
      </c>
      <c r="BL45" s="1612">
        <f>-BL43*4/Q_Financials!BQ60</f>
        <v>0.1503216017491221</v>
      </c>
      <c r="BM45" s="1612">
        <f>-BM43*4/Q_Financials!BR60</f>
        <v>0.18820357849454056</v>
      </c>
      <c r="BN45" s="1612">
        <f>-BN43*4/Q_Financials!BS60</f>
        <v>0.27593645281942292</v>
      </c>
      <c r="BO45" s="1612">
        <f>-BO43*4/Q_Financials!BT60</f>
        <v>0.31300362381137276</v>
      </c>
      <c r="BP45" s="1612">
        <f>-BP43*4/Q_Financials!BU60</f>
        <v>0.16224043177430489</v>
      </c>
      <c r="BQ45" s="1612">
        <f>-BQ43*4/Q_Financials!BV60</f>
        <v>0.20208634349902391</v>
      </c>
      <c r="BR45" s="1612">
        <f>-BR43*4/Q_Financials!BW60</f>
        <v>0.29662346796158229</v>
      </c>
      <c r="BS45" s="1612">
        <f>-BS43*4/Q_Financials!BX60</f>
        <v>0.33276136416786911</v>
      </c>
    </row>
    <row r="46" spans="1:71" s="1401" customFormat="1">
      <c r="A46" s="923" t="s">
        <v>1523</v>
      </c>
      <c r="B46" s="896"/>
      <c r="C46" s="896"/>
      <c r="D46" s="178">
        <f>D43/SUM($D43:$G43)</f>
        <v>0.33176467501000445</v>
      </c>
      <c r="E46" s="178">
        <f>E43/SUM($D43:$G43)</f>
        <v>0.19060073344981643</v>
      </c>
      <c r="F46" s="178">
        <f>F43/SUM($D43:$G43)</f>
        <v>0.18221001506699236</v>
      </c>
      <c r="G46" s="178">
        <f>G43/SUM($D43:$G43)</f>
        <v>0.2954245764731866</v>
      </c>
      <c r="H46" s="178">
        <f>H43/SUM($H43:$K43)</f>
        <v>0.22371734670072321</v>
      </c>
      <c r="I46" s="178">
        <f>I43/SUM($H43:$K43)</f>
        <v>0.15600605360913544</v>
      </c>
      <c r="J46" s="178">
        <f>J43/SUM($H43:$K43)</f>
        <v>0.15744468305288534</v>
      </c>
      <c r="K46" s="178">
        <f>K43/SUM($H43:$K43)</f>
        <v>0.46283191663725604</v>
      </c>
      <c r="L46" s="178">
        <f>L43/SUM($L43:$O43)</f>
        <v>0.15316545162703751</v>
      </c>
      <c r="M46" s="178">
        <f>M43/SUM($L43:$O43)</f>
        <v>0.22821460733779717</v>
      </c>
      <c r="N46" s="178">
        <f>N43/SUM($L43:$O43)</f>
        <v>0.29641168816013425</v>
      </c>
      <c r="O46" s="178">
        <f>O43/SUM($L43:$O43)</f>
        <v>0.32220825287503113</v>
      </c>
      <c r="P46" s="178">
        <f>P43/SUM($P43:$S43)</f>
        <v>0.17382967867069368</v>
      </c>
      <c r="Q46" s="178">
        <f>Q43/SUM($P43:$S43)</f>
        <v>0.20554902339850342</v>
      </c>
      <c r="R46" s="178">
        <f>R43/SUM($P43:$S43)</f>
        <v>0.28056811807322851</v>
      </c>
      <c r="S46" s="178">
        <f>S43/SUM($P43:$S43)</f>
        <v>0.34005317985757433</v>
      </c>
      <c r="T46" s="178">
        <f>T43/SUM($T43:$W43)</f>
        <v>0.19380855229384519</v>
      </c>
      <c r="U46" s="178">
        <f>U43/SUM($T43:$W43)</f>
        <v>0.21947778965964101</v>
      </c>
      <c r="V46" s="178">
        <f>V43/SUM($T43:$W43)</f>
        <v>0.20230465652998278</v>
      </c>
      <c r="W46" s="178">
        <f>W43/SUM($T43:$W43)</f>
        <v>0.38440900151653112</v>
      </c>
      <c r="X46" s="178">
        <f>X43/SUM($X43:$AA43)</f>
        <v>0.17528597724331912</v>
      </c>
      <c r="Y46" s="178">
        <f>Y43/SUM($X43:$AA43)</f>
        <v>0.18178159418264878</v>
      </c>
      <c r="Z46" s="178">
        <f>Z43/SUM($X43:$AA43)</f>
        <v>0.25352042087102322</v>
      </c>
      <c r="AA46" s="178">
        <f>AA43/SUM($X43:$AA43)</f>
        <v>0.38941200770300893</v>
      </c>
      <c r="AB46" s="178">
        <f>AB43/SUM($AB43:$AE43)</f>
        <v>0.14677308322732316</v>
      </c>
      <c r="AC46" s="178">
        <f>AC43/SUM($AB43:$AE43)</f>
        <v>0.18296267744132291</v>
      </c>
      <c r="AD46" s="178">
        <f>AD43/SUM($AB43:$AE43)</f>
        <v>0.2718154154593001</v>
      </c>
      <c r="AE46" s="178">
        <f>AE43/SUM($AB43:$AE43)</f>
        <v>0.39844882387205377</v>
      </c>
      <c r="AF46" s="178">
        <f t="shared" ref="AF46:AK46" si="170">AF43/SUM($AF43:$AI43)</f>
        <v>0.19006819581976514</v>
      </c>
      <c r="AG46" s="178">
        <f t="shared" si="170"/>
        <v>0.18165729876048683</v>
      </c>
      <c r="AH46" s="178">
        <f t="shared" si="170"/>
        <v>0.24922753427036179</v>
      </c>
      <c r="AI46" s="178">
        <f t="shared" si="170"/>
        <v>0.37904697114938618</v>
      </c>
      <c r="AJ46" s="178">
        <f t="shared" si="170"/>
        <v>0.19462211618740885</v>
      </c>
      <c r="AK46" s="178">
        <f t="shared" si="170"/>
        <v>0.22146039433215906</v>
      </c>
      <c r="AL46" s="178">
        <f t="shared" ref="AL46:AM46" si="171">AL43/SUM($AF43:$AI43)</f>
        <v>0.33415951684914852</v>
      </c>
      <c r="AM46" s="178">
        <f t="shared" si="171"/>
        <v>0.41170342073276606</v>
      </c>
      <c r="AN46" s="426">
        <f t="shared" ref="AN46" si="172">AN43/SUM($AF43:$AI43)</f>
        <v>0.13616091073650055</v>
      </c>
      <c r="AO46" s="622">
        <f>+AVERAGE(AK46,AG46,AC46)</f>
        <v>0.19536012351132293</v>
      </c>
      <c r="AP46" s="622">
        <f>+AVERAGE(AL46,AH46,AD46)</f>
        <v>0.28506748885960348</v>
      </c>
      <c r="AQ46" s="622">
        <f>+AQ43/SUM(AN43:AQ43)</f>
        <v>0.40403642959387354</v>
      </c>
      <c r="AR46" s="622">
        <f>+AVERAGE(AN46,AJ46,AF46)</f>
        <v>0.17361707424789152</v>
      </c>
      <c r="AS46" s="622">
        <f>+AVERAGE(AO46,AK46,AG46)</f>
        <v>0.19949260553465628</v>
      </c>
      <c r="AT46" s="622">
        <f>+AVERAGE(AP46,AL46,AH46)</f>
        <v>0.28948484665970459</v>
      </c>
      <c r="AU46" s="622">
        <f>+AU43/SUM(AR43:AU43)</f>
        <v>0.33740547355774764</v>
      </c>
      <c r="AV46" s="622">
        <f t="shared" ref="AV46:AX46" si="173">+AVERAGE(AR46,AN46,AJ46)</f>
        <v>0.16813336705726697</v>
      </c>
      <c r="AW46" s="622">
        <f t="shared" si="173"/>
        <v>0.20543770779271275</v>
      </c>
      <c r="AX46" s="622">
        <f t="shared" si="173"/>
        <v>0.30290395078948551</v>
      </c>
      <c r="AY46" s="622">
        <f t="shared" ref="AY46" si="174">+AY43/SUM(AV43:AY43)</f>
        <v>0.32352497436053479</v>
      </c>
      <c r="AZ46" s="622">
        <f t="shared" ref="AZ46:BB46" si="175">+AVERAGE(AV46,AR46,AN46)</f>
        <v>0.15930378401388637</v>
      </c>
      <c r="BA46" s="622">
        <f t="shared" si="175"/>
        <v>0.200096812279564</v>
      </c>
      <c r="BB46" s="622">
        <f t="shared" si="175"/>
        <v>0.29248542876959788</v>
      </c>
      <c r="BC46" s="622">
        <f t="shared" ref="BC46" si="176">+BC43/SUM(AZ43:BC43)</f>
        <v>0.34811397493695179</v>
      </c>
      <c r="BD46" s="622">
        <f t="shared" ref="BD46:BF46" si="177">+AVERAGE(AZ46,AV46,AR46)</f>
        <v>0.16701807510634828</v>
      </c>
      <c r="BE46" s="622">
        <f t="shared" si="177"/>
        <v>0.20167570853564434</v>
      </c>
      <c r="BF46" s="622">
        <f t="shared" si="177"/>
        <v>0.29495807540626268</v>
      </c>
      <c r="BG46" s="622">
        <f t="shared" ref="BG46" si="178">+BG43/SUM(BD43:BG43)</f>
        <v>0.33634814095174476</v>
      </c>
      <c r="BH46" s="622">
        <f t="shared" ref="BH46:BJ46" si="179">+AVERAGE(BD46,AZ46,AV46)</f>
        <v>0.16481840872583386</v>
      </c>
      <c r="BI46" s="622">
        <f t="shared" si="179"/>
        <v>0.20240340953597369</v>
      </c>
      <c r="BJ46" s="622">
        <f t="shared" si="179"/>
        <v>0.29678248498844867</v>
      </c>
      <c r="BK46" s="622">
        <f t="shared" ref="BK46" si="180">+BK43/SUM(BH43:BK43)</f>
        <v>0.33599569674974378</v>
      </c>
      <c r="BL46" s="622">
        <f t="shared" ref="BL46:BN46" si="181">+AVERAGE(BH46,BD46,AZ46)</f>
        <v>0.16371342261535615</v>
      </c>
      <c r="BM46" s="622">
        <f t="shared" si="181"/>
        <v>0.20139197678372733</v>
      </c>
      <c r="BN46" s="622">
        <f t="shared" si="181"/>
        <v>0.29474199638810306</v>
      </c>
      <c r="BO46" s="622">
        <f t="shared" ref="BO46" si="182">+BO43/SUM(BL43:BO43)</f>
        <v>0.34015260421281346</v>
      </c>
      <c r="BP46" s="622">
        <f t="shared" ref="BP46:BR46" si="183">+AVERAGE(BL46,BH46,BD46)</f>
        <v>0.16518330214917942</v>
      </c>
      <c r="BQ46" s="622">
        <f t="shared" si="183"/>
        <v>0.20182369828511512</v>
      </c>
      <c r="BR46" s="622">
        <f t="shared" si="183"/>
        <v>0.29549418559427143</v>
      </c>
      <c r="BS46" s="622">
        <f t="shared" ref="BS46" si="184">+BS43/SUM(BP43:BS43)</f>
        <v>0.337498813971434</v>
      </c>
    </row>
    <row r="47" spans="1:71" s="1401" customFormat="1">
      <c r="A47" s="899"/>
      <c r="B47" s="107"/>
      <c r="C47" s="107"/>
      <c r="D47" s="107"/>
      <c r="E47" s="107"/>
      <c r="F47" s="107"/>
      <c r="G47" s="107"/>
      <c r="H47" s="107"/>
      <c r="I47" s="107"/>
      <c r="J47" s="107"/>
      <c r="K47" s="107"/>
      <c r="L47" s="107"/>
      <c r="M47" s="107"/>
      <c r="N47" s="107"/>
      <c r="O47" s="107"/>
      <c r="P47" s="107"/>
      <c r="Q47" s="107"/>
      <c r="R47" s="107"/>
      <c r="S47" s="107"/>
      <c r="T47" s="107"/>
      <c r="U47" s="107"/>
      <c r="V47" s="107"/>
      <c r="W47" s="107"/>
      <c r="X47" s="107"/>
      <c r="Y47" s="107"/>
      <c r="Z47" s="107"/>
      <c r="AA47" s="107"/>
      <c r="AB47" s="107"/>
      <c r="AC47" s="107"/>
      <c r="AD47" s="107"/>
      <c r="AE47" s="372"/>
      <c r="AF47" s="372"/>
      <c r="AG47" s="372"/>
      <c r="AH47" s="372"/>
      <c r="AI47" s="372"/>
      <c r="AJ47" s="372"/>
      <c r="AK47" s="372"/>
      <c r="AL47" s="372"/>
      <c r="AM47" s="372"/>
      <c r="AN47" s="406"/>
      <c r="AO47" s="407"/>
      <c r="AP47" s="407"/>
      <c r="AQ47" s="407"/>
      <c r="AR47" s="407"/>
      <c r="AS47" s="407"/>
      <c r="AT47" s="407"/>
      <c r="AU47" s="407"/>
      <c r="AV47" s="407"/>
      <c r="AW47" s="407"/>
      <c r="AX47" s="407"/>
      <c r="AY47" s="407"/>
      <c r="AZ47" s="407"/>
      <c r="BA47" s="407"/>
      <c r="BC47" s="1697"/>
    </row>
    <row r="48" spans="1:71" s="1401" customFormat="1">
      <c r="A48" s="893" t="s">
        <v>1465</v>
      </c>
      <c r="B48" s="631">
        <v>39447</v>
      </c>
      <c r="C48" s="631">
        <v>39538</v>
      </c>
      <c r="D48" s="631">
        <v>39629</v>
      </c>
      <c r="E48" s="631">
        <v>39721</v>
      </c>
      <c r="F48" s="631">
        <v>39813</v>
      </c>
      <c r="G48" s="631">
        <v>39903</v>
      </c>
      <c r="H48" s="631">
        <v>39994</v>
      </c>
      <c r="I48" s="631">
        <v>40086</v>
      </c>
      <c r="J48" s="631">
        <v>40178</v>
      </c>
      <c r="K48" s="631">
        <v>40268</v>
      </c>
      <c r="L48" s="631">
        <v>40359</v>
      </c>
      <c r="M48" s="631">
        <v>40451</v>
      </c>
      <c r="N48" s="631">
        <v>40543</v>
      </c>
      <c r="O48" s="631">
        <v>40633</v>
      </c>
      <c r="P48" s="631">
        <v>40724</v>
      </c>
      <c r="Q48" s="631">
        <v>40816</v>
      </c>
      <c r="R48" s="631">
        <v>40908</v>
      </c>
      <c r="S48" s="631">
        <v>40999</v>
      </c>
      <c r="T48" s="631">
        <v>41090</v>
      </c>
      <c r="U48" s="631">
        <v>41182</v>
      </c>
      <c r="V48" s="631">
        <v>41274</v>
      </c>
      <c r="W48" s="631">
        <v>41364</v>
      </c>
      <c r="X48" s="631">
        <v>41455</v>
      </c>
      <c r="Y48" s="631">
        <v>41547</v>
      </c>
      <c r="Z48" s="631">
        <v>41639</v>
      </c>
      <c r="AA48" s="631">
        <v>41729</v>
      </c>
      <c r="AB48" s="631">
        <v>41820</v>
      </c>
      <c r="AC48" s="631">
        <v>41912</v>
      </c>
      <c r="AD48" s="631">
        <v>42004</v>
      </c>
      <c r="AE48" s="1451">
        <v>42094</v>
      </c>
      <c r="AF48" s="1451">
        <v>42185</v>
      </c>
      <c r="AG48" s="1451">
        <v>42277</v>
      </c>
      <c r="AH48" s="1451">
        <v>42369</v>
      </c>
      <c r="AI48" s="1451">
        <v>42460</v>
      </c>
      <c r="AJ48" s="1451" t="s">
        <v>1534</v>
      </c>
      <c r="AK48" s="1451" t="s">
        <v>1535</v>
      </c>
      <c r="AL48" s="1451" t="s">
        <v>1535</v>
      </c>
      <c r="AM48" s="1451">
        <f>+AM5</f>
        <v>42825</v>
      </c>
      <c r="AN48" s="632">
        <f>+AN5</f>
        <v>42916</v>
      </c>
      <c r="AO48" s="608">
        <v>43008</v>
      </c>
      <c r="AP48" s="608">
        <v>43100</v>
      </c>
      <c r="AQ48" s="608">
        <v>43190</v>
      </c>
      <c r="AR48" s="608">
        <v>43281</v>
      </c>
      <c r="AS48" s="608">
        <v>43373</v>
      </c>
      <c r="AT48" s="608">
        <v>43465</v>
      </c>
      <c r="AU48" s="608">
        <v>43555</v>
      </c>
      <c r="AV48" s="608">
        <v>43646</v>
      </c>
      <c r="AW48" s="608">
        <v>43738</v>
      </c>
      <c r="AX48" s="608">
        <v>43830</v>
      </c>
      <c r="AY48" s="608">
        <v>43921</v>
      </c>
      <c r="AZ48" s="608">
        <v>44012</v>
      </c>
      <c r="BA48" s="608">
        <v>44104</v>
      </c>
      <c r="BB48" s="608">
        <v>44196</v>
      </c>
      <c r="BC48" s="608">
        <v>44286</v>
      </c>
      <c r="BD48" s="608">
        <v>44377</v>
      </c>
      <c r="BE48" s="608">
        <v>44469</v>
      </c>
      <c r="BF48" s="608">
        <v>44561</v>
      </c>
      <c r="BG48" s="608">
        <v>44651</v>
      </c>
      <c r="BH48" s="608">
        <v>44742</v>
      </c>
      <c r="BI48" s="608">
        <v>44834</v>
      </c>
      <c r="BJ48" s="608">
        <v>44926</v>
      </c>
      <c r="BK48" s="608">
        <v>45016</v>
      </c>
      <c r="BL48" s="608">
        <v>45107</v>
      </c>
      <c r="BM48" s="608">
        <v>45199</v>
      </c>
      <c r="BN48" s="608">
        <v>45291</v>
      </c>
      <c r="BO48" s="608">
        <v>45382</v>
      </c>
      <c r="BP48" s="608">
        <v>45473</v>
      </c>
      <c r="BQ48" s="608">
        <v>45565</v>
      </c>
      <c r="BR48" s="608">
        <v>45657</v>
      </c>
      <c r="BS48" s="608">
        <v>45747</v>
      </c>
    </row>
    <row r="49" spans="1:71" s="1401" customFormat="1">
      <c r="A49" s="1995" t="s">
        <v>1185</v>
      </c>
      <c r="B49" s="196">
        <f>+Q_Financials!H48+Q_Financials!H49</f>
        <v>148.69600000000003</v>
      </c>
      <c r="C49" s="196">
        <f>+Q_Financials!I48+Q_Financials!I49</f>
        <v>72.534000000000006</v>
      </c>
      <c r="D49" s="196">
        <f>+Q_Financials!J48+Q_Financials!J49</f>
        <v>57.177</v>
      </c>
      <c r="E49" s="196">
        <f>+Q_Financials!K48+Q_Financials!K49</f>
        <v>228.23500000000001</v>
      </c>
      <c r="F49" s="196">
        <f>+Q_Financials!L48+Q_Financials!L49</f>
        <v>150.578</v>
      </c>
      <c r="G49" s="196">
        <f>+Q_Financials!M48+Q_Financials!M49</f>
        <v>196.173</v>
      </c>
      <c r="H49" s="196">
        <f>+Q_Financials!N48+Q_Financials!N49</f>
        <v>125.17</v>
      </c>
      <c r="I49" s="196">
        <f>+Q_Financials!O48+Q_Financials!O49</f>
        <v>136.10400000000001</v>
      </c>
      <c r="J49" s="196">
        <f>+Q_Financials!P48+Q_Financials!P49</f>
        <v>150.05600000000001</v>
      </c>
      <c r="K49" s="196">
        <f>+Q_Financials!Q48+Q_Financials!Q49</f>
        <v>189.03799999999995</v>
      </c>
      <c r="L49" s="196">
        <f>+Q_Financials!R48+Q_Financials!R49</f>
        <v>248.51600000000002</v>
      </c>
      <c r="M49" s="196">
        <f>+Q_Financials!S48+Q_Financials!S49</f>
        <v>232.94800000000001</v>
      </c>
      <c r="N49" s="196">
        <f>+Q_Financials!T48+Q_Financials!T49</f>
        <v>249.655</v>
      </c>
      <c r="O49" s="196">
        <f>+Q_Financials!U48+Q_Financials!U49</f>
        <v>222.21899999999999</v>
      </c>
      <c r="P49" s="196">
        <f>+Q_Financials!V48+Q_Financials!V49</f>
        <v>339.07499999999999</v>
      </c>
      <c r="Q49" s="196">
        <f>+Q_Financials!W48+Q_Financials!W49</f>
        <v>274.62599999999998</v>
      </c>
      <c r="R49" s="196">
        <f>+Q_Financials!X48+Q_Financials!X49</f>
        <v>464.10199999999998</v>
      </c>
      <c r="S49" s="196">
        <f>+Q_Financials!Y48+Q_Financials!Y49</f>
        <v>410.56700000000001</v>
      </c>
      <c r="T49" s="196">
        <f>+Q_Financials!Z48+Q_Financials!Z49</f>
        <v>793.06399999999996</v>
      </c>
      <c r="U49" s="196">
        <f>+Q_Financials!AA48+Q_Financials!AA49</f>
        <v>711.33600000000001</v>
      </c>
      <c r="V49" s="196">
        <f>+Q_Financials!AB48+Q_Financials!AB49</f>
        <v>574.01300000000003</v>
      </c>
      <c r="W49" s="196">
        <f>+Q_Financials!AC48+Q_Financials!AC49</f>
        <v>634.29</v>
      </c>
      <c r="X49" s="196">
        <f>+Q_Financials!AD48+Q_Financials!AD49</f>
        <v>576.85699999999997</v>
      </c>
      <c r="Y49" s="196">
        <f>+Q_Financials!AE48+Q_Financials!AE49</f>
        <v>578.923</v>
      </c>
      <c r="Z49" s="196">
        <f>+Q_Financials!AF48+Q_Financials!AF49</f>
        <v>533.58799999999997</v>
      </c>
      <c r="AA49" s="196">
        <f>+Q_Financials!AG48+Q_Financials!AG49</f>
        <v>670.74099999999999</v>
      </c>
      <c r="AB49" s="196">
        <f>+Q_Financials!AH48+Q_Financials!AH49</f>
        <v>873.36300000000006</v>
      </c>
      <c r="AC49" s="196">
        <f>+Q_Financials!AI48+Q_Financials!AI49</f>
        <v>651.46299999999997</v>
      </c>
      <c r="AD49" s="196">
        <f>+Q_Financials!AJ48+Q_Financials!AJ49</f>
        <v>647.70399999999995</v>
      </c>
      <c r="AE49" s="196">
        <f>+Q_Financials!AK48+Q_Financials!AK49</f>
        <v>1126.5170000000001</v>
      </c>
      <c r="AF49" s="196">
        <f>+Q_Financials!AL48+Q_Financials!AL49</f>
        <v>1073.1369999999999</v>
      </c>
      <c r="AG49" s="202">
        <f>+Q_Financials!AM48+Q_Financials!AM49</f>
        <v>912.40499999999997</v>
      </c>
      <c r="AH49" s="202">
        <f>+Q_Financials!AN48+Q_Financials!AN49</f>
        <v>755.875</v>
      </c>
      <c r="AI49" s="202">
        <f>+Q_Financials!AO48+Q_Financials!AO49</f>
        <v>1106.442</v>
      </c>
      <c r="AJ49" s="202">
        <f>+Q_Financials!AP48+Q_Financials!AP49</f>
        <v>616.21400000000006</v>
      </c>
      <c r="AK49" s="202">
        <f>+Q_Financials!AQ48+Q_Financials!AQ49</f>
        <v>914.08600000000001</v>
      </c>
      <c r="AL49" s="202">
        <f>+Q_Financials!AR48+Q_Financials!AR49</f>
        <v>879.90499999999997</v>
      </c>
      <c r="AM49" s="202">
        <f>+Q_Financials!AS48+Q_Financials!AS49</f>
        <v>1172.115</v>
      </c>
      <c r="AN49" s="355">
        <f>+Q_Financials!AT48+Q_Financials!AT49</f>
        <v>1340.789</v>
      </c>
      <c r="AO49" s="357">
        <f>+Q_Financials!AU48+Q_Financials!AU49</f>
        <v>1145.1878734887014</v>
      </c>
      <c r="AP49" s="357">
        <f>+Q_Financials!AV48+Q_Financials!AV49</f>
        <v>1352.433656214683</v>
      </c>
      <c r="AQ49" s="357">
        <f>+Q_Financials!AW48+Q_Financials!AW49</f>
        <v>1277.1672431275176</v>
      </c>
      <c r="AR49" s="357">
        <f>+Q_Financials!AX48+Q_Financials!AX49</f>
        <v>1158.5523804558738</v>
      </c>
      <c r="AS49" s="357">
        <f>+Q_Financials!AY48+Q_Financials!AY49</f>
        <v>1151.8269281641456</v>
      </c>
      <c r="AT49" s="357">
        <f>+Q_Financials!AZ48+Q_Financials!AZ49</f>
        <v>1360.1435029366162</v>
      </c>
      <c r="AU49" s="357">
        <f>+Q_Financials!BA48+Q_Financials!BA49</f>
        <v>1534.5018197168622</v>
      </c>
      <c r="AV49" s="357">
        <f>+Q_Financials!BB48+Q_Financials!BB49</f>
        <v>1393.2099132098256</v>
      </c>
      <c r="AW49" s="357">
        <f>+Q_Financials!BC48+Q_Financials!BC49</f>
        <v>1393.4906704410832</v>
      </c>
      <c r="AX49" s="357">
        <f>+Q_Financials!BD48+Q_Financials!BD49</f>
        <v>1583.3454632419589</v>
      </c>
      <c r="AY49" s="357">
        <f>+Q_Financials!BE48+Q_Financials!BE49</f>
        <v>1601.2374091246434</v>
      </c>
      <c r="AZ49" s="357">
        <f>+Q_Financials!BF48+Q_Financials!BF49</f>
        <v>1481.3485651871949</v>
      </c>
      <c r="BA49" s="357">
        <f>+Q_Financials!BG48+Q_Financials!BG49</f>
        <v>1522.9489363117907</v>
      </c>
      <c r="BB49" s="357">
        <f>+Q_Financials!BH48+Q_Financials!BH49</f>
        <v>1775.4791448091837</v>
      </c>
      <c r="BC49" s="357">
        <f>+Q_Financials!BI48+Q_Financials!BI49</f>
        <v>1741.4913679350925</v>
      </c>
      <c r="BD49" s="357">
        <f>+Q_Financials!BJ48+Q_Financials!BJ49</f>
        <v>1588.1778862505835</v>
      </c>
      <c r="BE49" s="357">
        <f>+Q_Financials!BK48+Q_Financials!BK49</f>
        <v>1656.2826959654424</v>
      </c>
      <c r="BF49" s="357">
        <f>+Q_Financials!BL48+Q_Financials!BL49</f>
        <v>1934.2217820231472</v>
      </c>
      <c r="BG49" s="357">
        <f>+Q_Financials!BM48+Q_Financials!BM49</f>
        <v>1934.9401359304918</v>
      </c>
      <c r="BH49" s="357">
        <f>+Q_Financials!BN48+Q_Financials!BN49</f>
        <v>1671.7351080935555</v>
      </c>
      <c r="BI49" s="357">
        <f>+Q_Financials!BO48+Q_Financials!BO49</f>
        <v>1723.5071444192963</v>
      </c>
      <c r="BJ49" s="357">
        <f>+Q_Financials!BP48+Q_Financials!BP49</f>
        <v>1975.2408564587931</v>
      </c>
      <c r="BK49" s="357">
        <f>+Q_Financials!BQ48+Q_Financials!BQ49</f>
        <v>1871.1972278084222</v>
      </c>
      <c r="BL49" s="357">
        <f>+Q_Financials!BR48+Q_Financials!BR49</f>
        <v>1429.0108769620829</v>
      </c>
      <c r="BM49" s="357">
        <f>+Q_Financials!BS48+Q_Financials!BS49</f>
        <v>1406.7175920482582</v>
      </c>
      <c r="BN49" s="357">
        <f>+Q_Financials!BT48+Q_Financials!BT49</f>
        <v>1602.6686807726658</v>
      </c>
      <c r="BO49" s="357">
        <f>+Q_Financials!BU48+Q_Financials!BU49</f>
        <v>1616.5030657417569</v>
      </c>
      <c r="BP49" s="357">
        <f>+Q_Financials!BV48+Q_Financials!BV49</f>
        <v>1201.6534269046529</v>
      </c>
      <c r="BQ49" s="357">
        <f>+Q_Financials!BW48+Q_Financials!BW49</f>
        <v>1272.7439430474919</v>
      </c>
      <c r="BR49" s="357">
        <f>+Q_Financials!BX48+Q_Financials!BX49</f>
        <v>1484.032531676487</v>
      </c>
      <c r="BS49" s="357">
        <f>+Q_Financials!BY48+Q_Financials!BY49</f>
        <v>1340.7823743681579</v>
      </c>
    </row>
    <row r="50" spans="1:71" s="1401" customFormat="1">
      <c r="A50" s="1995" t="s">
        <v>1466</v>
      </c>
      <c r="B50" s="196">
        <f>+Q_Financials!H93+Q_Financials!H98+SUM(Q_Financials!H105:H109)</f>
        <v>-130.86899999999969</v>
      </c>
      <c r="C50" s="196">
        <f>+Q_Financials!I93+Q_Financials!I98+SUM(Q_Financials!I105:I109)</f>
        <v>-97.508000000000095</v>
      </c>
      <c r="D50" s="196">
        <f>+Q_Financials!J93+Q_Financials!J98+SUM(Q_Financials!J105:J109)</f>
        <v>-171.63400000000019</v>
      </c>
      <c r="E50" s="196">
        <f>+Q_Financials!K93+Q_Financials!K98+SUM(Q_Financials!K105:K109)</f>
        <v>-163.92199999999977</v>
      </c>
      <c r="F50" s="196">
        <f>+Q_Financials!L93+Q_Financials!L98+SUM(Q_Financials!L105:L109)</f>
        <v>-155.57300000000052</v>
      </c>
      <c r="G50" s="196">
        <f>+Q_Financials!M93+Q_Financials!M98+SUM(Q_Financials!M105:M109)</f>
        <v>68.242000000000274</v>
      </c>
      <c r="H50" s="196">
        <f>+Q_Financials!N93+Q_Financials!N98+SUM(Q_Financials!N105:N109)</f>
        <v>18.960000000000008</v>
      </c>
      <c r="I50" s="196">
        <f>+Q_Financials!O93+Q_Financials!O98+SUM(Q_Financials!O105:O109)</f>
        <v>-42.116000000000184</v>
      </c>
      <c r="J50" s="196">
        <f>+Q_Financials!P93+Q_Financials!P98+SUM(Q_Financials!P105:P109)</f>
        <v>-2.4329999999995522</v>
      </c>
      <c r="K50" s="196">
        <f>+Q_Financials!Q93+Q_Financials!Q98+SUM(Q_Financials!Q105:Q109)</f>
        <v>201.18499999999969</v>
      </c>
      <c r="L50" s="196">
        <f>+Q_Financials!R93+Q_Financials!R98+SUM(Q_Financials!R105:R109)</f>
        <v>-40.485999999999393</v>
      </c>
      <c r="M50" s="196">
        <f>+Q_Financials!S93+Q_Financials!S98+SUM(Q_Financials!S105:S109)</f>
        <v>-120.30000000000047</v>
      </c>
      <c r="N50" s="196">
        <f>+Q_Financials!T93+Q_Financials!T98+SUM(Q_Financials!T105:T109)</f>
        <v>296.63399999999973</v>
      </c>
      <c r="O50" s="196">
        <f>+Q_Financials!U93+Q_Financials!U98+SUM(Q_Financials!U105:U109)</f>
        <v>114.80900000000025</v>
      </c>
      <c r="P50" s="196">
        <f>+Q_Financials!V93+Q_Financials!V98+SUM(Q_Financials!V105:V109)</f>
        <v>18.943999999999505</v>
      </c>
      <c r="Q50" s="196">
        <f>+Q_Financials!W93+Q_Financials!W98+SUM(Q_Financials!W105:W109)</f>
        <v>-169.68200000000002</v>
      </c>
      <c r="R50" s="196">
        <f>+Q_Financials!X93+Q_Financials!X98+SUM(Q_Financials!X105:X109)</f>
        <v>-168.92499999999998</v>
      </c>
      <c r="S50" s="196">
        <f>+Q_Financials!Y93+Q_Financials!Y98+SUM(Q_Financials!Y105:Y109)</f>
        <v>-0.85799999999952092</v>
      </c>
      <c r="T50" s="196">
        <f>+Q_Financials!Z93+Q_Financials!Z98+SUM(Q_Financials!Z105:Z109)</f>
        <v>-231.92199999999991</v>
      </c>
      <c r="U50" s="196">
        <f>+Q_Financials!AA93+Q_Financials!AA98+SUM(Q_Financials!AA105:AA109)</f>
        <v>-71.729000000000951</v>
      </c>
      <c r="V50" s="196">
        <f>+Q_Financials!AB93+Q_Financials!AB98+SUM(Q_Financials!AB105:AB109)</f>
        <v>-176.57599999999985</v>
      </c>
      <c r="W50" s="196">
        <f>+Q_Financials!AC93+Q_Financials!AC98+SUM(Q_Financials!AC105:AC109)</f>
        <v>-31.434999999999945</v>
      </c>
      <c r="X50" s="196">
        <f>+Q_Financials!AD93+Q_Financials!AD98+SUM(Q_Financials!AD105:AD109)</f>
        <v>-64.435100000000006</v>
      </c>
      <c r="Y50" s="196">
        <f>+Q_Financials!AE93+Q_Financials!AE98+SUM(Q_Financials!AE105:AE109)</f>
        <v>-9.936899999999703</v>
      </c>
      <c r="Z50" s="196">
        <f>+Q_Financials!AF93+Q_Financials!AF98+SUM(Q_Financials!AF105:AF109)</f>
        <v>-160.89600000000033</v>
      </c>
      <c r="AA50" s="196">
        <f>+Q_Financials!AG93+Q_Financials!AG98+SUM(Q_Financials!AG105:AG109)</f>
        <v>44.413999999999817</v>
      </c>
      <c r="AB50" s="196">
        <f>+Q_Financials!AH93+Q_Financials!AH98+SUM(Q_Financials!AH105:AH109)</f>
        <v>-29.826999999999771</v>
      </c>
      <c r="AC50" s="196">
        <f>+Q_Financials!AI93+Q_Financials!AI98+SUM(Q_Financials!AI105:AI109)</f>
        <v>-730.22199999999987</v>
      </c>
      <c r="AD50" s="196">
        <f>+Q_Financials!AJ93+Q_Financials!AJ98+SUM(Q_Financials!AJ105:AJ109)</f>
        <v>-294.43100000000032</v>
      </c>
      <c r="AE50" s="196">
        <f>+Q_Financials!AK93+Q_Financials!AK98+SUM(Q_Financials!AK105:AK109)</f>
        <v>105.87700000000052</v>
      </c>
      <c r="AF50" s="196">
        <f>+Q_Financials!AL93+Q_Financials!AL98+SUM(Q_Financials!AL105:AL109)</f>
        <v>-102.87700000000035</v>
      </c>
      <c r="AG50" s="202">
        <f>+Q_Financials!AM93+Q_Financials!AM98+SUM(Q_Financials!AM105:AM109)</f>
        <v>-564.01400000000012</v>
      </c>
      <c r="AH50" s="202">
        <f>+Q_Financials!AN93+Q_Financials!AN98+SUM(Q_Financials!AN105:AN109)</f>
        <v>-37.80799999999951</v>
      </c>
      <c r="AI50" s="202">
        <f>+Q_Financials!AO93+Q_Financials!AO98+SUM(Q_Financials!AO105:AO109)</f>
        <v>472.745</v>
      </c>
      <c r="AJ50" s="202">
        <f>+Q_Financials!AP93+Q_Financials!AP98+SUM(Q_Financials!AP105:AP109)</f>
        <v>32.605000000000899</v>
      </c>
      <c r="AK50" s="202">
        <f>+Q_Financials!AQ93+Q_Financials!AQ98+SUM(Q_Financials!AQ105:AQ109)</f>
        <v>-96.17800000000031</v>
      </c>
      <c r="AL50" s="202">
        <f>+Q_Financials!AR93+Q_Financials!AR98+SUM(Q_Financials!AR105:AR109)</f>
        <v>-62.026800000000421</v>
      </c>
      <c r="AM50" s="202">
        <f>+Q_Financials!AS93+Q_Financials!AS98+SUM(Q_Financials!AS105:AS109)</f>
        <v>297.50979999999959</v>
      </c>
      <c r="AN50" s="355">
        <f>+Q_Financials!AT93+Q_Financials!AT98+SUM(Q_Financials!AT105:AT109)</f>
        <v>-100.72399999999971</v>
      </c>
      <c r="AO50" s="357">
        <f>+Q_Financials!AU93+Q_Financials!AU98+SUM(Q_Financials!AU105:AU109)</f>
        <v>-195.60112651129873</v>
      </c>
      <c r="AP50" s="357">
        <f>+Q_Financials!AV93+Q_Financials!AV98+SUM(Q_Financials!AV105:AV109)</f>
        <v>207.24578272598166</v>
      </c>
      <c r="AQ50" s="357">
        <f>+Q_Financials!AW93+Q_Financials!AW98+SUM(Q_Financials!AW105:AW109)</f>
        <v>385.63978691283461</v>
      </c>
      <c r="AR50" s="357">
        <f>+Q_Financials!AX93+Q_Financials!AX98+SUM(Q_Financials!AX105:AX109)</f>
        <v>-118.61486267164389</v>
      </c>
      <c r="AS50" s="357">
        <f>+Q_Financials!AY93+Q_Financials!AY98+SUM(Q_Financials!AY105:AY109)</f>
        <v>-6.7254522917283168</v>
      </c>
      <c r="AT50" s="357">
        <f>+Q_Financials!AZ93+Q_Financials!AZ98+SUM(Q_Financials!AZ105:AZ109)</f>
        <v>208.31657477247052</v>
      </c>
      <c r="AU50" s="357">
        <f>+Q_Financials!BA93+Q_Financials!BA98+SUM(Q_Financials!BA105:BA109)</f>
        <v>174.35831678024601</v>
      </c>
      <c r="AV50" s="357">
        <f>+Q_Financials!BB93+Q_Financials!BB98+SUM(Q_Financials!BB105:BB109)</f>
        <v>-141.29190650703657</v>
      </c>
      <c r="AW50" s="357">
        <f>+Q_Financials!BC93+Q_Financials!BC98+SUM(Q_Financials!BC105:BC109)</f>
        <v>0.28075723125775198</v>
      </c>
      <c r="AX50" s="357">
        <f>+Q_Financials!BD93+Q_Financials!BD98+SUM(Q_Financials!BD105:BD109)</f>
        <v>189.85479280087577</v>
      </c>
      <c r="AY50" s="357">
        <f>+Q_Financials!BE93+Q_Financials!BE98+SUM(Q_Financials!BE105:BE109)</f>
        <v>17.891945882684411</v>
      </c>
      <c r="AZ50" s="357">
        <f>+Q_Financials!BF93+Q_Financials!BF98+SUM(Q_Financials!BF105:BF109)</f>
        <v>-119.88884393744848</v>
      </c>
      <c r="BA50" s="357">
        <f>+Q_Financials!BG93+Q_Financials!BG98+SUM(Q_Financials!BG105:BG109)</f>
        <v>41.600371124595824</v>
      </c>
      <c r="BB50" s="357">
        <f>+Q_Financials!BH93+Q_Financials!BH98+SUM(Q_Financials!BH105:BH109)</f>
        <v>252.53020849739301</v>
      </c>
      <c r="BC50" s="357">
        <f>+Q_Financials!BI93+Q_Financials!BI98+SUM(Q_Financials!BI105:BI109)</f>
        <v>-33.987776874091196</v>
      </c>
      <c r="BD50" s="357">
        <f>+Q_Financials!BJ93+Q_Financials!BJ98+SUM(Q_Financials!BJ105:BJ109)</f>
        <v>-153.31348168450899</v>
      </c>
      <c r="BE50" s="357">
        <f>+Q_Financials!BK93+Q_Financials!BK98+SUM(Q_Financials!BK105:BK109)</f>
        <v>68.104809714858845</v>
      </c>
      <c r="BF50" s="357">
        <f>+Q_Financials!BL93+Q_Financials!BL98+SUM(Q_Financials!BL105:BL109)</f>
        <v>277.93908605770474</v>
      </c>
      <c r="BG50" s="357">
        <f>+Q_Financials!BM93+Q_Financials!BM98+SUM(Q_Financials!BM105:BM109)</f>
        <v>0.71835390734463545</v>
      </c>
      <c r="BH50" s="357">
        <f>+Q_Financials!BN93+Q_Financials!BN98+SUM(Q_Financials!BN105:BN109)</f>
        <v>-263.20502783693638</v>
      </c>
      <c r="BI50" s="357">
        <f>+Q_Financials!BO93+Q_Financials!BO98+SUM(Q_Financials!BO105:BO109)</f>
        <v>51.772036325740714</v>
      </c>
      <c r="BJ50" s="357">
        <f>+Q_Financials!BP93+Q_Financials!BP98+SUM(Q_Financials!BP105:BP109)</f>
        <v>251.73371203949682</v>
      </c>
      <c r="BK50" s="357">
        <f>+Q_Financials!BQ93+Q_Financials!BQ98+SUM(Q_Financials!BQ105:BQ109)</f>
        <v>-104.04362865037103</v>
      </c>
      <c r="BL50" s="357">
        <f>+Q_Financials!BR93+Q_Financials!BR98+SUM(Q_Financials!BR105:BR109)</f>
        <v>-442.18635084633928</v>
      </c>
      <c r="BM50" s="357">
        <f>+Q_Financials!BS93+Q_Financials!BS98+SUM(Q_Financials!BS105:BS109)</f>
        <v>-22.293284913824664</v>
      </c>
      <c r="BN50" s="357">
        <f>+Q_Financials!BT93+Q_Financials!BT98+SUM(Q_Financials!BT105:BT109)</f>
        <v>195.9510887244075</v>
      </c>
      <c r="BO50" s="357">
        <f>+Q_Financials!BU93+Q_Financials!BU98+SUM(Q_Financials!BU105:BU109)</f>
        <v>13.834384969091275</v>
      </c>
      <c r="BP50" s="357">
        <f>+Q_Financials!BV93+Q_Financials!BV98+SUM(Q_Financials!BV105:BV109)</f>
        <v>-414.84963883710395</v>
      </c>
      <c r="BQ50" s="357">
        <f>+Q_Financials!BW93+Q_Financials!BW98+SUM(Q_Financials!BW105:BW109)</f>
        <v>71.090516142839078</v>
      </c>
      <c r="BR50" s="357">
        <f>+Q_Financials!BX93+Q_Financials!BX98+SUM(Q_Financials!BX105:BX109)</f>
        <v>211.28858862899517</v>
      </c>
      <c r="BS50" s="357">
        <f>+Q_Financials!BY93+Q_Financials!BY98+SUM(Q_Financials!BY105:BY109)</f>
        <v>-143.25015730832911</v>
      </c>
    </row>
    <row r="51" spans="1:71" s="1401" customFormat="1">
      <c r="A51" s="1996" t="s">
        <v>1467</v>
      </c>
      <c r="AG51" s="106"/>
      <c r="AH51" s="106"/>
      <c r="AI51" s="106"/>
      <c r="AJ51" s="106"/>
      <c r="AK51" s="106"/>
      <c r="AL51" s="106"/>
      <c r="AM51" s="106"/>
      <c r="AN51" s="381"/>
      <c r="AO51" s="1432">
        <f>+Inputs!AO214</f>
        <v>400</v>
      </c>
      <c r="AP51" s="1432">
        <f>+Inputs!AP214</f>
        <v>400</v>
      </c>
      <c r="AQ51" s="1432">
        <f>+Inputs!AQ214</f>
        <v>400</v>
      </c>
      <c r="AR51" s="1432">
        <f>+Inputs!AR214</f>
        <v>400</v>
      </c>
      <c r="AS51" s="1432">
        <f>+Inputs!AS214</f>
        <v>400</v>
      </c>
      <c r="AT51" s="1432">
        <f>+Inputs!AT214</f>
        <v>400</v>
      </c>
      <c r="AU51" s="1432">
        <f>+Inputs!AU214</f>
        <v>400</v>
      </c>
      <c r="AV51" s="1432">
        <f>+Inputs!AV214</f>
        <v>400</v>
      </c>
      <c r="AW51" s="1432">
        <f>+Inputs!AW214</f>
        <v>400</v>
      </c>
      <c r="AX51" s="1432">
        <f>+Inputs!AX214</f>
        <v>400</v>
      </c>
      <c r="AY51" s="1432">
        <f>+Inputs!AY214</f>
        <v>400</v>
      </c>
      <c r="AZ51" s="1432">
        <f>+Inputs!AZ214</f>
        <v>400</v>
      </c>
      <c r="BA51" s="1432">
        <f>+Inputs!BA214</f>
        <v>400</v>
      </c>
      <c r="BB51" s="1432">
        <f>+Inputs!BB214</f>
        <v>400</v>
      </c>
      <c r="BC51" s="1432">
        <f>+Inputs!BC214</f>
        <v>400</v>
      </c>
      <c r="BD51" s="1432">
        <f>+Inputs!BD214</f>
        <v>400</v>
      </c>
      <c r="BE51" s="1432">
        <f>+Inputs!BE214</f>
        <v>400</v>
      </c>
      <c r="BF51" s="1432">
        <f>+Inputs!BF214</f>
        <v>400</v>
      </c>
      <c r="BG51" s="1432">
        <f>+Inputs!BG214</f>
        <v>400</v>
      </c>
      <c r="BH51" s="1432">
        <f>+Inputs!BH214</f>
        <v>400</v>
      </c>
      <c r="BI51" s="1432">
        <f>+Inputs!BI214</f>
        <v>400</v>
      </c>
      <c r="BJ51" s="1432">
        <f>+Inputs!BJ214</f>
        <v>400</v>
      </c>
      <c r="BK51" s="1432">
        <f>+Inputs!BK214</f>
        <v>400</v>
      </c>
      <c r="BL51" s="1432">
        <f>+Inputs!BL214</f>
        <v>400</v>
      </c>
      <c r="BM51" s="1432">
        <f>+Inputs!BM214</f>
        <v>400</v>
      </c>
      <c r="BN51" s="1432">
        <f>+Inputs!BN214</f>
        <v>400</v>
      </c>
      <c r="BO51" s="1432">
        <f>+Inputs!BO214</f>
        <v>400</v>
      </c>
      <c r="BP51" s="1432">
        <f>+Inputs!BP214</f>
        <v>400</v>
      </c>
      <c r="BQ51" s="1432">
        <f>+Inputs!BQ214</f>
        <v>400</v>
      </c>
      <c r="BR51" s="1432">
        <f>+Inputs!BR214</f>
        <v>400</v>
      </c>
      <c r="BS51" s="1432">
        <f>+Inputs!BS214</f>
        <v>400</v>
      </c>
    </row>
    <row r="52" spans="1:71" s="1401" customFormat="1">
      <c r="A52" s="1995"/>
      <c r="AG52" s="106"/>
      <c r="AH52" s="106"/>
      <c r="AI52" s="106"/>
      <c r="AJ52" s="106"/>
      <c r="AK52" s="106"/>
      <c r="AL52" s="106"/>
      <c r="AM52" s="106"/>
      <c r="AN52" s="381"/>
      <c r="AO52" s="382"/>
      <c r="AP52" s="382"/>
      <c r="AQ52" s="382"/>
      <c r="AR52" s="382"/>
      <c r="AS52" s="382"/>
      <c r="AT52" s="382"/>
      <c r="AU52" s="382"/>
      <c r="AV52" s="382"/>
      <c r="AW52" s="382"/>
      <c r="AX52" s="382"/>
      <c r="AY52" s="382"/>
      <c r="AZ52" s="382"/>
      <c r="BA52" s="382"/>
      <c r="BB52" s="382"/>
      <c r="BC52" s="382"/>
      <c r="BD52" s="382"/>
      <c r="BE52" s="382"/>
      <c r="BF52" s="382"/>
      <c r="BG52" s="382"/>
      <c r="BH52" s="382"/>
      <c r="BI52" s="382"/>
      <c r="BJ52" s="382"/>
      <c r="BK52" s="382"/>
      <c r="BL52" s="382"/>
      <c r="BM52" s="382"/>
      <c r="BN52" s="382"/>
      <c r="BO52" s="382"/>
      <c r="BP52" s="382"/>
      <c r="BQ52" s="382"/>
      <c r="BR52" s="382"/>
      <c r="BS52" s="382"/>
    </row>
    <row r="53" spans="1:71" s="1401" customFormat="1">
      <c r="A53" s="1997" t="s">
        <v>1641</v>
      </c>
      <c r="C53" s="196">
        <f t="shared" ref="C53:AH53" si="185">+B56</f>
        <v>151.99199999999999</v>
      </c>
      <c r="D53" s="196">
        <f t="shared" si="185"/>
        <v>144.761</v>
      </c>
      <c r="E53" s="196">
        <f t="shared" si="185"/>
        <v>358.32499999999999</v>
      </c>
      <c r="F53" s="196">
        <f t="shared" si="185"/>
        <v>365.59800000000001</v>
      </c>
      <c r="G53" s="196">
        <f t="shared" si="185"/>
        <v>420.21100000000001</v>
      </c>
      <c r="H53" s="196">
        <f t="shared" si="185"/>
        <v>407.38400000000001</v>
      </c>
      <c r="I53" s="196">
        <f t="shared" si="185"/>
        <v>368.46000000000004</v>
      </c>
      <c r="J53" s="196">
        <f t="shared" si="185"/>
        <v>464.92200000000003</v>
      </c>
      <c r="K53" s="196">
        <f t="shared" si="185"/>
        <v>491.01799999999997</v>
      </c>
      <c r="L53" s="196">
        <f t="shared" si="185"/>
        <v>326.74599999999998</v>
      </c>
      <c r="M53" s="196">
        <f t="shared" si="185"/>
        <v>365.59300000000002</v>
      </c>
      <c r="N53" s="196">
        <f t="shared" si="185"/>
        <v>431.95800000000003</v>
      </c>
      <c r="O53" s="196">
        <f t="shared" si="185"/>
        <v>270.82400000000001</v>
      </c>
      <c r="P53" s="196">
        <f t="shared" si="185"/>
        <v>166.89</v>
      </c>
      <c r="Q53" s="196">
        <f t="shared" si="185"/>
        <v>169.29300000000001</v>
      </c>
      <c r="R53" s="196">
        <f t="shared" si="185"/>
        <v>233.01300000000001</v>
      </c>
      <c r="S53" s="196">
        <f t="shared" si="185"/>
        <v>341.19</v>
      </c>
      <c r="T53" s="196">
        <f t="shared" si="185"/>
        <v>261.77299999999997</v>
      </c>
      <c r="U53" s="196">
        <f t="shared" si="185"/>
        <v>424.49599999999998</v>
      </c>
      <c r="V53" s="196">
        <f t="shared" si="185"/>
        <v>422.02699999999999</v>
      </c>
      <c r="W53" s="196">
        <f t="shared" si="185"/>
        <v>468.339</v>
      </c>
      <c r="X53" s="196">
        <f t="shared" si="185"/>
        <v>363.529</v>
      </c>
      <c r="Y53" s="196">
        <f t="shared" si="185"/>
        <v>405.46800000000002</v>
      </c>
      <c r="Z53" s="196">
        <f t="shared" si="185"/>
        <v>515.29499999999996</v>
      </c>
      <c r="AA53" s="196">
        <f t="shared" si="185"/>
        <v>665.95399999999995</v>
      </c>
      <c r="AB53" s="196">
        <f t="shared" si="185"/>
        <v>592.29399999999998</v>
      </c>
      <c r="AC53" s="196">
        <f t="shared" si="185"/>
        <v>606.41</v>
      </c>
      <c r="AD53" s="196">
        <f t="shared" si="185"/>
        <v>1080.7570000000001</v>
      </c>
      <c r="AE53" s="196">
        <f t="shared" si="185"/>
        <v>1011.942</v>
      </c>
      <c r="AF53" s="196">
        <f t="shared" si="185"/>
        <v>978.82799999999997</v>
      </c>
      <c r="AG53" s="202">
        <f t="shared" si="185"/>
        <v>834.68899999999996</v>
      </c>
      <c r="AH53" s="202">
        <f t="shared" si="185"/>
        <v>956.17899999999997</v>
      </c>
      <c r="AI53" s="202">
        <f t="shared" ref="AI53:AN53" si="186">+AH56</f>
        <v>856.24</v>
      </c>
      <c r="AJ53" s="202">
        <f t="shared" si="186"/>
        <v>776.53200000000004</v>
      </c>
      <c r="AK53" s="202">
        <f t="shared" si="186"/>
        <v>1185.0329999999999</v>
      </c>
      <c r="AL53" s="202">
        <f t="shared" si="186"/>
        <v>1053.971</v>
      </c>
      <c r="AM53" s="202">
        <f t="shared" si="186"/>
        <v>1038.7428</v>
      </c>
      <c r="AN53" s="355">
        <f t="shared" si="186"/>
        <v>1499.6489999999999</v>
      </c>
      <c r="AO53" s="357">
        <f t="shared" ref="AO53:BS53" si="187">+AN56</f>
        <v>1115.54</v>
      </c>
      <c r="AP53" s="357">
        <f t="shared" si="187"/>
        <v>1115.54</v>
      </c>
      <c r="AQ53" s="357">
        <f t="shared" si="187"/>
        <v>1115.54</v>
      </c>
      <c r="AR53" s="357">
        <f t="shared" si="187"/>
        <v>654.63380000000006</v>
      </c>
      <c r="AS53" s="357">
        <f t="shared" si="187"/>
        <v>654.63380000000006</v>
      </c>
      <c r="AT53" s="357">
        <f t="shared" si="187"/>
        <v>654.63380000000006</v>
      </c>
      <c r="AU53" s="357">
        <f t="shared" si="187"/>
        <v>654.63380000000006</v>
      </c>
      <c r="AV53" s="357">
        <f t="shared" si="187"/>
        <v>654.63380000000006</v>
      </c>
      <c r="AW53" s="357">
        <f t="shared" si="187"/>
        <v>654.63380000000006</v>
      </c>
      <c r="AX53" s="357">
        <f t="shared" si="187"/>
        <v>654.63380000000006</v>
      </c>
      <c r="AY53" s="357">
        <f t="shared" si="187"/>
        <v>654.63380000000006</v>
      </c>
      <c r="AZ53" s="357">
        <f t="shared" si="187"/>
        <v>654.63380000000006</v>
      </c>
      <c r="BA53" s="357">
        <f t="shared" si="187"/>
        <v>654.63380000000006</v>
      </c>
      <c r="BB53" s="357">
        <f t="shared" si="187"/>
        <v>654.63380000000006</v>
      </c>
      <c r="BC53" s="357">
        <f t="shared" si="187"/>
        <v>654.63380000000006</v>
      </c>
      <c r="BD53" s="357">
        <f t="shared" si="187"/>
        <v>654.63380000000006</v>
      </c>
      <c r="BE53" s="357">
        <f t="shared" si="187"/>
        <v>654.63380000000006</v>
      </c>
      <c r="BF53" s="357">
        <f t="shared" si="187"/>
        <v>654.63380000000006</v>
      </c>
      <c r="BG53" s="357">
        <f t="shared" si="187"/>
        <v>654.63380000000006</v>
      </c>
      <c r="BH53" s="357">
        <f t="shared" si="187"/>
        <v>654.63380000000006</v>
      </c>
      <c r="BI53" s="357">
        <f t="shared" si="187"/>
        <v>654.63380000000006</v>
      </c>
      <c r="BJ53" s="357">
        <f t="shared" si="187"/>
        <v>654.63380000000006</v>
      </c>
      <c r="BK53" s="357">
        <f t="shared" si="187"/>
        <v>654.63380000000006</v>
      </c>
      <c r="BL53" s="357">
        <f t="shared" si="187"/>
        <v>654.63380000000006</v>
      </c>
      <c r="BM53" s="357">
        <f t="shared" si="187"/>
        <v>654.63380000000006</v>
      </c>
      <c r="BN53" s="357">
        <f t="shared" si="187"/>
        <v>654.63380000000006</v>
      </c>
      <c r="BO53" s="357">
        <f t="shared" si="187"/>
        <v>654.63380000000006</v>
      </c>
      <c r="BP53" s="357">
        <f t="shared" si="187"/>
        <v>654.63380000000006</v>
      </c>
      <c r="BQ53" s="357">
        <f t="shared" si="187"/>
        <v>654.63380000000006</v>
      </c>
      <c r="BR53" s="357">
        <f t="shared" si="187"/>
        <v>654.63380000000006</v>
      </c>
      <c r="BS53" s="357">
        <f t="shared" si="187"/>
        <v>654.63380000000006</v>
      </c>
    </row>
    <row r="54" spans="1:71" s="1401" customFormat="1">
      <c r="A54" s="1998" t="s">
        <v>1468</v>
      </c>
      <c r="C54" s="196">
        <f t="shared" ref="C54:AH54" si="188">+IF(C56&gt;C53,C56-C53,0)</f>
        <v>0</v>
      </c>
      <c r="D54" s="196">
        <f t="shared" si="188"/>
        <v>213.56399999999999</v>
      </c>
      <c r="E54" s="196">
        <f t="shared" si="188"/>
        <v>7.2730000000000246</v>
      </c>
      <c r="F54" s="196">
        <f t="shared" si="188"/>
        <v>54.613</v>
      </c>
      <c r="G54" s="196">
        <f t="shared" si="188"/>
        <v>0</v>
      </c>
      <c r="H54" s="196">
        <f t="shared" si="188"/>
        <v>0</v>
      </c>
      <c r="I54" s="196">
        <f t="shared" si="188"/>
        <v>96.461999999999989</v>
      </c>
      <c r="J54" s="196">
        <f t="shared" si="188"/>
        <v>26.095999999999947</v>
      </c>
      <c r="K54" s="196">
        <f t="shared" si="188"/>
        <v>0</v>
      </c>
      <c r="L54" s="196">
        <f t="shared" si="188"/>
        <v>38.847000000000037</v>
      </c>
      <c r="M54" s="196">
        <f t="shared" si="188"/>
        <v>66.365000000000009</v>
      </c>
      <c r="N54" s="196">
        <f t="shared" si="188"/>
        <v>0</v>
      </c>
      <c r="O54" s="196">
        <f t="shared" si="188"/>
        <v>0</v>
      </c>
      <c r="P54" s="196">
        <f t="shared" si="188"/>
        <v>2.40300000000002</v>
      </c>
      <c r="Q54" s="196">
        <f t="shared" si="188"/>
        <v>63.72</v>
      </c>
      <c r="R54" s="196">
        <f t="shared" si="188"/>
        <v>108.17699999999999</v>
      </c>
      <c r="S54" s="196">
        <f t="shared" si="188"/>
        <v>0</v>
      </c>
      <c r="T54" s="196">
        <f t="shared" si="188"/>
        <v>162.72300000000001</v>
      </c>
      <c r="U54" s="196">
        <f t="shared" si="188"/>
        <v>0</v>
      </c>
      <c r="V54" s="196">
        <f t="shared" si="188"/>
        <v>46.312000000000012</v>
      </c>
      <c r="W54" s="196">
        <f t="shared" si="188"/>
        <v>0</v>
      </c>
      <c r="X54" s="196">
        <f t="shared" si="188"/>
        <v>41.939000000000021</v>
      </c>
      <c r="Y54" s="196">
        <f t="shared" si="188"/>
        <v>109.82699999999994</v>
      </c>
      <c r="Z54" s="196">
        <f t="shared" si="188"/>
        <v>150.65899999999999</v>
      </c>
      <c r="AA54" s="196">
        <f t="shared" si="188"/>
        <v>0</v>
      </c>
      <c r="AB54" s="196">
        <f t="shared" si="188"/>
        <v>14.115999999999985</v>
      </c>
      <c r="AC54" s="196">
        <f t="shared" si="188"/>
        <v>474.34700000000009</v>
      </c>
      <c r="AD54" s="196">
        <f t="shared" si="188"/>
        <v>0</v>
      </c>
      <c r="AE54" s="196">
        <f t="shared" si="188"/>
        <v>0</v>
      </c>
      <c r="AF54" s="196">
        <f t="shared" si="188"/>
        <v>0</v>
      </c>
      <c r="AG54" s="202">
        <f t="shared" si="188"/>
        <v>121.49000000000001</v>
      </c>
      <c r="AH54" s="202">
        <f t="shared" si="188"/>
        <v>0</v>
      </c>
      <c r="AI54" s="202">
        <f t="shared" ref="AI54:AN54" si="189">+IF(AI56&gt;AI53,AI56-AI53,0)</f>
        <v>0</v>
      </c>
      <c r="AJ54" s="202">
        <f t="shared" si="189"/>
        <v>408.50099999999986</v>
      </c>
      <c r="AK54" s="202">
        <f t="shared" si="189"/>
        <v>0</v>
      </c>
      <c r="AL54" s="202">
        <f t="shared" si="189"/>
        <v>0</v>
      </c>
      <c r="AM54" s="202">
        <f t="shared" si="189"/>
        <v>460.9061999999999</v>
      </c>
      <c r="AN54" s="355">
        <f t="shared" si="189"/>
        <v>0</v>
      </c>
      <c r="AO54" s="357">
        <f t="shared" ref="AO54:BS54" si="190">-AO61+IF(SWITCHINTERESTEXPENSE=1,IF((AN49+AO50+AO55+AO60+AO61)&lt;AO51,AO51-(AN49+AO50+AO55+AO60+AO61),0),0)</f>
        <v>0</v>
      </c>
      <c r="AP54" s="357">
        <f t="shared" si="190"/>
        <v>0</v>
      </c>
      <c r="AQ54" s="357">
        <f t="shared" si="190"/>
        <v>0</v>
      </c>
      <c r="AR54" s="357">
        <f t="shared" si="190"/>
        <v>0</v>
      </c>
      <c r="AS54" s="357">
        <f t="shared" si="190"/>
        <v>0</v>
      </c>
      <c r="AT54" s="357">
        <f t="shared" si="190"/>
        <v>0</v>
      </c>
      <c r="AU54" s="357">
        <f t="shared" si="190"/>
        <v>0</v>
      </c>
      <c r="AV54" s="357">
        <f t="shared" si="190"/>
        <v>0</v>
      </c>
      <c r="AW54" s="357">
        <f t="shared" si="190"/>
        <v>0</v>
      </c>
      <c r="AX54" s="357">
        <f t="shared" si="190"/>
        <v>0</v>
      </c>
      <c r="AY54" s="357">
        <f t="shared" si="190"/>
        <v>0</v>
      </c>
      <c r="AZ54" s="357">
        <f t="shared" si="190"/>
        <v>0</v>
      </c>
      <c r="BA54" s="357">
        <f t="shared" si="190"/>
        <v>0</v>
      </c>
      <c r="BB54" s="357">
        <f t="shared" si="190"/>
        <v>0</v>
      </c>
      <c r="BC54" s="357">
        <f t="shared" si="190"/>
        <v>0</v>
      </c>
      <c r="BD54" s="357">
        <f t="shared" si="190"/>
        <v>0</v>
      </c>
      <c r="BE54" s="357">
        <f t="shared" si="190"/>
        <v>0</v>
      </c>
      <c r="BF54" s="357">
        <f t="shared" si="190"/>
        <v>0</v>
      </c>
      <c r="BG54" s="357">
        <f t="shared" si="190"/>
        <v>0</v>
      </c>
      <c r="BH54" s="357">
        <f t="shared" si="190"/>
        <v>0</v>
      </c>
      <c r="BI54" s="357">
        <f t="shared" si="190"/>
        <v>0</v>
      </c>
      <c r="BJ54" s="357">
        <f t="shared" si="190"/>
        <v>0</v>
      </c>
      <c r="BK54" s="357">
        <f t="shared" si="190"/>
        <v>0</v>
      </c>
      <c r="BL54" s="357">
        <f t="shared" si="190"/>
        <v>0</v>
      </c>
      <c r="BM54" s="357">
        <f t="shared" si="190"/>
        <v>0</v>
      </c>
      <c r="BN54" s="357">
        <f t="shared" si="190"/>
        <v>0</v>
      </c>
      <c r="BO54" s="357">
        <f t="shared" si="190"/>
        <v>0</v>
      </c>
      <c r="BP54" s="357">
        <f t="shared" si="190"/>
        <v>0</v>
      </c>
      <c r="BQ54" s="357">
        <f t="shared" si="190"/>
        <v>0</v>
      </c>
      <c r="BR54" s="357">
        <f t="shared" si="190"/>
        <v>0</v>
      </c>
      <c r="BS54" s="357">
        <f t="shared" si="190"/>
        <v>0</v>
      </c>
    </row>
    <row r="55" spans="1:71" s="1401" customFormat="1">
      <c r="A55" s="1998" t="s">
        <v>1469</v>
      </c>
      <c r="C55" s="196">
        <f t="shared" ref="C55:AH55" si="191">+IF(C56&lt;C53,C56-C53,0)</f>
        <v>-7.2309999999999945</v>
      </c>
      <c r="D55" s="196">
        <f t="shared" si="191"/>
        <v>0</v>
      </c>
      <c r="E55" s="196">
        <f t="shared" si="191"/>
        <v>0</v>
      </c>
      <c r="F55" s="196">
        <f t="shared" si="191"/>
        <v>0</v>
      </c>
      <c r="G55" s="196">
        <f t="shared" si="191"/>
        <v>-12.826999999999998</v>
      </c>
      <c r="H55" s="196">
        <f t="shared" si="191"/>
        <v>-38.923999999999978</v>
      </c>
      <c r="I55" s="196">
        <f t="shared" si="191"/>
        <v>0</v>
      </c>
      <c r="J55" s="196">
        <f t="shared" si="191"/>
        <v>0</v>
      </c>
      <c r="K55" s="196">
        <f t="shared" si="191"/>
        <v>-164.27199999999999</v>
      </c>
      <c r="L55" s="196">
        <f t="shared" si="191"/>
        <v>0</v>
      </c>
      <c r="M55" s="196">
        <f t="shared" si="191"/>
        <v>0</v>
      </c>
      <c r="N55" s="196">
        <f t="shared" si="191"/>
        <v>-161.13400000000001</v>
      </c>
      <c r="O55" s="196">
        <f t="shared" si="191"/>
        <v>-103.93400000000003</v>
      </c>
      <c r="P55" s="196">
        <f t="shared" si="191"/>
        <v>0</v>
      </c>
      <c r="Q55" s="196">
        <f t="shared" si="191"/>
        <v>0</v>
      </c>
      <c r="R55" s="196">
        <f t="shared" si="191"/>
        <v>0</v>
      </c>
      <c r="S55" s="196">
        <f t="shared" si="191"/>
        <v>-79.41700000000003</v>
      </c>
      <c r="T55" s="196">
        <f t="shared" si="191"/>
        <v>0</v>
      </c>
      <c r="U55" s="196">
        <f t="shared" si="191"/>
        <v>-2.4689999999999941</v>
      </c>
      <c r="V55" s="196">
        <f t="shared" si="191"/>
        <v>0</v>
      </c>
      <c r="W55" s="196">
        <f t="shared" si="191"/>
        <v>-104.81</v>
      </c>
      <c r="X55" s="196">
        <f t="shared" si="191"/>
        <v>0</v>
      </c>
      <c r="Y55" s="196">
        <f t="shared" si="191"/>
        <v>0</v>
      </c>
      <c r="Z55" s="196">
        <f t="shared" si="191"/>
        <v>0</v>
      </c>
      <c r="AA55" s="196">
        <f t="shared" si="191"/>
        <v>-73.659999999999968</v>
      </c>
      <c r="AB55" s="196">
        <f t="shared" si="191"/>
        <v>0</v>
      </c>
      <c r="AC55" s="196">
        <f t="shared" si="191"/>
        <v>0</v>
      </c>
      <c r="AD55" s="196">
        <f t="shared" si="191"/>
        <v>-68.815000000000055</v>
      </c>
      <c r="AE55" s="196">
        <f t="shared" si="191"/>
        <v>-33.114000000000033</v>
      </c>
      <c r="AF55" s="196">
        <f t="shared" si="191"/>
        <v>-144.13900000000001</v>
      </c>
      <c r="AG55" s="202">
        <f t="shared" si="191"/>
        <v>0</v>
      </c>
      <c r="AH55" s="202">
        <f t="shared" si="191"/>
        <v>-99.938999999999965</v>
      </c>
      <c r="AI55" s="202">
        <f t="shared" ref="AI55:AN55" si="192">+IF(AI56&lt;AI53,AI56-AI53,0)</f>
        <v>-79.70799999999997</v>
      </c>
      <c r="AJ55" s="202">
        <f t="shared" si="192"/>
        <v>0</v>
      </c>
      <c r="AK55" s="202">
        <f t="shared" si="192"/>
        <v>-131.0619999999999</v>
      </c>
      <c r="AL55" s="202">
        <f t="shared" si="192"/>
        <v>-15.228200000000015</v>
      </c>
      <c r="AM55" s="202">
        <f t="shared" si="192"/>
        <v>0</v>
      </c>
      <c r="AN55" s="355">
        <f t="shared" si="192"/>
        <v>-384.10899999999992</v>
      </c>
      <c r="AO55" s="357">
        <f t="shared" ref="AO55:AQ55" si="193">-AK54</f>
        <v>0</v>
      </c>
      <c r="AP55" s="357">
        <f t="shared" si="193"/>
        <v>0</v>
      </c>
      <c r="AQ55" s="357">
        <f t="shared" si="193"/>
        <v>-460.9061999999999</v>
      </c>
      <c r="AR55" s="357">
        <f t="shared" ref="AR55" si="194">-AN54</f>
        <v>0</v>
      </c>
      <c r="AS55" s="357">
        <f t="shared" ref="AS55" si="195">-AO54</f>
        <v>0</v>
      </c>
      <c r="AT55" s="357">
        <f t="shared" ref="AT55" si="196">-AP54</f>
        <v>0</v>
      </c>
      <c r="AU55" s="357">
        <f t="shared" ref="AU55" si="197">-AQ54</f>
        <v>0</v>
      </c>
      <c r="AV55" s="357">
        <f t="shared" ref="AV55" si="198">-AR54</f>
        <v>0</v>
      </c>
      <c r="AW55" s="357">
        <f t="shared" ref="AW55" si="199">-AS54</f>
        <v>0</v>
      </c>
      <c r="AX55" s="357">
        <f t="shared" ref="AX55" si="200">-AT54</f>
        <v>0</v>
      </c>
      <c r="AY55" s="357">
        <f t="shared" ref="AY55" si="201">-AU54</f>
        <v>0</v>
      </c>
      <c r="AZ55" s="357">
        <f t="shared" ref="AZ55" si="202">-AV54</f>
        <v>0</v>
      </c>
      <c r="BA55" s="357">
        <f t="shared" ref="BA55" si="203">-AW54</f>
        <v>0</v>
      </c>
      <c r="BB55" s="357">
        <f t="shared" ref="BB55" si="204">-AX54</f>
        <v>0</v>
      </c>
      <c r="BC55" s="357">
        <f t="shared" ref="BC55" si="205">-AY54</f>
        <v>0</v>
      </c>
      <c r="BD55" s="357">
        <f t="shared" ref="BD55" si="206">-AZ54</f>
        <v>0</v>
      </c>
      <c r="BE55" s="357">
        <f t="shared" ref="BE55" si="207">-BA54</f>
        <v>0</v>
      </c>
      <c r="BF55" s="357">
        <f t="shared" ref="BF55" si="208">-BB54</f>
        <v>0</v>
      </c>
      <c r="BG55" s="357">
        <f t="shared" ref="BG55" si="209">-BC54</f>
        <v>0</v>
      </c>
      <c r="BH55" s="357">
        <f t="shared" ref="BH55" si="210">-BD54</f>
        <v>0</v>
      </c>
      <c r="BI55" s="357">
        <f t="shared" ref="BI55" si="211">-BE54</f>
        <v>0</v>
      </c>
      <c r="BJ55" s="357">
        <f t="shared" ref="BJ55" si="212">-BF54</f>
        <v>0</v>
      </c>
      <c r="BK55" s="357">
        <f t="shared" ref="BK55" si="213">-BG54</f>
        <v>0</v>
      </c>
      <c r="BL55" s="357">
        <f t="shared" ref="BL55" si="214">-BH54</f>
        <v>0</v>
      </c>
      <c r="BM55" s="357">
        <f t="shared" ref="BM55" si="215">-BI54</f>
        <v>0</v>
      </c>
      <c r="BN55" s="357">
        <f t="shared" ref="BN55" si="216">-BJ54</f>
        <v>0</v>
      </c>
      <c r="BO55" s="357">
        <f t="shared" ref="BO55" si="217">-BK54</f>
        <v>0</v>
      </c>
      <c r="BP55" s="357">
        <f t="shared" ref="BP55" si="218">-BL54</f>
        <v>0</v>
      </c>
      <c r="BQ55" s="357">
        <f t="shared" ref="BQ55" si="219">-BM54</f>
        <v>0</v>
      </c>
      <c r="BR55" s="357">
        <f t="shared" ref="BR55" si="220">-BN54</f>
        <v>0</v>
      </c>
      <c r="BS55" s="357">
        <f t="shared" ref="BS55" si="221">-BO54</f>
        <v>0</v>
      </c>
    </row>
    <row r="56" spans="1:71" s="14" customFormat="1">
      <c r="A56" s="1999" t="s">
        <v>1642</v>
      </c>
      <c r="B56" s="362">
        <f>+Q_Financials!H68</f>
        <v>151.99199999999999</v>
      </c>
      <c r="C56" s="362">
        <f>+Q_Financials!I68</f>
        <v>144.761</v>
      </c>
      <c r="D56" s="362">
        <f>+Q_Financials!J68</f>
        <v>358.32499999999999</v>
      </c>
      <c r="E56" s="362">
        <f>+Q_Financials!K68</f>
        <v>365.59800000000001</v>
      </c>
      <c r="F56" s="362">
        <f>+Q_Financials!L68</f>
        <v>420.21100000000001</v>
      </c>
      <c r="G56" s="362">
        <f>+Q_Financials!M68</f>
        <v>407.38400000000001</v>
      </c>
      <c r="H56" s="362">
        <f>+Q_Financials!N68</f>
        <v>368.46000000000004</v>
      </c>
      <c r="I56" s="362">
        <f>+Q_Financials!O68</f>
        <v>464.92200000000003</v>
      </c>
      <c r="J56" s="362">
        <f>+Q_Financials!P68</f>
        <v>491.01799999999997</v>
      </c>
      <c r="K56" s="362">
        <f>+Q_Financials!Q68</f>
        <v>326.74599999999998</v>
      </c>
      <c r="L56" s="362">
        <f>+Q_Financials!R68</f>
        <v>365.59300000000002</v>
      </c>
      <c r="M56" s="362">
        <f>+Q_Financials!S68</f>
        <v>431.95800000000003</v>
      </c>
      <c r="N56" s="362">
        <f>+Q_Financials!T68</f>
        <v>270.82400000000001</v>
      </c>
      <c r="O56" s="362">
        <f>+Q_Financials!U68</f>
        <v>166.89</v>
      </c>
      <c r="P56" s="362">
        <f>+Q_Financials!V68</f>
        <v>169.29300000000001</v>
      </c>
      <c r="Q56" s="362">
        <f>+Q_Financials!W68</f>
        <v>233.01300000000001</v>
      </c>
      <c r="R56" s="362">
        <f>+Q_Financials!X68</f>
        <v>341.19</v>
      </c>
      <c r="S56" s="362">
        <f>+Q_Financials!Y68</f>
        <v>261.77299999999997</v>
      </c>
      <c r="T56" s="362">
        <f>+Q_Financials!Z68</f>
        <v>424.49599999999998</v>
      </c>
      <c r="U56" s="362">
        <f>+Q_Financials!AA68</f>
        <v>422.02699999999999</v>
      </c>
      <c r="V56" s="362">
        <f>+Q_Financials!AB68</f>
        <v>468.339</v>
      </c>
      <c r="W56" s="362">
        <f>+Q_Financials!AC68</f>
        <v>363.529</v>
      </c>
      <c r="X56" s="362">
        <f>+Q_Financials!AD68</f>
        <v>405.46800000000002</v>
      </c>
      <c r="Y56" s="362">
        <f>+Q_Financials!AE68</f>
        <v>515.29499999999996</v>
      </c>
      <c r="Z56" s="362">
        <f>+Q_Financials!AF68</f>
        <v>665.95399999999995</v>
      </c>
      <c r="AA56" s="362">
        <f>+Q_Financials!AG68</f>
        <v>592.29399999999998</v>
      </c>
      <c r="AB56" s="362">
        <f>+Q_Financials!AH68</f>
        <v>606.41</v>
      </c>
      <c r="AC56" s="362">
        <f>+Q_Financials!AI68</f>
        <v>1080.7570000000001</v>
      </c>
      <c r="AD56" s="362">
        <f>+Q_Financials!AJ68</f>
        <v>1011.942</v>
      </c>
      <c r="AE56" s="362">
        <f>+Q_Financials!AK68</f>
        <v>978.82799999999997</v>
      </c>
      <c r="AF56" s="362">
        <f>+Q_Financials!AL68</f>
        <v>834.68899999999996</v>
      </c>
      <c r="AG56" s="390">
        <f>+Q_Financials!AM68</f>
        <v>956.17899999999997</v>
      </c>
      <c r="AH56" s="390">
        <f>+Q_Financials!AN68</f>
        <v>856.24</v>
      </c>
      <c r="AI56" s="390">
        <f>+Q_Financials!AO68</f>
        <v>776.53200000000004</v>
      </c>
      <c r="AJ56" s="390">
        <f>+Q_Financials!AP68</f>
        <v>1185.0329999999999</v>
      </c>
      <c r="AK56" s="390">
        <f>+Q_Financials!AQ68</f>
        <v>1053.971</v>
      </c>
      <c r="AL56" s="390">
        <f>+Q_Financials!AR68</f>
        <v>1038.7428</v>
      </c>
      <c r="AM56" s="390">
        <f>+Q_Financials!AS68</f>
        <v>1499.6489999999999</v>
      </c>
      <c r="AN56" s="391">
        <f>+Q_Financials!AT68</f>
        <v>1115.54</v>
      </c>
      <c r="AO56" s="364">
        <f t="shared" ref="AO56:BS56" si="222">+SUM(AO53:AO55)</f>
        <v>1115.54</v>
      </c>
      <c r="AP56" s="364">
        <f t="shared" si="222"/>
        <v>1115.54</v>
      </c>
      <c r="AQ56" s="364">
        <f t="shared" si="222"/>
        <v>654.63380000000006</v>
      </c>
      <c r="AR56" s="364">
        <f t="shared" si="222"/>
        <v>654.63380000000006</v>
      </c>
      <c r="AS56" s="364">
        <f t="shared" si="222"/>
        <v>654.63380000000006</v>
      </c>
      <c r="AT56" s="364">
        <f t="shared" si="222"/>
        <v>654.63380000000006</v>
      </c>
      <c r="AU56" s="364">
        <f t="shared" si="222"/>
        <v>654.63380000000006</v>
      </c>
      <c r="AV56" s="364">
        <f t="shared" si="222"/>
        <v>654.63380000000006</v>
      </c>
      <c r="AW56" s="364">
        <f t="shared" si="222"/>
        <v>654.63380000000006</v>
      </c>
      <c r="AX56" s="364">
        <f t="shared" si="222"/>
        <v>654.63380000000006</v>
      </c>
      <c r="AY56" s="364">
        <f t="shared" si="222"/>
        <v>654.63380000000006</v>
      </c>
      <c r="AZ56" s="364">
        <f t="shared" si="222"/>
        <v>654.63380000000006</v>
      </c>
      <c r="BA56" s="364">
        <f t="shared" si="222"/>
        <v>654.63380000000006</v>
      </c>
      <c r="BB56" s="364">
        <f t="shared" si="222"/>
        <v>654.63380000000006</v>
      </c>
      <c r="BC56" s="364">
        <f t="shared" si="222"/>
        <v>654.63380000000006</v>
      </c>
      <c r="BD56" s="364">
        <f t="shared" si="222"/>
        <v>654.63380000000006</v>
      </c>
      <c r="BE56" s="364">
        <f t="shared" si="222"/>
        <v>654.63380000000006</v>
      </c>
      <c r="BF56" s="364">
        <f t="shared" si="222"/>
        <v>654.63380000000006</v>
      </c>
      <c r="BG56" s="364">
        <f t="shared" si="222"/>
        <v>654.63380000000006</v>
      </c>
      <c r="BH56" s="364">
        <f t="shared" si="222"/>
        <v>654.63380000000006</v>
      </c>
      <c r="BI56" s="364">
        <f t="shared" si="222"/>
        <v>654.63380000000006</v>
      </c>
      <c r="BJ56" s="364">
        <f t="shared" si="222"/>
        <v>654.63380000000006</v>
      </c>
      <c r="BK56" s="364">
        <f t="shared" si="222"/>
        <v>654.63380000000006</v>
      </c>
      <c r="BL56" s="364">
        <f t="shared" si="222"/>
        <v>654.63380000000006</v>
      </c>
      <c r="BM56" s="364">
        <f t="shared" si="222"/>
        <v>654.63380000000006</v>
      </c>
      <c r="BN56" s="364">
        <f t="shared" si="222"/>
        <v>654.63380000000006</v>
      </c>
      <c r="BO56" s="364">
        <f t="shared" si="222"/>
        <v>654.63380000000006</v>
      </c>
      <c r="BP56" s="364">
        <f t="shared" si="222"/>
        <v>654.63380000000006</v>
      </c>
      <c r="BQ56" s="364">
        <f t="shared" si="222"/>
        <v>654.63380000000006</v>
      </c>
      <c r="BR56" s="364">
        <f t="shared" si="222"/>
        <v>654.63380000000006</v>
      </c>
      <c r="BS56" s="364">
        <f t="shared" si="222"/>
        <v>654.63380000000006</v>
      </c>
    </row>
    <row r="57" spans="1:71" s="1401" customFormat="1">
      <c r="A57" s="2000" t="s">
        <v>1470</v>
      </c>
      <c r="B57" s="107">
        <f t="shared" ref="B57:AH57" si="223">+(B56/(B56+B62))</f>
        <v>0.26665356720549899</v>
      </c>
      <c r="C57" s="107">
        <f t="shared" si="223"/>
        <v>0.2447999810600936</v>
      </c>
      <c r="D57" s="107">
        <f t="shared" si="223"/>
        <v>0.47928696491939099</v>
      </c>
      <c r="E57" s="107">
        <f t="shared" si="223"/>
        <v>0.33770336439740956</v>
      </c>
      <c r="F57" s="107">
        <f t="shared" si="223"/>
        <v>0.36208948253235412</v>
      </c>
      <c r="G57" s="107">
        <f t="shared" si="223"/>
        <v>0.35802332428133271</v>
      </c>
      <c r="H57" s="107">
        <f t="shared" si="223"/>
        <v>0.35161517195705344</v>
      </c>
      <c r="I57" s="107">
        <f t="shared" si="223"/>
        <v>0.42228897223052314</v>
      </c>
      <c r="J57" s="107">
        <f t="shared" si="223"/>
        <v>0.43945144865990116</v>
      </c>
      <c r="K57" s="107">
        <f t="shared" si="223"/>
        <v>0.34209261688612858</v>
      </c>
      <c r="L57" s="107">
        <f t="shared" si="223"/>
        <v>0.34649982039668165</v>
      </c>
      <c r="M57" s="107">
        <f t="shared" si="223"/>
        <v>0.37243056124362517</v>
      </c>
      <c r="N57" s="107">
        <f t="shared" si="223"/>
        <v>0.30778672315742106</v>
      </c>
      <c r="O57" s="107">
        <f t="shared" si="223"/>
        <v>0.22626053923462683</v>
      </c>
      <c r="P57" s="107">
        <f t="shared" si="223"/>
        <v>0.20260658827753344</v>
      </c>
      <c r="Q57" s="107">
        <f t="shared" si="223"/>
        <v>0.24765774546242986</v>
      </c>
      <c r="R57" s="107">
        <f t="shared" si="223"/>
        <v>0.26261363645110214</v>
      </c>
      <c r="S57" s="107">
        <f t="shared" si="223"/>
        <v>0.20998317073601155</v>
      </c>
      <c r="T57" s="107">
        <f t="shared" si="223"/>
        <v>0.22801672460691585</v>
      </c>
      <c r="U57" s="107">
        <f t="shared" si="223"/>
        <v>0.22787585771952973</v>
      </c>
      <c r="V57" s="107">
        <f t="shared" si="223"/>
        <v>0.24760687764279696</v>
      </c>
      <c r="W57" s="107">
        <f t="shared" si="223"/>
        <v>0.18342208538562993</v>
      </c>
      <c r="X57" s="107">
        <f t="shared" si="223"/>
        <v>0.20386248076225949</v>
      </c>
      <c r="Y57" s="107">
        <f t="shared" si="223"/>
        <v>0.25752877923277367</v>
      </c>
      <c r="Z57" s="107">
        <f t="shared" si="223"/>
        <v>0.31465465919507096</v>
      </c>
      <c r="AA57" s="107">
        <f t="shared" si="223"/>
        <v>0.26810071599866375</v>
      </c>
      <c r="AB57" s="107">
        <f t="shared" si="223"/>
        <v>0.24835860359565232</v>
      </c>
      <c r="AC57" s="107">
        <f t="shared" si="223"/>
        <v>0.36635917441160026</v>
      </c>
      <c r="AD57" s="107">
        <f t="shared" si="223"/>
        <v>0.31226368661987586</v>
      </c>
      <c r="AE57" s="107">
        <f t="shared" si="223"/>
        <v>0.27087329231976631</v>
      </c>
      <c r="AF57" s="107">
        <f t="shared" si="223"/>
        <v>0.22786422858465702</v>
      </c>
      <c r="AG57" s="372">
        <f t="shared" si="223"/>
        <v>0.23514255922958502</v>
      </c>
      <c r="AH57" s="372">
        <f t="shared" si="223"/>
        <v>0.21689822167979089</v>
      </c>
      <c r="AI57" s="372">
        <f t="shared" ref="AI57:AN57" si="224">+(AI56/(AI56+AI62))</f>
        <v>0.20298942877756518</v>
      </c>
      <c r="AJ57" s="372">
        <f t="shared" si="224"/>
        <v>0.35881309749422202</v>
      </c>
      <c r="AK57" s="372">
        <f t="shared" si="224"/>
        <v>0.28511231813783533</v>
      </c>
      <c r="AL57" s="372">
        <f t="shared" si="224"/>
        <v>0.27889135815542243</v>
      </c>
      <c r="AM57" s="372">
        <f t="shared" si="224"/>
        <v>0.40321350339302914</v>
      </c>
      <c r="AN57" s="406">
        <f t="shared" si="224"/>
        <v>0.27967921906233223</v>
      </c>
      <c r="AO57" s="407">
        <f t="shared" ref="AO57:BS57" si="225">+(AO56/(AO56+AO62))</f>
        <v>0.27967921906233223</v>
      </c>
      <c r="AP57" s="407">
        <f t="shared" si="225"/>
        <v>0.27967921906233223</v>
      </c>
      <c r="AQ57" s="407">
        <f t="shared" si="225"/>
        <v>0.18556774732613121</v>
      </c>
      <c r="AR57" s="407">
        <f t="shared" si="225"/>
        <v>0.18556774732613121</v>
      </c>
      <c r="AS57" s="407">
        <f t="shared" si="225"/>
        <v>0.18556774732613121</v>
      </c>
      <c r="AT57" s="407">
        <f t="shared" si="225"/>
        <v>0.18556774732613121</v>
      </c>
      <c r="AU57" s="407">
        <f t="shared" si="225"/>
        <v>0.18556774732613121</v>
      </c>
      <c r="AV57" s="407">
        <f t="shared" si="225"/>
        <v>0.18556774732613121</v>
      </c>
      <c r="AW57" s="407">
        <f t="shared" si="225"/>
        <v>0.18556774732613121</v>
      </c>
      <c r="AX57" s="407">
        <f t="shared" si="225"/>
        <v>0.18556774732613121</v>
      </c>
      <c r="AY57" s="407">
        <f t="shared" si="225"/>
        <v>0.18556774732613121</v>
      </c>
      <c r="AZ57" s="407">
        <f t="shared" si="225"/>
        <v>0.18556774732613121</v>
      </c>
      <c r="BA57" s="407">
        <f t="shared" si="225"/>
        <v>0.18556774732613121</v>
      </c>
      <c r="BB57" s="407">
        <f t="shared" si="225"/>
        <v>0.18556774732613121</v>
      </c>
      <c r="BC57" s="407">
        <f t="shared" si="225"/>
        <v>0.18556774732613121</v>
      </c>
      <c r="BD57" s="407">
        <f t="shared" si="225"/>
        <v>0.18556774732613121</v>
      </c>
      <c r="BE57" s="407">
        <f t="shared" si="225"/>
        <v>0.18556774732613121</v>
      </c>
      <c r="BF57" s="407">
        <f t="shared" si="225"/>
        <v>0.18556774732613121</v>
      </c>
      <c r="BG57" s="407">
        <f t="shared" si="225"/>
        <v>0.18556774732613121</v>
      </c>
      <c r="BH57" s="407">
        <f t="shared" si="225"/>
        <v>0.18556774732613121</v>
      </c>
      <c r="BI57" s="407">
        <f t="shared" si="225"/>
        <v>0.18556774732613121</v>
      </c>
      <c r="BJ57" s="407">
        <f t="shared" si="225"/>
        <v>0.18556774732613121</v>
      </c>
      <c r="BK57" s="407">
        <f t="shared" si="225"/>
        <v>0.18556774732613121</v>
      </c>
      <c r="BL57" s="407">
        <f t="shared" si="225"/>
        <v>0.18556774732613121</v>
      </c>
      <c r="BM57" s="407">
        <f t="shared" si="225"/>
        <v>0.18556774732613121</v>
      </c>
      <c r="BN57" s="407">
        <f t="shared" si="225"/>
        <v>0.18556774732613121</v>
      </c>
      <c r="BO57" s="407">
        <f t="shared" si="225"/>
        <v>0.18556774732613121</v>
      </c>
      <c r="BP57" s="407">
        <f t="shared" si="225"/>
        <v>0.18556774732613121</v>
      </c>
      <c r="BQ57" s="407">
        <f t="shared" si="225"/>
        <v>0.18556774732613121</v>
      </c>
      <c r="BR57" s="407">
        <f t="shared" si="225"/>
        <v>0.18556774732613121</v>
      </c>
      <c r="BS57" s="407">
        <f t="shared" si="225"/>
        <v>0.18556774732613121</v>
      </c>
    </row>
    <row r="58" spans="1:71" s="1401" customFormat="1">
      <c r="A58" s="1997"/>
      <c r="AG58" s="106"/>
      <c r="AH58" s="106"/>
      <c r="AI58" s="106"/>
      <c r="AJ58" s="106"/>
      <c r="AK58" s="106"/>
      <c r="AL58" s="106"/>
      <c r="AM58" s="106"/>
      <c r="AN58" s="381"/>
    </row>
    <row r="59" spans="1:71" s="1401" customFormat="1">
      <c r="A59" s="1997" t="s">
        <v>1643</v>
      </c>
      <c r="B59" s="196"/>
      <c r="C59" s="196">
        <f t="shared" ref="C59:AH59" si="226">+B62</f>
        <v>418.00599999999997</v>
      </c>
      <c r="D59" s="196">
        <f t="shared" si="226"/>
        <v>446.58300000000003</v>
      </c>
      <c r="E59" s="196">
        <f t="shared" si="226"/>
        <v>389.29599999999999</v>
      </c>
      <c r="F59" s="196">
        <f t="shared" si="226"/>
        <v>717.00300000000004</v>
      </c>
      <c r="G59" s="196">
        <f t="shared" si="226"/>
        <v>740.30600000000004</v>
      </c>
      <c r="H59" s="196">
        <f t="shared" si="226"/>
        <v>730.48599999999999</v>
      </c>
      <c r="I59" s="196">
        <f t="shared" si="226"/>
        <v>679.447</v>
      </c>
      <c r="J59" s="196">
        <f t="shared" si="226"/>
        <v>636.03499999999997</v>
      </c>
      <c r="K59" s="196">
        <f t="shared" si="226"/>
        <v>626.32500000000005</v>
      </c>
      <c r="L59" s="196">
        <f t="shared" si="226"/>
        <v>628.39300000000003</v>
      </c>
      <c r="M59" s="196">
        <f t="shared" si="226"/>
        <v>689.51</v>
      </c>
      <c r="N59" s="196">
        <f t="shared" si="226"/>
        <v>727.87699999999995</v>
      </c>
      <c r="O59" s="196">
        <f t="shared" si="226"/>
        <v>609.08399999999995</v>
      </c>
      <c r="P59" s="196">
        <f t="shared" si="226"/>
        <v>570.71100000000001</v>
      </c>
      <c r="Q59" s="196">
        <f t="shared" si="226"/>
        <v>666.28200000000004</v>
      </c>
      <c r="R59" s="196">
        <f t="shared" si="226"/>
        <v>707.85400000000004</v>
      </c>
      <c r="S59" s="196">
        <f t="shared" si="226"/>
        <v>958.01900000000001</v>
      </c>
      <c r="T59" s="196">
        <f t="shared" si="226"/>
        <v>984.86500000000001</v>
      </c>
      <c r="U59" s="196">
        <f t="shared" si="226"/>
        <v>1437.192</v>
      </c>
      <c r="V59" s="196">
        <f t="shared" si="226"/>
        <v>1429.9770000000001</v>
      </c>
      <c r="W59" s="196">
        <f t="shared" si="226"/>
        <v>1423.123</v>
      </c>
      <c r="X59" s="196">
        <f t="shared" si="226"/>
        <v>1618.3969999999999</v>
      </c>
      <c r="Y59" s="196">
        <f t="shared" si="226"/>
        <v>1583.461</v>
      </c>
      <c r="Z59" s="196">
        <f t="shared" si="226"/>
        <v>1485.627</v>
      </c>
      <c r="AA59" s="196">
        <f t="shared" si="226"/>
        <v>1450.5060000000001</v>
      </c>
      <c r="AB59" s="196">
        <f t="shared" si="226"/>
        <v>1616.9280000000001</v>
      </c>
      <c r="AC59" s="196">
        <f t="shared" si="226"/>
        <v>1835.261</v>
      </c>
      <c r="AD59" s="196">
        <f t="shared" si="226"/>
        <v>1869.2360000000001</v>
      </c>
      <c r="AE59" s="196">
        <f t="shared" si="226"/>
        <v>2228.723</v>
      </c>
      <c r="AF59" s="196">
        <f t="shared" si="226"/>
        <v>2634.7730000000001</v>
      </c>
      <c r="AG59" s="202">
        <f t="shared" si="226"/>
        <v>2828.4090000000001</v>
      </c>
      <c r="AH59" s="202">
        <f t="shared" si="226"/>
        <v>3110.201</v>
      </c>
      <c r="AI59" s="202">
        <f t="shared" ref="AI59:AN59" si="227">+AH62</f>
        <v>3091.4180000000001</v>
      </c>
      <c r="AJ59" s="202">
        <f t="shared" si="227"/>
        <v>3048.9479999999999</v>
      </c>
      <c r="AK59" s="202">
        <f t="shared" si="227"/>
        <v>2117.614</v>
      </c>
      <c r="AL59" s="202">
        <f t="shared" si="227"/>
        <v>2642.7159999999999</v>
      </c>
      <c r="AM59" s="202">
        <f t="shared" si="227"/>
        <v>2685.8</v>
      </c>
      <c r="AN59" s="355">
        <f t="shared" si="227"/>
        <v>2219.5940000000001</v>
      </c>
      <c r="AO59" s="357">
        <f t="shared" ref="AO59:BS59" si="228">+AN62</f>
        <v>2873.1010000000001</v>
      </c>
      <c r="AP59" s="357">
        <f t="shared" si="228"/>
        <v>2873.1010000000001</v>
      </c>
      <c r="AQ59" s="357">
        <f t="shared" si="228"/>
        <v>2873.1010000000001</v>
      </c>
      <c r="AR59" s="357">
        <f t="shared" si="228"/>
        <v>2873.1010000000001</v>
      </c>
      <c r="AS59" s="357">
        <f t="shared" si="228"/>
        <v>2873.1010000000001</v>
      </c>
      <c r="AT59" s="357">
        <f t="shared" si="228"/>
        <v>2873.1010000000001</v>
      </c>
      <c r="AU59" s="357">
        <f t="shared" si="228"/>
        <v>2873.1010000000001</v>
      </c>
      <c r="AV59" s="357">
        <f t="shared" si="228"/>
        <v>2873.1010000000001</v>
      </c>
      <c r="AW59" s="357">
        <f t="shared" si="228"/>
        <v>2873.1010000000001</v>
      </c>
      <c r="AX59" s="357">
        <f t="shared" si="228"/>
        <v>2873.1010000000001</v>
      </c>
      <c r="AY59" s="357">
        <f t="shared" si="228"/>
        <v>2873.1010000000001</v>
      </c>
      <c r="AZ59" s="357">
        <f t="shared" si="228"/>
        <v>2873.1010000000001</v>
      </c>
      <c r="BA59" s="357">
        <f t="shared" si="228"/>
        <v>2873.1010000000001</v>
      </c>
      <c r="BB59" s="357">
        <f t="shared" si="228"/>
        <v>2873.1010000000001</v>
      </c>
      <c r="BC59" s="357">
        <f t="shared" si="228"/>
        <v>2873.1010000000001</v>
      </c>
      <c r="BD59" s="357">
        <f t="shared" si="228"/>
        <v>2873.1010000000001</v>
      </c>
      <c r="BE59" s="357">
        <f t="shared" si="228"/>
        <v>2873.1010000000001</v>
      </c>
      <c r="BF59" s="357">
        <f t="shared" si="228"/>
        <v>2873.1010000000001</v>
      </c>
      <c r="BG59" s="357">
        <f t="shared" si="228"/>
        <v>2873.1010000000001</v>
      </c>
      <c r="BH59" s="357">
        <f t="shared" si="228"/>
        <v>2873.1010000000001</v>
      </c>
      <c r="BI59" s="357">
        <f t="shared" si="228"/>
        <v>2873.1010000000001</v>
      </c>
      <c r="BJ59" s="357">
        <f t="shared" si="228"/>
        <v>2873.1010000000001</v>
      </c>
      <c r="BK59" s="357">
        <f t="shared" si="228"/>
        <v>2873.1010000000001</v>
      </c>
      <c r="BL59" s="357">
        <f t="shared" si="228"/>
        <v>2873.1010000000001</v>
      </c>
      <c r="BM59" s="357">
        <f t="shared" si="228"/>
        <v>2873.1010000000001</v>
      </c>
      <c r="BN59" s="357">
        <f t="shared" si="228"/>
        <v>2873.1010000000001</v>
      </c>
      <c r="BO59" s="357">
        <f t="shared" si="228"/>
        <v>2873.1010000000001</v>
      </c>
      <c r="BP59" s="357">
        <f t="shared" si="228"/>
        <v>2873.1010000000001</v>
      </c>
      <c r="BQ59" s="357">
        <f t="shared" si="228"/>
        <v>2873.1010000000001</v>
      </c>
      <c r="BR59" s="357">
        <f t="shared" si="228"/>
        <v>2873.1010000000001</v>
      </c>
      <c r="BS59" s="357">
        <f t="shared" si="228"/>
        <v>2873.1010000000001</v>
      </c>
    </row>
    <row r="60" spans="1:71" s="1401" customFormat="1">
      <c r="A60" s="1998" t="s">
        <v>1468</v>
      </c>
      <c r="B60" s="196"/>
      <c r="C60" s="196">
        <f t="shared" ref="C60" si="229">+IF(C62&gt;C59,C62-C59,0)</f>
        <v>28.577000000000055</v>
      </c>
      <c r="D60" s="196">
        <f t="shared" ref="D60" si="230">+IF(D62&gt;D59,D62-D59,0)</f>
        <v>0</v>
      </c>
      <c r="E60" s="196">
        <f t="shared" ref="E60" si="231">+IF(E62&gt;E59,E62-E59,0)</f>
        <v>327.70700000000005</v>
      </c>
      <c r="F60" s="196">
        <f t="shared" ref="F60" si="232">+IF(F62&gt;F59,F62-F59,0)</f>
        <v>23.302999999999997</v>
      </c>
      <c r="G60" s="196">
        <f t="shared" ref="G60" si="233">+IF(G62&gt;G59,G62-G59,0)</f>
        <v>0</v>
      </c>
      <c r="H60" s="196">
        <f t="shared" ref="H60" si="234">+IF(H62&gt;H59,H62-H59,0)</f>
        <v>0</v>
      </c>
      <c r="I60" s="196">
        <f t="shared" ref="I60" si="235">+IF(I62&gt;I59,I62-I59,0)</f>
        <v>0</v>
      </c>
      <c r="J60" s="196">
        <f t="shared" ref="J60" si="236">+IF(J62&gt;J59,J62-J59,0)</f>
        <v>0</v>
      </c>
      <c r="K60" s="196">
        <f t="shared" ref="K60" si="237">+IF(K62&gt;K59,K62-K59,0)</f>
        <v>2.0679999999999836</v>
      </c>
      <c r="L60" s="196">
        <f t="shared" ref="L60" si="238">+IF(L62&gt;L59,L62-L59,0)</f>
        <v>61.116999999999962</v>
      </c>
      <c r="M60" s="196">
        <f t="shared" ref="M60" si="239">+IF(M62&gt;M59,M62-M59,0)</f>
        <v>38.366999999999962</v>
      </c>
      <c r="N60" s="196">
        <f t="shared" ref="N60" si="240">+IF(N62&gt;N59,N62-N59,0)</f>
        <v>0</v>
      </c>
      <c r="O60" s="196">
        <f t="shared" ref="O60" si="241">+IF(O62&gt;O59,O62-O59,0)</f>
        <v>0</v>
      </c>
      <c r="P60" s="196">
        <f t="shared" ref="P60" si="242">+IF(P62&gt;P59,P62-P59,0)</f>
        <v>95.571000000000026</v>
      </c>
      <c r="Q60" s="196">
        <f t="shared" ref="Q60" si="243">+IF(Q62&gt;Q59,Q62-Q59,0)</f>
        <v>41.572000000000003</v>
      </c>
      <c r="R60" s="196">
        <f t="shared" ref="R60" si="244">+IF(R62&gt;R59,R62-R59,0)</f>
        <v>250.16499999999996</v>
      </c>
      <c r="S60" s="196">
        <f t="shared" ref="S60" si="245">+IF(S62&gt;S59,S62-S59,0)</f>
        <v>26.846000000000004</v>
      </c>
      <c r="T60" s="196">
        <f t="shared" ref="T60" si="246">+IF(T62&gt;T59,T62-T59,0)</f>
        <v>452.327</v>
      </c>
      <c r="U60" s="196">
        <f t="shared" ref="U60" si="247">+IF(U62&gt;U59,U62-U59,0)</f>
        <v>0</v>
      </c>
      <c r="V60" s="196">
        <f t="shared" ref="V60" si="248">+IF(V62&gt;V59,V62-V59,0)</f>
        <v>0</v>
      </c>
      <c r="W60" s="196">
        <f t="shared" ref="W60" si="249">+IF(W62&gt;W59,W62-W59,0)</f>
        <v>195.27399999999989</v>
      </c>
      <c r="X60" s="196">
        <f t="shared" ref="X60" si="250">+IF(X62&gt;X59,X62-X59,0)</f>
        <v>0</v>
      </c>
      <c r="Y60" s="196">
        <f t="shared" ref="Y60" si="251">+IF(Y62&gt;Y59,Y62-Y59,0)</f>
        <v>0</v>
      </c>
      <c r="Z60" s="196">
        <f t="shared" ref="Z60" si="252">+IF(Z62&gt;Z59,Z62-Z59,0)</f>
        <v>0</v>
      </c>
      <c r="AA60" s="196">
        <f t="shared" ref="AA60" si="253">+IF(AA62&gt;AA59,AA62-AA59,0)</f>
        <v>166.42200000000003</v>
      </c>
      <c r="AB60" s="196">
        <f t="shared" ref="AB60" si="254">+IF(AB62&gt;AB59,AB62-AB59,0)</f>
        <v>218.33299999999986</v>
      </c>
      <c r="AC60" s="196">
        <f t="shared" ref="AC60" si="255">+IF(AC62&gt;AC59,AC62-AC59,0)</f>
        <v>33.975000000000136</v>
      </c>
      <c r="AD60" s="196">
        <f t="shared" ref="AD60" si="256">+IF(AD62&gt;AD59,AD62-AD59,0)</f>
        <v>359.48699999999985</v>
      </c>
      <c r="AE60" s="196">
        <f t="shared" ref="AE60" si="257">+IF(AE62&gt;AE59,AE62-AE59,0)</f>
        <v>406.05000000000018</v>
      </c>
      <c r="AF60" s="196">
        <f t="shared" ref="AF60" si="258">+IF(AF62&gt;AF59,AF62-AF59,0)</f>
        <v>193.63599999999997</v>
      </c>
      <c r="AG60" s="202">
        <f t="shared" ref="AG60" si="259">+IF(AG62&gt;AG59,AG62-AG59,0)</f>
        <v>281.79199999999992</v>
      </c>
      <c r="AH60" s="202">
        <f t="shared" ref="AH60" si="260">+IF(AH62&gt;AH59,AH62-AH59,0)</f>
        <v>0</v>
      </c>
      <c r="AI60" s="202">
        <f t="shared" ref="AI60:AN60" si="261">+IF(AI62&gt;AI59,AI62-AI59,0)</f>
        <v>0</v>
      </c>
      <c r="AJ60" s="202">
        <f t="shared" si="261"/>
        <v>0</v>
      </c>
      <c r="AK60" s="202">
        <f t="shared" si="261"/>
        <v>525.10199999999986</v>
      </c>
      <c r="AL60" s="202">
        <f t="shared" si="261"/>
        <v>43.084000000000287</v>
      </c>
      <c r="AM60" s="202">
        <f t="shared" si="261"/>
        <v>0</v>
      </c>
      <c r="AN60" s="355">
        <f t="shared" si="261"/>
        <v>653.50700000000006</v>
      </c>
      <c r="AO60" s="1432">
        <f>+Inputs!AO215</f>
        <v>0</v>
      </c>
      <c r="AP60" s="1432">
        <f>+Inputs!AP215</f>
        <v>0</v>
      </c>
      <c r="AQ60" s="1432">
        <f>+Inputs!AQ215</f>
        <v>0</v>
      </c>
      <c r="AR60" s="1432">
        <f>+Inputs!AR215</f>
        <v>0</v>
      </c>
      <c r="AS60" s="1432">
        <f>+Inputs!AS215</f>
        <v>0</v>
      </c>
      <c r="AT60" s="1432">
        <f>+Inputs!AT215</f>
        <v>0</v>
      </c>
      <c r="AU60" s="1432">
        <f>+Inputs!AU215</f>
        <v>0</v>
      </c>
      <c r="AV60" s="1432">
        <f>+Inputs!AV215</f>
        <v>0</v>
      </c>
      <c r="AW60" s="1432">
        <f>+Inputs!AW215</f>
        <v>0</v>
      </c>
      <c r="AX60" s="1432">
        <f>+Inputs!AX215</f>
        <v>0</v>
      </c>
      <c r="AY60" s="1432">
        <f>+Inputs!AY215</f>
        <v>0</v>
      </c>
      <c r="AZ60" s="1432">
        <f>+Inputs!AZ215</f>
        <v>0</v>
      </c>
      <c r="BA60" s="1432">
        <f>+Inputs!BA215</f>
        <v>0</v>
      </c>
      <c r="BB60" s="1432">
        <f>+Inputs!BB215</f>
        <v>0</v>
      </c>
      <c r="BC60" s="1432">
        <f>+Inputs!BC215</f>
        <v>0</v>
      </c>
      <c r="BD60" s="1432">
        <f>+Inputs!BD215</f>
        <v>0</v>
      </c>
      <c r="BE60" s="1432">
        <f>+Inputs!BE215</f>
        <v>0</v>
      </c>
      <c r="BF60" s="1432">
        <f>+Inputs!BF215</f>
        <v>0</v>
      </c>
      <c r="BG60" s="1432">
        <f>+Inputs!BG215</f>
        <v>0</v>
      </c>
      <c r="BH60" s="1432">
        <f>+Inputs!BH215</f>
        <v>0</v>
      </c>
      <c r="BI60" s="1432">
        <f>+Inputs!BI215</f>
        <v>0</v>
      </c>
      <c r="BJ60" s="1432">
        <f>+Inputs!BJ215</f>
        <v>0</v>
      </c>
      <c r="BK60" s="1432">
        <f>+Inputs!BK215</f>
        <v>0</v>
      </c>
      <c r="BL60" s="1432">
        <f>+Inputs!BL215</f>
        <v>0</v>
      </c>
      <c r="BM60" s="1432">
        <f>+Inputs!BM215</f>
        <v>0</v>
      </c>
      <c r="BN60" s="1432">
        <f>+Inputs!BN215</f>
        <v>0</v>
      </c>
      <c r="BO60" s="1432">
        <f>+Inputs!BO215</f>
        <v>0</v>
      </c>
      <c r="BP60" s="1432">
        <f>+Inputs!BP215</f>
        <v>0</v>
      </c>
      <c r="BQ60" s="1432">
        <f>+Inputs!BQ215</f>
        <v>0</v>
      </c>
      <c r="BR60" s="1432">
        <f>+Inputs!BR215</f>
        <v>0</v>
      </c>
      <c r="BS60" s="1432">
        <f>+Inputs!BS215</f>
        <v>0</v>
      </c>
    </row>
    <row r="61" spans="1:71" s="1401" customFormat="1">
      <c r="A61" s="1998" t="s">
        <v>1471</v>
      </c>
      <c r="B61" s="196"/>
      <c r="C61" s="196">
        <f t="shared" ref="C61" si="262">+IF(C62&lt;C59,C62-C59,0)</f>
        <v>0</v>
      </c>
      <c r="D61" s="196">
        <f t="shared" ref="D61" si="263">+IF(D62&lt;D59,D62-D59,0)</f>
        <v>-57.287000000000035</v>
      </c>
      <c r="E61" s="196">
        <f t="shared" ref="E61" si="264">+IF(E62&lt;E59,E62-E59,0)</f>
        <v>0</v>
      </c>
      <c r="F61" s="196">
        <f t="shared" ref="F61" si="265">+IF(F62&lt;F59,F62-F59,0)</f>
        <v>0</v>
      </c>
      <c r="G61" s="196">
        <f t="shared" ref="G61" si="266">+IF(G62&lt;G59,G62-G59,0)</f>
        <v>-9.82000000000005</v>
      </c>
      <c r="H61" s="196">
        <f t="shared" ref="H61" si="267">+IF(H62&lt;H59,H62-H59,0)</f>
        <v>-51.038999999999987</v>
      </c>
      <c r="I61" s="196">
        <f t="shared" ref="I61" si="268">+IF(I62&lt;I59,I62-I59,0)</f>
        <v>-43.412000000000035</v>
      </c>
      <c r="J61" s="196">
        <f t="shared" ref="J61" si="269">+IF(J62&lt;J59,J62-J59,0)</f>
        <v>-9.7099999999999227</v>
      </c>
      <c r="K61" s="196">
        <f t="shared" ref="K61" si="270">+IF(K62&lt;K59,K62-K59,0)</f>
        <v>0</v>
      </c>
      <c r="L61" s="196">
        <f t="shared" ref="L61" si="271">+IF(L62&lt;L59,L62-L59,0)</f>
        <v>0</v>
      </c>
      <c r="M61" s="196">
        <f t="shared" ref="M61" si="272">+IF(M62&lt;M59,M62-M59,0)</f>
        <v>0</v>
      </c>
      <c r="N61" s="196">
        <f t="shared" ref="N61" si="273">+IF(N62&lt;N59,N62-N59,0)</f>
        <v>-118.79300000000001</v>
      </c>
      <c r="O61" s="196">
        <f t="shared" ref="O61" si="274">+IF(O62&lt;O59,O62-O59,0)</f>
        <v>-38.372999999999934</v>
      </c>
      <c r="P61" s="196">
        <f t="shared" ref="P61" si="275">+IF(P62&lt;P59,P62-P59,0)</f>
        <v>0</v>
      </c>
      <c r="Q61" s="196">
        <f t="shared" ref="Q61" si="276">+IF(Q62&lt;Q59,Q62-Q59,0)</f>
        <v>0</v>
      </c>
      <c r="R61" s="196">
        <f t="shared" ref="R61" si="277">+IF(R62&lt;R59,R62-R59,0)</f>
        <v>0</v>
      </c>
      <c r="S61" s="196">
        <f t="shared" ref="S61" si="278">+IF(S62&lt;S59,S62-S59,0)</f>
        <v>0</v>
      </c>
      <c r="T61" s="196">
        <f t="shared" ref="T61" si="279">+IF(T62&lt;T59,T62-T59,0)</f>
        <v>0</v>
      </c>
      <c r="U61" s="196">
        <f t="shared" ref="U61" si="280">+IF(U62&lt;U59,U62-U59,0)</f>
        <v>-7.2149999999999181</v>
      </c>
      <c r="V61" s="196">
        <f t="shared" ref="V61" si="281">+IF(V62&lt;V59,V62-V59,0)</f>
        <v>-6.8540000000000418</v>
      </c>
      <c r="W61" s="196">
        <f t="shared" ref="W61" si="282">+IF(W62&lt;W59,W62-W59,0)</f>
        <v>0</v>
      </c>
      <c r="X61" s="196">
        <f t="shared" ref="X61" si="283">+IF(X62&lt;X59,X62-X59,0)</f>
        <v>-34.935999999999922</v>
      </c>
      <c r="Y61" s="196">
        <f t="shared" ref="Y61" si="284">+IF(Y62&lt;Y59,Y62-Y59,0)</f>
        <v>-97.83400000000006</v>
      </c>
      <c r="Z61" s="196">
        <f t="shared" ref="Z61" si="285">+IF(Z62&lt;Z59,Z62-Z59,0)</f>
        <v>-35.120999999999867</v>
      </c>
      <c r="AA61" s="196">
        <f t="shared" ref="AA61" si="286">+IF(AA62&lt;AA59,AA62-AA59,0)</f>
        <v>0</v>
      </c>
      <c r="AB61" s="196">
        <f t="shared" ref="AB61" si="287">+IF(AB62&lt;AB59,AB62-AB59,0)</f>
        <v>0</v>
      </c>
      <c r="AC61" s="196">
        <f t="shared" ref="AC61" si="288">+IF(AC62&lt;AC59,AC62-AC59,0)</f>
        <v>0</v>
      </c>
      <c r="AD61" s="196">
        <f t="shared" ref="AD61" si="289">+IF(AD62&lt;AD59,AD62-AD59,0)</f>
        <v>0</v>
      </c>
      <c r="AE61" s="196">
        <f t="shared" ref="AE61" si="290">+IF(AE62&lt;AE59,AE62-AE59,0)</f>
        <v>0</v>
      </c>
      <c r="AF61" s="196">
        <f t="shared" ref="AF61" si="291">+IF(AF62&lt;AF59,AF62-AF59,0)</f>
        <v>0</v>
      </c>
      <c r="AG61" s="202">
        <f t="shared" ref="AG61" si="292">+IF(AG62&lt;AG59,AG62-AG59,0)</f>
        <v>0</v>
      </c>
      <c r="AH61" s="202">
        <f t="shared" ref="AH61" si="293">+IF(AH62&lt;AH59,AH62-AH59,0)</f>
        <v>-18.782999999999902</v>
      </c>
      <c r="AI61" s="202">
        <f t="shared" ref="AI61:AN61" si="294">+IF(AI62&lt;AI59,AI62-AI59,0)</f>
        <v>-42.470000000000255</v>
      </c>
      <c r="AJ61" s="202">
        <f t="shared" si="294"/>
        <v>-931.33399999999983</v>
      </c>
      <c r="AK61" s="202">
        <f t="shared" si="294"/>
        <v>0</v>
      </c>
      <c r="AL61" s="202">
        <f t="shared" si="294"/>
        <v>0</v>
      </c>
      <c r="AM61" s="202">
        <f t="shared" si="294"/>
        <v>-466.20600000000013</v>
      </c>
      <c r="AN61" s="355">
        <f t="shared" si="294"/>
        <v>0</v>
      </c>
      <c r="AO61" s="1432">
        <v>0</v>
      </c>
      <c r="AP61" s="1432">
        <v>0</v>
      </c>
      <c r="AQ61" s="1432">
        <v>0</v>
      </c>
      <c r="AR61" s="1432">
        <v>0</v>
      </c>
      <c r="AS61" s="1432">
        <v>0</v>
      </c>
      <c r="AT61" s="1432">
        <v>0</v>
      </c>
      <c r="AU61" s="1432">
        <v>0</v>
      </c>
      <c r="AV61" s="1432">
        <v>0</v>
      </c>
      <c r="AW61" s="1432">
        <v>0</v>
      </c>
      <c r="AX61" s="1432">
        <v>0</v>
      </c>
      <c r="AY61" s="1432">
        <v>0</v>
      </c>
      <c r="AZ61" s="1432">
        <v>0</v>
      </c>
      <c r="BA61" s="1432">
        <v>0</v>
      </c>
      <c r="BB61" s="1432">
        <v>0</v>
      </c>
      <c r="BC61" s="1432">
        <v>0</v>
      </c>
      <c r="BD61" s="1432">
        <v>0</v>
      </c>
      <c r="BE61" s="1432">
        <v>0</v>
      </c>
      <c r="BF61" s="1432">
        <v>0</v>
      </c>
      <c r="BG61" s="1432">
        <v>0</v>
      </c>
      <c r="BH61" s="1432">
        <v>0</v>
      </c>
      <c r="BI61" s="1432">
        <v>0</v>
      </c>
      <c r="BJ61" s="1432">
        <v>0</v>
      </c>
      <c r="BK61" s="1432">
        <v>0</v>
      </c>
      <c r="BL61" s="1432">
        <v>0</v>
      </c>
      <c r="BM61" s="1432">
        <v>0</v>
      </c>
      <c r="BN61" s="1432">
        <v>0</v>
      </c>
      <c r="BO61" s="1432">
        <v>0</v>
      </c>
      <c r="BP61" s="1432">
        <v>0</v>
      </c>
      <c r="BQ61" s="1432">
        <v>0</v>
      </c>
      <c r="BR61" s="1432">
        <v>0</v>
      </c>
      <c r="BS61" s="1432">
        <v>0</v>
      </c>
    </row>
    <row r="62" spans="1:71" s="14" customFormat="1">
      <c r="A62" s="1999" t="s">
        <v>1644</v>
      </c>
      <c r="B62" s="362">
        <f>+Q_Financials!H77</f>
        <v>418.00599999999997</v>
      </c>
      <c r="C62" s="362">
        <f>+Q_Financials!I77</f>
        <v>446.58300000000003</v>
      </c>
      <c r="D62" s="362">
        <f>+Q_Financials!J77</f>
        <v>389.29599999999999</v>
      </c>
      <c r="E62" s="362">
        <f>+Q_Financials!K77</f>
        <v>717.00300000000004</v>
      </c>
      <c r="F62" s="362">
        <f>+Q_Financials!L77</f>
        <v>740.30600000000004</v>
      </c>
      <c r="G62" s="362">
        <f>+Q_Financials!M77</f>
        <v>730.48599999999999</v>
      </c>
      <c r="H62" s="362">
        <f>+Q_Financials!N77</f>
        <v>679.447</v>
      </c>
      <c r="I62" s="362">
        <f>+Q_Financials!O77</f>
        <v>636.03499999999997</v>
      </c>
      <c r="J62" s="362">
        <f>+Q_Financials!P77</f>
        <v>626.32500000000005</v>
      </c>
      <c r="K62" s="362">
        <f>+Q_Financials!Q77</f>
        <v>628.39300000000003</v>
      </c>
      <c r="L62" s="362">
        <f>+Q_Financials!R77</f>
        <v>689.51</v>
      </c>
      <c r="M62" s="362">
        <f>+Q_Financials!S77</f>
        <v>727.87699999999995</v>
      </c>
      <c r="N62" s="362">
        <f>+Q_Financials!T77</f>
        <v>609.08399999999995</v>
      </c>
      <c r="O62" s="362">
        <f>+Q_Financials!U77</f>
        <v>570.71100000000001</v>
      </c>
      <c r="P62" s="362">
        <f>+Q_Financials!V77</f>
        <v>666.28200000000004</v>
      </c>
      <c r="Q62" s="362">
        <f>+Q_Financials!W77</f>
        <v>707.85400000000004</v>
      </c>
      <c r="R62" s="362">
        <f>+Q_Financials!X77</f>
        <v>958.01900000000001</v>
      </c>
      <c r="S62" s="362">
        <f>+Q_Financials!Y77</f>
        <v>984.86500000000001</v>
      </c>
      <c r="T62" s="362">
        <f>+Q_Financials!Z77</f>
        <v>1437.192</v>
      </c>
      <c r="U62" s="362">
        <f>+Q_Financials!AA77</f>
        <v>1429.9770000000001</v>
      </c>
      <c r="V62" s="362">
        <f>+Q_Financials!AB77</f>
        <v>1423.123</v>
      </c>
      <c r="W62" s="362">
        <f>+Q_Financials!AC77</f>
        <v>1618.3969999999999</v>
      </c>
      <c r="X62" s="362">
        <f>+Q_Financials!AD77</f>
        <v>1583.461</v>
      </c>
      <c r="Y62" s="362">
        <f>+Q_Financials!AE77</f>
        <v>1485.627</v>
      </c>
      <c r="Z62" s="362">
        <f>+Q_Financials!AF77</f>
        <v>1450.5060000000001</v>
      </c>
      <c r="AA62" s="362">
        <f>+Q_Financials!AG77</f>
        <v>1616.9280000000001</v>
      </c>
      <c r="AB62" s="362">
        <f>+Q_Financials!AH77</f>
        <v>1835.261</v>
      </c>
      <c r="AC62" s="362">
        <f>+Q_Financials!AI77</f>
        <v>1869.2360000000001</v>
      </c>
      <c r="AD62" s="362">
        <f>+Q_Financials!AJ77</f>
        <v>2228.723</v>
      </c>
      <c r="AE62" s="362">
        <f>+Q_Financials!AK77</f>
        <v>2634.7730000000001</v>
      </c>
      <c r="AF62" s="362">
        <f>+Q_Financials!AL77</f>
        <v>2828.4090000000001</v>
      </c>
      <c r="AG62" s="390">
        <f>+Q_Financials!AM77</f>
        <v>3110.201</v>
      </c>
      <c r="AH62" s="390">
        <f>+Q_Financials!AN77</f>
        <v>3091.4180000000001</v>
      </c>
      <c r="AI62" s="390">
        <f>+Q_Financials!AO77</f>
        <v>3048.9479999999999</v>
      </c>
      <c r="AJ62" s="390">
        <f>+Q_Financials!AP77</f>
        <v>2117.614</v>
      </c>
      <c r="AK62" s="390">
        <f>+Q_Financials!AQ77</f>
        <v>2642.7159999999999</v>
      </c>
      <c r="AL62" s="390">
        <f>+Q_Financials!AR77</f>
        <v>2685.8</v>
      </c>
      <c r="AM62" s="390">
        <f>+Q_Financials!AS77</f>
        <v>2219.5940000000001</v>
      </c>
      <c r="AN62" s="391">
        <f>+Q_Financials!AT77</f>
        <v>2873.1010000000001</v>
      </c>
      <c r="AO62" s="364">
        <f t="shared" ref="AO62:BS62" si="295">+SUM(AO59:AO61)</f>
        <v>2873.1010000000001</v>
      </c>
      <c r="AP62" s="364">
        <f t="shared" si="295"/>
        <v>2873.1010000000001</v>
      </c>
      <c r="AQ62" s="364">
        <f t="shared" si="295"/>
        <v>2873.1010000000001</v>
      </c>
      <c r="AR62" s="364">
        <f t="shared" si="295"/>
        <v>2873.1010000000001</v>
      </c>
      <c r="AS62" s="364">
        <f t="shared" si="295"/>
        <v>2873.1010000000001</v>
      </c>
      <c r="AT62" s="364">
        <f t="shared" si="295"/>
        <v>2873.1010000000001</v>
      </c>
      <c r="AU62" s="364">
        <f t="shared" si="295"/>
        <v>2873.1010000000001</v>
      </c>
      <c r="AV62" s="364">
        <f t="shared" si="295"/>
        <v>2873.1010000000001</v>
      </c>
      <c r="AW62" s="364">
        <f t="shared" si="295"/>
        <v>2873.1010000000001</v>
      </c>
      <c r="AX62" s="364">
        <f t="shared" si="295"/>
        <v>2873.1010000000001</v>
      </c>
      <c r="AY62" s="364">
        <f t="shared" si="295"/>
        <v>2873.1010000000001</v>
      </c>
      <c r="AZ62" s="364">
        <f t="shared" si="295"/>
        <v>2873.1010000000001</v>
      </c>
      <c r="BA62" s="364">
        <f t="shared" si="295"/>
        <v>2873.1010000000001</v>
      </c>
      <c r="BB62" s="364">
        <f t="shared" si="295"/>
        <v>2873.1010000000001</v>
      </c>
      <c r="BC62" s="364">
        <f t="shared" si="295"/>
        <v>2873.1010000000001</v>
      </c>
      <c r="BD62" s="364">
        <f t="shared" si="295"/>
        <v>2873.1010000000001</v>
      </c>
      <c r="BE62" s="364">
        <f t="shared" si="295"/>
        <v>2873.1010000000001</v>
      </c>
      <c r="BF62" s="364">
        <f t="shared" si="295"/>
        <v>2873.1010000000001</v>
      </c>
      <c r="BG62" s="364">
        <f t="shared" si="295"/>
        <v>2873.1010000000001</v>
      </c>
      <c r="BH62" s="364">
        <f t="shared" si="295"/>
        <v>2873.1010000000001</v>
      </c>
      <c r="BI62" s="364">
        <f t="shared" si="295"/>
        <v>2873.1010000000001</v>
      </c>
      <c r="BJ62" s="364">
        <f t="shared" si="295"/>
        <v>2873.1010000000001</v>
      </c>
      <c r="BK62" s="364">
        <f t="shared" si="295"/>
        <v>2873.1010000000001</v>
      </c>
      <c r="BL62" s="364">
        <f t="shared" si="295"/>
        <v>2873.1010000000001</v>
      </c>
      <c r="BM62" s="364">
        <f t="shared" si="295"/>
        <v>2873.1010000000001</v>
      </c>
      <c r="BN62" s="364">
        <f t="shared" si="295"/>
        <v>2873.1010000000001</v>
      </c>
      <c r="BO62" s="364">
        <f t="shared" si="295"/>
        <v>2873.1010000000001</v>
      </c>
      <c r="BP62" s="364">
        <f t="shared" si="295"/>
        <v>2873.1010000000001</v>
      </c>
      <c r="BQ62" s="364">
        <f t="shared" si="295"/>
        <v>2873.1010000000001</v>
      </c>
      <c r="BR62" s="364">
        <f t="shared" si="295"/>
        <v>2873.1010000000001</v>
      </c>
      <c r="BS62" s="364">
        <f t="shared" si="295"/>
        <v>2873.1010000000001</v>
      </c>
    </row>
    <row r="63" spans="1:71" s="1401" customFormat="1">
      <c r="A63" s="2001" t="s">
        <v>1470</v>
      </c>
      <c r="B63" s="107">
        <f t="shared" ref="B63:AH63" si="296">+B62/(B62+B56)</f>
        <v>0.73334643279450107</v>
      </c>
      <c r="C63" s="107">
        <f t="shared" si="296"/>
        <v>0.7552000189399064</v>
      </c>
      <c r="D63" s="107">
        <f t="shared" si="296"/>
        <v>0.52071303508060907</v>
      </c>
      <c r="E63" s="107">
        <f t="shared" si="296"/>
        <v>0.66229663560259044</v>
      </c>
      <c r="F63" s="107">
        <f t="shared" si="296"/>
        <v>0.63791051746764593</v>
      </c>
      <c r="G63" s="107">
        <f t="shared" si="296"/>
        <v>0.64197667571866734</v>
      </c>
      <c r="H63" s="107">
        <f t="shared" si="296"/>
        <v>0.6483848280429465</v>
      </c>
      <c r="I63" s="107">
        <f t="shared" si="296"/>
        <v>0.57771102776947691</v>
      </c>
      <c r="J63" s="107">
        <f t="shared" si="296"/>
        <v>0.56054855134009884</v>
      </c>
      <c r="K63" s="107">
        <f t="shared" si="296"/>
        <v>0.65790738311387142</v>
      </c>
      <c r="L63" s="107">
        <f t="shared" si="296"/>
        <v>0.6535001796033183</v>
      </c>
      <c r="M63" s="107">
        <f t="shared" si="296"/>
        <v>0.62756943875637472</v>
      </c>
      <c r="N63" s="107">
        <f t="shared" si="296"/>
        <v>0.69221327684257905</v>
      </c>
      <c r="O63" s="107">
        <f t="shared" si="296"/>
        <v>0.77373946076537314</v>
      </c>
      <c r="P63" s="107">
        <f t="shared" si="296"/>
        <v>0.79739341172246658</v>
      </c>
      <c r="Q63" s="107">
        <f t="shared" si="296"/>
        <v>0.75234225453757009</v>
      </c>
      <c r="R63" s="107">
        <f t="shared" si="296"/>
        <v>0.73738636354889775</v>
      </c>
      <c r="S63" s="107">
        <f t="shared" si="296"/>
        <v>0.79001682926398853</v>
      </c>
      <c r="T63" s="107">
        <f t="shared" si="296"/>
        <v>0.77198327539308409</v>
      </c>
      <c r="U63" s="107">
        <f t="shared" si="296"/>
        <v>0.77212414228047022</v>
      </c>
      <c r="V63" s="107">
        <f t="shared" si="296"/>
        <v>0.75239312235720313</v>
      </c>
      <c r="W63" s="107">
        <f t="shared" si="296"/>
        <v>0.81657791461437002</v>
      </c>
      <c r="X63" s="107">
        <f t="shared" si="296"/>
        <v>0.79613751923774045</v>
      </c>
      <c r="Y63" s="107">
        <f t="shared" si="296"/>
        <v>0.74247122076722627</v>
      </c>
      <c r="Z63" s="107">
        <f t="shared" si="296"/>
        <v>0.68534534080492904</v>
      </c>
      <c r="AA63" s="107">
        <f t="shared" si="296"/>
        <v>0.73189928400133619</v>
      </c>
      <c r="AB63" s="107">
        <f t="shared" si="296"/>
        <v>0.75164139640434768</v>
      </c>
      <c r="AC63" s="107">
        <f t="shared" si="296"/>
        <v>0.63364082558839963</v>
      </c>
      <c r="AD63" s="107">
        <f t="shared" si="296"/>
        <v>0.68773631338012409</v>
      </c>
      <c r="AE63" s="107">
        <f t="shared" si="296"/>
        <v>0.72912670768023369</v>
      </c>
      <c r="AF63" s="107">
        <f t="shared" si="296"/>
        <v>0.77213577141534295</v>
      </c>
      <c r="AG63" s="372">
        <f t="shared" si="296"/>
        <v>0.76485744077041495</v>
      </c>
      <c r="AH63" s="372">
        <f t="shared" si="296"/>
        <v>0.78310177832020911</v>
      </c>
      <c r="AI63" s="372">
        <f t="shared" ref="AI63:AN63" si="297">+AI62/(AI62+AI56)</f>
        <v>0.79701057122243479</v>
      </c>
      <c r="AJ63" s="372">
        <f t="shared" si="297"/>
        <v>0.64118690250577792</v>
      </c>
      <c r="AK63" s="372">
        <f t="shared" si="297"/>
        <v>0.71488768186216467</v>
      </c>
      <c r="AL63" s="372">
        <f t="shared" si="297"/>
        <v>0.72110864184457757</v>
      </c>
      <c r="AM63" s="372">
        <f t="shared" si="297"/>
        <v>0.59678649660697081</v>
      </c>
      <c r="AN63" s="406">
        <f t="shared" si="297"/>
        <v>0.72032078093766772</v>
      </c>
      <c r="AO63" s="407">
        <f t="shared" ref="AO63:BS63" si="298">+AO62/(AO62+AO56)</f>
        <v>0.72032078093766772</v>
      </c>
      <c r="AP63" s="407">
        <f t="shared" si="298"/>
        <v>0.72032078093766772</v>
      </c>
      <c r="AQ63" s="407">
        <f t="shared" si="298"/>
        <v>0.81443225267386876</v>
      </c>
      <c r="AR63" s="407">
        <f t="shared" si="298"/>
        <v>0.81443225267386876</v>
      </c>
      <c r="AS63" s="407">
        <f t="shared" si="298"/>
        <v>0.81443225267386876</v>
      </c>
      <c r="AT63" s="407">
        <f t="shared" si="298"/>
        <v>0.81443225267386876</v>
      </c>
      <c r="AU63" s="407">
        <f t="shared" si="298"/>
        <v>0.81443225267386876</v>
      </c>
      <c r="AV63" s="407">
        <f t="shared" si="298"/>
        <v>0.81443225267386876</v>
      </c>
      <c r="AW63" s="407">
        <f t="shared" si="298"/>
        <v>0.81443225267386876</v>
      </c>
      <c r="AX63" s="407">
        <f t="shared" si="298"/>
        <v>0.81443225267386876</v>
      </c>
      <c r="AY63" s="407">
        <f t="shared" si="298"/>
        <v>0.81443225267386876</v>
      </c>
      <c r="AZ63" s="407">
        <f t="shared" si="298"/>
        <v>0.81443225267386876</v>
      </c>
      <c r="BA63" s="407">
        <f t="shared" si="298"/>
        <v>0.81443225267386876</v>
      </c>
      <c r="BB63" s="407">
        <f t="shared" si="298"/>
        <v>0.81443225267386876</v>
      </c>
      <c r="BC63" s="407">
        <f t="shared" si="298"/>
        <v>0.81443225267386876</v>
      </c>
      <c r="BD63" s="407">
        <f t="shared" si="298"/>
        <v>0.81443225267386876</v>
      </c>
      <c r="BE63" s="407">
        <f t="shared" si="298"/>
        <v>0.81443225267386876</v>
      </c>
      <c r="BF63" s="407">
        <f t="shared" si="298"/>
        <v>0.81443225267386876</v>
      </c>
      <c r="BG63" s="407">
        <f t="shared" si="298"/>
        <v>0.81443225267386876</v>
      </c>
      <c r="BH63" s="407">
        <f t="shared" si="298"/>
        <v>0.81443225267386876</v>
      </c>
      <c r="BI63" s="407">
        <f t="shared" si="298"/>
        <v>0.81443225267386876</v>
      </c>
      <c r="BJ63" s="407">
        <f t="shared" si="298"/>
        <v>0.81443225267386876</v>
      </c>
      <c r="BK63" s="407">
        <f t="shared" si="298"/>
        <v>0.81443225267386876</v>
      </c>
      <c r="BL63" s="407">
        <f t="shared" si="298"/>
        <v>0.81443225267386876</v>
      </c>
      <c r="BM63" s="407">
        <f t="shared" si="298"/>
        <v>0.81443225267386876</v>
      </c>
      <c r="BN63" s="407">
        <f t="shared" si="298"/>
        <v>0.81443225267386876</v>
      </c>
      <c r="BO63" s="407">
        <f t="shared" si="298"/>
        <v>0.81443225267386876</v>
      </c>
      <c r="BP63" s="407">
        <f t="shared" si="298"/>
        <v>0.81443225267386876</v>
      </c>
      <c r="BQ63" s="407">
        <f t="shared" si="298"/>
        <v>0.81443225267386876</v>
      </c>
      <c r="BR63" s="407">
        <f t="shared" si="298"/>
        <v>0.81443225267386876</v>
      </c>
      <c r="BS63" s="407">
        <f t="shared" si="298"/>
        <v>0.81443225267386876</v>
      </c>
    </row>
    <row r="64" spans="1:71" s="1401" customFormat="1">
      <c r="A64" s="54"/>
      <c r="AG64" s="106"/>
      <c r="AH64" s="106"/>
      <c r="AI64" s="106"/>
      <c r="AJ64" s="106"/>
      <c r="AK64" s="106"/>
      <c r="AL64" s="106"/>
      <c r="AM64" s="106"/>
      <c r="AN64" s="2016"/>
    </row>
    <row r="65" spans="1:71" s="1401" customFormat="1">
      <c r="A65" s="1995" t="s">
        <v>1472</v>
      </c>
      <c r="C65" s="196">
        <f t="shared" ref="C65:AH65" si="299">+AVERAGE(B56+B62,C56+C62)</f>
        <v>580.67100000000005</v>
      </c>
      <c r="D65" s="196">
        <f t="shared" si="299"/>
        <v>669.48250000000007</v>
      </c>
      <c r="E65" s="196">
        <f t="shared" si="299"/>
        <v>915.1110000000001</v>
      </c>
      <c r="F65" s="196">
        <f t="shared" si="299"/>
        <v>1121.5590000000002</v>
      </c>
      <c r="G65" s="196">
        <f t="shared" si="299"/>
        <v>1149.1934999999999</v>
      </c>
      <c r="H65" s="196">
        <f t="shared" si="299"/>
        <v>1092.8885</v>
      </c>
      <c r="I65" s="196">
        <f t="shared" si="299"/>
        <v>1074.432</v>
      </c>
      <c r="J65" s="196">
        <f t="shared" si="299"/>
        <v>1109.1500000000001</v>
      </c>
      <c r="K65" s="196">
        <f t="shared" si="299"/>
        <v>1036.241</v>
      </c>
      <c r="L65" s="196">
        <f t="shared" si="299"/>
        <v>1005.1210000000001</v>
      </c>
      <c r="M65" s="196">
        <f t="shared" si="299"/>
        <v>1107.4690000000001</v>
      </c>
      <c r="N65" s="196">
        <f t="shared" si="299"/>
        <v>1019.8715</v>
      </c>
      <c r="O65" s="196">
        <f t="shared" si="299"/>
        <v>808.75450000000001</v>
      </c>
      <c r="P65" s="196">
        <f t="shared" si="299"/>
        <v>786.58799999999997</v>
      </c>
      <c r="Q65" s="196">
        <f t="shared" si="299"/>
        <v>888.221</v>
      </c>
      <c r="R65" s="196">
        <f t="shared" si="299"/>
        <v>1120.038</v>
      </c>
      <c r="S65" s="196">
        <f t="shared" si="299"/>
        <v>1272.9234999999999</v>
      </c>
      <c r="T65" s="196">
        <f t="shared" si="299"/>
        <v>1554.163</v>
      </c>
      <c r="U65" s="196">
        <f t="shared" si="299"/>
        <v>1856.846</v>
      </c>
      <c r="V65" s="196">
        <f t="shared" si="299"/>
        <v>1871.7330000000002</v>
      </c>
      <c r="W65" s="196">
        <f t="shared" si="299"/>
        <v>1936.694</v>
      </c>
      <c r="X65" s="196">
        <f t="shared" si="299"/>
        <v>1985.4275</v>
      </c>
      <c r="Y65" s="196">
        <f t="shared" si="299"/>
        <v>1994.9255000000001</v>
      </c>
      <c r="Z65" s="196">
        <f t="shared" si="299"/>
        <v>2058.6909999999998</v>
      </c>
      <c r="AA65" s="196">
        <f t="shared" si="299"/>
        <v>2162.8410000000003</v>
      </c>
      <c r="AB65" s="196">
        <f t="shared" si="299"/>
        <v>2325.4465</v>
      </c>
      <c r="AC65" s="196">
        <f t="shared" si="299"/>
        <v>2695.8320000000003</v>
      </c>
      <c r="AD65" s="196">
        <f t="shared" si="299"/>
        <v>3095.3290000000002</v>
      </c>
      <c r="AE65" s="196">
        <f t="shared" si="299"/>
        <v>3427.1329999999998</v>
      </c>
      <c r="AF65" s="196">
        <f t="shared" si="299"/>
        <v>3638.3495000000003</v>
      </c>
      <c r="AG65" s="202">
        <f t="shared" si="299"/>
        <v>3864.739</v>
      </c>
      <c r="AH65" s="202">
        <f t="shared" si="299"/>
        <v>4007.0190000000002</v>
      </c>
      <c r="AI65" s="202">
        <f t="shared" ref="AI65:AN65" si="300">+AVERAGE(AH56+AH62,AI56+AI62)</f>
        <v>3886.5690000000004</v>
      </c>
      <c r="AJ65" s="202">
        <f t="shared" si="300"/>
        <v>3564.0635000000002</v>
      </c>
      <c r="AK65" s="202">
        <f t="shared" si="300"/>
        <v>3499.6669999999999</v>
      </c>
      <c r="AL65" s="202">
        <f t="shared" si="300"/>
        <v>3710.6149</v>
      </c>
      <c r="AM65" s="202">
        <f t="shared" si="300"/>
        <v>3721.8928999999998</v>
      </c>
      <c r="AN65" s="355">
        <f t="shared" si="300"/>
        <v>3853.942</v>
      </c>
      <c r="AO65" s="357">
        <f t="shared" ref="AO65:BS65" si="301">+AVERAGE(AN56+AN62,AO56+AO62)</f>
        <v>3988.6410000000001</v>
      </c>
      <c r="AP65" s="357">
        <f t="shared" si="301"/>
        <v>3988.6410000000001</v>
      </c>
      <c r="AQ65" s="357">
        <f t="shared" si="301"/>
        <v>3758.1878999999999</v>
      </c>
      <c r="AR65" s="357">
        <f t="shared" si="301"/>
        <v>3527.7348000000002</v>
      </c>
      <c r="AS65" s="357">
        <f t="shared" si="301"/>
        <v>3527.7348000000002</v>
      </c>
      <c r="AT65" s="357">
        <f t="shared" si="301"/>
        <v>3527.7348000000002</v>
      </c>
      <c r="AU65" s="357">
        <f t="shared" si="301"/>
        <v>3527.7348000000002</v>
      </c>
      <c r="AV65" s="357">
        <f t="shared" si="301"/>
        <v>3527.7348000000002</v>
      </c>
      <c r="AW65" s="357">
        <f t="shared" si="301"/>
        <v>3527.7348000000002</v>
      </c>
      <c r="AX65" s="357">
        <f t="shared" si="301"/>
        <v>3527.7348000000002</v>
      </c>
      <c r="AY65" s="357">
        <f t="shared" si="301"/>
        <v>3527.7348000000002</v>
      </c>
      <c r="AZ65" s="357">
        <f t="shared" si="301"/>
        <v>3527.7348000000002</v>
      </c>
      <c r="BA65" s="357">
        <f t="shared" si="301"/>
        <v>3527.7348000000002</v>
      </c>
      <c r="BB65" s="357">
        <f t="shared" si="301"/>
        <v>3527.7348000000002</v>
      </c>
      <c r="BC65" s="357">
        <f t="shared" si="301"/>
        <v>3527.7348000000002</v>
      </c>
      <c r="BD65" s="357">
        <f t="shared" si="301"/>
        <v>3527.7348000000002</v>
      </c>
      <c r="BE65" s="357">
        <f t="shared" si="301"/>
        <v>3527.7348000000002</v>
      </c>
      <c r="BF65" s="357">
        <f t="shared" si="301"/>
        <v>3527.7348000000002</v>
      </c>
      <c r="BG65" s="357">
        <f t="shared" si="301"/>
        <v>3527.7348000000002</v>
      </c>
      <c r="BH65" s="357">
        <f t="shared" si="301"/>
        <v>3527.7348000000002</v>
      </c>
      <c r="BI65" s="357">
        <f t="shared" si="301"/>
        <v>3527.7348000000002</v>
      </c>
      <c r="BJ65" s="357">
        <f t="shared" si="301"/>
        <v>3527.7348000000002</v>
      </c>
      <c r="BK65" s="357">
        <f t="shared" si="301"/>
        <v>3527.7348000000002</v>
      </c>
      <c r="BL65" s="357">
        <f t="shared" si="301"/>
        <v>3527.7348000000002</v>
      </c>
      <c r="BM65" s="357">
        <f t="shared" si="301"/>
        <v>3527.7348000000002</v>
      </c>
      <c r="BN65" s="357">
        <f t="shared" si="301"/>
        <v>3527.7348000000002</v>
      </c>
      <c r="BO65" s="357">
        <f t="shared" si="301"/>
        <v>3527.7348000000002</v>
      </c>
      <c r="BP65" s="357">
        <f t="shared" si="301"/>
        <v>3527.7348000000002</v>
      </c>
      <c r="BQ65" s="357">
        <f t="shared" si="301"/>
        <v>3527.7348000000002</v>
      </c>
      <c r="BR65" s="357">
        <f t="shared" si="301"/>
        <v>3527.7348000000002</v>
      </c>
      <c r="BS65" s="357">
        <f t="shared" si="301"/>
        <v>3527.7348000000002</v>
      </c>
    </row>
    <row r="66" spans="1:71" s="1401" customFormat="1">
      <c r="A66" s="2002" t="s">
        <v>1473</v>
      </c>
      <c r="C66" s="107">
        <f t="shared" ref="C66:AN66" si="302">+(1+C67/C65)^4-1</f>
        <v>0.17804057245531069</v>
      </c>
      <c r="D66" s="107">
        <f t="shared" si="302"/>
        <v>0.1022498165212693</v>
      </c>
      <c r="E66" s="107">
        <f t="shared" si="302"/>
        <v>0.2342060446073484</v>
      </c>
      <c r="F66" s="107">
        <f t="shared" si="302"/>
        <v>0.21839080232521613</v>
      </c>
      <c r="G66" s="107">
        <f t="shared" si="302"/>
        <v>0.11630312910352392</v>
      </c>
      <c r="H66" s="107">
        <f t="shared" si="302"/>
        <v>7.6986270049588246E-2</v>
      </c>
      <c r="I66" s="107">
        <f t="shared" si="302"/>
        <v>0.14190686501152938</v>
      </c>
      <c r="J66" s="107">
        <f t="shared" si="302"/>
        <v>0.24689347231361003</v>
      </c>
      <c r="K66" s="107">
        <f t="shared" si="302"/>
        <v>0.25795245240101417</v>
      </c>
      <c r="L66" s="107">
        <f t="shared" si="302"/>
        <v>8.1332771939245596E-2</v>
      </c>
      <c r="M66" s="107">
        <f t="shared" si="302"/>
        <v>0.11661142054364615</v>
      </c>
      <c r="N66" s="107">
        <f t="shared" si="302"/>
        <v>0.10602440761097753</v>
      </c>
      <c r="O66" s="107">
        <f t="shared" si="302"/>
        <v>0.12831834062675251</v>
      </c>
      <c r="P66" s="107">
        <f t="shared" si="302"/>
        <v>0.12810251517225368</v>
      </c>
      <c r="Q66" s="107">
        <f t="shared" si="302"/>
        <v>0.19037731818142123</v>
      </c>
      <c r="R66" s="107">
        <f t="shared" si="302"/>
        <v>8.0838402423331512E-2</v>
      </c>
      <c r="S66" s="107">
        <f t="shared" si="302"/>
        <v>0.10636633632659565</v>
      </c>
      <c r="T66" s="107">
        <f t="shared" si="302"/>
        <v>9.8481438545223732E-2</v>
      </c>
      <c r="U66" s="107">
        <f t="shared" si="302"/>
        <v>0.11355775717083061</v>
      </c>
      <c r="V66" s="107">
        <f t="shared" si="302"/>
        <v>0.13402374366742253</v>
      </c>
      <c r="W66" s="107">
        <f t="shared" si="302"/>
        <v>6.0913515307273958E-2</v>
      </c>
      <c r="X66" s="107">
        <f t="shared" si="302"/>
        <v>7.6267529191532235E-2</v>
      </c>
      <c r="Y66" s="107">
        <f t="shared" si="302"/>
        <v>8.222894671674541E-2</v>
      </c>
      <c r="Z66" s="107">
        <f t="shared" si="302"/>
        <v>7.9466435251772216E-2</v>
      </c>
      <c r="AA66" s="107">
        <f t="shared" si="302"/>
        <v>8.0151791569833541E-2</v>
      </c>
      <c r="AB66" s="107">
        <f t="shared" si="302"/>
        <v>7.3571823058573793E-2</v>
      </c>
      <c r="AC66" s="107">
        <f t="shared" si="302"/>
        <v>0.11395604002401361</v>
      </c>
      <c r="AD66" s="107">
        <f t="shared" si="302"/>
        <v>0.10501683231665426</v>
      </c>
      <c r="AE66" s="107">
        <f t="shared" si="302"/>
        <v>8.7335819658410196E-2</v>
      </c>
      <c r="AF66" s="107">
        <f t="shared" si="302"/>
        <v>8.535886376502444E-2</v>
      </c>
      <c r="AG66" s="372">
        <f t="shared" si="302"/>
        <v>7.7014559156410201E-2</v>
      </c>
      <c r="AH66" s="372">
        <f t="shared" si="302"/>
        <v>8.7929625124560262E-2</v>
      </c>
      <c r="AI66" s="372">
        <f t="shared" si="302"/>
        <v>8.3081738059889831E-2</v>
      </c>
      <c r="AJ66" s="372">
        <f t="shared" si="302"/>
        <v>8.9076233692375828E-2</v>
      </c>
      <c r="AK66" s="372">
        <f t="shared" si="302"/>
        <v>0.10317338802611209</v>
      </c>
      <c r="AL66" s="372">
        <f t="shared" si="302"/>
        <v>0.10283996614966484</v>
      </c>
      <c r="AM66" s="372">
        <f t="shared" si="302"/>
        <v>9.777888815645297E-2</v>
      </c>
      <c r="AN66" s="406">
        <f t="shared" si="302"/>
        <v>0.10263468883133164</v>
      </c>
      <c r="AO66" s="404">
        <f>59%*97%*AO74+41%*6%</f>
        <v>7.610699999999998E-2</v>
      </c>
      <c r="AP66" s="404">
        <f t="shared" ref="AP66:BS66" si="303">59%*97%*AP74+41%*6%</f>
        <v>7.4676249999999986E-2</v>
      </c>
      <c r="AQ66" s="404">
        <f t="shared" si="303"/>
        <v>7.4676249999999986E-2</v>
      </c>
      <c r="AR66" s="404">
        <f t="shared" si="303"/>
        <v>7.4676249999999986E-2</v>
      </c>
      <c r="AS66" s="404">
        <f t="shared" si="303"/>
        <v>7.4676249999999986E-2</v>
      </c>
      <c r="AT66" s="404">
        <f t="shared" si="303"/>
        <v>8.0399249999999992E-2</v>
      </c>
      <c r="AU66" s="404">
        <f t="shared" si="303"/>
        <v>7.0383999999999988E-2</v>
      </c>
      <c r="AV66" s="404">
        <f t="shared" si="303"/>
        <v>7.0383999999999988E-2</v>
      </c>
      <c r="AW66" s="404">
        <f t="shared" si="303"/>
        <v>7.0383999999999988E-2</v>
      </c>
      <c r="AX66" s="404">
        <f t="shared" si="303"/>
        <v>7.0383999999999988E-2</v>
      </c>
      <c r="AY66" s="404">
        <f t="shared" si="303"/>
        <v>7.0383999999999988E-2</v>
      </c>
      <c r="AZ66" s="404">
        <f t="shared" si="303"/>
        <v>7.0383999999999988E-2</v>
      </c>
      <c r="BA66" s="404">
        <f t="shared" si="303"/>
        <v>7.0383999999999988E-2</v>
      </c>
      <c r="BB66" s="404">
        <f t="shared" si="303"/>
        <v>7.0383999999999988E-2</v>
      </c>
      <c r="BC66" s="404">
        <f t="shared" si="303"/>
        <v>7.0383999999999988E-2</v>
      </c>
      <c r="BD66" s="404">
        <f t="shared" si="303"/>
        <v>7.0383999999999988E-2</v>
      </c>
      <c r="BE66" s="404">
        <f t="shared" si="303"/>
        <v>7.0383999999999988E-2</v>
      </c>
      <c r="BF66" s="404">
        <f t="shared" si="303"/>
        <v>7.0383999999999988E-2</v>
      </c>
      <c r="BG66" s="404">
        <f t="shared" si="303"/>
        <v>7.0383999999999988E-2</v>
      </c>
      <c r="BH66" s="404">
        <f t="shared" si="303"/>
        <v>7.0383999999999988E-2</v>
      </c>
      <c r="BI66" s="404">
        <f t="shared" si="303"/>
        <v>7.0383999999999988E-2</v>
      </c>
      <c r="BJ66" s="404">
        <f t="shared" si="303"/>
        <v>7.0383999999999988E-2</v>
      </c>
      <c r="BK66" s="404">
        <f t="shared" si="303"/>
        <v>7.0383999999999988E-2</v>
      </c>
      <c r="BL66" s="404">
        <f t="shared" si="303"/>
        <v>7.0383999999999988E-2</v>
      </c>
      <c r="BM66" s="404">
        <f t="shared" si="303"/>
        <v>7.0383999999999988E-2</v>
      </c>
      <c r="BN66" s="404">
        <f t="shared" si="303"/>
        <v>7.0383999999999988E-2</v>
      </c>
      <c r="BO66" s="404">
        <f t="shared" si="303"/>
        <v>7.0383999999999988E-2</v>
      </c>
      <c r="BP66" s="404">
        <f t="shared" si="303"/>
        <v>7.0383999999999988E-2</v>
      </c>
      <c r="BQ66" s="404">
        <f t="shared" si="303"/>
        <v>7.0383999999999988E-2</v>
      </c>
      <c r="BR66" s="404">
        <f t="shared" si="303"/>
        <v>7.0383999999999988E-2</v>
      </c>
      <c r="BS66" s="404">
        <f t="shared" si="303"/>
        <v>7.0383999999999988E-2</v>
      </c>
    </row>
    <row r="67" spans="1:71" s="14" customFormat="1">
      <c r="A67" s="2003" t="s">
        <v>1475</v>
      </c>
      <c r="B67" s="362">
        <f>+-Q_Financials!H30</f>
        <v>21.885999999999999</v>
      </c>
      <c r="C67" s="362">
        <f>+-Q_Financials!I30</f>
        <v>24.28</v>
      </c>
      <c r="D67" s="362">
        <f>+-Q_Financials!J30</f>
        <v>16.494</v>
      </c>
      <c r="E67" s="362">
        <f>+-Q_Financials!K30</f>
        <v>49.43</v>
      </c>
      <c r="F67" s="362">
        <f>+-Q_Financials!L30</f>
        <v>56.776000000000003</v>
      </c>
      <c r="G67" s="362">
        <f>+-Q_Financials!M30</f>
        <v>32.048000000000002</v>
      </c>
      <c r="H67" s="362">
        <f>+-Q_Financials!N30</f>
        <v>20.452999999999999</v>
      </c>
      <c r="I67" s="362">
        <f>+-Q_Financials!O30</f>
        <v>36.241999999999997</v>
      </c>
      <c r="J67" s="362">
        <f>+-Q_Financials!P30</f>
        <v>62.904000000000003</v>
      </c>
      <c r="K67" s="362">
        <f>+-Q_Financials!Q30</f>
        <v>61.189</v>
      </c>
      <c r="L67" s="362">
        <f>+-Q_Financials!R30</f>
        <v>19.841999999999999</v>
      </c>
      <c r="M67" s="362">
        <f>+-Q_Financials!S30</f>
        <v>30.963000000000001</v>
      </c>
      <c r="N67" s="362">
        <f>+-Q_Financials!T30</f>
        <v>26.02</v>
      </c>
      <c r="O67" s="362">
        <f>+-Q_Financials!U30</f>
        <v>24.782</v>
      </c>
      <c r="P67" s="362">
        <f>+-Q_Financials!V30</f>
        <v>24.064</v>
      </c>
      <c r="Q67" s="362">
        <f>+-Q_Financials!W30</f>
        <v>39.552999999999997</v>
      </c>
      <c r="R67" s="362">
        <f>+-Q_Financials!X30</f>
        <v>21.98</v>
      </c>
      <c r="S67" s="362">
        <f>+-Q_Financials!Y30</f>
        <v>32.576999999999998</v>
      </c>
      <c r="T67" s="362">
        <f>+-Q_Financials!Z30</f>
        <v>36.927</v>
      </c>
      <c r="U67" s="362">
        <f>+-Q_Financials!AA30</f>
        <v>50.607999999999997</v>
      </c>
      <c r="V67" s="362">
        <f>+-Q_Financials!AB30</f>
        <v>59.787999999999997</v>
      </c>
      <c r="W67" s="362">
        <f>+-Q_Financials!AC30</f>
        <v>28.841999999999999</v>
      </c>
      <c r="X67" s="362">
        <f>+-Q_Financials!AD30</f>
        <v>36.819000000000003</v>
      </c>
      <c r="Y67" s="362">
        <f>+-Q_Financials!AE30</f>
        <v>39.802999999999997</v>
      </c>
      <c r="Z67" s="362">
        <f>+-Q_Financials!AF30</f>
        <v>39.734000000000002</v>
      </c>
      <c r="AA67" s="362">
        <f>+-Q_Financials!AG30</f>
        <v>42.094000000000001</v>
      </c>
      <c r="AB67" s="362">
        <f>+-Q_Financials!AH30</f>
        <v>41.64</v>
      </c>
      <c r="AC67" s="362">
        <f>+-Q_Financials!AI30</f>
        <v>73.721999999999994</v>
      </c>
      <c r="AD67" s="362">
        <f>+-Q_Financials!AJ30</f>
        <v>78.248000000000005</v>
      </c>
      <c r="AE67" s="362">
        <f>+-Q_Financials!AK30</f>
        <v>72.495000000000005</v>
      </c>
      <c r="AF67" s="362">
        <f>+-Q_Financials!AL30</f>
        <v>75.272999999999996</v>
      </c>
      <c r="AG67" s="390">
        <f>+-Q_Financials!AM30</f>
        <v>72.352999999999994</v>
      </c>
      <c r="AH67" s="390">
        <f>+-Q_Financials!AN30</f>
        <v>85.32</v>
      </c>
      <c r="AI67" s="390">
        <f>+-Q_Financials!AO30</f>
        <v>78.325999999999993</v>
      </c>
      <c r="AJ67" s="390">
        <f>+-Q_Financials!AP30</f>
        <v>76.846999999999994</v>
      </c>
      <c r="AK67" s="390">
        <f>+-Q_Financials!AQ30</f>
        <v>86.971999999999994</v>
      </c>
      <c r="AL67" s="390">
        <f>+-Q_Financials!AR30</f>
        <v>91.927000000000007</v>
      </c>
      <c r="AM67" s="390">
        <f>+-Q_Financials!AS30</f>
        <v>87.822999999999993</v>
      </c>
      <c r="AN67" s="391">
        <f>+-Q_Financials!AT30</f>
        <v>95.293999999999997</v>
      </c>
      <c r="AO67" s="364">
        <f t="shared" ref="AO67:BS67" si="304">+AO65*((1+AO66)^0.25-1)</f>
        <v>73.81633795325115</v>
      </c>
      <c r="AP67" s="364">
        <f t="shared" si="304"/>
        <v>72.465342874639674</v>
      </c>
      <c r="AQ67" s="364">
        <f t="shared" si="304"/>
        <v>68.278487525155072</v>
      </c>
      <c r="AR67" s="364">
        <f t="shared" si="304"/>
        <v>64.091632175670469</v>
      </c>
      <c r="AS67" s="364">
        <f t="shared" si="304"/>
        <v>64.091632175670469</v>
      </c>
      <c r="AT67" s="364">
        <f t="shared" si="304"/>
        <v>68.864022794648349</v>
      </c>
      <c r="AU67" s="364">
        <f t="shared" si="304"/>
        <v>60.499815163531174</v>
      </c>
      <c r="AV67" s="364">
        <f t="shared" si="304"/>
        <v>60.499815163531174</v>
      </c>
      <c r="AW67" s="364">
        <f t="shared" si="304"/>
        <v>60.499815163531174</v>
      </c>
      <c r="AX67" s="364">
        <f t="shared" si="304"/>
        <v>60.499815163531174</v>
      </c>
      <c r="AY67" s="364">
        <f t="shared" si="304"/>
        <v>60.499815163531174</v>
      </c>
      <c r="AZ67" s="364">
        <f t="shared" si="304"/>
        <v>60.499815163531174</v>
      </c>
      <c r="BA67" s="364">
        <f t="shared" si="304"/>
        <v>60.499815163531174</v>
      </c>
      <c r="BB67" s="364">
        <f t="shared" si="304"/>
        <v>60.499815163531174</v>
      </c>
      <c r="BC67" s="364">
        <f t="shared" si="304"/>
        <v>60.499815163531174</v>
      </c>
      <c r="BD67" s="364">
        <f t="shared" si="304"/>
        <v>60.499815163531174</v>
      </c>
      <c r="BE67" s="364">
        <f t="shared" si="304"/>
        <v>60.499815163531174</v>
      </c>
      <c r="BF67" s="364">
        <f t="shared" si="304"/>
        <v>60.499815163531174</v>
      </c>
      <c r="BG67" s="364">
        <f t="shared" si="304"/>
        <v>60.499815163531174</v>
      </c>
      <c r="BH67" s="364">
        <f t="shared" si="304"/>
        <v>60.499815163531174</v>
      </c>
      <c r="BI67" s="364">
        <f t="shared" si="304"/>
        <v>60.499815163531174</v>
      </c>
      <c r="BJ67" s="364">
        <f t="shared" si="304"/>
        <v>60.499815163531174</v>
      </c>
      <c r="BK67" s="364">
        <f t="shared" si="304"/>
        <v>60.499815163531174</v>
      </c>
      <c r="BL67" s="364">
        <f t="shared" si="304"/>
        <v>60.499815163531174</v>
      </c>
      <c r="BM67" s="364">
        <f t="shared" si="304"/>
        <v>60.499815163531174</v>
      </c>
      <c r="BN67" s="364">
        <f t="shared" si="304"/>
        <v>60.499815163531174</v>
      </c>
      <c r="BO67" s="364">
        <f t="shared" si="304"/>
        <v>60.499815163531174</v>
      </c>
      <c r="BP67" s="364">
        <f t="shared" si="304"/>
        <v>60.499815163531174</v>
      </c>
      <c r="BQ67" s="364">
        <f t="shared" si="304"/>
        <v>60.499815163531174</v>
      </c>
      <c r="BR67" s="364">
        <f t="shared" si="304"/>
        <v>60.499815163531174</v>
      </c>
      <c r="BS67" s="364">
        <f t="shared" si="304"/>
        <v>60.499815163531174</v>
      </c>
    </row>
    <row r="68" spans="1:71" s="1401" customFormat="1">
      <c r="A68" s="1995"/>
      <c r="AG68" s="106"/>
      <c r="AH68" s="106"/>
      <c r="AI68" s="106"/>
      <c r="AJ68" s="106"/>
      <c r="AK68" s="106"/>
      <c r="AL68" s="106"/>
      <c r="AM68" s="106"/>
      <c r="AN68" s="381"/>
    </row>
    <row r="69" spans="1:71" s="1401" customFormat="1">
      <c r="A69" s="1995" t="s">
        <v>1476</v>
      </c>
      <c r="B69" s="395">
        <f>+AVERAGE(Q_Financials!G48+Q_Financials!G49,Q_Financials!H48+Q_Financials!H49)</f>
        <v>167.34399999999999</v>
      </c>
      <c r="C69" s="395">
        <f>+AVERAGE(Q_Financials!H48+Q_Financials!H49,Q_Financials!I48+Q_Financials!I49)</f>
        <v>110.61500000000001</v>
      </c>
      <c r="D69" s="395">
        <f>+AVERAGE(Q_Financials!I48+Q_Financials!I49,Q_Financials!J48+Q_Financials!J49)</f>
        <v>64.855500000000006</v>
      </c>
      <c r="E69" s="395">
        <f>+AVERAGE(Q_Financials!J48+Q_Financials!J49,Q_Financials!K48+Q_Financials!K49)</f>
        <v>142.70600000000002</v>
      </c>
      <c r="F69" s="395">
        <f>+AVERAGE(Q_Financials!K48+Q_Financials!K49,Q_Financials!L48+Q_Financials!L49)</f>
        <v>189.40649999999999</v>
      </c>
      <c r="G69" s="395">
        <f>+AVERAGE(Q_Financials!L48+Q_Financials!L49,Q_Financials!M48+Q_Financials!M49)</f>
        <v>173.37549999999999</v>
      </c>
      <c r="H69" s="395">
        <f>+AVERAGE(Q_Financials!M48+Q_Financials!M49,Q_Financials!N48+Q_Financials!N49)</f>
        <v>160.67150000000001</v>
      </c>
      <c r="I69" s="395">
        <f>+AVERAGE(Q_Financials!N48+Q_Financials!N49,Q_Financials!O48+Q_Financials!O49)</f>
        <v>130.637</v>
      </c>
      <c r="J69" s="395">
        <f>+AVERAGE(Q_Financials!O48+Q_Financials!O49,Q_Financials!P48+Q_Financials!P49)</f>
        <v>143.08000000000001</v>
      </c>
      <c r="K69" s="395">
        <f>+AVERAGE(Q_Financials!P48+Q_Financials!P49,Q_Financials!Q48+Q_Financials!Q49)</f>
        <v>169.54699999999997</v>
      </c>
      <c r="L69" s="395">
        <f>+AVERAGE(Q_Financials!Q48+Q_Financials!Q49,Q_Financials!R48+Q_Financials!R49)</f>
        <v>218.77699999999999</v>
      </c>
      <c r="M69" s="395">
        <f>+AVERAGE(Q_Financials!R48+Q_Financials!R49,Q_Financials!S48+Q_Financials!S49)</f>
        <v>240.73200000000003</v>
      </c>
      <c r="N69" s="395">
        <f>+AVERAGE(Q_Financials!S48+Q_Financials!S49,Q_Financials!T48+Q_Financials!T49)</f>
        <v>241.3015</v>
      </c>
      <c r="O69" s="395">
        <f>+AVERAGE(Q_Financials!T48+Q_Financials!T49,Q_Financials!U48+Q_Financials!U49)</f>
        <v>235.93700000000001</v>
      </c>
      <c r="P69" s="395">
        <f>+AVERAGE(Q_Financials!U48+Q_Financials!U49,Q_Financials!V48+Q_Financials!V49)</f>
        <v>280.64699999999999</v>
      </c>
      <c r="Q69" s="395">
        <f>+AVERAGE(Q_Financials!V48+Q_Financials!V49,Q_Financials!W48+Q_Financials!W49)</f>
        <v>306.85050000000001</v>
      </c>
      <c r="R69" s="395">
        <f>+AVERAGE(Q_Financials!W48+Q_Financials!W49,Q_Financials!X48+Q_Financials!X49)</f>
        <v>369.36399999999998</v>
      </c>
      <c r="S69" s="395">
        <f>+AVERAGE(Q_Financials!X48+Q_Financials!X49,Q_Financials!Y48+Q_Financials!Y49)</f>
        <v>437.33449999999999</v>
      </c>
      <c r="T69" s="395">
        <f>+AVERAGE(Q_Financials!Y48+Q_Financials!Y49,Q_Financials!Z48+Q_Financials!Z49)</f>
        <v>601.81549999999993</v>
      </c>
      <c r="U69" s="395">
        <f>+AVERAGE(Q_Financials!Z48+Q_Financials!Z49,Q_Financials!AA48+Q_Financials!AA49)</f>
        <v>752.2</v>
      </c>
      <c r="V69" s="395">
        <f>+AVERAGE(Q_Financials!AA48+Q_Financials!AA49,Q_Financials!AB48+Q_Financials!AB49)</f>
        <v>642.67450000000008</v>
      </c>
      <c r="W69" s="395">
        <f>+AVERAGE(Q_Financials!AB48+Q_Financials!AB49,Q_Financials!AC48+Q_Financials!AC49)</f>
        <v>604.15149999999994</v>
      </c>
      <c r="X69" s="395">
        <f>+AVERAGE(Q_Financials!AC48+Q_Financials!AC49,Q_Financials!AD48+Q_Financials!AD49)</f>
        <v>605.57349999999997</v>
      </c>
      <c r="Y69" s="395">
        <f>+AVERAGE(Q_Financials!AD48+Q_Financials!AD49,Q_Financials!AE48+Q_Financials!AE49)</f>
        <v>577.89</v>
      </c>
      <c r="Z69" s="395">
        <f>+AVERAGE(Q_Financials!AE48+Q_Financials!AE49,Q_Financials!AF48+Q_Financials!AF49)</f>
        <v>556.25549999999998</v>
      </c>
      <c r="AA69" s="395">
        <f>+AVERAGE(Q_Financials!AF48+Q_Financials!AF49,Q_Financials!AG48+Q_Financials!AG49)</f>
        <v>602.16449999999998</v>
      </c>
      <c r="AB69" s="395">
        <f>+AVERAGE(Q_Financials!AG48+Q_Financials!AG49,Q_Financials!AH48+Q_Financials!AH49)</f>
        <v>772.05200000000002</v>
      </c>
      <c r="AC69" s="395">
        <f>+AVERAGE(Q_Financials!AH48+Q_Financials!AH49,Q_Financials!AI48+Q_Financials!AI49)</f>
        <v>762.41300000000001</v>
      </c>
      <c r="AD69" s="395">
        <f>+AVERAGE(Q_Financials!AI48+Q_Financials!AI49,Q_Financials!AJ48+Q_Financials!AJ49)</f>
        <v>649.58349999999996</v>
      </c>
      <c r="AE69" s="395">
        <f>+AVERAGE(Q_Financials!AJ48+Q_Financials!AJ49,Q_Financials!AK48+Q_Financials!AK49)</f>
        <v>887.1105</v>
      </c>
      <c r="AF69" s="395">
        <f>+AVERAGE(Q_Financials!AK48+Q_Financials!AK49,Q_Financials!AL48+Q_Financials!AL49)</f>
        <v>1099.827</v>
      </c>
      <c r="AG69" s="1440">
        <f>+AVERAGE(Q_Financials!AL48+Q_Financials!AL49,Q_Financials!AM48+Q_Financials!AM49)</f>
        <v>992.77099999999996</v>
      </c>
      <c r="AH69" s="1440">
        <f>+AVERAGE(Q_Financials!AM48+Q_Financials!AM49,Q_Financials!AN48+Q_Financials!AN49)</f>
        <v>834.14</v>
      </c>
      <c r="AI69" s="1440">
        <f>+AVERAGE(Q_Financials!AN48+Q_Financials!AN49,Q_Financials!AO48+Q_Financials!AO49)</f>
        <v>931.1585</v>
      </c>
      <c r="AJ69" s="1440">
        <f>+AVERAGE(Q_Financials!AO48+Q_Financials!AO49,Q_Financials!AP48+Q_Financials!AP49)</f>
        <v>861.32799999999997</v>
      </c>
      <c r="AK69" s="1440">
        <f>+AVERAGE(Q_Financials!AP48+Q_Financials!AP49,Q_Financials!AQ48+Q_Financials!AQ49)</f>
        <v>765.15000000000009</v>
      </c>
      <c r="AL69" s="1440">
        <f>+AVERAGE(Q_Financials!AQ48+Q_Financials!AQ49,Q_Financials!AR48+Q_Financials!AR49)</f>
        <v>896.99549999999999</v>
      </c>
      <c r="AM69" s="1440">
        <f>+AVERAGE(Q_Financials!AR48+Q_Financials!AR49,Q_Financials!AS48+Q_Financials!AS49)</f>
        <v>1026.01</v>
      </c>
      <c r="AN69" s="355">
        <f>+AVERAGE(Q_Financials!AS48+Q_Financials!AS49,Q_Financials!AT48+Q_Financials!AT49)</f>
        <v>1256.452</v>
      </c>
      <c r="AO69" s="357">
        <f>+AVERAGE(Q_Financials!AT48+Q_Financials!AT49,Q_Financials!AU48+Q_Financials!AU49)</f>
        <v>1242.9884367443506</v>
      </c>
      <c r="AP69" s="357">
        <f>+AVERAGE(Q_Financials!AU48+Q_Financials!AU49,Q_Financials!AV48+Q_Financials!AV49)</f>
        <v>1248.8107648516921</v>
      </c>
      <c r="AQ69" s="357">
        <f>+AVERAGE(Q_Financials!AV48+Q_Financials!AV49,Q_Financials!AW48+Q_Financials!AW49)</f>
        <v>1314.8004496711003</v>
      </c>
      <c r="AR69" s="357">
        <f>+AVERAGE(Q_Financials!AW48+Q_Financials!AW49,Q_Financials!AX48+Q_Financials!AX49)</f>
        <v>1217.8598117916958</v>
      </c>
      <c r="AS69" s="357">
        <f>+AVERAGE(Q_Financials!AX48+Q_Financials!AX49,Q_Financials!AY48+Q_Financials!AY49)</f>
        <v>1155.1896543100097</v>
      </c>
      <c r="AT69" s="357">
        <f>+AVERAGE(Q_Financials!AY48+Q_Financials!AY49,Q_Financials!AZ48+Q_Financials!AZ49)</f>
        <v>1255.9852155503809</v>
      </c>
      <c r="AU69" s="357">
        <f>+AVERAGE(Q_Financials!AZ48+Q_Financials!AZ49,Q_Financials!BA48+Q_Financials!BA49)</f>
        <v>1447.3226613267393</v>
      </c>
      <c r="AV69" s="357">
        <f>+AVERAGE(Q_Financials!BA48+Q_Financials!BA49,Q_Financials!BB48+Q_Financials!BB49)</f>
        <v>1463.8558664633438</v>
      </c>
      <c r="AW69" s="357">
        <f>+AVERAGE(Q_Financials!BB48+Q_Financials!BB49,Q_Financials!BC48+Q_Financials!BC49)</f>
        <v>1393.3502918254544</v>
      </c>
      <c r="AX69" s="357">
        <f>+AVERAGE(Q_Financials!BC48+Q_Financials!BC49,Q_Financials!BD48+Q_Financials!BD49)</f>
        <v>1488.4180668415211</v>
      </c>
      <c r="AY69" s="357">
        <f>+AVERAGE(Q_Financials!BD48+Q_Financials!BD49,Q_Financials!BE48+Q_Financials!BE49)</f>
        <v>1592.2914361833011</v>
      </c>
      <c r="AZ69" s="357">
        <f>+AVERAGE(Q_Financials!BE48+Q_Financials!BE49,Q_Financials!BF48+Q_Financials!BF49)</f>
        <v>1541.292987155919</v>
      </c>
      <c r="BA69" s="357">
        <f>+AVERAGE(Q_Financials!BF48+Q_Financials!BF49,Q_Financials!BG48+Q_Financials!BG49)</f>
        <v>1502.1487507494928</v>
      </c>
      <c r="BB69" s="357">
        <f>+AVERAGE(Q_Financials!BG48+Q_Financials!BG49,Q_Financials!BH48+Q_Financials!BH49)</f>
        <v>1649.2140405604873</v>
      </c>
      <c r="BC69" s="357">
        <f>+AVERAGE(Q_Financials!BH48+Q_Financials!BH49,Q_Financials!BI48+Q_Financials!BI49)</f>
        <v>1758.4852563721381</v>
      </c>
      <c r="BD69" s="357">
        <f>+AVERAGE(Q_Financials!BI48+Q_Financials!BI49,Q_Financials!BJ48+Q_Financials!BJ49)</f>
        <v>1664.834627092838</v>
      </c>
      <c r="BE69" s="357">
        <f>+AVERAGE(Q_Financials!BJ48+Q_Financials!BJ49,Q_Financials!BK48+Q_Financials!BK49)</f>
        <v>1622.2302911080128</v>
      </c>
      <c r="BF69" s="357">
        <f>+AVERAGE(Q_Financials!BK48+Q_Financials!BK49,Q_Financials!BL48+Q_Financials!BL49)</f>
        <v>1795.2522389942947</v>
      </c>
      <c r="BG69" s="357">
        <f>+AVERAGE(Q_Financials!BL48+Q_Financials!BL49,Q_Financials!BM48+Q_Financials!BM49)</f>
        <v>1934.5809589768196</v>
      </c>
      <c r="BH69" s="357">
        <f>+AVERAGE(Q_Financials!BM48+Q_Financials!BM49,Q_Financials!BN48+Q_Financials!BN49)</f>
        <v>1803.3376220120235</v>
      </c>
      <c r="BI69" s="357">
        <f>+AVERAGE(Q_Financials!BN48+Q_Financials!BN49,Q_Financials!BO48+Q_Financials!BO49)</f>
        <v>1697.6211262564259</v>
      </c>
      <c r="BJ69" s="357">
        <f>+AVERAGE(Q_Financials!BO48+Q_Financials!BO49,Q_Financials!BP48+Q_Financials!BP49)</f>
        <v>1849.3740004390447</v>
      </c>
      <c r="BK69" s="357">
        <f>+AVERAGE(Q_Financials!BP48+Q_Financials!BP49,Q_Financials!BQ48+Q_Financials!BQ49)</f>
        <v>1923.2190421336077</v>
      </c>
      <c r="BL69" s="357">
        <f>+AVERAGE(Q_Financials!BQ48+Q_Financials!BQ49,Q_Financials!BR48+Q_Financials!BR49)</f>
        <v>1650.1040523852525</v>
      </c>
      <c r="BM69" s="357">
        <f>+AVERAGE(Q_Financials!BR48+Q_Financials!BR49,Q_Financials!BS48+Q_Financials!BS49)</f>
        <v>1417.8642345051705</v>
      </c>
      <c r="BN69" s="357">
        <f>+AVERAGE(Q_Financials!BS48+Q_Financials!BS49,Q_Financials!BT48+Q_Financials!BT49)</f>
        <v>1504.6931364104621</v>
      </c>
      <c r="BO69" s="357">
        <f>+AVERAGE(Q_Financials!BT48+Q_Financials!BT49,Q_Financials!BU48+Q_Financials!BU49)</f>
        <v>1609.5858732572115</v>
      </c>
      <c r="BP69" s="357">
        <f>+AVERAGE(Q_Financials!BU48+Q_Financials!BU49,Q_Financials!BV48+Q_Financials!BV49)</f>
        <v>1409.0782463232049</v>
      </c>
      <c r="BQ69" s="357">
        <f>+AVERAGE(Q_Financials!BV48+Q_Financials!BV49,Q_Financials!BW48+Q_Financials!BW49)</f>
        <v>1237.1986849760724</v>
      </c>
      <c r="BR69" s="357">
        <f>+AVERAGE(Q_Financials!BW48+Q_Financials!BW49,Q_Financials!BX48+Q_Financials!BX49)</f>
        <v>1378.3882373619895</v>
      </c>
      <c r="BS69" s="357">
        <f>+AVERAGE(Q_Financials!BX48+Q_Financials!BX49,Q_Financials!BY48+Q_Financials!BY49)</f>
        <v>1412.4074530223224</v>
      </c>
    </row>
    <row r="70" spans="1:71" s="1401" customFormat="1">
      <c r="A70" s="2002" t="s">
        <v>1473</v>
      </c>
      <c r="B70" s="107">
        <f t="shared" ref="B70:AH70" si="305">+(1+B72/B69)^4-1</f>
        <v>0.58222564854213843</v>
      </c>
      <c r="C70" s="107">
        <f t="shared" si="305"/>
        <v>0.73184195169246435</v>
      </c>
      <c r="D70" s="107">
        <f t="shared" si="305"/>
        <v>0.27432067022342799</v>
      </c>
      <c r="E70" s="107">
        <f t="shared" si="305"/>
        <v>0.60603123270589254</v>
      </c>
      <c r="F70" s="107">
        <f t="shared" si="305"/>
        <v>0.31599205445730294</v>
      </c>
      <c r="G70" s="107">
        <f t="shared" si="305"/>
        <v>0.45302908538787778</v>
      </c>
      <c r="H70" s="107">
        <f t="shared" si="305"/>
        <v>0.73004913192564458</v>
      </c>
      <c r="I70" s="107">
        <f t="shared" si="305"/>
        <v>0.63508163600694645</v>
      </c>
      <c r="J70" s="107">
        <f t="shared" si="305"/>
        <v>0.3840456045879268</v>
      </c>
      <c r="K70" s="107">
        <f t="shared" si="305"/>
        <v>1.9066523673526219</v>
      </c>
      <c r="L70" s="107">
        <f t="shared" si="305"/>
        <v>6.8846107774686915E-2</v>
      </c>
      <c r="M70" s="107">
        <f t="shared" si="305"/>
        <v>0.13448754450123546</v>
      </c>
      <c r="N70" s="107">
        <f t="shared" si="305"/>
        <v>0.19576487228904638</v>
      </c>
      <c r="O70" s="107">
        <f t="shared" si="305"/>
        <v>0.32193045624757133</v>
      </c>
      <c r="P70" s="107">
        <f t="shared" si="305"/>
        <v>0.20428694557296279</v>
      </c>
      <c r="Q70" s="107">
        <f t="shared" si="305"/>
        <v>0.40293211413753971</v>
      </c>
      <c r="R70" s="107">
        <f t="shared" si="305"/>
        <v>0.21172217142702854</v>
      </c>
      <c r="S70" s="107">
        <f t="shared" si="305"/>
        <v>0.16553953053158033</v>
      </c>
      <c r="T70" s="107">
        <f t="shared" si="305"/>
        <v>0.1778216591709032</v>
      </c>
      <c r="U70" s="107">
        <f t="shared" si="305"/>
        <v>0.1668407110231096</v>
      </c>
      <c r="V70" s="107">
        <f t="shared" si="305"/>
        <v>0.18712727991614919</v>
      </c>
      <c r="W70" s="107">
        <f t="shared" si="305"/>
        <v>5.6820376182651788E-2</v>
      </c>
      <c r="X70" s="107">
        <f t="shared" si="305"/>
        <v>6.4824033428537708E-2</v>
      </c>
      <c r="Y70" s="107">
        <f t="shared" si="305"/>
        <v>6.3940054041898398E-2</v>
      </c>
      <c r="Z70" s="107">
        <f t="shared" si="305"/>
        <v>7.5169612006694475E-2</v>
      </c>
      <c r="AA70" s="107">
        <f t="shared" si="305"/>
        <v>0.10331857982803072</v>
      </c>
      <c r="AB70" s="107">
        <f t="shared" si="305"/>
        <v>8.6208578832754901E-2</v>
      </c>
      <c r="AC70" s="107">
        <f t="shared" si="305"/>
        <v>0.14919653232992403</v>
      </c>
      <c r="AD70" s="107">
        <f t="shared" si="305"/>
        <v>0.17443450953075024</v>
      </c>
      <c r="AE70" s="107">
        <f t="shared" si="305"/>
        <v>0.13138694610755408</v>
      </c>
      <c r="AF70" s="107">
        <f t="shared" si="305"/>
        <v>0.13938351558109141</v>
      </c>
      <c r="AG70" s="372">
        <f t="shared" si="305"/>
        <v>0.11083576101417392</v>
      </c>
      <c r="AH70" s="372">
        <f t="shared" si="305"/>
        <v>0.13635163011188478</v>
      </c>
      <c r="AI70" s="372">
        <f t="shared" ref="AI70:AN70" si="306">+(1+AI72/AI69)^4-1</f>
        <v>0.13634518993646227</v>
      </c>
      <c r="AJ70" s="372">
        <f t="shared" si="306"/>
        <v>0.18264051736053166</v>
      </c>
      <c r="AK70" s="372">
        <f t="shared" si="306"/>
        <v>0.1891887514672328</v>
      </c>
      <c r="AL70" s="372">
        <f t="shared" si="306"/>
        <v>0.14462925368103052</v>
      </c>
      <c r="AM70" s="372">
        <f t="shared" si="306"/>
        <v>0.12636405621469038</v>
      </c>
      <c r="AN70" s="406">
        <f t="shared" si="306"/>
        <v>0.15049497758663666</v>
      </c>
      <c r="AO70" s="404">
        <f t="shared" ref="AO70:AQ70" si="307">+AO71+AO74</f>
        <v>0.09</v>
      </c>
      <c r="AP70" s="404">
        <f t="shared" si="307"/>
        <v>8.7499999999999994E-2</v>
      </c>
      <c r="AQ70" s="404">
        <f t="shared" si="307"/>
        <v>8.7499999999999994E-2</v>
      </c>
      <c r="AR70" s="404">
        <f t="shared" ref="AR70:BS70" si="308">+AR71+AR74</f>
        <v>8.7499999999999994E-2</v>
      </c>
      <c r="AS70" s="404">
        <f t="shared" si="308"/>
        <v>8.7499999999999994E-2</v>
      </c>
      <c r="AT70" s="404">
        <f t="shared" si="308"/>
        <v>9.7500000000000003E-2</v>
      </c>
      <c r="AU70" s="404">
        <f t="shared" si="308"/>
        <v>0.08</v>
      </c>
      <c r="AV70" s="404">
        <f t="shared" si="308"/>
        <v>0.08</v>
      </c>
      <c r="AW70" s="404">
        <f t="shared" si="308"/>
        <v>0.08</v>
      </c>
      <c r="AX70" s="404">
        <f t="shared" si="308"/>
        <v>0.08</v>
      </c>
      <c r="AY70" s="404">
        <f t="shared" si="308"/>
        <v>0.08</v>
      </c>
      <c r="AZ70" s="404">
        <f t="shared" si="308"/>
        <v>0.08</v>
      </c>
      <c r="BA70" s="404">
        <f t="shared" si="308"/>
        <v>0.08</v>
      </c>
      <c r="BB70" s="404">
        <f t="shared" si="308"/>
        <v>0.08</v>
      </c>
      <c r="BC70" s="404">
        <f t="shared" si="308"/>
        <v>0.08</v>
      </c>
      <c r="BD70" s="404">
        <f t="shared" si="308"/>
        <v>0.08</v>
      </c>
      <c r="BE70" s="404">
        <f t="shared" si="308"/>
        <v>0.08</v>
      </c>
      <c r="BF70" s="404">
        <f t="shared" si="308"/>
        <v>0.08</v>
      </c>
      <c r="BG70" s="404">
        <f t="shared" si="308"/>
        <v>0.08</v>
      </c>
      <c r="BH70" s="404">
        <f t="shared" si="308"/>
        <v>0.08</v>
      </c>
      <c r="BI70" s="404">
        <f t="shared" si="308"/>
        <v>0.08</v>
      </c>
      <c r="BJ70" s="404">
        <f t="shared" si="308"/>
        <v>0.08</v>
      </c>
      <c r="BK70" s="404">
        <f t="shared" si="308"/>
        <v>0.08</v>
      </c>
      <c r="BL70" s="404">
        <f t="shared" si="308"/>
        <v>0.08</v>
      </c>
      <c r="BM70" s="404">
        <f t="shared" si="308"/>
        <v>0.08</v>
      </c>
      <c r="BN70" s="404">
        <f t="shared" si="308"/>
        <v>0.08</v>
      </c>
      <c r="BO70" s="404">
        <f t="shared" si="308"/>
        <v>0.08</v>
      </c>
      <c r="BP70" s="404">
        <f t="shared" si="308"/>
        <v>0.08</v>
      </c>
      <c r="BQ70" s="404">
        <f t="shared" si="308"/>
        <v>0.08</v>
      </c>
      <c r="BR70" s="404">
        <f t="shared" si="308"/>
        <v>0.08</v>
      </c>
      <c r="BS70" s="404">
        <f t="shared" si="308"/>
        <v>0.08</v>
      </c>
    </row>
    <row r="71" spans="1:71" s="1401" customFormat="1">
      <c r="A71" s="2002" t="s">
        <v>1474</v>
      </c>
      <c r="B71" s="107">
        <f t="shared" ref="B71:AH71" si="309">+B70-B74</f>
        <v>0.46972564854213844</v>
      </c>
      <c r="C71" s="107">
        <f t="shared" si="309"/>
        <v>0.61934195169246431</v>
      </c>
      <c r="D71" s="107">
        <f t="shared" si="309"/>
        <v>0.15182067022342799</v>
      </c>
      <c r="E71" s="107">
        <f t="shared" si="309"/>
        <v>0.46853123270589253</v>
      </c>
      <c r="F71" s="107">
        <f t="shared" si="309"/>
        <v>0.17849205445730293</v>
      </c>
      <c r="G71" s="107">
        <f t="shared" si="309"/>
        <v>0.34052908538787779</v>
      </c>
      <c r="H71" s="107">
        <f t="shared" si="309"/>
        <v>0.63754913192564455</v>
      </c>
      <c r="I71" s="107">
        <f t="shared" si="309"/>
        <v>0.54758163600694643</v>
      </c>
      <c r="J71" s="107">
        <f t="shared" si="309"/>
        <v>0.29654560458792678</v>
      </c>
      <c r="K71" s="107">
        <f t="shared" si="309"/>
        <v>1.819152367352622</v>
      </c>
      <c r="L71" s="107">
        <f t="shared" si="309"/>
        <v>-3.3653892225313078E-2</v>
      </c>
      <c r="M71" s="107">
        <f t="shared" si="309"/>
        <v>2.6987544501235458E-2</v>
      </c>
      <c r="N71" s="107">
        <f t="shared" si="309"/>
        <v>8.8264872289046378E-2</v>
      </c>
      <c r="O71" s="107">
        <f t="shared" si="309"/>
        <v>0.20443045624757133</v>
      </c>
      <c r="P71" s="107">
        <f t="shared" si="309"/>
        <v>8.1786945572962788E-2</v>
      </c>
      <c r="Q71" s="107">
        <f t="shared" si="309"/>
        <v>0.28293211413753971</v>
      </c>
      <c r="R71" s="107">
        <f t="shared" si="309"/>
        <v>0.10172217142702854</v>
      </c>
      <c r="S71" s="107">
        <f t="shared" si="309"/>
        <v>6.8039530531580322E-2</v>
      </c>
      <c r="T71" s="107">
        <f t="shared" si="309"/>
        <v>9.2821659170903195E-2</v>
      </c>
      <c r="U71" s="107">
        <f t="shared" si="309"/>
        <v>9.1840711023109603E-2</v>
      </c>
      <c r="V71" s="107">
        <f t="shared" si="309"/>
        <v>0.1146272799161492</v>
      </c>
      <c r="W71" s="107">
        <f t="shared" si="309"/>
        <v>-1.5679623817348207E-2</v>
      </c>
      <c r="X71" s="107">
        <f t="shared" si="309"/>
        <v>-1.5175966571462293E-2</v>
      </c>
      <c r="Y71" s="107">
        <f t="shared" si="309"/>
        <v>-2.6059945958101599E-2</v>
      </c>
      <c r="Z71" s="107">
        <f t="shared" si="309"/>
        <v>-2.483038799330553E-2</v>
      </c>
      <c r="AA71" s="107">
        <f t="shared" si="309"/>
        <v>-4.1814201719692773E-3</v>
      </c>
      <c r="AB71" s="107">
        <f t="shared" si="309"/>
        <v>-2.37914211672451E-2</v>
      </c>
      <c r="AC71" s="107">
        <f t="shared" si="309"/>
        <v>3.9196532329924025E-2</v>
      </c>
      <c r="AD71" s="107">
        <f t="shared" si="309"/>
        <v>5.6934509530750244E-2</v>
      </c>
      <c r="AE71" s="107">
        <f t="shared" si="309"/>
        <v>3.886946107554079E-3</v>
      </c>
      <c r="AF71" s="107">
        <f t="shared" si="309"/>
        <v>1.8835155810913995E-3</v>
      </c>
      <c r="AG71" s="372">
        <f t="shared" si="309"/>
        <v>-3.1664238985826071E-2</v>
      </c>
      <c r="AH71" s="372">
        <f t="shared" si="309"/>
        <v>-6.1483698881152071E-3</v>
      </c>
      <c r="AI71" s="372">
        <f t="shared" ref="AI71:AN71" si="310">+AI70-AI74</f>
        <v>-6.1548100635377134E-3</v>
      </c>
      <c r="AJ71" s="372">
        <f t="shared" si="310"/>
        <v>4.0140517360531675E-2</v>
      </c>
      <c r="AK71" s="372">
        <f t="shared" si="310"/>
        <v>4.6688751467232809E-2</v>
      </c>
      <c r="AL71" s="372">
        <f t="shared" si="310"/>
        <v>7.1292536810305118E-3</v>
      </c>
      <c r="AM71" s="372">
        <f t="shared" si="310"/>
        <v>3.8640562146903812E-3</v>
      </c>
      <c r="AN71" s="2016">
        <f t="shared" si="310"/>
        <v>4.7994977586636664E-2</v>
      </c>
      <c r="AO71" s="2017">
        <v>0</v>
      </c>
      <c r="AP71" s="2017">
        <v>0</v>
      </c>
      <c r="AQ71" s="2017">
        <v>0</v>
      </c>
      <c r="AR71" s="2017">
        <v>0</v>
      </c>
      <c r="AS71" s="2017">
        <v>0</v>
      </c>
      <c r="AT71" s="2017">
        <v>0</v>
      </c>
      <c r="AU71" s="2017">
        <v>0</v>
      </c>
      <c r="AV71" s="2017">
        <v>0</v>
      </c>
      <c r="AW71" s="2017">
        <v>0</v>
      </c>
      <c r="AX71" s="2017">
        <v>0</v>
      </c>
      <c r="AY71" s="2017">
        <v>0</v>
      </c>
      <c r="AZ71" s="2017">
        <v>0</v>
      </c>
      <c r="BA71" s="2017">
        <v>0</v>
      </c>
      <c r="BB71" s="2017">
        <v>0</v>
      </c>
      <c r="BC71" s="2017">
        <v>0</v>
      </c>
      <c r="BD71" s="2017">
        <v>0</v>
      </c>
      <c r="BE71" s="2017">
        <v>0</v>
      </c>
      <c r="BF71" s="2017">
        <v>0</v>
      </c>
      <c r="BG71" s="2017">
        <v>0</v>
      </c>
      <c r="BH71" s="2017">
        <v>0</v>
      </c>
      <c r="BI71" s="2017">
        <v>0</v>
      </c>
      <c r="BJ71" s="2017">
        <v>0</v>
      </c>
      <c r="BK71" s="2017">
        <v>0</v>
      </c>
      <c r="BL71" s="2017">
        <v>0</v>
      </c>
      <c r="BM71" s="2017">
        <v>0</v>
      </c>
      <c r="BN71" s="2017">
        <v>0</v>
      </c>
      <c r="BO71" s="2017">
        <v>0</v>
      </c>
      <c r="BP71" s="2017">
        <v>0</v>
      </c>
      <c r="BQ71" s="2017">
        <v>0</v>
      </c>
      <c r="BR71" s="2017">
        <v>0</v>
      </c>
      <c r="BS71" s="2017">
        <v>0</v>
      </c>
    </row>
    <row r="72" spans="1:71" s="14" customFormat="1">
      <c r="A72" s="2004" t="s">
        <v>289</v>
      </c>
      <c r="B72" s="2014">
        <f>+Q_Financials!H29</f>
        <v>20.34</v>
      </c>
      <c r="C72" s="2014">
        <f>+Q_Financials!I29</f>
        <v>16.279</v>
      </c>
      <c r="D72" s="2014">
        <f>+Q_Financials!J29</f>
        <v>4.0519999999999996</v>
      </c>
      <c r="E72" s="2014">
        <f>+Q_Financials!K29</f>
        <v>17.943999999999999</v>
      </c>
      <c r="F72" s="2014">
        <f>+Q_Financials!L29</f>
        <v>13.459</v>
      </c>
      <c r="G72" s="2014">
        <f>+Q_Financials!M29</f>
        <v>16.975999999999999</v>
      </c>
      <c r="H72" s="2014">
        <f>+Q_Financials!N29</f>
        <v>23.597999999999999</v>
      </c>
      <c r="I72" s="2014">
        <f>+Q_Financials!O29</f>
        <v>17.087</v>
      </c>
      <c r="J72" s="2014">
        <f>+Q_Financials!P29</f>
        <v>12.111000000000001</v>
      </c>
      <c r="K72" s="2014">
        <f>+Q_Financials!Q29</f>
        <v>51.832999999999998</v>
      </c>
      <c r="L72" s="2014">
        <f>+Q_Financials!R29</f>
        <v>3.6720000000000002</v>
      </c>
      <c r="M72" s="2014">
        <f>+Q_Financials!S29</f>
        <v>7.7149999999999999</v>
      </c>
      <c r="N72" s="2014">
        <f>+Q_Financials!T29</f>
        <v>11.03</v>
      </c>
      <c r="O72" s="2014">
        <f>+Q_Financials!U29</f>
        <v>17.05</v>
      </c>
      <c r="P72" s="2014">
        <f>+Q_Financials!V29</f>
        <v>13.35</v>
      </c>
      <c r="Q72" s="2014">
        <f>+Q_Financials!W29</f>
        <v>27.103000000000002</v>
      </c>
      <c r="R72" s="2014">
        <f>+Q_Financials!X29</f>
        <v>18.166</v>
      </c>
      <c r="S72" s="2014">
        <f>+Q_Financials!Y29</f>
        <v>17.073</v>
      </c>
      <c r="T72" s="2014">
        <f>+Q_Financials!Z29</f>
        <v>25.135000000000002</v>
      </c>
      <c r="U72" s="2014">
        <f>+Q_Financials!AA29</f>
        <v>29.582999999999998</v>
      </c>
      <c r="V72" s="2014">
        <f>+Q_Financials!AB29</f>
        <v>28.16</v>
      </c>
      <c r="W72" s="2014">
        <f>+Q_Financials!AC29</f>
        <v>8.4049999999999994</v>
      </c>
      <c r="X72" s="2014">
        <f>+Q_Financials!AD29</f>
        <v>9.5839999999999996</v>
      </c>
      <c r="Y72" s="2014">
        <f>+Q_Financials!AE29</f>
        <v>9.0239999999999991</v>
      </c>
      <c r="Z72" s="2014">
        <f>+Q_Financials!AF29</f>
        <v>10.170999999999999</v>
      </c>
      <c r="AA72" s="2014">
        <f>+Q_Financials!AG29</f>
        <v>14.984999999999999</v>
      </c>
      <c r="AB72" s="2014">
        <f>+Q_Financials!AH29</f>
        <v>16.126999999999999</v>
      </c>
      <c r="AC72" s="2014">
        <f>+Q_Financials!AI29</f>
        <v>26.972000000000001</v>
      </c>
      <c r="AD72" s="2014">
        <f>+Q_Financials!AJ29</f>
        <v>26.643000000000001</v>
      </c>
      <c r="AE72" s="2014">
        <f>+Q_Financials!AK29</f>
        <v>27.803999999999998</v>
      </c>
      <c r="AF72" s="2014">
        <f>+Q_Financials!AL29</f>
        <v>36.47</v>
      </c>
      <c r="AG72" s="2015">
        <f>+Q_Financials!AM29</f>
        <v>26.434000000000001</v>
      </c>
      <c r="AH72" s="2015">
        <f>+Q_Financials!AN29</f>
        <v>27.085999999999999</v>
      </c>
      <c r="AI72" s="2015">
        <f>+Q_Financials!AO29</f>
        <v>30.234999999999999</v>
      </c>
      <c r="AJ72" s="2015">
        <f>+Q_Financials!AP29</f>
        <v>36.89</v>
      </c>
      <c r="AK72" s="2015">
        <f>+Q_Financials!AQ29</f>
        <v>33.872999999999998</v>
      </c>
      <c r="AL72" s="2015">
        <f>+Q_Financials!AR29</f>
        <v>30.809000000000001</v>
      </c>
      <c r="AM72" s="2015">
        <f>+Q_Financials!AS29</f>
        <v>30.981000000000002</v>
      </c>
      <c r="AN72" s="2013">
        <f>+Q_Financials!AT29</f>
        <v>44.817</v>
      </c>
      <c r="AO72" s="364">
        <f>+IF(SWITCHINTERESTEXPENSE=1,AN69*((1+AO70)^(1/4)-1),(Q_Financials!AT48+Q_Financials!AT49)*((1+AO70)^(1/4)-1))</f>
        <v>29.199945343321296</v>
      </c>
      <c r="AP72" s="364">
        <f>+IF(SWITCHINTERESTEXPENSE=1,AO69*((1+AP70)^(1/4)-1),(Q_Financials!AU48+Q_Financials!AU49)*((1+AP70)^(1/4)-1))</f>
        <v>24.268585841448314</v>
      </c>
      <c r="AQ72" s="364">
        <f>+IF(SWITCHINTERESTEXPENSE=1,AP69*((1+AQ70)^(1/4)-1),(Q_Financials!AV48+Q_Financials!AV49)*((1+AQ70)^(1/4)-1))</f>
        <v>28.660495837003513</v>
      </c>
      <c r="AR72" s="364">
        <f>+IF(SWITCHINTERESTEXPENSE=1,AQ69*((1+AR70)^(1/4)-1),(Q_Financials!AW48+Q_Financials!AW49)*((1+AR70)^(1/4)-1))</f>
        <v>27.065465493712157</v>
      </c>
      <c r="AS72" s="364">
        <f>+IF(SWITCHINTERESTEXPENSE=1,AR69*((1+AS70)^(1/4)-1),(Q_Financials!AX48+Q_Financials!AX49)*((1+AS70)^(1/4)-1))</f>
        <v>24.551803723919768</v>
      </c>
      <c r="AT72" s="364">
        <f>+IF(SWITCHINTERESTEXPENSE=1,AS69*((1+AT70)^(1/4)-1),(Q_Financials!AY48+Q_Financials!AY49)*((1+AT70)^(1/4)-1))</f>
        <v>27.103996196492659</v>
      </c>
      <c r="AU72" s="364">
        <f>+IF(SWITCHINTERESTEXPENSE=1,AT69*((1+AU70)^(1/4)-1),(Q_Financials!AZ48+Q_Financials!AZ49)*((1+AU70)^(1/4)-1))</f>
        <v>26.422891561781611</v>
      </c>
      <c r="AV72" s="364">
        <f>+IF(SWITCHINTERESTEXPENSE=1,AU69*((1+AV70)^(1/4)-1),(Q_Financials!BA48+Q_Financials!BA49)*((1+AV70)^(1/4)-1))</f>
        <v>29.81007158156067</v>
      </c>
      <c r="AW72" s="364">
        <f>+IF(SWITCHINTERESTEXPENSE=1,AV69*((1+AW70)^(1/4)-1),(Q_Financials!BB48+Q_Financials!BB49)*((1+AW70)^(1/4)-1))</f>
        <v>27.06525773204233</v>
      </c>
      <c r="AX72" s="364">
        <f>+IF(SWITCHINTERESTEXPENSE=1,AW69*((1+AX70)^(1/4)-1),(Q_Financials!BC48+Q_Financials!BC49)*((1+AX70)^(1/4)-1))</f>
        <v>27.070711875565195</v>
      </c>
      <c r="AY72" s="364">
        <f>+IF(SWITCHINTERESTEXPENSE=1,AX69*((1+AY70)^(1/4)-1),(Q_Financials!BD48+Q_Financials!BD49)*((1+AY70)^(1/4)-1))</f>
        <v>30.758934913671951</v>
      </c>
      <c r="AZ72" s="364">
        <f>+IF(SWITCHINTERESTEXPENSE=1,AY69*((1+AZ70)^(1/4)-1),(Q_Financials!BE48+Q_Financials!BE49)*((1+AZ70)^(1/4)-1))</f>
        <v>31.106513639642213</v>
      </c>
      <c r="BA72" s="364">
        <f>+IF(SWITCHINTERESTEXPENSE=1,AZ69*((1+BA70)^(1/4)-1),(Q_Financials!BF48+Q_Financials!BF49)*((1+BA70)^(1/4)-1))</f>
        <v>28.777487389112689</v>
      </c>
      <c r="BB72" s="364">
        <f>+IF(SWITCHINTERESTEXPENSE=1,BA69*((1+BB70)^(1/4)-1),(Q_Financials!BG48+Q_Financials!BG49)*((1+BB70)^(1/4)-1))</f>
        <v>29.585638950166235</v>
      </c>
      <c r="BC72" s="364">
        <f>+IF(SWITCHINTERESTEXPENSE=1,BB69*((1+BC70)^(1/4)-1),(Q_Financials!BH48+Q_Financials!BH49)*((1+BC70)^(1/4)-1))</f>
        <v>34.491428891296927</v>
      </c>
      <c r="BD72" s="364">
        <f>+IF(SWITCHINTERESTEXPENSE=1,BC69*((1+BD70)^(1/4)-1),(Q_Financials!BI48+Q_Financials!BI49)*((1+BD70)^(1/4)-1))</f>
        <v>33.831163749544459</v>
      </c>
      <c r="BE72" s="364">
        <f>+IF(SWITCHINTERESTEXPENSE=1,BD69*((1+BE70)^(1/4)-1),(Q_Financials!BJ48+Q_Financials!BJ49)*((1+BE70)^(1/4)-1))</f>
        <v>30.852812205929617</v>
      </c>
      <c r="BF72" s="364">
        <f>+IF(SWITCHINTERESTEXPENSE=1,BE69*((1+BF70)^(1/4)-1),(Q_Financials!BK48+Q_Financials!BK49)*((1+BF70)^(1/4)-1))</f>
        <v>32.175853486534365</v>
      </c>
      <c r="BG72" s="364">
        <f>+IF(SWITCHINTERESTEXPENSE=1,BF69*((1+BG70)^(1/4)-1),(Q_Financials!BL48+Q_Financials!BL49)*((1+BG70)^(1/4)-1))</f>
        <v>37.575250179477031</v>
      </c>
      <c r="BH72" s="364">
        <f>+IF(SWITCHINTERESTEXPENSE=1,BG69*((1+BH70)^(1/4)-1),(Q_Financials!BM48+Q_Financials!BM49)*((1+BH70)^(1/4)-1))</f>
        <v>37.589205315354803</v>
      </c>
      <c r="BI72" s="364">
        <f>+IF(SWITCHINTERESTEXPENSE=1,BH69*((1+BI70)^(1/4)-1),(Q_Financials!BN48+Q_Financials!BN49)*((1+BI70)^(1/4)-1))</f>
        <v>32.476040495587128</v>
      </c>
      <c r="BJ72" s="364">
        <f>+IF(SWITCHINTERESTEXPENSE=1,BI69*((1+BJ70)^(1/4)-1),(Q_Financials!BO48+Q_Financials!BO49)*((1+BJ70)^(1/4)-1))</f>
        <v>33.481792387805974</v>
      </c>
      <c r="BK72" s="364">
        <f>+IF(SWITCHINTERESTEXPENSE=1,BJ69*((1+BK70)^(1/4)-1),(Q_Financials!BP48+Q_Financials!BP49)*((1+BK70)^(1/4)-1))</f>
        <v>38.372109153135071</v>
      </c>
      <c r="BL72" s="364">
        <f>+IF(SWITCHINTERESTEXPENSE=1,BK69*((1+BL70)^(1/4)-1),(Q_Financials!BQ48+Q_Financials!BQ49)*((1+BL70)^(1/4)-1))</f>
        <v>36.350900720651651</v>
      </c>
      <c r="BM72" s="364">
        <f>+IF(SWITCHINTERESTEXPENSE=1,BL69*((1+BM70)^(1/4)-1),(Q_Financials!BR48+Q_Financials!BR49)*((1+BM70)^(1/4)-1))</f>
        <v>27.760746833736956</v>
      </c>
      <c r="BN72" s="364">
        <f>+IF(SWITCHINTERESTEXPENSE=1,BM69*((1+BN70)^(1/4)-1),(Q_Financials!BS48+Q_Financials!BS49)*((1+BN70)^(1/4)-1))</f>
        <v>27.327665288619034</v>
      </c>
      <c r="BO72" s="364">
        <f>+IF(SWITCHINTERESTEXPENSE=1,BN69*((1+BO70)^(1/4)-1),(Q_Financials!BT48+Q_Financials!BT49)*((1+BO70)^(1/4)-1))</f>
        <v>31.134318305451</v>
      </c>
      <c r="BP72" s="364">
        <f>+IF(SWITCHINTERESTEXPENSE=1,BO69*((1+BP70)^(1/4)-1),(Q_Financials!BU48+Q_Financials!BU49)*((1+BP70)^(1/4)-1))</f>
        <v>31.403072634000164</v>
      </c>
      <c r="BQ72" s="364">
        <f>+IF(SWITCHINTERESTEXPENSE=1,BP69*((1+BQ70)^(1/4)-1),(Q_Financials!BV48+Q_Financials!BV49)*((1+BQ70)^(1/4)-1))</f>
        <v>23.343976665250842</v>
      </c>
      <c r="BR72" s="364">
        <f>+IF(SWITCHINTERESTEXPENSE=1,BQ69*((1+BR70)^(1/4)-1),(Q_Financials!BW48+Q_Financials!BW49)*((1+BR70)^(1/4)-1))</f>
        <v>24.72501991183308</v>
      </c>
      <c r="BS72" s="364">
        <f>+IF(SWITCHINTERESTEXPENSE=1,BR69*((1+BS70)^(1/4)-1),(Q_Financials!BX48+Q_Financials!BX49)*((1+BS70)^(1/4)-1))</f>
        <v>28.829627590017154</v>
      </c>
    </row>
    <row r="73" spans="1:71" s="1401" customFormat="1">
      <c r="A73" s="2005"/>
      <c r="AG73" s="106"/>
      <c r="AH73" s="106"/>
      <c r="AI73" s="106"/>
      <c r="AJ73" s="106"/>
      <c r="AK73" s="106"/>
      <c r="AL73" s="106"/>
      <c r="AM73" s="106"/>
      <c r="AN73" s="381"/>
    </row>
    <row r="74" spans="1:71" s="1401" customFormat="1">
      <c r="A74" s="2006" t="s">
        <v>1477</v>
      </c>
      <c r="B74" s="107">
        <f>+Macroeconomic!U20</f>
        <v>0.1125</v>
      </c>
      <c r="C74" s="107">
        <f>+Macroeconomic!V20</f>
        <v>0.1125</v>
      </c>
      <c r="D74" s="107">
        <f>+Macroeconomic!W20</f>
        <v>0.1225</v>
      </c>
      <c r="E74" s="107">
        <f>+Macroeconomic!X20</f>
        <v>0.13750000000000001</v>
      </c>
      <c r="F74" s="107">
        <f>+Macroeconomic!Y20</f>
        <v>0.13750000000000001</v>
      </c>
      <c r="G74" s="107">
        <f>+Macroeconomic!Z20</f>
        <v>0.1125</v>
      </c>
      <c r="H74" s="107">
        <f>+Macroeconomic!AA20</f>
        <v>9.2499999999999999E-2</v>
      </c>
      <c r="I74" s="107">
        <f>+Macroeconomic!AB20</f>
        <v>8.7499999999999994E-2</v>
      </c>
      <c r="J74" s="107">
        <f>+Macroeconomic!AC20</f>
        <v>8.7499999999999994E-2</v>
      </c>
      <c r="K74" s="107">
        <f>+Macroeconomic!AD20</f>
        <v>8.7499999999999994E-2</v>
      </c>
      <c r="L74" s="107">
        <f>+Macroeconomic!AE20</f>
        <v>0.10249999999999999</v>
      </c>
      <c r="M74" s="107">
        <f>+Macroeconomic!AF20</f>
        <v>0.1075</v>
      </c>
      <c r="N74" s="107">
        <f>+Macroeconomic!AG20</f>
        <v>0.1075</v>
      </c>
      <c r="O74" s="107">
        <f>+Macroeconomic!AH20</f>
        <v>0.11749999999999999</v>
      </c>
      <c r="P74" s="107">
        <f>+Macroeconomic!AI20</f>
        <v>0.1225</v>
      </c>
      <c r="Q74" s="107">
        <f>+Macroeconomic!AJ20</f>
        <v>0.12</v>
      </c>
      <c r="R74" s="107">
        <f>+Macroeconomic!AK20</f>
        <v>0.11</v>
      </c>
      <c r="S74" s="107">
        <f>+Macroeconomic!AL20</f>
        <v>9.7500000000000003E-2</v>
      </c>
      <c r="T74" s="107">
        <f>+Macroeconomic!AM20</f>
        <v>8.5000000000000006E-2</v>
      </c>
      <c r="U74" s="107">
        <f>+Macroeconomic!AN20</f>
        <v>7.4999999999999997E-2</v>
      </c>
      <c r="V74" s="107">
        <f>+Macroeconomic!AO20</f>
        <v>7.2499999999999995E-2</v>
      </c>
      <c r="W74" s="107">
        <f>+Macroeconomic!AP20</f>
        <v>7.2499999999999995E-2</v>
      </c>
      <c r="X74" s="107">
        <f>+Macroeconomic!AQ20</f>
        <v>0.08</v>
      </c>
      <c r="Y74" s="107">
        <f>+Macroeconomic!AR20</f>
        <v>0.09</v>
      </c>
      <c r="Z74" s="107">
        <f>+Macroeconomic!AS20</f>
        <v>0.1</v>
      </c>
      <c r="AA74" s="107">
        <f>+Macroeconomic!AT20</f>
        <v>0.1075</v>
      </c>
      <c r="AB74" s="107">
        <f>+Macroeconomic!AU20</f>
        <v>0.11</v>
      </c>
      <c r="AC74" s="107">
        <f>+Macroeconomic!AV20</f>
        <v>0.11</v>
      </c>
      <c r="AD74" s="107">
        <f>+Macroeconomic!AW20</f>
        <v>0.11749999999999999</v>
      </c>
      <c r="AE74" s="107">
        <f>+Macroeconomic!AX20</f>
        <v>0.1275</v>
      </c>
      <c r="AF74" s="107">
        <f>+Macroeconomic!AY20</f>
        <v>0.13750000000000001</v>
      </c>
      <c r="AG74" s="107">
        <f>+Macroeconomic!AZ20</f>
        <v>0.14249999999999999</v>
      </c>
      <c r="AH74" s="107">
        <f>+Macroeconomic!BA20</f>
        <v>0.14249999999999999</v>
      </c>
      <c r="AI74" s="107">
        <f>+Macroeconomic!BB20</f>
        <v>0.14249999999999999</v>
      </c>
      <c r="AJ74" s="107">
        <f>+Macroeconomic!BC20</f>
        <v>0.14249999999999999</v>
      </c>
      <c r="AK74" s="107">
        <f>+Macroeconomic!BD20</f>
        <v>0.14249999999999999</v>
      </c>
      <c r="AL74" s="107">
        <f>+Macroeconomic!BE20</f>
        <v>0.13750000000000001</v>
      </c>
      <c r="AM74" s="107">
        <f>+Macroeconomic!BF20</f>
        <v>0.1225</v>
      </c>
      <c r="AN74" s="406">
        <f>+Macroeconomic!BG20</f>
        <v>0.10249999999999999</v>
      </c>
      <c r="AO74" s="407">
        <f>+Macroeconomic!BH20</f>
        <v>0.09</v>
      </c>
      <c r="AP74" s="407">
        <f>+Macroeconomic!BI20</f>
        <v>8.7499999999999994E-2</v>
      </c>
      <c r="AQ74" s="407">
        <f>+Macroeconomic!BJ20</f>
        <v>8.7499999999999994E-2</v>
      </c>
      <c r="AR74" s="407">
        <f>+Macroeconomic!BK20</f>
        <v>8.7499999999999994E-2</v>
      </c>
      <c r="AS74" s="407">
        <f>+Macroeconomic!BL20</f>
        <v>8.7499999999999994E-2</v>
      </c>
      <c r="AT74" s="407">
        <f>+Macroeconomic!BM20</f>
        <v>9.7500000000000003E-2</v>
      </c>
      <c r="AU74" s="407">
        <f>+Macroeconomic!BN20</f>
        <v>0.08</v>
      </c>
      <c r="AV74" s="407">
        <f>+Macroeconomic!BO20</f>
        <v>0.08</v>
      </c>
      <c r="AW74" s="407">
        <f>+Macroeconomic!BP20</f>
        <v>0.08</v>
      </c>
      <c r="AX74" s="407">
        <f>+Macroeconomic!BQ20</f>
        <v>0.08</v>
      </c>
      <c r="AY74" s="407">
        <f>+Macroeconomic!BR20</f>
        <v>0.08</v>
      </c>
      <c r="AZ74" s="407">
        <f>+Macroeconomic!BS20</f>
        <v>0.08</v>
      </c>
      <c r="BA74" s="407">
        <f>+Macroeconomic!BT20</f>
        <v>0.08</v>
      </c>
      <c r="BB74" s="407">
        <f>+Macroeconomic!BU20</f>
        <v>0.08</v>
      </c>
      <c r="BC74" s="407">
        <f>+Macroeconomic!BV20</f>
        <v>0.08</v>
      </c>
      <c r="BD74" s="407">
        <f>+Macroeconomic!BW20</f>
        <v>0.08</v>
      </c>
      <c r="BE74" s="407">
        <f>+Macroeconomic!BX20</f>
        <v>0.08</v>
      </c>
      <c r="BF74" s="407">
        <f>+Macroeconomic!BY20</f>
        <v>0.08</v>
      </c>
      <c r="BG74" s="407">
        <f>+Macroeconomic!BZ20</f>
        <v>0.08</v>
      </c>
      <c r="BH74" s="407">
        <f>+Macroeconomic!CA20</f>
        <v>0.08</v>
      </c>
      <c r="BI74" s="407">
        <f>+Macroeconomic!CB20</f>
        <v>0.08</v>
      </c>
      <c r="BJ74" s="407">
        <f>+Macroeconomic!CC20</f>
        <v>0.08</v>
      </c>
      <c r="BK74" s="407">
        <f>+Macroeconomic!CD20</f>
        <v>0.08</v>
      </c>
      <c r="BL74" s="407">
        <f>+Macroeconomic!CE20</f>
        <v>0.08</v>
      </c>
      <c r="BM74" s="407">
        <f>+Macroeconomic!CF20</f>
        <v>0.08</v>
      </c>
      <c r="BN74" s="407">
        <f>+Macroeconomic!CG20</f>
        <v>0.08</v>
      </c>
      <c r="BO74" s="407">
        <f>+Macroeconomic!CH20</f>
        <v>0.08</v>
      </c>
      <c r="BP74" s="407">
        <f>+Macroeconomic!CI20</f>
        <v>0.08</v>
      </c>
      <c r="BQ74" s="407">
        <f>+Macroeconomic!CJ20</f>
        <v>0.08</v>
      </c>
      <c r="BR74" s="407">
        <f>+Macroeconomic!CK20</f>
        <v>0.08</v>
      </c>
      <c r="BS74" s="407">
        <f>+Macroeconomic!CL20</f>
        <v>0.08</v>
      </c>
    </row>
    <row r="75" spans="1:71" s="1401" customFormat="1">
      <c r="A75" s="2006"/>
      <c r="AG75" s="106"/>
      <c r="AH75" s="106"/>
      <c r="AI75" s="106"/>
      <c r="AJ75" s="106"/>
      <c r="AK75" s="106"/>
      <c r="AL75" s="106"/>
      <c r="AM75" s="106"/>
      <c r="AN75" s="381"/>
    </row>
    <row r="76" spans="1:71" s="1401" customFormat="1">
      <c r="A76" s="2006" t="s">
        <v>1478</v>
      </c>
      <c r="AG76" s="106"/>
      <c r="AH76" s="106"/>
      <c r="AI76" s="106"/>
      <c r="AJ76" s="106"/>
      <c r="AK76" s="106"/>
      <c r="AL76" s="106"/>
      <c r="AM76" s="106"/>
      <c r="AN76" s="381"/>
    </row>
    <row r="77" spans="1:71" s="1401" customFormat="1">
      <c r="A77" s="344" t="s">
        <v>88</v>
      </c>
      <c r="B77" s="344">
        <f>(Q_Financials!H68+Q_Financials!H77-Q_Financials!H48-Q_Financials!H49)/SUM(Q_Financials!E24:H24)</f>
        <v>4.2734465339906267</v>
      </c>
      <c r="C77" s="344">
        <f>(Q_Financials!I68+Q_Financials!I77-Q_Financials!I48-Q_Financials!I49)/SUM(Q_Financials!F24:I24)</f>
        <v>4.0414261565905587</v>
      </c>
      <c r="D77" s="344">
        <f>(Q_Financials!J68+Q_Financials!J77-Q_Financials!J48-Q_Financials!J49)/SUM(Q_Financials!G24:J24)</f>
        <v>6.5107972012145661</v>
      </c>
      <c r="E77" s="344">
        <f>(Q_Financials!K68+Q_Financials!K77-Q_Financials!K48-Q_Financials!K49)/SUM(Q_Financials!H24:K24)</f>
        <v>5.9621627657050338</v>
      </c>
      <c r="F77" s="344">
        <f>(Q_Financials!L68+Q_Financials!L77-Q_Financials!L48-Q_Financials!L49)/SUM(Q_Financials!I24:L24)</f>
        <v>4.7888238222812305</v>
      </c>
      <c r="G77" s="344">
        <f>(Q_Financials!M68+Q_Financials!M77-Q_Financials!M48-Q_Financials!M49)/SUM(Q_Financials!J24:M24)</f>
        <v>3.8724437554229589</v>
      </c>
      <c r="H77" s="344">
        <f>(Q_Financials!N68+Q_Financials!N77-Q_Financials!N48-Q_Financials!N49)/SUM(Q_Financials!K24:N24)</f>
        <v>3.2917390544344132</v>
      </c>
      <c r="I77" s="344">
        <f>(Q_Financials!O68+Q_Financials!O77-Q_Financials!O48-Q_Financials!O49)/SUM(Q_Financials!L24:O24)</f>
        <v>2.9794218732147759</v>
      </c>
      <c r="J77" s="344">
        <f>(Q_Financials!P68+Q_Financials!P77-Q_Financials!P48-Q_Financials!P49)/SUM(Q_Financials!M24:P24)</f>
        <v>2.7336847162559357</v>
      </c>
      <c r="K77" s="344">
        <f>(Q_Financials!Q68+Q_Financials!Q77-Q_Financials!Q48-Q_Financials!Q49)/SUM(Q_Financials!N24:Q24)</f>
        <v>1.9089434419244398</v>
      </c>
      <c r="L77" s="344">
        <f>(Q_Financials!R68+Q_Financials!R77-Q_Financials!R48-Q_Financials!R49)/SUM(Q_Financials!O24:R24)</f>
        <v>1.6564980499996926</v>
      </c>
      <c r="M77" s="344">
        <f>(Q_Financials!S68+Q_Financials!S77-Q_Financials!S48-Q_Financials!S49)/SUM(Q_Financials!P24:S24)</f>
        <v>1.696063810515414</v>
      </c>
      <c r="N77" s="344">
        <f>(Q_Financials!T68+Q_Financials!T77-Q_Financials!T48-Q_Financials!T49)/SUM(Q_Financials!Q24:T24)</f>
        <v>1.0239192240833102</v>
      </c>
      <c r="O77" s="344">
        <f>(Q_Financials!U68+Q_Financials!U77-Q_Financials!U48-Q_Financials!U49)/SUM(Q_Financials!R24:U24)</f>
        <v>0.91036945969434269</v>
      </c>
      <c r="P77" s="344">
        <f>(Q_Financials!V68+Q_Financials!V77-Q_Financials!V48-Q_Financials!V49)/SUM(Q_Financials!S24:V24)</f>
        <v>0.8475690218217018</v>
      </c>
      <c r="Q77" s="344">
        <f>(Q_Financials!W68+Q_Financials!W77-Q_Financials!W48-Q_Financials!W49)/SUM(Q_Financials!T24:W24)</f>
        <v>1.0641875487176868</v>
      </c>
      <c r="R77" s="344">
        <f>(Q_Financials!X68+Q_Financials!X77-Q_Financials!X48-Q_Financials!X49)/SUM(Q_Financials!U24:X24)</f>
        <v>1.3654731616709288</v>
      </c>
      <c r="S77" s="344">
        <f>(Q_Financials!Y68+Q_Financials!Y77-Q_Financials!Y48-Q_Financials!Y49)/SUM(Q_Financials!V24:Y24)</f>
        <v>1.4349824504192161</v>
      </c>
      <c r="T77" s="344">
        <f>(Q_Financials!Z68+Q_Financials!Z77-Q_Financials!Z48-Q_Financials!Z49)/SUM(Q_Financials!W24:Z24)</f>
        <v>1.9257297010915106</v>
      </c>
      <c r="U77" s="344">
        <f>(Q_Financials!AA68+Q_Financials!AA77-Q_Financials!AA48-Q_Financials!AA49)/SUM(Q_Financials!X24:AA24)</f>
        <v>1.894945286426017</v>
      </c>
      <c r="V77" s="344">
        <f>(Q_Financials!AB68+Q_Financials!AB77-Q_Financials!AB48-Q_Financials!AB49)/SUM(Q_Financials!Y24:AB24)</f>
        <v>2.2749978846449399</v>
      </c>
      <c r="W77" s="344">
        <f>(Q_Financials!AC68+Q_Financials!AC77-Q_Financials!AC48-Q_Financials!AC49)/SUM(Q_Financials!Z24:AC24)</f>
        <v>2.0676874923284645</v>
      </c>
      <c r="X77" s="344">
        <f>(Q_Financials!AD68+Q_Financials!AD77-Q_Financials!AD48-Q_Financials!AD49)/SUM(Q_Financials!AA24:AD24)</f>
        <v>1.8946840185111391</v>
      </c>
      <c r="Y77" s="344">
        <f>(Q_Financials!AE68+Q_Financials!AE77-Q_Financials!AE48-Q_Financials!AE49)/SUM(Q_Financials!AB24:AE24)</f>
        <v>1.8935017690006115</v>
      </c>
      <c r="Z77" s="344">
        <f>(Q_Financials!AF68+Q_Financials!AF77-Q_Financials!AF48-Q_Financials!AF49)/SUM(Q_Financials!AC24:AF24)</f>
        <v>2.0886129063756012</v>
      </c>
      <c r="AA77" s="344">
        <f>(Q_Financials!AG68+Q_Financials!AG77-Q_Financials!AG48-Q_Financials!AG49)/SUM(Q_Financials!AD24:AG24)</f>
        <v>2.0480229711542686</v>
      </c>
      <c r="AB77" s="344">
        <f>(Q_Financials!AH68+Q_Financials!AH77-Q_Financials!AH48-Q_Financials!AH49)/SUM(Q_Financials!AE24:AH24)</f>
        <v>2.0567272460217749</v>
      </c>
      <c r="AC77" s="344">
        <f>(Q_Financials!AI68+Q_Financials!AI77-Q_Financials!AI48-Q_Financials!AI49)/SUM(Q_Financials!AF24:AI24)</f>
        <v>2.7600454858205046</v>
      </c>
      <c r="AD77" s="344">
        <f>(Q_Financials!AJ68+Q_Financials!AJ77-Q_Financials!AJ48-Q_Financials!AJ49)/SUM(Q_Financials!AG24:AJ24)</f>
        <v>2.7346284255875641</v>
      </c>
      <c r="AE77" s="374">
        <f>(Q_Financials!AK68+Q_Financials!AK77-Q_Financials!AK48-Q_Financials!AK49)/SUM(Q_Financials!AH24:AK24)</f>
        <v>2.2598863280131933</v>
      </c>
      <c r="AF77" s="374">
        <f>(Q_Financials!AL68+Q_Financials!AL77-Q_Financials!AL48-Q_Financials!AL49)/SUM(Q_Financials!AI24:AL24)</f>
        <v>2.4149901347566134</v>
      </c>
      <c r="AG77" s="374">
        <f>(Q_Financials!AM68+Q_Financials!AM77-Q_Financials!AM48-Q_Financials!AM49)/SUM(Q_Financials!AJ24:AM24)</f>
        <v>2.8598611587153919</v>
      </c>
      <c r="AH77" s="374">
        <f>(Q_Financials!AN68+Q_Financials!AN77-Q_Financials!AN48-Q_Financials!AN49)/SUM(Q_Financials!AK24:AN24)</f>
        <v>2.7138381143324546</v>
      </c>
      <c r="AI77" s="374">
        <f>(Q_Financials!AO68+Q_Financials!AO77-Q_Financials!AO48-Q_Financials!AO49)/SUM(Q_Financials!AL24:AO24)</f>
        <v>2.2001305980565653</v>
      </c>
      <c r="AJ77" s="374">
        <f>(Q_Financials!AP68+Q_Financials!AP77-Q_Financials!AP48-Q_Financials!AP49)/SUM(Q_Financials!AM24:AP24)</f>
        <v>2.0390832132168373</v>
      </c>
      <c r="AK77" s="374">
        <f>(Q_Financials!AQ68+Q_Financials!AQ77-Q_Financials!AQ48-Q_Financials!AQ49)/SUM(Q_Financials!AN24:AQ24)</f>
        <v>2.147746472459287</v>
      </c>
      <c r="AL77" s="374">
        <f>(Q_Financials!AR68+Q_Financials!AR77-Q_Financials!AR48-Q_Financials!AR49)/SUM(Q_Financials!AO24:AR24)</f>
        <v>2.2514076453134293</v>
      </c>
      <c r="AM77" s="374">
        <f>(Q_Financials!AS68+Q_Financials!AS77-Q_Financials!AS48-Q_Financials!AS49)/SUM(Q_Financials!AP24:AS24)</f>
        <v>1.7634542303812597</v>
      </c>
      <c r="AN77" s="367">
        <f>(Q_Financials!AT68+Q_Financials!AT77-Q_Financials!AT48-Q_Financials!AT49)/SUM(Q_Financials!AQ24:AT24)</f>
        <v>1.6873155590278019</v>
      </c>
      <c r="AO77" s="368">
        <f>(Q_Financials!AU68+Q_Financials!AU77-Q_Financials!AU48-Q_Financials!AU49)/SUM(Q_Financials!AR24:AU24)</f>
        <v>1.6462550898012365</v>
      </c>
      <c r="AP77" s="368">
        <f>(Q_Financials!AV68+Q_Financials!AV77-Q_Financials!AV48-Q_Financials!AV49)/SUM(Q_Financials!AS24:AV24)</f>
        <v>1.4434414285699815</v>
      </c>
      <c r="AQ77" s="368">
        <f>(Q_Financials!AW68+Q_Financials!AW77-Q_Financials!AW48-Q_Financials!AW49)/SUM(Q_Financials!AT24:AW24)</f>
        <v>1.2794424909486566</v>
      </c>
      <c r="AR77" s="368">
        <f>(Q_Financials!AX68+Q_Financials!AX77-Q_Financials!AX48-Q_Financials!AX49)/SUM(Q_Financials!AU24:AX24)</f>
        <v>1.1849278425530736</v>
      </c>
      <c r="AS77" s="368">
        <f>(Q_Financials!AY68+Q_Financials!AY77-Q_Financials!AY48-Q_Financials!AY49)/SUM(Q_Financials!AV24:AY24)</f>
        <v>1.1847800846697114</v>
      </c>
      <c r="AT77" s="368">
        <f>(Q_Financials!AZ68+Q_Financials!AZ77-Q_Financials!AZ48-Q_Financials!AZ49)/SUM(Q_Financials!AW24:AZ24)</f>
        <v>1.0809817942632136</v>
      </c>
      <c r="AU77" s="368">
        <f>(Q_Financials!BA68+Q_Financials!BA77-Q_Financials!BA48-Q_Financials!BA49)/SUM(Q_Financials!AX24:BA24)</f>
        <v>1.1196988856373458</v>
      </c>
      <c r="AV77" s="368">
        <f>(Q_Financials!BB68+Q_Financials!BB77-Q_Financials!BB48-Q_Financials!BB49)/SUM(Q_Financials!AY24:BB24)</f>
        <v>1.165814178635006</v>
      </c>
      <c r="AW77" s="368">
        <f>(Q_Financials!BC68+Q_Financials!BC77-Q_Financials!BC48-Q_Financials!BC49)/SUM(Q_Financials!AZ24:BC24)</f>
        <v>1.1356667300678618</v>
      </c>
      <c r="AX77" s="368">
        <f>(Q_Financials!BD68+Q_Financials!BD77-Q_Financials!BD48-Q_Financials!BD49)/SUM(Q_Financials!BA24:BD24)</f>
        <v>1.0118345345763027</v>
      </c>
      <c r="AY77" s="368">
        <f>(Q_Financials!BE68+Q_Financials!BE77-Q_Financials!BE48-Q_Financials!BE49)/SUM(Q_Financials!BB24:BE24)</f>
        <v>0.98643440600281618</v>
      </c>
      <c r="AZ77" s="368">
        <f>(Q_Financials!BF68+Q_Financials!BF77-Q_Financials!BF48-Q_Financials!BF49)/SUM(Q_Financials!BC24:BF24)</f>
        <v>0.96958502676508107</v>
      </c>
      <c r="BA77" s="368">
        <f>(Q_Financials!BG68+Q_Financials!BG77-Q_Financials!BG48-Q_Financials!BG49)/SUM(Q_Financials!BD24:BG24)</f>
        <v>0.91422529831261024</v>
      </c>
      <c r="BB77" s="368">
        <f>(Q_Financials!BH68+Q_Financials!BH77-Q_Financials!BH48-Q_Financials!BH49)/SUM(Q_Financials!BE24:BH24)</f>
        <v>0.77214715230521447</v>
      </c>
      <c r="BC77" s="368">
        <f>(Q_Financials!BI68+Q_Financials!BI77-Q_Financials!BI48-Q_Financials!BI49)/SUM(Q_Financials!BF24:BI24)</f>
        <v>0.77709070619931553</v>
      </c>
      <c r="BD77" s="368">
        <f>(Q_Financials!BJ68+Q_Financials!BJ77-Q_Financials!BJ48-Q_Financials!BJ49)/SUM(Q_Financials!BG24:BJ24)</f>
        <v>0.82341330076526498</v>
      </c>
      <c r="BE77" s="368">
        <f>(Q_Financials!BK68+Q_Financials!BK77-Q_Financials!BK48-Q_Financials!BK49)/SUM(Q_Financials!BH24:BK24)</f>
        <v>0.77954644411884233</v>
      </c>
      <c r="BF77" s="368">
        <f>(Q_Financials!BL68+Q_Financials!BL77-Q_Financials!BL48-Q_Financials!BL49)/SUM(Q_Financials!BI24:BL24)</f>
        <v>0.65291694588660598</v>
      </c>
      <c r="BG77" s="368">
        <f>(Q_Financials!BM68+Q_Financials!BM77-Q_Financials!BM48-Q_Financials!BM49)/SUM(Q_Financials!BJ24:BM24)</f>
        <v>0.64800237465439536</v>
      </c>
      <c r="BH77" s="368">
        <f>(Q_Financials!BN68+Q_Financials!BN77-Q_Financials!BN48-Q_Financials!BN49)/SUM(Q_Financials!BK24:BN24)</f>
        <v>0.80307942647414143</v>
      </c>
      <c r="BI77" s="368">
        <f>(Q_Financials!BO68+Q_Financials!BO77-Q_Financials!BO48-Q_Financials!BO49)/SUM(Q_Financials!BL24:BO24)</f>
        <v>0.7934720075359798</v>
      </c>
      <c r="BJ77" s="368">
        <f>(Q_Financials!BP68+Q_Financials!BP77-Q_Financials!BP48-Q_Financials!BP49)/SUM(Q_Financials!BM24:BP24)</f>
        <v>0.69577388879809932</v>
      </c>
      <c r="BK77" s="368">
        <f>(Q_Financials!BQ68+Q_Financials!BQ77-Q_Financials!BQ48-Q_Financials!BQ49)/SUM(Q_Financials!BN24:BQ24)</f>
        <v>0.7439380411198524</v>
      </c>
      <c r="BL77" s="368">
        <f>(Q_Financials!BR68+Q_Financials!BR77-Q_Financials!BR48-Q_Financials!BR49)/SUM(Q_Financials!BO24:BR24)</f>
        <v>0.98802016593090469</v>
      </c>
      <c r="BM77" s="368">
        <f>(Q_Financials!BS68+Q_Financials!BS77-Q_Financials!BS48-Q_Financials!BS49)/SUM(Q_Financials!BP24:BS24)</f>
        <v>1.0065544297292459</v>
      </c>
      <c r="BN77" s="368">
        <f>(Q_Financials!BT68+Q_Financials!BT77-Q_Financials!BT48-Q_Financials!BT49)/SUM(Q_Financials!BQ24:BT24)</f>
        <v>0.92299866117380347</v>
      </c>
      <c r="BO77" s="368">
        <f>(Q_Financials!BU68+Q_Financials!BU77-Q_Financials!BU48-Q_Financials!BU49)/SUM(Q_Financials!BR24:BU24)</f>
        <v>0.91441564201886127</v>
      </c>
      <c r="BP77" s="368">
        <f>(Q_Financials!BV68+Q_Financials!BV77-Q_Financials!BV48-Q_Financials!BV49)/SUM(Q_Financials!BS24:BV24)</f>
        <v>1.0277471202366446</v>
      </c>
      <c r="BQ77" s="368">
        <f>(Q_Financials!BW68+Q_Financials!BW77-Q_Financials!BW48-Q_Financials!BW49)/SUM(Q_Financials!BT24:BW24)</f>
        <v>0.93793050875456319</v>
      </c>
      <c r="BR77" s="368">
        <f>(Q_Financials!BX68+Q_Financials!BX77-Q_Financials!BX48-Q_Financials!BX49)/SUM(Q_Financials!BU24:BX24)</f>
        <v>0.80325203766287767</v>
      </c>
      <c r="BS77" s="368">
        <f>(Q_Financials!BY68+Q_Financials!BY77-Q_Financials!BY48-Q_Financials!BY49)/SUM(Q_Financials!BV24:BY24)</f>
        <v>0.82414613675650694</v>
      </c>
    </row>
    <row r="78" spans="1:71" s="1401" customFormat="1">
      <c r="A78" s="344" t="s">
        <v>264</v>
      </c>
      <c r="B78" s="196">
        <f>(Q_Financials!H68+Q_Financials!H77-Q_Financials!H48-Q_Financials!H49)</f>
        <v>421.30199999999996</v>
      </c>
      <c r="C78" s="196">
        <f>(Q_Financials!I68+Q_Financials!I77-Q_Financials!I48-Q_Financials!I49)</f>
        <v>518.80999999999995</v>
      </c>
      <c r="D78" s="196">
        <f>(Q_Financials!J68+Q_Financials!J77-Q_Financials!J48-Q_Financials!J49)</f>
        <v>690.44399999999996</v>
      </c>
      <c r="E78" s="196">
        <f>(Q_Financials!K68+Q_Financials!K77-Q_Financials!K48-Q_Financials!K49)</f>
        <v>854.36599999999999</v>
      </c>
      <c r="F78" s="196">
        <f>(Q_Financials!L68+Q_Financials!L77-Q_Financials!L48-Q_Financials!L49)</f>
        <v>1009.9390000000001</v>
      </c>
      <c r="G78" s="196">
        <f>(Q_Financials!M68+Q_Financials!M77-Q_Financials!M48-Q_Financials!M49)</f>
        <v>941.69699999999978</v>
      </c>
      <c r="H78" s="196">
        <f>(Q_Financials!N68+Q_Financials!N77-Q_Financials!N48-Q_Financials!N49)</f>
        <v>922.73700000000019</v>
      </c>
      <c r="I78" s="196">
        <f>(Q_Financials!O68+Q_Financials!O77-Q_Financials!O48-Q_Financials!O49)</f>
        <v>964.85299999999984</v>
      </c>
      <c r="J78" s="196">
        <f>(Q_Financials!P68+Q_Financials!P77-Q_Financials!P48-Q_Financials!P49)</f>
        <v>967.28700000000003</v>
      </c>
      <c r="K78" s="196">
        <f>(Q_Financials!Q68+Q_Financials!Q77-Q_Financials!Q48-Q_Financials!Q49)</f>
        <v>766.101</v>
      </c>
      <c r="L78" s="196">
        <f>(Q_Financials!R68+Q_Financials!R77-Q_Financials!R48-Q_Financials!R49)</f>
        <v>806.5870000000001</v>
      </c>
      <c r="M78" s="196">
        <f>(Q_Financials!S68+Q_Financials!S77-Q_Financials!S48-Q_Financials!S49)</f>
        <v>926.88700000000006</v>
      </c>
      <c r="N78" s="196">
        <f>(Q_Financials!T68+Q_Financials!T77-Q_Financials!T48-Q_Financials!T49)</f>
        <v>630.25299999999993</v>
      </c>
      <c r="O78" s="196">
        <f>(Q_Financials!U68+Q_Financials!U77-Q_Financials!U48-Q_Financials!U49)</f>
        <v>515.38199999999995</v>
      </c>
      <c r="P78" s="196">
        <f>(Q_Financials!V68+Q_Financials!V77-Q_Financials!V48-Q_Financials!V49)</f>
        <v>496.50000000000006</v>
      </c>
      <c r="Q78" s="196">
        <f>(Q_Financials!W68+Q_Financials!W77-Q_Financials!W48-Q_Financials!W49)</f>
        <v>666.2410000000001</v>
      </c>
      <c r="R78" s="196">
        <f>(Q_Financials!X68+Q_Financials!X77-Q_Financials!X48-Q_Financials!X49)</f>
        <v>835.10699999999997</v>
      </c>
      <c r="S78" s="196">
        <f>(Q_Financials!Y68+Q_Financials!Y77-Q_Financials!Y48-Q_Financials!Y49)</f>
        <v>836.07099999999991</v>
      </c>
      <c r="T78" s="196">
        <f>(Q_Financials!Z68+Q_Financials!Z77-Q_Financials!Z48-Q_Financials!Z49)</f>
        <v>1068.624</v>
      </c>
      <c r="U78" s="196">
        <f>(Q_Financials!AA68+Q_Financials!AA77-Q_Financials!AA48-Q_Financials!AA49)</f>
        <v>1140.6680000000001</v>
      </c>
      <c r="V78" s="196">
        <f>(Q_Financials!AB68+Q_Financials!AB77-Q_Financials!AB48-Q_Financials!AB49)</f>
        <v>1317.4490000000001</v>
      </c>
      <c r="W78" s="196">
        <f>(Q_Financials!AC68+Q_Financials!AC77-Q_Financials!AC48-Q_Financials!AC49)</f>
        <v>1347.636</v>
      </c>
      <c r="X78" s="196">
        <f>(Q_Financials!AD68+Q_Financials!AD77-Q_Financials!AD48-Q_Financials!AD49)</f>
        <v>1412.0720000000001</v>
      </c>
      <c r="Y78" s="196">
        <f>(Q_Financials!AE68+Q_Financials!AE77-Q_Financials!AE48-Q_Financials!AE49)</f>
        <v>1421.999</v>
      </c>
      <c r="Z78" s="196">
        <f>(Q_Financials!AF68+Q_Financials!AF77-Q_Financials!AF48-Q_Financials!AF49)</f>
        <v>1582.8720000000003</v>
      </c>
      <c r="AA78" s="196">
        <f>(Q_Financials!AG68+Q_Financials!AG77-Q_Financials!AG48-Q_Financials!AG49)</f>
        <v>1538.4810000000002</v>
      </c>
      <c r="AB78" s="196">
        <f>(Q_Financials!AH68+Q_Financials!AH77-Q_Financials!AH48-Q_Financials!AH49)</f>
        <v>1568.308</v>
      </c>
      <c r="AC78" s="196">
        <f>(Q_Financials!AI68+Q_Financials!AI77-Q_Financials!AI48-Q_Financials!AI49)</f>
        <v>2298.5300000000007</v>
      </c>
      <c r="AD78" s="196">
        <f>(Q_Financials!AJ68+Q_Financials!AJ77-Q_Financials!AJ48-Q_Financials!AJ49)</f>
        <v>2592.9610000000002</v>
      </c>
      <c r="AE78" s="202">
        <f>(Q_Financials!AK68+Q_Financials!AK77-Q_Financials!AK48-Q_Financials!AK49)</f>
        <v>2487.0840000000003</v>
      </c>
      <c r="AF78" s="202">
        <f>(Q_Financials!AL68+Q_Financials!AL77-Q_Financials!AL48-Q_Financials!AL49)</f>
        <v>2589.9610000000002</v>
      </c>
      <c r="AG78" s="202">
        <f>(Q_Financials!AM68+Q_Financials!AM77-Q_Financials!AM48-Q_Financials!AM49)</f>
        <v>3153.9750000000004</v>
      </c>
      <c r="AH78" s="202">
        <f>(Q_Financials!AN68+Q_Financials!AN77-Q_Financials!AN48-Q_Financials!AN49)</f>
        <v>3191.7830000000004</v>
      </c>
      <c r="AI78" s="202">
        <f>(Q_Financials!AO68+Q_Financials!AO77-Q_Financials!AO48-Q_Financials!AO49)</f>
        <v>2719.038</v>
      </c>
      <c r="AJ78" s="202">
        <f>(Q_Financials!AP68+Q_Financials!AP77-Q_Financials!AP48-Q_Financials!AP49)</f>
        <v>2686.4329999999995</v>
      </c>
      <c r="AK78" s="202">
        <f>(Q_Financials!AQ68+Q_Financials!AQ77-Q_Financials!AQ48-Q_Financials!AQ49)</f>
        <v>2782.6009999999997</v>
      </c>
      <c r="AL78" s="202">
        <f>(Q_Financials!AR68+Q_Financials!AR77-Q_Financials!AR48-Q_Financials!AR49)</f>
        <v>2844.6378000000004</v>
      </c>
      <c r="AM78" s="202">
        <f>(Q_Financials!AS68+Q_Financials!AS77-Q_Financials!AS48-Q_Financials!AS49)</f>
        <v>2547.1280000000002</v>
      </c>
      <c r="AN78" s="355">
        <f>(Q_Financials!AT68+Q_Financials!AT77-Q_Financials!AT48-Q_Financials!AT49)</f>
        <v>2647.8519999999999</v>
      </c>
      <c r="AO78" s="357">
        <f>(Q_Financials!AU68+Q_Financials!AU77-Q_Financials!AU48-Q_Financials!AU49)</f>
        <v>2843.4531265112987</v>
      </c>
      <c r="AP78" s="357">
        <f>(Q_Financials!AV68+Q_Financials!AV77-Q_Financials!AV48-Q_Financials!AV49)</f>
        <v>2636.2073437853169</v>
      </c>
      <c r="AQ78" s="357">
        <f>(Q_Financials!AW68+Q_Financials!AW77-Q_Financials!AW48-Q_Financials!AW49)</f>
        <v>2250.5675568724828</v>
      </c>
      <c r="AR78" s="357">
        <f>(Q_Financials!AX68+Q_Financials!AX77-Q_Financials!AX48-Q_Financials!AX49)</f>
        <v>2369.1824195441268</v>
      </c>
      <c r="AS78" s="357">
        <f>(Q_Financials!AY68+Q_Financials!AY77-Q_Financials!AY48-Q_Financials!AY49)</f>
        <v>2375.9078718358551</v>
      </c>
      <c r="AT78" s="357">
        <f>(Q_Financials!AZ68+Q_Financials!AZ77-Q_Financials!AZ48-Q_Financials!AZ49)</f>
        <v>2167.5912970633844</v>
      </c>
      <c r="AU78" s="357">
        <f>(Q_Financials!BA68+Q_Financials!BA77-Q_Financials!BA48-Q_Financials!BA49)</f>
        <v>1993.232980283138</v>
      </c>
      <c r="AV78" s="357">
        <f>(Q_Financials!BB68+Q_Financials!BB77-Q_Financials!BB48-Q_Financials!BB49)</f>
        <v>2134.5248867901746</v>
      </c>
      <c r="AW78" s="357">
        <f>(Q_Financials!BC68+Q_Financials!BC77-Q_Financials!BC48-Q_Financials!BC49)</f>
        <v>2134.2441295589169</v>
      </c>
      <c r="AX78" s="357">
        <f>(Q_Financials!BD68+Q_Financials!BD77-Q_Financials!BD48-Q_Financials!BD49)</f>
        <v>1944.3893367580413</v>
      </c>
      <c r="AY78" s="357">
        <f>(Q_Financials!BE68+Q_Financials!BE77-Q_Financials!BE48-Q_Financials!BE49)</f>
        <v>1926.497390875357</v>
      </c>
      <c r="AZ78" s="357">
        <f>(Q_Financials!BF68+Q_Financials!BF77-Q_Financials!BF48-Q_Financials!BF49)</f>
        <v>2046.386234812805</v>
      </c>
      <c r="BA78" s="357">
        <f>(Q_Financials!BG68+Q_Financials!BG77-Q_Financials!BG48-Q_Financials!BG49)</f>
        <v>2004.7858636882095</v>
      </c>
      <c r="BB78" s="357">
        <f>(Q_Financials!BH68+Q_Financials!BH77-Q_Financials!BH48-Q_Financials!BH49)</f>
        <v>1752.2556551908165</v>
      </c>
      <c r="BC78" s="357">
        <f>(Q_Financials!BI68+Q_Financials!BI77-Q_Financials!BI48-Q_Financials!BI49)</f>
        <v>1786.2434320649077</v>
      </c>
      <c r="BD78" s="357">
        <f>(Q_Financials!BJ68+Q_Financials!BJ77-Q_Financials!BJ48-Q_Financials!BJ49)</f>
        <v>1939.5569137494167</v>
      </c>
      <c r="BE78" s="357">
        <f>(Q_Financials!BK68+Q_Financials!BK77-Q_Financials!BK48-Q_Financials!BK49)</f>
        <v>1871.4521040345576</v>
      </c>
      <c r="BF78" s="357">
        <f>(Q_Financials!BL68+Q_Financials!BL77-Q_Financials!BL48-Q_Financials!BL49)</f>
        <v>1593.5130179768532</v>
      </c>
      <c r="BG78" s="357">
        <f>(Q_Financials!BM68+Q_Financials!BM77-Q_Financials!BM48-Q_Financials!BM49)</f>
        <v>1592.7946640695084</v>
      </c>
      <c r="BH78" s="357">
        <f>(Q_Financials!BN68+Q_Financials!BN77-Q_Financials!BN48-Q_Financials!BN49)</f>
        <v>1855.9996919064449</v>
      </c>
      <c r="BI78" s="357">
        <f>(Q_Financials!BO68+Q_Financials!BO77-Q_Financials!BO48-Q_Financials!BO49)</f>
        <v>1804.2276555807041</v>
      </c>
      <c r="BJ78" s="357">
        <f>(Q_Financials!BP68+Q_Financials!BP77-Q_Financials!BP48-Q_Financials!BP49)</f>
        <v>1552.4939435412073</v>
      </c>
      <c r="BK78" s="357">
        <f>(Q_Financials!BQ68+Q_Financials!BQ77-Q_Financials!BQ48-Q_Financials!BQ49)</f>
        <v>1656.5375721915777</v>
      </c>
      <c r="BL78" s="357">
        <f>(Q_Financials!BR68+Q_Financials!BR77-Q_Financials!BR48-Q_Financials!BR49)</f>
        <v>2098.7239230379173</v>
      </c>
      <c r="BM78" s="357">
        <f>(Q_Financials!BS68+Q_Financials!BS77-Q_Financials!BS48-Q_Financials!BS49)</f>
        <v>2121.0172079517424</v>
      </c>
      <c r="BN78" s="357">
        <f>(Q_Financials!BT68+Q_Financials!BT77-Q_Financials!BT48-Q_Financials!BT49)</f>
        <v>1925.0661192273344</v>
      </c>
      <c r="BO78" s="357">
        <f>(Q_Financials!BU68+Q_Financials!BU77-Q_Financials!BU48-Q_Financials!BU49)</f>
        <v>1911.231734258243</v>
      </c>
      <c r="BP78" s="357">
        <f>(Q_Financials!BV68+Q_Financials!BV77-Q_Financials!BV48-Q_Financials!BV49)</f>
        <v>2326.0813730953469</v>
      </c>
      <c r="BQ78" s="357">
        <f>(Q_Financials!BW68+Q_Financials!BW77-Q_Financials!BW48-Q_Financials!BW49)</f>
        <v>2254.9908569525087</v>
      </c>
      <c r="BR78" s="357">
        <f>(Q_Financials!BX68+Q_Financials!BX77-Q_Financials!BX48-Q_Financials!BX49)</f>
        <v>2043.7022683235134</v>
      </c>
      <c r="BS78" s="357">
        <f>(Q_Financials!BY68+Q_Financials!BY77-Q_Financials!BY48-Q_Financials!BY49)</f>
        <v>2186.9524256318423</v>
      </c>
    </row>
    <row r="79" spans="1:71" s="1401" customFormat="1">
      <c r="AG79" s="106"/>
      <c r="AH79" s="106"/>
      <c r="AI79" s="106"/>
      <c r="AJ79" s="106"/>
      <c r="AK79" s="106"/>
      <c r="AL79" s="106"/>
      <c r="AM79" s="106"/>
      <c r="AN79" s="381"/>
    </row>
    <row r="80" spans="1:71" s="1401" customFormat="1">
      <c r="A80" s="899"/>
      <c r="B80" s="107"/>
      <c r="C80" s="107"/>
      <c r="D80" s="107"/>
      <c r="E80" s="107"/>
      <c r="F80" s="107"/>
      <c r="G80" s="107"/>
      <c r="H80" s="107"/>
      <c r="I80" s="107"/>
      <c r="J80" s="107"/>
      <c r="K80" s="107"/>
      <c r="L80" s="107"/>
      <c r="M80" s="107"/>
      <c r="N80" s="107"/>
      <c r="O80" s="107"/>
      <c r="P80" s="107"/>
      <c r="Q80" s="107"/>
      <c r="R80" s="107"/>
      <c r="S80" s="107"/>
      <c r="T80" s="107"/>
      <c r="U80" s="107"/>
      <c r="V80" s="107"/>
      <c r="W80" s="107"/>
      <c r="X80" s="107"/>
      <c r="Y80" s="107"/>
      <c r="Z80" s="107"/>
      <c r="AA80" s="107"/>
      <c r="AB80" s="107"/>
      <c r="AC80" s="107"/>
      <c r="AD80" s="107"/>
      <c r="AE80" s="372"/>
      <c r="AF80" s="372"/>
      <c r="AG80" s="372"/>
      <c r="AH80" s="372"/>
      <c r="AI80" s="372"/>
      <c r="AJ80" s="407"/>
      <c r="AK80" s="407"/>
      <c r="AL80" s="407"/>
      <c r="AM80" s="407"/>
      <c r="AN80" s="407"/>
      <c r="AO80" s="407"/>
      <c r="AP80" s="407"/>
      <c r="AQ80" s="407"/>
      <c r="AR80" s="407"/>
      <c r="AS80" s="407"/>
      <c r="AT80" s="407"/>
      <c r="AU80" s="407"/>
      <c r="AV80" s="407"/>
      <c r="AW80" s="407"/>
      <c r="AX80" s="407"/>
      <c r="AY80" s="407"/>
      <c r="AZ80" s="407"/>
      <c r="BA80" s="407"/>
      <c r="BC80" s="1697"/>
    </row>
    <row r="81" spans="1:56" s="1401" customFormat="1" ht="12">
      <c r="A81" s="1993" t="s">
        <v>1364</v>
      </c>
      <c r="B81" s="1994"/>
      <c r="C81" s="1994"/>
      <c r="D81" s="1994"/>
      <c r="E81" s="1994"/>
      <c r="F81" s="1994"/>
      <c r="G81" s="1994"/>
      <c r="H81" s="1994"/>
      <c r="I81" s="1994"/>
      <c r="J81" s="1994"/>
      <c r="K81" s="1994"/>
      <c r="L81" s="1994"/>
      <c r="M81" s="1994"/>
      <c r="N81" s="1994"/>
      <c r="O81" s="1994"/>
      <c r="P81" s="1994"/>
      <c r="Q81" s="1994"/>
      <c r="R81" s="1994"/>
      <c r="S81" s="1994"/>
      <c r="T81" s="1994"/>
      <c r="U81" s="1994"/>
      <c r="V81" s="1994"/>
      <c r="W81" s="1994"/>
      <c r="X81" s="107"/>
      <c r="Y81" s="107"/>
      <c r="Z81" s="107"/>
      <c r="AA81" s="107"/>
      <c r="AB81" s="107"/>
      <c r="AC81" s="107"/>
      <c r="AD81" s="107"/>
      <c r="AE81" s="372"/>
      <c r="AF81" s="372"/>
      <c r="AG81" s="372"/>
      <c r="AH81" s="372"/>
      <c r="AI81" s="372"/>
      <c r="AJ81" s="407"/>
      <c r="AK81" s="407"/>
      <c r="AL81" s="407"/>
      <c r="AM81" s="407"/>
      <c r="AN81" s="407"/>
      <c r="AO81" s="407"/>
      <c r="AP81" s="407"/>
      <c r="AQ81" s="407"/>
      <c r="AR81" s="407"/>
      <c r="AS81" s="407"/>
      <c r="AT81" s="407"/>
      <c r="AU81" s="407"/>
      <c r="AV81" s="407"/>
      <c r="AW81" s="407"/>
      <c r="AX81" s="407"/>
      <c r="AY81" s="407"/>
      <c r="AZ81" s="407"/>
      <c r="BA81" s="407"/>
      <c r="BB81" s="407"/>
      <c r="BC81" s="407"/>
    </row>
    <row r="82" spans="1:56" s="1401" customFormat="1">
      <c r="A82" s="893" t="s">
        <v>1461</v>
      </c>
      <c r="B82" s="894">
        <v>2004</v>
      </c>
      <c r="C82" s="894">
        <v>2005</v>
      </c>
      <c r="D82" s="894">
        <v>2006</v>
      </c>
      <c r="E82" s="894">
        <v>2007</v>
      </c>
      <c r="F82" s="894">
        <v>2008</v>
      </c>
      <c r="G82" s="894">
        <v>2009</v>
      </c>
      <c r="H82" s="894">
        <v>2010</v>
      </c>
      <c r="I82" s="894">
        <v>2011</v>
      </c>
      <c r="J82" s="894">
        <v>2012</v>
      </c>
      <c r="K82" s="894">
        <v>2013</v>
      </c>
      <c r="L82" s="894">
        <v>2014</v>
      </c>
      <c r="M82" s="894">
        <v>2015</v>
      </c>
      <c r="N82" s="894">
        <v>2016</v>
      </c>
      <c r="O82" s="2372">
        <v>2017</v>
      </c>
      <c r="P82" s="388">
        <v>2018</v>
      </c>
      <c r="Q82" s="388">
        <v>2019</v>
      </c>
      <c r="R82" s="388">
        <v>2020</v>
      </c>
      <c r="S82" s="388">
        <v>2021</v>
      </c>
      <c r="T82" s="388">
        <v>2022</v>
      </c>
      <c r="U82" s="388">
        <v>2023</v>
      </c>
      <c r="V82" s="388">
        <v>2024</v>
      </c>
      <c r="W82" s="388">
        <v>2025</v>
      </c>
      <c r="X82" s="107"/>
      <c r="Y82" s="107"/>
      <c r="Z82" s="107"/>
      <c r="AA82" s="107"/>
      <c r="AB82" s="107"/>
      <c r="AC82" s="107"/>
      <c r="AD82" s="107"/>
      <c r="AE82" s="372"/>
      <c r="AF82" s="372"/>
      <c r="AG82" s="372"/>
      <c r="AH82" s="372"/>
      <c r="AI82" s="372"/>
      <c r="AJ82" s="407"/>
      <c r="AK82" s="407"/>
      <c r="AL82" s="407"/>
      <c r="AM82" s="407"/>
      <c r="AN82" s="407"/>
      <c r="AO82" s="407"/>
      <c r="AP82" s="407"/>
      <c r="AQ82" s="407"/>
      <c r="AR82" s="407"/>
      <c r="AS82" s="407"/>
      <c r="AT82" s="407"/>
      <c r="AU82" s="407"/>
      <c r="AV82" s="407"/>
      <c r="AW82" s="407"/>
      <c r="AX82" s="407"/>
      <c r="AY82" s="407"/>
      <c r="AZ82" s="407"/>
      <c r="BA82" s="407"/>
      <c r="BB82" s="407"/>
      <c r="BC82" s="407"/>
    </row>
    <row r="83" spans="1:56" s="1401" customFormat="1">
      <c r="A83" s="786" t="s">
        <v>906</v>
      </c>
      <c r="B83" s="896"/>
      <c r="C83" s="896"/>
      <c r="D83" s="746"/>
      <c r="E83" s="746"/>
      <c r="F83" s="746"/>
      <c r="G83" s="178"/>
      <c r="H83" s="178"/>
      <c r="I83" s="178"/>
      <c r="J83" s="178"/>
      <c r="K83" s="372"/>
      <c r="L83" s="372"/>
      <c r="M83" s="372"/>
      <c r="N83" s="372"/>
      <c r="O83" s="372"/>
      <c r="P83" s="372"/>
      <c r="Q83" s="372"/>
      <c r="R83" s="372"/>
      <c r="S83" s="372"/>
      <c r="T83" s="372"/>
      <c r="U83" s="372"/>
      <c r="V83" s="372"/>
      <c r="W83" s="372"/>
      <c r="X83" s="107"/>
      <c r="Y83" s="891"/>
      <c r="Z83" s="107"/>
      <c r="AA83" s="891"/>
      <c r="AB83" s="107"/>
      <c r="AC83" s="891"/>
      <c r="AD83" s="107"/>
      <c r="AE83" s="891"/>
      <c r="AF83" s="107"/>
      <c r="AG83" s="891"/>
      <c r="AH83" s="107"/>
      <c r="AI83" s="891"/>
      <c r="AJ83" s="107"/>
      <c r="AK83" s="891"/>
      <c r="AL83" s="107"/>
      <c r="AM83" s="891"/>
      <c r="AN83" s="107"/>
      <c r="AO83" s="891"/>
      <c r="AP83" s="107"/>
      <c r="AQ83" s="891"/>
      <c r="AR83" s="107"/>
      <c r="AS83" s="891"/>
      <c r="AT83" s="107"/>
      <c r="AU83" s="891"/>
      <c r="AV83" s="107"/>
      <c r="AW83" s="891"/>
      <c r="AX83" s="107"/>
      <c r="AY83" s="891"/>
      <c r="AZ83" s="107"/>
      <c r="BA83" s="891"/>
      <c r="BB83" s="107"/>
      <c r="BC83" s="891"/>
      <c r="BD83" s="107"/>
    </row>
    <row r="84" spans="1:56" s="1401" customFormat="1">
      <c r="A84" s="454" t="s">
        <v>907</v>
      </c>
      <c r="B84" s="896"/>
      <c r="C84" s="896"/>
      <c r="D84" s="954">
        <f>'Annual historicals'!G97</f>
        <v>-99.22</v>
      </c>
      <c r="E84" s="954">
        <f>'Annual historicals'!H97</f>
        <v>-228.22500000000002</v>
      </c>
      <c r="F84" s="954">
        <f>'Annual historicals'!I97</f>
        <v>-497.62399999999997</v>
      </c>
      <c r="G84" s="954">
        <f>'Annual historicals'!J97</f>
        <v>-442.93899999999996</v>
      </c>
      <c r="H84" s="954">
        <f>'Annual historicals'!K97</f>
        <v>-383.01799999999997</v>
      </c>
      <c r="I84" s="954">
        <f>'Annual historicals'!L97</f>
        <v>-421.20400000000001</v>
      </c>
      <c r="J84" s="954">
        <f>'Annual historicals'!M97</f>
        <v>-466.89099999999996</v>
      </c>
      <c r="K84" s="788">
        <f>'Annual historicals'!N97</f>
        <v>-420.779</v>
      </c>
      <c r="L84" s="788">
        <f>'Annual historicals'!O97</f>
        <v>-442.11</v>
      </c>
      <c r="M84" s="788">
        <f>'Annual historicals'!P97</f>
        <v>-626.80200000000002</v>
      </c>
      <c r="N84" s="788">
        <f>'Annual historicals'!Q97</f>
        <v>-675.596</v>
      </c>
      <c r="O84" s="679">
        <f>'Annual historicals'!R97</f>
        <v>-792.11199999999997</v>
      </c>
      <c r="P84" s="485">
        <f>-P85*Q_IS!N104</f>
        <v>-914.19028347385836</v>
      </c>
      <c r="Q84" s="485">
        <f>-Q85*Q_IS!O104</f>
        <v>-945.52395860014894</v>
      </c>
      <c r="R84" s="485">
        <f>-R85*Q_IS!P104</f>
        <v>-1021.1962371790045</v>
      </c>
      <c r="S84" s="485">
        <f>-S85*Q_IS!Q104</f>
        <v>-1175.2711583391572</v>
      </c>
      <c r="T84" s="485">
        <f>-T85*Q_IS!R104</f>
        <v>-1257.7997523619317</v>
      </c>
      <c r="U84" s="485">
        <f>-U85*Q_IS!S104</f>
        <v>-1197.0392223324973</v>
      </c>
      <c r="V84" s="485">
        <f>-V85*Q_IS!T104</f>
        <v>-1166.3880400135158</v>
      </c>
      <c r="W84" s="485">
        <f>-W85*Q_IS!U104</f>
        <v>-1305.2620681869419</v>
      </c>
      <c r="X84" s="107"/>
      <c r="Y84" s="891"/>
      <c r="Z84" s="107"/>
      <c r="AA84" s="891"/>
      <c r="AB84" s="107"/>
      <c r="AC84" s="891"/>
      <c r="AD84" s="107"/>
      <c r="AE84" s="891"/>
      <c r="AF84" s="107"/>
      <c r="AG84" s="891"/>
      <c r="AH84" s="107"/>
      <c r="AI84" s="891"/>
      <c r="AJ84" s="107"/>
      <c r="AK84" s="891"/>
      <c r="AL84" s="107"/>
      <c r="AM84" s="891"/>
      <c r="AN84" s="107"/>
      <c r="AO84" s="891"/>
      <c r="AP84" s="107"/>
      <c r="AQ84" s="891"/>
      <c r="AR84" s="107"/>
      <c r="AS84" s="891"/>
      <c r="AT84" s="107"/>
      <c r="AU84" s="891"/>
      <c r="AV84" s="107"/>
      <c r="AW84" s="891"/>
      <c r="AX84" s="107"/>
      <c r="AY84" s="891"/>
      <c r="AZ84" s="107"/>
      <c r="BA84" s="891"/>
      <c r="BB84" s="107"/>
      <c r="BC84" s="891"/>
      <c r="BD84" s="107"/>
    </row>
    <row r="85" spans="1:56" s="1401" customFormat="1">
      <c r="A85" s="789" t="s">
        <v>910</v>
      </c>
      <c r="B85" s="896"/>
      <c r="C85" s="896"/>
      <c r="D85" s="2353">
        <f>-D84/Q_IS!B104</f>
        <v>0.12279368631052126</v>
      </c>
      <c r="E85" s="2353">
        <f>-E84/Q_IS!C104</f>
        <v>0.27612227416591661</v>
      </c>
      <c r="F85" s="2353">
        <f>-F84/Q_IS!D104</f>
        <v>0.69849905743670504</v>
      </c>
      <c r="G85" s="2353">
        <f>-G84/Q_IS!E104</f>
        <v>0.57194525613892822</v>
      </c>
      <c r="H85" s="2353">
        <f>-H84/Q_IS!F104</f>
        <v>0.32368985715215332</v>
      </c>
      <c r="I85" s="2353">
        <f>-I84/Q_IS!G104</f>
        <v>0.32524275218235665</v>
      </c>
      <c r="J85" s="2353">
        <f>-J84/Q_IS!H104</f>
        <v>0.34154675601138257</v>
      </c>
      <c r="K85" s="2354">
        <f>-K84/Q_IS!I104</f>
        <v>0.25720710973535932</v>
      </c>
      <c r="L85" s="2354">
        <f>-L84/Q_IS!J104</f>
        <v>0.22428788558279034</v>
      </c>
      <c r="M85" s="2354">
        <f>-M84/Q_IS!K104</f>
        <v>0.26957347488045991</v>
      </c>
      <c r="N85" s="2354">
        <f>-N84/Q_IS!L104</f>
        <v>0.24770888094393922</v>
      </c>
      <c r="O85" s="2373">
        <f>-O84/Q_IS!M104</f>
        <v>0.26378392490947022</v>
      </c>
      <c r="P85" s="1002">
        <f>Inputs!P133</f>
        <v>0.25</v>
      </c>
      <c r="Q85" s="1002">
        <f>Inputs!Q133</f>
        <v>0.25</v>
      </c>
      <c r="R85" s="1002">
        <f>Inputs!R133</f>
        <v>0.25</v>
      </c>
      <c r="S85" s="1002">
        <f>Inputs!S133</f>
        <v>0.25</v>
      </c>
      <c r="T85" s="1002">
        <f>Inputs!T133</f>
        <v>0.25</v>
      </c>
      <c r="U85" s="1002">
        <f>Inputs!U133</f>
        <v>0.25</v>
      </c>
      <c r="V85" s="1002">
        <f>Inputs!V133</f>
        <v>0.25</v>
      </c>
      <c r="W85" s="1002">
        <f>Inputs!W133</f>
        <v>0.25</v>
      </c>
      <c r="X85" s="107"/>
      <c r="Y85" s="891"/>
      <c r="Z85" s="107"/>
      <c r="AA85" s="891"/>
      <c r="AB85" s="107"/>
      <c r="AC85" s="891"/>
      <c r="AD85" s="107"/>
      <c r="AE85" s="891"/>
      <c r="AF85" s="107"/>
      <c r="AG85" s="891"/>
      <c r="AH85" s="107"/>
      <c r="AI85" s="891"/>
      <c r="AJ85" s="107"/>
      <c r="AK85" s="891"/>
      <c r="AL85" s="107"/>
      <c r="AM85" s="891"/>
      <c r="AN85" s="107"/>
      <c r="AO85" s="891"/>
      <c r="AP85" s="107"/>
      <c r="AQ85" s="891"/>
      <c r="AR85" s="107"/>
      <c r="AS85" s="891"/>
      <c r="AT85" s="107"/>
      <c r="AU85" s="891"/>
      <c r="AV85" s="107"/>
      <c r="AW85" s="891"/>
      <c r="AX85" s="107"/>
      <c r="AY85" s="891"/>
      <c r="AZ85" s="107"/>
      <c r="BA85" s="891"/>
      <c r="BB85" s="107"/>
      <c r="BC85" s="891"/>
      <c r="BD85" s="107"/>
    </row>
    <row r="86" spans="1:56" s="1401" customFormat="1">
      <c r="A86" s="454" t="s">
        <v>909</v>
      </c>
      <c r="B86" s="896"/>
      <c r="C86" s="896"/>
      <c r="D86" s="954" t="str">
        <f>'Annual historicals'!G101</f>
        <v>NA</v>
      </c>
      <c r="E86" s="954" t="str">
        <f>'Annual historicals'!H101</f>
        <v>NA</v>
      </c>
      <c r="F86" s="954" t="str">
        <f>'Annual historicals'!I101</f>
        <v>NA</v>
      </c>
      <c r="G86" s="954" t="str">
        <f>'Annual historicals'!J101</f>
        <v>NA</v>
      </c>
      <c r="H86" s="954" t="str">
        <f>'Annual historicals'!K101</f>
        <v>NA</v>
      </c>
      <c r="I86" s="954" t="str">
        <f>'Annual historicals'!L101</f>
        <v>NA</v>
      </c>
      <c r="J86" s="954" t="str">
        <f>'Annual historicals'!M101</f>
        <v>NA</v>
      </c>
      <c r="K86" s="788">
        <f>'Annual historicals'!N101</f>
        <v>-32.942999999999998</v>
      </c>
      <c r="L86" s="788">
        <f>'Annual historicals'!O101</f>
        <v>-44.298000000000002</v>
      </c>
      <c r="M86" s="788">
        <f>'Annual historicals'!P101</f>
        <v>-60.195</v>
      </c>
      <c r="N86" s="788">
        <f>'Annual historicals'!Q101</f>
        <v>-74.545000000000002</v>
      </c>
      <c r="O86" s="679">
        <f>'Annual historicals'!R101</f>
        <v>-76.971999999999994</v>
      </c>
      <c r="P86" s="614">
        <f t="shared" ref="P86:W86" si="311">+O86</f>
        <v>-76.971999999999994</v>
      </c>
      <c r="Q86" s="614">
        <f t="shared" si="311"/>
        <v>-76.971999999999994</v>
      </c>
      <c r="R86" s="614">
        <f t="shared" si="311"/>
        <v>-76.971999999999994</v>
      </c>
      <c r="S86" s="614">
        <f t="shared" si="311"/>
        <v>-76.971999999999994</v>
      </c>
      <c r="T86" s="614">
        <f t="shared" si="311"/>
        <v>-76.971999999999994</v>
      </c>
      <c r="U86" s="614">
        <f t="shared" si="311"/>
        <v>-76.971999999999994</v>
      </c>
      <c r="V86" s="614">
        <f t="shared" si="311"/>
        <v>-76.971999999999994</v>
      </c>
      <c r="W86" s="614">
        <f t="shared" si="311"/>
        <v>-76.971999999999994</v>
      </c>
      <c r="X86" s="107"/>
      <c r="Y86" s="891"/>
      <c r="Z86" s="107"/>
      <c r="AA86" s="891"/>
      <c r="AB86" s="107"/>
      <c r="AC86" s="891"/>
      <c r="AD86" s="107"/>
      <c r="AE86" s="891"/>
      <c r="AF86" s="107"/>
      <c r="AG86" s="891"/>
      <c r="AH86" s="107"/>
      <c r="AI86" s="891"/>
      <c r="AJ86" s="107"/>
      <c r="AK86" s="891"/>
      <c r="AL86" s="107"/>
      <c r="AM86" s="891"/>
      <c r="AN86" s="107"/>
      <c r="AO86" s="891"/>
      <c r="AP86" s="107"/>
      <c r="AQ86" s="891"/>
      <c r="AR86" s="107"/>
      <c r="AS86" s="891"/>
      <c r="AT86" s="107"/>
      <c r="AU86" s="891"/>
      <c r="AV86" s="107"/>
      <c r="AW86" s="891"/>
      <c r="AX86" s="107"/>
      <c r="AY86" s="891"/>
      <c r="AZ86" s="107"/>
      <c r="BA86" s="891"/>
      <c r="BB86" s="107"/>
      <c r="BC86" s="891"/>
      <c r="BD86" s="107"/>
    </row>
    <row r="87" spans="1:56" s="1401" customFormat="1">
      <c r="A87" s="454" t="s">
        <v>908</v>
      </c>
      <c r="B87" s="896"/>
      <c r="C87" s="896"/>
      <c r="D87" s="954">
        <f>'Annual historicals'!G102</f>
        <v>-27.992000000000001</v>
      </c>
      <c r="E87" s="954">
        <f>'Annual historicals'!H102</f>
        <v>-74.691000000000003</v>
      </c>
      <c r="F87" s="954">
        <f>'Annual historicals'!I102</f>
        <v>-21.577000000000002</v>
      </c>
      <c r="G87" s="954">
        <f>'Annual historicals'!J102</f>
        <v>-14.494</v>
      </c>
      <c r="H87" s="954">
        <f>'Annual historicals'!K102</f>
        <v>-23.734999999999999</v>
      </c>
      <c r="I87" s="954">
        <f>'Annual historicals'!L102</f>
        <v>-32.905000000000001</v>
      </c>
      <c r="J87" s="954">
        <f>'Annual historicals'!M102</f>
        <v>-164.178</v>
      </c>
      <c r="K87" s="788">
        <f>'Annual historicals'!N102</f>
        <v>-226.12</v>
      </c>
      <c r="L87" s="788">
        <f>'Annual historicals'!O102</f>
        <v>-172.08099999999999</v>
      </c>
      <c r="M87" s="788">
        <f>'Annual historicals'!P102</f>
        <v>-125.029</v>
      </c>
      <c r="N87" s="788">
        <f>'Annual historicals'!Q102</f>
        <v>-89.674999999999997</v>
      </c>
      <c r="O87" s="679">
        <f>'Annual historicals'!R102</f>
        <v>-107.82599999999999</v>
      </c>
      <c r="P87" s="356">
        <f>-P88/1000*P90</f>
        <v>0</v>
      </c>
      <c r="Q87" s="356">
        <f>-Q88/1000*Q90</f>
        <v>0</v>
      </c>
      <c r="R87" s="356">
        <f t="shared" ref="R87:W87" si="312">-R88/1000*R90</f>
        <v>-125.88760799999999</v>
      </c>
      <c r="S87" s="356">
        <f t="shared" si="312"/>
        <v>-131.42666275199997</v>
      </c>
      <c r="T87" s="356">
        <f t="shared" si="312"/>
        <v>-137.20943591308799</v>
      </c>
      <c r="U87" s="356">
        <f t="shared" si="312"/>
        <v>-143.24665109326386</v>
      </c>
      <c r="V87" s="356">
        <f t="shared" si="312"/>
        <v>-149.54950374136746</v>
      </c>
      <c r="W87" s="356">
        <f t="shared" si="312"/>
        <v>-156.12968190598764</v>
      </c>
      <c r="X87" s="107"/>
      <c r="Y87" s="891"/>
      <c r="Z87" s="107"/>
      <c r="AA87" s="891"/>
      <c r="AB87" s="107"/>
      <c r="AC87" s="891"/>
      <c r="AD87" s="107"/>
      <c r="AE87" s="891"/>
      <c r="AF87" s="107"/>
      <c r="AG87" s="891"/>
      <c r="AH87" s="107"/>
      <c r="AI87" s="891"/>
      <c r="AJ87" s="107"/>
      <c r="AK87" s="891"/>
      <c r="AL87" s="107"/>
      <c r="AM87" s="891"/>
      <c r="AN87" s="107"/>
      <c r="AO87" s="891"/>
      <c r="AP87" s="107"/>
      <c r="AQ87" s="891"/>
      <c r="AR87" s="107"/>
      <c r="AS87" s="891"/>
      <c r="AT87" s="107"/>
      <c r="AU87" s="891"/>
      <c r="AV87" s="107"/>
      <c r="AW87" s="891"/>
      <c r="AX87" s="107"/>
      <c r="AY87" s="891"/>
      <c r="AZ87" s="107"/>
      <c r="BA87" s="891"/>
      <c r="BB87" s="107"/>
      <c r="BC87" s="891"/>
      <c r="BD87" s="107"/>
    </row>
    <row r="88" spans="1:56" s="1401" customFormat="1">
      <c r="A88" s="982" t="s">
        <v>1031</v>
      </c>
      <c r="B88" s="896"/>
      <c r="C88" s="896"/>
      <c r="D88" s="954"/>
      <c r="E88" s="954"/>
      <c r="F88" s="954"/>
      <c r="G88" s="954"/>
      <c r="H88" s="954"/>
      <c r="I88" s="954"/>
      <c r="J88" s="954"/>
      <c r="K88" s="788"/>
      <c r="L88" s="788"/>
      <c r="M88" s="788"/>
      <c r="N88" s="788"/>
      <c r="O88" s="679"/>
      <c r="P88" s="614">
        <f>(Financials!P5-Financials!O5)</f>
        <v>0</v>
      </c>
      <c r="Q88" s="614">
        <f>(Financials!Q5-Financials!P5)</f>
        <v>0</v>
      </c>
      <c r="R88" s="614">
        <f>(Financials!R5-Financials!Q5)</f>
        <v>500</v>
      </c>
      <c r="S88" s="614">
        <f>(Financials!S5-Financials!R5)</f>
        <v>500</v>
      </c>
      <c r="T88" s="614">
        <f>(Financials!T5-Financials!S5)</f>
        <v>500</v>
      </c>
      <c r="U88" s="614">
        <f>(Financials!U5-Financials!T5)</f>
        <v>500</v>
      </c>
      <c r="V88" s="614">
        <f>(Financials!V5-Financials!U5)</f>
        <v>500</v>
      </c>
      <c r="W88" s="614">
        <f>(Financials!W5-Financials!V5)</f>
        <v>500</v>
      </c>
      <c r="X88" s="107"/>
      <c r="Y88" s="891"/>
      <c r="Z88" s="107"/>
      <c r="AA88" s="891"/>
      <c r="AB88" s="107"/>
      <c r="AC88" s="891"/>
      <c r="AD88" s="107"/>
      <c r="AE88" s="891"/>
      <c r="AF88" s="107"/>
      <c r="AG88" s="891"/>
      <c r="AH88" s="107"/>
      <c r="AI88" s="891"/>
      <c r="AJ88" s="107"/>
      <c r="AK88" s="891"/>
      <c r="AL88" s="107"/>
      <c r="AM88" s="891"/>
      <c r="AN88" s="107"/>
      <c r="AO88" s="891"/>
      <c r="AP88" s="107"/>
      <c r="AQ88" s="891"/>
      <c r="AR88" s="107"/>
      <c r="AS88" s="891"/>
      <c r="AT88" s="107"/>
      <c r="AU88" s="891"/>
      <c r="AV88" s="107"/>
      <c r="AW88" s="891"/>
      <c r="AX88" s="107"/>
      <c r="AY88" s="891"/>
      <c r="AZ88" s="107"/>
      <c r="BA88" s="891"/>
      <c r="BB88" s="107"/>
      <c r="BC88" s="891"/>
      <c r="BD88" s="107"/>
    </row>
    <row r="89" spans="1:56" s="1401" customFormat="1">
      <c r="A89" s="982" t="s">
        <v>1029</v>
      </c>
      <c r="B89" s="896"/>
      <c r="C89" s="896"/>
      <c r="D89" s="954"/>
      <c r="E89" s="954"/>
      <c r="F89" s="954"/>
      <c r="G89" s="954"/>
      <c r="H89" s="954"/>
      <c r="I89" s="954"/>
      <c r="J89" s="954"/>
      <c r="K89" s="788"/>
      <c r="L89" s="788"/>
      <c r="M89" s="788"/>
      <c r="N89" s="788"/>
      <c r="O89" s="679"/>
      <c r="P89" s="485">
        <f>+Inputs!P128</f>
        <v>70</v>
      </c>
      <c r="Q89" s="485">
        <f>+Inputs!Q128</f>
        <v>73.08</v>
      </c>
      <c r="R89" s="485">
        <f>+Inputs!R128</f>
        <v>76.295519999999996</v>
      </c>
      <c r="S89" s="485">
        <f>+Inputs!S128</f>
        <v>79.652522879999992</v>
      </c>
      <c r="T89" s="485">
        <f>+Inputs!T128</f>
        <v>83.157233886719993</v>
      </c>
      <c r="U89" s="485">
        <f>+Inputs!U128</f>
        <v>86.816152177735674</v>
      </c>
      <c r="V89" s="485">
        <f>+Inputs!V128</f>
        <v>90.636062873556043</v>
      </c>
      <c r="W89" s="485">
        <f>+Inputs!W128</f>
        <v>94.624049639992506</v>
      </c>
      <c r="X89" s="107"/>
      <c r="Y89" s="891"/>
      <c r="Z89" s="107"/>
      <c r="AA89" s="891"/>
      <c r="AB89" s="107"/>
      <c r="AC89" s="891"/>
      <c r="AD89" s="107"/>
      <c r="AE89" s="891"/>
      <c r="AF89" s="107"/>
      <c r="AG89" s="891"/>
      <c r="AH89" s="107"/>
      <c r="AI89" s="891"/>
      <c r="AJ89" s="107"/>
      <c r="AK89" s="891"/>
      <c r="AL89" s="107"/>
      <c r="AM89" s="891"/>
      <c r="AN89" s="107"/>
      <c r="AO89" s="891"/>
      <c r="AP89" s="107"/>
      <c r="AQ89" s="891"/>
      <c r="AR89" s="107"/>
      <c r="AS89" s="891"/>
      <c r="AT89" s="107"/>
      <c r="AU89" s="891"/>
      <c r="AV89" s="107"/>
      <c r="AW89" s="891"/>
      <c r="AX89" s="107"/>
      <c r="AY89" s="891"/>
      <c r="AZ89" s="107"/>
      <c r="BA89" s="891"/>
      <c r="BB89" s="107"/>
      <c r="BC89" s="891"/>
      <c r="BD89" s="107"/>
    </row>
    <row r="90" spans="1:56" s="1401" customFormat="1">
      <c r="A90" s="982" t="s">
        <v>1030</v>
      </c>
      <c r="B90" s="896"/>
      <c r="C90" s="896"/>
      <c r="D90" s="954"/>
      <c r="E90" s="954"/>
      <c r="F90" s="954"/>
      <c r="G90" s="954"/>
      <c r="H90" s="954"/>
      <c r="I90" s="954"/>
      <c r="J90" s="954"/>
      <c r="K90" s="788"/>
      <c r="L90" s="788"/>
      <c r="M90" s="788"/>
      <c r="N90" s="788"/>
      <c r="O90" s="679"/>
      <c r="P90" s="356">
        <f>P89*Inputs!P155</f>
        <v>218.92499999999995</v>
      </c>
      <c r="Q90" s="356">
        <f>Q89*Inputs!Q155</f>
        <v>235.68299999999996</v>
      </c>
      <c r="R90" s="356">
        <f>R89*Inputs!R155</f>
        <v>251.77521599999997</v>
      </c>
      <c r="S90" s="356">
        <f>S89*Inputs!S155</f>
        <v>262.85332550399994</v>
      </c>
      <c r="T90" s="356">
        <f>T89*Inputs!T155</f>
        <v>274.41887182617597</v>
      </c>
      <c r="U90" s="356">
        <f>U89*Inputs!U155</f>
        <v>286.49330218652773</v>
      </c>
      <c r="V90" s="356">
        <f>V89*Inputs!V155</f>
        <v>299.09900748273492</v>
      </c>
      <c r="W90" s="356">
        <f>W89*Inputs!W155</f>
        <v>312.25936381197528</v>
      </c>
      <c r="X90" s="107"/>
      <c r="Y90" s="891"/>
      <c r="Z90" s="107"/>
      <c r="AA90" s="891"/>
      <c r="AB90" s="107"/>
      <c r="AC90" s="891"/>
      <c r="AD90" s="107"/>
      <c r="AE90" s="891"/>
      <c r="AF90" s="107"/>
      <c r="AG90" s="891"/>
      <c r="AH90" s="107"/>
      <c r="AI90" s="891"/>
      <c r="AJ90" s="107"/>
      <c r="AK90" s="891"/>
      <c r="AL90" s="107"/>
      <c r="AM90" s="891"/>
      <c r="AN90" s="107"/>
      <c r="AO90" s="891"/>
      <c r="AP90" s="107"/>
      <c r="AQ90" s="891"/>
      <c r="AR90" s="107"/>
      <c r="AS90" s="891"/>
      <c r="AT90" s="107"/>
      <c r="AU90" s="891"/>
      <c r="AV90" s="107"/>
      <c r="AW90" s="891"/>
      <c r="AX90" s="107"/>
      <c r="AY90" s="891"/>
      <c r="AZ90" s="107"/>
      <c r="BA90" s="891"/>
      <c r="BB90" s="107"/>
      <c r="BC90" s="891"/>
      <c r="BD90" s="107"/>
    </row>
    <row r="91" spans="1:56" s="1401" customFormat="1">
      <c r="A91" s="787" t="s">
        <v>138</v>
      </c>
      <c r="B91" s="896"/>
      <c r="C91" s="896"/>
      <c r="D91" s="785">
        <f t="shared" ref="D91:W91" si="313">SUM(D84:D87)</f>
        <v>-127.08920631368949</v>
      </c>
      <c r="E91" s="785">
        <f t="shared" si="313"/>
        <v>-302.63987772583414</v>
      </c>
      <c r="F91" s="785">
        <f t="shared" si="313"/>
        <v>-518.5025009425633</v>
      </c>
      <c r="G91" s="785">
        <f t="shared" si="313"/>
        <v>-456.86105474386102</v>
      </c>
      <c r="H91" s="785">
        <f t="shared" si="313"/>
        <v>-406.42931014284784</v>
      </c>
      <c r="I91" s="785">
        <f t="shared" si="313"/>
        <v>-453.78375724781768</v>
      </c>
      <c r="J91" s="785">
        <f t="shared" si="313"/>
        <v>-630.72745324398852</v>
      </c>
      <c r="K91" s="785">
        <f t="shared" si="313"/>
        <v>-679.58479289026468</v>
      </c>
      <c r="L91" s="785">
        <f t="shared" si="313"/>
        <v>-658.26471211441719</v>
      </c>
      <c r="M91" s="785">
        <f t="shared" si="313"/>
        <v>-811.75642652511965</v>
      </c>
      <c r="N91" s="785">
        <f t="shared" si="313"/>
        <v>-839.56829111905597</v>
      </c>
      <c r="O91" s="2374">
        <f t="shared" ref="O91" si="314">SUM(O84:O87)</f>
        <v>-976.64621607509048</v>
      </c>
      <c r="P91" s="364">
        <f>SUM(P84:P87)</f>
        <v>-990.91228347385834</v>
      </c>
      <c r="Q91" s="364">
        <f t="shared" si="313"/>
        <v>-1022.2459586001489</v>
      </c>
      <c r="R91" s="364">
        <f t="shared" si="313"/>
        <v>-1223.8058451790046</v>
      </c>
      <c r="S91" s="364">
        <f t="shared" si="313"/>
        <v>-1383.4198210911572</v>
      </c>
      <c r="T91" s="364">
        <f t="shared" si="313"/>
        <v>-1471.7311882750196</v>
      </c>
      <c r="U91" s="364">
        <f t="shared" si="313"/>
        <v>-1417.0078734257611</v>
      </c>
      <c r="V91" s="364">
        <f t="shared" si="313"/>
        <v>-1392.6595437548833</v>
      </c>
      <c r="W91" s="364">
        <f t="shared" si="313"/>
        <v>-1538.1137500929294</v>
      </c>
      <c r="X91" s="107"/>
      <c r="Y91" s="891"/>
      <c r="Z91" s="107"/>
      <c r="AA91" s="891"/>
      <c r="AB91" s="107"/>
      <c r="AC91" s="891"/>
      <c r="AD91" s="107"/>
      <c r="AE91" s="891"/>
      <c r="AF91" s="107"/>
      <c r="AG91" s="891"/>
      <c r="AH91" s="107"/>
      <c r="AI91" s="891"/>
      <c r="AJ91" s="107"/>
      <c r="AK91" s="891"/>
      <c r="AL91" s="107"/>
      <c r="AM91" s="891"/>
      <c r="AN91" s="107"/>
      <c r="AO91" s="891"/>
      <c r="AP91" s="107"/>
      <c r="AQ91" s="891"/>
      <c r="AR91" s="107"/>
      <c r="AS91" s="891"/>
      <c r="AT91" s="107"/>
      <c r="AU91" s="891"/>
      <c r="AV91" s="107"/>
      <c r="AW91" s="891"/>
      <c r="AX91" s="107"/>
      <c r="AY91" s="891"/>
      <c r="AZ91" s="107"/>
      <c r="BA91" s="891"/>
      <c r="BB91" s="107"/>
      <c r="BC91" s="891"/>
      <c r="BD91" s="107"/>
    </row>
    <row r="92" spans="1:56" s="1401" customFormat="1">
      <c r="A92" s="789" t="s">
        <v>910</v>
      </c>
      <c r="B92" s="896"/>
      <c r="C92" s="896"/>
      <c r="D92" s="488">
        <f>-D91/Q_IS!B104</f>
        <v>0.15728433918097465</v>
      </c>
      <c r="E92" s="488">
        <f>-E91/Q_IS!C104</f>
        <v>0.36615450231548796</v>
      </c>
      <c r="F92" s="488">
        <f>-F91/Q_IS!D104</f>
        <v>0.72780554833961941</v>
      </c>
      <c r="G92" s="488">
        <f>-G91/Q_IS!E104</f>
        <v>0.5899221178884192</v>
      </c>
      <c r="H92" s="488">
        <f>-H91/Q_IS!F104</f>
        <v>0.34347483758618824</v>
      </c>
      <c r="I92" s="488">
        <f>-I91/Q_IS!G104</f>
        <v>0.35039999169744507</v>
      </c>
      <c r="J92" s="488">
        <f>-J91/Q_IS!H104</f>
        <v>0.46139873242963619</v>
      </c>
      <c r="K92" s="488">
        <f>-K91/Q_IS!I104</f>
        <v>0.41540580779793607</v>
      </c>
      <c r="L92" s="488">
        <f>-L91/Q_IS!J$104</f>
        <v>0.33394585156161777</v>
      </c>
      <c r="M92" s="488">
        <f>-M91/Q_IS!K$104</f>
        <v>0.34911822338620691</v>
      </c>
      <c r="N92" s="488">
        <f>-N91/Q_IS!L$104</f>
        <v>0.30782971164589007</v>
      </c>
      <c r="O92" s="488">
        <f>-O91/Q_IS!M$104</f>
        <v>0.32523629502427676</v>
      </c>
      <c r="P92" s="1633">
        <f>-P91/Q_IS!N104</f>
        <v>0.27098086180386372</v>
      </c>
      <c r="Q92" s="1633">
        <f>-Q91/Q_IS!O104</f>
        <v>0.2702855779861959</v>
      </c>
      <c r="R92" s="1633">
        <f>-R91/Q_IS!P104</f>
        <v>0.29960104645501273</v>
      </c>
      <c r="S92" s="1633">
        <f>-S91/Q_IS!Q104</f>
        <v>0.2942767316450926</v>
      </c>
      <c r="T92" s="1633">
        <f>-T91/Q_IS!R104</f>
        <v>0.29252096478619938</v>
      </c>
      <c r="U92" s="1633">
        <f>-U91/Q_IS!S104</f>
        <v>0.29594015112233391</v>
      </c>
      <c r="V92" s="1633">
        <f>-V91/Q_IS!T104</f>
        <v>0.2984983333116879</v>
      </c>
      <c r="W92" s="1633">
        <f>-W91/Q_IS!U104</f>
        <v>0.29459864566305588</v>
      </c>
      <c r="X92" s="107"/>
      <c r="Y92" s="891"/>
      <c r="Z92" s="107"/>
      <c r="AA92" s="891"/>
      <c r="AB92" s="107"/>
      <c r="AC92" s="891"/>
      <c r="AD92" s="107"/>
      <c r="AE92" s="891"/>
      <c r="AF92" s="107"/>
      <c r="AG92" s="891"/>
      <c r="AH92" s="107"/>
      <c r="AI92" s="891"/>
      <c r="AJ92" s="107"/>
      <c r="AK92" s="891"/>
      <c r="AL92" s="107"/>
      <c r="AM92" s="891"/>
      <c r="AN92" s="107"/>
      <c r="AO92" s="891"/>
      <c r="AP92" s="107"/>
      <c r="AQ92" s="891"/>
      <c r="AR92" s="107"/>
      <c r="AS92" s="891"/>
      <c r="AT92" s="107"/>
      <c r="AU92" s="891"/>
      <c r="AV92" s="107"/>
      <c r="AW92" s="891"/>
      <c r="AX92" s="107"/>
      <c r="AY92" s="891"/>
      <c r="AZ92" s="107"/>
      <c r="BA92" s="891"/>
      <c r="BB92" s="107"/>
      <c r="BC92" s="891"/>
      <c r="BD92" s="107"/>
    </row>
    <row r="93" spans="1:56" s="1401" customFormat="1">
      <c r="A93" s="1992" t="s">
        <v>911</v>
      </c>
      <c r="B93" s="896"/>
      <c r="C93" s="896"/>
      <c r="D93" s="488">
        <f>-D91/+'Annual historicals'!F186</f>
        <v>0.10186286724136535</v>
      </c>
      <c r="E93" s="488">
        <f>-E91/'Annual historicals'!G186</f>
        <v>0.24375814720362168</v>
      </c>
      <c r="F93" s="488">
        <f>-F91/(Q_Financials!E60+Q_Financials!E55)</f>
        <v>0.25495487833895281</v>
      </c>
      <c r="G93" s="488">
        <f>-G91/(Q_Financials!I60+Q_Financials!I55)</f>
        <v>0.18933910284980307</v>
      </c>
      <c r="H93" s="488">
        <f>-H91/(Q_Financials!M60+Q_Financials!M55)</f>
        <v>0.16220209791640722</v>
      </c>
      <c r="I93" s="488">
        <f>-I91/(Q_Financials!Q60+Q_Financials!Q55)</f>
        <v>0.14893884894434997</v>
      </c>
      <c r="J93" s="488">
        <f>-J91/(Q_Financials!U60+Q_Financials!U55)</f>
        <v>0.20236016528671935</v>
      </c>
      <c r="K93" s="488">
        <f>-K91/(Q_Financials!Y60+Q_Financials!Y55)</f>
        <v>0.18888380799754981</v>
      </c>
      <c r="L93" s="488">
        <f>-L91/(Q_Financials!AC60+Q_Financials!AC55)</f>
        <v>0.17399494679598398</v>
      </c>
      <c r="M93" s="343">
        <f>-M91/(Q_Financials!AG60+Q_Financials!AG55)</f>
        <v>0.20749461946239461</v>
      </c>
      <c r="N93" s="343">
        <f>-N91/(Q_Financials!AK60+Q_Financials!AK55)</f>
        <v>0.19004619704955003</v>
      </c>
      <c r="O93" s="343">
        <f>-O91/(Q_Financials!AL60+Q_Financials!AL55)</f>
        <v>0.22412740751543891</v>
      </c>
      <c r="P93" s="782">
        <f>-P91/Q_Financials!AS60+Q_Financials!AS55</f>
        <v>0.18732176551625765</v>
      </c>
      <c r="Q93" s="1633">
        <f>-Q91/(Q_Financials!AW60+Q_Financials!AW55)</f>
        <v>0.19341233646630016</v>
      </c>
      <c r="R93" s="1633">
        <f>-R91/(Q_Financials!BA60+Q_Financials!BA55)</f>
        <v>0.22924469361165972</v>
      </c>
      <c r="S93" s="1633">
        <f>-S91/(Q_Financials!BE60+Q_Financials!BE55)</f>
        <v>0.2508226256471297</v>
      </c>
      <c r="T93" s="1633">
        <f>-T91/Q_Financials!BI60+Q_Financials!BI55</f>
        <v>0.2584557452942941</v>
      </c>
      <c r="U93" s="1633">
        <f>-U91/(Q_Financials!BM60+Q_Financials!BM55)</f>
        <v>0.24111721107905626</v>
      </c>
      <c r="V93" s="1633">
        <f>-V91/(Q_Financials!BQ60+Q_Financials!BQ55)</f>
        <v>0.22954990395366348</v>
      </c>
      <c r="W93" s="1633">
        <f>-W91/(Q_Financials!BU60+Q_Financials!BU55)</f>
        <v>0.24554605348030761</v>
      </c>
      <c r="X93" s="107"/>
      <c r="Y93" s="891"/>
      <c r="Z93" s="107"/>
      <c r="AA93" s="891"/>
      <c r="AB93" s="107"/>
      <c r="AC93" s="891"/>
      <c r="AD93" s="107"/>
      <c r="AE93" s="891"/>
      <c r="AF93" s="107"/>
      <c r="AG93" s="891"/>
      <c r="AH93" s="107"/>
      <c r="AI93" s="891"/>
      <c r="AJ93" s="107"/>
      <c r="AK93" s="891"/>
      <c r="AL93" s="107"/>
      <c r="AM93" s="891"/>
      <c r="AN93" s="107"/>
      <c r="AO93" s="891"/>
      <c r="AP93" s="107"/>
      <c r="AQ93" s="891"/>
      <c r="AR93" s="107"/>
      <c r="AS93" s="891"/>
      <c r="AT93" s="107"/>
      <c r="AU93" s="891"/>
      <c r="AV93" s="107"/>
      <c r="AW93" s="891"/>
      <c r="AX93" s="107"/>
      <c r="AY93" s="891"/>
      <c r="AZ93" s="107"/>
      <c r="BA93" s="891"/>
      <c r="BB93" s="107"/>
      <c r="BC93" s="891"/>
      <c r="BD93" s="107"/>
    </row>
    <row r="94" spans="1:56" s="1401" customFormat="1">
      <c r="A94" s="923"/>
      <c r="B94" s="896"/>
      <c r="C94" s="896"/>
      <c r="D94" s="896"/>
      <c r="E94" s="896"/>
      <c r="F94" s="896"/>
      <c r="G94" s="896"/>
      <c r="H94" s="896"/>
      <c r="I94" s="896"/>
      <c r="J94" s="896"/>
      <c r="K94" s="896"/>
      <c r="L94" s="896"/>
      <c r="M94" s="896"/>
      <c r="N94" s="896"/>
      <c r="O94" s="2375"/>
      <c r="P94" s="898"/>
      <c r="Q94" s="898"/>
      <c r="R94" s="898"/>
      <c r="S94" s="898"/>
      <c r="T94" s="898"/>
      <c r="U94" s="898"/>
      <c r="V94" s="898"/>
      <c r="W94" s="898"/>
      <c r="X94" s="107"/>
      <c r="Y94" s="891"/>
      <c r="Z94" s="107"/>
      <c r="AA94" s="891"/>
      <c r="AB94" s="107"/>
      <c r="AC94" s="891"/>
      <c r="AD94" s="107"/>
      <c r="AE94" s="891"/>
      <c r="AF94" s="107"/>
      <c r="AG94" s="891"/>
      <c r="AH94" s="107"/>
      <c r="AI94" s="891"/>
      <c r="AJ94" s="107"/>
      <c r="AK94" s="891"/>
      <c r="AL94" s="107"/>
      <c r="AM94" s="891"/>
      <c r="AN94" s="107"/>
      <c r="AO94" s="891"/>
      <c r="AP94" s="107"/>
      <c r="AQ94" s="891"/>
      <c r="AR94" s="107"/>
      <c r="AS94" s="891"/>
      <c r="AT94" s="107"/>
      <c r="AU94" s="891"/>
      <c r="AV94" s="107"/>
      <c r="AW94" s="891"/>
      <c r="AX94" s="107"/>
      <c r="AY94" s="891"/>
      <c r="AZ94" s="107"/>
      <c r="BA94" s="891"/>
      <c r="BB94" s="107"/>
      <c r="BC94" s="891"/>
      <c r="BD94" s="107"/>
    </row>
    <row r="95" spans="1:56" s="1401" customFormat="1">
      <c r="A95" s="893" t="s">
        <v>1462</v>
      </c>
      <c r="B95" s="894">
        <v>2004</v>
      </c>
      <c r="C95" s="894">
        <v>2005</v>
      </c>
      <c r="D95" s="894">
        <v>2006</v>
      </c>
      <c r="E95" s="894">
        <v>2007</v>
      </c>
      <c r="F95" s="894">
        <v>2008</v>
      </c>
      <c r="G95" s="894">
        <v>2009</v>
      </c>
      <c r="H95" s="894">
        <v>2010</v>
      </c>
      <c r="I95" s="894">
        <v>2011</v>
      </c>
      <c r="J95" s="894">
        <v>2012</v>
      </c>
      <c r="K95" s="894">
        <v>2013</v>
      </c>
      <c r="L95" s="894">
        <v>2014</v>
      </c>
      <c r="M95" s="894">
        <v>2015</v>
      </c>
      <c r="N95" s="894">
        <v>2016</v>
      </c>
      <c r="O95" s="2372">
        <v>2017</v>
      </c>
      <c r="P95" s="388">
        <v>2018</v>
      </c>
      <c r="Q95" s="388">
        <v>2019</v>
      </c>
      <c r="R95" s="388">
        <v>2020</v>
      </c>
      <c r="S95" s="388">
        <v>2021</v>
      </c>
      <c r="T95" s="388">
        <v>2022</v>
      </c>
      <c r="U95" s="388">
        <v>2023</v>
      </c>
      <c r="V95" s="388">
        <v>2024</v>
      </c>
      <c r="W95" s="388">
        <v>2025</v>
      </c>
      <c r="X95" s="107"/>
      <c r="Y95" s="107"/>
      <c r="Z95" s="107"/>
      <c r="AA95" s="107"/>
      <c r="AB95" s="107"/>
      <c r="AC95" s="107"/>
      <c r="AD95" s="107"/>
      <c r="AE95" s="372"/>
      <c r="AF95" s="372"/>
      <c r="AG95" s="372"/>
      <c r="AH95" s="372"/>
      <c r="AI95" s="372"/>
      <c r="AJ95" s="407"/>
      <c r="AK95" s="407"/>
      <c r="AL95" s="407"/>
      <c r="AM95" s="407"/>
      <c r="AN95" s="407"/>
      <c r="AO95" s="407"/>
      <c r="AP95" s="407"/>
      <c r="AQ95" s="407"/>
      <c r="AR95" s="407"/>
      <c r="AS95" s="407"/>
      <c r="AT95" s="407"/>
      <c r="AU95" s="407"/>
      <c r="AV95" s="407"/>
      <c r="AW95" s="407"/>
      <c r="AX95" s="407"/>
      <c r="AY95" s="407"/>
      <c r="AZ95" s="407"/>
      <c r="BA95" s="407"/>
      <c r="BB95" s="407"/>
      <c r="BC95" s="407"/>
    </row>
    <row r="96" spans="1:56" s="1401" customFormat="1">
      <c r="A96" s="923" t="s">
        <v>254</v>
      </c>
      <c r="B96" s="896">
        <f>+'Annual historicals'!E196</f>
        <v>54.197000000000003</v>
      </c>
      <c r="C96" s="896">
        <f>+'Annual historicals'!F196</f>
        <v>54.197000000000003</v>
      </c>
      <c r="D96" s="896">
        <f>+'Annual historicals'!G196</f>
        <v>17.731000000000002</v>
      </c>
      <c r="E96" s="896">
        <f>Q_Financials!E84</f>
        <v>360</v>
      </c>
      <c r="F96" s="896">
        <f>Q_Financials!I84</f>
        <v>360</v>
      </c>
      <c r="G96" s="896">
        <f>Q_Financials!M84</f>
        <v>358.101</v>
      </c>
      <c r="H96" s="896">
        <f>Q_Financials!Q84</f>
        <v>358.101</v>
      </c>
      <c r="I96" s="896">
        <f>Q_Financials!U84</f>
        <v>455.9</v>
      </c>
      <c r="J96" s="896">
        <f>Q_Financials!Y84</f>
        <v>455.9</v>
      </c>
      <c r="K96" s="896">
        <f>Q_Financials!AC84</f>
        <v>614.15</v>
      </c>
      <c r="L96" s="896">
        <f>Q_Financials!AG84</f>
        <v>737.2</v>
      </c>
      <c r="M96" s="896">
        <f>Q_Financials!AK84</f>
        <v>822.11099999999999</v>
      </c>
      <c r="N96" s="896">
        <f>Q_Financials!AO84</f>
        <v>941.87099999999998</v>
      </c>
      <c r="O96" s="202">
        <f>Q_Financials!AS84</f>
        <v>1448.729</v>
      </c>
      <c r="P96" s="898">
        <f>O96+P150+P154-P156</f>
        <v>1448.729</v>
      </c>
      <c r="Q96" s="898">
        <f t="shared" ref="Q96:W96" si="315">P96+Q150+Q154-Q156</f>
        <v>1448.729</v>
      </c>
      <c r="R96" s="898">
        <f t="shared" si="315"/>
        <v>1448.729</v>
      </c>
      <c r="S96" s="898">
        <f t="shared" si="315"/>
        <v>1448.729</v>
      </c>
      <c r="T96" s="898">
        <f t="shared" si="315"/>
        <v>1448.729</v>
      </c>
      <c r="U96" s="898">
        <f t="shared" si="315"/>
        <v>1448.729</v>
      </c>
      <c r="V96" s="898">
        <f t="shared" si="315"/>
        <v>1448.729</v>
      </c>
      <c r="W96" s="898">
        <f t="shared" si="315"/>
        <v>1448.729</v>
      </c>
      <c r="X96" s="107"/>
      <c r="Y96" s="891"/>
      <c r="Z96" s="107"/>
      <c r="AA96" s="891"/>
      <c r="AB96" s="107"/>
      <c r="AC96" s="891"/>
      <c r="AD96" s="107"/>
      <c r="AE96" s="891"/>
      <c r="AF96" s="107"/>
      <c r="AG96" s="891"/>
      <c r="AH96" s="107"/>
      <c r="AI96" s="891"/>
      <c r="AJ96" s="107"/>
      <c r="AK96" s="891"/>
      <c r="AL96" s="107"/>
      <c r="AM96" s="891"/>
      <c r="AN96" s="107"/>
      <c r="AO96" s="891"/>
      <c r="AP96" s="107"/>
      <c r="AQ96" s="891"/>
      <c r="AR96" s="107"/>
      <c r="AS96" s="891"/>
      <c r="AT96" s="107"/>
      <c r="AU96" s="891"/>
      <c r="AV96" s="107"/>
      <c r="AW96" s="891"/>
      <c r="AX96" s="107"/>
      <c r="AY96" s="891"/>
      <c r="AZ96" s="107"/>
      <c r="BA96" s="891"/>
      <c r="BB96" s="107"/>
      <c r="BC96" s="891"/>
      <c r="BD96" s="107"/>
    </row>
    <row r="97" spans="1:56" s="1401" customFormat="1">
      <c r="A97" s="923"/>
      <c r="B97" s="896"/>
      <c r="C97" s="896"/>
      <c r="D97" s="896"/>
      <c r="E97" s="896"/>
      <c r="F97" s="896"/>
      <c r="G97" s="896"/>
      <c r="H97" s="896"/>
      <c r="I97" s="896"/>
      <c r="J97" s="896"/>
      <c r="K97" s="896"/>
      <c r="L97" s="896"/>
      <c r="M97" s="896"/>
      <c r="N97" s="896"/>
      <c r="O97" s="2375"/>
      <c r="P97" s="898"/>
      <c r="Q97" s="898"/>
      <c r="R97" s="898"/>
      <c r="S97" s="898"/>
      <c r="T97" s="898"/>
      <c r="U97" s="898"/>
      <c r="V97" s="898"/>
      <c r="W97" s="898"/>
      <c r="X97" s="107"/>
      <c r="Y97" s="891"/>
      <c r="Z97" s="107"/>
      <c r="AA97" s="891"/>
      <c r="AB97" s="107"/>
      <c r="AC97" s="891"/>
      <c r="AD97" s="107"/>
      <c r="AE97" s="891"/>
      <c r="AF97" s="107"/>
      <c r="AG97" s="891"/>
      <c r="AH97" s="107"/>
      <c r="AI97" s="891"/>
      <c r="AJ97" s="107"/>
      <c r="AK97" s="891"/>
      <c r="AL97" s="107"/>
      <c r="AM97" s="891"/>
      <c r="AN97" s="107"/>
      <c r="AO97" s="891"/>
      <c r="AP97" s="107"/>
      <c r="AQ97" s="891"/>
      <c r="AR97" s="107"/>
      <c r="AS97" s="891"/>
      <c r="AT97" s="107"/>
      <c r="AU97" s="891"/>
      <c r="AV97" s="107"/>
      <c r="AW97" s="891"/>
      <c r="AX97" s="107"/>
      <c r="AY97" s="891"/>
      <c r="AZ97" s="107"/>
      <c r="BA97" s="891"/>
      <c r="BB97" s="107"/>
      <c r="BC97" s="891"/>
      <c r="BD97" s="107"/>
    </row>
    <row r="98" spans="1:56" s="1401" customFormat="1">
      <c r="A98" s="892" t="s">
        <v>144</v>
      </c>
      <c r="B98" s="891"/>
      <c r="C98" s="891"/>
      <c r="D98" s="891"/>
      <c r="E98" s="891"/>
      <c r="F98" s="891"/>
      <c r="G98" s="891"/>
      <c r="H98" s="891"/>
      <c r="I98" s="891"/>
      <c r="J98" s="344"/>
      <c r="K98" s="344"/>
      <c r="L98" s="344"/>
      <c r="M98" s="344"/>
      <c r="N98" s="344">
        <f>Index!$K$52</f>
        <v>18.399994</v>
      </c>
      <c r="O98" s="374">
        <f>Index!$K$52</f>
        <v>18.399994</v>
      </c>
      <c r="P98" s="368">
        <f>Index!$K$52</f>
        <v>18.399994</v>
      </c>
      <c r="Q98" s="368">
        <f>Index!$K$52</f>
        <v>18.399994</v>
      </c>
      <c r="R98" s="368">
        <f>Index!$K$52</f>
        <v>18.399994</v>
      </c>
      <c r="S98" s="368">
        <f>Index!$K$52</f>
        <v>18.399994</v>
      </c>
      <c r="T98" s="368">
        <f>Index!$K$52</f>
        <v>18.399994</v>
      </c>
      <c r="U98" s="368">
        <f>Index!$K$52</f>
        <v>18.399994</v>
      </c>
      <c r="V98" s="368">
        <f>Index!$K$52</f>
        <v>18.399994</v>
      </c>
      <c r="W98" s="368">
        <f>Index!$K$52</f>
        <v>18.399994</v>
      </c>
      <c r="X98" s="107"/>
      <c r="Y98" s="107"/>
      <c r="Z98" s="107"/>
      <c r="AA98" s="107"/>
      <c r="AB98" s="107"/>
      <c r="AC98" s="107"/>
      <c r="AD98" s="107"/>
      <c r="AE98" s="372"/>
      <c r="AF98" s="372"/>
      <c r="AG98" s="372"/>
      <c r="AH98" s="372"/>
      <c r="AI98" s="372"/>
      <c r="AJ98" s="407"/>
      <c r="AK98" s="407"/>
      <c r="AL98" s="407"/>
      <c r="AM98" s="407"/>
      <c r="AN98" s="407"/>
      <c r="AO98" s="407"/>
      <c r="AP98" s="407"/>
      <c r="AQ98" s="407"/>
      <c r="AR98" s="407"/>
      <c r="AS98" s="407"/>
      <c r="AT98" s="407"/>
      <c r="AU98" s="407"/>
      <c r="AV98" s="407"/>
      <c r="AW98" s="407"/>
      <c r="AX98" s="407"/>
      <c r="AY98" s="407"/>
      <c r="AZ98" s="407"/>
      <c r="BA98" s="407"/>
      <c r="BB98" s="407"/>
      <c r="BC98" s="407"/>
    </row>
    <row r="99" spans="1:56" s="1401" customFormat="1">
      <c r="A99" s="892"/>
      <c r="B99" s="891"/>
      <c r="C99" s="891"/>
      <c r="D99" s="891"/>
      <c r="E99" s="891"/>
      <c r="F99" s="891"/>
      <c r="G99" s="891"/>
      <c r="H99" s="891"/>
      <c r="I99" s="891"/>
      <c r="J99" s="344"/>
      <c r="K99" s="344"/>
      <c r="L99" s="344"/>
      <c r="M99" s="344"/>
      <c r="N99" s="344"/>
      <c r="O99" s="2376"/>
      <c r="P99" s="368"/>
      <c r="Q99" s="368"/>
      <c r="R99" s="368"/>
      <c r="S99" s="368"/>
      <c r="T99" s="368"/>
      <c r="U99" s="368"/>
      <c r="V99" s="368"/>
      <c r="W99" s="368"/>
      <c r="X99" s="107"/>
      <c r="Y99" s="107"/>
      <c r="Z99" s="107"/>
      <c r="AA99" s="107"/>
      <c r="AB99" s="107"/>
      <c r="AC99" s="107"/>
      <c r="AD99" s="107"/>
      <c r="AE99" s="372"/>
      <c r="AF99" s="372"/>
      <c r="AG99" s="372"/>
      <c r="AH99" s="372"/>
      <c r="AI99" s="372"/>
      <c r="AJ99" s="407"/>
      <c r="AK99" s="407"/>
      <c r="AL99" s="407"/>
      <c r="AM99" s="407"/>
      <c r="AN99" s="407"/>
      <c r="AO99" s="407"/>
      <c r="AP99" s="407"/>
      <c r="AQ99" s="407"/>
      <c r="AR99" s="407"/>
      <c r="AS99" s="407"/>
      <c r="AT99" s="407"/>
      <c r="AU99" s="407"/>
      <c r="AV99" s="407"/>
      <c r="AW99" s="407"/>
      <c r="AX99" s="407"/>
      <c r="AY99" s="407"/>
      <c r="AZ99" s="407"/>
      <c r="BA99" s="407"/>
      <c r="BB99" s="407"/>
      <c r="BC99" s="407"/>
    </row>
    <row r="100" spans="1:56" s="1401" customFormat="1">
      <c r="A100" s="924" t="s">
        <v>976</v>
      </c>
      <c r="B100" s="891"/>
      <c r="C100" s="891"/>
      <c r="D100" s="891"/>
      <c r="E100" s="891"/>
      <c r="F100" s="891"/>
      <c r="G100" s="891"/>
      <c r="H100" s="891"/>
      <c r="I100" s="891"/>
      <c r="J100" s="914">
        <f>SUM(J101:J104)-J127</f>
        <v>0.55893800000000005</v>
      </c>
      <c r="K100" s="914">
        <f>SUM(K101:K104)-K127</f>
        <v>0.84893700000000005</v>
      </c>
      <c r="L100" s="914">
        <f>SUM(L101:L104)-SUM(K127:L127)</f>
        <v>1.498429</v>
      </c>
      <c r="M100" s="914">
        <f>SUM(M101:M104)-M127</f>
        <v>1.4004240000000001</v>
      </c>
      <c r="N100" s="914">
        <f>SUM(N101:N104)-N127</f>
        <v>1.139424</v>
      </c>
      <c r="O100" s="2377">
        <f>SUM(O101:O108)-O127</f>
        <v>3.213616</v>
      </c>
      <c r="P100" s="891"/>
      <c r="Q100" s="891"/>
      <c r="R100" s="891"/>
      <c r="S100" s="891"/>
      <c r="T100" s="891"/>
      <c r="U100" s="891"/>
      <c r="V100" s="891"/>
      <c r="W100" s="891"/>
      <c r="X100" s="107"/>
      <c r="Y100" s="107"/>
      <c r="Z100" s="107"/>
      <c r="AA100" s="107"/>
      <c r="AB100" s="107"/>
      <c r="AC100" s="107"/>
      <c r="AD100" s="107"/>
      <c r="AE100" s="372"/>
      <c r="AF100" s="372"/>
      <c r="AG100" s="372"/>
      <c r="AH100" s="372"/>
      <c r="AI100" s="372"/>
      <c r="AJ100" s="407"/>
      <c r="AK100" s="407"/>
      <c r="AL100" s="407"/>
      <c r="AM100" s="407"/>
      <c r="AN100" s="407"/>
      <c r="AO100" s="407"/>
      <c r="AP100" s="407"/>
      <c r="AQ100" s="407"/>
      <c r="AR100" s="407"/>
      <c r="AS100" s="407"/>
      <c r="AT100" s="407"/>
      <c r="AU100" s="407"/>
      <c r="AV100" s="407"/>
      <c r="AW100" s="407"/>
      <c r="AX100" s="407"/>
      <c r="AY100" s="407"/>
      <c r="AZ100" s="407"/>
      <c r="BA100" s="407"/>
      <c r="BB100" s="407"/>
      <c r="BC100" s="407"/>
    </row>
    <row r="101" spans="1:56" s="1401" customFormat="1">
      <c r="A101" s="923" t="s">
        <v>977</v>
      </c>
      <c r="B101" s="891"/>
      <c r="C101" s="891"/>
      <c r="D101" s="891"/>
      <c r="E101" s="891"/>
      <c r="F101" s="891"/>
      <c r="G101" s="891"/>
      <c r="H101" s="891"/>
      <c r="I101" s="891"/>
      <c r="J101" s="1396">
        <v>0.1404</v>
      </c>
      <c r="K101" s="916">
        <f t="shared" ref="K101:O102" si="316">J101</f>
        <v>0.1404</v>
      </c>
      <c r="L101" s="916">
        <f t="shared" si="316"/>
        <v>0.1404</v>
      </c>
      <c r="M101" s="916">
        <f t="shared" si="316"/>
        <v>0.1404</v>
      </c>
      <c r="N101" s="916">
        <f t="shared" si="316"/>
        <v>0.1404</v>
      </c>
      <c r="O101" s="374">
        <f t="shared" si="316"/>
        <v>0.1404</v>
      </c>
      <c r="P101" s="891"/>
      <c r="Q101" s="891"/>
      <c r="R101" s="891"/>
      <c r="S101" s="891"/>
      <c r="T101" s="891"/>
      <c r="U101" s="891"/>
      <c r="V101" s="891"/>
      <c r="W101" s="891"/>
      <c r="X101" s="107"/>
      <c r="Y101" s="107"/>
      <c r="Z101" s="107"/>
      <c r="AA101" s="107"/>
      <c r="AB101" s="107"/>
      <c r="AC101" s="107"/>
      <c r="AD101" s="107"/>
      <c r="AE101" s="372"/>
      <c r="AF101" s="372"/>
      <c r="AG101" s="372"/>
      <c r="AH101" s="372"/>
      <c r="AI101" s="372"/>
      <c r="AJ101" s="407"/>
      <c r="AK101" s="407"/>
      <c r="AL101" s="407"/>
      <c r="AM101" s="407"/>
      <c r="AN101" s="407"/>
      <c r="AO101" s="407"/>
      <c r="AP101" s="407"/>
      <c r="AQ101" s="407"/>
      <c r="AR101" s="407"/>
      <c r="AS101" s="407"/>
      <c r="AT101" s="407"/>
      <c r="AU101" s="407"/>
      <c r="AV101" s="407"/>
      <c r="AW101" s="407"/>
      <c r="AX101" s="407"/>
      <c r="AY101" s="407"/>
      <c r="AZ101" s="407"/>
      <c r="BA101" s="407"/>
      <c r="BB101" s="407"/>
      <c r="BC101" s="407"/>
    </row>
    <row r="102" spans="1:56" s="1401" customFormat="1">
      <c r="A102" s="923" t="s">
        <v>978</v>
      </c>
      <c r="B102" s="891"/>
      <c r="C102" s="891"/>
      <c r="D102" s="891"/>
      <c r="E102" s="891"/>
      <c r="F102" s="891"/>
      <c r="G102" s="891"/>
      <c r="H102" s="891"/>
      <c r="I102" s="891"/>
      <c r="J102" s="345">
        <v>0.41853800000000002</v>
      </c>
      <c r="K102" s="916">
        <f t="shared" si="316"/>
        <v>0.41853800000000002</v>
      </c>
      <c r="L102" s="916">
        <f t="shared" si="316"/>
        <v>0.41853800000000002</v>
      </c>
      <c r="M102" s="916">
        <f t="shared" si="316"/>
        <v>0.41853800000000002</v>
      </c>
      <c r="N102" s="916">
        <f t="shared" si="316"/>
        <v>0.41853800000000002</v>
      </c>
      <c r="O102" s="374">
        <f t="shared" si="316"/>
        <v>0.41853800000000002</v>
      </c>
      <c r="P102" s="891"/>
      <c r="Q102" s="891"/>
      <c r="R102" s="891"/>
      <c r="S102" s="891"/>
      <c r="T102" s="891"/>
      <c r="U102" s="891"/>
      <c r="V102" s="891"/>
      <c r="W102" s="891"/>
      <c r="X102" s="107"/>
      <c r="Y102" s="107"/>
      <c r="Z102" s="107"/>
      <c r="AA102" s="107"/>
      <c r="AB102" s="107"/>
      <c r="AC102" s="107"/>
      <c r="AD102" s="107"/>
      <c r="AE102" s="372"/>
      <c r="AF102" s="372"/>
      <c r="AG102" s="372"/>
      <c r="AH102" s="372"/>
      <c r="AI102" s="372"/>
      <c r="AJ102" s="407"/>
      <c r="AK102" s="407"/>
      <c r="AL102" s="407"/>
      <c r="AM102" s="407"/>
      <c r="AN102" s="407"/>
      <c r="AO102" s="407"/>
      <c r="AP102" s="407"/>
      <c r="AQ102" s="407"/>
      <c r="AR102" s="407"/>
      <c r="AS102" s="407"/>
      <c r="AT102" s="407"/>
      <c r="AU102" s="407"/>
      <c r="AV102" s="407"/>
      <c r="AW102" s="407"/>
      <c r="AX102" s="407"/>
      <c r="AY102" s="407"/>
      <c r="AZ102" s="407"/>
      <c r="BA102" s="407"/>
      <c r="BB102" s="407"/>
      <c r="BC102" s="407"/>
    </row>
    <row r="103" spans="1:56" s="1401" customFormat="1">
      <c r="A103" s="923" t="s">
        <v>979</v>
      </c>
      <c r="B103" s="891"/>
      <c r="C103" s="891"/>
      <c r="D103" s="891"/>
      <c r="E103" s="891"/>
      <c r="F103" s="891"/>
      <c r="G103" s="891"/>
      <c r="H103" s="891"/>
      <c r="I103" s="891"/>
      <c r="J103" s="344"/>
      <c r="K103" s="345">
        <v>0.33038800000000001</v>
      </c>
      <c r="L103" s="344">
        <f>K103</f>
        <v>0.33038800000000001</v>
      </c>
      <c r="M103" s="344">
        <f>L103</f>
        <v>0.33038800000000001</v>
      </c>
      <c r="N103" s="344">
        <f>M103</f>
        <v>0.33038800000000001</v>
      </c>
      <c r="O103" s="374">
        <f>N103</f>
        <v>0.33038800000000001</v>
      </c>
      <c r="P103" s="891"/>
      <c r="Q103" s="891"/>
      <c r="R103" s="891"/>
      <c r="S103" s="891"/>
      <c r="T103" s="891"/>
      <c r="U103" s="891"/>
      <c r="V103" s="891"/>
      <c r="W103" s="891"/>
      <c r="X103" s="107"/>
      <c r="Y103" s="107"/>
      <c r="Z103" s="107"/>
      <c r="AA103" s="107"/>
      <c r="AB103" s="107"/>
      <c r="AC103" s="107"/>
      <c r="AD103" s="107"/>
      <c r="AE103" s="372"/>
      <c r="AF103" s="372"/>
      <c r="AG103" s="372"/>
      <c r="AH103" s="372"/>
      <c r="AI103" s="372"/>
      <c r="AJ103" s="407"/>
      <c r="AK103" s="407"/>
      <c r="AL103" s="407"/>
      <c r="AM103" s="407"/>
      <c r="AN103" s="407"/>
      <c r="AO103" s="407"/>
      <c r="AP103" s="407"/>
      <c r="AQ103" s="407"/>
      <c r="AR103" s="407"/>
      <c r="AS103" s="407"/>
      <c r="AT103" s="407"/>
      <c r="AU103" s="407"/>
      <c r="AV103" s="407"/>
      <c r="AW103" s="407"/>
      <c r="AX103" s="407"/>
      <c r="AY103" s="407"/>
      <c r="AZ103" s="407"/>
      <c r="BA103" s="407"/>
      <c r="BB103" s="407"/>
      <c r="BC103" s="407"/>
    </row>
    <row r="104" spans="1:56" s="1401" customFormat="1">
      <c r="A104" s="923" t="s">
        <v>980</v>
      </c>
      <c r="B104" s="891"/>
      <c r="C104" s="891"/>
      <c r="D104" s="891"/>
      <c r="E104" s="891"/>
      <c r="F104" s="891"/>
      <c r="G104" s="891"/>
      <c r="H104" s="891"/>
      <c r="I104" s="891"/>
      <c r="J104" s="344"/>
      <c r="K104" s="344"/>
      <c r="L104" s="345">
        <v>0.75906300000000004</v>
      </c>
      <c r="M104" s="344">
        <f>L104</f>
        <v>0.75906300000000004</v>
      </c>
      <c r="N104" s="344">
        <f>M104</f>
        <v>0.75906300000000004</v>
      </c>
      <c r="O104" s="374">
        <f>N104</f>
        <v>0.75906300000000004</v>
      </c>
      <c r="P104" s="891"/>
      <c r="Q104" s="891"/>
      <c r="R104" s="891"/>
      <c r="S104" s="891"/>
      <c r="T104" s="891"/>
      <c r="U104" s="891"/>
      <c r="V104" s="891"/>
      <c r="W104" s="891"/>
      <c r="X104" s="107"/>
      <c r="Y104" s="107"/>
      <c r="Z104" s="107"/>
      <c r="AA104" s="107"/>
      <c r="AB104" s="107"/>
      <c r="AC104" s="107"/>
      <c r="AD104" s="107"/>
      <c r="AE104" s="372"/>
      <c r="AF104" s="372"/>
      <c r="AG104" s="372"/>
      <c r="AH104" s="372"/>
      <c r="AI104" s="372"/>
      <c r="AJ104" s="407"/>
      <c r="AK104" s="407"/>
      <c r="AL104" s="407"/>
      <c r="AM104" s="407"/>
      <c r="AN104" s="407"/>
      <c r="AO104" s="407"/>
      <c r="AP104" s="407"/>
      <c r="AQ104" s="407"/>
      <c r="AR104" s="407"/>
      <c r="AS104" s="407"/>
      <c r="AT104" s="407"/>
      <c r="AU104" s="407"/>
      <c r="AV104" s="407"/>
      <c r="AW104" s="407"/>
      <c r="AX104" s="407"/>
      <c r="AY104" s="407"/>
      <c r="AZ104" s="407"/>
      <c r="BA104" s="407"/>
      <c r="BB104" s="407"/>
      <c r="BC104" s="407"/>
    </row>
    <row r="105" spans="1:56" s="1401" customFormat="1">
      <c r="A105" s="923" t="s">
        <v>1195</v>
      </c>
      <c r="B105" s="891"/>
      <c r="C105" s="891"/>
      <c r="D105" s="891"/>
      <c r="E105" s="891"/>
      <c r="F105" s="891"/>
      <c r="G105" s="891"/>
      <c r="H105" s="891"/>
      <c r="I105" s="891"/>
      <c r="J105" s="344"/>
      <c r="K105" s="344"/>
      <c r="L105" s="344"/>
      <c r="M105" s="345">
        <v>0.95603400000000005</v>
      </c>
      <c r="N105" s="345">
        <f>M105</f>
        <v>0.95603400000000005</v>
      </c>
      <c r="O105" s="374">
        <f>N105</f>
        <v>0.95603400000000005</v>
      </c>
      <c r="P105" s="891"/>
      <c r="Q105" s="891"/>
      <c r="R105" s="891"/>
      <c r="S105" s="891"/>
      <c r="T105" s="891"/>
      <c r="U105" s="891"/>
      <c r="V105" s="891"/>
      <c r="W105" s="891"/>
      <c r="X105" s="107"/>
      <c r="Y105" s="107"/>
      <c r="Z105" s="107"/>
      <c r="AA105" s="107"/>
      <c r="AB105" s="107"/>
      <c r="AC105" s="107"/>
      <c r="AD105" s="107"/>
      <c r="AE105" s="372"/>
      <c r="AF105" s="372"/>
      <c r="AG105" s="372"/>
      <c r="AH105" s="372"/>
      <c r="AI105" s="372"/>
      <c r="AJ105" s="407"/>
      <c r="AK105" s="407"/>
      <c r="AL105" s="407"/>
      <c r="AM105" s="407"/>
      <c r="AN105" s="407"/>
      <c r="AO105" s="407"/>
      <c r="AP105" s="407"/>
      <c r="AQ105" s="407"/>
      <c r="AR105" s="407"/>
      <c r="AS105" s="407"/>
      <c r="AT105" s="407"/>
      <c r="AU105" s="407"/>
      <c r="AV105" s="407"/>
      <c r="AW105" s="407"/>
      <c r="AX105" s="407"/>
      <c r="AY105" s="407"/>
      <c r="AZ105" s="407"/>
      <c r="BA105" s="407"/>
      <c r="BB105" s="407"/>
      <c r="BC105" s="407"/>
    </row>
    <row r="106" spans="1:56" s="1401" customFormat="1">
      <c r="A106" s="923" t="s">
        <v>1315</v>
      </c>
      <c r="B106" s="891"/>
      <c r="C106" s="891"/>
      <c r="D106" s="891"/>
      <c r="E106" s="891"/>
      <c r="F106" s="891"/>
      <c r="G106" s="891"/>
      <c r="H106" s="891"/>
      <c r="I106" s="891"/>
      <c r="J106" s="344"/>
      <c r="K106" s="344"/>
      <c r="L106" s="344"/>
      <c r="M106" s="344"/>
      <c r="N106" s="345">
        <v>0.76770000000000005</v>
      </c>
      <c r="O106" s="374">
        <f>N106</f>
        <v>0.76770000000000005</v>
      </c>
      <c r="P106" s="891"/>
      <c r="Q106" s="891"/>
      <c r="R106" s="891"/>
      <c r="S106" s="891"/>
      <c r="T106" s="891"/>
      <c r="U106" s="891"/>
      <c r="V106" s="891"/>
      <c r="W106" s="891"/>
      <c r="X106" s="107"/>
      <c r="Y106" s="107"/>
      <c r="Z106" s="107"/>
      <c r="AA106" s="107"/>
      <c r="AB106" s="107"/>
      <c r="AC106" s="107"/>
      <c r="AD106" s="107"/>
      <c r="AE106" s="372"/>
      <c r="AF106" s="372"/>
      <c r="AG106" s="372"/>
      <c r="AH106" s="372"/>
      <c r="AI106" s="372"/>
      <c r="AJ106" s="407"/>
      <c r="AK106" s="407"/>
      <c r="AL106" s="407"/>
      <c r="AM106" s="407"/>
      <c r="AN106" s="407"/>
      <c r="AO106" s="407"/>
      <c r="AP106" s="407"/>
      <c r="AQ106" s="407"/>
      <c r="AR106" s="407"/>
      <c r="AS106" s="407"/>
      <c r="AT106" s="407"/>
      <c r="AU106" s="407"/>
      <c r="AV106" s="407"/>
      <c r="AW106" s="407"/>
      <c r="AX106" s="407"/>
      <c r="AY106" s="407"/>
      <c r="AZ106" s="407"/>
      <c r="BA106" s="407"/>
      <c r="BB106" s="407"/>
      <c r="BC106" s="407"/>
    </row>
    <row r="107" spans="1:56" s="1401" customFormat="1">
      <c r="A107" s="923" t="s">
        <v>1537</v>
      </c>
      <c r="B107" s="891"/>
      <c r="C107" s="891"/>
      <c r="D107" s="891"/>
      <c r="E107" s="891"/>
      <c r="F107" s="891"/>
      <c r="G107" s="891"/>
      <c r="H107" s="891"/>
      <c r="I107" s="891"/>
      <c r="J107" s="344"/>
      <c r="K107" s="344"/>
      <c r="L107" s="344"/>
      <c r="M107" s="344"/>
      <c r="N107" s="344"/>
      <c r="O107" s="2378">
        <v>0.77993400000000002</v>
      </c>
      <c r="P107" s="891"/>
      <c r="Q107" s="891"/>
      <c r="R107" s="891"/>
      <c r="S107" s="891"/>
      <c r="T107" s="891"/>
      <c r="U107" s="891"/>
      <c r="V107" s="891"/>
      <c r="W107" s="891"/>
      <c r="X107" s="107"/>
      <c r="Y107" s="107"/>
      <c r="Z107" s="107"/>
      <c r="AA107" s="107"/>
      <c r="AB107" s="107"/>
      <c r="AC107" s="107"/>
      <c r="AD107" s="107"/>
      <c r="AE107" s="372"/>
      <c r="AF107" s="372"/>
      <c r="AG107" s="372"/>
      <c r="AH107" s="372"/>
      <c r="AI107" s="372"/>
      <c r="AJ107" s="407"/>
      <c r="AK107" s="407"/>
      <c r="AL107" s="407"/>
      <c r="AM107" s="407"/>
      <c r="AN107" s="407"/>
      <c r="AO107" s="407"/>
      <c r="AP107" s="407"/>
      <c r="AQ107" s="407"/>
      <c r="AR107" s="407"/>
      <c r="AS107" s="407"/>
      <c r="AT107" s="407"/>
      <c r="AU107" s="407"/>
      <c r="AV107" s="407"/>
      <c r="AW107" s="407"/>
      <c r="AX107" s="407"/>
      <c r="AY107" s="407"/>
      <c r="AZ107" s="407"/>
      <c r="BA107" s="407"/>
      <c r="BB107" s="407"/>
      <c r="BC107" s="407"/>
    </row>
    <row r="108" spans="1:56" s="1401" customFormat="1">
      <c r="A108" s="923"/>
      <c r="B108" s="891"/>
      <c r="C108" s="891"/>
      <c r="D108" s="891"/>
      <c r="E108" s="891"/>
      <c r="F108" s="891"/>
      <c r="G108" s="891"/>
      <c r="H108" s="891"/>
      <c r="I108" s="891"/>
      <c r="J108" s="344"/>
      <c r="K108" s="344"/>
      <c r="L108" s="344"/>
      <c r="M108" s="344"/>
      <c r="N108" s="344"/>
      <c r="O108" s="2378"/>
      <c r="P108" s="891"/>
      <c r="Q108" s="891"/>
      <c r="R108" s="891"/>
      <c r="S108" s="891"/>
      <c r="T108" s="891"/>
      <c r="U108" s="891"/>
      <c r="V108" s="891"/>
      <c r="W108" s="891"/>
      <c r="X108" s="107"/>
      <c r="Y108" s="107"/>
      <c r="Z108" s="107"/>
      <c r="AA108" s="107"/>
      <c r="AB108" s="107"/>
      <c r="AC108" s="107"/>
      <c r="AD108" s="107"/>
      <c r="AE108" s="372"/>
      <c r="AF108" s="372"/>
      <c r="AG108" s="372"/>
      <c r="AH108" s="372"/>
      <c r="AI108" s="372"/>
      <c r="AJ108" s="407"/>
      <c r="AK108" s="407"/>
      <c r="AL108" s="407"/>
      <c r="AM108" s="407"/>
      <c r="AN108" s="407"/>
      <c r="AO108" s="407"/>
      <c r="AP108" s="407"/>
      <c r="AQ108" s="407"/>
      <c r="AR108" s="407"/>
      <c r="AS108" s="407"/>
      <c r="AT108" s="407"/>
      <c r="AU108" s="407"/>
      <c r="AV108" s="407"/>
      <c r="AW108" s="407"/>
      <c r="AX108" s="407"/>
      <c r="AY108" s="407"/>
      <c r="AZ108" s="407"/>
      <c r="BA108" s="407"/>
      <c r="BB108" s="407"/>
      <c r="BC108" s="407"/>
    </row>
    <row r="109" spans="1:56" s="1401" customFormat="1">
      <c r="A109" s="924" t="s">
        <v>1004</v>
      </c>
      <c r="B109" s="891"/>
      <c r="C109" s="891"/>
      <c r="D109" s="891"/>
      <c r="E109" s="891"/>
      <c r="F109" s="891"/>
      <c r="G109" s="891"/>
      <c r="H109" s="891"/>
      <c r="I109" s="891"/>
      <c r="J109" s="344"/>
      <c r="K109" s="914">
        <f t="shared" ref="K109:N109" si="317">SUM(K110:K114)</f>
        <v>4.6800000000000001E-2</v>
      </c>
      <c r="L109" s="914">
        <f t="shared" si="317"/>
        <v>0.23311266666666669</v>
      </c>
      <c r="M109" s="914">
        <f t="shared" si="317"/>
        <v>0.52955466666666662</v>
      </c>
      <c r="N109" s="914">
        <f t="shared" si="317"/>
        <v>1.0322176666666667</v>
      </c>
      <c r="O109" s="2377">
        <f>SUM(O110:O117)</f>
        <v>2.229924</v>
      </c>
      <c r="P109" s="915">
        <f>SUM(P110:P117)</f>
        <v>3.0575230000000002</v>
      </c>
      <c r="Q109" s="915">
        <f t="shared" ref="Q109:W109" si="318">SUM(Q110:Q117)</f>
        <v>3.0731630000000001</v>
      </c>
      <c r="R109" s="915">
        <f>SUM(R110:R117)</f>
        <v>2.742775</v>
      </c>
      <c r="S109" s="915">
        <f t="shared" si="318"/>
        <v>1.9837120000000001</v>
      </c>
      <c r="T109" s="915">
        <f t="shared" si="318"/>
        <v>1.9837120000000001</v>
      </c>
      <c r="U109" s="915">
        <f t="shared" si="318"/>
        <v>1.9837120000000001</v>
      </c>
      <c r="V109" s="915">
        <f t="shared" si="318"/>
        <v>1.9837120000000001</v>
      </c>
      <c r="W109" s="915">
        <f t="shared" si="318"/>
        <v>1.9837120000000001</v>
      </c>
      <c r="X109" s="107"/>
      <c r="Y109" s="107"/>
      <c r="Z109" s="107"/>
      <c r="AA109" s="107"/>
      <c r="AB109" s="107"/>
      <c r="AC109" s="107"/>
      <c r="AD109" s="107"/>
      <c r="AE109" s="372"/>
      <c r="AF109" s="372"/>
      <c r="AG109" s="372"/>
      <c r="AH109" s="372"/>
      <c r="AI109" s="372"/>
      <c r="AJ109" s="407"/>
      <c r="AK109" s="407"/>
      <c r="AL109" s="407"/>
      <c r="AM109" s="407"/>
      <c r="AN109" s="407"/>
      <c r="AO109" s="407"/>
      <c r="AP109" s="407"/>
      <c r="AQ109" s="407"/>
      <c r="AR109" s="407"/>
      <c r="AS109" s="407"/>
      <c r="AT109" s="407"/>
      <c r="AU109" s="407"/>
      <c r="AV109" s="407"/>
      <c r="AW109" s="407"/>
      <c r="AX109" s="407"/>
      <c r="AY109" s="407"/>
      <c r="AZ109" s="407"/>
      <c r="BA109" s="407"/>
      <c r="BB109" s="407"/>
      <c r="BC109" s="407"/>
    </row>
    <row r="110" spans="1:56" s="1401" customFormat="1">
      <c r="A110" s="923" t="s">
        <v>977</v>
      </c>
      <c r="B110" s="891"/>
      <c r="C110" s="891"/>
      <c r="D110" s="891"/>
      <c r="E110" s="891"/>
      <c r="F110" s="891"/>
      <c r="G110" s="891"/>
      <c r="H110" s="891"/>
      <c r="I110" s="891"/>
      <c r="J110" s="344"/>
      <c r="K110" s="344">
        <f>J101*1/3</f>
        <v>4.6800000000000001E-2</v>
      </c>
      <c r="L110" s="344">
        <f>K110+J101*1/3</f>
        <v>9.3600000000000003E-2</v>
      </c>
      <c r="M110" s="344">
        <f>L110+J101*1/3</f>
        <v>0.1404</v>
      </c>
      <c r="N110" s="344">
        <f>M110</f>
        <v>0.1404</v>
      </c>
      <c r="O110" s="374">
        <f>N110</f>
        <v>0.1404</v>
      </c>
      <c r="P110" s="368">
        <f>O110</f>
        <v>0.1404</v>
      </c>
      <c r="Q110" s="345">
        <v>0</v>
      </c>
      <c r="R110" s="345">
        <v>0</v>
      </c>
      <c r="S110" s="345">
        <v>0</v>
      </c>
      <c r="T110" s="345">
        <v>0</v>
      </c>
      <c r="U110" s="345">
        <v>0</v>
      </c>
      <c r="V110" s="345">
        <v>0</v>
      </c>
      <c r="W110" s="345">
        <v>0</v>
      </c>
      <c r="X110" s="107"/>
      <c r="Y110" s="107"/>
      <c r="Z110" s="107"/>
      <c r="AA110" s="107"/>
      <c r="AB110" s="107"/>
      <c r="AC110" s="107"/>
      <c r="AD110" s="107"/>
      <c r="AE110" s="372"/>
      <c r="AF110" s="372"/>
      <c r="AG110" s="372"/>
      <c r="AH110" s="372"/>
      <c r="AI110" s="372"/>
      <c r="AJ110" s="407"/>
      <c r="AK110" s="407"/>
      <c r="AL110" s="407"/>
      <c r="AM110" s="407"/>
      <c r="AN110" s="407"/>
      <c r="AO110" s="407"/>
      <c r="AP110" s="407"/>
      <c r="AQ110" s="407"/>
      <c r="AR110" s="407"/>
      <c r="AS110" s="407"/>
      <c r="AT110" s="407"/>
      <c r="AU110" s="407"/>
      <c r="AV110" s="407"/>
      <c r="AW110" s="407"/>
      <c r="AX110" s="407"/>
      <c r="AY110" s="407"/>
      <c r="AZ110" s="407"/>
      <c r="BA110" s="407"/>
      <c r="BB110" s="407"/>
      <c r="BC110" s="407"/>
    </row>
    <row r="111" spans="1:56" s="1401" customFormat="1">
      <c r="A111" s="923" t="s">
        <v>978</v>
      </c>
      <c r="B111" s="891"/>
      <c r="C111" s="891"/>
      <c r="D111" s="891"/>
      <c r="E111" s="891"/>
      <c r="F111" s="891"/>
      <c r="G111" s="891"/>
      <c r="H111" s="891"/>
      <c r="I111" s="891"/>
      <c r="J111" s="344"/>
      <c r="K111" s="344"/>
      <c r="L111" s="344">
        <f>J102*1/3</f>
        <v>0.13951266666666667</v>
      </c>
      <c r="M111" s="344">
        <f>L111+J102*1/3</f>
        <v>0.27902533333333335</v>
      </c>
      <c r="N111" s="344">
        <f>M111+J102*1/3</f>
        <v>0.41853800000000002</v>
      </c>
      <c r="O111" s="374">
        <f>N111</f>
        <v>0.41853800000000002</v>
      </c>
      <c r="P111" s="368">
        <f>O111</f>
        <v>0.41853800000000002</v>
      </c>
      <c r="Q111" s="345">
        <v>0</v>
      </c>
      <c r="R111" s="345">
        <v>0</v>
      </c>
      <c r="S111" s="345">
        <v>0</v>
      </c>
      <c r="T111" s="345">
        <v>0</v>
      </c>
      <c r="U111" s="345">
        <v>0</v>
      </c>
      <c r="V111" s="345">
        <v>0</v>
      </c>
      <c r="W111" s="345">
        <v>0</v>
      </c>
      <c r="X111" s="107"/>
      <c r="Y111" s="107"/>
      <c r="Z111" s="107"/>
      <c r="AA111" s="107"/>
      <c r="AB111" s="107"/>
      <c r="AC111" s="107"/>
      <c r="AD111" s="107"/>
      <c r="AE111" s="372"/>
      <c r="AF111" s="372"/>
      <c r="AG111" s="372"/>
      <c r="AH111" s="372"/>
      <c r="AI111" s="372"/>
      <c r="AJ111" s="407"/>
      <c r="AK111" s="407"/>
      <c r="AL111" s="407"/>
      <c r="AM111" s="407"/>
      <c r="AN111" s="407"/>
      <c r="AO111" s="407"/>
      <c r="AP111" s="407"/>
      <c r="AQ111" s="407"/>
      <c r="AR111" s="407"/>
      <c r="AS111" s="407"/>
      <c r="AT111" s="407"/>
      <c r="AU111" s="407"/>
      <c r="AV111" s="407"/>
      <c r="AW111" s="407"/>
      <c r="AX111" s="407"/>
      <c r="AY111" s="407"/>
      <c r="AZ111" s="407"/>
      <c r="BA111" s="407"/>
      <c r="BB111" s="407"/>
      <c r="BC111" s="407"/>
    </row>
    <row r="112" spans="1:56" s="1401" customFormat="1">
      <c r="A112" s="923" t="s">
        <v>979</v>
      </c>
      <c r="B112" s="891"/>
      <c r="C112" s="891"/>
      <c r="D112" s="891"/>
      <c r="E112" s="891"/>
      <c r="F112" s="891"/>
      <c r="G112" s="891"/>
      <c r="H112" s="891"/>
      <c r="I112" s="891"/>
      <c r="J112" s="344"/>
      <c r="K112" s="344"/>
      <c r="L112" s="344"/>
      <c r="M112" s="344">
        <f>K103*1/3</f>
        <v>0.11012933333333334</v>
      </c>
      <c r="N112" s="344">
        <f>M112+K103*1/3</f>
        <v>0.22025866666666669</v>
      </c>
      <c r="O112" s="374">
        <f>N112+K103*1/3</f>
        <v>0.33038800000000001</v>
      </c>
      <c r="P112" s="368">
        <f>O112</f>
        <v>0.33038800000000001</v>
      </c>
      <c r="Q112" s="368">
        <f>P112</f>
        <v>0.33038800000000001</v>
      </c>
      <c r="R112" s="345">
        <v>0</v>
      </c>
      <c r="S112" s="345">
        <v>0</v>
      </c>
      <c r="T112" s="345">
        <v>0</v>
      </c>
      <c r="U112" s="345">
        <v>0</v>
      </c>
      <c r="V112" s="345">
        <v>0</v>
      </c>
      <c r="W112" s="345">
        <v>0</v>
      </c>
      <c r="X112" s="107"/>
      <c r="Y112" s="107"/>
      <c r="Z112" s="107"/>
      <c r="AA112" s="107"/>
      <c r="AB112" s="107"/>
      <c r="AC112" s="107"/>
      <c r="AD112" s="107"/>
      <c r="AE112" s="372"/>
      <c r="AF112" s="372"/>
      <c r="AG112" s="372"/>
      <c r="AH112" s="372"/>
      <c r="AI112" s="372"/>
      <c r="AJ112" s="407"/>
      <c r="AK112" s="407"/>
      <c r="AL112" s="407"/>
      <c r="AM112" s="407"/>
      <c r="AN112" s="407"/>
      <c r="AO112" s="407"/>
      <c r="AP112" s="407"/>
      <c r="AQ112" s="407"/>
      <c r="AR112" s="407"/>
      <c r="AS112" s="407"/>
      <c r="AT112" s="407"/>
      <c r="AU112" s="407"/>
      <c r="AV112" s="407"/>
      <c r="AW112" s="407"/>
      <c r="AX112" s="407"/>
      <c r="AY112" s="407"/>
      <c r="AZ112" s="407"/>
      <c r="BA112" s="407"/>
      <c r="BB112" s="407"/>
      <c r="BC112" s="407"/>
    </row>
    <row r="113" spans="1:55" s="1401" customFormat="1">
      <c r="A113" s="923" t="s">
        <v>980</v>
      </c>
      <c r="B113" s="891"/>
      <c r="C113" s="891"/>
      <c r="D113" s="891"/>
      <c r="E113" s="891"/>
      <c r="F113" s="891"/>
      <c r="G113" s="891"/>
      <c r="H113" s="891"/>
      <c r="I113" s="891"/>
      <c r="J113" s="344"/>
      <c r="K113" s="344"/>
      <c r="L113" s="344"/>
      <c r="M113" s="344"/>
      <c r="N113" s="344">
        <f>L104*1/3</f>
        <v>0.253021</v>
      </c>
      <c r="O113" s="374">
        <f>N113+L104*1/3</f>
        <v>0.50604199999999999</v>
      </c>
      <c r="P113" s="368">
        <f>O113+L104*1/3</f>
        <v>0.75906300000000004</v>
      </c>
      <c r="Q113" s="368">
        <f>P113</f>
        <v>0.75906300000000004</v>
      </c>
      <c r="R113" s="368">
        <f>Q113</f>
        <v>0.75906300000000004</v>
      </c>
      <c r="S113" s="345">
        <v>0</v>
      </c>
      <c r="T113" s="345">
        <v>0</v>
      </c>
      <c r="U113" s="345">
        <v>0</v>
      </c>
      <c r="V113" s="345">
        <v>0</v>
      </c>
      <c r="W113" s="345">
        <v>0</v>
      </c>
      <c r="X113" s="107"/>
      <c r="Y113" s="107"/>
      <c r="Z113" s="107"/>
      <c r="AA113" s="107"/>
      <c r="AB113" s="107"/>
      <c r="AC113" s="107"/>
      <c r="AD113" s="107"/>
      <c r="AE113" s="372"/>
      <c r="AF113" s="372"/>
      <c r="AG113" s="372"/>
      <c r="AH113" s="372"/>
      <c r="AI113" s="372"/>
      <c r="AJ113" s="407"/>
      <c r="AK113" s="407"/>
      <c r="AL113" s="407"/>
      <c r="AM113" s="407"/>
      <c r="AN113" s="407"/>
      <c r="AO113" s="407"/>
      <c r="AP113" s="407"/>
      <c r="AQ113" s="407"/>
      <c r="AR113" s="407"/>
      <c r="AS113" s="407"/>
      <c r="AT113" s="407"/>
      <c r="AU113" s="407"/>
      <c r="AV113" s="407"/>
      <c r="AW113" s="407"/>
      <c r="AX113" s="407"/>
      <c r="AY113" s="407"/>
      <c r="AZ113" s="407"/>
      <c r="BA113" s="407"/>
      <c r="BB113" s="407"/>
      <c r="BC113" s="407"/>
    </row>
    <row r="114" spans="1:55" s="1401" customFormat="1">
      <c r="A114" s="923" t="s">
        <v>1195</v>
      </c>
      <c r="B114" s="891"/>
      <c r="C114" s="891"/>
      <c r="D114" s="891"/>
      <c r="E114" s="891"/>
      <c r="F114" s="891"/>
      <c r="G114" s="891"/>
      <c r="H114" s="891"/>
      <c r="I114" s="891"/>
      <c r="J114" s="344"/>
      <c r="K114" s="344"/>
      <c r="L114" s="344"/>
      <c r="M114" s="344"/>
      <c r="N114" s="344"/>
      <c r="O114" s="374">
        <f>M105*1/3</f>
        <v>0.31867800000000002</v>
      </c>
      <c r="P114" s="368">
        <f>O114+M105*1/3</f>
        <v>0.63735600000000003</v>
      </c>
      <c r="Q114" s="368">
        <f>P114+M105*1/3</f>
        <v>0.95603400000000005</v>
      </c>
      <c r="R114" s="368">
        <f t="shared" ref="R114:S116" si="319">Q114</f>
        <v>0.95603400000000005</v>
      </c>
      <c r="S114" s="368">
        <f t="shared" si="319"/>
        <v>0.95603400000000005</v>
      </c>
      <c r="T114" s="368">
        <f t="shared" ref="T114:W114" si="320">S114</f>
        <v>0.95603400000000005</v>
      </c>
      <c r="U114" s="368">
        <f t="shared" si="320"/>
        <v>0.95603400000000005</v>
      </c>
      <c r="V114" s="368">
        <f t="shared" si="320"/>
        <v>0.95603400000000005</v>
      </c>
      <c r="W114" s="368">
        <f t="shared" si="320"/>
        <v>0.95603400000000005</v>
      </c>
      <c r="X114" s="107"/>
      <c r="Y114" s="107"/>
      <c r="Z114" s="107"/>
      <c r="AA114" s="107"/>
      <c r="AB114" s="107"/>
      <c r="AC114" s="107"/>
      <c r="AD114" s="107"/>
      <c r="AE114" s="372"/>
      <c r="AF114" s="372"/>
      <c r="AG114" s="372"/>
      <c r="AH114" s="372"/>
      <c r="AI114" s="372"/>
      <c r="AJ114" s="407"/>
      <c r="AK114" s="407"/>
      <c r="AL114" s="407"/>
      <c r="AM114" s="407"/>
      <c r="AN114" s="407"/>
      <c r="AO114" s="407"/>
      <c r="AP114" s="407"/>
      <c r="AQ114" s="407"/>
      <c r="AR114" s="407"/>
      <c r="AS114" s="407"/>
      <c r="AT114" s="407"/>
      <c r="AU114" s="407"/>
      <c r="AV114" s="407"/>
      <c r="AW114" s="407"/>
      <c r="AX114" s="407"/>
      <c r="AY114" s="407"/>
      <c r="AZ114" s="407"/>
      <c r="BA114" s="407"/>
      <c r="BB114" s="407"/>
      <c r="BC114" s="407"/>
    </row>
    <row r="115" spans="1:55" s="1401" customFormat="1">
      <c r="A115" s="923" t="s">
        <v>1315</v>
      </c>
      <c r="B115" s="891"/>
      <c r="C115" s="891"/>
      <c r="D115" s="891"/>
      <c r="E115" s="891"/>
      <c r="F115" s="891"/>
      <c r="G115" s="891"/>
      <c r="H115" s="891"/>
      <c r="I115" s="891"/>
      <c r="J115" s="344"/>
      <c r="K115" s="344"/>
      <c r="L115" s="344"/>
      <c r="M115" s="344"/>
      <c r="N115" s="344"/>
      <c r="O115" s="374">
        <f>N106*1/3</f>
        <v>0.25590000000000002</v>
      </c>
      <c r="P115" s="368">
        <f>O115+N106*1/3</f>
        <v>0.51180000000000003</v>
      </c>
      <c r="Q115" s="368">
        <f>P115+N106*1/3</f>
        <v>0.76770000000000005</v>
      </c>
      <c r="R115" s="368">
        <f t="shared" si="319"/>
        <v>0.76770000000000005</v>
      </c>
      <c r="S115" s="368">
        <f t="shared" si="319"/>
        <v>0.76770000000000005</v>
      </c>
      <c r="T115" s="368">
        <f t="shared" ref="T115:W115" si="321">S115</f>
        <v>0.76770000000000005</v>
      </c>
      <c r="U115" s="368">
        <f t="shared" si="321"/>
        <v>0.76770000000000005</v>
      </c>
      <c r="V115" s="368">
        <f t="shared" si="321"/>
        <v>0.76770000000000005</v>
      </c>
      <c r="W115" s="368">
        <f t="shared" si="321"/>
        <v>0.76770000000000005</v>
      </c>
      <c r="X115" s="107"/>
      <c r="Y115" s="107"/>
      <c r="Z115" s="107"/>
      <c r="AA115" s="107"/>
      <c r="AB115" s="107"/>
      <c r="AC115" s="107"/>
      <c r="AD115" s="107"/>
      <c r="AE115" s="372"/>
      <c r="AF115" s="372"/>
      <c r="AG115" s="372"/>
      <c r="AH115" s="372"/>
      <c r="AI115" s="372"/>
      <c r="AJ115" s="407"/>
      <c r="AK115" s="407"/>
      <c r="AL115" s="407"/>
      <c r="AM115" s="407"/>
      <c r="AN115" s="407"/>
      <c r="AO115" s="407"/>
      <c r="AP115" s="407"/>
      <c r="AQ115" s="407"/>
      <c r="AR115" s="407"/>
      <c r="AS115" s="407"/>
      <c r="AT115" s="407"/>
      <c r="AU115" s="407"/>
      <c r="AV115" s="407"/>
      <c r="AW115" s="407"/>
      <c r="AX115" s="407"/>
      <c r="AY115" s="407"/>
      <c r="AZ115" s="407"/>
      <c r="BA115" s="407"/>
      <c r="BB115" s="407"/>
      <c r="BC115" s="407"/>
    </row>
    <row r="116" spans="1:55" s="1401" customFormat="1">
      <c r="A116" s="923" t="s">
        <v>1537</v>
      </c>
      <c r="B116" s="891"/>
      <c r="C116" s="891"/>
      <c r="D116" s="891"/>
      <c r="E116" s="891"/>
      <c r="F116" s="891"/>
      <c r="G116" s="891"/>
      <c r="H116" s="891"/>
      <c r="I116" s="891"/>
      <c r="J116" s="344"/>
      <c r="K116" s="344"/>
      <c r="L116" s="344"/>
      <c r="M116" s="344"/>
      <c r="N116" s="344"/>
      <c r="O116" s="374">
        <f>+O107/3</f>
        <v>0.25997799999999999</v>
      </c>
      <c r="P116" s="368">
        <f>O116+N107*1/3</f>
        <v>0.25997799999999999</v>
      </c>
      <c r="Q116" s="368">
        <f>P116+N107*1/3</f>
        <v>0.25997799999999999</v>
      </c>
      <c r="R116" s="368">
        <f t="shared" si="319"/>
        <v>0.25997799999999999</v>
      </c>
      <c r="S116" s="368">
        <f t="shared" si="319"/>
        <v>0.25997799999999999</v>
      </c>
      <c r="T116" s="368">
        <f t="shared" ref="T116" si="322">S116</f>
        <v>0.25997799999999999</v>
      </c>
      <c r="U116" s="368">
        <f t="shared" ref="U116" si="323">T116</f>
        <v>0.25997799999999999</v>
      </c>
      <c r="V116" s="368">
        <f t="shared" ref="V116" si="324">U116</f>
        <v>0.25997799999999999</v>
      </c>
      <c r="W116" s="368">
        <f t="shared" ref="W116" si="325">V116</f>
        <v>0.25997799999999999</v>
      </c>
      <c r="X116" s="107"/>
      <c r="Y116" s="107"/>
      <c r="Z116" s="107"/>
      <c r="AA116" s="107"/>
      <c r="AB116" s="107"/>
      <c r="AC116" s="107"/>
      <c r="AD116" s="107"/>
      <c r="AE116" s="372"/>
      <c r="AF116" s="372"/>
      <c r="AG116" s="372"/>
      <c r="AH116" s="372"/>
      <c r="AI116" s="372"/>
      <c r="AJ116" s="407"/>
      <c r="AK116" s="407"/>
      <c r="AL116" s="407"/>
      <c r="AM116" s="407"/>
      <c r="AN116" s="407"/>
      <c r="AO116" s="407"/>
      <c r="AP116" s="407"/>
      <c r="AQ116" s="407"/>
      <c r="AR116" s="407"/>
      <c r="AS116" s="407"/>
      <c r="AT116" s="407"/>
      <c r="AU116" s="407"/>
      <c r="AV116" s="407"/>
      <c r="AW116" s="407"/>
      <c r="AX116" s="407"/>
      <c r="AY116" s="407"/>
      <c r="AZ116" s="407"/>
      <c r="BA116" s="407"/>
      <c r="BB116" s="407"/>
      <c r="BC116" s="407"/>
    </row>
    <row r="117" spans="1:55" s="1401" customFormat="1">
      <c r="A117" s="923"/>
      <c r="B117" s="891"/>
      <c r="C117" s="891"/>
      <c r="D117" s="891"/>
      <c r="E117" s="891"/>
      <c r="F117" s="891"/>
      <c r="G117" s="891"/>
      <c r="H117" s="891"/>
      <c r="I117" s="891"/>
      <c r="J117" s="344"/>
      <c r="K117" s="344"/>
      <c r="L117" s="344"/>
      <c r="M117" s="344"/>
      <c r="N117" s="344"/>
      <c r="O117" s="374"/>
      <c r="P117" s="921"/>
      <c r="Q117" s="921"/>
      <c r="R117" s="921"/>
      <c r="S117" s="921"/>
      <c r="T117" s="921"/>
      <c r="U117" s="921"/>
      <c r="V117" s="921"/>
      <c r="W117" s="921"/>
      <c r="X117" s="107"/>
      <c r="Y117" s="107"/>
      <c r="Z117" s="107"/>
      <c r="AA117" s="107"/>
      <c r="AB117" s="107"/>
      <c r="AC117" s="107"/>
      <c r="AD117" s="107"/>
      <c r="AE117" s="372"/>
      <c r="AF117" s="372"/>
      <c r="AG117" s="372"/>
      <c r="AH117" s="372"/>
      <c r="AI117" s="372"/>
      <c r="AJ117" s="407"/>
      <c r="AK117" s="407"/>
      <c r="AL117" s="407"/>
      <c r="AM117" s="407"/>
      <c r="AN117" s="407"/>
      <c r="AO117" s="407"/>
      <c r="AP117" s="407"/>
      <c r="AQ117" s="407"/>
      <c r="AR117" s="407"/>
      <c r="AS117" s="407"/>
      <c r="AT117" s="407"/>
      <c r="AU117" s="407"/>
      <c r="AV117" s="407"/>
      <c r="AW117" s="407"/>
      <c r="AX117" s="407"/>
      <c r="AY117" s="407"/>
      <c r="AZ117" s="407"/>
      <c r="BA117" s="407"/>
      <c r="BB117" s="407"/>
      <c r="BC117" s="407"/>
    </row>
    <row r="118" spans="1:55" s="1401" customFormat="1">
      <c r="A118" s="924" t="s">
        <v>981</v>
      </c>
      <c r="B118" s="891"/>
      <c r="C118" s="891"/>
      <c r="D118" s="891"/>
      <c r="E118" s="891"/>
      <c r="F118" s="891"/>
      <c r="G118" s="891"/>
      <c r="H118" s="891"/>
      <c r="I118" s="891"/>
      <c r="J118" s="914">
        <f>SUM(J119:J122)</f>
        <v>0</v>
      </c>
      <c r="K118" s="914">
        <f t="shared" ref="K118:N118" si="326">SUM(K119:K123)</f>
        <v>6.411E-3</v>
      </c>
      <c r="L118" s="914">
        <f t="shared" si="326"/>
        <v>0.19272366666666668</v>
      </c>
      <c r="M118" s="914">
        <f t="shared" si="326"/>
        <v>0.37959466666666669</v>
      </c>
      <c r="N118" s="914">
        <f t="shared" si="326"/>
        <v>0.63429266666666662</v>
      </c>
      <c r="O118" s="2377">
        <f>SUM(O119:O126)</f>
        <v>1.323034</v>
      </c>
      <c r="P118" s="915">
        <f>SUM(P119:P126)</f>
        <v>1.7265940000000002</v>
      </c>
      <c r="Q118" s="915">
        <f t="shared" ref="Q118:W118" si="327">SUM(Q119:Q126)</f>
        <v>0.57457800000000003</v>
      </c>
      <c r="R118" s="915">
        <f t="shared" si="327"/>
        <v>0</v>
      </c>
      <c r="S118" s="915">
        <f t="shared" si="327"/>
        <v>0</v>
      </c>
      <c r="T118" s="915">
        <f t="shared" si="327"/>
        <v>0</v>
      </c>
      <c r="U118" s="915">
        <f t="shared" si="327"/>
        <v>0</v>
      </c>
      <c r="V118" s="915">
        <f t="shared" si="327"/>
        <v>0</v>
      </c>
      <c r="W118" s="915">
        <f t="shared" si="327"/>
        <v>0</v>
      </c>
      <c r="X118" s="107"/>
      <c r="Y118" s="107"/>
      <c r="Z118" s="107"/>
      <c r="AA118" s="107"/>
      <c r="AB118" s="107"/>
      <c r="AC118" s="107"/>
      <c r="AD118" s="107"/>
      <c r="AE118" s="372"/>
      <c r="AF118" s="372"/>
      <c r="AG118" s="372"/>
      <c r="AH118" s="372"/>
      <c r="AI118" s="372"/>
      <c r="AJ118" s="407"/>
      <c r="AK118" s="407"/>
      <c r="AL118" s="407"/>
      <c r="AM118" s="407"/>
      <c r="AN118" s="407"/>
      <c r="AO118" s="407"/>
      <c r="AP118" s="407"/>
      <c r="AQ118" s="407"/>
      <c r="AR118" s="407"/>
      <c r="AS118" s="407"/>
      <c r="AT118" s="407"/>
      <c r="AU118" s="407"/>
      <c r="AV118" s="407"/>
      <c r="AW118" s="407"/>
      <c r="AX118" s="407"/>
      <c r="AY118" s="407"/>
      <c r="AZ118" s="407"/>
      <c r="BA118" s="407"/>
      <c r="BB118" s="407"/>
      <c r="BC118" s="407"/>
    </row>
    <row r="119" spans="1:55" s="1401" customFormat="1">
      <c r="A119" s="923" t="s">
        <v>977</v>
      </c>
      <c r="B119" s="891"/>
      <c r="C119" s="891"/>
      <c r="D119" s="891"/>
      <c r="E119" s="891"/>
      <c r="F119" s="891"/>
      <c r="G119" s="891"/>
      <c r="H119" s="891"/>
      <c r="I119" s="891"/>
      <c r="J119" s="891"/>
      <c r="K119" s="1395">
        <f>MAX(K110-SUM(J128:$K128),0)</f>
        <v>6.411E-3</v>
      </c>
      <c r="L119" s="1395">
        <f>MAX(L110-SUM($K128:K128),0)</f>
        <v>5.3211000000000001E-2</v>
      </c>
      <c r="M119" s="1395">
        <f>MAX(M110-SUM($K128:L128),0)</f>
        <v>5.9621999999999994E-2</v>
      </c>
      <c r="N119" s="1395">
        <f>MAX(N110-SUM($K128:M128),0)</f>
        <v>2.2064E-2</v>
      </c>
      <c r="O119" s="2379">
        <f>MAX(O110-SUM($K128:N128),0)</f>
        <v>2.2064E-2</v>
      </c>
      <c r="P119" s="357">
        <f>MAX(P110-SUM($K128:O128),0)</f>
        <v>0</v>
      </c>
      <c r="Q119" s="368">
        <f>MAX(Q110-SUM($K128:P128),0)</f>
        <v>0</v>
      </c>
      <c r="R119" s="368">
        <f>MAX(R110-SUM($K128:Q128),0)</f>
        <v>0</v>
      </c>
      <c r="S119" s="368">
        <f>MAX(S110-SUM($K128:R128),0)</f>
        <v>0</v>
      </c>
      <c r="T119" s="368">
        <f>MAX(T110-SUM($K128:S128),0)</f>
        <v>0</v>
      </c>
      <c r="U119" s="368">
        <f>MAX(U110-SUM($K128:T128),0)</f>
        <v>0</v>
      </c>
      <c r="V119" s="368">
        <f>MAX(V110-SUM($K128:U128),0)</f>
        <v>0</v>
      </c>
      <c r="W119" s="368">
        <f>MAX(W110-SUM($K128:V128),0)</f>
        <v>0</v>
      </c>
      <c r="X119" s="107"/>
      <c r="Y119" s="107"/>
      <c r="Z119" s="107"/>
      <c r="AA119" s="107"/>
      <c r="AB119" s="107"/>
      <c r="AC119" s="107"/>
      <c r="AD119" s="107"/>
      <c r="AE119" s="372"/>
      <c r="AF119" s="372"/>
      <c r="AG119" s="372"/>
      <c r="AH119" s="372"/>
      <c r="AI119" s="372"/>
      <c r="AJ119" s="407"/>
      <c r="AK119" s="407"/>
      <c r="AL119" s="407"/>
      <c r="AM119" s="407"/>
      <c r="AN119" s="407"/>
      <c r="AO119" s="407"/>
      <c r="AP119" s="407"/>
      <c r="AQ119" s="407"/>
      <c r="AR119" s="407"/>
      <c r="AS119" s="407"/>
      <c r="AT119" s="407"/>
      <c r="AU119" s="407"/>
      <c r="AV119" s="407"/>
      <c r="AW119" s="407"/>
      <c r="AX119" s="407"/>
      <c r="AY119" s="407"/>
      <c r="AZ119" s="407"/>
      <c r="BA119" s="407"/>
      <c r="BB119" s="407"/>
      <c r="BC119" s="407"/>
    </row>
    <row r="120" spans="1:55" s="1401" customFormat="1">
      <c r="A120" s="923" t="s">
        <v>978</v>
      </c>
      <c r="B120" s="891"/>
      <c r="C120" s="891"/>
      <c r="D120" s="891"/>
      <c r="E120" s="891"/>
      <c r="F120" s="891"/>
      <c r="G120" s="891"/>
      <c r="H120" s="891"/>
      <c r="I120" s="891"/>
      <c r="J120" s="891"/>
      <c r="K120" s="916">
        <f>MAX(K111-SUM(J129:$K129),0)</f>
        <v>0</v>
      </c>
      <c r="L120" s="916">
        <f>MAX(L111-SUM($K129:K129),0)</f>
        <v>0.13951266666666667</v>
      </c>
      <c r="M120" s="916">
        <f>MAX(M111-SUM($K129:L129),0)</f>
        <v>0.20984333333333335</v>
      </c>
      <c r="N120" s="916">
        <f>MAX(N111-SUM($K129:M129),0)</f>
        <v>0.21899200000000002</v>
      </c>
      <c r="O120" s="2380">
        <f>MAX(O111-SUM($K129:N129),0)</f>
        <v>8.8750000000000218E-3</v>
      </c>
      <c r="P120" s="357">
        <f>MAX(P111-SUM($K129:O129),0)</f>
        <v>0</v>
      </c>
      <c r="Q120" s="368">
        <f>MAX(Q111-SUM($K129:P129),0)</f>
        <v>0</v>
      </c>
      <c r="R120" s="368">
        <f>MAX(R111-SUM($K129:Q129),0)</f>
        <v>0</v>
      </c>
      <c r="S120" s="368">
        <f>MAX(S111-SUM($K129:R129),0)</f>
        <v>0</v>
      </c>
      <c r="T120" s="368">
        <f>MAX(T111-SUM($K129:S129),0)</f>
        <v>0</v>
      </c>
      <c r="U120" s="368">
        <f>MAX(U111-SUM($K129:T129),0)</f>
        <v>0</v>
      </c>
      <c r="V120" s="368">
        <f>MAX(V111-SUM($K129:U129),0)</f>
        <v>0</v>
      </c>
      <c r="W120" s="368">
        <f>MAX(W111-SUM($K129:V129),0)</f>
        <v>0</v>
      </c>
      <c r="X120" s="107"/>
      <c r="Y120" s="107"/>
      <c r="Z120" s="107"/>
      <c r="AA120" s="107"/>
      <c r="AB120" s="107"/>
      <c r="AC120" s="107"/>
      <c r="AD120" s="107"/>
      <c r="AE120" s="372"/>
      <c r="AF120" s="372"/>
      <c r="AG120" s="372"/>
      <c r="AH120" s="372"/>
      <c r="AI120" s="372"/>
      <c r="AJ120" s="407"/>
      <c r="AK120" s="407"/>
      <c r="AL120" s="407"/>
      <c r="AM120" s="407"/>
      <c r="AN120" s="407"/>
      <c r="AO120" s="407"/>
      <c r="AP120" s="407"/>
      <c r="AQ120" s="407"/>
      <c r="AR120" s="407"/>
      <c r="AS120" s="407"/>
      <c r="AT120" s="407"/>
      <c r="AU120" s="407"/>
      <c r="AV120" s="407"/>
      <c r="AW120" s="407"/>
      <c r="AX120" s="407"/>
      <c r="AY120" s="407"/>
      <c r="AZ120" s="407"/>
      <c r="BA120" s="407"/>
      <c r="BB120" s="407"/>
      <c r="BC120" s="407"/>
    </row>
    <row r="121" spans="1:55" s="1401" customFormat="1">
      <c r="A121" s="923" t="s">
        <v>979</v>
      </c>
      <c r="B121" s="891"/>
      <c r="C121" s="891"/>
      <c r="D121" s="891"/>
      <c r="E121" s="891"/>
      <c r="F121" s="891"/>
      <c r="G121" s="891"/>
      <c r="H121" s="891"/>
      <c r="I121" s="891"/>
      <c r="J121" s="344"/>
      <c r="K121" s="916">
        <f>MAX(K112-SUM(J130:$K130),0)</f>
        <v>0</v>
      </c>
      <c r="L121" s="916">
        <f>MAX(L112-SUM($K130:K130),0)</f>
        <v>0</v>
      </c>
      <c r="M121" s="916">
        <f>MAX(M112-SUM($K130:L130),0)</f>
        <v>0.11012933333333334</v>
      </c>
      <c r="N121" s="916">
        <f>MAX(N112-SUM($K130:M130),0)</f>
        <v>0.14021566666666668</v>
      </c>
      <c r="O121" s="2380">
        <f>MAX(O112-SUM($K130:N130),0)</f>
        <v>6.5533000000000008E-2</v>
      </c>
      <c r="P121" s="368">
        <f>MAX(P112-SUM($K130:O130),0)</f>
        <v>0</v>
      </c>
      <c r="Q121" s="368">
        <f>MAX(Q112-SUM($K130:P130),0)</f>
        <v>0</v>
      </c>
      <c r="R121" s="368">
        <f>MAX(R112-SUM($K130:Q130),0)</f>
        <v>0</v>
      </c>
      <c r="S121" s="368">
        <f>MAX(S112-SUM($K130:R130),0)</f>
        <v>0</v>
      </c>
      <c r="T121" s="368">
        <f>MAX(T112-SUM($K130:S130),0)</f>
        <v>0</v>
      </c>
      <c r="U121" s="368">
        <f>MAX(U112-SUM($K130:T130),0)</f>
        <v>0</v>
      </c>
      <c r="V121" s="368">
        <f>MAX(V112-SUM($K130:U130),0)</f>
        <v>0</v>
      </c>
      <c r="W121" s="368">
        <f>MAX(W112-SUM($K130:V130),0)</f>
        <v>0</v>
      </c>
      <c r="X121" s="107"/>
      <c r="Y121" s="107"/>
      <c r="Z121" s="107"/>
      <c r="AA121" s="107"/>
      <c r="AB121" s="107"/>
      <c r="AC121" s="107"/>
      <c r="AD121" s="107"/>
      <c r="AE121" s="372"/>
      <c r="AF121" s="372"/>
      <c r="AG121" s="372"/>
      <c r="AH121" s="372"/>
      <c r="AI121" s="372"/>
      <c r="AJ121" s="407"/>
      <c r="AK121" s="407"/>
      <c r="AL121" s="407"/>
      <c r="AM121" s="407"/>
      <c r="AN121" s="407"/>
      <c r="AO121" s="407"/>
      <c r="AP121" s="407"/>
      <c r="AQ121" s="407"/>
      <c r="AR121" s="407"/>
      <c r="AS121" s="407"/>
      <c r="AT121" s="407"/>
      <c r="AU121" s="407"/>
      <c r="AV121" s="407"/>
      <c r="AW121" s="407"/>
      <c r="AX121" s="407"/>
      <c r="AY121" s="407"/>
      <c r="AZ121" s="407"/>
      <c r="BA121" s="407"/>
      <c r="BB121" s="407"/>
      <c r="BC121" s="407"/>
    </row>
    <row r="122" spans="1:55" s="1401" customFormat="1">
      <c r="A122" s="923" t="s">
        <v>980</v>
      </c>
      <c r="B122" s="891"/>
      <c r="C122" s="891"/>
      <c r="D122" s="891"/>
      <c r="E122" s="891"/>
      <c r="F122" s="891"/>
      <c r="G122" s="891"/>
      <c r="H122" s="891"/>
      <c r="I122" s="891"/>
      <c r="J122" s="344"/>
      <c r="K122" s="916">
        <f>MAX(K113-SUM(J131:$K131),0)</f>
        <v>0</v>
      </c>
      <c r="L122" s="916">
        <f>MAX(L113-SUM($K131:K131),0)</f>
        <v>0</v>
      </c>
      <c r="M122" s="916">
        <f>MAX(M113-SUM($K131:L131),0)</f>
        <v>0</v>
      </c>
      <c r="N122" s="916">
        <f>MAX(N113-SUM($K131:M131),0)</f>
        <v>0.253021</v>
      </c>
      <c r="O122" s="2380">
        <f>MAX(O113-SUM($K131:N131),0)</f>
        <v>0.39200599999999997</v>
      </c>
      <c r="P122" s="368">
        <f>MAX(P113-SUM($K131:O131),0)</f>
        <v>0.37568999999999997</v>
      </c>
      <c r="Q122" s="368">
        <f>MAX(Q113-SUM($K131:P131),0)</f>
        <v>0</v>
      </c>
      <c r="R122" s="368">
        <f>MAX(R113-SUM($K131:Q131),0)</f>
        <v>0</v>
      </c>
      <c r="S122" s="368">
        <f>MAX(S113-SUM($K131:R131),0)</f>
        <v>0</v>
      </c>
      <c r="T122" s="368">
        <f>MAX(T113-SUM($K131:S131),0)</f>
        <v>0</v>
      </c>
      <c r="U122" s="368">
        <f>MAX(U113-SUM($K131:T131),0)</f>
        <v>0</v>
      </c>
      <c r="V122" s="368">
        <f>MAX(V113-SUM($K131:U131),0)</f>
        <v>0</v>
      </c>
      <c r="W122" s="368">
        <f>MAX(W113-SUM($K131:V131),0)</f>
        <v>0</v>
      </c>
      <c r="X122" s="107"/>
      <c r="Y122" s="107"/>
      <c r="Z122" s="107"/>
      <c r="AA122" s="107"/>
      <c r="AB122" s="107"/>
      <c r="AC122" s="107"/>
      <c r="AD122" s="107"/>
      <c r="AE122" s="372"/>
      <c r="AF122" s="372"/>
      <c r="AG122" s="372"/>
      <c r="AH122" s="372"/>
      <c r="AI122" s="372"/>
      <c r="AJ122" s="407"/>
      <c r="AK122" s="407"/>
      <c r="AL122" s="407"/>
      <c r="AM122" s="407"/>
      <c r="AN122" s="407"/>
      <c r="AO122" s="407"/>
      <c r="AP122" s="407"/>
      <c r="AQ122" s="407"/>
      <c r="AR122" s="407"/>
      <c r="AS122" s="407"/>
      <c r="AT122" s="407"/>
      <c r="AU122" s="407"/>
      <c r="AV122" s="407"/>
      <c r="AW122" s="407"/>
      <c r="AX122" s="407"/>
      <c r="AY122" s="407"/>
      <c r="AZ122" s="407"/>
      <c r="BA122" s="407"/>
      <c r="BB122" s="407"/>
      <c r="BC122" s="407"/>
    </row>
    <row r="123" spans="1:55" s="1401" customFormat="1">
      <c r="A123" s="923" t="s">
        <v>1195</v>
      </c>
      <c r="B123" s="891"/>
      <c r="C123" s="891"/>
      <c r="D123" s="891"/>
      <c r="E123" s="891"/>
      <c r="F123" s="891"/>
      <c r="G123" s="891"/>
      <c r="H123" s="891"/>
      <c r="I123" s="891"/>
      <c r="J123" s="344"/>
      <c r="K123" s="916"/>
      <c r="L123" s="916"/>
      <c r="M123" s="916"/>
      <c r="N123" s="916">
        <f>MAX(N114-SUM($K132:M132),0)</f>
        <v>0</v>
      </c>
      <c r="O123" s="2380">
        <f>MAX(O114-SUM($K132:N132),0)</f>
        <v>0.31867800000000002</v>
      </c>
      <c r="P123" s="368">
        <f>MAX(P114-SUM($K132:O132),0)</f>
        <v>0.57912600000000003</v>
      </c>
      <c r="Q123" s="368">
        <f>MAX(Q114-SUM($K132:P132),0)</f>
        <v>0.31867800000000002</v>
      </c>
      <c r="R123" s="368">
        <f>MAX(R114-SUM($K132:Q132),0)</f>
        <v>0</v>
      </c>
      <c r="S123" s="368">
        <f>MAX(S114-SUM($K132:R132),0)</f>
        <v>0</v>
      </c>
      <c r="T123" s="368">
        <f>MAX(T114-SUM($K132:S132),0)</f>
        <v>0</v>
      </c>
      <c r="U123" s="368">
        <f>MAX(U114-SUM($K132:T132),0)</f>
        <v>0</v>
      </c>
      <c r="V123" s="368">
        <f>MAX(V114-SUM($K132:U132),0)</f>
        <v>0</v>
      </c>
      <c r="W123" s="368">
        <f>MAX(W114-SUM($K132:V132),0)</f>
        <v>0</v>
      </c>
      <c r="X123" s="107"/>
      <c r="Y123" s="107"/>
      <c r="Z123" s="107"/>
      <c r="AA123" s="107"/>
      <c r="AB123" s="107"/>
      <c r="AC123" s="107"/>
      <c r="AD123" s="107"/>
      <c r="AE123" s="372"/>
      <c r="AF123" s="372"/>
      <c r="AG123" s="372"/>
      <c r="AH123" s="372"/>
      <c r="AI123" s="372"/>
      <c r="AJ123" s="407"/>
      <c r="AK123" s="407"/>
      <c r="AL123" s="407"/>
      <c r="AM123" s="407"/>
      <c r="AN123" s="407"/>
      <c r="AO123" s="407"/>
      <c r="AP123" s="407"/>
      <c r="AQ123" s="407"/>
      <c r="AR123" s="407"/>
      <c r="AS123" s="407"/>
      <c r="AT123" s="407"/>
      <c r="AU123" s="407"/>
      <c r="AV123" s="407"/>
      <c r="AW123" s="407"/>
      <c r="AX123" s="407"/>
      <c r="AY123" s="407"/>
      <c r="AZ123" s="407"/>
      <c r="BA123" s="407"/>
      <c r="BB123" s="407"/>
      <c r="BC123" s="407"/>
    </row>
    <row r="124" spans="1:55" s="1401" customFormat="1">
      <c r="A124" s="923" t="s">
        <v>1315</v>
      </c>
      <c r="B124" s="891"/>
      <c r="C124" s="891"/>
      <c r="D124" s="891"/>
      <c r="E124" s="891"/>
      <c r="F124" s="891"/>
      <c r="G124" s="891"/>
      <c r="H124" s="891"/>
      <c r="I124" s="891"/>
      <c r="J124" s="344"/>
      <c r="K124" s="916"/>
      <c r="L124" s="916"/>
      <c r="M124" s="916"/>
      <c r="N124" s="916">
        <f>MAX(N115-SUM($K133:M133),0)</f>
        <v>0</v>
      </c>
      <c r="O124" s="2380">
        <f>MAX(O115-SUM($K133:N133),0)</f>
        <v>0.25590000000000002</v>
      </c>
      <c r="P124" s="368">
        <f>MAX(P115-SUM($K133:O133),0)</f>
        <v>0.51180000000000003</v>
      </c>
      <c r="Q124" s="368">
        <f>MAX(Q115-SUM($K133:P133),0)</f>
        <v>0.25590000000000002</v>
      </c>
      <c r="R124" s="368">
        <f>MAX(R115-SUM($K133:Q133),0)</f>
        <v>0</v>
      </c>
      <c r="S124" s="368">
        <f>MAX(S115-SUM($K133:R133),0)</f>
        <v>0</v>
      </c>
      <c r="T124" s="368">
        <f>MAX(T115-SUM($K133:S133),0)</f>
        <v>0</v>
      </c>
      <c r="U124" s="368">
        <f>MAX(U115-SUM($K133:T133),0)</f>
        <v>0</v>
      </c>
      <c r="V124" s="368">
        <f>MAX(V115-SUM($K133:U133),0)</f>
        <v>0</v>
      </c>
      <c r="W124" s="368">
        <f>MAX(W115-SUM($K133:V133),0)</f>
        <v>0</v>
      </c>
      <c r="X124" s="107"/>
      <c r="Y124" s="107"/>
      <c r="Z124" s="107"/>
      <c r="AA124" s="107"/>
      <c r="AB124" s="107"/>
      <c r="AC124" s="107"/>
      <c r="AD124" s="107"/>
      <c r="AE124" s="372"/>
      <c r="AF124" s="372"/>
      <c r="AG124" s="372"/>
      <c r="AH124" s="372"/>
      <c r="AI124" s="372"/>
      <c r="AJ124" s="407"/>
      <c r="AK124" s="407"/>
      <c r="AL124" s="407"/>
      <c r="AM124" s="407"/>
      <c r="AN124" s="407"/>
      <c r="AO124" s="407"/>
      <c r="AP124" s="407"/>
      <c r="AQ124" s="407"/>
      <c r="AR124" s="407"/>
      <c r="AS124" s="407"/>
      <c r="AT124" s="407"/>
      <c r="AU124" s="407"/>
      <c r="AV124" s="407"/>
      <c r="AW124" s="407"/>
      <c r="AX124" s="407"/>
      <c r="AY124" s="407"/>
      <c r="AZ124" s="407"/>
      <c r="BA124" s="407"/>
      <c r="BB124" s="407"/>
      <c r="BC124" s="407"/>
    </row>
    <row r="125" spans="1:55" s="1401" customFormat="1">
      <c r="A125" s="923" t="s">
        <v>1537</v>
      </c>
      <c r="B125" s="891"/>
      <c r="C125" s="891"/>
      <c r="D125" s="891"/>
      <c r="E125" s="891"/>
      <c r="F125" s="891"/>
      <c r="G125" s="891"/>
      <c r="H125" s="891"/>
      <c r="I125" s="891"/>
      <c r="J125" s="344"/>
      <c r="K125" s="916"/>
      <c r="L125" s="916"/>
      <c r="M125" s="916"/>
      <c r="N125" s="916"/>
      <c r="O125" s="2380">
        <f>MAX(O116-SUM($K134:N134),0)</f>
        <v>0.25997799999999999</v>
      </c>
      <c r="P125" s="368">
        <f>MAX(P116-SUM($K134:O134),0)</f>
        <v>0.25997799999999999</v>
      </c>
      <c r="Q125" s="368">
        <f>MAX(Q116-SUM($K134:P134),0)</f>
        <v>0</v>
      </c>
      <c r="R125" s="368">
        <f>MAX(R116-SUM($K134:Q134),0)</f>
        <v>0</v>
      </c>
      <c r="S125" s="368">
        <f>MAX(S116-SUM($K134:R134),0)</f>
        <v>0</v>
      </c>
      <c r="T125" s="368">
        <f>MAX(T116-SUM($K134:S134),0)</f>
        <v>0</v>
      </c>
      <c r="U125" s="368">
        <f>MAX(U116-SUM($K134:T134),0)</f>
        <v>0</v>
      </c>
      <c r="V125" s="368">
        <f>MAX(V116-SUM($K134:U134),0)</f>
        <v>0</v>
      </c>
      <c r="W125" s="368">
        <f>MAX(W116-SUM($K134:V134),0)</f>
        <v>0</v>
      </c>
      <c r="X125" s="107"/>
      <c r="Y125" s="107"/>
      <c r="Z125" s="107"/>
      <c r="AA125" s="107"/>
      <c r="AB125" s="107"/>
      <c r="AC125" s="107"/>
      <c r="AD125" s="107"/>
      <c r="AE125" s="372"/>
      <c r="AF125" s="372"/>
      <c r="AG125" s="372"/>
      <c r="AH125" s="372"/>
      <c r="AI125" s="372"/>
      <c r="AJ125" s="407"/>
      <c r="AK125" s="407"/>
      <c r="AL125" s="407"/>
      <c r="AM125" s="407"/>
      <c r="AN125" s="407"/>
      <c r="AO125" s="407"/>
      <c r="AP125" s="407"/>
      <c r="AQ125" s="407"/>
      <c r="AR125" s="407"/>
      <c r="AS125" s="407"/>
      <c r="AT125" s="407"/>
      <c r="AU125" s="407"/>
      <c r="AV125" s="407"/>
      <c r="AW125" s="407"/>
      <c r="AX125" s="407"/>
      <c r="AY125" s="407"/>
      <c r="AZ125" s="407"/>
      <c r="BA125" s="407"/>
      <c r="BB125" s="407"/>
      <c r="BC125" s="407"/>
    </row>
    <row r="126" spans="1:55" s="1401" customFormat="1">
      <c r="A126" s="923"/>
      <c r="B126" s="891"/>
      <c r="C126" s="891"/>
      <c r="D126" s="891"/>
      <c r="E126" s="891"/>
      <c r="F126" s="891"/>
      <c r="G126" s="891"/>
      <c r="H126" s="891"/>
      <c r="I126" s="891"/>
      <c r="J126" s="344"/>
      <c r="K126" s="916"/>
      <c r="L126" s="916"/>
      <c r="M126" s="916"/>
      <c r="N126" s="916"/>
      <c r="O126" s="2380"/>
      <c r="P126" s="916"/>
      <c r="Q126" s="916"/>
      <c r="R126" s="916"/>
      <c r="S126" s="916"/>
      <c r="T126" s="916"/>
      <c r="U126" s="916"/>
      <c r="V126" s="916"/>
      <c r="W126" s="916"/>
      <c r="X126" s="107"/>
      <c r="Y126" s="107"/>
      <c r="Z126" s="107"/>
      <c r="AA126" s="107"/>
      <c r="AB126" s="107"/>
      <c r="AC126" s="107"/>
      <c r="AD126" s="107"/>
      <c r="AE126" s="372"/>
      <c r="AF126" s="372"/>
      <c r="AG126" s="372"/>
      <c r="AH126" s="372"/>
      <c r="AI126" s="372"/>
      <c r="AJ126" s="407"/>
      <c r="AK126" s="407"/>
      <c r="AL126" s="407"/>
      <c r="AM126" s="407"/>
      <c r="AN126" s="407"/>
      <c r="AO126" s="407"/>
      <c r="AP126" s="407"/>
      <c r="AQ126" s="407"/>
      <c r="AR126" s="407"/>
      <c r="AS126" s="407"/>
      <c r="AT126" s="407"/>
      <c r="AU126" s="407"/>
      <c r="AV126" s="407"/>
      <c r="AW126" s="407"/>
      <c r="AX126" s="407"/>
      <c r="AY126" s="407"/>
      <c r="AZ126" s="407"/>
      <c r="BA126" s="407"/>
      <c r="BB126" s="407"/>
      <c r="BC126" s="407"/>
    </row>
    <row r="127" spans="1:55" s="1401" customFormat="1">
      <c r="A127" s="924" t="s">
        <v>982</v>
      </c>
      <c r="B127" s="891"/>
      <c r="C127" s="891"/>
      <c r="D127" s="891"/>
      <c r="E127" s="891"/>
      <c r="F127" s="891"/>
      <c r="G127" s="891"/>
      <c r="H127" s="891"/>
      <c r="I127" s="891"/>
      <c r="J127" s="344"/>
      <c r="K127" s="914">
        <f t="shared" ref="K127:N127" si="328">SUM(K128:K132)</f>
        <v>4.0389000000000001E-2</v>
      </c>
      <c r="L127" s="914">
        <f t="shared" si="328"/>
        <v>0.109571</v>
      </c>
      <c r="M127" s="914">
        <f t="shared" si="328"/>
        <v>0.24796499999999999</v>
      </c>
      <c r="N127" s="914">
        <f t="shared" si="328"/>
        <v>0.508965</v>
      </c>
      <c r="O127" s="2377">
        <f>SUM(O128:O135)</f>
        <v>0.93844100000000019</v>
      </c>
      <c r="P127" s="915">
        <f>SUM(P128:P135)</f>
        <v>1.7265940000000002</v>
      </c>
      <c r="Q127" s="915">
        <f t="shared" ref="Q127:W127" si="329">SUM(Q128:Q135)</f>
        <v>0.57457800000000003</v>
      </c>
      <c r="R127" s="915">
        <f t="shared" si="329"/>
        <v>0</v>
      </c>
      <c r="S127" s="915">
        <f t="shared" si="329"/>
        <v>0</v>
      </c>
      <c r="T127" s="915">
        <f t="shared" si="329"/>
        <v>0</v>
      </c>
      <c r="U127" s="915">
        <f t="shared" si="329"/>
        <v>0</v>
      </c>
      <c r="V127" s="915">
        <f t="shared" si="329"/>
        <v>0</v>
      </c>
      <c r="W127" s="915">
        <f t="shared" si="329"/>
        <v>0</v>
      </c>
      <c r="X127" s="107"/>
      <c r="Y127" s="107"/>
      <c r="Z127" s="107"/>
      <c r="AA127" s="107"/>
      <c r="AB127" s="107"/>
      <c r="AC127" s="107"/>
      <c r="AD127" s="107"/>
      <c r="AE127" s="372"/>
      <c r="AF127" s="372"/>
      <c r="AG127" s="372"/>
      <c r="AH127" s="372"/>
      <c r="AI127" s="372"/>
      <c r="AJ127" s="407"/>
      <c r="AK127" s="407"/>
      <c r="AL127" s="407"/>
      <c r="AM127" s="407"/>
      <c r="AN127" s="407"/>
      <c r="AO127" s="407"/>
      <c r="AP127" s="407"/>
      <c r="AQ127" s="407"/>
      <c r="AR127" s="407"/>
      <c r="AS127" s="407"/>
      <c r="AT127" s="407"/>
      <c r="AU127" s="407"/>
      <c r="AV127" s="407"/>
      <c r="AW127" s="407"/>
      <c r="AX127" s="407"/>
      <c r="AY127" s="407"/>
      <c r="AZ127" s="407"/>
      <c r="BA127" s="407"/>
      <c r="BB127" s="407"/>
      <c r="BC127" s="407"/>
    </row>
    <row r="128" spans="1:55" s="1401" customFormat="1">
      <c r="A128" s="923" t="s">
        <v>977</v>
      </c>
      <c r="B128" s="891"/>
      <c r="C128" s="891"/>
      <c r="D128" s="891"/>
      <c r="E128" s="891"/>
      <c r="F128" s="891"/>
      <c r="G128" s="891"/>
      <c r="H128" s="891"/>
      <c r="I128" s="891"/>
      <c r="J128" s="344"/>
      <c r="K128" s="345">
        <v>4.0389000000000001E-2</v>
      </c>
      <c r="L128" s="344">
        <f>0.080778-K128</f>
        <v>4.0389000000000001E-2</v>
      </c>
      <c r="M128" s="344">
        <f>0.118336-L128-K128</f>
        <v>3.7557999999999987E-2</v>
      </c>
      <c r="N128" s="344">
        <v>0</v>
      </c>
      <c r="O128" s="374">
        <f t="shared" ref="O128:O129" si="330">IF(O$98&gt;=O137,O119,0)</f>
        <v>2.2064E-2</v>
      </c>
      <c r="P128" s="917">
        <f t="shared" ref="P128" si="331">IF(P$98&gt;=P137,P119,0)</f>
        <v>0</v>
      </c>
      <c r="Q128" s="917">
        <f t="shared" ref="Q128:S134" si="332">IF(Q$98&gt;=Q137,Q119,0)</f>
        <v>0</v>
      </c>
      <c r="R128" s="917">
        <f t="shared" si="332"/>
        <v>0</v>
      </c>
      <c r="S128" s="917">
        <f t="shared" si="332"/>
        <v>0</v>
      </c>
      <c r="T128" s="917">
        <f t="shared" ref="T128:W128" si="333">IF(T$98&gt;=T137,T119,0)</f>
        <v>0</v>
      </c>
      <c r="U128" s="917">
        <f t="shared" si="333"/>
        <v>0</v>
      </c>
      <c r="V128" s="917">
        <f t="shared" si="333"/>
        <v>0</v>
      </c>
      <c r="W128" s="917">
        <f t="shared" si="333"/>
        <v>0</v>
      </c>
      <c r="X128" s="107"/>
      <c r="Y128" s="107"/>
      <c r="Z128" s="107"/>
      <c r="AA128" s="107"/>
      <c r="AB128" s="107"/>
      <c r="AC128" s="107"/>
      <c r="AD128" s="107"/>
      <c r="AE128" s="372"/>
      <c r="AF128" s="372"/>
      <c r="AG128" s="372"/>
      <c r="AH128" s="372"/>
      <c r="AI128" s="372"/>
      <c r="AJ128" s="407"/>
      <c r="AK128" s="407"/>
      <c r="AL128" s="407"/>
      <c r="AM128" s="407"/>
      <c r="AN128" s="407"/>
      <c r="AO128" s="407"/>
      <c r="AP128" s="407"/>
      <c r="AQ128" s="407"/>
      <c r="AR128" s="407"/>
      <c r="AS128" s="407"/>
      <c r="AT128" s="407"/>
      <c r="AU128" s="407"/>
      <c r="AV128" s="407"/>
      <c r="AW128" s="407"/>
      <c r="AX128" s="407"/>
      <c r="AY128" s="407"/>
      <c r="AZ128" s="407"/>
      <c r="BA128" s="407"/>
      <c r="BB128" s="407"/>
      <c r="BC128" s="407"/>
    </row>
    <row r="129" spans="1:55" s="1401" customFormat="1">
      <c r="A129" s="923" t="s">
        <v>978</v>
      </c>
      <c r="B129" s="891"/>
      <c r="C129" s="891"/>
      <c r="D129" s="891"/>
      <c r="E129" s="891"/>
      <c r="F129" s="891"/>
      <c r="G129" s="891"/>
      <c r="H129" s="891"/>
      <c r="I129" s="891"/>
      <c r="J129" s="344"/>
      <c r="K129" s="344"/>
      <c r="L129" s="345">
        <v>6.9181999999999994E-2</v>
      </c>
      <c r="M129" s="344">
        <f>0.199546-L129-K129</f>
        <v>0.13036400000000001</v>
      </c>
      <c r="N129" s="344">
        <f>0.409663-M129-L129</f>
        <v>0.21011699999999997</v>
      </c>
      <c r="O129" s="374">
        <f t="shared" si="330"/>
        <v>8.8750000000000218E-3</v>
      </c>
      <c r="P129" s="917">
        <f t="shared" ref="P129" si="334">IF(P$98&gt;=P138,P120,0)</f>
        <v>0</v>
      </c>
      <c r="Q129" s="917">
        <f t="shared" si="332"/>
        <v>0</v>
      </c>
      <c r="R129" s="917">
        <f t="shared" si="332"/>
        <v>0</v>
      </c>
      <c r="S129" s="917">
        <f t="shared" si="332"/>
        <v>0</v>
      </c>
      <c r="T129" s="917">
        <f t="shared" ref="T129:W129" si="335">IF(T$98&gt;=T138,T120,0)</f>
        <v>0</v>
      </c>
      <c r="U129" s="917">
        <f t="shared" si="335"/>
        <v>0</v>
      </c>
      <c r="V129" s="917">
        <f t="shared" si="335"/>
        <v>0</v>
      </c>
      <c r="W129" s="917">
        <f t="shared" si="335"/>
        <v>0</v>
      </c>
      <c r="X129" s="107"/>
      <c r="Y129" s="107"/>
      <c r="Z129" s="107"/>
      <c r="AA129" s="107"/>
      <c r="AB129" s="107"/>
      <c r="AC129" s="107"/>
      <c r="AD129" s="107"/>
      <c r="AE129" s="372"/>
      <c r="AF129" s="372"/>
      <c r="AG129" s="372"/>
      <c r="AH129" s="372"/>
      <c r="AI129" s="372"/>
      <c r="AJ129" s="407"/>
      <c r="AK129" s="407"/>
      <c r="AL129" s="407"/>
      <c r="AM129" s="407"/>
      <c r="AN129" s="407"/>
      <c r="AO129" s="407"/>
      <c r="AP129" s="407"/>
      <c r="AQ129" s="407"/>
      <c r="AR129" s="407"/>
      <c r="AS129" s="407"/>
      <c r="AT129" s="407"/>
      <c r="AU129" s="407"/>
      <c r="AV129" s="407"/>
      <c r="AW129" s="407"/>
      <c r="AX129" s="407"/>
      <c r="AY129" s="407"/>
      <c r="AZ129" s="407"/>
      <c r="BA129" s="407"/>
      <c r="BB129" s="407"/>
      <c r="BC129" s="407"/>
    </row>
    <row r="130" spans="1:55" s="1401" customFormat="1">
      <c r="A130" s="923" t="s">
        <v>979</v>
      </c>
      <c r="B130" s="891"/>
      <c r="C130" s="891"/>
      <c r="D130" s="891"/>
      <c r="E130" s="891"/>
      <c r="F130" s="891"/>
      <c r="G130" s="891"/>
      <c r="H130" s="891"/>
      <c r="I130" s="891"/>
      <c r="J130" s="344"/>
      <c r="K130" s="344"/>
      <c r="L130" s="344"/>
      <c r="M130" s="344">
        <f>0.080043-L130-K130</f>
        <v>8.0043000000000003E-2</v>
      </c>
      <c r="N130" s="344">
        <f>0.264855-M130-L130</f>
        <v>0.184812</v>
      </c>
      <c r="O130" s="375">
        <f>0.84479-N130-M130</f>
        <v>0.57993500000000009</v>
      </c>
      <c r="P130" s="917">
        <f>IF(P$98&gt;=P139,P121,0)</f>
        <v>0</v>
      </c>
      <c r="Q130" s="917">
        <f t="shared" si="332"/>
        <v>0</v>
      </c>
      <c r="R130" s="917">
        <f t="shared" si="332"/>
        <v>0</v>
      </c>
      <c r="S130" s="917">
        <f t="shared" si="332"/>
        <v>0</v>
      </c>
      <c r="T130" s="917">
        <f t="shared" ref="T130:W130" si="336">IF(T$98&gt;=T139,T121,0)</f>
        <v>0</v>
      </c>
      <c r="U130" s="917">
        <f t="shared" si="336"/>
        <v>0</v>
      </c>
      <c r="V130" s="917">
        <f t="shared" si="336"/>
        <v>0</v>
      </c>
      <c r="W130" s="917">
        <f t="shared" si="336"/>
        <v>0</v>
      </c>
      <c r="X130" s="107"/>
      <c r="Y130" s="107"/>
      <c r="Z130" s="107"/>
      <c r="AA130" s="107"/>
      <c r="AB130" s="107"/>
      <c r="AC130" s="107"/>
      <c r="AD130" s="107"/>
      <c r="AE130" s="372"/>
      <c r="AF130" s="372"/>
      <c r="AG130" s="372"/>
      <c r="AH130" s="372"/>
      <c r="AI130" s="372"/>
      <c r="AJ130" s="407"/>
      <c r="AK130" s="407"/>
      <c r="AL130" s="407"/>
      <c r="AM130" s="407"/>
      <c r="AN130" s="407"/>
      <c r="AO130" s="407"/>
      <c r="AP130" s="407"/>
      <c r="AQ130" s="407"/>
      <c r="AR130" s="407"/>
      <c r="AS130" s="407"/>
      <c r="AT130" s="407"/>
      <c r="AU130" s="407"/>
      <c r="AV130" s="407"/>
      <c r="AW130" s="407"/>
      <c r="AX130" s="407"/>
      <c r="AY130" s="407"/>
      <c r="AZ130" s="407"/>
      <c r="BA130" s="407"/>
      <c r="BB130" s="407"/>
      <c r="BC130" s="407"/>
    </row>
    <row r="131" spans="1:55" s="1401" customFormat="1">
      <c r="A131" s="923" t="s">
        <v>980</v>
      </c>
      <c r="B131" s="891"/>
      <c r="C131" s="891"/>
      <c r="D131" s="891"/>
      <c r="E131" s="891"/>
      <c r="F131" s="891"/>
      <c r="G131" s="891"/>
      <c r="H131" s="891"/>
      <c r="I131" s="891"/>
      <c r="J131" s="344"/>
      <c r="K131" s="344"/>
      <c r="L131" s="344"/>
      <c r="M131" s="344">
        <v>0</v>
      </c>
      <c r="N131" s="344">
        <f>0.114036-M131-L131</f>
        <v>0.114036</v>
      </c>
      <c r="O131" s="375">
        <f>0.383373-N131-M131</f>
        <v>0.26933700000000005</v>
      </c>
      <c r="P131" s="917">
        <f>IF(P$98&gt;=P140,P122,0)</f>
        <v>0.37568999999999997</v>
      </c>
      <c r="Q131" s="917">
        <f t="shared" si="332"/>
        <v>0</v>
      </c>
      <c r="R131" s="917">
        <f t="shared" si="332"/>
        <v>0</v>
      </c>
      <c r="S131" s="917">
        <f t="shared" si="332"/>
        <v>0</v>
      </c>
      <c r="T131" s="917">
        <f t="shared" ref="T131:W131" si="337">IF(T$98&gt;=T140,T122,0)</f>
        <v>0</v>
      </c>
      <c r="U131" s="917">
        <f t="shared" si="337"/>
        <v>0</v>
      </c>
      <c r="V131" s="917">
        <f t="shared" si="337"/>
        <v>0</v>
      </c>
      <c r="W131" s="917">
        <f t="shared" si="337"/>
        <v>0</v>
      </c>
      <c r="X131" s="107"/>
      <c r="Y131" s="107"/>
      <c r="Z131" s="107"/>
      <c r="AA131" s="107"/>
      <c r="AB131" s="107"/>
      <c r="AC131" s="107"/>
      <c r="AD131" s="107"/>
      <c r="AE131" s="372"/>
      <c r="AF131" s="372"/>
      <c r="AG131" s="372"/>
      <c r="AH131" s="372"/>
      <c r="AI131" s="372"/>
      <c r="AJ131" s="407"/>
      <c r="AK131" s="407"/>
      <c r="AL131" s="407"/>
      <c r="AM131" s="407"/>
      <c r="AN131" s="407"/>
      <c r="AO131" s="407"/>
      <c r="AP131" s="407"/>
      <c r="AQ131" s="407"/>
      <c r="AR131" s="407"/>
      <c r="AS131" s="407"/>
      <c r="AT131" s="407"/>
      <c r="AU131" s="407"/>
      <c r="AV131" s="407"/>
      <c r="AW131" s="407"/>
      <c r="AX131" s="407"/>
      <c r="AY131" s="407"/>
      <c r="AZ131" s="407"/>
      <c r="BA131" s="407"/>
      <c r="BB131" s="407"/>
      <c r="BC131" s="407"/>
    </row>
    <row r="132" spans="1:55" s="1401" customFormat="1">
      <c r="A132" s="923" t="s">
        <v>1195</v>
      </c>
      <c r="B132" s="891"/>
      <c r="C132" s="891"/>
      <c r="D132" s="891"/>
      <c r="E132" s="891"/>
      <c r="F132" s="891"/>
      <c r="G132" s="891"/>
      <c r="H132" s="891"/>
      <c r="I132" s="891"/>
      <c r="J132" s="344"/>
      <c r="K132" s="344"/>
      <c r="L132" s="344"/>
      <c r="M132" s="344">
        <v>0</v>
      </c>
      <c r="N132" s="344">
        <f>IF(N$98&gt;=N141,N123,0)</f>
        <v>0</v>
      </c>
      <c r="O132" s="375">
        <v>5.8229999999999997E-2</v>
      </c>
      <c r="P132" s="917">
        <f>IF(P$98&gt;=P141,P123,0)</f>
        <v>0.57912600000000003</v>
      </c>
      <c r="Q132" s="917">
        <f t="shared" si="332"/>
        <v>0.31867800000000002</v>
      </c>
      <c r="R132" s="917">
        <f t="shared" si="332"/>
        <v>0</v>
      </c>
      <c r="S132" s="917">
        <f t="shared" si="332"/>
        <v>0</v>
      </c>
      <c r="T132" s="917">
        <f t="shared" ref="T132:W132" si="338">IF(T$98&gt;=T141,T123,0)</f>
        <v>0</v>
      </c>
      <c r="U132" s="917">
        <f t="shared" si="338"/>
        <v>0</v>
      </c>
      <c r="V132" s="917">
        <f t="shared" si="338"/>
        <v>0</v>
      </c>
      <c r="W132" s="917">
        <f t="shared" si="338"/>
        <v>0</v>
      </c>
      <c r="X132" s="107"/>
      <c r="Y132" s="107"/>
      <c r="Z132" s="107"/>
      <c r="AA132" s="107"/>
      <c r="AB132" s="107"/>
      <c r="AC132" s="107"/>
      <c r="AD132" s="107"/>
      <c r="AE132" s="372"/>
      <c r="AF132" s="372"/>
      <c r="AG132" s="372"/>
      <c r="AH132" s="372"/>
      <c r="AI132" s="372"/>
      <c r="AJ132" s="407"/>
      <c r="AK132" s="407"/>
      <c r="AL132" s="407"/>
      <c r="AM132" s="407"/>
      <c r="AN132" s="407"/>
      <c r="AO132" s="407"/>
      <c r="AP132" s="407"/>
      <c r="AQ132" s="407"/>
      <c r="AR132" s="407"/>
      <c r="AS132" s="407"/>
      <c r="AT132" s="407"/>
      <c r="AU132" s="407"/>
      <c r="AV132" s="407"/>
      <c r="AW132" s="407"/>
      <c r="AX132" s="407"/>
      <c r="AY132" s="407"/>
      <c r="AZ132" s="407"/>
      <c r="BA132" s="407"/>
      <c r="BB132" s="407"/>
      <c r="BC132" s="407"/>
    </row>
    <row r="133" spans="1:55" s="1401" customFormat="1">
      <c r="A133" s="923" t="s">
        <v>1315</v>
      </c>
      <c r="B133" s="891"/>
      <c r="C133" s="891"/>
      <c r="D133" s="891"/>
      <c r="E133" s="891"/>
      <c r="F133" s="891"/>
      <c r="G133" s="891"/>
      <c r="H133" s="891"/>
      <c r="I133" s="891"/>
      <c r="J133" s="344"/>
      <c r="K133" s="344"/>
      <c r="L133" s="344"/>
      <c r="M133" s="344">
        <v>0</v>
      </c>
      <c r="N133" s="344">
        <f>IF(N$98&gt;=N142,N124,0)</f>
        <v>0</v>
      </c>
      <c r="O133" s="375">
        <v>0</v>
      </c>
      <c r="P133" s="917">
        <f>IF(P$98&gt;=P142,P124,0)</f>
        <v>0.51180000000000003</v>
      </c>
      <c r="Q133" s="917">
        <f t="shared" si="332"/>
        <v>0.25590000000000002</v>
      </c>
      <c r="R133" s="917">
        <f t="shared" si="332"/>
        <v>0</v>
      </c>
      <c r="S133" s="917">
        <f t="shared" si="332"/>
        <v>0</v>
      </c>
      <c r="T133" s="917">
        <f t="shared" ref="T133:W134" si="339">IF(T$98&gt;=T142,T124,0)</f>
        <v>0</v>
      </c>
      <c r="U133" s="917">
        <f t="shared" si="339"/>
        <v>0</v>
      </c>
      <c r="V133" s="917">
        <f t="shared" si="339"/>
        <v>0</v>
      </c>
      <c r="W133" s="917">
        <f t="shared" si="339"/>
        <v>0</v>
      </c>
      <c r="X133" s="107"/>
      <c r="Y133" s="107"/>
      <c r="Z133" s="107"/>
      <c r="AA133" s="107"/>
      <c r="AB133" s="107"/>
      <c r="AC133" s="107"/>
      <c r="AD133" s="107"/>
      <c r="AE133" s="372"/>
      <c r="AF133" s="372"/>
      <c r="AG133" s="372"/>
      <c r="AH133" s="372"/>
      <c r="AI133" s="372"/>
      <c r="AJ133" s="407"/>
      <c r="AK133" s="407"/>
      <c r="AL133" s="407"/>
      <c r="AM133" s="407"/>
      <c r="AN133" s="407"/>
      <c r="AO133" s="407"/>
      <c r="AP133" s="407"/>
      <c r="AQ133" s="407"/>
      <c r="AR133" s="407"/>
      <c r="AS133" s="407"/>
      <c r="AT133" s="407"/>
      <c r="AU133" s="407"/>
      <c r="AV133" s="407"/>
      <c r="AW133" s="407"/>
      <c r="AX133" s="407"/>
      <c r="AY133" s="407"/>
      <c r="AZ133" s="407"/>
      <c r="BA133" s="407"/>
      <c r="BB133" s="407"/>
      <c r="BC133" s="407"/>
    </row>
    <row r="134" spans="1:55" s="1401" customFormat="1">
      <c r="A134" s="923" t="s">
        <v>1537</v>
      </c>
      <c r="B134" s="891"/>
      <c r="C134" s="891"/>
      <c r="D134" s="891"/>
      <c r="E134" s="891"/>
      <c r="F134" s="891"/>
      <c r="G134" s="891"/>
      <c r="H134" s="891"/>
      <c r="I134" s="891"/>
      <c r="J134" s="344"/>
      <c r="K134" s="344"/>
      <c r="L134" s="344"/>
      <c r="M134" s="344"/>
      <c r="N134" s="344"/>
      <c r="O134" s="375">
        <v>0</v>
      </c>
      <c r="P134" s="917">
        <f>IF(P$98&gt;=P143,P125,0)</f>
        <v>0.25997799999999999</v>
      </c>
      <c r="Q134" s="917">
        <f t="shared" si="332"/>
        <v>0</v>
      </c>
      <c r="R134" s="917">
        <f t="shared" si="332"/>
        <v>0</v>
      </c>
      <c r="S134" s="917">
        <f t="shared" si="332"/>
        <v>0</v>
      </c>
      <c r="T134" s="917">
        <f t="shared" si="339"/>
        <v>0</v>
      </c>
      <c r="U134" s="917">
        <f t="shared" si="339"/>
        <v>0</v>
      </c>
      <c r="V134" s="917">
        <f t="shared" si="339"/>
        <v>0</v>
      </c>
      <c r="W134" s="917">
        <f t="shared" si="339"/>
        <v>0</v>
      </c>
      <c r="X134" s="107"/>
      <c r="Y134" s="107"/>
      <c r="Z134" s="107"/>
      <c r="AA134" s="107"/>
      <c r="AB134" s="107"/>
      <c r="AC134" s="107"/>
      <c r="AD134" s="107"/>
      <c r="AE134" s="372"/>
      <c r="AF134" s="372"/>
      <c r="AG134" s="372"/>
      <c r="AH134" s="372"/>
      <c r="AI134" s="372"/>
      <c r="AJ134" s="407"/>
      <c r="AK134" s="407"/>
      <c r="AL134" s="407"/>
      <c r="AM134" s="407"/>
      <c r="AN134" s="407"/>
      <c r="AO134" s="407"/>
      <c r="AP134" s="407"/>
      <c r="AQ134" s="407"/>
      <c r="AR134" s="407"/>
      <c r="AS134" s="407"/>
      <c r="AT134" s="407"/>
      <c r="AU134" s="407"/>
      <c r="AV134" s="407"/>
      <c r="AW134" s="407"/>
      <c r="AX134" s="407"/>
      <c r="AY134" s="407"/>
      <c r="AZ134" s="407"/>
      <c r="BA134" s="407"/>
      <c r="BB134" s="407"/>
      <c r="BC134" s="407"/>
    </row>
    <row r="135" spans="1:55" s="1401" customFormat="1">
      <c r="A135" s="923"/>
      <c r="B135" s="891"/>
      <c r="C135" s="891"/>
      <c r="D135" s="891"/>
      <c r="E135" s="891"/>
      <c r="F135" s="891"/>
      <c r="G135" s="891"/>
      <c r="H135" s="891"/>
      <c r="I135" s="891"/>
      <c r="J135" s="344"/>
      <c r="K135" s="344"/>
      <c r="L135" s="344"/>
      <c r="M135" s="344"/>
      <c r="N135" s="344"/>
      <c r="O135" s="374"/>
      <c r="P135" s="917"/>
      <c r="Q135" s="917"/>
      <c r="R135" s="917"/>
      <c r="S135" s="917"/>
      <c r="T135" s="917"/>
      <c r="U135" s="917"/>
      <c r="V135" s="917"/>
      <c r="W135" s="917"/>
      <c r="X135" s="107"/>
      <c r="Y135" s="107"/>
      <c r="Z135" s="107"/>
      <c r="AA135" s="107"/>
      <c r="AB135" s="107"/>
      <c r="AC135" s="107"/>
      <c r="AD135" s="107"/>
      <c r="AE135" s="372"/>
      <c r="AF135" s="372"/>
      <c r="AG135" s="372"/>
      <c r="AH135" s="372"/>
      <c r="AI135" s="372"/>
      <c r="AJ135" s="407"/>
      <c r="AK135" s="407"/>
      <c r="AL135" s="407"/>
      <c r="AM135" s="407"/>
      <c r="AN135" s="407"/>
      <c r="AO135" s="407"/>
      <c r="AP135" s="407"/>
      <c r="AQ135" s="407"/>
      <c r="AR135" s="407"/>
      <c r="AS135" s="407"/>
      <c r="AT135" s="407"/>
      <c r="AU135" s="407"/>
      <c r="AV135" s="407"/>
      <c r="AW135" s="407"/>
      <c r="AX135" s="407"/>
      <c r="AY135" s="407"/>
      <c r="AZ135" s="407"/>
      <c r="BA135" s="407"/>
      <c r="BB135" s="407"/>
      <c r="BC135" s="407"/>
    </row>
    <row r="136" spans="1:55" s="1401" customFormat="1">
      <c r="A136" s="924" t="s">
        <v>983</v>
      </c>
      <c r="B136" s="891"/>
      <c r="C136" s="891"/>
      <c r="D136" s="891"/>
      <c r="E136" s="891"/>
      <c r="F136" s="891"/>
      <c r="G136" s="891"/>
      <c r="H136" s="891"/>
      <c r="I136" s="891"/>
      <c r="J136" s="344"/>
      <c r="K136" s="344"/>
      <c r="L136" s="344"/>
      <c r="M136" s="344"/>
      <c r="N136" s="344"/>
      <c r="O136" s="374">
        <f>SUMPRODUCT(O128:O135,O137:O144)/SUM(O128:O132)</f>
        <v>3.0562555522048442</v>
      </c>
      <c r="P136" s="1393">
        <f>IF(P127=0,0,SUMPRODUCT(P128:P135,P137:P144)/SUM(P128:P135))</f>
        <v>4.4647831395220869</v>
      </c>
      <c r="Q136" s="1393">
        <f>IF(Q127=0,0,SUMPRODUCT(Q128:Q135,Q137:Q144)/SUM(Q128:Q135))</f>
        <v>4.5819228024741632</v>
      </c>
      <c r="R136" s="1393">
        <f>IF(R127=0,0,SUMPRODUCT(R128:R135,R137:R144)/SUM(R128:R135))</f>
        <v>0</v>
      </c>
      <c r="S136" s="1393">
        <f>IF(S127=0,0,SUMPRODUCT(S128:S135,S137:S144)/SUM(S128:S135))</f>
        <v>0</v>
      </c>
      <c r="T136" s="1393">
        <f t="shared" ref="T136:W136" si="340">IF(T127=0,0,SUMPRODUCT(T128:T135,T137:T144)/SUM(T128:T135))</f>
        <v>0</v>
      </c>
      <c r="U136" s="1393">
        <f t="shared" si="340"/>
        <v>0</v>
      </c>
      <c r="V136" s="1393">
        <f t="shared" si="340"/>
        <v>0</v>
      </c>
      <c r="W136" s="1393">
        <f t="shared" si="340"/>
        <v>0</v>
      </c>
      <c r="X136" s="107"/>
      <c r="Y136" s="107"/>
      <c r="Z136" s="107"/>
      <c r="AA136" s="107"/>
      <c r="AB136" s="107"/>
      <c r="AC136" s="107"/>
      <c r="AD136" s="107"/>
      <c r="AE136" s="372"/>
      <c r="AF136" s="372"/>
      <c r="AG136" s="372"/>
      <c r="AH136" s="372"/>
      <c r="AI136" s="372"/>
      <c r="AJ136" s="407"/>
      <c r="AK136" s="407"/>
      <c r="AL136" s="407"/>
      <c r="AM136" s="407"/>
      <c r="AN136" s="407"/>
      <c r="AO136" s="407"/>
      <c r="AP136" s="407"/>
      <c r="AQ136" s="407"/>
      <c r="AR136" s="407"/>
      <c r="AS136" s="407"/>
      <c r="AT136" s="407"/>
      <c r="AU136" s="407"/>
      <c r="AV136" s="407"/>
      <c r="AW136" s="407"/>
      <c r="AX136" s="407"/>
      <c r="AY136" s="407"/>
      <c r="AZ136" s="407"/>
      <c r="BA136" s="407"/>
      <c r="BB136" s="407"/>
      <c r="BC136" s="407"/>
    </row>
    <row r="137" spans="1:55" s="1401" customFormat="1">
      <c r="A137" s="923" t="s">
        <v>977</v>
      </c>
      <c r="B137" s="891"/>
      <c r="C137" s="891"/>
      <c r="D137" s="891"/>
      <c r="E137" s="891"/>
      <c r="F137" s="891"/>
      <c r="G137" s="891"/>
      <c r="H137" s="891"/>
      <c r="I137" s="891"/>
      <c r="J137" s="344"/>
      <c r="K137" s="344"/>
      <c r="L137" s="344"/>
      <c r="M137" s="344"/>
      <c r="N137" s="344"/>
      <c r="O137" s="2378">
        <f>19.31/3</f>
        <v>6.4366666666666665</v>
      </c>
      <c r="P137" s="922">
        <f t="shared" ref="P137:S143" si="341">O137</f>
        <v>6.4366666666666665</v>
      </c>
      <c r="Q137" s="922">
        <f t="shared" si="341"/>
        <v>6.4366666666666665</v>
      </c>
      <c r="R137" s="922">
        <f t="shared" si="341"/>
        <v>6.4366666666666665</v>
      </c>
      <c r="S137" s="922">
        <f t="shared" si="341"/>
        <v>6.4366666666666665</v>
      </c>
      <c r="T137" s="922">
        <f t="shared" ref="T137:T143" si="342">S137</f>
        <v>6.4366666666666665</v>
      </c>
      <c r="U137" s="922">
        <f t="shared" ref="U137:U143" si="343">T137</f>
        <v>6.4366666666666665</v>
      </c>
      <c r="V137" s="922">
        <f t="shared" ref="V137:V143" si="344">U137</f>
        <v>6.4366666666666665</v>
      </c>
      <c r="W137" s="922">
        <f t="shared" ref="W137:W143" si="345">V137</f>
        <v>6.4366666666666665</v>
      </c>
      <c r="X137" s="107"/>
      <c r="Y137" s="107"/>
      <c r="Z137" s="107"/>
      <c r="AA137" s="107"/>
      <c r="AB137" s="107"/>
      <c r="AC137" s="107"/>
      <c r="AD137" s="107"/>
      <c r="AE137" s="372"/>
      <c r="AF137" s="372"/>
      <c r="AG137" s="372"/>
      <c r="AH137" s="372"/>
      <c r="AI137" s="372"/>
      <c r="AJ137" s="407"/>
      <c r="AK137" s="407"/>
      <c r="AL137" s="407"/>
      <c r="AM137" s="407"/>
      <c r="AN137" s="407"/>
      <c r="AO137" s="407"/>
      <c r="AP137" s="407"/>
      <c r="AQ137" s="407"/>
      <c r="AR137" s="407"/>
      <c r="AS137" s="407"/>
      <c r="AT137" s="407"/>
      <c r="AU137" s="407"/>
      <c r="AV137" s="407"/>
      <c r="AW137" s="407"/>
      <c r="AX137" s="407"/>
      <c r="AY137" s="407"/>
      <c r="AZ137" s="407"/>
      <c r="BA137" s="407"/>
      <c r="BB137" s="407"/>
      <c r="BC137" s="407"/>
    </row>
    <row r="138" spans="1:55" s="1401" customFormat="1">
      <c r="A138" s="923" t="s">
        <v>978</v>
      </c>
      <c r="B138" s="891"/>
      <c r="C138" s="891"/>
      <c r="D138" s="891"/>
      <c r="E138" s="891"/>
      <c r="F138" s="891"/>
      <c r="G138" s="891"/>
      <c r="H138" s="891"/>
      <c r="I138" s="891"/>
      <c r="J138" s="344"/>
      <c r="K138" s="344"/>
      <c r="L138" s="344"/>
      <c r="M138" s="344"/>
      <c r="N138" s="344"/>
      <c r="O138" s="2378">
        <f>18.49/3</f>
        <v>6.1633333333333331</v>
      </c>
      <c r="P138" s="922">
        <f t="shared" si="341"/>
        <v>6.1633333333333331</v>
      </c>
      <c r="Q138" s="922">
        <f t="shared" si="341"/>
        <v>6.1633333333333331</v>
      </c>
      <c r="R138" s="922">
        <f t="shared" si="341"/>
        <v>6.1633333333333331</v>
      </c>
      <c r="S138" s="922">
        <f t="shared" si="341"/>
        <v>6.1633333333333331</v>
      </c>
      <c r="T138" s="922">
        <f t="shared" si="342"/>
        <v>6.1633333333333331</v>
      </c>
      <c r="U138" s="922">
        <f t="shared" si="343"/>
        <v>6.1633333333333331</v>
      </c>
      <c r="V138" s="922">
        <f t="shared" si="344"/>
        <v>6.1633333333333331</v>
      </c>
      <c r="W138" s="922">
        <f t="shared" si="345"/>
        <v>6.1633333333333331</v>
      </c>
      <c r="X138" s="107"/>
      <c r="Y138" s="107"/>
      <c r="Z138" s="107"/>
      <c r="AA138" s="107"/>
      <c r="AB138" s="107"/>
      <c r="AC138" s="107"/>
      <c r="AD138" s="107"/>
      <c r="AE138" s="372"/>
      <c r="AF138" s="372"/>
      <c r="AG138" s="372"/>
      <c r="AH138" s="372"/>
      <c r="AI138" s="372"/>
      <c r="AJ138" s="407"/>
      <c r="AK138" s="407"/>
      <c r="AL138" s="407"/>
      <c r="AM138" s="407"/>
      <c r="AN138" s="407"/>
      <c r="AO138" s="407"/>
      <c r="AP138" s="407"/>
      <c r="AQ138" s="407"/>
      <c r="AR138" s="407"/>
      <c r="AS138" s="407"/>
      <c r="AT138" s="407"/>
      <c r="AU138" s="407"/>
      <c r="AV138" s="407"/>
      <c r="AW138" s="407"/>
      <c r="AX138" s="407"/>
      <c r="AY138" s="407"/>
      <c r="AZ138" s="407"/>
      <c r="BA138" s="407"/>
      <c r="BB138" s="407"/>
      <c r="BC138" s="407"/>
    </row>
    <row r="139" spans="1:55" s="1401" customFormat="1">
      <c r="A139" s="923" t="s">
        <v>979</v>
      </c>
      <c r="B139" s="891"/>
      <c r="C139" s="891"/>
      <c r="D139" s="891"/>
      <c r="E139" s="891"/>
      <c r="F139" s="891"/>
      <c r="G139" s="891"/>
      <c r="H139" s="891"/>
      <c r="I139" s="891"/>
      <c r="J139" s="344"/>
      <c r="K139" s="344"/>
      <c r="L139" s="344"/>
      <c r="M139" s="344"/>
      <c r="N139" s="344"/>
      <c r="O139" s="2378">
        <f>8.37/3</f>
        <v>2.7899999999999996</v>
      </c>
      <c r="P139" s="922">
        <f t="shared" si="341"/>
        <v>2.7899999999999996</v>
      </c>
      <c r="Q139" s="922">
        <f t="shared" si="341"/>
        <v>2.7899999999999996</v>
      </c>
      <c r="R139" s="922">
        <f t="shared" si="341"/>
        <v>2.7899999999999996</v>
      </c>
      <c r="S139" s="922">
        <f t="shared" si="341"/>
        <v>2.7899999999999996</v>
      </c>
      <c r="T139" s="922">
        <f t="shared" si="342"/>
        <v>2.7899999999999996</v>
      </c>
      <c r="U139" s="922">
        <f t="shared" si="343"/>
        <v>2.7899999999999996</v>
      </c>
      <c r="V139" s="922">
        <f t="shared" si="344"/>
        <v>2.7899999999999996</v>
      </c>
      <c r="W139" s="922">
        <f t="shared" si="345"/>
        <v>2.7899999999999996</v>
      </c>
      <c r="X139" s="107"/>
      <c r="Y139" s="107"/>
      <c r="Z139" s="107"/>
      <c r="AA139" s="107"/>
      <c r="AB139" s="107"/>
      <c r="AC139" s="107"/>
      <c r="AD139" s="107"/>
      <c r="AE139" s="372"/>
      <c r="AF139" s="372"/>
      <c r="AG139" s="372"/>
      <c r="AH139" s="372"/>
      <c r="AI139" s="372"/>
      <c r="AJ139" s="407"/>
      <c r="AK139" s="407"/>
      <c r="AL139" s="407"/>
      <c r="AM139" s="407"/>
      <c r="AN139" s="407"/>
      <c r="AO139" s="407"/>
      <c r="AP139" s="407"/>
      <c r="AQ139" s="407"/>
      <c r="AR139" s="407"/>
      <c r="AS139" s="407"/>
      <c r="AT139" s="407"/>
      <c r="AU139" s="407"/>
      <c r="AV139" s="407"/>
      <c r="AW139" s="407"/>
      <c r="AX139" s="407"/>
      <c r="AY139" s="407"/>
      <c r="AZ139" s="407"/>
      <c r="BA139" s="407"/>
      <c r="BB139" s="407"/>
      <c r="BC139" s="407"/>
    </row>
    <row r="140" spans="1:55" s="1401" customFormat="1">
      <c r="A140" s="923" t="s">
        <v>980</v>
      </c>
      <c r="B140" s="891"/>
      <c r="C140" s="891"/>
      <c r="D140" s="891"/>
      <c r="E140" s="891"/>
      <c r="F140" s="891"/>
      <c r="G140" s="891"/>
      <c r="H140" s="891"/>
      <c r="I140" s="891"/>
      <c r="J140" s="344"/>
      <c r="K140" s="344"/>
      <c r="L140" s="344"/>
      <c r="M140" s="344"/>
      <c r="N140" s="344"/>
      <c r="O140" s="2378">
        <f>9.13/3</f>
        <v>3.0433333333333334</v>
      </c>
      <c r="P140" s="922">
        <f t="shared" si="341"/>
        <v>3.0433333333333334</v>
      </c>
      <c r="Q140" s="922">
        <f t="shared" si="341"/>
        <v>3.0433333333333334</v>
      </c>
      <c r="R140" s="922">
        <f t="shared" si="341"/>
        <v>3.0433333333333334</v>
      </c>
      <c r="S140" s="922">
        <f t="shared" si="341"/>
        <v>3.0433333333333334</v>
      </c>
      <c r="T140" s="922">
        <f t="shared" si="342"/>
        <v>3.0433333333333334</v>
      </c>
      <c r="U140" s="922">
        <f t="shared" si="343"/>
        <v>3.0433333333333334</v>
      </c>
      <c r="V140" s="922">
        <f t="shared" si="344"/>
        <v>3.0433333333333334</v>
      </c>
      <c r="W140" s="922">
        <f t="shared" si="345"/>
        <v>3.0433333333333334</v>
      </c>
      <c r="X140" s="107"/>
      <c r="Y140" s="107"/>
      <c r="Z140" s="107"/>
      <c r="AA140" s="107"/>
      <c r="AB140" s="107"/>
      <c r="AC140" s="107"/>
      <c r="AD140" s="107"/>
      <c r="AE140" s="372"/>
      <c r="AF140" s="372"/>
      <c r="AG140" s="372"/>
      <c r="AH140" s="372"/>
      <c r="AI140" s="372"/>
      <c r="AJ140" s="407"/>
      <c r="AK140" s="407"/>
      <c r="AL140" s="407"/>
      <c r="AM140" s="407"/>
      <c r="AN140" s="407"/>
      <c r="AO140" s="407"/>
      <c r="AP140" s="407"/>
      <c r="AQ140" s="407"/>
      <c r="AR140" s="407"/>
      <c r="AS140" s="407"/>
      <c r="AT140" s="407"/>
      <c r="AU140" s="407"/>
      <c r="AV140" s="407"/>
      <c r="AW140" s="407"/>
      <c r="AX140" s="407"/>
      <c r="AY140" s="407"/>
      <c r="AZ140" s="407"/>
      <c r="BA140" s="407"/>
      <c r="BB140" s="407"/>
      <c r="BC140" s="407"/>
    </row>
    <row r="141" spans="1:55" s="1401" customFormat="1">
      <c r="A141" s="923" t="s">
        <v>1195</v>
      </c>
      <c r="B141" s="891"/>
      <c r="C141" s="891"/>
      <c r="D141" s="891"/>
      <c r="E141" s="891"/>
      <c r="F141" s="891"/>
      <c r="G141" s="891"/>
      <c r="H141" s="891"/>
      <c r="I141" s="891"/>
      <c r="J141" s="344"/>
      <c r="K141" s="344"/>
      <c r="L141" s="344"/>
      <c r="M141" s="344"/>
      <c r="N141" s="344"/>
      <c r="O141" s="2378">
        <f>12.04/3</f>
        <v>4.0133333333333328</v>
      </c>
      <c r="P141" s="922">
        <f t="shared" si="341"/>
        <v>4.0133333333333328</v>
      </c>
      <c r="Q141" s="922">
        <f t="shared" si="341"/>
        <v>4.0133333333333328</v>
      </c>
      <c r="R141" s="922">
        <f t="shared" si="341"/>
        <v>4.0133333333333328</v>
      </c>
      <c r="S141" s="922">
        <f t="shared" si="341"/>
        <v>4.0133333333333328</v>
      </c>
      <c r="T141" s="922">
        <f t="shared" si="342"/>
        <v>4.0133333333333328</v>
      </c>
      <c r="U141" s="922">
        <f t="shared" si="343"/>
        <v>4.0133333333333328</v>
      </c>
      <c r="V141" s="922">
        <f t="shared" si="344"/>
        <v>4.0133333333333328</v>
      </c>
      <c r="W141" s="922">
        <f t="shared" si="345"/>
        <v>4.0133333333333328</v>
      </c>
      <c r="X141" s="107"/>
      <c r="Y141" s="107"/>
      <c r="Z141" s="107"/>
      <c r="AA141" s="107"/>
      <c r="AB141" s="107"/>
      <c r="AC141" s="107"/>
      <c r="AD141" s="107"/>
      <c r="AE141" s="372"/>
      <c r="AF141" s="372"/>
      <c r="AG141" s="372"/>
      <c r="AH141" s="372"/>
      <c r="AI141" s="372"/>
      <c r="AJ141" s="407"/>
      <c r="AK141" s="407"/>
      <c r="AL141" s="407"/>
      <c r="AM141" s="407"/>
      <c r="AN141" s="407"/>
      <c r="AO141" s="407"/>
      <c r="AP141" s="407"/>
      <c r="AQ141" s="407"/>
      <c r="AR141" s="407"/>
      <c r="AS141" s="407"/>
      <c r="AT141" s="407"/>
      <c r="AU141" s="407"/>
      <c r="AV141" s="407"/>
      <c r="AW141" s="407"/>
      <c r="AX141" s="407"/>
      <c r="AY141" s="407"/>
      <c r="AZ141" s="407"/>
      <c r="BA141" s="407"/>
      <c r="BB141" s="407"/>
      <c r="BC141" s="407"/>
    </row>
    <row r="142" spans="1:55" s="1401" customFormat="1">
      <c r="A142" s="923" t="s">
        <v>1315</v>
      </c>
      <c r="B142" s="891"/>
      <c r="C142" s="891"/>
      <c r="D142" s="891"/>
      <c r="E142" s="891"/>
      <c r="F142" s="891"/>
      <c r="G142" s="891"/>
      <c r="H142" s="891"/>
      <c r="I142" s="891"/>
      <c r="J142" s="344"/>
      <c r="K142" s="344"/>
      <c r="L142" s="344"/>
      <c r="M142" s="344"/>
      <c r="N142" s="344"/>
      <c r="O142" s="2378">
        <f>15.87/3</f>
        <v>5.29</v>
      </c>
      <c r="P142" s="368">
        <f t="shared" si="341"/>
        <v>5.29</v>
      </c>
      <c r="Q142" s="368">
        <f t="shared" si="341"/>
        <v>5.29</v>
      </c>
      <c r="R142" s="368">
        <f t="shared" si="341"/>
        <v>5.29</v>
      </c>
      <c r="S142" s="368">
        <f t="shared" si="341"/>
        <v>5.29</v>
      </c>
      <c r="T142" s="368">
        <f t="shared" si="342"/>
        <v>5.29</v>
      </c>
      <c r="U142" s="368">
        <f t="shared" si="343"/>
        <v>5.29</v>
      </c>
      <c r="V142" s="368">
        <f t="shared" si="344"/>
        <v>5.29</v>
      </c>
      <c r="W142" s="368">
        <f t="shared" si="345"/>
        <v>5.29</v>
      </c>
      <c r="X142" s="107"/>
      <c r="Y142" s="107"/>
      <c r="Z142" s="107"/>
      <c r="AA142" s="107"/>
      <c r="AB142" s="107"/>
      <c r="AC142" s="107"/>
      <c r="AD142" s="107"/>
      <c r="AE142" s="372"/>
      <c r="AF142" s="372"/>
      <c r="AG142" s="372"/>
      <c r="AH142" s="372"/>
      <c r="AI142" s="372"/>
      <c r="AJ142" s="407"/>
      <c r="AK142" s="407"/>
      <c r="AL142" s="407"/>
      <c r="AM142" s="407"/>
      <c r="AN142" s="407"/>
      <c r="AO142" s="407"/>
      <c r="AP142" s="407"/>
      <c r="AQ142" s="407"/>
      <c r="AR142" s="407"/>
      <c r="AS142" s="407"/>
      <c r="AT142" s="407"/>
      <c r="AU142" s="407"/>
      <c r="AV142" s="407"/>
      <c r="AW142" s="407"/>
      <c r="AX142" s="407"/>
      <c r="AY142" s="407"/>
      <c r="AZ142" s="407"/>
      <c r="BA142" s="407"/>
      <c r="BB142" s="407"/>
      <c r="BC142" s="407"/>
    </row>
    <row r="143" spans="1:55" s="1401" customFormat="1">
      <c r="A143" s="923" t="s">
        <v>1537</v>
      </c>
      <c r="B143" s="891"/>
      <c r="C143" s="891"/>
      <c r="D143" s="891"/>
      <c r="E143" s="891"/>
      <c r="F143" s="891"/>
      <c r="G143" s="891"/>
      <c r="H143" s="891"/>
      <c r="I143" s="891"/>
      <c r="J143" s="344"/>
      <c r="K143" s="344"/>
      <c r="L143" s="344"/>
      <c r="M143" s="344"/>
      <c r="N143" s="344"/>
      <c r="O143" s="2378">
        <f>17.7/3</f>
        <v>5.8999999999999995</v>
      </c>
      <c r="P143" s="368">
        <f t="shared" si="341"/>
        <v>5.8999999999999995</v>
      </c>
      <c r="Q143" s="368">
        <f t="shared" si="341"/>
        <v>5.8999999999999995</v>
      </c>
      <c r="R143" s="368">
        <f t="shared" si="341"/>
        <v>5.8999999999999995</v>
      </c>
      <c r="S143" s="368">
        <f t="shared" si="341"/>
        <v>5.8999999999999995</v>
      </c>
      <c r="T143" s="368">
        <f t="shared" si="342"/>
        <v>5.8999999999999995</v>
      </c>
      <c r="U143" s="368">
        <f t="shared" si="343"/>
        <v>5.8999999999999995</v>
      </c>
      <c r="V143" s="368">
        <f t="shared" si="344"/>
        <v>5.8999999999999995</v>
      </c>
      <c r="W143" s="368">
        <f t="shared" si="345"/>
        <v>5.8999999999999995</v>
      </c>
      <c r="X143" s="107"/>
      <c r="Y143" s="107"/>
      <c r="Z143" s="107"/>
      <c r="AA143" s="107"/>
      <c r="AB143" s="107"/>
      <c r="AC143" s="107"/>
      <c r="AD143" s="107"/>
      <c r="AE143" s="372"/>
      <c r="AF143" s="372"/>
      <c r="AG143" s="372"/>
      <c r="AH143" s="372"/>
      <c r="AI143" s="372"/>
      <c r="AJ143" s="407"/>
      <c r="AK143" s="407"/>
      <c r="AL143" s="407"/>
      <c r="AM143" s="407"/>
      <c r="AN143" s="407"/>
      <c r="AO143" s="407"/>
      <c r="AP143" s="407"/>
      <c r="AQ143" s="407"/>
      <c r="AR143" s="407"/>
      <c r="AS143" s="407"/>
      <c r="AT143" s="407"/>
      <c r="AU143" s="407"/>
      <c r="AV143" s="407"/>
      <c r="AW143" s="407"/>
      <c r="AX143" s="407"/>
      <c r="AY143" s="407"/>
      <c r="AZ143" s="407"/>
      <c r="BA143" s="407"/>
      <c r="BB143" s="407"/>
      <c r="BC143" s="407"/>
    </row>
    <row r="144" spans="1:55" s="1401" customFormat="1">
      <c r="A144" s="923"/>
      <c r="B144" s="891"/>
      <c r="C144" s="891"/>
      <c r="D144" s="891"/>
      <c r="E144" s="891"/>
      <c r="F144" s="891"/>
      <c r="G144" s="891"/>
      <c r="H144" s="891"/>
      <c r="I144" s="891"/>
      <c r="J144" s="344"/>
      <c r="K144" s="344"/>
      <c r="L144" s="344"/>
      <c r="M144" s="344"/>
      <c r="N144" s="344"/>
      <c r="O144" s="374"/>
      <c r="P144" s="368"/>
      <c r="Q144" s="368"/>
      <c r="R144" s="368"/>
      <c r="S144" s="368"/>
      <c r="T144" s="368"/>
      <c r="U144" s="368"/>
      <c r="V144" s="368"/>
      <c r="W144" s="368"/>
      <c r="X144" s="107"/>
      <c r="Y144" s="107"/>
      <c r="Z144" s="107"/>
      <c r="AA144" s="107"/>
      <c r="AB144" s="107"/>
      <c r="AC144" s="107"/>
      <c r="AD144" s="107"/>
      <c r="AE144" s="372"/>
      <c r="AF144" s="372"/>
      <c r="AG144" s="372"/>
      <c r="AH144" s="372"/>
      <c r="AI144" s="372"/>
      <c r="AJ144" s="407"/>
      <c r="AK144" s="407"/>
      <c r="AL144" s="407"/>
      <c r="AM144" s="407"/>
      <c r="AN144" s="407"/>
      <c r="AO144" s="407"/>
      <c r="AP144" s="407"/>
      <c r="AQ144" s="407"/>
      <c r="AR144" s="407"/>
      <c r="AS144" s="407"/>
      <c r="AT144" s="407"/>
      <c r="AU144" s="407"/>
      <c r="AV144" s="407"/>
      <c r="AW144" s="407"/>
      <c r="AX144" s="407"/>
      <c r="AY144" s="407"/>
      <c r="AZ144" s="407"/>
      <c r="BA144" s="407"/>
      <c r="BB144" s="407"/>
      <c r="BC144" s="407"/>
    </row>
    <row r="145" spans="1:55" s="1401" customFormat="1">
      <c r="A145" s="2385" t="s">
        <v>984</v>
      </c>
      <c r="B145" s="891"/>
      <c r="C145" s="891"/>
      <c r="D145" s="891"/>
      <c r="E145" s="891"/>
      <c r="F145" s="891"/>
      <c r="G145" s="891"/>
      <c r="H145" s="891"/>
      <c r="I145" s="891"/>
      <c r="J145" s="345"/>
      <c r="K145" s="344"/>
      <c r="L145" s="344"/>
      <c r="M145" s="344"/>
      <c r="N145" s="344"/>
      <c r="O145" s="374">
        <f>N147</f>
        <v>5.4315170000000004</v>
      </c>
      <c r="P145" s="921">
        <f>O147</f>
        <v>5.4315170000000004</v>
      </c>
      <c r="Q145" s="921">
        <f>P147</f>
        <v>3.704923</v>
      </c>
      <c r="R145" s="921">
        <f>Q147</f>
        <v>3.1303450000000002</v>
      </c>
      <c r="S145" s="921">
        <f>R147</f>
        <v>3.1303450000000002</v>
      </c>
      <c r="T145" s="921">
        <f t="shared" ref="T145:W145" si="346">S147</f>
        <v>3.1303450000000002</v>
      </c>
      <c r="U145" s="921">
        <f t="shared" si="346"/>
        <v>3.1303450000000002</v>
      </c>
      <c r="V145" s="921">
        <f t="shared" si="346"/>
        <v>3.1303450000000002</v>
      </c>
      <c r="W145" s="921">
        <f t="shared" si="346"/>
        <v>3.1303450000000002</v>
      </c>
      <c r="X145" s="107"/>
      <c r="Y145" s="107"/>
      <c r="Z145" s="107"/>
      <c r="AA145" s="107"/>
      <c r="AB145" s="107"/>
      <c r="AC145" s="107"/>
      <c r="AD145" s="107"/>
      <c r="AE145" s="372"/>
      <c r="AF145" s="372"/>
      <c r="AG145" s="372"/>
      <c r="AH145" s="372"/>
      <c r="AI145" s="372"/>
      <c r="AJ145" s="407"/>
      <c r="AK145" s="407"/>
      <c r="AL145" s="407"/>
      <c r="AM145" s="407"/>
      <c r="AN145" s="407"/>
      <c r="AO145" s="407"/>
      <c r="AP145" s="407"/>
      <c r="AQ145" s="407"/>
      <c r="AR145" s="407"/>
      <c r="AS145" s="407"/>
      <c r="AT145" s="407"/>
      <c r="AU145" s="407"/>
      <c r="AV145" s="407"/>
      <c r="AW145" s="407"/>
      <c r="AX145" s="407"/>
      <c r="AY145" s="407"/>
      <c r="AZ145" s="407"/>
      <c r="BA145" s="407"/>
      <c r="BB145" s="407"/>
      <c r="BC145" s="407"/>
    </row>
    <row r="146" spans="1:55" s="1401" customFormat="1">
      <c r="A146" s="923" t="s">
        <v>985</v>
      </c>
      <c r="B146" s="891"/>
      <c r="C146" s="891"/>
      <c r="D146" s="891"/>
      <c r="E146" s="891"/>
      <c r="F146" s="891"/>
      <c r="G146" s="891"/>
      <c r="H146" s="891"/>
      <c r="I146" s="891"/>
      <c r="J146" s="345"/>
      <c r="K146" s="345"/>
      <c r="L146" s="345"/>
      <c r="M146" s="345"/>
      <c r="N146" s="345"/>
      <c r="O146" s="374">
        <f>IF(O127&gt;O145,O127-O145,0)</f>
        <v>0</v>
      </c>
      <c r="P146" s="921">
        <f>+MIN(P127,P145)</f>
        <v>1.7265940000000002</v>
      </c>
      <c r="Q146" s="921">
        <f>MIN(Q127,Q145)</f>
        <v>0.57457800000000003</v>
      </c>
      <c r="R146" s="921">
        <f>MIN(R127,R145)</f>
        <v>0</v>
      </c>
      <c r="S146" s="921">
        <f>MIN(S127,S145)</f>
        <v>0</v>
      </c>
      <c r="T146" s="921">
        <f t="shared" ref="T146:W146" si="347">MIN(T127,T145)</f>
        <v>0</v>
      </c>
      <c r="U146" s="921">
        <f t="shared" si="347"/>
        <v>0</v>
      </c>
      <c r="V146" s="921">
        <f t="shared" si="347"/>
        <v>0</v>
      </c>
      <c r="W146" s="921">
        <f t="shared" si="347"/>
        <v>0</v>
      </c>
      <c r="X146" s="107"/>
      <c r="Y146" s="107"/>
      <c r="Z146" s="107"/>
      <c r="AA146" s="107"/>
      <c r="AB146" s="107"/>
      <c r="AC146" s="107"/>
      <c r="AD146" s="107"/>
      <c r="AE146" s="372"/>
      <c r="AF146" s="372"/>
      <c r="AG146" s="372"/>
      <c r="AH146" s="372"/>
      <c r="AI146" s="372"/>
      <c r="AJ146" s="407"/>
      <c r="AK146" s="407"/>
      <c r="AL146" s="407"/>
      <c r="AM146" s="407"/>
      <c r="AN146" s="407"/>
      <c r="AO146" s="407"/>
      <c r="AP146" s="407"/>
      <c r="AQ146" s="407"/>
      <c r="AR146" s="407"/>
      <c r="AS146" s="407"/>
      <c r="AT146" s="407"/>
      <c r="AU146" s="407"/>
      <c r="AV146" s="407"/>
      <c r="AW146" s="407"/>
      <c r="AX146" s="407"/>
      <c r="AY146" s="407"/>
      <c r="AZ146" s="407"/>
      <c r="BA146" s="407"/>
      <c r="BB146" s="407"/>
      <c r="BC146" s="407"/>
    </row>
    <row r="147" spans="1:55" s="1401" customFormat="1">
      <c r="A147" s="923" t="s">
        <v>0</v>
      </c>
      <c r="B147" s="891"/>
      <c r="C147" s="891"/>
      <c r="D147" s="891"/>
      <c r="E147" s="891"/>
      <c r="F147" s="891"/>
      <c r="G147" s="891"/>
      <c r="H147" s="891"/>
      <c r="I147" s="891"/>
      <c r="J147" s="344"/>
      <c r="K147" s="344"/>
      <c r="L147" s="344"/>
      <c r="M147" s="344"/>
      <c r="N147" s="344">
        <f>5.431517</f>
        <v>5.4315170000000004</v>
      </c>
      <c r="O147" s="374">
        <f>O145-O146</f>
        <v>5.4315170000000004</v>
      </c>
      <c r="P147" s="918">
        <f>P145-P146</f>
        <v>3.704923</v>
      </c>
      <c r="Q147" s="918">
        <f>Q145-Q146</f>
        <v>3.1303450000000002</v>
      </c>
      <c r="R147" s="918">
        <f>R145-R146</f>
        <v>3.1303450000000002</v>
      </c>
      <c r="S147" s="918">
        <f>S145-S146</f>
        <v>3.1303450000000002</v>
      </c>
      <c r="T147" s="918">
        <f t="shared" ref="T147:W147" si="348">T145-T146</f>
        <v>3.1303450000000002</v>
      </c>
      <c r="U147" s="918">
        <f t="shared" si="348"/>
        <v>3.1303450000000002</v>
      </c>
      <c r="V147" s="918">
        <f t="shared" si="348"/>
        <v>3.1303450000000002</v>
      </c>
      <c r="W147" s="918">
        <f t="shared" si="348"/>
        <v>3.1303450000000002</v>
      </c>
      <c r="X147" s="107"/>
      <c r="Y147" s="107"/>
      <c r="Z147" s="107"/>
      <c r="AA147" s="107"/>
      <c r="AB147" s="107"/>
      <c r="AC147" s="107"/>
      <c r="AD147" s="107"/>
      <c r="AE147" s="372"/>
      <c r="AF147" s="372"/>
      <c r="AG147" s="372"/>
      <c r="AH147" s="372"/>
      <c r="AI147" s="372"/>
      <c r="AJ147" s="407"/>
      <c r="AK147" s="407"/>
      <c r="AL147" s="407"/>
      <c r="AM147" s="407"/>
      <c r="AN147" s="407"/>
      <c r="AO147" s="407"/>
      <c r="AP147" s="407"/>
      <c r="AQ147" s="407"/>
      <c r="AR147" s="407"/>
      <c r="AS147" s="407"/>
      <c r="AT147" s="407"/>
      <c r="AU147" s="407"/>
      <c r="AV147" s="407"/>
      <c r="AW147" s="407"/>
      <c r="AX147" s="407"/>
      <c r="AY147" s="407"/>
      <c r="AZ147" s="407"/>
      <c r="BA147" s="407"/>
      <c r="BB147" s="407"/>
      <c r="BC147" s="407"/>
    </row>
    <row r="148" spans="1:55" s="1401" customFormat="1">
      <c r="A148" s="892"/>
      <c r="B148" s="891"/>
      <c r="C148" s="891"/>
      <c r="D148" s="891"/>
      <c r="E148" s="891"/>
      <c r="F148" s="891"/>
      <c r="G148" s="891"/>
      <c r="H148" s="891"/>
      <c r="I148" s="891"/>
      <c r="J148" s="344"/>
      <c r="K148" s="344"/>
      <c r="L148" s="344"/>
      <c r="M148" s="344"/>
      <c r="N148" s="344"/>
      <c r="O148" s="374"/>
      <c r="P148" s="344"/>
      <c r="Q148" s="344"/>
      <c r="R148" s="344"/>
      <c r="S148" s="344"/>
      <c r="T148" s="344"/>
      <c r="U148" s="344"/>
      <c r="V148" s="344"/>
      <c r="W148" s="344"/>
      <c r="X148" s="107"/>
      <c r="Y148" s="107"/>
      <c r="Z148" s="107"/>
      <c r="AA148" s="107"/>
      <c r="AB148" s="107"/>
      <c r="AC148" s="107"/>
      <c r="AD148" s="107"/>
      <c r="AE148" s="372"/>
      <c r="AF148" s="372"/>
      <c r="AG148" s="372"/>
      <c r="AH148" s="372"/>
      <c r="AI148" s="372"/>
      <c r="AJ148" s="407"/>
      <c r="AK148" s="407"/>
      <c r="AL148" s="407"/>
      <c r="AM148" s="407"/>
      <c r="AN148" s="407"/>
      <c r="AO148" s="407"/>
      <c r="AP148" s="407"/>
      <c r="AQ148" s="407"/>
      <c r="AR148" s="407"/>
      <c r="AS148" s="407"/>
      <c r="AT148" s="407"/>
      <c r="AU148" s="407"/>
      <c r="AV148" s="407"/>
      <c r="AW148" s="407"/>
      <c r="AX148" s="407"/>
      <c r="AY148" s="407"/>
      <c r="AZ148" s="407"/>
      <c r="BA148" s="407"/>
      <c r="BB148" s="407"/>
      <c r="BC148" s="407"/>
    </row>
    <row r="149" spans="1:55" s="1401" customFormat="1">
      <c r="A149" s="2386" t="s">
        <v>986</v>
      </c>
      <c r="B149" s="891"/>
      <c r="C149" s="891"/>
      <c r="D149" s="891"/>
      <c r="E149" s="891"/>
      <c r="F149" s="891"/>
      <c r="G149" s="891"/>
      <c r="H149" s="891"/>
      <c r="I149" s="891"/>
      <c r="J149" s="919"/>
      <c r="K149" s="920"/>
      <c r="L149" s="920"/>
      <c r="M149" s="920"/>
      <c r="N149" s="920"/>
      <c r="O149" s="920">
        <f>IF(O127&gt;O145,O127-O145,0)</f>
        <v>0</v>
      </c>
      <c r="P149" s="1003">
        <f>IF(P127&gt;P145,P127-P145,0)</f>
        <v>0</v>
      </c>
      <c r="Q149" s="1003">
        <f>IF(Q127&gt;Q145,Q127-Q145,0)</f>
        <v>0</v>
      </c>
      <c r="R149" s="927">
        <f>IF(R127&gt;R145,R127-R145,0)</f>
        <v>0</v>
      </c>
      <c r="S149" s="927">
        <f>IF(S127&gt;S145,S127-S145,0)</f>
        <v>0</v>
      </c>
      <c r="T149" s="927">
        <f t="shared" ref="T149:W149" si="349">IF(T127&gt;T145,T127-T145,0)</f>
        <v>0</v>
      </c>
      <c r="U149" s="927">
        <f t="shared" si="349"/>
        <v>0</v>
      </c>
      <c r="V149" s="927">
        <f t="shared" si="349"/>
        <v>0</v>
      </c>
      <c r="W149" s="927">
        <f t="shared" si="349"/>
        <v>0</v>
      </c>
      <c r="X149" s="107"/>
      <c r="Y149" s="107"/>
      <c r="Z149" s="107"/>
      <c r="AA149" s="107"/>
      <c r="AB149" s="107"/>
      <c r="AC149" s="107"/>
      <c r="AD149" s="107"/>
      <c r="AE149" s="372"/>
      <c r="AF149" s="372"/>
      <c r="AG149" s="372"/>
      <c r="AH149" s="372"/>
      <c r="AI149" s="372"/>
      <c r="AJ149" s="407"/>
      <c r="AK149" s="407"/>
      <c r="AL149" s="407"/>
      <c r="AM149" s="407"/>
      <c r="AN149" s="407"/>
      <c r="AO149" s="407"/>
      <c r="AP149" s="407"/>
      <c r="AQ149" s="407"/>
      <c r="AR149" s="407"/>
      <c r="AS149" s="407"/>
      <c r="AT149" s="407"/>
      <c r="AU149" s="407"/>
      <c r="AV149" s="407"/>
      <c r="AW149" s="407"/>
      <c r="AX149" s="407"/>
      <c r="AY149" s="407"/>
      <c r="AZ149" s="407"/>
      <c r="BA149" s="407"/>
      <c r="BB149" s="407"/>
      <c r="BC149" s="407"/>
    </row>
    <row r="150" spans="1:55" s="1401" customFormat="1">
      <c r="A150" s="892" t="s">
        <v>987</v>
      </c>
      <c r="B150" s="891"/>
      <c r="C150" s="891"/>
      <c r="D150" s="891"/>
      <c r="E150" s="891"/>
      <c r="F150" s="891"/>
      <c r="G150" s="891"/>
      <c r="H150" s="891"/>
      <c r="I150" s="891"/>
      <c r="J150" s="344"/>
      <c r="K150" s="344"/>
      <c r="L150" s="344"/>
      <c r="M150" s="344"/>
      <c r="N150" s="344"/>
      <c r="O150" s="374">
        <f>O149*O136</f>
        <v>0</v>
      </c>
      <c r="P150" s="921">
        <f>P149*P136</f>
        <v>0</v>
      </c>
      <c r="Q150" s="921">
        <f>Q149*Q136</f>
        <v>0</v>
      </c>
      <c r="R150" s="921">
        <f>R149*R136</f>
        <v>0</v>
      </c>
      <c r="S150" s="921">
        <f>S149*S136</f>
        <v>0</v>
      </c>
      <c r="T150" s="921">
        <f t="shared" ref="T150:W150" si="350">T149*T136</f>
        <v>0</v>
      </c>
      <c r="U150" s="921">
        <f t="shared" si="350"/>
        <v>0</v>
      </c>
      <c r="V150" s="921">
        <f t="shared" si="350"/>
        <v>0</v>
      </c>
      <c r="W150" s="921">
        <f t="shared" si="350"/>
        <v>0</v>
      </c>
      <c r="X150" s="107"/>
      <c r="Y150" s="107"/>
      <c r="Z150" s="107"/>
      <c r="AA150" s="107"/>
      <c r="AB150" s="107"/>
      <c r="AC150" s="107"/>
      <c r="AD150" s="107"/>
      <c r="AE150" s="372"/>
      <c r="AF150" s="372"/>
      <c r="AG150" s="372"/>
      <c r="AH150" s="372"/>
      <c r="AI150" s="372"/>
      <c r="AJ150" s="407"/>
      <c r="AK150" s="407"/>
      <c r="AL150" s="407"/>
      <c r="AM150" s="407"/>
      <c r="AN150" s="407"/>
      <c r="AO150" s="407"/>
      <c r="AP150" s="407"/>
      <c r="AQ150" s="407"/>
      <c r="AR150" s="407"/>
      <c r="AS150" s="407"/>
      <c r="AT150" s="407"/>
      <c r="AU150" s="407"/>
      <c r="AV150" s="407"/>
      <c r="AW150" s="407"/>
      <c r="AX150" s="407"/>
      <c r="AY150" s="407"/>
      <c r="AZ150" s="407"/>
      <c r="BA150" s="407"/>
      <c r="BB150" s="407"/>
      <c r="BC150" s="407"/>
    </row>
    <row r="151" spans="1:55" s="1401" customFormat="1">
      <c r="A151" s="2386"/>
      <c r="B151" s="891"/>
      <c r="C151" s="891"/>
      <c r="D151" s="891"/>
      <c r="E151" s="891"/>
      <c r="F151" s="891"/>
      <c r="G151" s="891"/>
      <c r="H151" s="891"/>
      <c r="I151" s="891"/>
      <c r="J151" s="902"/>
      <c r="K151" s="903"/>
      <c r="L151" s="903"/>
      <c r="M151" s="903"/>
      <c r="N151" s="903"/>
      <c r="O151" s="903"/>
      <c r="P151" s="905"/>
      <c r="Q151" s="905"/>
      <c r="R151" s="905"/>
      <c r="S151" s="905"/>
      <c r="T151" s="905"/>
      <c r="U151" s="905"/>
      <c r="V151" s="905"/>
      <c r="W151" s="905"/>
      <c r="X151" s="107"/>
      <c r="Y151" s="107"/>
      <c r="Z151" s="107"/>
      <c r="AA151" s="107"/>
      <c r="AB151" s="107"/>
      <c r="AC151" s="107"/>
      <c r="AD151" s="107"/>
      <c r="AE151" s="372"/>
      <c r="AF151" s="372"/>
      <c r="AG151" s="372"/>
      <c r="AH151" s="372"/>
      <c r="AI151" s="372"/>
      <c r="AJ151" s="407"/>
      <c r="AK151" s="407"/>
      <c r="AL151" s="407"/>
      <c r="AM151" s="407"/>
      <c r="AN151" s="407"/>
      <c r="AO151" s="407"/>
      <c r="AP151" s="407"/>
      <c r="AQ151" s="407"/>
      <c r="AR151" s="407"/>
      <c r="AS151" s="407"/>
      <c r="AT151" s="407"/>
      <c r="AU151" s="407"/>
      <c r="AV151" s="407"/>
      <c r="AW151" s="407"/>
      <c r="AX151" s="407"/>
      <c r="AY151" s="407"/>
      <c r="AZ151" s="407"/>
      <c r="BA151" s="407"/>
      <c r="BB151" s="407"/>
      <c r="BC151" s="407"/>
    </row>
    <row r="152" spans="1:55" s="1401" customFormat="1">
      <c r="A152" s="892" t="s">
        <v>988</v>
      </c>
      <c r="B152" s="891"/>
      <c r="C152" s="891"/>
      <c r="D152" s="891"/>
      <c r="E152" s="891"/>
      <c r="F152" s="891"/>
      <c r="G152" s="891"/>
      <c r="H152" s="891"/>
      <c r="I152" s="891"/>
      <c r="J152" s="891"/>
      <c r="K152" s="891"/>
      <c r="L152" s="891"/>
      <c r="M152" s="891"/>
      <c r="N152" s="891"/>
      <c r="O152" s="1726">
        <v>24.023707999999999</v>
      </c>
      <c r="P152" s="859">
        <v>0</v>
      </c>
      <c r="Q152" s="859">
        <v>0</v>
      </c>
      <c r="R152" s="859">
        <v>0</v>
      </c>
      <c r="S152" s="859">
        <v>0</v>
      </c>
      <c r="T152" s="859">
        <v>0</v>
      </c>
      <c r="U152" s="859">
        <v>0</v>
      </c>
      <c r="V152" s="859">
        <v>0</v>
      </c>
      <c r="W152" s="859">
        <v>0</v>
      </c>
      <c r="X152" s="107"/>
      <c r="Y152" s="107"/>
      <c r="Z152" s="107"/>
      <c r="AA152" s="107"/>
      <c r="AB152" s="107"/>
      <c r="AC152" s="107"/>
      <c r="AD152" s="107"/>
      <c r="AE152" s="372"/>
      <c r="AF152" s="372"/>
      <c r="AG152" s="372"/>
      <c r="AH152" s="372"/>
      <c r="AI152" s="372"/>
      <c r="AJ152" s="407"/>
      <c r="AK152" s="407"/>
      <c r="AL152" s="407"/>
      <c r="AM152" s="407"/>
      <c r="AN152" s="407"/>
      <c r="AO152" s="407"/>
      <c r="AP152" s="407"/>
      <c r="AQ152" s="407"/>
      <c r="AR152" s="407"/>
      <c r="AS152" s="407"/>
      <c r="AT152" s="407"/>
      <c r="AU152" s="407"/>
      <c r="AV152" s="407"/>
      <c r="AW152" s="407"/>
      <c r="AX152" s="407"/>
      <c r="AY152" s="407"/>
      <c r="AZ152" s="407"/>
      <c r="BA152" s="407"/>
      <c r="BB152" s="407"/>
      <c r="BC152" s="407"/>
    </row>
    <row r="153" spans="1:55" s="1401" customFormat="1">
      <c r="A153" s="892" t="s">
        <v>989</v>
      </c>
      <c r="B153" s="891"/>
      <c r="C153" s="891"/>
      <c r="D153" s="891"/>
      <c r="E153" s="891"/>
      <c r="F153" s="891"/>
      <c r="G153" s="891"/>
      <c r="H153" s="891"/>
      <c r="I153" s="891"/>
      <c r="J153" s="891"/>
      <c r="K153" s="891"/>
      <c r="L153" s="891"/>
      <c r="M153" s="891"/>
      <c r="N153" s="891"/>
      <c r="O153" s="1726">
        <f>O154/O152</f>
        <v>17.872442463919395</v>
      </c>
      <c r="P153" s="859">
        <v>0</v>
      </c>
      <c r="Q153" s="859">
        <v>0</v>
      </c>
      <c r="R153" s="859">
        <v>0</v>
      </c>
      <c r="S153" s="859">
        <v>0</v>
      </c>
      <c r="T153" s="859">
        <v>0</v>
      </c>
      <c r="U153" s="859">
        <v>0</v>
      </c>
      <c r="V153" s="859">
        <v>0</v>
      </c>
      <c r="W153" s="859">
        <v>0</v>
      </c>
      <c r="X153" s="107"/>
      <c r="Y153" s="107"/>
      <c r="Z153" s="107"/>
      <c r="AA153" s="107"/>
      <c r="AB153" s="107"/>
      <c r="AC153" s="107"/>
      <c r="AD153" s="107"/>
      <c r="AE153" s="372"/>
      <c r="AF153" s="372"/>
      <c r="AG153" s="372"/>
      <c r="AH153" s="372"/>
      <c r="AI153" s="372"/>
      <c r="AJ153" s="407"/>
      <c r="AK153" s="407"/>
      <c r="AL153" s="407"/>
      <c r="AM153" s="407"/>
      <c r="AN153" s="407"/>
      <c r="AO153" s="407"/>
      <c r="AP153" s="407"/>
      <c r="AQ153" s="407"/>
      <c r="AR153" s="407"/>
      <c r="AS153" s="407"/>
      <c r="AT153" s="407"/>
      <c r="AU153" s="407"/>
      <c r="AV153" s="407"/>
      <c r="AW153" s="407"/>
      <c r="AX153" s="407"/>
      <c r="AY153" s="407"/>
      <c r="AZ153" s="407"/>
      <c r="BA153" s="407"/>
      <c r="BB153" s="407"/>
      <c r="BC153" s="407"/>
    </row>
    <row r="154" spans="1:55" s="1401" customFormat="1">
      <c r="A154" s="924" t="s">
        <v>990</v>
      </c>
      <c r="B154" s="891"/>
      <c r="C154" s="891"/>
      <c r="D154" s="891"/>
      <c r="E154" s="891"/>
      <c r="F154" s="891"/>
      <c r="G154" s="891"/>
      <c r="H154" s="891"/>
      <c r="I154" s="891"/>
      <c r="J154" s="891"/>
      <c r="K154" s="891"/>
      <c r="L154" s="891"/>
      <c r="M154" s="891"/>
      <c r="N154" s="891"/>
      <c r="O154" s="2381">
        <v>429.36233900000002</v>
      </c>
      <c r="P154" s="906">
        <f>P152*P153</f>
        <v>0</v>
      </c>
      <c r="Q154" s="906">
        <f>Q152*Q153</f>
        <v>0</v>
      </c>
      <c r="R154" s="906">
        <f>R152*R153</f>
        <v>0</v>
      </c>
      <c r="S154" s="906">
        <f>S152*S153</f>
        <v>0</v>
      </c>
      <c r="T154" s="906">
        <f t="shared" ref="T154:W154" si="351">T152*T153</f>
        <v>0</v>
      </c>
      <c r="U154" s="906">
        <f t="shared" si="351"/>
        <v>0</v>
      </c>
      <c r="V154" s="906">
        <f t="shared" si="351"/>
        <v>0</v>
      </c>
      <c r="W154" s="906">
        <f t="shared" si="351"/>
        <v>0</v>
      </c>
      <c r="X154" s="107"/>
      <c r="Y154" s="107"/>
      <c r="Z154" s="107"/>
      <c r="AA154" s="107"/>
      <c r="AB154" s="107"/>
      <c r="AC154" s="107"/>
      <c r="AD154" s="107"/>
      <c r="AE154" s="372"/>
      <c r="AF154" s="372"/>
      <c r="AG154" s="372"/>
      <c r="AH154" s="372"/>
      <c r="AI154" s="372"/>
      <c r="AJ154" s="407"/>
      <c r="AK154" s="407"/>
      <c r="AL154" s="407"/>
      <c r="AM154" s="407"/>
      <c r="AN154" s="407"/>
      <c r="AO154" s="407"/>
      <c r="AP154" s="407"/>
      <c r="AQ154" s="407"/>
      <c r="AR154" s="407"/>
      <c r="AS154" s="407"/>
      <c r="AT154" s="407"/>
      <c r="AU154" s="407"/>
      <c r="AV154" s="407"/>
      <c r="AW154" s="407"/>
      <c r="AX154" s="407"/>
      <c r="AY154" s="407"/>
      <c r="AZ154" s="407"/>
      <c r="BA154" s="407"/>
      <c r="BB154" s="407"/>
      <c r="BC154" s="407"/>
    </row>
    <row r="155" spans="1:55" s="1401" customFormat="1">
      <c r="A155" s="892"/>
      <c r="B155" s="891"/>
      <c r="C155" s="891"/>
      <c r="D155" s="891"/>
      <c r="E155" s="891"/>
      <c r="F155" s="891"/>
      <c r="G155" s="891"/>
      <c r="H155" s="891"/>
      <c r="I155" s="891"/>
      <c r="J155" s="891"/>
      <c r="K155" s="891"/>
      <c r="L155" s="891"/>
      <c r="M155" s="891"/>
      <c r="N155" s="891"/>
      <c r="O155" s="2382"/>
      <c r="P155" s="905"/>
      <c r="Q155" s="905"/>
      <c r="R155" s="905"/>
      <c r="S155" s="905"/>
      <c r="T155" s="905"/>
      <c r="U155" s="905"/>
      <c r="V155" s="905"/>
      <c r="W155" s="905"/>
      <c r="X155" s="107"/>
      <c r="Y155" s="107"/>
      <c r="Z155" s="107"/>
      <c r="AA155" s="107"/>
      <c r="AB155" s="107"/>
      <c r="AC155" s="107"/>
      <c r="AD155" s="107"/>
      <c r="AE155" s="372"/>
      <c r="AF155" s="372"/>
      <c r="AG155" s="372"/>
      <c r="AH155" s="372"/>
      <c r="AI155" s="372"/>
      <c r="AJ155" s="407"/>
      <c r="AK155" s="407"/>
      <c r="AL155" s="407"/>
      <c r="AM155" s="407"/>
      <c r="AN155" s="407"/>
      <c r="AO155" s="407"/>
      <c r="AP155" s="407"/>
      <c r="AQ155" s="407"/>
      <c r="AR155" s="407"/>
      <c r="AS155" s="407"/>
      <c r="AT155" s="407"/>
      <c r="AU155" s="407"/>
      <c r="AV155" s="407"/>
      <c r="AW155" s="407"/>
      <c r="AX155" s="407"/>
      <c r="AY155" s="407"/>
      <c r="AZ155" s="407"/>
      <c r="BA155" s="407"/>
      <c r="BB155" s="407"/>
      <c r="BC155" s="407"/>
    </row>
    <row r="156" spans="1:55" s="1401" customFormat="1">
      <c r="A156" s="924" t="s">
        <v>991</v>
      </c>
      <c r="B156" s="891"/>
      <c r="C156" s="891"/>
      <c r="D156" s="891"/>
      <c r="E156" s="891"/>
      <c r="F156" s="891"/>
      <c r="G156" s="891"/>
      <c r="H156" s="891"/>
      <c r="I156" s="891"/>
      <c r="J156" s="891"/>
      <c r="K156" s="891"/>
      <c r="L156" s="891"/>
      <c r="M156" s="891"/>
      <c r="N156" s="891"/>
      <c r="O156" s="2383">
        <f>+O157*O158</f>
        <v>0</v>
      </c>
      <c r="P156" s="904">
        <f>+P157*P158</f>
        <v>0</v>
      </c>
      <c r="Q156" s="904">
        <f>+Q157*Q158</f>
        <v>0</v>
      </c>
      <c r="R156" s="904">
        <f>+R157*R158</f>
        <v>0</v>
      </c>
      <c r="S156" s="904">
        <f>+S157*S158</f>
        <v>0</v>
      </c>
      <c r="T156" s="904">
        <f t="shared" ref="T156:W156" si="352">+T157*T158</f>
        <v>0</v>
      </c>
      <c r="U156" s="904">
        <f t="shared" si="352"/>
        <v>0</v>
      </c>
      <c r="V156" s="904">
        <f t="shared" si="352"/>
        <v>0</v>
      </c>
      <c r="W156" s="904">
        <f t="shared" si="352"/>
        <v>0</v>
      </c>
      <c r="X156" s="107"/>
      <c r="Y156" s="107"/>
      <c r="Z156" s="107"/>
      <c r="AA156" s="107"/>
      <c r="AB156" s="107"/>
      <c r="AC156" s="107"/>
      <c r="AD156" s="107"/>
      <c r="AE156" s="372"/>
      <c r="AF156" s="372"/>
      <c r="AG156" s="372"/>
      <c r="AH156" s="372"/>
      <c r="AI156" s="372"/>
      <c r="AJ156" s="407"/>
      <c r="AK156" s="407"/>
      <c r="AL156" s="407"/>
      <c r="AM156" s="407"/>
      <c r="AN156" s="407"/>
      <c r="AO156" s="407"/>
      <c r="AP156" s="407"/>
      <c r="AQ156" s="407"/>
      <c r="AR156" s="407"/>
      <c r="AS156" s="407"/>
      <c r="AT156" s="407"/>
      <c r="AU156" s="407"/>
      <c r="AV156" s="407"/>
      <c r="AW156" s="407"/>
      <c r="AX156" s="407"/>
      <c r="AY156" s="407"/>
      <c r="AZ156" s="407"/>
      <c r="BA156" s="407"/>
      <c r="BB156" s="407"/>
      <c r="BC156" s="407"/>
    </row>
    <row r="157" spans="1:55" s="1401" customFormat="1">
      <c r="A157" s="892" t="s">
        <v>992</v>
      </c>
      <c r="B157" s="891"/>
      <c r="C157" s="891"/>
      <c r="D157" s="891"/>
      <c r="E157" s="891"/>
      <c r="F157" s="891"/>
      <c r="G157" s="891"/>
      <c r="H157" s="891"/>
      <c r="I157" s="891"/>
      <c r="J157" s="902"/>
      <c r="K157" s="902"/>
      <c r="L157" s="902"/>
      <c r="M157" s="902"/>
      <c r="N157" s="902"/>
      <c r="O157" s="1726">
        <f>IF(N147-O147&gt;0,0,N147-O147)</f>
        <v>0</v>
      </c>
      <c r="P157" s="859">
        <f>IF(O147-P147&gt;0,0,O147-P147)</f>
        <v>0</v>
      </c>
      <c r="Q157" s="859">
        <f>IF(P147-Q147&gt;0,0,P147-Q147)</f>
        <v>0</v>
      </c>
      <c r="R157" s="859">
        <f>IF(Q147-R147&gt;0,0,Q147-R147)</f>
        <v>0</v>
      </c>
      <c r="S157" s="859">
        <f>IF(R147-S147&gt;0,0,R147-S147)</f>
        <v>0</v>
      </c>
      <c r="T157" s="859">
        <f t="shared" ref="T157:W157" si="353">IF(S147-T147&gt;0,0,S147-T147)</f>
        <v>0</v>
      </c>
      <c r="U157" s="859">
        <f t="shared" si="353"/>
        <v>0</v>
      </c>
      <c r="V157" s="859">
        <f t="shared" si="353"/>
        <v>0</v>
      </c>
      <c r="W157" s="859">
        <f t="shared" si="353"/>
        <v>0</v>
      </c>
      <c r="X157" s="107"/>
      <c r="Y157" s="107"/>
      <c r="Z157" s="107"/>
      <c r="AA157" s="107"/>
      <c r="AB157" s="107"/>
      <c r="AC157" s="107"/>
      <c r="AD157" s="107"/>
      <c r="AE157" s="372"/>
      <c r="AF157" s="372"/>
      <c r="AG157" s="372"/>
      <c r="AH157" s="372"/>
      <c r="AI157" s="372"/>
      <c r="AJ157" s="407"/>
      <c r="AK157" s="407"/>
      <c r="AL157" s="407"/>
      <c r="AM157" s="407"/>
      <c r="AN157" s="407"/>
      <c r="AO157" s="407"/>
      <c r="AP157" s="407"/>
      <c r="AQ157" s="407"/>
      <c r="AR157" s="407"/>
      <c r="AS157" s="407"/>
      <c r="AT157" s="407"/>
      <c r="AU157" s="407"/>
      <c r="AV157" s="407"/>
      <c r="AW157" s="407"/>
      <c r="AX157" s="407"/>
      <c r="AY157" s="407"/>
      <c r="AZ157" s="407"/>
      <c r="BA157" s="407"/>
      <c r="BB157" s="407"/>
      <c r="BC157" s="407"/>
    </row>
    <row r="158" spans="1:55" s="1401" customFormat="1">
      <c r="A158" s="892" t="s">
        <v>993</v>
      </c>
      <c r="B158" s="891"/>
      <c r="C158" s="891"/>
      <c r="D158" s="891"/>
      <c r="E158" s="891"/>
      <c r="F158" s="891"/>
      <c r="G158" s="891"/>
      <c r="H158" s="891"/>
      <c r="I158" s="891"/>
      <c r="J158" s="902"/>
      <c r="K158" s="902"/>
      <c r="L158" s="902"/>
      <c r="M158" s="902"/>
      <c r="N158" s="902"/>
      <c r="O158" s="1726">
        <v>0</v>
      </c>
      <c r="P158" s="859">
        <v>0</v>
      </c>
      <c r="Q158" s="859">
        <v>0</v>
      </c>
      <c r="R158" s="859">
        <v>0</v>
      </c>
      <c r="S158" s="859">
        <v>0</v>
      </c>
      <c r="T158" s="859">
        <v>0</v>
      </c>
      <c r="U158" s="859">
        <v>0</v>
      </c>
      <c r="V158" s="859">
        <v>0</v>
      </c>
      <c r="W158" s="859">
        <v>0</v>
      </c>
      <c r="X158" s="107"/>
      <c r="Y158" s="107"/>
      <c r="Z158" s="107"/>
      <c r="AA158" s="107"/>
      <c r="AB158" s="107"/>
      <c r="AC158" s="107"/>
      <c r="AD158" s="107"/>
      <c r="AE158" s="372"/>
      <c r="AF158" s="372"/>
      <c r="AG158" s="372"/>
      <c r="AH158" s="372"/>
      <c r="AI158" s="372"/>
      <c r="AJ158" s="407"/>
      <c r="AK158" s="407"/>
      <c r="AL158" s="407"/>
      <c r="AM158" s="407"/>
      <c r="AN158" s="407"/>
      <c r="AO158" s="407"/>
      <c r="AP158" s="407"/>
      <c r="AQ158" s="407"/>
      <c r="AR158" s="407"/>
      <c r="AS158" s="407"/>
      <c r="AT158" s="407"/>
      <c r="AU158" s="407"/>
      <c r="AV158" s="407"/>
      <c r="AW158" s="407"/>
      <c r="AX158" s="407"/>
      <c r="AY158" s="407"/>
      <c r="AZ158" s="407"/>
      <c r="BA158" s="407"/>
      <c r="BB158" s="407"/>
      <c r="BC158" s="407"/>
    </row>
    <row r="159" spans="1:55" s="1401" customFormat="1">
      <c r="A159" s="892"/>
      <c r="B159" s="1135"/>
      <c r="C159" s="1135"/>
      <c r="D159" s="1135"/>
      <c r="E159" s="907"/>
      <c r="F159" s="907"/>
      <c r="G159" s="907"/>
      <c r="H159" s="907"/>
      <c r="I159" s="907"/>
      <c r="J159" s="907"/>
      <c r="K159" s="891"/>
      <c r="L159" s="891"/>
      <c r="M159" s="891"/>
      <c r="N159" s="891"/>
      <c r="O159" s="2384"/>
      <c r="P159" s="895"/>
      <c r="Q159" s="895"/>
      <c r="R159" s="895"/>
      <c r="S159" s="895"/>
      <c r="T159" s="895"/>
      <c r="U159" s="895"/>
      <c r="V159" s="895"/>
      <c r="W159" s="895"/>
      <c r="X159" s="107"/>
      <c r="Y159" s="107"/>
      <c r="Z159" s="107"/>
      <c r="AA159" s="107"/>
      <c r="AB159" s="107"/>
      <c r="AC159" s="107"/>
      <c r="AD159" s="107"/>
      <c r="AE159" s="372"/>
      <c r="AF159" s="372"/>
      <c r="AG159" s="372"/>
      <c r="AH159" s="372"/>
      <c r="AI159" s="372"/>
      <c r="AJ159" s="407"/>
      <c r="AK159" s="407"/>
      <c r="AL159" s="407"/>
      <c r="AM159" s="407"/>
      <c r="AN159" s="407"/>
      <c r="AO159" s="407"/>
      <c r="AP159" s="407"/>
      <c r="AQ159" s="407"/>
      <c r="AR159" s="407"/>
      <c r="AS159" s="407"/>
      <c r="AT159" s="407"/>
      <c r="AU159" s="407"/>
      <c r="AV159" s="407"/>
      <c r="AW159" s="407"/>
      <c r="AX159" s="407"/>
      <c r="AY159" s="407"/>
      <c r="AZ159" s="407"/>
      <c r="BA159" s="407"/>
      <c r="BB159" s="407"/>
      <c r="BC159" s="407"/>
    </row>
    <row r="160" spans="1:55" s="1401" customFormat="1">
      <c r="A160" s="892" t="s">
        <v>994</v>
      </c>
      <c r="B160" s="1136"/>
      <c r="C160" s="1136">
        <f t="shared" ref="C160:S160" si="354">B163</f>
        <v>100</v>
      </c>
      <c r="D160" s="1136">
        <f t="shared" si="354"/>
        <v>100</v>
      </c>
      <c r="E160" s="908">
        <f t="shared" si="354"/>
        <v>100</v>
      </c>
      <c r="F160" s="908">
        <f t="shared" si="354"/>
        <v>113</v>
      </c>
      <c r="G160" s="908">
        <f t="shared" si="354"/>
        <v>339</v>
      </c>
      <c r="H160" s="908">
        <f t="shared" si="354"/>
        <v>338.58300000000003</v>
      </c>
      <c r="I160" s="908">
        <f t="shared" si="354"/>
        <v>338.58300000000003</v>
      </c>
      <c r="J160" s="908">
        <f t="shared" si="354"/>
        <v>338.58300000000003</v>
      </c>
      <c r="K160" s="908">
        <f t="shared" si="354"/>
        <v>336.87419999999997</v>
      </c>
      <c r="L160" s="908">
        <f t="shared" si="354"/>
        <v>336.69836699999996</v>
      </c>
      <c r="M160" s="908">
        <f t="shared" si="354"/>
        <v>337.02708000000001</v>
      </c>
      <c r="N160" s="908">
        <f t="shared" si="354"/>
        <v>338.75859600000001</v>
      </c>
      <c r="O160" s="908">
        <f t="shared" si="354"/>
        <v>338.99115399999999</v>
      </c>
      <c r="P160" s="905">
        <f>O163</f>
        <v>339.4441693</v>
      </c>
      <c r="Q160" s="905">
        <f t="shared" si="354"/>
        <v>363.4678773</v>
      </c>
      <c r="R160" s="905">
        <f t="shared" si="354"/>
        <v>363.4678773</v>
      </c>
      <c r="S160" s="905">
        <f t="shared" si="354"/>
        <v>363.4678773</v>
      </c>
      <c r="T160" s="905">
        <f t="shared" ref="T160" si="355">S163</f>
        <v>363.4678773</v>
      </c>
      <c r="U160" s="905">
        <f t="shared" ref="U160" si="356">T163</f>
        <v>363.4678773</v>
      </c>
      <c r="V160" s="905">
        <f t="shared" ref="V160" si="357">U163</f>
        <v>363.4678773</v>
      </c>
      <c r="W160" s="905">
        <f t="shared" ref="W160" si="358">V163</f>
        <v>363.4678773</v>
      </c>
      <c r="X160" s="107"/>
      <c r="Y160" s="107"/>
      <c r="Z160" s="107"/>
      <c r="AA160" s="107"/>
      <c r="AB160" s="107"/>
      <c r="AC160" s="107"/>
      <c r="AD160" s="107"/>
      <c r="AE160" s="372"/>
      <c r="AF160" s="372"/>
      <c r="AG160" s="372"/>
      <c r="AH160" s="372"/>
      <c r="AI160" s="372"/>
      <c r="AJ160" s="407"/>
      <c r="AK160" s="407"/>
      <c r="AL160" s="407"/>
      <c r="AM160" s="407"/>
      <c r="AN160" s="407"/>
      <c r="AO160" s="407"/>
      <c r="AP160" s="407"/>
      <c r="AQ160" s="407"/>
      <c r="AR160" s="407"/>
      <c r="AS160" s="407"/>
      <c r="AT160" s="407"/>
      <c r="AU160" s="407"/>
      <c r="AV160" s="407"/>
      <c r="AW160" s="407"/>
      <c r="AX160" s="407"/>
      <c r="AY160" s="407"/>
      <c r="AZ160" s="407"/>
      <c r="BA160" s="407"/>
      <c r="BB160" s="407"/>
      <c r="BC160" s="407"/>
    </row>
    <row r="161" spans="1:60" s="1401" customFormat="1">
      <c r="A161" s="923" t="s">
        <v>995</v>
      </c>
      <c r="B161" s="1136"/>
      <c r="C161" s="1136">
        <f t="shared" ref="C161:N161" si="359">IF(C163-C160&gt;0,C163-C160,0)</f>
        <v>0</v>
      </c>
      <c r="D161" s="1136">
        <f t="shared" si="359"/>
        <v>0</v>
      </c>
      <c r="E161" s="908">
        <f t="shared" si="359"/>
        <v>13</v>
      </c>
      <c r="F161" s="908">
        <f t="shared" si="359"/>
        <v>226</v>
      </c>
      <c r="G161" s="908">
        <f t="shared" si="359"/>
        <v>0</v>
      </c>
      <c r="H161" s="908">
        <f t="shared" si="359"/>
        <v>0</v>
      </c>
      <c r="I161" s="908">
        <f t="shared" si="359"/>
        <v>0</v>
      </c>
      <c r="J161" s="908">
        <f t="shared" si="359"/>
        <v>0</v>
      </c>
      <c r="K161" s="908">
        <f t="shared" si="359"/>
        <v>0</v>
      </c>
      <c r="L161" s="908">
        <f t="shared" si="359"/>
        <v>0.32871300000005022</v>
      </c>
      <c r="M161" s="908">
        <f t="shared" si="359"/>
        <v>1.7315159999999992</v>
      </c>
      <c r="N161" s="908">
        <f t="shared" si="359"/>
        <v>0.23255799999998317</v>
      </c>
      <c r="O161" s="908">
        <f t="shared" ref="O161" si="360">IF(O163-O160&gt;0,O163-O160,0)</f>
        <v>0.45301530000000412</v>
      </c>
      <c r="P161" s="905">
        <v>24.023707999999999</v>
      </c>
      <c r="Q161" s="905">
        <f>+Q152</f>
        <v>0</v>
      </c>
      <c r="R161" s="905">
        <f>+R152</f>
        <v>0</v>
      </c>
      <c r="S161" s="905">
        <f>+S152</f>
        <v>0</v>
      </c>
      <c r="T161" s="905">
        <f t="shared" ref="T161:W161" si="361">+T152</f>
        <v>0</v>
      </c>
      <c r="U161" s="905">
        <f t="shared" si="361"/>
        <v>0</v>
      </c>
      <c r="V161" s="905">
        <f t="shared" si="361"/>
        <v>0</v>
      </c>
      <c r="W161" s="905">
        <f t="shared" si="361"/>
        <v>0</v>
      </c>
      <c r="X161" s="107"/>
      <c r="Y161" s="107"/>
      <c r="Z161" s="107"/>
      <c r="AA161" s="107"/>
      <c r="AB161" s="107"/>
      <c r="AC161" s="107"/>
      <c r="AD161" s="107"/>
      <c r="AE161" s="372"/>
      <c r="AF161" s="372"/>
      <c r="AG161" s="372"/>
      <c r="AH161" s="372"/>
      <c r="AI161" s="372"/>
      <c r="AJ161" s="407"/>
      <c r="AK161" s="407"/>
      <c r="AL161" s="407"/>
      <c r="AM161" s="407"/>
      <c r="AN161" s="407"/>
      <c r="AO161" s="407"/>
      <c r="AP161" s="407"/>
      <c r="AQ161" s="407"/>
      <c r="AR161" s="407"/>
      <c r="AS161" s="407"/>
      <c r="AT161" s="407"/>
      <c r="AU161" s="407"/>
      <c r="AV161" s="407"/>
      <c r="AW161" s="407"/>
      <c r="AX161" s="407"/>
      <c r="AY161" s="407"/>
      <c r="AZ161" s="407"/>
      <c r="BA161" s="407"/>
      <c r="BB161" s="407"/>
      <c r="BC161" s="407"/>
    </row>
    <row r="162" spans="1:60">
      <c r="A162" s="923" t="s">
        <v>996</v>
      </c>
      <c r="B162" s="1136"/>
      <c r="C162" s="1136">
        <f t="shared" ref="C162:N162" si="362">IF(C163-C160&lt;0,C163-C160,0)</f>
        <v>0</v>
      </c>
      <c r="D162" s="1136">
        <f t="shared" si="362"/>
        <v>0</v>
      </c>
      <c r="E162" s="908">
        <f t="shared" si="362"/>
        <v>0</v>
      </c>
      <c r="F162" s="908">
        <f t="shared" si="362"/>
        <v>0</v>
      </c>
      <c r="G162" s="908">
        <f t="shared" si="362"/>
        <v>-0.41699999999997317</v>
      </c>
      <c r="H162" s="908">
        <f t="shared" si="362"/>
        <v>0</v>
      </c>
      <c r="I162" s="908">
        <f t="shared" si="362"/>
        <v>0</v>
      </c>
      <c r="J162" s="908">
        <f t="shared" si="362"/>
        <v>-1.7088000000000534</v>
      </c>
      <c r="K162" s="908">
        <f t="shared" si="362"/>
        <v>-0.17583300000001145</v>
      </c>
      <c r="L162" s="908">
        <f t="shared" si="362"/>
        <v>0</v>
      </c>
      <c r="M162" s="908">
        <f t="shared" si="362"/>
        <v>0</v>
      </c>
      <c r="N162" s="908">
        <f t="shared" si="362"/>
        <v>0</v>
      </c>
      <c r="O162" s="908">
        <f t="shared" ref="O162" si="363">IF(O163-O160&lt;0,O163-O160,0)</f>
        <v>0</v>
      </c>
      <c r="P162" s="905">
        <f>P157</f>
        <v>0</v>
      </c>
      <c r="Q162" s="905">
        <f>Q157</f>
        <v>0</v>
      </c>
      <c r="R162" s="905">
        <f>R157</f>
        <v>0</v>
      </c>
      <c r="S162" s="905">
        <f>S157</f>
        <v>0</v>
      </c>
      <c r="T162" s="905">
        <f t="shared" ref="T162:W162" si="364">T157</f>
        <v>0</v>
      </c>
      <c r="U162" s="905">
        <f t="shared" si="364"/>
        <v>0</v>
      </c>
      <c r="V162" s="905">
        <f t="shared" si="364"/>
        <v>0</v>
      </c>
      <c r="W162" s="905">
        <f t="shared" si="364"/>
        <v>0</v>
      </c>
      <c r="X162" s="107"/>
      <c r="AE162" s="106"/>
      <c r="AF162" s="106"/>
      <c r="AG162" s="106"/>
      <c r="AH162" s="106"/>
      <c r="AI162" s="106"/>
    </row>
    <row r="163" spans="1:60">
      <c r="A163" s="924" t="s">
        <v>1132</v>
      </c>
      <c r="B163" s="909">
        <f>'Annual historicals'!E108</f>
        <v>100</v>
      </c>
      <c r="C163" s="909">
        <f>'Annual historicals'!F108</f>
        <v>100</v>
      </c>
      <c r="D163" s="909">
        <f>'Annual historicals'!G108</f>
        <v>100</v>
      </c>
      <c r="E163" s="909">
        <f>'Annual historicals'!H108</f>
        <v>113</v>
      </c>
      <c r="F163" s="909">
        <f>'Annual historicals'!I108</f>
        <v>339</v>
      </c>
      <c r="G163" s="909">
        <f>'Annual historicals'!J108</f>
        <v>338.58300000000003</v>
      </c>
      <c r="H163" s="909">
        <f>'Annual historicals'!K108</f>
        <v>338.58300000000003</v>
      </c>
      <c r="I163" s="909">
        <f>'Annual historicals'!L108</f>
        <v>338.58300000000003</v>
      </c>
      <c r="J163" s="909">
        <f>'Annual historicals'!M108</f>
        <v>336.87419999999997</v>
      </c>
      <c r="K163" s="910">
        <f>'Annual historicals'!N108</f>
        <v>336.69836699999996</v>
      </c>
      <c r="L163" s="910">
        <f>'Annual historicals'!O108</f>
        <v>337.02708000000001</v>
      </c>
      <c r="M163" s="910">
        <f>'Annual historicals'!P108</f>
        <v>338.75859600000001</v>
      </c>
      <c r="N163" s="910">
        <f>'Annual historicals'!Q108</f>
        <v>338.99115399999999</v>
      </c>
      <c r="O163" s="910">
        <f>'Annual historicals'!R108</f>
        <v>339.4441693</v>
      </c>
      <c r="P163" s="925">
        <f>SUM(P160:P162)</f>
        <v>363.4678773</v>
      </c>
      <c r="Q163" s="925">
        <f>SUM(Q160:Q162)</f>
        <v>363.4678773</v>
      </c>
      <c r="R163" s="925">
        <f>SUM(R160:R162)</f>
        <v>363.4678773</v>
      </c>
      <c r="S163" s="925">
        <f>SUM(S160:S162)</f>
        <v>363.4678773</v>
      </c>
      <c r="T163" s="925">
        <f t="shared" ref="T163:W163" si="365">SUM(T160:T162)</f>
        <v>363.4678773</v>
      </c>
      <c r="U163" s="925">
        <f t="shared" si="365"/>
        <v>363.4678773</v>
      </c>
      <c r="V163" s="925">
        <f t="shared" si="365"/>
        <v>363.4678773</v>
      </c>
      <c r="W163" s="925">
        <f t="shared" si="365"/>
        <v>363.4678773</v>
      </c>
      <c r="X163" s="107"/>
      <c r="Y163" s="423"/>
      <c r="Z163" s="423"/>
      <c r="AA163" s="423"/>
      <c r="AB163" s="423"/>
      <c r="AC163" s="423"/>
      <c r="AD163" s="423"/>
      <c r="AE163" s="423"/>
      <c r="AF163" s="423"/>
      <c r="AG163" s="423"/>
      <c r="AH163" s="423"/>
      <c r="AI163" s="423"/>
      <c r="AJ163" s="423"/>
      <c r="AK163" s="423"/>
      <c r="AL163" s="423"/>
      <c r="AM163" s="423"/>
      <c r="AN163" s="423"/>
      <c r="AO163" s="423"/>
      <c r="AP163" s="423"/>
      <c r="AQ163" s="423"/>
      <c r="AR163" s="423"/>
      <c r="AS163" s="423"/>
      <c r="AT163" s="423"/>
      <c r="AU163" s="423"/>
      <c r="AV163" s="423"/>
      <c r="AW163" s="423"/>
      <c r="AX163" s="423"/>
      <c r="AY163" s="423"/>
      <c r="AZ163" s="423"/>
      <c r="BA163" s="423"/>
      <c r="BB163" s="423"/>
      <c r="BC163" s="106"/>
      <c r="BD163" s="106"/>
      <c r="BE163" s="106"/>
      <c r="BF163" s="106"/>
      <c r="BG163" s="106"/>
      <c r="BH163" s="106"/>
    </row>
    <row r="164" spans="1:60">
      <c r="A164" s="923" t="s">
        <v>997</v>
      </c>
      <c r="B164" s="911">
        <f t="shared" ref="B164:N164" si="366">B165-B163</f>
        <v>0</v>
      </c>
      <c r="C164" s="911">
        <f t="shared" si="366"/>
        <v>0</v>
      </c>
      <c r="D164" s="911">
        <f t="shared" si="366"/>
        <v>0</v>
      </c>
      <c r="E164" s="911">
        <f t="shared" si="366"/>
        <v>0</v>
      </c>
      <c r="F164" s="911">
        <f t="shared" si="366"/>
        <v>0</v>
      </c>
      <c r="G164" s="911">
        <f t="shared" si="366"/>
        <v>0</v>
      </c>
      <c r="H164" s="911">
        <f t="shared" si="366"/>
        <v>0</v>
      </c>
      <c r="I164" s="911">
        <f t="shared" si="366"/>
        <v>0</v>
      </c>
      <c r="J164" s="911">
        <f t="shared" si="366"/>
        <v>0</v>
      </c>
      <c r="K164" s="911">
        <f t="shared" si="366"/>
        <v>0.14306400000003805</v>
      </c>
      <c r="L164" s="911">
        <f t="shared" si="366"/>
        <v>0.52387599999997292</v>
      </c>
      <c r="M164" s="911">
        <f t="shared" si="366"/>
        <v>0.8619640000000004</v>
      </c>
      <c r="N164" s="911">
        <f t="shared" si="366"/>
        <v>0.38166400000000067</v>
      </c>
      <c r="O164" s="911">
        <f t="shared" ref="O164" si="367">O165-O163</f>
        <v>3.0499672999999916</v>
      </c>
      <c r="P164" s="904">
        <f>SUM($N$149:$S$149)</f>
        <v>0</v>
      </c>
      <c r="Q164" s="904">
        <f>SUM($N$149:$S$149)</f>
        <v>0</v>
      </c>
      <c r="R164" s="904">
        <f>SUM($N$149:$S$149)</f>
        <v>0</v>
      </c>
      <c r="S164" s="904">
        <f>SUM($N$149:$S$149)</f>
        <v>0</v>
      </c>
      <c r="T164" s="904">
        <f t="shared" ref="T164:W164" si="368">SUM($N$149:$S$149)</f>
        <v>0</v>
      </c>
      <c r="U164" s="904">
        <f t="shared" si="368"/>
        <v>0</v>
      </c>
      <c r="V164" s="904">
        <f t="shared" si="368"/>
        <v>0</v>
      </c>
      <c r="W164" s="904">
        <f t="shared" si="368"/>
        <v>0</v>
      </c>
      <c r="X164" s="107"/>
    </row>
    <row r="165" spans="1:60">
      <c r="A165" s="924" t="s">
        <v>1133</v>
      </c>
      <c r="B165" s="909">
        <f>'Annual historicals'!E111</f>
        <v>100</v>
      </c>
      <c r="C165" s="909">
        <f>'Annual historicals'!F111</f>
        <v>100</v>
      </c>
      <c r="D165" s="909">
        <f>'Annual historicals'!G111</f>
        <v>100</v>
      </c>
      <c r="E165" s="909">
        <f>'Annual historicals'!H111</f>
        <v>113</v>
      </c>
      <c r="F165" s="909">
        <f>'Annual historicals'!I111</f>
        <v>339</v>
      </c>
      <c r="G165" s="909">
        <f>'Annual historicals'!J111</f>
        <v>338.58300000000003</v>
      </c>
      <c r="H165" s="909">
        <f>'Annual historicals'!K111</f>
        <v>338.58300000000003</v>
      </c>
      <c r="I165" s="909">
        <f>'Annual historicals'!L111</f>
        <v>338.58300000000003</v>
      </c>
      <c r="J165" s="909">
        <f>'Annual historicals'!M111</f>
        <v>336.87419999999997</v>
      </c>
      <c r="K165" s="910">
        <f>'Annual historicals'!N111</f>
        <v>336.841431</v>
      </c>
      <c r="L165" s="910">
        <f>'Annual historicals'!O111</f>
        <v>337.55095599999999</v>
      </c>
      <c r="M165" s="910">
        <f>'Annual historicals'!P111</f>
        <v>339.62056000000001</v>
      </c>
      <c r="N165" s="910">
        <f>'Annual historicals'!Q111</f>
        <v>339.372818</v>
      </c>
      <c r="O165" s="910">
        <f>'Annual historicals'!R111</f>
        <v>342.49413659999999</v>
      </c>
      <c r="P165" s="912">
        <f>P163+P164</f>
        <v>363.4678773</v>
      </c>
      <c r="Q165" s="912">
        <f>Q163+Q164</f>
        <v>363.4678773</v>
      </c>
      <c r="R165" s="912">
        <f>R163+R164</f>
        <v>363.4678773</v>
      </c>
      <c r="S165" s="912">
        <f>S163+S164</f>
        <v>363.4678773</v>
      </c>
      <c r="T165" s="912">
        <f t="shared" ref="T165:W165" si="369">T163+T164</f>
        <v>363.4678773</v>
      </c>
      <c r="U165" s="912">
        <f t="shared" si="369"/>
        <v>363.4678773</v>
      </c>
      <c r="V165" s="912">
        <f t="shared" si="369"/>
        <v>363.4678773</v>
      </c>
      <c r="W165" s="912">
        <f t="shared" si="369"/>
        <v>363.4678773</v>
      </c>
      <c r="X165" s="107"/>
    </row>
    <row r="166" spans="1:60">
      <c r="A166" s="1986" t="s">
        <v>998</v>
      </c>
      <c r="B166" s="1987">
        <f t="shared" ref="B166:S166" si="370">IF(ISNUMBER(B164/B163),B164/B163,"N.M.")</f>
        <v>0</v>
      </c>
      <c r="C166" s="1987">
        <f t="shared" si="370"/>
        <v>0</v>
      </c>
      <c r="D166" s="1987">
        <f t="shared" si="370"/>
        <v>0</v>
      </c>
      <c r="E166" s="1988">
        <f t="shared" si="370"/>
        <v>0</v>
      </c>
      <c r="F166" s="1988">
        <f t="shared" si="370"/>
        <v>0</v>
      </c>
      <c r="G166" s="1988">
        <f t="shared" si="370"/>
        <v>0</v>
      </c>
      <c r="H166" s="1988">
        <f t="shared" si="370"/>
        <v>0</v>
      </c>
      <c r="I166" s="1988">
        <f t="shared" si="370"/>
        <v>0</v>
      </c>
      <c r="J166" s="1988">
        <f t="shared" si="370"/>
        <v>0</v>
      </c>
      <c r="K166" s="1988">
        <f t="shared" si="370"/>
        <v>4.2490256568437131E-4</v>
      </c>
      <c r="L166" s="1988">
        <f t="shared" si="370"/>
        <v>1.5544032841514482E-3</v>
      </c>
      <c r="M166" s="1988">
        <f t="shared" si="370"/>
        <v>2.5444786056440039E-3</v>
      </c>
      <c r="N166" s="1988">
        <f t="shared" si="370"/>
        <v>1.1258818865816206E-3</v>
      </c>
      <c r="O166" s="1988">
        <f t="shared" ref="O166" si="371">IF(ISNUMBER(O164/O163),O164/O163,"N.M.")</f>
        <v>8.9851809983645271E-3</v>
      </c>
      <c r="P166" s="1989">
        <f t="shared" si="370"/>
        <v>0</v>
      </c>
      <c r="Q166" s="1989">
        <f t="shared" si="370"/>
        <v>0</v>
      </c>
      <c r="R166" s="1989">
        <f t="shared" si="370"/>
        <v>0</v>
      </c>
      <c r="S166" s="1989">
        <f t="shared" si="370"/>
        <v>0</v>
      </c>
      <c r="T166" s="1989">
        <f t="shared" ref="T166:W166" si="372">IF(ISNUMBER(T164/T163),T164/T163,"N.M.")</f>
        <v>0</v>
      </c>
      <c r="U166" s="1989">
        <f t="shared" si="372"/>
        <v>0</v>
      </c>
      <c r="V166" s="1989">
        <f t="shared" si="372"/>
        <v>0</v>
      </c>
      <c r="W166" s="1989">
        <f t="shared" si="372"/>
        <v>0</v>
      </c>
      <c r="X166" s="107"/>
    </row>
    <row r="167" spans="1:60" s="1401" customFormat="1">
      <c r="A167" s="1986"/>
      <c r="B167" s="1987"/>
      <c r="C167" s="1987"/>
      <c r="D167" s="1987"/>
      <c r="E167" s="1988"/>
      <c r="F167" s="1988"/>
      <c r="G167" s="1988"/>
      <c r="H167" s="1988"/>
      <c r="I167" s="1988"/>
      <c r="J167" s="1988"/>
      <c r="K167" s="1988"/>
      <c r="L167" s="1988"/>
      <c r="M167" s="1988"/>
      <c r="N167" s="1988"/>
      <c r="O167" s="1988"/>
      <c r="P167" s="1989"/>
      <c r="Q167" s="1989"/>
      <c r="R167" s="1989"/>
      <c r="S167" s="1989"/>
      <c r="T167" s="1989"/>
      <c r="U167" s="1989"/>
      <c r="V167" s="1989"/>
      <c r="W167" s="1989"/>
      <c r="X167" s="107"/>
    </row>
    <row r="168" spans="1:60" s="1401" customFormat="1">
      <c r="A168" s="652" t="s">
        <v>1646</v>
      </c>
      <c r="B168" s="894">
        <v>2004</v>
      </c>
      <c r="C168" s="894">
        <v>2005</v>
      </c>
      <c r="D168" s="894">
        <v>2006</v>
      </c>
      <c r="E168" s="894">
        <v>2007</v>
      </c>
      <c r="F168" s="894">
        <v>2008</v>
      </c>
      <c r="G168" s="894">
        <v>2009</v>
      </c>
      <c r="H168" s="894">
        <v>2010</v>
      </c>
      <c r="I168" s="894">
        <v>2011</v>
      </c>
      <c r="J168" s="894">
        <v>2012</v>
      </c>
      <c r="K168" s="894">
        <v>2013</v>
      </c>
      <c r="L168" s="894">
        <v>2014</v>
      </c>
      <c r="M168" s="894">
        <v>2015</v>
      </c>
      <c r="N168" s="894">
        <v>2016</v>
      </c>
      <c r="O168" s="2372">
        <v>2017</v>
      </c>
      <c r="P168" s="388">
        <v>2018</v>
      </c>
      <c r="Q168" s="388">
        <v>2019</v>
      </c>
      <c r="R168" s="388">
        <v>2020</v>
      </c>
      <c r="S168" s="388">
        <v>2021</v>
      </c>
      <c r="T168" s="388">
        <v>2022</v>
      </c>
      <c r="U168" s="388">
        <v>2023</v>
      </c>
      <c r="V168" s="388">
        <v>2024</v>
      </c>
      <c r="W168" s="388">
        <v>2025</v>
      </c>
      <c r="X168" s="107"/>
      <c r="Y168" s="107"/>
      <c r="Z168" s="107"/>
      <c r="AA168" s="107"/>
      <c r="AB168" s="107"/>
      <c r="AC168" s="107"/>
      <c r="AD168" s="107"/>
      <c r="AE168" s="372"/>
      <c r="AF168" s="372"/>
      <c r="AG168" s="372"/>
      <c r="AH168" s="372"/>
      <c r="AI168" s="372"/>
      <c r="AJ168" s="407"/>
      <c r="AK168" s="407"/>
      <c r="AL168" s="407"/>
      <c r="AM168" s="407"/>
      <c r="AN168" s="407"/>
      <c r="AO168" s="407"/>
      <c r="AP168" s="407"/>
      <c r="AQ168" s="407"/>
      <c r="AR168" s="407"/>
      <c r="AS168" s="407"/>
      <c r="AT168" s="407"/>
      <c r="AU168" s="407"/>
      <c r="AV168" s="407"/>
      <c r="AW168" s="407"/>
      <c r="AX168" s="407"/>
      <c r="AY168" s="407"/>
      <c r="AZ168" s="407"/>
      <c r="BA168" s="407"/>
      <c r="BB168" s="407"/>
      <c r="BC168" s="407"/>
    </row>
    <row r="169" spans="1:60" s="1401" customFormat="1">
      <c r="A169" s="923" t="s">
        <v>254</v>
      </c>
      <c r="B169" s="896">
        <f>+'Annual historicals'!E269</f>
        <v>0</v>
      </c>
      <c r="C169" s="896">
        <f>+'Annual historicals'!F269</f>
        <v>0</v>
      </c>
      <c r="D169" s="896">
        <f>+'Annual historicals'!G269</f>
        <v>0</v>
      </c>
      <c r="E169" s="896">
        <f>Q_Financials!E157</f>
        <v>0</v>
      </c>
      <c r="F169" s="896">
        <f>Q_Financials!I157</f>
        <v>0</v>
      </c>
      <c r="G169" s="896">
        <f>Q_Financials!M157</f>
        <v>0</v>
      </c>
      <c r="H169" s="896">
        <f>Q_Financials!Q157</f>
        <v>0</v>
      </c>
      <c r="I169" s="896">
        <f>Q_Financials!U157</f>
        <v>0</v>
      </c>
      <c r="J169" s="896">
        <f>Q_Financials!Y157</f>
        <v>0</v>
      </c>
      <c r="K169" s="896">
        <f>Q_Financials!AC157</f>
        <v>0</v>
      </c>
      <c r="L169" s="896">
        <f>Q_Financials!AG157</f>
        <v>0</v>
      </c>
      <c r="M169" s="896">
        <f>Q_Financials!AK157</f>
        <v>0</v>
      </c>
      <c r="N169" s="896">
        <f>Q_Financials!AO157</f>
        <v>0</v>
      </c>
      <c r="O169" s="202">
        <f>Q_Financials!AS157</f>
        <v>0</v>
      </c>
      <c r="P169" s="898">
        <f>O169+P223+P227-P229</f>
        <v>0</v>
      </c>
      <c r="Q169" s="898">
        <f t="shared" ref="Q169" si="373">P169+Q223+Q227-Q229</f>
        <v>0</v>
      </c>
      <c r="R169" s="898">
        <f t="shared" ref="R169" si="374">Q169+R223+R227-R229</f>
        <v>0</v>
      </c>
      <c r="S169" s="898">
        <f t="shared" ref="S169" si="375">R169+S223+S227-S229</f>
        <v>0</v>
      </c>
      <c r="T169" s="898">
        <f t="shared" ref="T169" si="376">S169+T223+T227-T229</f>
        <v>0</v>
      </c>
      <c r="U169" s="898">
        <f t="shared" ref="U169" si="377">T169+U223+U227-U229</f>
        <v>0</v>
      </c>
      <c r="V169" s="898">
        <f t="shared" ref="V169" si="378">U169+V223+V227-V229</f>
        <v>0</v>
      </c>
      <c r="W169" s="898">
        <f t="shared" ref="W169" si="379">V169+W223+W227-W229</f>
        <v>0</v>
      </c>
      <c r="X169" s="107"/>
      <c r="Y169" s="891"/>
      <c r="Z169" s="107"/>
      <c r="AA169" s="891"/>
      <c r="AB169" s="107"/>
      <c r="AC169" s="891"/>
      <c r="AD169" s="107"/>
      <c r="AE169" s="891"/>
      <c r="AF169" s="107"/>
      <c r="AG169" s="891"/>
      <c r="AH169" s="107"/>
      <c r="AI169" s="891"/>
      <c r="AJ169" s="107"/>
      <c r="AK169" s="891"/>
      <c r="AL169" s="107"/>
      <c r="AM169" s="891"/>
      <c r="AN169" s="107"/>
      <c r="AO169" s="891"/>
      <c r="AP169" s="107"/>
      <c r="AQ169" s="891"/>
      <c r="AR169" s="107"/>
      <c r="AS169" s="891"/>
      <c r="AT169" s="107"/>
      <c r="AU169" s="891"/>
      <c r="AV169" s="107"/>
      <c r="AW169" s="891"/>
      <c r="AX169" s="107"/>
      <c r="AY169" s="891"/>
      <c r="AZ169" s="107"/>
      <c r="BA169" s="891"/>
      <c r="BB169" s="107"/>
      <c r="BC169" s="891"/>
      <c r="BD169" s="107"/>
    </row>
    <row r="170" spans="1:60" s="1401" customFormat="1">
      <c r="A170" s="1986"/>
      <c r="B170" s="1987"/>
      <c r="C170" s="1987"/>
      <c r="D170" s="1987"/>
      <c r="E170" s="1988"/>
      <c r="F170" s="1988"/>
      <c r="G170" s="1988"/>
      <c r="H170" s="1988"/>
      <c r="I170" s="1988"/>
      <c r="J170" s="1988"/>
      <c r="K170" s="1988"/>
      <c r="L170" s="1988"/>
      <c r="M170" s="1988"/>
      <c r="N170" s="1988"/>
      <c r="O170" s="1988"/>
      <c r="P170" s="1989"/>
      <c r="Q170" s="1989"/>
      <c r="R170" s="1989"/>
      <c r="S170" s="1989"/>
      <c r="T170" s="1989"/>
      <c r="U170" s="1989"/>
      <c r="V170" s="1989"/>
      <c r="W170" s="1989"/>
      <c r="X170" s="107"/>
    </row>
    <row r="171" spans="1:60" s="101" customFormat="1">
      <c r="A171" s="2018" t="s">
        <v>1021</v>
      </c>
      <c r="B171" s="2021">
        <f>+'Annual historicals'!E115</f>
        <v>7</v>
      </c>
      <c r="C171" s="2021">
        <f>+'Annual historicals'!F115</f>
        <v>7.4</v>
      </c>
      <c r="D171" s="2021">
        <f>+'Annual historicals'!G115</f>
        <v>17.899999999999999</v>
      </c>
      <c r="E171" s="2022">
        <f>+'Annual historicals'!H115</f>
        <v>19.99979626</v>
      </c>
      <c r="F171" s="2022">
        <f>+'Annual historicals'!I115</f>
        <v>0</v>
      </c>
      <c r="G171" s="2022">
        <f>+'Annual historicals'!J115</f>
        <v>0</v>
      </c>
      <c r="H171" s="2022">
        <f>+'Annual historicals'!K115</f>
        <v>30.933</v>
      </c>
      <c r="I171" s="2022">
        <f>+'Annual historicals'!L115</f>
        <v>30.242050030000001</v>
      </c>
      <c r="J171" s="2022">
        <f>+'Annual historicals'!M115</f>
        <v>36.084000000000003</v>
      </c>
      <c r="K171" s="2022">
        <f>+'Annual historicals'!N115</f>
        <v>30</v>
      </c>
      <c r="L171" s="2022">
        <f>+'Annual historicals'!O115</f>
        <v>40.405000000000001</v>
      </c>
      <c r="M171" s="2022">
        <f>+'Annual historicals'!P115</f>
        <v>67.938999999999993</v>
      </c>
      <c r="N171" s="2022">
        <f>+'Annual historicals'!Q115</f>
        <v>53.164000000000001</v>
      </c>
      <c r="O171" s="2022">
        <f>+'Annual historicals'!R115</f>
        <v>74.242000000000004</v>
      </c>
      <c r="P171" s="2023">
        <f>-SUM(Q_Financials!AT38:AW38)</f>
        <v>209.12075464699728</v>
      </c>
      <c r="Q171" s="2023">
        <f>-SUM(Q_Financials!AX38:BA38)</f>
        <v>286.49479831089707</v>
      </c>
      <c r="R171" s="2023">
        <f>-SUM(Q_Financials!BB38:BE38)</f>
        <v>474.40801917573708</v>
      </c>
      <c r="S171" s="2023">
        <f>-SUM(Q_Financials!BF38:BI38)</f>
        <v>567.0365416636007</v>
      </c>
      <c r="T171" s="2023">
        <f>-SUM(Q_Financials!BJ38:BM38)</f>
        <v>601.71678446531655</v>
      </c>
      <c r="U171" s="2023">
        <f>-SUM(Q_Financials!BN38:BQ38)</f>
        <v>710.76143778149901</v>
      </c>
      <c r="V171" s="2023">
        <f>-SUM(Q_Financials!BR38:BU38)</f>
        <v>596.87896213261331</v>
      </c>
      <c r="W171" s="2023">
        <f>-SUM(Q_Financials!BV38:BY38)</f>
        <v>780.14521072285879</v>
      </c>
      <c r="X171" s="2019"/>
    </row>
    <row r="172" spans="1:60" s="1401" customFormat="1">
      <c r="A172" s="2018" t="s">
        <v>1488</v>
      </c>
      <c r="B172" s="2024"/>
      <c r="C172" s="2024"/>
      <c r="D172" s="2024"/>
      <c r="E172" s="952"/>
      <c r="F172" s="196">
        <f>+SUM(Q_Financials!F37:I37)</f>
        <v>-48.793999999999969</v>
      </c>
      <c r="G172" s="952">
        <f>+SUM(Q_Financials!J37:M37)</f>
        <v>-71.865000000000038</v>
      </c>
      <c r="H172" s="952">
        <f>+SUM(Q_Financials!N37:Q37)</f>
        <v>98.071999999999974</v>
      </c>
      <c r="I172" s="952">
        <f>+SUM(Q_Financials!R37:U37)</f>
        <v>142.29099999999988</v>
      </c>
      <c r="J172" s="952">
        <f>+SUM(Q_Financials!V37:Y37)</f>
        <v>126.611</v>
      </c>
      <c r="K172" s="952">
        <f>+SUM(Q_Financials!Z37:AC37)</f>
        <v>72.949999999999989</v>
      </c>
      <c r="L172" s="952">
        <f>+SUM(Q_Financials!AD37:AG37)</f>
        <v>135.00200000000001</v>
      </c>
      <c r="M172" s="952">
        <f>+SUM(Q_Financials!AH37:AK37)</f>
        <v>286.05800000000011</v>
      </c>
      <c r="N172" s="952">
        <f>+SUM(Q_Financials!AL37:AO37)</f>
        <v>199.47299999999987</v>
      </c>
      <c r="O172" s="952">
        <f>+SUM(Q_Financials!AM37:AP37)</f>
        <v>206.0689999999999</v>
      </c>
      <c r="P172" s="2020">
        <f>+SUM(Q_Financials!AT37:AW37)</f>
        <v>522.80188661749321</v>
      </c>
      <c r="Q172" s="2020">
        <f>+SUM(Q_Financials!AX37:BA37)</f>
        <v>572.98959662179413</v>
      </c>
      <c r="R172" s="2020">
        <f>+SUM(Q_Financials!BB37:BE37)</f>
        <v>677.72574167962443</v>
      </c>
      <c r="S172" s="2020">
        <f>+SUM(Q_Financials!BF37:BI37)</f>
        <v>810.0522023765725</v>
      </c>
      <c r="T172" s="2020">
        <f>+SUM(Q_Financials!BJ37:BM37)</f>
        <v>859.59540637902364</v>
      </c>
      <c r="U172" s="2020">
        <f>+SUM(Q_Financials!BN37:BQ37)</f>
        <v>710.76143778149901</v>
      </c>
      <c r="V172" s="2020">
        <f>+SUM(Q_Financials!BR37:BU37)</f>
        <v>596.87896213261331</v>
      </c>
      <c r="W172" s="2020">
        <f>+SUM(Q_Financials!BV37:BY37)</f>
        <v>780.14521072285879</v>
      </c>
      <c r="X172" s="107"/>
    </row>
    <row r="173" spans="1:60" s="1401" customFormat="1">
      <c r="A173" s="2018" t="s">
        <v>1489</v>
      </c>
      <c r="B173" s="1987"/>
      <c r="C173" s="1987"/>
      <c r="D173" s="1987"/>
      <c r="E173" s="1988"/>
      <c r="F173" s="1988">
        <f t="shared" ref="F173:N173" si="380">+F171/F172</f>
        <v>0</v>
      </c>
      <c r="G173" s="1988">
        <f t="shared" si="380"/>
        <v>0</v>
      </c>
      <c r="H173" s="1988">
        <f t="shared" si="380"/>
        <v>0.31541112651929204</v>
      </c>
      <c r="I173" s="1988">
        <f t="shared" si="380"/>
        <v>0.2125366328861279</v>
      </c>
      <c r="J173" s="1988">
        <f t="shared" si="380"/>
        <v>0.28499893374193397</v>
      </c>
      <c r="K173" s="1988">
        <f t="shared" si="380"/>
        <v>0.41124057573680611</v>
      </c>
      <c r="L173" s="1988">
        <f t="shared" si="380"/>
        <v>0.2992918623427801</v>
      </c>
      <c r="M173" s="1988">
        <f t="shared" si="380"/>
        <v>0.23750078655377568</v>
      </c>
      <c r="N173" s="1988">
        <f t="shared" si="380"/>
        <v>0.26652228622420093</v>
      </c>
      <c r="O173" s="1988">
        <f t="shared" ref="O173:W173" si="381">+O171/O172</f>
        <v>0.36027738281837657</v>
      </c>
      <c r="P173" s="1989">
        <f t="shared" si="381"/>
        <v>0.4</v>
      </c>
      <c r="Q173" s="1989">
        <f t="shared" si="381"/>
        <v>0.5</v>
      </c>
      <c r="R173" s="1989">
        <f t="shared" si="381"/>
        <v>0.7</v>
      </c>
      <c r="S173" s="1989">
        <f t="shared" si="381"/>
        <v>0.7</v>
      </c>
      <c r="T173" s="1989">
        <f t="shared" si="381"/>
        <v>0.7</v>
      </c>
      <c r="U173" s="1989">
        <f t="shared" si="381"/>
        <v>1</v>
      </c>
      <c r="V173" s="1989">
        <f t="shared" si="381"/>
        <v>1</v>
      </c>
      <c r="W173" s="1989">
        <f t="shared" si="381"/>
        <v>1</v>
      </c>
      <c r="X173" s="107"/>
    </row>
    <row r="174" spans="1:60" s="1401" customFormat="1">
      <c r="A174" s="1986"/>
      <c r="B174" s="1987"/>
      <c r="C174" s="1987"/>
      <c r="D174" s="1987"/>
      <c r="E174" s="1988"/>
      <c r="F174" s="1988"/>
      <c r="G174" s="1988"/>
      <c r="H174" s="1988"/>
      <c r="I174" s="1988"/>
      <c r="J174" s="1988"/>
      <c r="K174" s="1988"/>
      <c r="L174" s="1988"/>
      <c r="M174" s="1988"/>
      <c r="N174" s="1988"/>
      <c r="O174" s="1988"/>
      <c r="P174" s="1989"/>
      <c r="Q174" s="1989"/>
      <c r="R174" s="1989"/>
      <c r="S174" s="1989"/>
      <c r="T174" s="1989"/>
      <c r="U174" s="1989"/>
      <c r="V174" s="1989"/>
      <c r="W174" s="1989"/>
      <c r="X174" s="107"/>
    </row>
    <row r="175" spans="1:60" s="1401" customFormat="1">
      <c r="A175" s="1698"/>
      <c r="B175" s="1699"/>
      <c r="C175" s="1699"/>
      <c r="D175" s="1699"/>
      <c r="E175" s="1700"/>
      <c r="F175" s="1700"/>
      <c r="G175" s="1700"/>
      <c r="H175" s="1700"/>
      <c r="I175" s="1700"/>
      <c r="J175" s="1700"/>
      <c r="K175" s="1700"/>
      <c r="L175" s="1700"/>
      <c r="M175" s="1700"/>
      <c r="N175" s="1700"/>
      <c r="O175" s="1701"/>
      <c r="P175" s="1701"/>
      <c r="Q175" s="1701"/>
      <c r="R175" s="1701"/>
      <c r="S175" s="1701"/>
      <c r="T175" s="1701"/>
      <c r="U175" s="1701"/>
      <c r="V175" s="1701"/>
      <c r="W175" s="1701"/>
      <c r="X175" s="107"/>
    </row>
    <row r="176" spans="1:60" s="1401" customFormat="1">
      <c r="A176" s="899" t="s">
        <v>556</v>
      </c>
      <c r="B176" s="107"/>
      <c r="C176" s="107"/>
      <c r="D176" s="107"/>
      <c r="E176" s="107"/>
      <c r="F176" s="107"/>
      <c r="G176" s="107"/>
      <c r="H176" s="107"/>
      <c r="I176" s="107"/>
      <c r="J176" s="107"/>
      <c r="K176" s="107"/>
      <c r="L176" s="107"/>
      <c r="M176" s="107"/>
      <c r="N176" s="372"/>
      <c r="O176" s="107"/>
      <c r="P176" s="107"/>
      <c r="Q176" s="107"/>
      <c r="R176" s="107"/>
      <c r="T176" s="107"/>
      <c r="U176" s="107"/>
      <c r="V176" s="107"/>
      <c r="W176" s="1697" t="s">
        <v>200</v>
      </c>
      <c r="X176" s="107"/>
      <c r="Y176" s="107"/>
      <c r="Z176" s="107"/>
      <c r="AA176" s="107"/>
      <c r="AB176" s="107"/>
      <c r="AC176" s="107"/>
      <c r="AD176" s="107"/>
      <c r="AE176" s="372"/>
      <c r="AF176" s="372"/>
      <c r="AG176" s="372"/>
      <c r="AH176" s="372"/>
      <c r="AJ176" s="407"/>
      <c r="AK176" s="407"/>
      <c r="AL176" s="407"/>
      <c r="AM176" s="407"/>
      <c r="AN176" s="407"/>
      <c r="AO176" s="407"/>
      <c r="AP176" s="407"/>
      <c r="AQ176" s="407"/>
      <c r="AR176" s="407"/>
      <c r="AS176" s="407"/>
      <c r="AT176" s="407"/>
      <c r="AU176" s="407"/>
      <c r="AV176" s="407"/>
      <c r="AW176" s="407"/>
      <c r="AX176" s="407"/>
      <c r="AY176" s="407"/>
      <c r="AZ176" s="407"/>
      <c r="BA176" s="407"/>
    </row>
    <row r="177" spans="1:59" s="1401" customFormat="1">
      <c r="A177" s="899"/>
      <c r="B177" s="107"/>
      <c r="C177" s="107"/>
      <c r="D177" s="107"/>
      <c r="E177" s="107"/>
      <c r="F177" s="107"/>
      <c r="G177" s="107"/>
      <c r="H177" s="107"/>
      <c r="I177" s="107"/>
      <c r="J177" s="107"/>
      <c r="K177" s="107"/>
      <c r="L177" s="107"/>
      <c r="M177" s="107"/>
      <c r="N177" s="372"/>
      <c r="O177" s="2272"/>
      <c r="P177" s="107"/>
      <c r="Q177" s="107"/>
      <c r="R177" s="107"/>
      <c r="S177" s="1697"/>
      <c r="T177" s="107"/>
      <c r="U177" s="107"/>
      <c r="V177" s="107"/>
      <c r="W177" s="107"/>
      <c r="X177" s="107"/>
      <c r="Y177" s="107"/>
      <c r="Z177" s="107"/>
      <c r="AA177" s="107"/>
      <c r="AB177" s="107"/>
      <c r="AC177" s="107"/>
      <c r="AD177" s="107"/>
      <c r="AE177" s="372"/>
      <c r="AF177" s="372"/>
      <c r="AG177" s="372"/>
      <c r="AH177" s="372"/>
      <c r="AI177" s="372"/>
      <c r="AJ177" s="407"/>
      <c r="AK177" s="407"/>
      <c r="AL177" s="407"/>
      <c r="AM177" s="407"/>
      <c r="AN177" s="407"/>
      <c r="AO177" s="407"/>
      <c r="AP177" s="407"/>
      <c r="AQ177" s="407"/>
      <c r="AR177" s="407"/>
      <c r="AS177" s="407"/>
      <c r="AT177" s="407"/>
      <c r="AU177" s="407"/>
      <c r="AV177" s="407"/>
      <c r="AW177" s="407"/>
      <c r="AX177" s="407"/>
      <c r="AY177" s="407"/>
      <c r="AZ177" s="407"/>
      <c r="BA177" s="407"/>
    </row>
    <row r="178" spans="1:59" s="1401" customFormat="1">
      <c r="A178" s="1555" t="s">
        <v>558</v>
      </c>
      <c r="B178" s="1563"/>
      <c r="C178" s="1563"/>
      <c r="D178" s="1563"/>
      <c r="E178" s="1563"/>
      <c r="F178" s="1563"/>
      <c r="G178" s="1563"/>
      <c r="H178" s="1563"/>
      <c r="I178" s="1563"/>
      <c r="J178" s="1563"/>
      <c r="K178" s="1563"/>
      <c r="L178" s="106"/>
      <c r="M178" s="1563"/>
      <c r="N178" s="1563"/>
      <c r="O178" s="1570"/>
      <c r="P178" s="1570"/>
      <c r="Q178" s="1570"/>
      <c r="R178" s="1570"/>
      <c r="S178" s="1570"/>
      <c r="T178" s="1570"/>
      <c r="U178" s="1570"/>
      <c r="V178" s="1570"/>
      <c r="W178" s="1570"/>
      <c r="X178" s="107"/>
      <c r="Y178" s="386"/>
      <c r="Z178" s="386"/>
      <c r="AA178" s="386"/>
      <c r="AB178" s="386"/>
      <c r="AC178" s="386"/>
      <c r="AD178" s="386"/>
      <c r="AE178" s="386"/>
      <c r="AF178" s="386"/>
      <c r="AG178" s="386"/>
      <c r="AH178" s="386"/>
      <c r="AI178" s="386"/>
      <c r="AJ178" s="386"/>
      <c r="AK178" s="386"/>
      <c r="AL178" s="386"/>
      <c r="AM178" s="386"/>
      <c r="AN178" s="386"/>
      <c r="AO178" s="386"/>
      <c r="AP178" s="386"/>
      <c r="AQ178" s="386"/>
      <c r="AR178" s="386"/>
      <c r="AS178" s="386"/>
      <c r="AT178" s="386"/>
      <c r="AU178" s="386"/>
      <c r="AV178" s="386"/>
      <c r="AW178" s="386"/>
      <c r="AX178" s="386"/>
      <c r="AY178" s="386"/>
      <c r="AZ178" s="386"/>
      <c r="BA178" s="386"/>
      <c r="BB178" s="386"/>
      <c r="BC178" s="106"/>
      <c r="BD178" s="106"/>
      <c r="BE178" s="106"/>
      <c r="BF178" s="106"/>
      <c r="BG178" s="381"/>
    </row>
    <row r="179" spans="1:59" hidden="1" outlineLevel="1">
      <c r="A179" s="1990" t="s">
        <v>1396</v>
      </c>
      <c r="B179" s="901"/>
      <c r="C179" s="808">
        <f t="shared" ref="C179:S179" si="382">SUM(C160:C162)-C163</f>
        <v>0</v>
      </c>
      <c r="D179" s="808">
        <f t="shared" si="382"/>
        <v>0</v>
      </c>
      <c r="E179" s="1991">
        <f t="shared" si="382"/>
        <v>0</v>
      </c>
      <c r="F179" s="1991">
        <f t="shared" si="382"/>
        <v>0</v>
      </c>
      <c r="G179" s="1991">
        <f t="shared" si="382"/>
        <v>0</v>
      </c>
      <c r="H179" s="1991">
        <f t="shared" si="382"/>
        <v>0</v>
      </c>
      <c r="I179" s="1991">
        <f t="shared" si="382"/>
        <v>0</v>
      </c>
      <c r="J179" s="1991">
        <f t="shared" si="382"/>
        <v>0</v>
      </c>
      <c r="K179" s="1991">
        <f t="shared" si="382"/>
        <v>0</v>
      </c>
      <c r="L179" s="1991">
        <f t="shared" si="382"/>
        <v>0</v>
      </c>
      <c r="M179" s="1991">
        <f t="shared" si="382"/>
        <v>0</v>
      </c>
      <c r="N179" s="1583">
        <f t="shared" si="382"/>
        <v>0</v>
      </c>
      <c r="O179" s="1583">
        <f t="shared" si="382"/>
        <v>0</v>
      </c>
      <c r="P179" s="685">
        <f t="shared" si="382"/>
        <v>0</v>
      </c>
      <c r="Q179" s="685">
        <f t="shared" si="382"/>
        <v>0</v>
      </c>
      <c r="R179" s="685">
        <f t="shared" si="382"/>
        <v>0</v>
      </c>
      <c r="S179" s="685">
        <f t="shared" si="382"/>
        <v>0</v>
      </c>
      <c r="T179" s="685">
        <f t="shared" ref="T179:W179" si="383">SUM(T160:T162)-T163</f>
        <v>0</v>
      </c>
      <c r="U179" s="685">
        <f t="shared" si="383"/>
        <v>0</v>
      </c>
      <c r="V179" s="685">
        <f t="shared" si="383"/>
        <v>0</v>
      </c>
      <c r="W179" s="685">
        <f t="shared" si="383"/>
        <v>0</v>
      </c>
    </row>
    <row r="180" spans="1:59" collapsed="1">
      <c r="N180" s="106"/>
    </row>
    <row r="181" spans="1:59">
      <c r="N181" s="106"/>
    </row>
  </sheetData>
  <phoneticPr fontId="11" type="noConversion"/>
  <pageMargins left="0.7" right="0.7" top="0.75" bottom="0.75" header="0.3" footer="0.3"/>
  <pageSetup scale="59" orientation="landscape" r:id="rId1"/>
  <headerFooter alignWithMargins="0"/>
  <rowBreaks count="1" manualBreakCount="1">
    <brk id="46" max="41"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enableFormatConditionsCalculation="0">
    <tabColor indexed="8"/>
    <pageSetUpPr fitToPage="1"/>
  </sheetPr>
  <dimension ref="A1"/>
  <sheetViews>
    <sheetView workbookViewId="0"/>
  </sheetViews>
  <sheetFormatPr defaultRowHeight="12.75"/>
  <sheetData/>
  <phoneticPr fontId="11" type="noConversion"/>
  <pageMargins left="0.25" right="0.25" top="0.5" bottom="0.5" header="0.5" footer="0.5"/>
  <pageSetup orientation="landscape"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7"/>
  </sheetPr>
  <dimension ref="A1:XFC215"/>
  <sheetViews>
    <sheetView showGridLines="0" workbookViewId="0">
      <pane xSplit="1" ySplit="5" topLeftCell="B6" activePane="bottomRight" state="frozen"/>
      <selection activeCell="AC362" sqref="AC362"/>
      <selection pane="topRight" activeCell="AC362" sqref="AC362"/>
      <selection pane="bottomLeft" activeCell="AC362" sqref="AC362"/>
      <selection pane="bottomRight"/>
    </sheetView>
  </sheetViews>
  <sheetFormatPr defaultRowHeight="11.25" outlineLevelRow="1" outlineLevelCol="1"/>
  <cols>
    <col min="1" max="1" width="35.28515625" style="52" customWidth="1"/>
    <col min="2" max="8" width="9.140625" style="52" hidden="1" customWidth="1" outlineLevel="1"/>
    <col min="9" max="9" width="9.140625" style="52" customWidth="1" collapsed="1"/>
    <col min="10" max="16" width="9.140625" style="52" customWidth="1"/>
    <col min="17" max="17" width="9.140625" style="1401" customWidth="1"/>
    <col min="18" max="23" width="9.140625" style="52" customWidth="1"/>
    <col min="24" max="16384" width="9.140625" style="52"/>
  </cols>
  <sheetData>
    <row r="1" spans="1:24" s="106" customFormat="1" ht="18">
      <c r="A1" s="112" t="str">
        <f>Index!B1</f>
        <v>São Martinho</v>
      </c>
      <c r="B1" s="127"/>
      <c r="C1" s="666"/>
      <c r="D1" s="666"/>
      <c r="E1" s="666"/>
      <c r="F1" s="666"/>
      <c r="G1" s="666"/>
      <c r="H1" s="666"/>
      <c r="I1" s="666"/>
      <c r="J1" s="666"/>
      <c r="K1" s="666"/>
      <c r="L1" s="666"/>
      <c r="M1" s="666"/>
      <c r="N1" s="666"/>
      <c r="O1" s="666"/>
      <c r="P1" s="666"/>
      <c r="Q1" s="666"/>
      <c r="R1" s="666"/>
      <c r="S1" s="666"/>
      <c r="T1" s="431"/>
      <c r="U1" s="431"/>
    </row>
    <row r="2" spans="1:24" s="106" customFormat="1" ht="12.75">
      <c r="A2" s="170" t="s">
        <v>773</v>
      </c>
      <c r="B2" s="666"/>
      <c r="C2" s="666"/>
      <c r="D2" s="666"/>
      <c r="E2" s="666"/>
      <c r="F2" s="666"/>
      <c r="G2" s="666"/>
      <c r="H2" s="666"/>
      <c r="I2" s="666"/>
      <c r="J2" s="666"/>
      <c r="K2" s="666"/>
      <c r="L2" s="666"/>
      <c r="M2" s="666"/>
      <c r="N2" s="666"/>
      <c r="O2" s="666"/>
      <c r="P2" s="666"/>
      <c r="Q2" s="666"/>
      <c r="R2" s="666"/>
      <c r="S2" s="431"/>
      <c r="T2" s="431"/>
      <c r="U2" s="432" t="s">
        <v>27</v>
      </c>
    </row>
    <row r="3" spans="1:24">
      <c r="H3" s="346"/>
      <c r="P3" s="772"/>
      <c r="Q3" s="772"/>
    </row>
    <row r="4" spans="1:24">
      <c r="A4" s="387" t="s">
        <v>772</v>
      </c>
      <c r="B4" s="872">
        <v>37011</v>
      </c>
      <c r="C4" s="872">
        <v>37376</v>
      </c>
      <c r="D4" s="872">
        <v>37741</v>
      </c>
      <c r="E4" s="872">
        <v>38107</v>
      </c>
      <c r="F4" s="872">
        <v>38472</v>
      </c>
      <c r="G4" s="872">
        <v>38837</v>
      </c>
      <c r="H4" s="872">
        <v>39171</v>
      </c>
      <c r="I4" s="872">
        <v>39533</v>
      </c>
      <c r="J4" s="872">
        <v>39899</v>
      </c>
      <c r="K4" s="872">
        <v>40265</v>
      </c>
      <c r="L4" s="872">
        <v>40631</v>
      </c>
      <c r="M4" s="872">
        <v>40997</v>
      </c>
      <c r="N4" s="872">
        <v>41363</v>
      </c>
      <c r="O4" s="872">
        <v>41729</v>
      </c>
      <c r="P4" s="872">
        <v>42094</v>
      </c>
      <c r="Q4" s="872">
        <v>42460</v>
      </c>
      <c r="R4" s="872">
        <v>42824</v>
      </c>
      <c r="S4" s="202"/>
      <c r="T4" s="202"/>
      <c r="U4" s="202"/>
      <c r="V4" s="202"/>
      <c r="W4" s="202"/>
      <c r="X4" s="202"/>
    </row>
    <row r="5" spans="1:24">
      <c r="A5" s="652"/>
      <c r="B5" s="643">
        <v>2001</v>
      </c>
      <c r="C5" s="643">
        <v>2002</v>
      </c>
      <c r="D5" s="643">
        <v>2003</v>
      </c>
      <c r="E5" s="643">
        <f>Financials!B4</f>
        <v>2004</v>
      </c>
      <c r="F5" s="643">
        <f>Financials!C4</f>
        <v>2005</v>
      </c>
      <c r="G5" s="643">
        <f>Financials!D4</f>
        <v>2006</v>
      </c>
      <c r="H5" s="643">
        <f>Financials!E4</f>
        <v>2007</v>
      </c>
      <c r="I5" s="643">
        <f>Financials!F4</f>
        <v>2008</v>
      </c>
      <c r="J5" s="643">
        <f>Financials!G4</f>
        <v>2009</v>
      </c>
      <c r="K5" s="643">
        <f>Financials!H4</f>
        <v>2010</v>
      </c>
      <c r="L5" s="643">
        <f>Financials!I4</f>
        <v>2011</v>
      </c>
      <c r="M5" s="643">
        <f>Financials!J4</f>
        <v>2012</v>
      </c>
      <c r="N5" s="643">
        <f>Financials!K4</f>
        <v>2013</v>
      </c>
      <c r="O5" s="643">
        <f>Financials!L4</f>
        <v>2014</v>
      </c>
      <c r="P5" s="643">
        <f>Financials!M4</f>
        <v>2015</v>
      </c>
      <c r="Q5" s="643">
        <f>Financials!N4</f>
        <v>2016</v>
      </c>
      <c r="R5" s="643">
        <f>Financials!O4</f>
        <v>2017</v>
      </c>
      <c r="S5" s="388">
        <f>Financials!P4</f>
        <v>2018</v>
      </c>
      <c r="T5" s="388">
        <f>Financials!Q4</f>
        <v>2019</v>
      </c>
      <c r="U5" s="388">
        <f>Financials!R4</f>
        <v>2020</v>
      </c>
    </row>
    <row r="6" spans="1:24">
      <c r="A6" s="251" t="s">
        <v>824</v>
      </c>
      <c r="B6" s="205"/>
      <c r="C6" s="205"/>
      <c r="D6" s="205"/>
      <c r="E6" s="205"/>
      <c r="F6" s="205"/>
      <c r="G6" s="205"/>
      <c r="H6" s="205"/>
      <c r="I6" s="205"/>
      <c r="J6" s="205"/>
      <c r="K6" s="205"/>
      <c r="L6" s="205"/>
      <c r="M6" s="748"/>
      <c r="N6" s="205"/>
      <c r="O6" s="748"/>
      <c r="P6" s="748"/>
      <c r="Q6" s="748"/>
      <c r="R6" s="352"/>
      <c r="S6" s="352"/>
      <c r="T6" s="352"/>
      <c r="U6" s="352"/>
      <c r="V6" s="389"/>
      <c r="W6" s="389"/>
      <c r="X6" s="389"/>
    </row>
    <row r="7" spans="1:24" s="1401" customFormat="1">
      <c r="A7" s="54" t="s">
        <v>1498</v>
      </c>
      <c r="B7" s="748"/>
      <c r="C7" s="748"/>
      <c r="D7" s="748"/>
      <c r="E7" s="748"/>
      <c r="F7" s="748"/>
      <c r="G7" s="1074" t="s">
        <v>972</v>
      </c>
      <c r="H7" s="346">
        <v>50000</v>
      </c>
      <c r="I7" s="346">
        <v>50000</v>
      </c>
      <c r="J7" s="346">
        <v>50000</v>
      </c>
      <c r="K7" s="346">
        <v>50000</v>
      </c>
      <c r="L7" s="346">
        <v>50000</v>
      </c>
      <c r="M7" s="346">
        <v>50000</v>
      </c>
      <c r="N7" s="346">
        <v>50000</v>
      </c>
      <c r="O7" s="346">
        <v>52600</v>
      </c>
      <c r="P7" s="346">
        <v>52600</v>
      </c>
      <c r="Q7" s="346">
        <v>52600</v>
      </c>
      <c r="R7" s="346">
        <v>55000</v>
      </c>
      <c r="S7" s="352"/>
      <c r="T7" s="352"/>
      <c r="U7" s="352"/>
      <c r="V7" s="2055"/>
      <c r="W7" s="2055"/>
      <c r="X7" s="2055"/>
    </row>
    <row r="8" spans="1:24">
      <c r="A8" s="54" t="s">
        <v>975</v>
      </c>
      <c r="B8" s="861" t="s">
        <v>972</v>
      </c>
      <c r="C8" s="861" t="s">
        <v>972</v>
      </c>
      <c r="D8" s="861" t="s">
        <v>972</v>
      </c>
      <c r="E8" s="861" t="s">
        <v>972</v>
      </c>
      <c r="F8" s="861" t="s">
        <v>972</v>
      </c>
      <c r="G8" s="346">
        <v>9000</v>
      </c>
      <c r="H8" s="346">
        <v>9500</v>
      </c>
      <c r="I8" s="346">
        <v>12000</v>
      </c>
      <c r="J8" s="346">
        <v>12900</v>
      </c>
      <c r="K8" s="346">
        <v>13100</v>
      </c>
      <c r="L8" s="346">
        <v>14500</v>
      </c>
      <c r="M8" s="346">
        <v>14800</v>
      </c>
      <c r="N8" s="346">
        <v>16000</v>
      </c>
      <c r="O8" s="346">
        <v>20000</v>
      </c>
      <c r="P8" s="346">
        <v>20000</v>
      </c>
      <c r="Q8" s="346">
        <v>20024</v>
      </c>
      <c r="R8" s="346">
        <v>24000</v>
      </c>
      <c r="S8" s="352"/>
      <c r="T8" s="352"/>
      <c r="U8" s="352"/>
      <c r="V8" s="756"/>
      <c r="W8" s="756"/>
      <c r="X8" s="756"/>
    </row>
    <row r="9" spans="1:24">
      <c r="A9" s="54" t="s">
        <v>667</v>
      </c>
      <c r="B9" s="879" t="s">
        <v>972</v>
      </c>
      <c r="C9" s="879" t="s">
        <v>972</v>
      </c>
      <c r="D9" s="879" t="s">
        <v>972</v>
      </c>
      <c r="E9" s="879">
        <v>8763</v>
      </c>
      <c r="F9" s="879">
        <v>9491.2000000000007</v>
      </c>
      <c r="G9" s="862">
        <f t="shared" ref="G9:K9" si="0">SUM(G10:G11)</f>
        <v>9739</v>
      </c>
      <c r="H9" s="862">
        <f t="shared" si="0"/>
        <v>9276</v>
      </c>
      <c r="I9" s="862">
        <f t="shared" si="0"/>
        <v>10218</v>
      </c>
      <c r="J9" s="862">
        <f t="shared" si="0"/>
        <v>12001</v>
      </c>
      <c r="K9" s="862">
        <f t="shared" si="0"/>
        <v>12923</v>
      </c>
      <c r="L9" s="862">
        <f>SUM(L10:L11)</f>
        <v>13067</v>
      </c>
      <c r="M9" s="862">
        <f>SUM(M10:M11)</f>
        <v>10590</v>
      </c>
      <c r="N9" s="362">
        <f>SUM(N10:N11)</f>
        <v>12885</v>
      </c>
      <c r="O9" s="362">
        <f>SUM(O10:O11)</f>
        <v>15593</v>
      </c>
      <c r="P9" s="362">
        <f>SUM(P10:P11)-1</f>
        <v>18717</v>
      </c>
      <c r="Q9" s="362">
        <f>SUM(Q10:Q11)</f>
        <v>20024</v>
      </c>
      <c r="R9" s="362">
        <f>SUM(R10:R11)</f>
        <v>19281</v>
      </c>
      <c r="S9" s="352"/>
      <c r="T9" s="2283"/>
      <c r="U9" s="352"/>
      <c r="V9" s="389"/>
      <c r="W9" s="389"/>
      <c r="X9" s="389"/>
    </row>
    <row r="10" spans="1:24">
      <c r="A10" s="157" t="s">
        <v>414</v>
      </c>
      <c r="B10" s="1073" t="s">
        <v>972</v>
      </c>
      <c r="C10" s="1073" t="s">
        <v>972</v>
      </c>
      <c r="D10" s="1073" t="s">
        <v>972</v>
      </c>
      <c r="E10" s="1073" t="s">
        <v>972</v>
      </c>
      <c r="F10" s="1073" t="s">
        <v>972</v>
      </c>
      <c r="G10" s="1073">
        <v>6745</v>
      </c>
      <c r="H10" s="1073">
        <v>6191</v>
      </c>
      <c r="I10" s="1073">
        <v>6673</v>
      </c>
      <c r="J10" s="1073">
        <v>7212</v>
      </c>
      <c r="K10" s="1073">
        <v>7584</v>
      </c>
      <c r="L10" s="1073">
        <v>8511</v>
      </c>
      <c r="M10" s="1073">
        <v>6886</v>
      </c>
      <c r="N10" s="1074">
        <v>8206</v>
      </c>
      <c r="O10" s="1074">
        <v>10315</v>
      </c>
      <c r="P10" s="1074">
        <v>12326</v>
      </c>
      <c r="Q10" s="1074">
        <v>12985</v>
      </c>
      <c r="R10" s="1074">
        <v>13398</v>
      </c>
      <c r="S10" s="352"/>
      <c r="T10" s="352"/>
      <c r="V10" s="389"/>
      <c r="W10" s="389"/>
      <c r="X10" s="389"/>
    </row>
    <row r="11" spans="1:24">
      <c r="A11" s="157" t="s">
        <v>668</v>
      </c>
      <c r="B11" s="1073" t="s">
        <v>972</v>
      </c>
      <c r="C11" s="1073" t="s">
        <v>972</v>
      </c>
      <c r="D11" s="1073" t="s">
        <v>972</v>
      </c>
      <c r="E11" s="1073" t="s">
        <v>972</v>
      </c>
      <c r="F11" s="1073" t="s">
        <v>972</v>
      </c>
      <c r="G11" s="1073">
        <v>2994</v>
      </c>
      <c r="H11" s="1073">
        <v>3085</v>
      </c>
      <c r="I11" s="1073">
        <v>3545</v>
      </c>
      <c r="J11" s="1073">
        <v>4789</v>
      </c>
      <c r="K11" s="1073">
        <v>5339</v>
      </c>
      <c r="L11" s="1073">
        <v>4556</v>
      </c>
      <c r="M11" s="1073">
        <v>3704</v>
      </c>
      <c r="N11" s="1074">
        <v>4679</v>
      </c>
      <c r="O11" s="1074">
        <v>5278</v>
      </c>
      <c r="P11" s="1074">
        <v>6392</v>
      </c>
      <c r="Q11" s="1074">
        <v>7039</v>
      </c>
      <c r="R11" s="1074">
        <v>5883</v>
      </c>
      <c r="S11" s="352"/>
      <c r="T11" s="352"/>
      <c r="U11" s="352"/>
      <c r="V11" s="389"/>
      <c r="W11" s="389"/>
      <c r="X11" s="389"/>
    </row>
    <row r="12" spans="1:24" s="1724" customFormat="1">
      <c r="A12" s="1727" t="s">
        <v>1419</v>
      </c>
      <c r="B12" s="1727"/>
      <c r="E12" s="1727"/>
      <c r="F12" s="1727"/>
      <c r="G12" s="1727"/>
      <c r="H12" s="1859">
        <f>SUM('Quarterly historicals'!B27:E27)-H9</f>
        <v>0</v>
      </c>
      <c r="I12" s="1859">
        <f>SUM('Quarterly historicals'!F27:I27)-I9</f>
        <v>0</v>
      </c>
      <c r="J12" s="1859">
        <f>SUM('Quarterly historicals'!J27:M27)-J9</f>
        <v>0</v>
      </c>
      <c r="K12" s="1859">
        <f>SUM('Quarterly historicals'!N27:Q27)-K9</f>
        <v>0</v>
      </c>
      <c r="L12" s="1859">
        <f>SUM('Quarterly historicals'!R27:U27)-L9</f>
        <v>0</v>
      </c>
      <c r="M12" s="1859">
        <f>SUM('Quarterly historicals'!V27:Y27)-M9</f>
        <v>0</v>
      </c>
      <c r="N12" s="1859">
        <f>SUM('Quarterly historicals'!Z27:AC27)-N9</f>
        <v>0</v>
      </c>
      <c r="O12" s="1859">
        <f>SUM('Quarterly historicals'!AD27:AG27)-O9</f>
        <v>-1</v>
      </c>
      <c r="P12" s="1859">
        <f>SUM('Quarterly historicals'!AH27:AK27)-P9</f>
        <v>0</v>
      </c>
      <c r="Q12" s="1859">
        <f>SUM('Quarterly historicals'!AL27:AO27)-Q9</f>
        <v>0</v>
      </c>
      <c r="R12" s="1859">
        <f>SUM('Quarterly historicals'!AP27:AS27)-R9</f>
        <v>0</v>
      </c>
    </row>
    <row r="13" spans="1:24">
      <c r="A13" s="54" t="s">
        <v>669</v>
      </c>
      <c r="B13" s="1075" t="s">
        <v>972</v>
      </c>
      <c r="C13" s="1075" t="s">
        <v>972</v>
      </c>
      <c r="D13" s="1075" t="s">
        <v>972</v>
      </c>
      <c r="E13" s="858">
        <v>0.61</v>
      </c>
      <c r="F13" s="858">
        <v>0.65</v>
      </c>
      <c r="G13" s="858">
        <v>0.72499999999999998</v>
      </c>
      <c r="H13" s="858">
        <v>0.73099999999999998</v>
      </c>
      <c r="I13" s="858">
        <v>0.75</v>
      </c>
      <c r="J13" s="858">
        <v>0.81399999999999995</v>
      </c>
      <c r="K13" s="858">
        <v>0.84399999999999997</v>
      </c>
      <c r="L13" s="858">
        <v>0.85299999999999998</v>
      </c>
      <c r="M13" s="858">
        <v>0.85699999999999998</v>
      </c>
      <c r="N13" s="467">
        <v>0.88800000000000001</v>
      </c>
      <c r="O13" s="467">
        <v>0.93899999999999995</v>
      </c>
      <c r="P13" s="467">
        <v>0.97</v>
      </c>
      <c r="Q13" s="467">
        <v>0.97399999999999998</v>
      </c>
      <c r="R13" s="467">
        <v>0.98899999999999999</v>
      </c>
      <c r="S13" s="352"/>
      <c r="T13" s="352"/>
      <c r="U13" s="352"/>
      <c r="V13" s="389"/>
      <c r="W13" s="389"/>
      <c r="X13" s="389"/>
    </row>
    <row r="14" spans="1:24">
      <c r="A14" s="54" t="s">
        <v>670</v>
      </c>
      <c r="B14" s="861" t="e">
        <f>+NA()</f>
        <v>#N/A</v>
      </c>
      <c r="C14" s="861" t="e">
        <f>+NA()</f>
        <v>#N/A</v>
      </c>
      <c r="D14" s="861" t="e">
        <f>+NA()</f>
        <v>#N/A</v>
      </c>
      <c r="E14" s="861" t="e">
        <f>+NA()</f>
        <v>#N/A</v>
      </c>
      <c r="F14" s="861" t="e">
        <f>+NA()</f>
        <v>#N/A</v>
      </c>
      <c r="G14" s="861" t="e">
        <f>+NA()</f>
        <v>#N/A</v>
      </c>
      <c r="H14" s="861" t="e">
        <f>+NA()</f>
        <v>#N/A</v>
      </c>
      <c r="I14" s="861" t="e">
        <f>+NA()</f>
        <v>#N/A</v>
      </c>
      <c r="J14" s="861" t="e">
        <f>+NA()</f>
        <v>#N/A</v>
      </c>
      <c r="K14" s="861" t="e">
        <f>+NA()</f>
        <v>#N/A</v>
      </c>
      <c r="L14" s="861" t="e">
        <f>+NA()</f>
        <v>#N/A</v>
      </c>
      <c r="M14" s="861" t="e">
        <f>+NA()</f>
        <v>#N/A</v>
      </c>
      <c r="N14" s="345">
        <v>88.58</v>
      </c>
      <c r="O14" s="345">
        <v>99.47</v>
      </c>
      <c r="P14" s="345">
        <v>87.6</v>
      </c>
      <c r="Q14" s="345">
        <v>85.9</v>
      </c>
      <c r="R14" s="345">
        <v>78.7</v>
      </c>
      <c r="S14" s="352"/>
      <c r="T14" s="352"/>
      <c r="U14" s="352"/>
      <c r="V14" s="389"/>
      <c r="W14" s="389"/>
      <c r="X14" s="389"/>
    </row>
    <row r="15" spans="1:24">
      <c r="A15" s="54" t="s">
        <v>671</v>
      </c>
      <c r="B15" s="861" t="e">
        <f>+NA()</f>
        <v>#N/A</v>
      </c>
      <c r="C15" s="861" t="e">
        <f>+NA()</f>
        <v>#N/A</v>
      </c>
      <c r="D15" s="861" t="e">
        <f>+NA()</f>
        <v>#N/A</v>
      </c>
      <c r="E15" s="861" t="e">
        <f>+NA()</f>
        <v>#N/A</v>
      </c>
      <c r="F15" s="861" t="e">
        <f>+NA()</f>
        <v>#N/A</v>
      </c>
      <c r="G15" s="861" t="e">
        <f>+NA()</f>
        <v>#N/A</v>
      </c>
      <c r="H15" s="861" t="e">
        <f>+NA()</f>
        <v>#N/A</v>
      </c>
      <c r="I15" s="861" t="e">
        <f>+NA()</f>
        <v>#N/A</v>
      </c>
      <c r="J15" s="861" t="e">
        <f>+NA()</f>
        <v>#N/A</v>
      </c>
      <c r="K15" s="861" t="e">
        <f>+NA()</f>
        <v>#N/A</v>
      </c>
      <c r="L15" s="861" t="e">
        <f>+NA()</f>
        <v>#N/A</v>
      </c>
      <c r="M15" s="861" t="e">
        <f>+NA()</f>
        <v>#N/A</v>
      </c>
      <c r="N15" s="345">
        <v>139.13999999999999</v>
      </c>
      <c r="O15" s="345">
        <v>136.94999999999999</v>
      </c>
      <c r="P15" s="345">
        <v>141.6</v>
      </c>
      <c r="Q15" s="345">
        <v>128.9</v>
      </c>
      <c r="R15" s="345">
        <v>130.30000000000001</v>
      </c>
      <c r="S15" s="352"/>
      <c r="T15" s="352"/>
      <c r="U15" s="352"/>
      <c r="V15" s="389"/>
      <c r="W15" s="389"/>
      <c r="X15" s="389"/>
    </row>
    <row r="16" spans="1:24">
      <c r="A16" s="251" t="s">
        <v>810</v>
      </c>
      <c r="B16" s="703"/>
      <c r="C16" s="703"/>
      <c r="D16" s="703"/>
      <c r="E16" s="703"/>
      <c r="F16" s="703"/>
      <c r="G16" s="703"/>
      <c r="H16" s="703"/>
      <c r="I16" s="703"/>
      <c r="J16" s="703"/>
      <c r="K16" s="703"/>
      <c r="L16" s="703"/>
      <c r="M16" s="703"/>
      <c r="N16" s="703"/>
      <c r="O16" s="703"/>
      <c r="P16" s="703"/>
      <c r="Q16" s="703"/>
      <c r="R16" s="703"/>
      <c r="S16" s="352"/>
      <c r="T16" s="352"/>
      <c r="U16" s="352"/>
      <c r="V16" s="389"/>
      <c r="W16" s="389"/>
      <c r="X16" s="389"/>
    </row>
    <row r="17" spans="1:24">
      <c r="A17" s="54" t="s">
        <v>640</v>
      </c>
      <c r="B17" s="1073" t="s">
        <v>972</v>
      </c>
      <c r="C17" s="1073" t="s">
        <v>972</v>
      </c>
      <c r="D17" s="1073" t="s">
        <v>972</v>
      </c>
      <c r="E17" s="1073">
        <v>599.4</v>
      </c>
      <c r="F17" s="1073">
        <v>636.20000000000005</v>
      </c>
      <c r="G17" s="1073">
        <v>597</v>
      </c>
      <c r="H17" s="1073">
        <v>678</v>
      </c>
      <c r="I17" s="1073">
        <v>527</v>
      </c>
      <c r="J17" s="1073">
        <v>555</v>
      </c>
      <c r="K17" s="1073">
        <v>702</v>
      </c>
      <c r="L17" s="1073">
        <v>873</v>
      </c>
      <c r="M17" s="1073">
        <v>774</v>
      </c>
      <c r="N17" s="1074">
        <v>969</v>
      </c>
      <c r="O17" s="1074">
        <v>986</v>
      </c>
      <c r="P17" s="1074">
        <v>1231</v>
      </c>
      <c r="Q17" s="1074">
        <v>1230</v>
      </c>
      <c r="R17" s="1074">
        <v>1301</v>
      </c>
      <c r="S17" s="352"/>
      <c r="T17" s="352"/>
      <c r="U17" s="352"/>
      <c r="V17" s="389"/>
      <c r="W17" s="389"/>
      <c r="X17" s="389"/>
    </row>
    <row r="18" spans="1:24">
      <c r="A18" s="54" t="s">
        <v>672</v>
      </c>
      <c r="B18" s="1073" t="s">
        <v>972</v>
      </c>
      <c r="C18" s="1073" t="s">
        <v>972</v>
      </c>
      <c r="D18" s="1073" t="s">
        <v>972</v>
      </c>
      <c r="E18" s="1073">
        <v>321.5</v>
      </c>
      <c r="F18" s="1073">
        <v>281.7</v>
      </c>
      <c r="G18" s="1073">
        <v>311</v>
      </c>
      <c r="H18" s="1073">
        <v>212</v>
      </c>
      <c r="I18" s="1073">
        <v>306</v>
      </c>
      <c r="J18" s="1073">
        <v>287</v>
      </c>
      <c r="K18" s="1073">
        <v>226</v>
      </c>
      <c r="L18" s="1073">
        <v>258</v>
      </c>
      <c r="M18" s="1073">
        <v>191</v>
      </c>
      <c r="N18" s="1074">
        <v>275</v>
      </c>
      <c r="O18" s="1074">
        <v>388</v>
      </c>
      <c r="P18" s="1074">
        <v>438</v>
      </c>
      <c r="Q18" s="1074">
        <v>445</v>
      </c>
      <c r="R18" s="1074">
        <v>398</v>
      </c>
      <c r="S18" s="352"/>
      <c r="T18" s="352"/>
      <c r="U18" s="352"/>
      <c r="V18" s="389"/>
      <c r="W18" s="389"/>
      <c r="X18" s="389"/>
    </row>
    <row r="19" spans="1:24">
      <c r="A19" s="54" t="s">
        <v>673</v>
      </c>
      <c r="B19" s="1073" t="s">
        <v>972</v>
      </c>
      <c r="C19" s="1073" t="s">
        <v>972</v>
      </c>
      <c r="D19" s="1073" t="s">
        <v>972</v>
      </c>
      <c r="E19" s="1073">
        <v>75.599999999999994</v>
      </c>
      <c r="F19" s="1073">
        <v>113.3</v>
      </c>
      <c r="G19" s="1073">
        <v>129</v>
      </c>
      <c r="H19" s="1073">
        <v>182</v>
      </c>
      <c r="I19" s="1073">
        <v>214</v>
      </c>
      <c r="J19" s="1073">
        <v>387</v>
      </c>
      <c r="K19" s="1073">
        <v>367</v>
      </c>
      <c r="L19" s="1073">
        <v>307</v>
      </c>
      <c r="M19" s="1073">
        <v>188</v>
      </c>
      <c r="N19" s="1074">
        <v>176</v>
      </c>
      <c r="O19" s="1074">
        <v>252</v>
      </c>
      <c r="P19" s="1074">
        <v>353</v>
      </c>
      <c r="Q19" s="1074">
        <v>306</v>
      </c>
      <c r="R19" s="1074">
        <v>269</v>
      </c>
      <c r="S19" s="352"/>
      <c r="T19" s="352"/>
      <c r="U19" s="352"/>
      <c r="V19" s="389"/>
      <c r="W19" s="389"/>
      <c r="X19" s="389"/>
    </row>
    <row r="20" spans="1:24">
      <c r="A20" s="54" t="s">
        <v>674</v>
      </c>
      <c r="B20" s="1073" t="s">
        <v>972</v>
      </c>
      <c r="C20" s="1073" t="s">
        <v>972</v>
      </c>
      <c r="D20" s="1073" t="s">
        <v>972</v>
      </c>
      <c r="E20" s="1073">
        <v>296.60000000000002</v>
      </c>
      <c r="F20" s="1073">
        <v>283.7</v>
      </c>
      <c r="G20" s="1073">
        <v>330</v>
      </c>
      <c r="H20" s="1073">
        <v>390</v>
      </c>
      <c r="I20" s="1073">
        <v>391</v>
      </c>
      <c r="J20" s="1073">
        <v>274</v>
      </c>
      <c r="K20" s="1073">
        <v>279</v>
      </c>
      <c r="L20" s="1073">
        <v>264</v>
      </c>
      <c r="M20" s="1073">
        <v>226</v>
      </c>
      <c r="N20" s="1074">
        <v>280</v>
      </c>
      <c r="O20" s="1074">
        <v>284</v>
      </c>
      <c r="P20" s="1074">
        <v>284</v>
      </c>
      <c r="Q20" s="1074"/>
      <c r="R20" s="352"/>
      <c r="S20" s="352"/>
      <c r="T20" s="352"/>
      <c r="U20" s="352"/>
      <c r="V20" s="389"/>
      <c r="W20" s="389"/>
      <c r="X20" s="389"/>
    </row>
    <row r="21" spans="1:24" s="1724" customFormat="1">
      <c r="A21" s="1727" t="s">
        <v>1419</v>
      </c>
      <c r="B21" s="1727"/>
      <c r="E21" s="1727"/>
      <c r="F21" s="1727"/>
      <c r="G21" s="1727"/>
      <c r="H21" s="1859">
        <f>SUM('Quarterly historicals'!B34:E38)-SUM(H17:H20)</f>
        <v>0</v>
      </c>
      <c r="I21" s="1859">
        <f>SUM('Quarterly historicals'!F34:I38)-SUM(I17:I20)</f>
        <v>0</v>
      </c>
      <c r="J21" s="1859">
        <f>SUM('Quarterly historicals'!J34:M38)-SUM(J17:J20)-J22</f>
        <v>0</v>
      </c>
      <c r="K21" s="1859">
        <f>SUM('Quarterly historicals'!N34:Q38)-SUM(K17:K20)-K22</f>
        <v>0</v>
      </c>
      <c r="L21" s="1859">
        <f>SUM('Quarterly historicals'!R34:U38)-SUM(L17:L20)-L22</f>
        <v>0</v>
      </c>
      <c r="M21" s="1859">
        <f>SUM('Quarterly historicals'!V34:Y38)-SUM(M17:M20)-M22</f>
        <v>0</v>
      </c>
      <c r="N21" s="1859">
        <f>SUM('Quarterly historicals'!Z34:AC38)-SUM(N17:N20)-N22</f>
        <v>3</v>
      </c>
      <c r="O21" s="1859">
        <f>SUM('Quarterly historicals'!AD34:AG38)-SUM(O17:O20)-O22</f>
        <v>0</v>
      </c>
      <c r="P21" s="1859">
        <f>SUM('Quarterly historicals'!AH34:AK38)-SUM(P17:P20)-P22</f>
        <v>0</v>
      </c>
      <c r="Q21" s="1859">
        <f>SUM('Quarterly historicals'!AL34:AO38)-SUM(Q17:Q20)-Q22</f>
        <v>0</v>
      </c>
      <c r="R21" s="1859">
        <f>SUM('Quarterly historicals'!AP34:AS38)-SUM(R17:R20)-R22</f>
        <v>0</v>
      </c>
    </row>
    <row r="22" spans="1:24">
      <c r="A22" s="54" t="s">
        <v>642</v>
      </c>
      <c r="B22" s="1073" t="s">
        <v>972</v>
      </c>
      <c r="C22" s="1073" t="s">
        <v>972</v>
      </c>
      <c r="D22" s="1073" t="s">
        <v>972</v>
      </c>
      <c r="E22" s="1073" t="s">
        <v>972</v>
      </c>
      <c r="F22" s="1073" t="s">
        <v>972</v>
      </c>
      <c r="G22" s="1073" t="s">
        <v>972</v>
      </c>
      <c r="H22" s="1073" t="s">
        <v>972</v>
      </c>
      <c r="I22" s="1073" t="s">
        <v>972</v>
      </c>
      <c r="J22" s="1073">
        <v>89</v>
      </c>
      <c r="K22" s="1073">
        <v>159</v>
      </c>
      <c r="L22" s="1073">
        <v>163</v>
      </c>
      <c r="M22" s="1073">
        <v>140</v>
      </c>
      <c r="N22" s="1074">
        <v>176</v>
      </c>
      <c r="O22" s="1074">
        <v>442</v>
      </c>
      <c r="P22" s="1074">
        <v>720</v>
      </c>
      <c r="Q22" s="1074">
        <v>741</v>
      </c>
      <c r="R22" s="1074">
        <v>720</v>
      </c>
      <c r="S22" s="352"/>
      <c r="T22" s="352"/>
      <c r="U22" s="352"/>
      <c r="V22" s="389"/>
      <c r="W22" s="389"/>
      <c r="X22" s="389"/>
    </row>
    <row r="23" spans="1:24">
      <c r="A23" s="54" t="s">
        <v>675</v>
      </c>
      <c r="B23" s="1073" t="s">
        <v>972</v>
      </c>
      <c r="C23" s="1073" t="s">
        <v>972</v>
      </c>
      <c r="D23" s="1073" t="s">
        <v>972</v>
      </c>
      <c r="E23" s="1073" t="s">
        <v>972</v>
      </c>
      <c r="F23" s="1073" t="s">
        <v>972</v>
      </c>
      <c r="G23" s="1073" t="s">
        <v>972</v>
      </c>
      <c r="H23" s="1073">
        <v>1403</v>
      </c>
      <c r="I23" s="1073">
        <v>1569</v>
      </c>
      <c r="J23" s="1073">
        <v>1514</v>
      </c>
      <c r="K23" s="1073">
        <v>1906</v>
      </c>
      <c r="L23" s="1073">
        <v>1774</v>
      </c>
      <c r="M23" s="1073">
        <v>1461</v>
      </c>
      <c r="N23" s="1074">
        <v>1793</v>
      </c>
      <c r="O23" s="1074">
        <v>2136</v>
      </c>
      <c r="P23" s="1074">
        <v>2650</v>
      </c>
      <c r="Q23" s="1074">
        <v>2581</v>
      </c>
      <c r="R23" s="1074">
        <v>2512</v>
      </c>
      <c r="S23" s="352"/>
      <c r="T23" s="352"/>
      <c r="U23" s="352"/>
      <c r="V23" s="389"/>
      <c r="W23" s="389"/>
      <c r="X23" s="389"/>
    </row>
    <row r="24" spans="1:24">
      <c r="A24" s="251" t="s">
        <v>825</v>
      </c>
      <c r="B24" s="858"/>
      <c r="C24" s="858"/>
      <c r="D24" s="858"/>
      <c r="E24" s="858"/>
      <c r="F24" s="858"/>
      <c r="G24" s="54"/>
      <c r="H24" s="54"/>
      <c r="I24" s="54"/>
      <c r="J24" s="54"/>
      <c r="K24" s="54"/>
      <c r="L24" s="54"/>
      <c r="M24" s="54"/>
      <c r="N24" s="467"/>
      <c r="O24" s="467"/>
      <c r="P24" s="467"/>
      <c r="Q24" s="467"/>
      <c r="R24" s="352"/>
      <c r="S24" s="352"/>
      <c r="T24" s="352"/>
      <c r="U24" s="352"/>
      <c r="V24" s="389"/>
      <c r="W24" s="389"/>
      <c r="X24" s="389"/>
    </row>
    <row r="25" spans="1:24">
      <c r="A25" s="157" t="s">
        <v>54</v>
      </c>
      <c r="B25" s="1076" t="s">
        <v>972</v>
      </c>
      <c r="C25" s="1076" t="s">
        <v>972</v>
      </c>
      <c r="D25" s="1076" t="s">
        <v>972</v>
      </c>
      <c r="E25" s="1076" t="s">
        <v>972</v>
      </c>
      <c r="F25" s="1076" t="s">
        <v>972</v>
      </c>
      <c r="G25" s="1076" t="s">
        <v>972</v>
      </c>
      <c r="H25" s="1076" t="s">
        <v>972</v>
      </c>
      <c r="I25" s="1076" t="s">
        <v>972</v>
      </c>
      <c r="J25" s="1076" t="s">
        <v>972</v>
      </c>
      <c r="K25" s="1076" t="s">
        <v>972</v>
      </c>
      <c r="L25" s="1076" t="s">
        <v>972</v>
      </c>
      <c r="M25" s="858">
        <v>0.56000000000000005</v>
      </c>
      <c r="N25" s="467">
        <v>0.56999999999999995</v>
      </c>
      <c r="O25" s="467">
        <v>0.48</v>
      </c>
      <c r="P25" s="467">
        <v>0.49</v>
      </c>
      <c r="Q25" s="467">
        <v>0.5</v>
      </c>
      <c r="R25" s="467">
        <v>0.63</v>
      </c>
      <c r="S25" s="352"/>
      <c r="T25" s="352"/>
      <c r="U25" s="352"/>
      <c r="V25" s="389"/>
      <c r="W25" s="389"/>
      <c r="X25" s="389"/>
    </row>
    <row r="26" spans="1:24">
      <c r="A26" s="157" t="s">
        <v>42</v>
      </c>
      <c r="B26" s="1076" t="s">
        <v>972</v>
      </c>
      <c r="C26" s="1076" t="s">
        <v>972</v>
      </c>
      <c r="D26" s="1076" t="s">
        <v>972</v>
      </c>
      <c r="E26" s="1076" t="s">
        <v>972</v>
      </c>
      <c r="F26" s="1076" t="s">
        <v>972</v>
      </c>
      <c r="G26" s="1076" t="s">
        <v>972</v>
      </c>
      <c r="H26" s="1076" t="s">
        <v>972</v>
      </c>
      <c r="I26" s="1076" t="s">
        <v>972</v>
      </c>
      <c r="J26" s="1076" t="s">
        <v>972</v>
      </c>
      <c r="K26" s="1076" t="s">
        <v>972</v>
      </c>
      <c r="L26" s="1076" t="s">
        <v>972</v>
      </c>
      <c r="M26" s="858">
        <v>0.44</v>
      </c>
      <c r="N26" s="467">
        <v>0.43</v>
      </c>
      <c r="O26" s="467">
        <v>0.52</v>
      </c>
      <c r="P26" s="467">
        <v>0.51</v>
      </c>
      <c r="Q26" s="467">
        <v>0.5</v>
      </c>
      <c r="R26" s="467">
        <v>0.37</v>
      </c>
      <c r="S26" s="352"/>
      <c r="T26" s="352"/>
      <c r="U26" s="352"/>
      <c r="V26" s="389"/>
      <c r="W26" s="389"/>
      <c r="X26" s="389"/>
    </row>
    <row r="27" spans="1:24">
      <c r="A27" s="251" t="s">
        <v>825</v>
      </c>
      <c r="B27" s="1076"/>
      <c r="C27" s="1076"/>
      <c r="D27" s="1076"/>
      <c r="E27" s="1076"/>
      <c r="F27" s="1076"/>
      <c r="G27" s="1076"/>
      <c r="H27" s="1076"/>
      <c r="I27" s="1076"/>
      <c r="J27" s="1076"/>
      <c r="K27" s="1076"/>
      <c r="L27" s="1076"/>
      <c r="M27" s="858"/>
      <c r="N27" s="467"/>
      <c r="O27" s="467"/>
      <c r="P27" s="467"/>
      <c r="Q27" s="467"/>
      <c r="R27" s="467"/>
      <c r="S27" s="352"/>
      <c r="T27" s="352"/>
      <c r="U27" s="352"/>
      <c r="V27" s="389"/>
      <c r="W27" s="389"/>
      <c r="X27" s="389"/>
    </row>
    <row r="28" spans="1:24">
      <c r="A28" s="157" t="s">
        <v>826</v>
      </c>
      <c r="B28" s="1076" t="s">
        <v>972</v>
      </c>
      <c r="C28" s="1076" t="s">
        <v>972</v>
      </c>
      <c r="D28" s="1076" t="s">
        <v>972</v>
      </c>
      <c r="E28" s="1076" t="s">
        <v>972</v>
      </c>
      <c r="F28" s="1076" t="s">
        <v>972</v>
      </c>
      <c r="G28" s="1076" t="s">
        <v>972</v>
      </c>
      <c r="H28" s="1076" t="s">
        <v>972</v>
      </c>
      <c r="I28" s="1076" t="s">
        <v>972</v>
      </c>
      <c r="J28" s="1076" t="s">
        <v>972</v>
      </c>
      <c r="K28" s="1076" t="s">
        <v>972</v>
      </c>
      <c r="L28" s="1076" t="s">
        <v>972</v>
      </c>
      <c r="M28" s="858">
        <v>0.51</v>
      </c>
      <c r="N28" s="467">
        <v>0.62</v>
      </c>
      <c r="O28" s="467">
        <v>0.62</v>
      </c>
      <c r="P28" s="467">
        <v>0.56000000000000005</v>
      </c>
      <c r="Q28" s="467">
        <v>0.6</v>
      </c>
      <c r="R28" s="467">
        <v>0.54</v>
      </c>
      <c r="S28" s="352"/>
      <c r="T28" s="352"/>
      <c r="U28" s="352"/>
      <c r="V28" s="389"/>
      <c r="W28" s="389"/>
      <c r="X28" s="389"/>
    </row>
    <row r="29" spans="1:24">
      <c r="A29" s="157" t="s">
        <v>827</v>
      </c>
      <c r="B29" s="1076" t="s">
        <v>972</v>
      </c>
      <c r="C29" s="1076" t="s">
        <v>972</v>
      </c>
      <c r="D29" s="1076" t="s">
        <v>972</v>
      </c>
      <c r="E29" s="1076" t="s">
        <v>972</v>
      </c>
      <c r="F29" s="1076" t="s">
        <v>972</v>
      </c>
      <c r="G29" s="1076" t="s">
        <v>972</v>
      </c>
      <c r="H29" s="1076" t="s">
        <v>972</v>
      </c>
      <c r="I29" s="1076" t="s">
        <v>972</v>
      </c>
      <c r="J29" s="1076" t="s">
        <v>972</v>
      </c>
      <c r="K29" s="1076" t="s">
        <v>972</v>
      </c>
      <c r="L29" s="1076" t="s">
        <v>972</v>
      </c>
      <c r="M29" s="858">
        <v>0.49</v>
      </c>
      <c r="N29" s="467">
        <v>0.38</v>
      </c>
      <c r="O29" s="467">
        <v>0.38</v>
      </c>
      <c r="P29" s="467">
        <v>0.44</v>
      </c>
      <c r="Q29" s="467">
        <v>0.4</v>
      </c>
      <c r="R29" s="467">
        <v>0.46</v>
      </c>
      <c r="S29" s="352"/>
      <c r="T29" s="352"/>
      <c r="U29" s="352"/>
      <c r="V29" s="389"/>
      <c r="W29" s="389"/>
      <c r="X29" s="389"/>
    </row>
    <row r="30" spans="1:24">
      <c r="A30" s="251" t="s">
        <v>30</v>
      </c>
      <c r="B30" s="865"/>
      <c r="C30" s="865"/>
      <c r="D30" s="865"/>
      <c r="E30" s="865"/>
      <c r="F30" s="857"/>
      <c r="G30" s="857"/>
      <c r="H30" s="857"/>
      <c r="I30" s="857"/>
      <c r="J30" s="857"/>
      <c r="K30" s="858"/>
      <c r="L30" s="858"/>
      <c r="M30" s="858"/>
      <c r="N30" s="467"/>
      <c r="O30" s="467"/>
      <c r="P30" s="467"/>
      <c r="Q30" s="467"/>
      <c r="R30" s="467"/>
      <c r="S30" s="352"/>
      <c r="T30" s="352"/>
      <c r="U30" s="352"/>
      <c r="V30" s="389"/>
      <c r="W30" s="389"/>
      <c r="X30" s="389"/>
    </row>
    <row r="31" spans="1:24">
      <c r="A31" s="54" t="s">
        <v>640</v>
      </c>
      <c r="B31" s="1077" t="s">
        <v>972</v>
      </c>
      <c r="C31" s="1077" t="s">
        <v>972</v>
      </c>
      <c r="D31" s="1077" t="s">
        <v>972</v>
      </c>
      <c r="E31" s="1077">
        <f t="shared" ref="E31:F31" si="1">+SUM(E32:E33)</f>
        <v>598</v>
      </c>
      <c r="F31" s="1077">
        <f t="shared" si="1"/>
        <v>594</v>
      </c>
      <c r="G31" s="863">
        <f t="shared" ref="G31:L31" si="2">+SUM(G32:G33)</f>
        <v>629.76800000000003</v>
      </c>
      <c r="H31" s="863">
        <f t="shared" si="2"/>
        <v>676.34199999999998</v>
      </c>
      <c r="I31" s="863">
        <f t="shared" si="2"/>
        <v>605.74699999999996</v>
      </c>
      <c r="J31" s="863">
        <f t="shared" si="2"/>
        <v>417.7</v>
      </c>
      <c r="K31" s="863">
        <f t="shared" si="2"/>
        <v>818.7</v>
      </c>
      <c r="L31" s="863">
        <f t="shared" si="2"/>
        <v>836.2</v>
      </c>
      <c r="M31" s="863">
        <f t="shared" ref="M31:R31" si="3">SUM(M32:M33)</f>
        <v>825.6</v>
      </c>
      <c r="N31" s="400">
        <f t="shared" si="3"/>
        <v>976.19999999999993</v>
      </c>
      <c r="O31" s="400">
        <f t="shared" si="3"/>
        <v>991.2</v>
      </c>
      <c r="P31" s="400">
        <f t="shared" si="3"/>
        <v>1177.0999999999999</v>
      </c>
      <c r="Q31" s="400">
        <f t="shared" si="3"/>
        <v>1201</v>
      </c>
      <c r="R31" s="400">
        <f t="shared" si="3"/>
        <v>1313.7</v>
      </c>
      <c r="S31" s="352"/>
      <c r="T31" s="352"/>
      <c r="U31" s="352"/>
      <c r="V31" s="389"/>
      <c r="W31" s="389"/>
      <c r="X31" s="389"/>
    </row>
    <row r="32" spans="1:24">
      <c r="A32" s="885" t="s">
        <v>811</v>
      </c>
      <c r="B32" s="861" t="s">
        <v>972</v>
      </c>
      <c r="C32" s="861" t="s">
        <v>972</v>
      </c>
      <c r="D32" s="861" t="s">
        <v>972</v>
      </c>
      <c r="E32" s="861">
        <v>261</v>
      </c>
      <c r="F32" s="861">
        <v>226</v>
      </c>
      <c r="G32" s="859">
        <v>207.476</v>
      </c>
      <c r="H32" s="859">
        <v>196.995</v>
      </c>
      <c r="I32" s="859">
        <v>200.20099999999999</v>
      </c>
      <c r="J32" s="859">
        <v>47</v>
      </c>
      <c r="K32" s="859">
        <v>62.2</v>
      </c>
      <c r="L32" s="859">
        <v>56.6</v>
      </c>
      <c r="M32" s="859">
        <v>61.1</v>
      </c>
      <c r="N32" s="345">
        <v>66.900000000000006</v>
      </c>
      <c r="O32" s="345">
        <v>70.599999999999994</v>
      </c>
      <c r="P32" s="345">
        <v>97.1</v>
      </c>
      <c r="Q32" s="345">
        <v>97</v>
      </c>
      <c r="R32" s="345">
        <v>137.69999999999999</v>
      </c>
      <c r="S32" s="352"/>
      <c r="T32" s="352"/>
      <c r="U32" s="352"/>
      <c r="V32" s="389"/>
      <c r="W32" s="389"/>
      <c r="X32" s="389"/>
    </row>
    <row r="33" spans="1:24">
      <c r="A33" s="885" t="s">
        <v>812</v>
      </c>
      <c r="B33" s="861" t="s">
        <v>972</v>
      </c>
      <c r="C33" s="861" t="s">
        <v>972</v>
      </c>
      <c r="D33" s="861" t="s">
        <v>972</v>
      </c>
      <c r="E33" s="861">
        <v>337</v>
      </c>
      <c r="F33" s="861">
        <v>368</v>
      </c>
      <c r="G33" s="859">
        <v>422.29199999999997</v>
      </c>
      <c r="H33" s="859">
        <v>479.34699999999998</v>
      </c>
      <c r="I33" s="859">
        <v>405.54599999999999</v>
      </c>
      <c r="J33" s="859">
        <v>370.7</v>
      </c>
      <c r="K33" s="859">
        <v>756.5</v>
      </c>
      <c r="L33" s="859">
        <v>779.6</v>
      </c>
      <c r="M33" s="859">
        <v>764.5</v>
      </c>
      <c r="N33" s="345">
        <v>909.3</v>
      </c>
      <c r="O33" s="345">
        <v>920.6</v>
      </c>
      <c r="P33" s="345">
        <v>1080</v>
      </c>
      <c r="Q33" s="345">
        <v>1104</v>
      </c>
      <c r="R33" s="345">
        <v>1176</v>
      </c>
      <c r="S33" s="352"/>
      <c r="T33" s="352"/>
      <c r="U33" s="352"/>
      <c r="V33" s="389"/>
      <c r="W33" s="389"/>
      <c r="X33" s="389"/>
    </row>
    <row r="34" spans="1:24">
      <c r="A34" s="54" t="s">
        <v>815</v>
      </c>
      <c r="B34" s="1077" t="s">
        <v>972</v>
      </c>
      <c r="C34" s="1077" t="s">
        <v>972</v>
      </c>
      <c r="D34" s="1077" t="s">
        <v>972</v>
      </c>
      <c r="E34" s="1077">
        <f t="shared" ref="E34:F34" si="4">SUM(E35:E36)</f>
        <v>75</v>
      </c>
      <c r="F34" s="1077">
        <f t="shared" si="4"/>
        <v>116</v>
      </c>
      <c r="G34" s="863">
        <f t="shared" ref="G34:L34" si="5">SUM(G35:G36)</f>
        <v>132.35300000000001</v>
      </c>
      <c r="H34" s="863">
        <f t="shared" si="5"/>
        <v>181.88800000000001</v>
      </c>
      <c r="I34" s="863">
        <f t="shared" si="5"/>
        <v>214.678</v>
      </c>
      <c r="J34" s="863">
        <f t="shared" si="5"/>
        <v>389.4</v>
      </c>
      <c r="K34" s="863">
        <f t="shared" si="5"/>
        <v>388.8</v>
      </c>
      <c r="L34" s="863">
        <f t="shared" si="5"/>
        <v>282.40000000000003</v>
      </c>
      <c r="M34" s="863">
        <f t="shared" ref="M34:R34" si="6">SUM(M35:M36)</f>
        <v>217.60000000000002</v>
      </c>
      <c r="N34" s="400">
        <f t="shared" si="6"/>
        <v>180.60000000000002</v>
      </c>
      <c r="O34" s="400">
        <f t="shared" si="6"/>
        <v>251.2</v>
      </c>
      <c r="P34" s="400">
        <f t="shared" si="6"/>
        <v>339</v>
      </c>
      <c r="Q34" s="400">
        <f t="shared" si="6"/>
        <v>313.20000000000005</v>
      </c>
      <c r="R34" s="400">
        <f t="shared" si="6"/>
        <v>278.5</v>
      </c>
      <c r="S34" s="352"/>
      <c r="T34" s="352"/>
      <c r="U34" s="352"/>
      <c r="V34" s="389"/>
      <c r="W34" s="389"/>
      <c r="X34" s="389"/>
    </row>
    <row r="35" spans="1:24">
      <c r="A35" s="885" t="s">
        <v>811</v>
      </c>
      <c r="B35" s="861" t="s">
        <v>972</v>
      </c>
      <c r="C35" s="861" t="s">
        <v>972</v>
      </c>
      <c r="D35" s="861" t="s">
        <v>972</v>
      </c>
      <c r="E35" s="861">
        <v>64</v>
      </c>
      <c r="F35" s="861">
        <v>92</v>
      </c>
      <c r="G35" s="859">
        <v>77.114999999999995</v>
      </c>
      <c r="H35" s="859">
        <v>152.286</v>
      </c>
      <c r="I35" s="859">
        <v>179.40899999999999</v>
      </c>
      <c r="J35" s="859">
        <v>368.5</v>
      </c>
      <c r="K35" s="859">
        <v>329.7</v>
      </c>
      <c r="L35" s="860">
        <v>256.10000000000002</v>
      </c>
      <c r="M35" s="859">
        <v>177.4</v>
      </c>
      <c r="N35" s="345">
        <v>148.30000000000001</v>
      </c>
      <c r="O35" s="345">
        <v>187.7</v>
      </c>
      <c r="P35" s="345">
        <v>291.2</v>
      </c>
      <c r="Q35" s="345">
        <v>261.10000000000002</v>
      </c>
      <c r="R35" s="345">
        <v>240.1</v>
      </c>
      <c r="S35" s="352"/>
      <c r="T35" s="352"/>
      <c r="U35" s="352"/>
      <c r="V35" s="389"/>
      <c r="W35" s="389"/>
      <c r="X35" s="389"/>
    </row>
    <row r="36" spans="1:24">
      <c r="A36" s="885" t="s">
        <v>812</v>
      </c>
      <c r="B36" s="861" t="s">
        <v>972</v>
      </c>
      <c r="C36" s="861" t="s">
        <v>972</v>
      </c>
      <c r="D36" s="861" t="s">
        <v>972</v>
      </c>
      <c r="E36" s="861">
        <v>11</v>
      </c>
      <c r="F36" s="861">
        <v>24</v>
      </c>
      <c r="G36" s="859">
        <v>55.238</v>
      </c>
      <c r="H36" s="859">
        <v>29.602</v>
      </c>
      <c r="I36" s="859">
        <v>35.268999999999998</v>
      </c>
      <c r="J36" s="859">
        <v>20.9</v>
      </c>
      <c r="K36" s="859">
        <v>59.1</v>
      </c>
      <c r="L36" s="860">
        <v>26.3</v>
      </c>
      <c r="M36" s="859">
        <v>40.200000000000003</v>
      </c>
      <c r="N36" s="345">
        <v>32.299999999999997</v>
      </c>
      <c r="O36" s="345">
        <v>63.5</v>
      </c>
      <c r="P36" s="345">
        <v>47.8</v>
      </c>
      <c r="Q36" s="345">
        <v>52.1</v>
      </c>
      <c r="R36" s="345">
        <v>38.4</v>
      </c>
      <c r="S36" s="352"/>
      <c r="T36" s="352"/>
      <c r="U36" s="352"/>
      <c r="V36" s="389"/>
      <c r="W36" s="389"/>
      <c r="X36" s="389"/>
    </row>
    <row r="37" spans="1:24">
      <c r="A37" s="54" t="s">
        <v>819</v>
      </c>
      <c r="B37" s="1077" t="s">
        <v>972</v>
      </c>
      <c r="C37" s="1077" t="s">
        <v>972</v>
      </c>
      <c r="D37" s="1077" t="s">
        <v>972</v>
      </c>
      <c r="E37" s="1077">
        <f t="shared" ref="E37:F37" si="7">SUM(E38:E39)</f>
        <v>262</v>
      </c>
      <c r="F37" s="1077">
        <f t="shared" si="7"/>
        <v>298</v>
      </c>
      <c r="G37" s="863">
        <f t="shared" ref="G37:L37" si="8">SUM(G38:G39)</f>
        <v>372.91300000000001</v>
      </c>
      <c r="H37" s="863">
        <f t="shared" si="8"/>
        <v>218.47399999999999</v>
      </c>
      <c r="I37" s="863">
        <f t="shared" si="8"/>
        <v>323.16899999999998</v>
      </c>
      <c r="J37" s="863">
        <f t="shared" si="8"/>
        <v>236.3</v>
      </c>
      <c r="K37" s="863">
        <f t="shared" si="8"/>
        <v>220.6</v>
      </c>
      <c r="L37" s="863">
        <f t="shared" si="8"/>
        <v>241.3</v>
      </c>
      <c r="M37" s="863">
        <f t="shared" ref="M37:R37" si="9">SUM(M38:M39)</f>
        <v>183.8</v>
      </c>
      <c r="N37" s="400">
        <f t="shared" si="9"/>
        <v>270.2</v>
      </c>
      <c r="O37" s="400">
        <f t="shared" si="9"/>
        <v>387.40000000000003</v>
      </c>
      <c r="P37" s="400">
        <f t="shared" si="9"/>
        <v>374.4</v>
      </c>
      <c r="Q37" s="400">
        <f t="shared" si="9"/>
        <v>481.8</v>
      </c>
      <c r="R37" s="400">
        <f t="shared" si="9"/>
        <v>419.90000000000003</v>
      </c>
      <c r="S37" s="352"/>
      <c r="T37" s="352"/>
      <c r="U37" s="352"/>
      <c r="V37" s="389"/>
      <c r="W37" s="389"/>
      <c r="X37" s="389"/>
    </row>
    <row r="38" spans="1:24">
      <c r="A38" s="885" t="s">
        <v>811</v>
      </c>
      <c r="B38" s="861" t="s">
        <v>972</v>
      </c>
      <c r="C38" s="861" t="s">
        <v>972</v>
      </c>
      <c r="D38" s="861" t="s">
        <v>972</v>
      </c>
      <c r="E38" s="861">
        <v>246</v>
      </c>
      <c r="F38" s="861">
        <v>244</v>
      </c>
      <c r="G38" s="859">
        <v>338.52100000000002</v>
      </c>
      <c r="H38" s="859">
        <v>126.937</v>
      </c>
      <c r="I38" s="859">
        <v>216.44300000000001</v>
      </c>
      <c r="J38" s="859">
        <v>201</v>
      </c>
      <c r="K38" s="859">
        <v>192.9</v>
      </c>
      <c r="L38" s="860">
        <v>215.3</v>
      </c>
      <c r="M38" s="859">
        <v>169.4</v>
      </c>
      <c r="N38" s="345">
        <v>209.5</v>
      </c>
      <c r="O38" s="345">
        <v>278.60000000000002</v>
      </c>
      <c r="P38" s="345">
        <v>332</v>
      </c>
      <c r="Q38" s="345">
        <v>395.5</v>
      </c>
      <c r="R38" s="345">
        <v>389.3</v>
      </c>
      <c r="S38" s="352"/>
      <c r="T38" s="352"/>
      <c r="U38" s="352"/>
      <c r="V38" s="389"/>
      <c r="W38" s="389"/>
      <c r="X38" s="389"/>
    </row>
    <row r="39" spans="1:24">
      <c r="A39" s="885" t="s">
        <v>812</v>
      </c>
      <c r="B39" s="861" t="s">
        <v>972</v>
      </c>
      <c r="C39" s="861" t="s">
        <v>972</v>
      </c>
      <c r="D39" s="861" t="s">
        <v>972</v>
      </c>
      <c r="E39" s="861">
        <v>16</v>
      </c>
      <c r="F39" s="861">
        <v>54</v>
      </c>
      <c r="G39" s="859">
        <v>34.392000000000003</v>
      </c>
      <c r="H39" s="859">
        <v>91.537000000000006</v>
      </c>
      <c r="I39" s="859">
        <v>106.726</v>
      </c>
      <c r="J39" s="859">
        <v>35.299999999999997</v>
      </c>
      <c r="K39" s="859">
        <v>27.7</v>
      </c>
      <c r="L39" s="860">
        <v>26</v>
      </c>
      <c r="M39" s="859">
        <v>14.4</v>
      </c>
      <c r="N39" s="345">
        <v>60.7</v>
      </c>
      <c r="O39" s="345">
        <v>108.8</v>
      </c>
      <c r="P39" s="345">
        <v>42.4</v>
      </c>
      <c r="Q39" s="345">
        <v>86.3</v>
      </c>
      <c r="R39" s="345">
        <v>30.6</v>
      </c>
      <c r="S39" s="352"/>
      <c r="T39" s="352"/>
      <c r="U39" s="352"/>
      <c r="V39" s="389"/>
      <c r="W39" s="389"/>
      <c r="X39" s="389"/>
    </row>
    <row r="40" spans="1:24">
      <c r="A40" s="54" t="s">
        <v>642</v>
      </c>
      <c r="B40" s="861" t="s">
        <v>972</v>
      </c>
      <c r="C40" s="861" t="s">
        <v>972</v>
      </c>
      <c r="D40" s="861" t="s">
        <v>972</v>
      </c>
      <c r="E40" s="861" t="s">
        <v>972</v>
      </c>
      <c r="F40" s="861" t="s">
        <v>972</v>
      </c>
      <c r="G40" s="861" t="s">
        <v>972</v>
      </c>
      <c r="H40" s="861" t="s">
        <v>972</v>
      </c>
      <c r="I40" s="861" t="s">
        <v>972</v>
      </c>
      <c r="J40" s="861" t="s">
        <v>972</v>
      </c>
      <c r="K40" s="861" t="s">
        <v>972</v>
      </c>
      <c r="L40" s="861">
        <v>184.4</v>
      </c>
      <c r="M40" s="859">
        <v>249.4</v>
      </c>
      <c r="N40" s="345">
        <v>260.60000000000002</v>
      </c>
      <c r="O40" s="345">
        <v>445.5</v>
      </c>
      <c r="P40" s="345">
        <v>639</v>
      </c>
      <c r="Q40" s="345">
        <v>831.2</v>
      </c>
      <c r="R40" s="345">
        <v>914.5</v>
      </c>
      <c r="S40" s="352"/>
      <c r="T40" s="352"/>
      <c r="U40" s="352"/>
      <c r="V40" s="389"/>
      <c r="W40" s="389"/>
      <c r="X40" s="389"/>
    </row>
    <row r="41" spans="1:24" s="1724" customFormat="1">
      <c r="A41" s="1727" t="s">
        <v>1419</v>
      </c>
      <c r="B41" s="1727"/>
      <c r="E41" s="1727"/>
      <c r="F41" s="1727"/>
      <c r="G41" s="1727"/>
      <c r="H41" s="1860">
        <f>SUM('Quarterly historicals'!B49:E49,'Quarterly historicals'!B52:E52,'Quarterly historicals'!B55:E55)-SUM(H31,H34,H37,H40)</f>
        <v>0</v>
      </c>
      <c r="I41" s="1860">
        <f>SUM('Quarterly historicals'!F49:I49,'Quarterly historicals'!F52:I52,'Quarterly historicals'!F55:I55)-SUM(I31,I34,I37,I40)</f>
        <v>0</v>
      </c>
      <c r="J41" s="1860">
        <f>SUM('Quarterly historicals'!J49:M49,'Quarterly historicals'!J52:M52,'Quarterly historicals'!J55:M55)-SUM(J31,J34,J37,J40)</f>
        <v>0.10300000000006548</v>
      </c>
      <c r="K41" s="1860">
        <f>SUM('Quarterly historicals'!N49:Q49,'Quarterly historicals'!N52:Q52,'Quarterly historicals'!N55:Q55)-SUM(K31,K34,K37,K40)</f>
        <v>0</v>
      </c>
      <c r="L41" s="1860">
        <f>SUM('Quarterly historicals'!R49:U49,'Quarterly historicals'!R52:U52,'Quarterly historicals'!R55:U55,'Quarterly historicals'!R58:U58)-SUM(L31,L34,L37,L40)</f>
        <v>0</v>
      </c>
      <c r="M41" s="1860">
        <f>SUM('Quarterly historicals'!V49:Y49,'Quarterly historicals'!V52:Y52,'Quarterly historicals'!V55:Y55,'Quarterly historicals'!V58:Y58)-SUM(M31,M34,M37,M40)</f>
        <v>0.3000000000001819</v>
      </c>
      <c r="N41" s="1860">
        <f>SUM('Quarterly historicals'!Z49:AC49,'Quarterly historicals'!Z52:AC52,'Quarterly historicals'!Z55:AC55,'Quarterly historicals'!Z58:AC58)-SUM(N31,N34,N37,N40)</f>
        <v>0.40000000000031832</v>
      </c>
      <c r="O41" s="1860">
        <f>SUM('Quarterly historicals'!AD49:AG49,'Quarterly historicals'!AD52:AG52,'Quarterly historicals'!AD55:AG55,'Quarterly historicals'!AD58:AG58)-SUM(O31,O34,O37,O40)</f>
        <v>0</v>
      </c>
      <c r="P41" s="1859">
        <f>SUM('Quarterly historicals'!AH49:AK49,'Quarterly historicals'!AH52:AK52,'Quarterly historicals'!AH55:AK55,'Quarterly historicals'!AH58:AK58)-SUM(P31,P34,P37,P40)</f>
        <v>0.1000000000003638</v>
      </c>
      <c r="Q41" s="1859">
        <f>SUM('Quarterly historicals'!AL49:AO49,'Quarterly historicals'!AL52:AO52,'Quarterly historicals'!AL55:AO55,'Quarterly historicals'!AL58:AO58)-SUM(Q31,Q34,Q37,Q40)</f>
        <v>9.9999999999909051E-2</v>
      </c>
      <c r="R41" s="1859">
        <f>SUM('Quarterly historicals'!AP49:AS49,'Quarterly historicals'!AP52:AS52,'Quarterly historicals'!AP55:AS55,'Quarterly historicals'!AP58:AS58)-SUM(R31,R34,R37,R40)</f>
        <v>0.1999999999998181</v>
      </c>
    </row>
    <row r="42" spans="1:24">
      <c r="A42" s="251" t="s">
        <v>813</v>
      </c>
      <c r="B42" s="865"/>
      <c r="C42" s="865"/>
      <c r="D42" s="865"/>
      <c r="E42" s="865"/>
      <c r="F42" s="859"/>
      <c r="G42" s="345"/>
      <c r="H42" s="345"/>
      <c r="I42" s="345"/>
      <c r="J42" s="345"/>
      <c r="K42" s="345"/>
      <c r="L42" s="345"/>
      <c r="M42" s="345"/>
      <c r="N42" s="345"/>
      <c r="O42" s="345"/>
      <c r="P42" s="345"/>
      <c r="Q42" s="345"/>
      <c r="R42" s="352"/>
      <c r="S42" s="352"/>
      <c r="T42" s="352"/>
      <c r="U42" s="352"/>
      <c r="V42" s="389"/>
      <c r="W42" s="389"/>
      <c r="X42" s="389"/>
    </row>
    <row r="43" spans="1:24">
      <c r="A43" s="54" t="s">
        <v>814</v>
      </c>
      <c r="B43" s="861" t="s">
        <v>972</v>
      </c>
      <c r="C43" s="861" t="s">
        <v>972</v>
      </c>
      <c r="D43" s="861" t="s">
        <v>972</v>
      </c>
      <c r="E43" s="880">
        <f>E49/E31*1000</f>
        <v>490.30100334448156</v>
      </c>
      <c r="F43" s="880">
        <f>F49/F31*1000</f>
        <v>526.43097643097633</v>
      </c>
      <c r="G43" s="859">
        <v>549.88</v>
      </c>
      <c r="H43" s="859">
        <v>658.63</v>
      </c>
      <c r="I43" s="861">
        <v>452.09</v>
      </c>
      <c r="J43" s="859">
        <v>548.6</v>
      </c>
      <c r="K43" s="859">
        <v>711.3</v>
      </c>
      <c r="L43" s="859">
        <v>839.8</v>
      </c>
      <c r="M43" s="859">
        <v>928.7</v>
      </c>
      <c r="N43" s="345">
        <v>973.5</v>
      </c>
      <c r="O43" s="345">
        <v>892.1</v>
      </c>
      <c r="P43" s="345">
        <v>925.3</v>
      </c>
      <c r="Q43" s="345">
        <v>1048.0999999999999</v>
      </c>
      <c r="R43" s="345">
        <v>1251.9000000000001</v>
      </c>
      <c r="S43" s="352"/>
      <c r="T43" s="352"/>
      <c r="U43" s="352"/>
      <c r="V43" s="389"/>
      <c r="W43" s="389"/>
      <c r="X43" s="389"/>
    </row>
    <row r="44" spans="1:24">
      <c r="A44" s="54" t="s">
        <v>816</v>
      </c>
      <c r="B44" s="861" t="s">
        <v>972</v>
      </c>
      <c r="C44" s="861" t="s">
        <v>972</v>
      </c>
      <c r="D44" s="861" t="s">
        <v>972</v>
      </c>
      <c r="E44" s="880">
        <f>SUM(E55:E56)/E34*1000</f>
        <v>505.33333333333331</v>
      </c>
      <c r="F44" s="880">
        <f>SUM(F55:F56)/F34*1000</f>
        <v>694.82758620689651</v>
      </c>
      <c r="G44" s="859">
        <v>751.94</v>
      </c>
      <c r="H44" s="859">
        <v>827.87</v>
      </c>
      <c r="I44" s="861">
        <v>670.04</v>
      </c>
      <c r="J44" s="859">
        <v>730.9</v>
      </c>
      <c r="K44" s="859">
        <v>810.6</v>
      </c>
      <c r="L44" s="859">
        <v>929.1</v>
      </c>
      <c r="M44" s="859">
        <v>1170.8</v>
      </c>
      <c r="N44" s="345">
        <v>1122</v>
      </c>
      <c r="O44" s="345">
        <v>1240.3</v>
      </c>
      <c r="P44" s="345">
        <v>1247.45</v>
      </c>
      <c r="Q44" s="602">
        <v>1602.2</v>
      </c>
      <c r="R44" s="602">
        <v>1707.3</v>
      </c>
      <c r="S44" s="352"/>
      <c r="T44" s="352"/>
      <c r="U44" s="352"/>
      <c r="V44" s="389"/>
      <c r="W44" s="389"/>
      <c r="X44" s="389"/>
    </row>
    <row r="45" spans="1:24">
      <c r="A45" s="54" t="s">
        <v>817</v>
      </c>
      <c r="B45" s="861" t="s">
        <v>972</v>
      </c>
      <c r="C45" s="861" t="s">
        <v>972</v>
      </c>
      <c r="D45" s="861" t="s">
        <v>972</v>
      </c>
      <c r="E45" s="880">
        <f>SUM(E53:E54)/E37*1000</f>
        <v>599.61832061068696</v>
      </c>
      <c r="F45" s="880">
        <f>SUM(F53:F54)/F37*1000</f>
        <v>750.33557046979854</v>
      </c>
      <c r="G45" s="859">
        <v>885.84</v>
      </c>
      <c r="H45" s="859">
        <v>989.42</v>
      </c>
      <c r="I45" s="861">
        <v>778.84</v>
      </c>
      <c r="J45" s="859">
        <v>833</v>
      </c>
      <c r="K45" s="859">
        <v>941</v>
      </c>
      <c r="L45" s="859">
        <v>1071.3</v>
      </c>
      <c r="M45" s="859">
        <v>1361.5</v>
      </c>
      <c r="N45" s="345">
        <v>1271.2</v>
      </c>
      <c r="O45" s="345">
        <v>1367</v>
      </c>
      <c r="P45" s="345">
        <v>1385.98</v>
      </c>
      <c r="Q45" s="602">
        <v>1659.9</v>
      </c>
      <c r="R45" s="602">
        <v>1817.8</v>
      </c>
      <c r="S45" s="352"/>
      <c r="T45" s="352"/>
      <c r="U45" s="352"/>
      <c r="V45" s="389"/>
      <c r="W45" s="389"/>
      <c r="X45" s="389"/>
    </row>
    <row r="46" spans="1:24">
      <c r="A46" s="54" t="s">
        <v>818</v>
      </c>
      <c r="B46" s="861" t="s">
        <v>972</v>
      </c>
      <c r="C46" s="861" t="s">
        <v>972</v>
      </c>
      <c r="D46" s="861" t="s">
        <v>972</v>
      </c>
      <c r="E46" s="861" t="s">
        <v>972</v>
      </c>
      <c r="F46" s="861" t="s">
        <v>972</v>
      </c>
      <c r="G46" s="861" t="s">
        <v>972</v>
      </c>
      <c r="H46" s="861" t="s">
        <v>972</v>
      </c>
      <c r="I46" s="861" t="s">
        <v>972</v>
      </c>
      <c r="J46" s="861" t="s">
        <v>972</v>
      </c>
      <c r="K46" s="861" t="s">
        <v>972</v>
      </c>
      <c r="L46" s="861">
        <v>129.80000000000001</v>
      </c>
      <c r="M46" s="859">
        <v>110.6</v>
      </c>
      <c r="N46" s="345">
        <v>170.4</v>
      </c>
      <c r="O46" s="345">
        <v>177.8</v>
      </c>
      <c r="P46" s="345">
        <v>295.89999999999998</v>
      </c>
      <c r="Q46" s="345">
        <v>223.3</v>
      </c>
      <c r="R46" s="345">
        <v>166.3</v>
      </c>
      <c r="S46" s="352"/>
      <c r="T46" s="352"/>
      <c r="U46" s="352"/>
      <c r="V46" s="389"/>
      <c r="W46" s="389"/>
      <c r="X46" s="389"/>
    </row>
    <row r="47" spans="1:24">
      <c r="A47" s="54"/>
      <c r="B47" s="205"/>
      <c r="C47" s="205"/>
      <c r="D47" s="205"/>
      <c r="E47" s="205"/>
      <c r="F47" s="205"/>
      <c r="G47" s="205"/>
      <c r="H47" s="748"/>
      <c r="I47" s="748"/>
      <c r="J47" s="748"/>
      <c r="K47" s="748"/>
      <c r="L47" s="205"/>
      <c r="M47" s="748"/>
      <c r="N47" s="409"/>
      <c r="O47" s="409"/>
      <c r="P47" s="409"/>
      <c r="Q47" s="409"/>
      <c r="R47" s="352"/>
      <c r="S47" s="352"/>
      <c r="T47" s="352"/>
      <c r="U47" s="352"/>
      <c r="V47" s="389"/>
      <c r="W47" s="389"/>
      <c r="X47" s="389"/>
    </row>
    <row r="48" spans="1:24">
      <c r="A48" s="251" t="s">
        <v>873</v>
      </c>
      <c r="B48" s="861" t="s">
        <v>972</v>
      </c>
      <c r="C48" s="861" t="s">
        <v>972</v>
      </c>
      <c r="D48" s="861" t="s">
        <v>972</v>
      </c>
      <c r="E48" s="425">
        <f t="shared" ref="E48:P48" si="10">+E49+E52+E59+E57+E64</f>
        <v>518</v>
      </c>
      <c r="F48" s="425">
        <f t="shared" si="10"/>
        <v>648.19999999999993</v>
      </c>
      <c r="G48" s="425">
        <f t="shared" si="10"/>
        <v>808.02199999999993</v>
      </c>
      <c r="H48" s="425">
        <f t="shared" si="10"/>
        <v>826.53599999999994</v>
      </c>
      <c r="I48" s="425">
        <f t="shared" si="10"/>
        <v>712.41899999999998</v>
      </c>
      <c r="J48" s="862">
        <f t="shared" si="10"/>
        <v>774.44299999999998</v>
      </c>
      <c r="K48" s="862">
        <f t="shared" si="10"/>
        <v>1183.2869999999998</v>
      </c>
      <c r="L48" s="862">
        <f t="shared" si="10"/>
        <v>1295.0449999999998</v>
      </c>
      <c r="M48" s="425">
        <f t="shared" si="10"/>
        <v>1366.9900000000002</v>
      </c>
      <c r="N48" s="425">
        <f t="shared" si="10"/>
        <v>1635.954</v>
      </c>
      <c r="O48" s="425">
        <f t="shared" si="10"/>
        <v>1971.172</v>
      </c>
      <c r="P48" s="425">
        <f t="shared" si="10"/>
        <v>2293.9850000000001</v>
      </c>
      <c r="Q48" s="425">
        <f>+Q49+Q52+Q59+Q57+Q64+Q58</f>
        <v>2727.3789999999999</v>
      </c>
      <c r="R48" s="425">
        <f>+R49+R52+R59+R57+R64+R58</f>
        <v>3002.8820000000005</v>
      </c>
      <c r="S48" s="352"/>
      <c r="T48" s="327"/>
      <c r="U48" s="327"/>
      <c r="V48" s="327"/>
      <c r="W48" s="202"/>
      <c r="X48" s="202"/>
    </row>
    <row r="49" spans="1:24" s="14" customFormat="1">
      <c r="A49" s="251" t="s">
        <v>411</v>
      </c>
      <c r="B49" s="861" t="s">
        <v>972</v>
      </c>
      <c r="C49" s="861" t="s">
        <v>972</v>
      </c>
      <c r="D49" s="861" t="s">
        <v>972</v>
      </c>
      <c r="E49" s="425">
        <f t="shared" ref="E49:I49" si="11">SUM(E50:E51)</f>
        <v>293.2</v>
      </c>
      <c r="F49" s="425">
        <f t="shared" si="11"/>
        <v>312.7</v>
      </c>
      <c r="G49" s="425">
        <f t="shared" si="11"/>
        <v>346.29500000000002</v>
      </c>
      <c r="H49" s="425">
        <f t="shared" si="11"/>
        <v>422.65</v>
      </c>
      <c r="I49" s="425">
        <f t="shared" si="11"/>
        <v>273.84899999999999</v>
      </c>
      <c r="J49" s="862">
        <f t="shared" ref="J49:L49" si="12">SUM(J50:J51)</f>
        <v>229.102</v>
      </c>
      <c r="K49" s="862">
        <f t="shared" si="12"/>
        <v>582.25300000000004</v>
      </c>
      <c r="L49" s="862">
        <f t="shared" si="12"/>
        <v>702.17499999999995</v>
      </c>
      <c r="M49" s="425">
        <f t="shared" ref="M49:R49" si="13">SUM(M50:M51)</f>
        <v>766.68700000000001</v>
      </c>
      <c r="N49" s="425">
        <f t="shared" si="13"/>
        <v>950.32600000000002</v>
      </c>
      <c r="O49" s="425">
        <f t="shared" si="13"/>
        <v>884.274</v>
      </c>
      <c r="P49" s="425">
        <f t="shared" si="13"/>
        <v>1089.1469999999999</v>
      </c>
      <c r="Q49" s="425">
        <f t="shared" si="13"/>
        <v>1258.73</v>
      </c>
      <c r="R49" s="425">
        <f t="shared" si="13"/>
        <v>1644.63</v>
      </c>
      <c r="S49" s="352"/>
      <c r="T49" s="475"/>
      <c r="U49" s="475"/>
      <c r="V49" s="475"/>
      <c r="W49" s="390"/>
      <c r="X49" s="390"/>
    </row>
    <row r="50" spans="1:24">
      <c r="A50" s="157" t="s">
        <v>875</v>
      </c>
      <c r="B50" s="861" t="s">
        <v>972</v>
      </c>
      <c r="C50" s="861" t="s">
        <v>972</v>
      </c>
      <c r="D50" s="861" t="s">
        <v>972</v>
      </c>
      <c r="E50" s="485">
        <v>141.5</v>
      </c>
      <c r="F50" s="485">
        <v>127.7</v>
      </c>
      <c r="G50" s="485">
        <v>118.127</v>
      </c>
      <c r="H50" s="484">
        <v>129.535</v>
      </c>
      <c r="I50" s="484">
        <v>85.233999999999995</v>
      </c>
      <c r="J50" s="860">
        <v>23.385999999999999</v>
      </c>
      <c r="K50" s="860">
        <v>48.682000000000002</v>
      </c>
      <c r="L50" s="860">
        <v>53.674999999999997</v>
      </c>
      <c r="M50" s="484">
        <v>60.246000000000002</v>
      </c>
      <c r="N50" s="485">
        <v>61.81</v>
      </c>
      <c r="O50" s="485">
        <v>64.594999999999999</v>
      </c>
      <c r="P50" s="485">
        <v>79.236999999999995</v>
      </c>
      <c r="Q50" s="485">
        <v>102.23</v>
      </c>
      <c r="R50" s="485">
        <v>161.81299999999999</v>
      </c>
      <c r="S50" s="327"/>
      <c r="T50" s="327"/>
      <c r="U50" s="327"/>
      <c r="V50" s="327"/>
      <c r="W50" s="202"/>
      <c r="X50" s="202"/>
    </row>
    <row r="51" spans="1:24">
      <c r="A51" s="157" t="s">
        <v>424</v>
      </c>
      <c r="B51" s="861" t="s">
        <v>972</v>
      </c>
      <c r="C51" s="861" t="s">
        <v>972</v>
      </c>
      <c r="D51" s="861" t="s">
        <v>972</v>
      </c>
      <c r="E51" s="485">
        <v>151.69999999999999</v>
      </c>
      <c r="F51" s="485">
        <v>185</v>
      </c>
      <c r="G51" s="485">
        <v>228.16800000000001</v>
      </c>
      <c r="H51" s="484">
        <v>293.11500000000001</v>
      </c>
      <c r="I51" s="484">
        <v>188.61500000000001</v>
      </c>
      <c r="J51" s="860">
        <v>205.71600000000001</v>
      </c>
      <c r="K51" s="860">
        <v>533.57100000000003</v>
      </c>
      <c r="L51" s="860">
        <v>648.5</v>
      </c>
      <c r="M51" s="484">
        <v>706.44100000000003</v>
      </c>
      <c r="N51" s="678">
        <v>888.51599999999996</v>
      </c>
      <c r="O51" s="678">
        <v>819.67899999999997</v>
      </c>
      <c r="P51" s="678">
        <v>1009.91</v>
      </c>
      <c r="Q51" s="678">
        <v>1156.5</v>
      </c>
      <c r="R51" s="485">
        <v>1482.817</v>
      </c>
      <c r="S51" s="202"/>
      <c r="T51" s="202"/>
      <c r="U51" s="202"/>
      <c r="V51" s="202"/>
      <c r="W51" s="202"/>
      <c r="X51" s="202"/>
    </row>
    <row r="52" spans="1:24" s="14" customFormat="1">
      <c r="A52" s="251" t="s">
        <v>412</v>
      </c>
      <c r="B52" s="861" t="s">
        <v>972</v>
      </c>
      <c r="C52" s="861" t="s">
        <v>972</v>
      </c>
      <c r="D52" s="861" t="s">
        <v>972</v>
      </c>
      <c r="E52" s="425">
        <f t="shared" ref="E52:I52" si="14">+SUM(E53:E56)</f>
        <v>195</v>
      </c>
      <c r="F52" s="425">
        <f t="shared" si="14"/>
        <v>304.2</v>
      </c>
      <c r="G52" s="425">
        <f t="shared" si="14"/>
        <v>429.86299999999994</v>
      </c>
      <c r="H52" s="425">
        <f t="shared" si="14"/>
        <v>366.74</v>
      </c>
      <c r="I52" s="425">
        <f t="shared" si="14"/>
        <v>403.01299999999998</v>
      </c>
      <c r="J52" s="862">
        <f t="shared" ref="J52:L52" si="15">+SUM(J53:J56)</f>
        <v>481.524</v>
      </c>
      <c r="K52" s="862">
        <f t="shared" si="15"/>
        <v>522.83799999999997</v>
      </c>
      <c r="L52" s="862">
        <f t="shared" si="15"/>
        <v>520.95900000000006</v>
      </c>
      <c r="M52" s="425">
        <f t="shared" ref="M52:R52" si="16">+SUM(M53:M56)</f>
        <v>505.07</v>
      </c>
      <c r="N52" s="425">
        <f t="shared" si="16"/>
        <v>546.16599999999994</v>
      </c>
      <c r="O52" s="425">
        <f t="shared" si="16"/>
        <v>841.13300000000004</v>
      </c>
      <c r="P52" s="425">
        <f t="shared" si="16"/>
        <v>962.45299999999997</v>
      </c>
      <c r="Q52" s="425">
        <f t="shared" si="16"/>
        <v>1301.662</v>
      </c>
      <c r="R52" s="425">
        <f t="shared" si="16"/>
        <v>1238.877</v>
      </c>
      <c r="S52" s="390"/>
      <c r="T52" s="390"/>
      <c r="U52" s="390"/>
      <c r="V52" s="390"/>
      <c r="W52" s="390"/>
      <c r="X52" s="390"/>
    </row>
    <row r="53" spans="1:24">
      <c r="A53" s="157" t="s">
        <v>413</v>
      </c>
      <c r="B53" s="861" t="s">
        <v>972</v>
      </c>
      <c r="C53" s="861" t="s">
        <v>972</v>
      </c>
      <c r="D53" s="861" t="s">
        <v>972</v>
      </c>
      <c r="E53" s="485">
        <v>145.5</v>
      </c>
      <c r="F53" s="485">
        <v>190.5</v>
      </c>
      <c r="G53" s="485">
        <v>305.87099999999998</v>
      </c>
      <c r="H53" s="484">
        <v>117.78700000000001</v>
      </c>
      <c r="I53" s="484">
        <v>167.61</v>
      </c>
      <c r="J53" s="860">
        <v>167.767</v>
      </c>
      <c r="K53" s="860">
        <v>186.18299999999999</v>
      </c>
      <c r="L53" s="860">
        <v>233.197</v>
      </c>
      <c r="M53" s="484">
        <v>231.631</v>
      </c>
      <c r="N53" s="678">
        <v>261.67099999999999</v>
      </c>
      <c r="O53" s="678">
        <v>380.24799999999999</v>
      </c>
      <c r="P53" s="678">
        <v>464.95600000000002</v>
      </c>
      <c r="Q53" s="678">
        <v>665.19600000000003</v>
      </c>
      <c r="R53" s="485">
        <v>720.42399999999998</v>
      </c>
      <c r="S53" s="202"/>
      <c r="T53" s="202"/>
      <c r="U53" s="202"/>
      <c r="V53" s="202"/>
      <c r="W53" s="202"/>
      <c r="X53" s="202"/>
    </row>
    <row r="54" spans="1:24">
      <c r="A54" s="157" t="s">
        <v>161</v>
      </c>
      <c r="B54" s="861" t="s">
        <v>972</v>
      </c>
      <c r="C54" s="861" t="s">
        <v>972</v>
      </c>
      <c r="D54" s="861" t="s">
        <v>972</v>
      </c>
      <c r="E54" s="485">
        <v>11.6</v>
      </c>
      <c r="F54" s="485">
        <v>33.1</v>
      </c>
      <c r="G54" s="485">
        <v>24.471</v>
      </c>
      <c r="H54" s="484">
        <v>98.373999999999995</v>
      </c>
      <c r="I54" s="484">
        <v>90.375</v>
      </c>
      <c r="J54" s="860">
        <v>29.097999999999999</v>
      </c>
      <c r="K54" s="860">
        <v>21.422999999999998</v>
      </c>
      <c r="L54" s="860">
        <v>25.361000000000001</v>
      </c>
      <c r="M54" s="484">
        <v>18.591999999999999</v>
      </c>
      <c r="N54" s="678">
        <v>81.81</v>
      </c>
      <c r="O54" s="678">
        <v>149.376</v>
      </c>
      <c r="P54" s="678">
        <v>66.765000000000001</v>
      </c>
      <c r="Q54" s="678">
        <v>134.57900000000001</v>
      </c>
      <c r="R54" s="485">
        <v>43.008000000000003</v>
      </c>
      <c r="S54" s="202"/>
      <c r="T54" s="202"/>
      <c r="U54" s="202"/>
      <c r="V54" s="202"/>
      <c r="W54" s="202"/>
      <c r="X54" s="202"/>
    </row>
    <row r="55" spans="1:24">
      <c r="A55" s="157" t="s">
        <v>876</v>
      </c>
      <c r="B55" s="861" t="s">
        <v>972</v>
      </c>
      <c r="C55" s="861" t="s">
        <v>972</v>
      </c>
      <c r="D55" s="861" t="s">
        <v>972</v>
      </c>
      <c r="E55" s="485">
        <v>30.9</v>
      </c>
      <c r="F55" s="485">
        <v>63.9</v>
      </c>
      <c r="G55" s="485">
        <v>63.832999999999998</v>
      </c>
      <c r="H55" s="484">
        <v>120.916</v>
      </c>
      <c r="I55" s="484">
        <v>117.349</v>
      </c>
      <c r="J55" s="860">
        <v>261.57600000000002</v>
      </c>
      <c r="K55" s="860">
        <v>268.99599999999998</v>
      </c>
      <c r="L55" s="860">
        <v>236.85</v>
      </c>
      <c r="M55" s="484">
        <v>207.55600000000001</v>
      </c>
      <c r="N55" s="678">
        <v>165.423</v>
      </c>
      <c r="O55" s="678">
        <v>235.09700000000001</v>
      </c>
      <c r="P55" s="678">
        <v>371.44400000000002</v>
      </c>
      <c r="Q55" s="678">
        <v>415.91500000000002</v>
      </c>
      <c r="R55" s="485">
        <v>400.62099999999998</v>
      </c>
      <c r="S55" s="202"/>
      <c r="T55" s="202"/>
      <c r="U55" s="202"/>
      <c r="V55" s="202"/>
      <c r="W55" s="202"/>
      <c r="X55" s="202"/>
    </row>
    <row r="56" spans="1:24">
      <c r="A56" s="157" t="s">
        <v>159</v>
      </c>
      <c r="B56" s="861" t="s">
        <v>972</v>
      </c>
      <c r="C56" s="861" t="s">
        <v>972</v>
      </c>
      <c r="D56" s="861" t="s">
        <v>972</v>
      </c>
      <c r="E56" s="485">
        <v>7</v>
      </c>
      <c r="F56" s="485">
        <v>16.7</v>
      </c>
      <c r="G56" s="485">
        <v>35.688000000000002</v>
      </c>
      <c r="H56" s="484">
        <v>29.663</v>
      </c>
      <c r="I56" s="484">
        <v>27.678999999999998</v>
      </c>
      <c r="J56" s="860">
        <v>23.082999999999998</v>
      </c>
      <c r="K56" s="860">
        <v>46.235999999999997</v>
      </c>
      <c r="L56" s="860">
        <v>25.550999999999998</v>
      </c>
      <c r="M56" s="484">
        <v>47.290999999999997</v>
      </c>
      <c r="N56" s="678">
        <v>37.262</v>
      </c>
      <c r="O56" s="678">
        <v>76.412000000000006</v>
      </c>
      <c r="P56" s="678">
        <v>59.287999999999997</v>
      </c>
      <c r="Q56" s="678">
        <v>85.971999999999994</v>
      </c>
      <c r="R56" s="485">
        <v>74.823999999999998</v>
      </c>
      <c r="S56" s="202"/>
      <c r="T56" s="202"/>
      <c r="U56" s="202"/>
      <c r="V56" s="202"/>
      <c r="W56" s="202"/>
      <c r="X56" s="202"/>
    </row>
    <row r="57" spans="1:24">
      <c r="A57" s="251" t="s">
        <v>877</v>
      </c>
      <c r="B57" s="54"/>
      <c r="C57" s="54"/>
      <c r="D57" s="54"/>
      <c r="E57" s="485"/>
      <c r="F57" s="485"/>
      <c r="G57" s="485"/>
      <c r="H57" s="195"/>
      <c r="I57" s="195"/>
      <c r="J57" s="860">
        <v>16.445</v>
      </c>
      <c r="K57" s="860">
        <v>22.300999999999998</v>
      </c>
      <c r="L57" s="860">
        <v>23.946000000000002</v>
      </c>
      <c r="M57" s="484">
        <v>27.593</v>
      </c>
      <c r="N57" s="678">
        <v>44.408000000000001</v>
      </c>
      <c r="O57" s="678">
        <v>77.272999999999996</v>
      </c>
      <c r="P57" s="678">
        <v>189.114</v>
      </c>
      <c r="Q57" s="678">
        <v>185.57300000000001</v>
      </c>
      <c r="R57" s="485">
        <v>152.089</v>
      </c>
      <c r="S57" s="202"/>
      <c r="T57" s="202"/>
      <c r="U57" s="202"/>
      <c r="V57" s="202"/>
      <c r="W57" s="202"/>
      <c r="X57" s="202"/>
    </row>
    <row r="58" spans="1:24" s="1401" customFormat="1">
      <c r="A58" s="251" t="s">
        <v>1502</v>
      </c>
      <c r="B58" s="54"/>
      <c r="C58" s="54"/>
      <c r="D58" s="54"/>
      <c r="E58" s="485"/>
      <c r="F58" s="485"/>
      <c r="G58" s="485"/>
      <c r="H58" s="195"/>
      <c r="I58" s="195"/>
      <c r="J58" s="860"/>
      <c r="K58" s="860"/>
      <c r="L58" s="860"/>
      <c r="M58" s="484"/>
      <c r="N58" s="678"/>
      <c r="O58" s="678"/>
      <c r="P58" s="678">
        <v>31.177</v>
      </c>
      <c r="Q58" s="678">
        <v>23.21</v>
      </c>
      <c r="R58" s="485">
        <v>21.289000000000001</v>
      </c>
      <c r="S58" s="202"/>
      <c r="T58" s="202"/>
      <c r="U58" s="202"/>
      <c r="V58" s="202"/>
      <c r="W58" s="202"/>
      <c r="X58" s="202"/>
    </row>
    <row r="59" spans="1:24" s="14" customFormat="1">
      <c r="A59" s="251" t="s">
        <v>222</v>
      </c>
      <c r="B59" s="861" t="s">
        <v>972</v>
      </c>
      <c r="C59" s="861" t="s">
        <v>972</v>
      </c>
      <c r="D59" s="861" t="s">
        <v>972</v>
      </c>
      <c r="E59" s="425">
        <f t="shared" ref="E59:N59" si="17">SUM(E60:E61)</f>
        <v>29.799999999999997</v>
      </c>
      <c r="F59" s="425">
        <f t="shared" si="17"/>
        <v>31.299999999999997</v>
      </c>
      <c r="G59" s="425">
        <f t="shared" si="17"/>
        <v>31.863999999999997</v>
      </c>
      <c r="H59" s="425">
        <f t="shared" si="17"/>
        <v>37.146000000000001</v>
      </c>
      <c r="I59" s="425">
        <f t="shared" si="17"/>
        <v>35.557000000000002</v>
      </c>
      <c r="J59" s="862">
        <f t="shared" si="17"/>
        <v>47.372</v>
      </c>
      <c r="K59" s="862">
        <f t="shared" si="17"/>
        <v>55.895000000000003</v>
      </c>
      <c r="L59" s="862">
        <f t="shared" si="17"/>
        <v>47.965000000000003</v>
      </c>
      <c r="M59" s="425">
        <f t="shared" si="17"/>
        <v>67.64</v>
      </c>
      <c r="N59" s="425">
        <f t="shared" si="17"/>
        <v>95.054000000000002</v>
      </c>
      <c r="O59" s="425">
        <f>SUM(O60:O61)</f>
        <v>168.49199999999999</v>
      </c>
      <c r="P59" s="425">
        <f>SUM(P60:P61)</f>
        <v>109.05</v>
      </c>
      <c r="Q59" s="425">
        <f>SUM(Q60:Q61)</f>
        <v>61.948999999999998</v>
      </c>
      <c r="R59" s="425">
        <f>SUM(R60:R61)</f>
        <v>65.462999999999994</v>
      </c>
      <c r="S59" s="390"/>
      <c r="T59" s="390"/>
      <c r="U59" s="390"/>
      <c r="V59" s="390"/>
      <c r="W59" s="390"/>
      <c r="X59" s="390"/>
    </row>
    <row r="60" spans="1:24">
      <c r="A60" s="157" t="s">
        <v>163</v>
      </c>
      <c r="B60" s="861" t="s">
        <v>972</v>
      </c>
      <c r="C60" s="861" t="s">
        <v>972</v>
      </c>
      <c r="D60" s="861" t="s">
        <v>972</v>
      </c>
      <c r="E60" s="485">
        <v>15.7</v>
      </c>
      <c r="F60" s="485">
        <v>18.7</v>
      </c>
      <c r="G60" s="485">
        <v>18.725999999999999</v>
      </c>
      <c r="H60" s="484">
        <v>20.100000000000001</v>
      </c>
      <c r="I60" s="484">
        <v>23.97</v>
      </c>
      <c r="J60" s="860">
        <v>29.186</v>
      </c>
      <c r="K60" s="860">
        <v>34.840000000000003</v>
      </c>
      <c r="L60" s="860">
        <v>35.151000000000003</v>
      </c>
      <c r="M60" s="484">
        <v>49.808</v>
      </c>
      <c r="N60" s="678">
        <v>64.567999999999998</v>
      </c>
      <c r="O60" s="678">
        <v>135.91499999999999</v>
      </c>
      <c r="P60" s="678">
        <f>31.177+45.156+0.003</f>
        <v>76.335999999999999</v>
      </c>
      <c r="Q60" s="678">
        <f>50.999</f>
        <v>50.999000000000002</v>
      </c>
      <c r="R60" s="485">
        <v>65.078999999999994</v>
      </c>
      <c r="S60" s="202"/>
      <c r="T60" s="202"/>
      <c r="U60" s="202"/>
      <c r="V60" s="202"/>
      <c r="W60" s="202"/>
      <c r="X60" s="202"/>
    </row>
    <row r="61" spans="1:24">
      <c r="A61" s="157" t="s">
        <v>164</v>
      </c>
      <c r="B61" s="861" t="s">
        <v>972</v>
      </c>
      <c r="C61" s="861" t="s">
        <v>972</v>
      </c>
      <c r="D61" s="861" t="s">
        <v>972</v>
      </c>
      <c r="E61" s="679">
        <f t="shared" ref="E61:R61" si="18">SUM(E62:E63)</f>
        <v>14.1</v>
      </c>
      <c r="F61" s="679">
        <f t="shared" si="18"/>
        <v>12.6</v>
      </c>
      <c r="G61" s="679">
        <f t="shared" si="18"/>
        <v>13.138</v>
      </c>
      <c r="H61" s="679">
        <f t="shared" si="18"/>
        <v>17.045999999999999</v>
      </c>
      <c r="I61" s="679">
        <f t="shared" si="18"/>
        <v>11.587</v>
      </c>
      <c r="J61" s="679">
        <f t="shared" si="18"/>
        <v>18.186</v>
      </c>
      <c r="K61" s="679">
        <f t="shared" si="18"/>
        <v>21.055</v>
      </c>
      <c r="L61" s="679">
        <f t="shared" si="18"/>
        <v>12.814</v>
      </c>
      <c r="M61" s="679">
        <f t="shared" si="18"/>
        <v>17.831999999999997</v>
      </c>
      <c r="N61" s="679">
        <f t="shared" si="18"/>
        <v>30.486000000000001</v>
      </c>
      <c r="O61" s="679">
        <f t="shared" si="18"/>
        <v>32.576999999999998</v>
      </c>
      <c r="P61" s="679">
        <f t="shared" si="18"/>
        <v>32.713999999999999</v>
      </c>
      <c r="Q61" s="679">
        <f t="shared" si="18"/>
        <v>10.95</v>
      </c>
      <c r="R61" s="679">
        <f t="shared" si="18"/>
        <v>0.38400000000000001</v>
      </c>
      <c r="S61" s="202"/>
      <c r="T61" s="202"/>
      <c r="U61" s="202"/>
      <c r="V61" s="202"/>
      <c r="W61" s="202"/>
      <c r="X61" s="202"/>
    </row>
    <row r="62" spans="1:24">
      <c r="A62" s="887" t="s">
        <v>164</v>
      </c>
      <c r="B62" s="861" t="s">
        <v>972</v>
      </c>
      <c r="C62" s="861" t="s">
        <v>972</v>
      </c>
      <c r="D62" s="861" t="s">
        <v>972</v>
      </c>
      <c r="E62" s="484">
        <v>0</v>
      </c>
      <c r="F62" s="484">
        <v>0</v>
      </c>
      <c r="G62" s="485">
        <v>0.66700000000000004</v>
      </c>
      <c r="H62" s="484">
        <v>0</v>
      </c>
      <c r="I62" s="484">
        <v>0</v>
      </c>
      <c r="J62" s="484">
        <v>0</v>
      </c>
      <c r="K62" s="484">
        <v>0</v>
      </c>
      <c r="L62" s="484">
        <v>0</v>
      </c>
      <c r="M62" s="678">
        <v>0.64400000000000002</v>
      </c>
      <c r="N62" s="678">
        <v>0.65500000000000003</v>
      </c>
      <c r="O62" s="678">
        <v>1.458</v>
      </c>
      <c r="P62" s="678">
        <v>0.23899999999999999</v>
      </c>
      <c r="Q62" s="678">
        <v>10.95</v>
      </c>
      <c r="R62" s="678">
        <v>0.38400000000000001</v>
      </c>
      <c r="S62" s="202"/>
      <c r="T62" s="202"/>
      <c r="U62" s="202"/>
      <c r="V62" s="202"/>
      <c r="W62" s="202"/>
      <c r="X62" s="202"/>
    </row>
    <row r="63" spans="1:24">
      <c r="A63" s="887" t="s">
        <v>162</v>
      </c>
      <c r="B63" s="861" t="s">
        <v>972</v>
      </c>
      <c r="C63" s="861" t="s">
        <v>972</v>
      </c>
      <c r="D63" s="861" t="s">
        <v>972</v>
      </c>
      <c r="E63" s="485">
        <v>14.1</v>
      </c>
      <c r="F63" s="485">
        <v>12.6</v>
      </c>
      <c r="G63" s="485">
        <v>12.471</v>
      </c>
      <c r="H63" s="484">
        <v>17.045999999999999</v>
      </c>
      <c r="I63" s="484">
        <v>11.587</v>
      </c>
      <c r="J63" s="860">
        <v>18.186</v>
      </c>
      <c r="K63" s="860">
        <v>21.055</v>
      </c>
      <c r="L63" s="860">
        <v>12.814</v>
      </c>
      <c r="M63" s="484">
        <f>17.188</f>
        <v>17.187999999999999</v>
      </c>
      <c r="N63" s="678">
        <v>29.831</v>
      </c>
      <c r="O63" s="678">
        <v>31.119</v>
      </c>
      <c r="P63" s="678">
        <v>32.475000000000001</v>
      </c>
      <c r="Q63" s="678">
        <v>0</v>
      </c>
      <c r="R63" s="678">
        <v>0</v>
      </c>
      <c r="S63" s="202"/>
      <c r="T63" s="202"/>
      <c r="U63" s="202"/>
      <c r="V63" s="202"/>
      <c r="W63" s="202"/>
      <c r="X63" s="202"/>
    </row>
    <row r="64" spans="1:24" s="14" customFormat="1">
      <c r="A64" s="886" t="s">
        <v>1196</v>
      </c>
      <c r="B64" s="195">
        <v>0</v>
      </c>
      <c r="C64" s="195">
        <v>0</v>
      </c>
      <c r="D64" s="195">
        <v>0</v>
      </c>
      <c r="E64" s="195">
        <v>0</v>
      </c>
      <c r="F64" s="195">
        <v>0</v>
      </c>
      <c r="G64" s="195">
        <v>0</v>
      </c>
      <c r="H64" s="195">
        <f>+SUM('Quarterly historicals'!B90:E90)</f>
        <v>0</v>
      </c>
      <c r="I64" s="195">
        <f>+SUM('Quarterly historicals'!F90:I90)</f>
        <v>0</v>
      </c>
      <c r="J64" s="195">
        <f>+SUM('Quarterly historicals'!J90:M90)</f>
        <v>0</v>
      </c>
      <c r="K64" s="195">
        <f>+SUM('Quarterly historicals'!N90:Q90)</f>
        <v>0</v>
      </c>
      <c r="L64" s="195">
        <f>+SUM('Quarterly historicals'!R90:U90)</f>
        <v>0</v>
      </c>
      <c r="M64" s="195">
        <f>+SUM('Quarterly historicals'!V90:Y90)</f>
        <v>0</v>
      </c>
      <c r="N64" s="195">
        <f>+SUM('Quarterly historicals'!Z90:AC90)</f>
        <v>0</v>
      </c>
      <c r="O64" s="195">
        <f>+SUM('Quarterly historicals'!AD90:AG90)</f>
        <v>0</v>
      </c>
      <c r="P64" s="195">
        <f>SUM('Quarterly historicals'!AH90:AK90)</f>
        <v>-55.778999999999996</v>
      </c>
      <c r="Q64" s="195">
        <f>SUM('Quarterly historicals'!AL90:AO90)</f>
        <v>-103.745</v>
      </c>
      <c r="R64" s="195">
        <f>SUM('Quarterly historicals'!AP90:AS90)</f>
        <v>-119.46600000000001</v>
      </c>
      <c r="S64" s="390"/>
      <c r="T64" s="390"/>
      <c r="U64" s="390"/>
      <c r="V64" s="390"/>
      <c r="W64" s="390"/>
      <c r="X64" s="390"/>
    </row>
    <row r="65" spans="1:27" s="1724" customFormat="1">
      <c r="A65" s="1727" t="s">
        <v>1419</v>
      </c>
      <c r="B65" s="1727"/>
      <c r="E65" s="1727"/>
      <c r="F65" s="1727"/>
      <c r="G65" s="1728"/>
      <c r="H65" s="1860">
        <f>SUM('Quarterly historicals'!B152:E152)-H48</f>
        <v>9.9999999997635314E-4</v>
      </c>
      <c r="I65" s="1860">
        <f>SUM('Quarterly historicals'!F152:I152)-I48</f>
        <v>1.00000000009004E-3</v>
      </c>
      <c r="J65" s="1860">
        <f>SUM('Quarterly historicals'!J152:M152)-J48</f>
        <v>0</v>
      </c>
      <c r="K65" s="1860">
        <f>SUM('Quarterly historicals'!N152:Q152)-K48</f>
        <v>-9.9999999997635314E-4</v>
      </c>
      <c r="L65" s="1860">
        <f>SUM('Quarterly historicals'!R152:U152)-L48</f>
        <v>-1.7000000000052751E-2</v>
      </c>
      <c r="M65" s="1860">
        <f>SUM('Quarterly historicals'!V152:Y152)-M48</f>
        <v>0</v>
      </c>
      <c r="N65" s="1860">
        <f>SUM('Quarterly historicals'!Z152:AC152)-N48</f>
        <v>9.9999999997635314E-4</v>
      </c>
      <c r="O65" s="1860">
        <f>SUM('Quarterly historicals'!AD152:AG152)-O48</f>
        <v>0.5180000000000291</v>
      </c>
      <c r="P65" s="1860">
        <f>SUM('Quarterly historicals'!AH152:AK152)-P48</f>
        <v>-3.0000000001564331E-3</v>
      </c>
      <c r="Q65" s="1860">
        <f>SUM('Quarterly historicals'!AL152:AO152)-Q48</f>
        <v>3.9000000000214641E-2</v>
      </c>
      <c r="R65" s="1860">
        <f>SUM('Quarterly historicals'!AP152:AS152)-R48</f>
        <v>-1.0000000002037268E-3</v>
      </c>
    </row>
    <row r="66" spans="1:27">
      <c r="A66" s="251" t="s">
        <v>828</v>
      </c>
      <c r="B66" s="54"/>
      <c r="E66" s="327"/>
      <c r="F66" s="327"/>
      <c r="G66" s="327"/>
      <c r="H66" s="327"/>
      <c r="I66" s="327"/>
      <c r="J66" s="327"/>
      <c r="K66" s="327"/>
      <c r="L66" s="202"/>
      <c r="M66" s="202"/>
      <c r="N66" s="202"/>
      <c r="O66" s="202"/>
      <c r="P66" s="202"/>
      <c r="Q66" s="202"/>
      <c r="R66" s="202"/>
      <c r="S66" s="202"/>
      <c r="T66" s="202"/>
      <c r="U66" s="202"/>
      <c r="V66" s="202"/>
      <c r="W66" s="202"/>
      <c r="X66" s="202"/>
      <c r="Y66" s="471"/>
      <c r="Z66" s="471"/>
      <c r="AA66" s="471"/>
    </row>
    <row r="67" spans="1:27" s="14" customFormat="1">
      <c r="A67" s="251" t="s">
        <v>165</v>
      </c>
      <c r="B67" s="2122" t="s">
        <v>972</v>
      </c>
      <c r="C67" s="2122" t="s">
        <v>972</v>
      </c>
      <c r="D67" s="2122" t="s">
        <v>972</v>
      </c>
      <c r="E67" s="1066">
        <f t="shared" ref="E67:Q67" si="19">+E49*1000/E31</f>
        <v>490.30100334448161</v>
      </c>
      <c r="F67" s="1066">
        <f t="shared" si="19"/>
        <v>526.43097643097644</v>
      </c>
      <c r="G67" s="1066">
        <f t="shared" si="19"/>
        <v>549.87709759784548</v>
      </c>
      <c r="H67" s="1066">
        <f t="shared" si="19"/>
        <v>624.90574295252998</v>
      </c>
      <c r="I67" s="1066">
        <f t="shared" si="19"/>
        <v>452.08478127006822</v>
      </c>
      <c r="J67" s="1066">
        <f t="shared" si="19"/>
        <v>548.48455829542741</v>
      </c>
      <c r="K67" s="1066">
        <f t="shared" si="19"/>
        <v>711.1921338707707</v>
      </c>
      <c r="L67" s="1066">
        <f t="shared" si="19"/>
        <v>839.72135852666827</v>
      </c>
      <c r="M67" s="1066">
        <f t="shared" si="19"/>
        <v>928.64219961240303</v>
      </c>
      <c r="N67" s="1066">
        <f t="shared" si="19"/>
        <v>973.49518541282532</v>
      </c>
      <c r="O67" s="1066">
        <f t="shared" si="19"/>
        <v>892.12469733656167</v>
      </c>
      <c r="P67" s="1066">
        <f t="shared" si="19"/>
        <v>925.27992523999671</v>
      </c>
      <c r="Q67" s="1066">
        <f t="shared" si="19"/>
        <v>1048.068276436303</v>
      </c>
      <c r="R67" s="1066">
        <f t="shared" ref="R67" si="20">+R49*1000/R31</f>
        <v>1251.9068280429321</v>
      </c>
      <c r="S67" s="390"/>
      <c r="T67" s="390"/>
      <c r="U67" s="390"/>
      <c r="V67" s="390"/>
      <c r="W67" s="390"/>
      <c r="X67" s="390"/>
      <c r="Y67" s="2123"/>
      <c r="Z67" s="2123"/>
      <c r="AA67" s="2123"/>
    </row>
    <row r="68" spans="1:27">
      <c r="A68" s="157" t="s">
        <v>410</v>
      </c>
      <c r="B68" s="861" t="s">
        <v>972</v>
      </c>
      <c r="C68" s="861" t="s">
        <v>972</v>
      </c>
      <c r="D68" s="861" t="s">
        <v>972</v>
      </c>
      <c r="E68" s="680">
        <f t="shared" ref="E68:Q68" si="21">+E50*1000/E32</f>
        <v>542.14559386973178</v>
      </c>
      <c r="F68" s="680">
        <f t="shared" si="21"/>
        <v>565.04424778761063</v>
      </c>
      <c r="G68" s="680">
        <f t="shared" si="21"/>
        <v>569.35259981877425</v>
      </c>
      <c r="H68" s="680">
        <f t="shared" si="21"/>
        <v>657.5547602731034</v>
      </c>
      <c r="I68" s="680">
        <f t="shared" si="21"/>
        <v>425.742129160194</v>
      </c>
      <c r="J68" s="680">
        <f t="shared" si="21"/>
        <v>497.57446808510639</v>
      </c>
      <c r="K68" s="680">
        <f t="shared" si="21"/>
        <v>782.66881028938906</v>
      </c>
      <c r="L68" s="680">
        <f t="shared" si="21"/>
        <v>948.32155477031802</v>
      </c>
      <c r="M68" s="680">
        <f t="shared" si="21"/>
        <v>986.0229132569558</v>
      </c>
      <c r="N68" s="680">
        <f t="shared" si="21"/>
        <v>923.91629297458883</v>
      </c>
      <c r="O68" s="680">
        <f t="shared" si="21"/>
        <v>914.94334277620408</v>
      </c>
      <c r="P68" s="680">
        <f t="shared" si="21"/>
        <v>816.03501544799178</v>
      </c>
      <c r="Q68" s="680">
        <f t="shared" si="21"/>
        <v>1053.9175257731958</v>
      </c>
      <c r="R68" s="680">
        <f t="shared" ref="R68" si="22">+R50*1000/R32</f>
        <v>1175.1125635439362</v>
      </c>
      <c r="S68" s="202"/>
      <c r="T68" s="202"/>
      <c r="U68" s="202"/>
      <c r="V68" s="202"/>
      <c r="W68" s="202"/>
      <c r="X68" s="202"/>
    </row>
    <row r="69" spans="1:27">
      <c r="A69" s="157" t="s">
        <v>424</v>
      </c>
      <c r="B69" s="861" t="s">
        <v>972</v>
      </c>
      <c r="C69" s="861" t="s">
        <v>972</v>
      </c>
      <c r="D69" s="861" t="s">
        <v>972</v>
      </c>
      <c r="E69" s="680">
        <f t="shared" ref="E69:Q69" si="23">+E51*1000/E33</f>
        <v>450.14836795252228</v>
      </c>
      <c r="F69" s="680">
        <f t="shared" si="23"/>
        <v>502.71739130434781</v>
      </c>
      <c r="G69" s="680">
        <f t="shared" si="23"/>
        <v>540.3086016310989</v>
      </c>
      <c r="H69" s="680">
        <f t="shared" si="23"/>
        <v>611.48812864167292</v>
      </c>
      <c r="I69" s="680">
        <f t="shared" si="23"/>
        <v>465.08904045410384</v>
      </c>
      <c r="J69" s="680">
        <f t="shared" si="23"/>
        <v>554.93930401942271</v>
      </c>
      <c r="K69" s="680">
        <f t="shared" si="23"/>
        <v>705.31526768010576</v>
      </c>
      <c r="L69" s="680">
        <f t="shared" si="23"/>
        <v>831.83683940482297</v>
      </c>
      <c r="M69" s="680">
        <f t="shared" si="23"/>
        <v>924.05624591236096</v>
      </c>
      <c r="N69" s="680">
        <f t="shared" si="23"/>
        <v>977.14285714285722</v>
      </c>
      <c r="O69" s="680">
        <f t="shared" si="23"/>
        <v>890.37475559417771</v>
      </c>
      <c r="P69" s="680">
        <f t="shared" si="23"/>
        <v>935.10185185185185</v>
      </c>
      <c r="Q69" s="680">
        <f t="shared" si="23"/>
        <v>1047.554347826087</v>
      </c>
      <c r="R69" s="680">
        <f t="shared" ref="R69" si="24">+R51*1000/R33</f>
        <v>1260.8988095238096</v>
      </c>
      <c r="S69" s="202"/>
      <c r="T69" s="202"/>
      <c r="U69" s="202"/>
      <c r="V69" s="202"/>
      <c r="W69" s="202"/>
      <c r="X69" s="202"/>
    </row>
    <row r="70" spans="1:27" s="14" customFormat="1">
      <c r="A70" s="251" t="s">
        <v>892</v>
      </c>
      <c r="B70" s="2122" t="s">
        <v>972</v>
      </c>
      <c r="C70" s="2122" t="s">
        <v>972</v>
      </c>
      <c r="D70" s="2122" t="s">
        <v>972</v>
      </c>
      <c r="E70" s="1066">
        <f t="shared" ref="E70:Q70" si="25">+E52*1000/(E37+E34)</f>
        <v>578.63501483679522</v>
      </c>
      <c r="F70" s="1066">
        <f t="shared" si="25"/>
        <v>734.78260869565213</v>
      </c>
      <c r="G70" s="1066">
        <f t="shared" si="25"/>
        <v>850.76573527607229</v>
      </c>
      <c r="H70" s="1066">
        <f t="shared" si="25"/>
        <v>916.0210009941004</v>
      </c>
      <c r="I70" s="1066">
        <f t="shared" si="25"/>
        <v>749.30788867466026</v>
      </c>
      <c r="J70" s="1066">
        <f t="shared" si="25"/>
        <v>769.57647434872933</v>
      </c>
      <c r="K70" s="1066">
        <f t="shared" si="25"/>
        <v>857.95536593370525</v>
      </c>
      <c r="L70" s="1066">
        <f t="shared" si="25"/>
        <v>994.76608745464966</v>
      </c>
      <c r="M70" s="1066">
        <f t="shared" si="25"/>
        <v>1258.2710513203785</v>
      </c>
      <c r="N70" s="1066">
        <f t="shared" si="25"/>
        <v>1211.548358473824</v>
      </c>
      <c r="O70" s="1066">
        <f t="shared" si="25"/>
        <v>1317.1515815847165</v>
      </c>
      <c r="P70" s="1066">
        <f t="shared" si="25"/>
        <v>1349.1070927950659</v>
      </c>
      <c r="Q70" s="1066">
        <f t="shared" si="25"/>
        <v>1637.3106918238993</v>
      </c>
      <c r="R70" s="1066">
        <f t="shared" ref="R70" si="26">+R52*1000/(R37+R34)</f>
        <v>1773.8788659793813</v>
      </c>
      <c r="S70" s="390"/>
      <c r="T70" s="390"/>
      <c r="U70" s="390"/>
      <c r="V70" s="390"/>
      <c r="W70" s="390"/>
      <c r="X70" s="390"/>
    </row>
    <row r="71" spans="1:27">
      <c r="A71" s="157" t="s">
        <v>160</v>
      </c>
      <c r="B71" s="861" t="s">
        <v>972</v>
      </c>
      <c r="C71" s="861" t="s">
        <v>972</v>
      </c>
      <c r="D71" s="861" t="s">
        <v>972</v>
      </c>
      <c r="E71" s="680">
        <f t="shared" ref="E71:Q71" si="27">+E53*1000/E38</f>
        <v>591.46341463414637</v>
      </c>
      <c r="F71" s="680">
        <f t="shared" si="27"/>
        <v>780.73770491803282</v>
      </c>
      <c r="G71" s="680">
        <f t="shared" si="27"/>
        <v>903.5510352385819</v>
      </c>
      <c r="H71" s="680">
        <f t="shared" si="27"/>
        <v>927.91699819595544</v>
      </c>
      <c r="I71" s="680">
        <f t="shared" si="27"/>
        <v>774.38401796315884</v>
      </c>
      <c r="J71" s="680">
        <f t="shared" si="27"/>
        <v>834.66169154228851</v>
      </c>
      <c r="K71" s="680">
        <f t="shared" si="27"/>
        <v>965.17884914463446</v>
      </c>
      <c r="L71" s="680">
        <f t="shared" si="27"/>
        <v>1083.1258708778448</v>
      </c>
      <c r="M71" s="680">
        <f t="shared" si="27"/>
        <v>1367.3612750885477</v>
      </c>
      <c r="N71" s="680">
        <f t="shared" si="27"/>
        <v>1249.0262529832935</v>
      </c>
      <c r="O71" s="680">
        <f t="shared" si="27"/>
        <v>1364.8528356066042</v>
      </c>
      <c r="P71" s="680">
        <f t="shared" si="27"/>
        <v>1400.4698795180723</v>
      </c>
      <c r="Q71" s="680">
        <f t="shared" si="27"/>
        <v>1681.9115044247787</v>
      </c>
      <c r="R71" s="680">
        <f t="shared" ref="R71" si="28">+R53*1000/R38</f>
        <v>1850.5625481633701</v>
      </c>
      <c r="S71" s="202"/>
      <c r="T71" s="202"/>
      <c r="U71" s="202"/>
      <c r="V71" s="202"/>
      <c r="W71" s="202"/>
      <c r="X71" s="202"/>
    </row>
    <row r="72" spans="1:27">
      <c r="A72" s="157" t="s">
        <v>161</v>
      </c>
      <c r="B72" s="861" t="s">
        <v>972</v>
      </c>
      <c r="C72" s="861" t="s">
        <v>972</v>
      </c>
      <c r="D72" s="861" t="s">
        <v>972</v>
      </c>
      <c r="E72" s="680">
        <f t="shared" ref="E72:Q72" si="29">+E54*1000/E39</f>
        <v>725</v>
      </c>
      <c r="F72" s="680">
        <f t="shared" si="29"/>
        <v>612.96296296296293</v>
      </c>
      <c r="G72" s="680">
        <f t="shared" si="29"/>
        <v>711.53175157013254</v>
      </c>
      <c r="H72" s="680">
        <f t="shared" si="29"/>
        <v>1074.6911085134973</v>
      </c>
      <c r="I72" s="680">
        <f t="shared" si="29"/>
        <v>846.79459550624961</v>
      </c>
      <c r="J72" s="680">
        <f t="shared" si="29"/>
        <v>824.3059490084986</v>
      </c>
      <c r="K72" s="680">
        <f t="shared" si="29"/>
        <v>773.39350180505414</v>
      </c>
      <c r="L72" s="680">
        <f t="shared" si="29"/>
        <v>975.42307692307691</v>
      </c>
      <c r="M72" s="680">
        <f t="shared" si="29"/>
        <v>1291.1111111111111</v>
      </c>
      <c r="N72" s="680">
        <f t="shared" si="29"/>
        <v>1347.7759472817133</v>
      </c>
      <c r="O72" s="680">
        <f t="shared" si="29"/>
        <v>1372.9411764705883</v>
      </c>
      <c r="P72" s="680">
        <f t="shared" si="29"/>
        <v>1574.6462264150944</v>
      </c>
      <c r="Q72" s="680">
        <f t="shared" si="29"/>
        <v>1559.4322132097336</v>
      </c>
      <c r="R72" s="680">
        <f t="shared" ref="R72" si="30">+R54*1000/R39</f>
        <v>1405.4901960784314</v>
      </c>
      <c r="S72" s="202"/>
      <c r="T72" s="202"/>
      <c r="U72" s="202"/>
      <c r="V72" s="202"/>
      <c r="W72" s="202"/>
      <c r="X72" s="202"/>
    </row>
    <row r="73" spans="1:27">
      <c r="A73" s="157" t="s">
        <v>158</v>
      </c>
      <c r="B73" s="861" t="s">
        <v>972</v>
      </c>
      <c r="C73" s="861" t="s">
        <v>972</v>
      </c>
      <c r="D73" s="861" t="s">
        <v>972</v>
      </c>
      <c r="E73" s="680">
        <f t="shared" ref="E73:Q73" si="31">+E55*1000/E35</f>
        <v>482.8125</v>
      </c>
      <c r="F73" s="680">
        <f t="shared" si="31"/>
        <v>694.56521739130437</v>
      </c>
      <c r="G73" s="680">
        <f t="shared" si="31"/>
        <v>827.76372949491031</v>
      </c>
      <c r="H73" s="680">
        <f t="shared" si="31"/>
        <v>794.00601499809568</v>
      </c>
      <c r="I73" s="680">
        <f t="shared" si="31"/>
        <v>654.08647280794162</v>
      </c>
      <c r="J73" s="680">
        <f t="shared" si="31"/>
        <v>709.83989145183182</v>
      </c>
      <c r="K73" s="680">
        <f t="shared" si="31"/>
        <v>815.88110403397036</v>
      </c>
      <c r="L73" s="680">
        <f t="shared" si="31"/>
        <v>924.83404919953136</v>
      </c>
      <c r="M73" s="680">
        <f t="shared" si="31"/>
        <v>1169.9887260428411</v>
      </c>
      <c r="N73" s="680">
        <f t="shared" si="31"/>
        <v>1115.4619015509102</v>
      </c>
      <c r="O73" s="680">
        <f t="shared" si="31"/>
        <v>1252.514651038892</v>
      </c>
      <c r="P73" s="680">
        <f t="shared" si="31"/>
        <v>1275.5631868131868</v>
      </c>
      <c r="Q73" s="680">
        <f t="shared" si="31"/>
        <v>1592.9337418613557</v>
      </c>
      <c r="R73" s="680">
        <f t="shared" ref="R73" si="32">+R55*1000/R35</f>
        <v>1668.5589337775928</v>
      </c>
      <c r="S73" s="202"/>
      <c r="T73" s="202"/>
      <c r="U73" s="202"/>
      <c r="V73" s="202"/>
      <c r="W73" s="202"/>
      <c r="X73" s="202"/>
    </row>
    <row r="74" spans="1:27">
      <c r="A74" s="157" t="s">
        <v>159</v>
      </c>
      <c r="B74" s="861" t="s">
        <v>972</v>
      </c>
      <c r="C74" s="861" t="s">
        <v>972</v>
      </c>
      <c r="D74" s="861" t="s">
        <v>972</v>
      </c>
      <c r="E74" s="680">
        <f t="shared" ref="E74:Q74" si="33">+E56*1000/E36</f>
        <v>636.36363636363637</v>
      </c>
      <c r="F74" s="680">
        <f t="shared" si="33"/>
        <v>695.83333333333337</v>
      </c>
      <c r="G74" s="680">
        <f t="shared" si="33"/>
        <v>646.07697599478615</v>
      </c>
      <c r="H74" s="680">
        <f t="shared" si="33"/>
        <v>1002.0606715762449</v>
      </c>
      <c r="I74" s="680">
        <f t="shared" si="33"/>
        <v>784.79684708951208</v>
      </c>
      <c r="J74" s="680">
        <f t="shared" si="33"/>
        <v>1104.4497607655503</v>
      </c>
      <c r="K74" s="680">
        <f t="shared" si="33"/>
        <v>782.33502538071059</v>
      </c>
      <c r="L74" s="680">
        <f t="shared" si="33"/>
        <v>971.5209125475285</v>
      </c>
      <c r="M74" s="680">
        <f t="shared" si="33"/>
        <v>1176.3930348258705</v>
      </c>
      <c r="N74" s="680">
        <f t="shared" si="33"/>
        <v>1153.622291021672</v>
      </c>
      <c r="O74" s="680">
        <f t="shared" si="33"/>
        <v>1203.3385826771653</v>
      </c>
      <c r="P74" s="680">
        <f t="shared" si="33"/>
        <v>1240.3347280334729</v>
      </c>
      <c r="Q74" s="680">
        <f t="shared" si="33"/>
        <v>1650.1343570057581</v>
      </c>
      <c r="R74" s="680">
        <f t="shared" ref="R74" si="34">+R56*1000/R36</f>
        <v>1948.5416666666667</v>
      </c>
      <c r="S74" s="202"/>
      <c r="T74" s="202"/>
      <c r="U74" s="202"/>
      <c r="V74" s="202"/>
      <c r="W74" s="202"/>
      <c r="X74" s="202"/>
    </row>
    <row r="75" spans="1:27" s="14" customFormat="1">
      <c r="A75" s="251" t="s">
        <v>818</v>
      </c>
      <c r="B75" s="2124" t="str">
        <f t="shared" ref="B75:K75" si="35">IFERROR(B57*1000/B40,"NA")</f>
        <v>NA</v>
      </c>
      <c r="C75" s="2124" t="str">
        <f t="shared" si="35"/>
        <v>NA</v>
      </c>
      <c r="D75" s="2124" t="str">
        <f t="shared" si="35"/>
        <v>NA</v>
      </c>
      <c r="E75" s="2124" t="str">
        <f t="shared" si="35"/>
        <v>NA</v>
      </c>
      <c r="F75" s="2124" t="str">
        <f t="shared" si="35"/>
        <v>NA</v>
      </c>
      <c r="G75" s="2124" t="str">
        <f t="shared" si="35"/>
        <v>NA</v>
      </c>
      <c r="H75" s="2124" t="str">
        <f t="shared" si="35"/>
        <v>NA</v>
      </c>
      <c r="I75" s="2124" t="str">
        <f t="shared" si="35"/>
        <v>NA</v>
      </c>
      <c r="J75" s="2124" t="str">
        <f t="shared" si="35"/>
        <v>NA</v>
      </c>
      <c r="K75" s="2124" t="str">
        <f t="shared" si="35"/>
        <v>NA</v>
      </c>
      <c r="L75" s="1066">
        <f t="shared" ref="L75:Q75" si="36">+L57*1000/L40</f>
        <v>129.8590021691974</v>
      </c>
      <c r="M75" s="1066">
        <f t="shared" si="36"/>
        <v>110.63753007217322</v>
      </c>
      <c r="N75" s="1066">
        <f t="shared" si="36"/>
        <v>170.40675364543361</v>
      </c>
      <c r="O75" s="1066">
        <f t="shared" si="36"/>
        <v>173.45230078563412</v>
      </c>
      <c r="P75" s="1066">
        <f t="shared" si="36"/>
        <v>295.95305164319251</v>
      </c>
      <c r="Q75" s="1066">
        <f t="shared" si="36"/>
        <v>223.25914340712222</v>
      </c>
      <c r="R75" s="1066">
        <f t="shared" ref="R75" si="37">+R57*1000/R40</f>
        <v>166.30836522689995</v>
      </c>
      <c r="S75" s="390"/>
      <c r="T75" s="390"/>
      <c r="U75" s="390"/>
      <c r="V75" s="390"/>
      <c r="W75" s="390"/>
      <c r="X75" s="390"/>
    </row>
    <row r="76" spans="1:27">
      <c r="A76" s="54"/>
      <c r="B76" s="54"/>
      <c r="C76" s="54"/>
      <c r="D76" s="54"/>
      <c r="E76" s="54"/>
      <c r="F76" s="54"/>
      <c r="G76" s="472"/>
      <c r="H76" s="472"/>
      <c r="I76" s="472"/>
      <c r="J76" s="472"/>
      <c r="K76" s="472"/>
      <c r="L76" s="472"/>
      <c r="M76" s="472"/>
      <c r="N76" s="472"/>
      <c r="O76" s="472"/>
      <c r="P76" s="472"/>
      <c r="Q76" s="472"/>
      <c r="R76" s="472"/>
      <c r="S76" s="472"/>
      <c r="T76" s="472"/>
      <c r="U76" s="472"/>
      <c r="V76" s="472"/>
      <c r="W76" s="389"/>
      <c r="X76" s="389"/>
    </row>
    <row r="77" spans="1:27" s="767" customFormat="1">
      <c r="A77" s="786" t="s">
        <v>395</v>
      </c>
      <c r="B77" s="258"/>
      <c r="C77" s="258"/>
      <c r="D77" s="258"/>
      <c r="E77" s="258"/>
      <c r="F77" s="258"/>
      <c r="G77" s="677"/>
      <c r="H77" s="677"/>
      <c r="I77" s="677"/>
      <c r="J77" s="677"/>
      <c r="K77" s="677"/>
      <c r="L77" s="677"/>
      <c r="M77" s="677"/>
      <c r="N77" s="677"/>
      <c r="O77" s="677"/>
      <c r="P77" s="677"/>
      <c r="Q77" s="677"/>
      <c r="R77" s="677"/>
      <c r="S77" s="677"/>
      <c r="T77" s="677"/>
      <c r="U77" s="677"/>
      <c r="V77" s="677"/>
      <c r="W77" s="766"/>
      <c r="X77" s="766"/>
    </row>
    <row r="78" spans="1:27" s="346" customFormat="1">
      <c r="A78" s="936" t="s">
        <v>54</v>
      </c>
      <c r="B78" s="883" t="s">
        <v>972</v>
      </c>
      <c r="C78" s="883" t="s">
        <v>972</v>
      </c>
      <c r="D78" s="883" t="s">
        <v>972</v>
      </c>
      <c r="E78" s="883" t="s">
        <v>972</v>
      </c>
      <c r="F78" s="883" t="s">
        <v>972</v>
      </c>
      <c r="G78" s="772" t="s">
        <v>972</v>
      </c>
      <c r="H78" s="772" t="s">
        <v>972</v>
      </c>
      <c r="I78" s="772" t="s">
        <v>972</v>
      </c>
      <c r="J78" s="772" t="s">
        <v>972</v>
      </c>
      <c r="K78" s="772">
        <v>-235.63200000000001</v>
      </c>
      <c r="L78" s="772">
        <v>-256.96800000000002</v>
      </c>
      <c r="M78" s="772">
        <v>-326.22199999999998</v>
      </c>
      <c r="N78" s="772">
        <v>-392.18200000000002</v>
      </c>
      <c r="O78" s="772">
        <v>-414.01499999999999</v>
      </c>
      <c r="P78" s="772">
        <v>-467.78699999999998</v>
      </c>
      <c r="Q78" s="772">
        <v>-571.72</v>
      </c>
      <c r="R78" s="346">
        <v>-703.12199999999996</v>
      </c>
      <c r="S78" s="772"/>
      <c r="T78" s="772"/>
      <c r="U78" s="772"/>
      <c r="V78" s="772"/>
      <c r="W78" s="773"/>
      <c r="X78" s="773"/>
    </row>
    <row r="79" spans="1:27" s="346" customFormat="1">
      <c r="A79" s="936" t="s">
        <v>42</v>
      </c>
      <c r="B79" s="883" t="s">
        <v>972</v>
      </c>
      <c r="C79" s="883" t="s">
        <v>972</v>
      </c>
      <c r="D79" s="883" t="s">
        <v>972</v>
      </c>
      <c r="E79" s="883" t="s">
        <v>972</v>
      </c>
      <c r="F79" s="883" t="s">
        <v>972</v>
      </c>
      <c r="G79" s="772" t="s">
        <v>972</v>
      </c>
      <c r="H79" s="772" t="s">
        <v>972</v>
      </c>
      <c r="I79" s="772" t="s">
        <v>972</v>
      </c>
      <c r="J79" s="772" t="s">
        <v>972</v>
      </c>
      <c r="K79" s="772">
        <v>-291.16699999999997</v>
      </c>
      <c r="L79" s="772">
        <v>-227.815</v>
      </c>
      <c r="M79" s="772">
        <v>-284.202</v>
      </c>
      <c r="N79" s="772">
        <v>-311.94900000000001</v>
      </c>
      <c r="O79" s="772">
        <v>-433.11099999999999</v>
      </c>
      <c r="P79" s="772">
        <v>-484.74900000000002</v>
      </c>
      <c r="Q79" s="772">
        <v>-626.08299999999997</v>
      </c>
      <c r="R79" s="772">
        <f>-602.211-26.87</f>
        <v>-629.08100000000002</v>
      </c>
      <c r="S79" s="772"/>
      <c r="T79" s="772"/>
      <c r="U79" s="772"/>
      <c r="V79" s="772"/>
      <c r="W79" s="773"/>
      <c r="X79" s="773"/>
    </row>
    <row r="80" spans="1:27" s="346" customFormat="1">
      <c r="A80" s="936" t="s">
        <v>1052</v>
      </c>
      <c r="B80" s="883"/>
      <c r="C80" s="883"/>
      <c r="D80" s="883"/>
      <c r="E80" s="883"/>
      <c r="F80" s="2505"/>
      <c r="G80" s="2506"/>
      <c r="H80" s="2506"/>
      <c r="I80" s="2506"/>
      <c r="J80" s="2506"/>
      <c r="K80" s="2506"/>
      <c r="L80" s="2506"/>
      <c r="M80" s="2506"/>
      <c r="N80" s="2506"/>
      <c r="O80" s="2506"/>
      <c r="P80" s="2506"/>
      <c r="Q80" s="772">
        <v>-44.832999999999998</v>
      </c>
      <c r="R80" s="772">
        <v>-46.042999999999999</v>
      </c>
      <c r="S80" s="772"/>
      <c r="T80" s="772"/>
      <c r="U80" s="772"/>
      <c r="V80" s="772"/>
      <c r="W80" s="773"/>
      <c r="X80" s="773"/>
    </row>
    <row r="81" spans="1:24" s="346" customFormat="1">
      <c r="A81" s="936" t="s">
        <v>46</v>
      </c>
      <c r="B81" s="883" t="s">
        <v>972</v>
      </c>
      <c r="C81" s="883" t="s">
        <v>972</v>
      </c>
      <c r="D81" s="883" t="s">
        <v>972</v>
      </c>
      <c r="E81" s="883" t="s">
        <v>972</v>
      </c>
      <c r="F81" s="883" t="s">
        <v>972</v>
      </c>
      <c r="G81" s="772" t="s">
        <v>972</v>
      </c>
      <c r="H81" s="772" t="s">
        <v>972</v>
      </c>
      <c r="I81" s="772" t="s">
        <v>972</v>
      </c>
      <c r="J81" s="772" t="s">
        <v>972</v>
      </c>
      <c r="K81" s="772">
        <v>-57.762999999999998</v>
      </c>
      <c r="L81" s="772">
        <v>-49.155999999999999</v>
      </c>
      <c r="M81" s="772">
        <v>-65.814999999999998</v>
      </c>
      <c r="N81" s="772">
        <v>-91.042000000000002</v>
      </c>
      <c r="O81" s="772">
        <v>-149.578</v>
      </c>
      <c r="P81" s="772">
        <v>-70.710999999999999</v>
      </c>
      <c r="Q81" s="772">
        <f>-6.581-32.572</f>
        <v>-39.153000000000006</v>
      </c>
      <c r="R81" s="772">
        <f>-3.473-41.549</f>
        <v>-45.021999999999998</v>
      </c>
      <c r="S81" s="772"/>
      <c r="T81" s="772"/>
      <c r="U81" s="772"/>
      <c r="V81" s="772"/>
      <c r="W81" s="773"/>
      <c r="X81" s="773"/>
    </row>
    <row r="82" spans="1:24" s="346" customFormat="1">
      <c r="A82" s="786" t="s">
        <v>138</v>
      </c>
      <c r="B82" s="881"/>
      <c r="C82" s="881"/>
      <c r="D82" s="881"/>
      <c r="E82" s="881">
        <v>-366.16800000000001</v>
      </c>
      <c r="F82" s="881">
        <v>-432.89</v>
      </c>
      <c r="G82" s="774">
        <v>-459.755</v>
      </c>
      <c r="H82" s="774">
        <v>-436.584</v>
      </c>
      <c r="I82" s="774">
        <v>-450.43099999999998</v>
      </c>
      <c r="J82" s="774">
        <v>-461.43099999999998</v>
      </c>
      <c r="K82" s="774">
        <f t="shared" ref="K82:R82" si="38">SUM(K78:K81)</f>
        <v>-584.56200000000001</v>
      </c>
      <c r="L82" s="774">
        <f t="shared" si="38"/>
        <v>-533.93899999999996</v>
      </c>
      <c r="M82" s="774">
        <f t="shared" si="38"/>
        <v>-676.23900000000003</v>
      </c>
      <c r="N82" s="774">
        <f t="shared" si="38"/>
        <v>-795.17300000000012</v>
      </c>
      <c r="O82" s="774">
        <f t="shared" si="38"/>
        <v>-996.70399999999995</v>
      </c>
      <c r="P82" s="774">
        <f t="shared" si="38"/>
        <v>-1023.2470000000001</v>
      </c>
      <c r="Q82" s="774">
        <f t="shared" si="38"/>
        <v>-1281.789</v>
      </c>
      <c r="R82" s="774">
        <f t="shared" si="38"/>
        <v>-1423.2679999999998</v>
      </c>
      <c r="S82" s="768"/>
      <c r="T82" s="768"/>
      <c r="U82" s="768"/>
      <c r="V82" s="768"/>
      <c r="W82" s="769"/>
      <c r="X82" s="769"/>
    </row>
    <row r="83" spans="1:24" s="346" customFormat="1">
      <c r="A83" s="931"/>
      <c r="B83" s="1890"/>
      <c r="C83" s="1890"/>
      <c r="D83" s="1890"/>
      <c r="E83" s="1890"/>
      <c r="F83" s="1890"/>
      <c r="G83" s="1137"/>
      <c r="H83" s="1137"/>
      <c r="I83" s="1137"/>
      <c r="J83" s="1137"/>
      <c r="K83" s="1137"/>
      <c r="L83" s="1137"/>
      <c r="M83" s="1137"/>
      <c r="N83" s="1137"/>
      <c r="O83" s="1137"/>
      <c r="P83" s="1137"/>
      <c r="Q83" s="1137"/>
      <c r="R83" s="768"/>
      <c r="S83" s="768"/>
      <c r="T83" s="768"/>
      <c r="U83" s="768"/>
      <c r="V83" s="768"/>
      <c r="W83" s="769"/>
      <c r="X83" s="769"/>
    </row>
    <row r="84" spans="1:24" s="346" customFormat="1">
      <c r="A84" s="786" t="s">
        <v>899</v>
      </c>
      <c r="B84" s="882"/>
      <c r="C84" s="882"/>
      <c r="D84" s="882"/>
      <c r="E84" s="882"/>
      <c r="F84" s="882"/>
      <c r="G84" s="768"/>
      <c r="H84" s="768"/>
      <c r="I84" s="768"/>
      <c r="J84" s="768"/>
      <c r="K84" s="768"/>
      <c r="L84" s="768"/>
      <c r="M84" s="768"/>
      <c r="N84" s="768"/>
      <c r="O84" s="768"/>
      <c r="P84" s="768"/>
      <c r="Q84" s="768"/>
      <c r="R84" s="768"/>
      <c r="S84" s="768"/>
      <c r="T84" s="768"/>
      <c r="U84" s="768"/>
      <c r="V84" s="768"/>
      <c r="W84" s="769"/>
      <c r="X84" s="769"/>
    </row>
    <row r="85" spans="1:24" s="346" customFormat="1">
      <c r="A85" s="936" t="s">
        <v>814</v>
      </c>
      <c r="B85" s="883" t="s">
        <v>972</v>
      </c>
      <c r="C85" s="883" t="s">
        <v>972</v>
      </c>
      <c r="D85" s="883" t="s">
        <v>972</v>
      </c>
      <c r="E85" s="883" t="s">
        <v>972</v>
      </c>
      <c r="F85" s="883" t="s">
        <v>972</v>
      </c>
      <c r="G85" s="883" t="s">
        <v>972</v>
      </c>
      <c r="H85" s="883" t="s">
        <v>972</v>
      </c>
      <c r="I85" s="883" t="s">
        <v>972</v>
      </c>
      <c r="J85" s="883" t="s">
        <v>972</v>
      </c>
      <c r="K85" s="772" t="s">
        <v>972</v>
      </c>
      <c r="L85" s="772" t="s">
        <v>972</v>
      </c>
      <c r="M85" s="775">
        <v>-395.1</v>
      </c>
      <c r="N85" s="775">
        <v>-401.7</v>
      </c>
      <c r="O85" s="775">
        <v>-417.7</v>
      </c>
      <c r="P85" s="775">
        <v>-397.4</v>
      </c>
      <c r="Q85" s="775">
        <v>-476.1</v>
      </c>
      <c r="R85" s="775">
        <v>-535.20000000000005</v>
      </c>
      <c r="S85" s="775"/>
      <c r="T85" s="768"/>
      <c r="U85" s="768"/>
      <c r="V85" s="768"/>
      <c r="W85" s="769"/>
      <c r="X85" s="769"/>
    </row>
    <row r="86" spans="1:24" s="346" customFormat="1">
      <c r="A86" s="936" t="s">
        <v>893</v>
      </c>
      <c r="B86" s="883" t="s">
        <v>972</v>
      </c>
      <c r="C86" s="883" t="s">
        <v>972</v>
      </c>
      <c r="D86" s="883" t="s">
        <v>972</v>
      </c>
      <c r="E86" s="883" t="s">
        <v>972</v>
      </c>
      <c r="F86" s="883" t="s">
        <v>972</v>
      </c>
      <c r="G86" s="883" t="s">
        <v>972</v>
      </c>
      <c r="H86" s="883" t="s">
        <v>972</v>
      </c>
      <c r="I86" s="883" t="s">
        <v>972</v>
      </c>
      <c r="J86" s="883" t="s">
        <v>972</v>
      </c>
      <c r="K86" s="772" t="s">
        <v>972</v>
      </c>
      <c r="L86" s="772" t="s">
        <v>972</v>
      </c>
      <c r="M86" s="775">
        <v>-707.9</v>
      </c>
      <c r="N86" s="775">
        <v>-691.9</v>
      </c>
      <c r="O86" s="775">
        <v>-678.2</v>
      </c>
      <c r="P86" s="775">
        <v>-679.5</v>
      </c>
      <c r="Q86" s="775">
        <v>-784</v>
      </c>
      <c r="R86" s="775">
        <v>-880.9</v>
      </c>
      <c r="S86" s="775"/>
      <c r="T86" s="768"/>
      <c r="U86" s="768"/>
      <c r="V86" s="768"/>
      <c r="W86" s="769"/>
      <c r="X86" s="769"/>
    </row>
    <row r="87" spans="1:24">
      <c r="A87" s="54"/>
      <c r="B87" s="472"/>
      <c r="C87" s="472"/>
      <c r="D87" s="472"/>
      <c r="E87" s="472"/>
      <c r="F87" s="472"/>
      <c r="G87" s="472"/>
      <c r="H87" s="472"/>
      <c r="I87" s="472"/>
      <c r="J87" s="472"/>
      <c r="K87" s="472"/>
      <c r="L87" s="472"/>
      <c r="M87" s="54"/>
      <c r="R87" s="472"/>
      <c r="S87" s="472"/>
      <c r="T87" s="472"/>
      <c r="U87" s="472"/>
      <c r="V87" s="472"/>
      <c r="W87" s="756"/>
      <c r="X87" s="756"/>
    </row>
    <row r="88" spans="1:24">
      <c r="A88" s="786" t="s">
        <v>900</v>
      </c>
      <c r="B88" s="54"/>
      <c r="C88" s="54"/>
      <c r="D88" s="54"/>
      <c r="E88" s="54"/>
      <c r="F88" s="54"/>
      <c r="G88" s="54"/>
      <c r="H88" s="54"/>
      <c r="I88" s="54"/>
      <c r="J88" s="54"/>
      <c r="K88" s="472"/>
      <c r="L88" s="472"/>
      <c r="M88" s="472"/>
      <c r="R88" s="472"/>
      <c r="S88" s="472"/>
      <c r="T88" s="472"/>
      <c r="U88" s="472"/>
      <c r="V88" s="472"/>
      <c r="W88" s="756"/>
      <c r="X88" s="756"/>
    </row>
    <row r="89" spans="1:24">
      <c r="A89" s="936" t="s">
        <v>814</v>
      </c>
      <c r="B89" s="861" t="s">
        <v>972</v>
      </c>
      <c r="C89" s="861" t="s">
        <v>972</v>
      </c>
      <c r="D89" s="861" t="s">
        <v>972</v>
      </c>
      <c r="E89" s="861" t="s">
        <v>972</v>
      </c>
      <c r="F89" s="861" t="s">
        <v>972</v>
      </c>
      <c r="G89" s="861" t="s">
        <v>972</v>
      </c>
      <c r="H89" s="861" t="s">
        <v>972</v>
      </c>
      <c r="I89" s="861" t="s">
        <v>972</v>
      </c>
      <c r="J89" s="861" t="s">
        <v>972</v>
      </c>
      <c r="K89" s="195">
        <f t="shared" ref="K89:Q89" si="39">K78/K49*1000</f>
        <v>-404.69005741490383</v>
      </c>
      <c r="L89" s="195">
        <f t="shared" si="39"/>
        <v>-365.96005269341691</v>
      </c>
      <c r="M89" s="195">
        <f t="shared" si="39"/>
        <v>-425.49567163653484</v>
      </c>
      <c r="N89" s="196">
        <f t="shared" si="39"/>
        <v>-412.68154296525614</v>
      </c>
      <c r="O89" s="196">
        <f t="shared" si="39"/>
        <v>-468.19764009797865</v>
      </c>
      <c r="P89" s="196">
        <f t="shared" si="39"/>
        <v>-429.49849744800287</v>
      </c>
      <c r="Q89" s="196">
        <f t="shared" si="39"/>
        <v>-454.2038403787945</v>
      </c>
      <c r="R89" s="196">
        <f t="shared" ref="R89" si="40">R78/R49*1000</f>
        <v>-427.52594808558757</v>
      </c>
      <c r="S89" s="472"/>
      <c r="T89" s="472"/>
      <c r="U89" s="472"/>
      <c r="V89" s="472"/>
      <c r="W89" s="756"/>
      <c r="X89" s="756"/>
    </row>
    <row r="90" spans="1:24">
      <c r="A90" s="936" t="s">
        <v>893</v>
      </c>
      <c r="B90" s="861" t="s">
        <v>972</v>
      </c>
      <c r="C90" s="861" t="s">
        <v>972</v>
      </c>
      <c r="D90" s="861" t="s">
        <v>972</v>
      </c>
      <c r="E90" s="861" t="s">
        <v>972</v>
      </c>
      <c r="F90" s="861" t="s">
        <v>972</v>
      </c>
      <c r="G90" s="861" t="s">
        <v>972</v>
      </c>
      <c r="H90" s="861" t="s">
        <v>972</v>
      </c>
      <c r="I90" s="861" t="s">
        <v>972</v>
      </c>
      <c r="J90" s="861" t="s">
        <v>972</v>
      </c>
      <c r="K90" s="195">
        <f t="shared" ref="K90:Q90" si="41">K79/K52*1000</f>
        <v>-556.89716508746494</v>
      </c>
      <c r="L90" s="195">
        <f t="shared" si="41"/>
        <v>-437.29928842768811</v>
      </c>
      <c r="M90" s="195">
        <f t="shared" si="41"/>
        <v>-562.69823984794186</v>
      </c>
      <c r="N90" s="196">
        <f t="shared" si="41"/>
        <v>-571.16151499727198</v>
      </c>
      <c r="O90" s="196">
        <f t="shared" si="41"/>
        <v>-514.91381267885095</v>
      </c>
      <c r="P90" s="196">
        <f t="shared" si="41"/>
        <v>-503.65991897786176</v>
      </c>
      <c r="Q90" s="196">
        <f t="shared" si="41"/>
        <v>-480.9873838216065</v>
      </c>
      <c r="R90" s="196">
        <f t="shared" ref="R90" si="42">R79/R52*1000</f>
        <v>-507.78325854786232</v>
      </c>
      <c r="S90" s="472"/>
      <c r="T90" s="472"/>
      <c r="U90" s="472"/>
      <c r="V90" s="472"/>
      <c r="W90" s="756"/>
      <c r="X90" s="756"/>
    </row>
    <row r="91" spans="1:24">
      <c r="A91" s="54"/>
      <c r="B91" s="54"/>
      <c r="C91" s="54"/>
      <c r="D91" s="54"/>
      <c r="E91" s="54"/>
      <c r="F91" s="54"/>
      <c r="G91" s="54"/>
      <c r="H91" s="54"/>
      <c r="I91" s="54"/>
      <c r="J91" s="54"/>
      <c r="K91" s="472"/>
      <c r="L91" s="472"/>
      <c r="M91" s="472"/>
      <c r="R91" s="472"/>
      <c r="S91" s="472"/>
      <c r="T91" s="472"/>
      <c r="U91" s="472"/>
      <c r="V91" s="472"/>
      <c r="W91" s="756"/>
      <c r="X91" s="756"/>
    </row>
    <row r="92" spans="1:24">
      <c r="A92" s="786" t="s">
        <v>901</v>
      </c>
      <c r="B92" s="54"/>
      <c r="C92" s="54"/>
      <c r="D92" s="54"/>
      <c r="E92" s="54"/>
      <c r="F92" s="54"/>
      <c r="G92" s="54"/>
      <c r="H92" s="54"/>
      <c r="I92" s="54"/>
      <c r="J92" s="54"/>
      <c r="K92" s="472"/>
      <c r="L92" s="472"/>
      <c r="M92" s="472"/>
      <c r="R92" s="472"/>
      <c r="S92" s="472"/>
      <c r="T92" s="472"/>
      <c r="U92" s="472"/>
      <c r="V92" s="472"/>
      <c r="W92" s="756"/>
      <c r="X92" s="756"/>
    </row>
    <row r="93" spans="1:24">
      <c r="A93" s="936" t="s">
        <v>814</v>
      </c>
      <c r="B93" s="861" t="s">
        <v>972</v>
      </c>
      <c r="C93" s="861" t="s">
        <v>972</v>
      </c>
      <c r="D93" s="861" t="s">
        <v>972</v>
      </c>
      <c r="E93" s="861" t="s">
        <v>972</v>
      </c>
      <c r="F93" s="861" t="s">
        <v>972</v>
      </c>
      <c r="G93" s="861" t="s">
        <v>972</v>
      </c>
      <c r="H93" s="861" t="s">
        <v>972</v>
      </c>
      <c r="I93" s="861" t="s">
        <v>972</v>
      </c>
      <c r="J93" s="861" t="s">
        <v>972</v>
      </c>
      <c r="K93" s="197">
        <f t="shared" ref="K93:Q93" si="43">K78/K17*1000</f>
        <v>-335.65811965811963</v>
      </c>
      <c r="L93" s="197">
        <f t="shared" si="43"/>
        <v>-294.35051546391753</v>
      </c>
      <c r="M93" s="197">
        <f t="shared" si="43"/>
        <v>-421.47545219638238</v>
      </c>
      <c r="N93" s="198">
        <f t="shared" si="43"/>
        <v>-404.72858617131061</v>
      </c>
      <c r="O93" s="198">
        <f t="shared" si="43"/>
        <v>-419.89350912778906</v>
      </c>
      <c r="P93" s="198">
        <f t="shared" si="43"/>
        <v>-380.00568643379364</v>
      </c>
      <c r="Q93" s="198">
        <f t="shared" si="43"/>
        <v>-464.8130081300813</v>
      </c>
      <c r="R93" s="198">
        <f t="shared" ref="R93" si="44">R78/R17*1000</f>
        <v>-540.44734819369705</v>
      </c>
      <c r="S93" s="472"/>
      <c r="T93" s="472"/>
      <c r="U93" s="472"/>
      <c r="V93" s="472"/>
      <c r="W93" s="756"/>
      <c r="X93" s="756"/>
    </row>
    <row r="94" spans="1:24">
      <c r="A94" s="936" t="s">
        <v>893</v>
      </c>
      <c r="B94" s="861" t="s">
        <v>972</v>
      </c>
      <c r="C94" s="861" t="s">
        <v>972</v>
      </c>
      <c r="D94" s="861" t="s">
        <v>972</v>
      </c>
      <c r="E94" s="861" t="s">
        <v>972</v>
      </c>
      <c r="F94" s="861" t="s">
        <v>972</v>
      </c>
      <c r="G94" s="861" t="s">
        <v>972</v>
      </c>
      <c r="H94" s="861" t="s">
        <v>972</v>
      </c>
      <c r="I94" s="861" t="s">
        <v>972</v>
      </c>
      <c r="J94" s="861" t="s">
        <v>972</v>
      </c>
      <c r="K94" s="197">
        <f t="shared" ref="K94:Q94" si="45">K79/(K18+K19)*1000</f>
        <v>-491.00674536256315</v>
      </c>
      <c r="L94" s="197">
        <f t="shared" si="45"/>
        <v>-403.21238938053096</v>
      </c>
      <c r="M94" s="197">
        <f t="shared" si="45"/>
        <v>-749.8733509234828</v>
      </c>
      <c r="N94" s="198">
        <f t="shared" si="45"/>
        <v>-691.68292682926835</v>
      </c>
      <c r="O94" s="198">
        <f t="shared" si="45"/>
        <v>-676.73593749999998</v>
      </c>
      <c r="P94" s="198">
        <f t="shared" si="45"/>
        <v>-612.83059418457651</v>
      </c>
      <c r="Q94" s="198">
        <f t="shared" si="45"/>
        <v>-833.66577896138483</v>
      </c>
      <c r="R94" s="198">
        <f t="shared" ref="R94" si="46">R79/(R18+R19)*1000</f>
        <v>-943.14992503748135</v>
      </c>
      <c r="S94" s="472"/>
      <c r="T94" s="472"/>
      <c r="U94" s="472"/>
      <c r="V94" s="472"/>
      <c r="W94" s="756"/>
      <c r="X94" s="756"/>
    </row>
    <row r="95" spans="1:24">
      <c r="A95" s="54"/>
      <c r="B95" s="54"/>
      <c r="C95" s="54"/>
      <c r="D95" s="54"/>
      <c r="E95" s="54"/>
      <c r="F95" s="54"/>
      <c r="G95" s="54"/>
      <c r="H95" s="54"/>
      <c r="I95" s="54"/>
      <c r="J95" s="54"/>
      <c r="K95" s="472"/>
      <c r="L95" s="472"/>
      <c r="M95" s="472"/>
      <c r="R95" s="472"/>
      <c r="S95" s="472"/>
      <c r="T95" s="472"/>
      <c r="U95" s="472"/>
      <c r="V95" s="472"/>
      <c r="W95" s="756"/>
      <c r="X95" s="756"/>
    </row>
    <row r="96" spans="1:24">
      <c r="A96" s="786" t="s">
        <v>906</v>
      </c>
      <c r="B96" s="54"/>
      <c r="C96" s="54"/>
      <c r="D96" s="54"/>
      <c r="E96" s="54"/>
      <c r="F96" s="54"/>
      <c r="G96" s="54"/>
      <c r="H96" s="54"/>
      <c r="I96" s="54"/>
      <c r="J96" s="54"/>
      <c r="K96" s="472"/>
      <c r="L96" s="472"/>
      <c r="M96" s="472"/>
      <c r="R96" s="472"/>
      <c r="S96" s="472"/>
      <c r="T96" s="472"/>
      <c r="U96" s="472"/>
      <c r="V96" s="472"/>
      <c r="W96" s="756"/>
      <c r="X96" s="756"/>
    </row>
    <row r="97" spans="1:24">
      <c r="A97" s="454" t="s">
        <v>907</v>
      </c>
      <c r="B97" s="861" t="s">
        <v>972</v>
      </c>
      <c r="C97" s="861" t="s">
        <v>972</v>
      </c>
      <c r="D97" s="861" t="s">
        <v>972</v>
      </c>
      <c r="E97" s="861" t="s">
        <v>972</v>
      </c>
      <c r="F97" s="861" t="s">
        <v>972</v>
      </c>
      <c r="G97" s="785">
        <f t="shared" ref="G97:M97" si="47">SUM(G98:G100)</f>
        <v>-99.22</v>
      </c>
      <c r="H97" s="785">
        <f t="shared" si="47"/>
        <v>-228.22500000000002</v>
      </c>
      <c r="I97" s="785">
        <f t="shared" si="47"/>
        <v>-497.62399999999997</v>
      </c>
      <c r="J97" s="785">
        <f t="shared" si="47"/>
        <v>-442.93899999999996</v>
      </c>
      <c r="K97" s="785">
        <f t="shared" si="47"/>
        <v>-383.01799999999997</v>
      </c>
      <c r="L97" s="785">
        <f t="shared" si="47"/>
        <v>-421.20400000000001</v>
      </c>
      <c r="M97" s="785">
        <f t="shared" si="47"/>
        <v>-466.89099999999996</v>
      </c>
      <c r="N97" s="785">
        <v>-420.779</v>
      </c>
      <c r="O97" s="785">
        <v>-442.11</v>
      </c>
      <c r="P97" s="785">
        <f>+SUM(P98:P100)</f>
        <v>-626.80200000000002</v>
      </c>
      <c r="Q97" s="785">
        <f>+SUM(Q98:Q100)</f>
        <v>-675.596</v>
      </c>
      <c r="R97" s="785">
        <f>+SUM(R98:R100)</f>
        <v>-792.11199999999997</v>
      </c>
      <c r="S97" s="472"/>
      <c r="T97" s="472"/>
      <c r="U97" s="472"/>
      <c r="V97" s="472"/>
      <c r="W97" s="756"/>
      <c r="X97" s="756"/>
    </row>
    <row r="98" spans="1:24" s="1401" customFormat="1">
      <c r="A98" s="2437" t="s">
        <v>922</v>
      </c>
      <c r="B98" s="861"/>
      <c r="C98" s="861"/>
      <c r="D98" s="861"/>
      <c r="E98" s="861"/>
      <c r="F98" s="861"/>
      <c r="G98" s="861">
        <f>-(53.782+0.187)</f>
        <v>-53.968999999999994</v>
      </c>
      <c r="H98" s="861">
        <f>-(65.671+27.444)</f>
        <v>-93.115000000000009</v>
      </c>
      <c r="I98" s="861">
        <f>-(62.429+64.355)</f>
        <v>-126.78400000000001</v>
      </c>
      <c r="J98" s="861">
        <f>-(81.967+63.159)</f>
        <v>-145.126</v>
      </c>
      <c r="K98" s="772">
        <f>-(78.006+55.355)</f>
        <v>-133.36099999999999</v>
      </c>
      <c r="L98" s="772">
        <f>-(74.023+52.936)</f>
        <v>-126.959</v>
      </c>
      <c r="M98" s="772">
        <f>-(96.824+44.225+8.418)</f>
        <v>-149.46700000000001</v>
      </c>
      <c r="N98" s="772">
        <v>-140.76400000000001</v>
      </c>
      <c r="O98" s="772">
        <v>-145.476</v>
      </c>
      <c r="P98" s="772">
        <v>-186.321</v>
      </c>
      <c r="Q98" s="772">
        <v>-207.44300000000001</v>
      </c>
      <c r="R98" s="772">
        <v>-217.14099999999999</v>
      </c>
      <c r="S98" s="472"/>
      <c r="T98" s="472"/>
      <c r="U98" s="472"/>
      <c r="V98" s="472"/>
      <c r="W98" s="756"/>
      <c r="X98" s="756"/>
    </row>
    <row r="99" spans="1:24" s="1401" customFormat="1">
      <c r="A99" s="2437" t="s">
        <v>1766</v>
      </c>
      <c r="B99" s="861"/>
      <c r="C99" s="861"/>
      <c r="D99" s="861"/>
      <c r="E99" s="861"/>
      <c r="F99" s="861"/>
      <c r="G99" s="861">
        <f>-(35.595+9.656)</f>
        <v>-45.250999999999998</v>
      </c>
      <c r="H99" s="861">
        <f>-(76.673+58.437)</f>
        <v>-135.11000000000001</v>
      </c>
      <c r="I99" s="861">
        <f>-(91.467+279.373)</f>
        <v>-370.84</v>
      </c>
      <c r="J99" s="861">
        <f>-(102.158+195.655)</f>
        <v>-297.81299999999999</v>
      </c>
      <c r="K99" s="772">
        <f>-(115.286+40.587)</f>
        <v>-155.87299999999999</v>
      </c>
      <c r="L99" s="772">
        <f>-(100.493+75.649)</f>
        <v>-176.142</v>
      </c>
      <c r="M99" s="772">
        <f>-(106.534+40.794+11.523)</f>
        <v>-158.851</v>
      </c>
      <c r="N99" s="772">
        <v>-107.224</v>
      </c>
      <c r="O99" s="772">
        <v>-96.738</v>
      </c>
      <c r="P99" s="772">
        <v>-150.58600000000001</v>
      </c>
      <c r="Q99" s="772">
        <v>-157.149</v>
      </c>
      <c r="R99" s="772">
        <v>-207.75399999999999</v>
      </c>
      <c r="S99" s="472"/>
      <c r="T99" s="472"/>
      <c r="U99" s="472"/>
      <c r="V99" s="472"/>
      <c r="W99" s="756"/>
      <c r="X99" s="756"/>
    </row>
    <row r="100" spans="1:24" s="1401" customFormat="1">
      <c r="A100" s="2437" t="s">
        <v>1767</v>
      </c>
      <c r="B100" s="861"/>
      <c r="C100" s="861"/>
      <c r="D100" s="861"/>
      <c r="E100" s="861"/>
      <c r="F100" s="861"/>
      <c r="G100" s="861"/>
      <c r="H100" s="861"/>
      <c r="I100" s="861"/>
      <c r="J100" s="861"/>
      <c r="K100" s="772">
        <v>-93.784000000000006</v>
      </c>
      <c r="L100" s="772">
        <f>-(87.835+30.268)</f>
        <v>-118.10299999999999</v>
      </c>
      <c r="M100" s="772">
        <f>-(116.543+36.709+5.321)</f>
        <v>-158.57300000000001</v>
      </c>
      <c r="N100" s="772">
        <v>-172.79</v>
      </c>
      <c r="O100" s="772">
        <v>-199.89599999999999</v>
      </c>
      <c r="P100" s="772">
        <v>-289.89499999999998</v>
      </c>
      <c r="Q100" s="772">
        <v>-311.00400000000002</v>
      </c>
      <c r="R100" s="772">
        <v>-367.21699999999998</v>
      </c>
      <c r="S100" s="472"/>
      <c r="T100" s="472"/>
      <c r="U100" s="472"/>
      <c r="V100" s="472"/>
      <c r="W100" s="756"/>
      <c r="X100" s="756"/>
    </row>
    <row r="101" spans="1:24">
      <c r="A101" s="454" t="s">
        <v>909</v>
      </c>
      <c r="B101" s="861" t="s">
        <v>972</v>
      </c>
      <c r="C101" s="861" t="s">
        <v>972</v>
      </c>
      <c r="D101" s="861" t="s">
        <v>972</v>
      </c>
      <c r="E101" s="861" t="s">
        <v>972</v>
      </c>
      <c r="F101" s="861" t="s">
        <v>972</v>
      </c>
      <c r="G101" s="861" t="s">
        <v>972</v>
      </c>
      <c r="H101" s="861" t="s">
        <v>972</v>
      </c>
      <c r="I101" s="861" t="s">
        <v>972</v>
      </c>
      <c r="J101" s="861" t="s">
        <v>972</v>
      </c>
      <c r="K101" s="861" t="s">
        <v>972</v>
      </c>
      <c r="L101" s="861" t="s">
        <v>972</v>
      </c>
      <c r="M101" s="861" t="s">
        <v>972</v>
      </c>
      <c r="N101" s="772">
        <v>-32.942999999999998</v>
      </c>
      <c r="O101" s="772">
        <v>-44.298000000000002</v>
      </c>
      <c r="P101" s="772">
        <v>-60.195</v>
      </c>
      <c r="Q101" s="772">
        <v>-74.545000000000002</v>
      </c>
      <c r="R101" s="772">
        <v>-76.971999999999994</v>
      </c>
      <c r="S101" s="472"/>
      <c r="T101" s="472"/>
      <c r="U101" s="472"/>
      <c r="V101" s="472"/>
      <c r="W101" s="756"/>
      <c r="X101" s="756"/>
    </row>
    <row r="102" spans="1:24">
      <c r="A102" s="454" t="s">
        <v>908</v>
      </c>
      <c r="B102" s="861" t="s">
        <v>972</v>
      </c>
      <c r="C102" s="861" t="s">
        <v>972</v>
      </c>
      <c r="D102" s="861" t="s">
        <v>972</v>
      </c>
      <c r="E102" s="861" t="s">
        <v>972</v>
      </c>
      <c r="F102" s="861" t="s">
        <v>972</v>
      </c>
      <c r="G102" s="861">
        <f>-(27.675+0.317)</f>
        <v>-27.992000000000001</v>
      </c>
      <c r="H102" s="861">
        <f>-(68.721+5.97)</f>
        <v>-74.691000000000003</v>
      </c>
      <c r="I102" s="861">
        <v>-21.577000000000002</v>
      </c>
      <c r="J102" s="861">
        <v>-14.494</v>
      </c>
      <c r="K102" s="861">
        <v>-23.734999999999999</v>
      </c>
      <c r="L102" s="861">
        <v>-32.905000000000001</v>
      </c>
      <c r="M102" s="861">
        <v>-164.178</v>
      </c>
      <c r="N102" s="772">
        <v>-226.12</v>
      </c>
      <c r="O102" s="772">
        <v>-172.08099999999999</v>
      </c>
      <c r="P102" s="772">
        <v>-125.029</v>
      </c>
      <c r="Q102" s="772">
        <v>-89.674999999999997</v>
      </c>
      <c r="R102" s="772">
        <v>-107.82599999999999</v>
      </c>
      <c r="S102" s="472"/>
      <c r="T102" s="472"/>
      <c r="U102" s="472"/>
      <c r="V102" s="472"/>
      <c r="W102" s="756"/>
      <c r="X102" s="756"/>
    </row>
    <row r="103" spans="1:24">
      <c r="A103" s="787" t="s">
        <v>138</v>
      </c>
      <c r="B103" s="785">
        <f t="shared" ref="B103:F103" si="48">SUM(B97:B102)</f>
        <v>0</v>
      </c>
      <c r="C103" s="785">
        <f t="shared" si="48"/>
        <v>0</v>
      </c>
      <c r="D103" s="785">
        <f t="shared" si="48"/>
        <v>0</v>
      </c>
      <c r="E103" s="785">
        <f t="shared" si="48"/>
        <v>0</v>
      </c>
      <c r="F103" s="785">
        <f t="shared" si="48"/>
        <v>0</v>
      </c>
      <c r="G103" s="785">
        <f t="shared" ref="G103:L103" si="49">+G102+G97</f>
        <v>-127.212</v>
      </c>
      <c r="H103" s="785">
        <f t="shared" si="49"/>
        <v>-302.91600000000005</v>
      </c>
      <c r="I103" s="785">
        <f t="shared" si="49"/>
        <v>-519.20100000000002</v>
      </c>
      <c r="J103" s="785">
        <f t="shared" si="49"/>
        <v>-457.43299999999999</v>
      </c>
      <c r="K103" s="785">
        <f t="shared" si="49"/>
        <v>-406.75299999999999</v>
      </c>
      <c r="L103" s="785">
        <f t="shared" si="49"/>
        <v>-454.10900000000004</v>
      </c>
      <c r="M103" s="785">
        <f>+M102+M97</f>
        <v>-631.06899999999996</v>
      </c>
      <c r="N103" s="785">
        <f t="shared" ref="N103:P103" si="50">+N102+N101+N97</f>
        <v>-679.84199999999998</v>
      </c>
      <c r="O103" s="785">
        <f t="shared" si="50"/>
        <v>-658.48900000000003</v>
      </c>
      <c r="P103" s="785">
        <f t="shared" si="50"/>
        <v>-812.02600000000007</v>
      </c>
      <c r="Q103" s="785">
        <f>+Q102+Q101+Q97</f>
        <v>-839.81600000000003</v>
      </c>
      <c r="R103" s="785">
        <f t="shared" ref="R103" si="51">+R102+R101+R97</f>
        <v>-976.91</v>
      </c>
      <c r="S103" s="472"/>
      <c r="T103" s="472"/>
      <c r="U103" s="472"/>
      <c r="V103" s="472"/>
      <c r="W103" s="756"/>
      <c r="X103" s="756"/>
    </row>
    <row r="104" spans="1:24">
      <c r="A104" s="454"/>
      <c r="B104" s="54"/>
      <c r="C104" s="54"/>
      <c r="D104" s="54"/>
      <c r="E104" s="54"/>
      <c r="F104" s="54"/>
      <c r="G104" s="472"/>
      <c r="H104" s="472"/>
      <c r="I104" s="472"/>
      <c r="J104" s="472"/>
      <c r="K104" s="472"/>
      <c r="L104" s="472"/>
      <c r="M104" s="472"/>
      <c r="N104" s="1401"/>
      <c r="R104" s="1401"/>
      <c r="S104" s="472"/>
      <c r="T104" s="472"/>
      <c r="U104" s="472"/>
      <c r="V104" s="472"/>
      <c r="W104" s="756"/>
      <c r="X104" s="756"/>
    </row>
    <row r="105" spans="1:24">
      <c r="A105" s="454"/>
      <c r="B105" s="54"/>
      <c r="C105" s="54"/>
      <c r="D105" s="54"/>
      <c r="E105" s="54"/>
      <c r="F105" s="54"/>
      <c r="G105" s="1137"/>
      <c r="H105" s="472"/>
      <c r="I105" s="472"/>
      <c r="J105" s="472"/>
      <c r="K105" s="472"/>
      <c r="L105" s="472"/>
      <c r="M105" s="472"/>
      <c r="R105" s="1401"/>
      <c r="S105" s="472"/>
      <c r="T105" s="472"/>
      <c r="U105" s="472"/>
      <c r="V105" s="472"/>
      <c r="W105" s="756"/>
      <c r="X105" s="756"/>
    </row>
    <row r="106" spans="1:24">
      <c r="A106" s="189" t="s">
        <v>1001</v>
      </c>
      <c r="B106" s="861" t="s">
        <v>972</v>
      </c>
      <c r="C106" s="955">
        <f>D106</f>
        <v>100</v>
      </c>
      <c r="D106" s="955">
        <f>E106</f>
        <v>100</v>
      </c>
      <c r="E106" s="859">
        <v>100</v>
      </c>
      <c r="F106" s="859">
        <v>100</v>
      </c>
      <c r="G106" s="859">
        <v>100</v>
      </c>
      <c r="H106" s="859">
        <v>113</v>
      </c>
      <c r="I106" s="1138">
        <v>339</v>
      </c>
      <c r="J106" s="1138">
        <v>338.58300000000003</v>
      </c>
      <c r="K106" s="1138">
        <v>338.58300000000003</v>
      </c>
      <c r="L106" s="1138">
        <v>338.58300000000003</v>
      </c>
      <c r="M106" s="1138">
        <v>338.16300000000001</v>
      </c>
      <c r="N106" s="1138">
        <v>336.65100000000001</v>
      </c>
      <c r="O106" s="1138">
        <v>336.72899999999998</v>
      </c>
      <c r="P106" s="1138">
        <v>337.71</v>
      </c>
      <c r="Q106" s="1138">
        <v>338.928</v>
      </c>
      <c r="R106" s="1138">
        <v>339.98762099999999</v>
      </c>
      <c r="S106" s="2317"/>
      <c r="T106" s="472"/>
      <c r="U106" s="472"/>
      <c r="V106" s="472"/>
      <c r="W106" s="756"/>
      <c r="X106" s="756"/>
    </row>
    <row r="107" spans="1:24">
      <c r="A107" s="937" t="s">
        <v>1002</v>
      </c>
      <c r="B107" s="861" t="s">
        <v>972</v>
      </c>
      <c r="C107" s="861" t="s">
        <v>972</v>
      </c>
      <c r="D107" s="861" t="s">
        <v>972</v>
      </c>
      <c r="E107" s="941">
        <f t="shared" ref="E107:H108" si="52">E106</f>
        <v>100</v>
      </c>
      <c r="F107" s="941">
        <f t="shared" si="52"/>
        <v>100</v>
      </c>
      <c r="G107" s="941">
        <f t="shared" si="52"/>
        <v>100</v>
      </c>
      <c r="H107" s="940">
        <f t="shared" si="52"/>
        <v>113</v>
      </c>
      <c r="I107" s="1138">
        <f>(I106)</f>
        <v>339</v>
      </c>
      <c r="J107" s="1138">
        <v>338.58300000000003</v>
      </c>
      <c r="K107" s="1138">
        <v>338.58300000000003</v>
      </c>
      <c r="L107" s="1138">
        <v>338.58300000000003</v>
      </c>
      <c r="M107" s="1138">
        <f>(M106)</f>
        <v>338.16300000000001</v>
      </c>
      <c r="N107" s="1138">
        <v>337.101</v>
      </c>
      <c r="O107" s="1138">
        <v>337.45499999999998</v>
      </c>
      <c r="P107" s="1138">
        <v>338.58</v>
      </c>
      <c r="Q107" s="1138">
        <v>339.60599999999999</v>
      </c>
      <c r="R107" s="1138">
        <v>338.05900000000003</v>
      </c>
      <c r="S107" s="472"/>
      <c r="T107" s="472"/>
      <c r="U107" s="472"/>
      <c r="V107" s="472"/>
      <c r="W107" s="756"/>
      <c r="X107" s="756"/>
    </row>
    <row r="108" spans="1:24">
      <c r="A108" s="937" t="s">
        <v>1000</v>
      </c>
      <c r="B108" s="861" t="s">
        <v>972</v>
      </c>
      <c r="C108" s="861" t="s">
        <v>972</v>
      </c>
      <c r="D108" s="861" t="s">
        <v>972</v>
      </c>
      <c r="E108" s="859">
        <f>E107</f>
        <v>100</v>
      </c>
      <c r="F108" s="859">
        <f t="shared" si="52"/>
        <v>100</v>
      </c>
      <c r="G108" s="859">
        <f t="shared" si="52"/>
        <v>100</v>
      </c>
      <c r="H108" s="1138">
        <v>113</v>
      </c>
      <c r="I108" s="1138">
        <v>339</v>
      </c>
      <c r="J108" s="1138">
        <f t="shared" ref="J108:O108" si="53">(113-J110)*3</f>
        <v>338.58300000000003</v>
      </c>
      <c r="K108" s="1138">
        <f t="shared" si="53"/>
        <v>338.58300000000003</v>
      </c>
      <c r="L108" s="1138">
        <f t="shared" si="53"/>
        <v>338.58300000000003</v>
      </c>
      <c r="M108" s="1138">
        <f t="shared" si="53"/>
        <v>336.87419999999997</v>
      </c>
      <c r="N108" s="1138">
        <f t="shared" si="53"/>
        <v>336.69836699999996</v>
      </c>
      <c r="O108" s="1138">
        <f t="shared" si="53"/>
        <v>337.02708000000001</v>
      </c>
      <c r="P108" s="1138">
        <f>(113.329207-P110)*3</f>
        <v>338.75859600000001</v>
      </c>
      <c r="Q108" s="1138">
        <f>339.606-Q110</f>
        <v>338.99115399999999</v>
      </c>
      <c r="R108" s="1138">
        <f>339.987321-R110</f>
        <v>339.4441693</v>
      </c>
      <c r="S108" s="472"/>
      <c r="T108" s="472"/>
      <c r="U108" s="472"/>
      <c r="V108" s="472"/>
      <c r="W108" s="756"/>
      <c r="X108" s="756"/>
    </row>
    <row r="109" spans="1:24">
      <c r="A109" s="938" t="s">
        <v>1012</v>
      </c>
      <c r="B109" s="861" t="s">
        <v>972</v>
      </c>
      <c r="C109" s="861" t="s">
        <v>972</v>
      </c>
      <c r="D109" s="861" t="s">
        <v>972</v>
      </c>
      <c r="E109" s="1138">
        <v>0</v>
      </c>
      <c r="F109" s="1138">
        <v>0</v>
      </c>
      <c r="G109" s="1138">
        <v>0</v>
      </c>
      <c r="H109" s="1138">
        <v>0</v>
      </c>
      <c r="I109" s="1138">
        <v>0</v>
      </c>
      <c r="J109" s="859">
        <v>0</v>
      </c>
      <c r="K109" s="859">
        <v>0</v>
      </c>
      <c r="L109" s="859">
        <v>0</v>
      </c>
      <c r="M109" s="1138">
        <v>0.55893800000000005</v>
      </c>
      <c r="N109" s="859">
        <v>0.91027499999999995</v>
      </c>
      <c r="O109" s="859">
        <v>1.181516</v>
      </c>
      <c r="P109" s="859">
        <v>1.271639</v>
      </c>
      <c r="Q109" s="859">
        <v>0.99651000000000001</v>
      </c>
      <c r="R109" s="859">
        <v>3.5931190000000002</v>
      </c>
      <c r="S109" s="472"/>
      <c r="T109" s="472"/>
      <c r="U109" s="472"/>
      <c r="V109" s="472"/>
      <c r="W109" s="756"/>
      <c r="X109" s="756"/>
    </row>
    <row r="110" spans="1:24">
      <c r="A110" s="938" t="s">
        <v>1013</v>
      </c>
      <c r="B110" s="861" t="s">
        <v>972</v>
      </c>
      <c r="C110" s="861" t="s">
        <v>972</v>
      </c>
      <c r="D110" s="861" t="s">
        <v>972</v>
      </c>
      <c r="E110" s="1138">
        <v>0</v>
      </c>
      <c r="F110" s="1138">
        <v>0</v>
      </c>
      <c r="G110" s="1138">
        <v>0</v>
      </c>
      <c r="H110" s="1138">
        <v>0</v>
      </c>
      <c r="I110" s="1138">
        <v>0</v>
      </c>
      <c r="J110" s="859">
        <v>0.13900000000000001</v>
      </c>
      <c r="K110" s="859">
        <v>0.13900000000000001</v>
      </c>
      <c r="L110" s="859">
        <v>0.13900000000000001</v>
      </c>
      <c r="M110" s="1138">
        <v>0.70860000000000001</v>
      </c>
      <c r="N110" s="1138">
        <v>0.76721099999999998</v>
      </c>
      <c r="O110" s="1138">
        <v>0.65764</v>
      </c>
      <c r="P110" s="1138">
        <v>0.40967500000000001</v>
      </c>
      <c r="Q110" s="1138">
        <v>0.614846</v>
      </c>
      <c r="R110" s="1138">
        <v>0.54315170000000002</v>
      </c>
      <c r="S110" s="472"/>
      <c r="T110" s="472"/>
      <c r="U110" s="472"/>
      <c r="V110" s="472"/>
      <c r="W110" s="756"/>
      <c r="X110" s="756"/>
    </row>
    <row r="111" spans="1:24">
      <c r="A111" s="937" t="s">
        <v>69</v>
      </c>
      <c r="B111" s="861" t="s">
        <v>972</v>
      </c>
      <c r="C111" s="861" t="s">
        <v>972</v>
      </c>
      <c r="D111" s="861" t="s">
        <v>972</v>
      </c>
      <c r="E111" s="880">
        <f t="shared" ref="E111:O111" si="54">IF(E106=E107,E108,E108+E109-E110)</f>
        <v>100</v>
      </c>
      <c r="F111" s="880">
        <f t="shared" si="54"/>
        <v>100</v>
      </c>
      <c r="G111" s="880">
        <f t="shared" si="54"/>
        <v>100</v>
      </c>
      <c r="H111" s="880">
        <f t="shared" si="54"/>
        <v>113</v>
      </c>
      <c r="I111" s="880">
        <f t="shared" si="54"/>
        <v>339</v>
      </c>
      <c r="J111" s="880">
        <f t="shared" si="54"/>
        <v>338.58300000000003</v>
      </c>
      <c r="K111" s="880">
        <f t="shared" si="54"/>
        <v>338.58300000000003</v>
      </c>
      <c r="L111" s="880">
        <f t="shared" si="54"/>
        <v>338.58300000000003</v>
      </c>
      <c r="M111" s="880">
        <f t="shared" si="54"/>
        <v>336.87419999999997</v>
      </c>
      <c r="N111" s="880">
        <f t="shared" si="54"/>
        <v>336.841431</v>
      </c>
      <c r="O111" s="880">
        <f t="shared" si="54"/>
        <v>337.55095599999999</v>
      </c>
      <c r="P111" s="880">
        <f>IF(P106=P107,P108,P108+P109-P110)</f>
        <v>339.62056000000001</v>
      </c>
      <c r="Q111" s="880">
        <f>IF(Q106=Q107,Q108,Q108+Q109-Q110)</f>
        <v>339.372818</v>
      </c>
      <c r="R111" s="880">
        <f>IF(R106=R107,R108,R108+R109-R110)</f>
        <v>342.49413659999999</v>
      </c>
      <c r="S111" s="472"/>
      <c r="T111" s="472"/>
      <c r="U111" s="472"/>
      <c r="V111" s="472"/>
      <c r="W111" s="756"/>
      <c r="X111" s="756"/>
    </row>
    <row r="112" spans="1:24">
      <c r="A112" s="937" t="s">
        <v>995</v>
      </c>
      <c r="B112" s="861" t="s">
        <v>972</v>
      </c>
      <c r="C112" s="861" t="s">
        <v>972</v>
      </c>
      <c r="D112" s="861" t="s">
        <v>972</v>
      </c>
      <c r="E112" s="1138">
        <v>0</v>
      </c>
      <c r="F112" s="1138">
        <v>0</v>
      </c>
      <c r="G112" s="1138">
        <v>0</v>
      </c>
      <c r="H112" s="1138">
        <v>13</v>
      </c>
      <c r="I112" s="1138">
        <v>0</v>
      </c>
      <c r="J112" s="859">
        <v>0</v>
      </c>
      <c r="K112" s="859">
        <v>0</v>
      </c>
      <c r="L112" s="859">
        <v>0</v>
      </c>
      <c r="M112" s="976">
        <v>0</v>
      </c>
      <c r="N112" s="1138">
        <v>0</v>
      </c>
      <c r="O112" s="1138">
        <v>0</v>
      </c>
      <c r="P112" s="1138">
        <v>0</v>
      </c>
      <c r="Q112" s="1138">
        <v>0</v>
      </c>
      <c r="R112" s="1138">
        <v>0</v>
      </c>
      <c r="S112" s="472"/>
      <c r="T112" s="472"/>
      <c r="U112" s="472"/>
      <c r="V112" s="472"/>
      <c r="W112" s="756"/>
      <c r="X112" s="756"/>
    </row>
    <row r="113" spans="1:16383">
      <c r="A113" s="189" t="s">
        <v>967</v>
      </c>
      <c r="B113" s="1387" t="s">
        <v>972</v>
      </c>
      <c r="C113" s="1387" t="s">
        <v>972</v>
      </c>
      <c r="D113" s="1387" t="s">
        <v>972</v>
      </c>
      <c r="E113" s="1387">
        <v>-0.38113999999999998</v>
      </c>
      <c r="F113" s="1387">
        <v>0.52468999999999999</v>
      </c>
      <c r="G113" s="1387">
        <v>1.25871</v>
      </c>
      <c r="H113" s="1387">
        <v>0.57101999999999997</v>
      </c>
      <c r="I113" s="1387">
        <v>-0.41504000000000002</v>
      </c>
      <c r="J113" s="1387">
        <v>-0.63675999999999999</v>
      </c>
      <c r="K113" s="1387">
        <v>0.82576000000000005</v>
      </c>
      <c r="L113" s="1387">
        <v>1.26074</v>
      </c>
      <c r="M113" s="1387">
        <v>1.1232200000000001</v>
      </c>
      <c r="N113" s="1387">
        <v>0.65007999999999999</v>
      </c>
      <c r="O113" s="1387">
        <v>1.2027600000000001</v>
      </c>
      <c r="P113" s="1387">
        <v>2.5411999999999999</v>
      </c>
      <c r="Q113" s="1387">
        <v>1.7201</v>
      </c>
      <c r="R113" s="1387">
        <v>0.84150000000000003</v>
      </c>
      <c r="S113" s="472"/>
      <c r="T113" s="472"/>
      <c r="U113" s="472"/>
      <c r="V113" s="472"/>
      <c r="W113" s="756"/>
      <c r="X113" s="756"/>
    </row>
    <row r="114" spans="1:16383">
      <c r="A114" s="189" t="s">
        <v>360</v>
      </c>
      <c r="B114" s="1387" t="s">
        <v>972</v>
      </c>
      <c r="C114" s="1387" t="s">
        <v>972</v>
      </c>
      <c r="D114" s="1387" t="s">
        <v>972</v>
      </c>
      <c r="E114" s="1387">
        <v>-0.38113999999999998</v>
      </c>
      <c r="F114" s="1387">
        <v>0.52468999999999999</v>
      </c>
      <c r="G114" s="1387">
        <v>1.25871</v>
      </c>
      <c r="H114" s="1387">
        <v>0.57101999999999997</v>
      </c>
      <c r="I114" s="1387">
        <v>-0.41504000000000002</v>
      </c>
      <c r="J114" s="1387">
        <v>-0.63675999999999999</v>
      </c>
      <c r="K114" s="1387">
        <v>0.82576000000000005</v>
      </c>
      <c r="L114" s="1387">
        <v>1.26074</v>
      </c>
      <c r="M114" s="1387">
        <v>1.1232200000000001</v>
      </c>
      <c r="N114" s="1387">
        <v>0.64920999999999995</v>
      </c>
      <c r="O114" s="1387">
        <v>1.20017</v>
      </c>
      <c r="P114" s="1387">
        <v>2.5346000000000002</v>
      </c>
      <c r="Q114" s="1387">
        <v>1.7166999999999999</v>
      </c>
      <c r="R114" s="1387">
        <v>0.8397</v>
      </c>
      <c r="S114" s="472"/>
      <c r="T114" s="472"/>
      <c r="U114" s="472"/>
      <c r="V114" s="472"/>
      <c r="W114" s="756"/>
      <c r="X114" s="756"/>
    </row>
    <row r="115" spans="1:16383">
      <c r="A115" s="189" t="s">
        <v>1022</v>
      </c>
      <c r="B115" s="861" t="s">
        <v>972</v>
      </c>
      <c r="C115" s="859">
        <v>6</v>
      </c>
      <c r="D115" s="859">
        <v>6.6</v>
      </c>
      <c r="E115" s="859">
        <v>7</v>
      </c>
      <c r="F115" s="859">
        <v>7.4</v>
      </c>
      <c r="G115" s="976">
        <v>17.899999999999999</v>
      </c>
      <c r="H115" s="976">
        <v>19.99979626</v>
      </c>
      <c r="I115" s="976">
        <v>0</v>
      </c>
      <c r="J115" s="976">
        <v>0</v>
      </c>
      <c r="K115" s="976">
        <v>30.933</v>
      </c>
      <c r="L115" s="976">
        <v>30.242050030000001</v>
      </c>
      <c r="M115" s="976">
        <v>36.084000000000003</v>
      </c>
      <c r="N115" s="976">
        <v>30</v>
      </c>
      <c r="O115" s="976">
        <v>40.405000000000001</v>
      </c>
      <c r="P115" s="976">
        <v>67.938999999999993</v>
      </c>
      <c r="Q115" s="976">
        <v>53.164000000000001</v>
      </c>
      <c r="R115" s="976">
        <v>74.242000000000004</v>
      </c>
      <c r="S115" s="472"/>
      <c r="T115" s="472"/>
      <c r="U115" s="472"/>
      <c r="V115" s="472"/>
      <c r="W115" s="756"/>
      <c r="X115" s="756"/>
    </row>
    <row r="116" spans="1:16383">
      <c r="A116" s="189" t="s">
        <v>1024</v>
      </c>
      <c r="B116" s="861" t="s">
        <v>972</v>
      </c>
      <c r="C116" s="977">
        <f>C115/C106</f>
        <v>0.06</v>
      </c>
      <c r="D116" s="977">
        <f t="shared" ref="D116:Q116" si="55">D115/D106</f>
        <v>6.6000000000000003E-2</v>
      </c>
      <c r="E116" s="977">
        <f t="shared" si="55"/>
        <v>7.0000000000000007E-2</v>
      </c>
      <c r="F116" s="977">
        <f t="shared" si="55"/>
        <v>7.400000000000001E-2</v>
      </c>
      <c r="G116" s="977">
        <f t="shared" si="55"/>
        <v>0.17899999999999999</v>
      </c>
      <c r="H116" s="977">
        <f t="shared" si="55"/>
        <v>0.17698934743362832</v>
      </c>
      <c r="I116" s="977">
        <f t="shared" si="55"/>
        <v>0</v>
      </c>
      <c r="J116" s="977">
        <f t="shared" ref="J116" si="56">J115/J106</f>
        <v>0</v>
      </c>
      <c r="K116" s="977">
        <f t="shared" si="55"/>
        <v>9.1360168703094949E-2</v>
      </c>
      <c r="L116" s="977">
        <f t="shared" si="55"/>
        <v>8.931945794679591E-2</v>
      </c>
      <c r="M116" s="977">
        <f t="shared" si="55"/>
        <v>0.10670593766911224</v>
      </c>
      <c r="N116" s="977">
        <f t="shared" si="55"/>
        <v>8.9113057736350101E-2</v>
      </c>
      <c r="O116" s="977">
        <f t="shared" si="55"/>
        <v>0.11999263502698017</v>
      </c>
      <c r="P116" s="977">
        <f t="shared" si="55"/>
        <v>0.20117556483373308</v>
      </c>
      <c r="Q116" s="977">
        <f t="shared" si="55"/>
        <v>0.15685927394608884</v>
      </c>
      <c r="R116" s="977">
        <f t="shared" ref="R116" si="57">R115/R106</f>
        <v>0.21836677400675128</v>
      </c>
      <c r="S116" s="189"/>
      <c r="T116" s="189"/>
      <c r="U116" s="189"/>
      <c r="V116" s="189"/>
      <c r="W116" s="189"/>
      <c r="X116" s="189"/>
      <c r="Y116" s="189"/>
      <c r="Z116" s="189"/>
      <c r="AA116" s="189"/>
      <c r="AB116" s="189"/>
      <c r="AC116" s="189"/>
      <c r="AD116" s="189"/>
      <c r="AE116" s="189"/>
      <c r="AF116" s="189"/>
      <c r="AG116" s="189"/>
      <c r="AH116" s="189"/>
      <c r="AI116" s="189"/>
      <c r="AJ116" s="189"/>
      <c r="AK116" s="189"/>
      <c r="AL116" s="189"/>
      <c r="AM116" s="189"/>
      <c r="AN116" s="189"/>
      <c r="AO116" s="189"/>
      <c r="AP116" s="189"/>
      <c r="AQ116" s="189"/>
      <c r="AR116" s="189"/>
      <c r="AS116" s="189"/>
      <c r="AT116" s="189"/>
      <c r="AU116" s="189"/>
      <c r="AV116" s="189"/>
      <c r="AW116" s="189"/>
      <c r="AX116" s="189"/>
      <c r="AY116" s="189"/>
      <c r="AZ116" s="189"/>
      <c r="BA116" s="189"/>
      <c r="BB116" s="189"/>
      <c r="BC116" s="189"/>
      <c r="BD116" s="189"/>
      <c r="BE116" s="189"/>
      <c r="BF116" s="189"/>
      <c r="BG116" s="189"/>
      <c r="BH116" s="189"/>
      <c r="BI116" s="189"/>
      <c r="BJ116" s="189"/>
      <c r="BK116" s="189"/>
      <c r="BL116" s="189"/>
      <c r="BM116" s="189"/>
      <c r="BN116" s="189"/>
      <c r="BO116" s="189"/>
      <c r="BP116" s="189"/>
      <c r="BQ116" s="189"/>
      <c r="BR116" s="189"/>
      <c r="BS116" s="189"/>
      <c r="BT116" s="189"/>
      <c r="BU116" s="189"/>
      <c r="BV116" s="189"/>
      <c r="BW116" s="189"/>
      <c r="BX116" s="189"/>
      <c r="BY116" s="189"/>
      <c r="BZ116" s="189"/>
      <c r="CA116" s="189"/>
      <c r="CB116" s="189"/>
      <c r="CC116" s="189"/>
      <c r="CD116" s="189"/>
      <c r="CE116" s="189"/>
      <c r="CF116" s="189"/>
      <c r="CG116" s="189"/>
      <c r="CH116" s="189"/>
      <c r="CI116" s="189"/>
      <c r="CJ116" s="189"/>
      <c r="CK116" s="189"/>
      <c r="CL116" s="189"/>
      <c r="CM116" s="189"/>
      <c r="CN116" s="189"/>
      <c r="CO116" s="189"/>
      <c r="CP116" s="189"/>
      <c r="CQ116" s="189"/>
      <c r="CR116" s="189"/>
      <c r="CS116" s="189"/>
      <c r="CT116" s="189"/>
      <c r="CU116" s="189"/>
      <c r="CV116" s="189"/>
      <c r="CW116" s="189"/>
      <c r="CX116" s="189"/>
      <c r="CY116" s="189"/>
      <c r="CZ116" s="189"/>
      <c r="DA116" s="189"/>
      <c r="DB116" s="189"/>
      <c r="DC116" s="189"/>
      <c r="DD116" s="189"/>
      <c r="DE116" s="189"/>
      <c r="DF116" s="189"/>
      <c r="DG116" s="189"/>
      <c r="DH116" s="189"/>
      <c r="DI116" s="189"/>
      <c r="DJ116" s="189"/>
      <c r="DK116" s="189"/>
      <c r="DL116" s="189"/>
      <c r="DM116" s="189"/>
      <c r="DN116" s="189"/>
      <c r="DO116" s="189"/>
      <c r="DP116" s="189"/>
      <c r="DQ116" s="189"/>
      <c r="DR116" s="189"/>
      <c r="DS116" s="189"/>
      <c r="DT116" s="189"/>
      <c r="DU116" s="189"/>
      <c r="DV116" s="189"/>
      <c r="DW116" s="189"/>
      <c r="DX116" s="189"/>
      <c r="DY116" s="189"/>
      <c r="DZ116" s="189"/>
      <c r="EA116" s="189"/>
      <c r="EB116" s="189"/>
      <c r="EC116" s="189"/>
      <c r="ED116" s="189"/>
      <c r="EE116" s="189"/>
      <c r="EF116" s="189"/>
      <c r="EG116" s="189"/>
      <c r="EH116" s="189"/>
      <c r="EI116" s="189"/>
      <c r="EJ116" s="189"/>
      <c r="EK116" s="189"/>
      <c r="EL116" s="189"/>
      <c r="EM116" s="189"/>
      <c r="EN116" s="189"/>
      <c r="EO116" s="189"/>
      <c r="EP116" s="189"/>
      <c r="EQ116" s="189"/>
      <c r="ER116" s="189"/>
      <c r="ES116" s="189"/>
      <c r="ET116" s="189"/>
      <c r="EU116" s="189"/>
      <c r="EV116" s="189"/>
      <c r="EW116" s="189"/>
      <c r="EX116" s="189"/>
      <c r="EY116" s="189"/>
      <c r="EZ116" s="189"/>
      <c r="FA116" s="189"/>
      <c r="FB116" s="189"/>
      <c r="FC116" s="189"/>
      <c r="FD116" s="189"/>
      <c r="FE116" s="189"/>
      <c r="FF116" s="189"/>
      <c r="FG116" s="189"/>
      <c r="FH116" s="189"/>
      <c r="FI116" s="189"/>
      <c r="FJ116" s="189"/>
      <c r="FK116" s="189"/>
      <c r="FL116" s="189"/>
      <c r="FM116" s="189"/>
      <c r="FN116" s="189"/>
      <c r="FO116" s="189"/>
      <c r="FP116" s="189"/>
      <c r="FQ116" s="189"/>
      <c r="FR116" s="189"/>
      <c r="FS116" s="189"/>
      <c r="FT116" s="189"/>
      <c r="FU116" s="189"/>
      <c r="FV116" s="189"/>
      <c r="FW116" s="189"/>
      <c r="FX116" s="189"/>
      <c r="FY116" s="189"/>
      <c r="FZ116" s="189"/>
      <c r="GA116" s="189"/>
      <c r="GB116" s="189"/>
      <c r="GC116" s="189"/>
      <c r="GD116" s="189"/>
      <c r="GE116" s="189"/>
      <c r="GF116" s="189"/>
      <c r="GG116" s="189"/>
      <c r="GH116" s="189"/>
      <c r="GI116" s="189"/>
      <c r="GJ116" s="189"/>
      <c r="GK116" s="189"/>
      <c r="GL116" s="189"/>
      <c r="GM116" s="189"/>
      <c r="GN116" s="189"/>
      <c r="GO116" s="189"/>
      <c r="GP116" s="189"/>
      <c r="GQ116" s="189"/>
      <c r="GR116" s="189"/>
      <c r="GS116" s="189"/>
      <c r="GT116" s="189"/>
      <c r="GU116" s="189"/>
      <c r="GV116" s="189"/>
      <c r="GW116" s="189"/>
      <c r="GX116" s="189"/>
      <c r="GY116" s="189"/>
      <c r="GZ116" s="189"/>
      <c r="HA116" s="189"/>
      <c r="HB116" s="189"/>
      <c r="HC116" s="189"/>
      <c r="HD116" s="189"/>
      <c r="HE116" s="189"/>
      <c r="HF116" s="189"/>
      <c r="HG116" s="189"/>
      <c r="HH116" s="189"/>
      <c r="HI116" s="189"/>
      <c r="HJ116" s="189"/>
      <c r="HK116" s="189"/>
      <c r="HL116" s="189"/>
      <c r="HM116" s="189"/>
      <c r="HN116" s="189"/>
      <c r="HO116" s="189"/>
      <c r="HP116" s="189"/>
      <c r="HQ116" s="189"/>
      <c r="HR116" s="189"/>
      <c r="HS116" s="189"/>
      <c r="HT116" s="189"/>
      <c r="HU116" s="189"/>
      <c r="HV116" s="189"/>
      <c r="HW116" s="189"/>
      <c r="HX116" s="189"/>
      <c r="HY116" s="189"/>
      <c r="HZ116" s="189"/>
      <c r="IA116" s="189"/>
      <c r="IB116" s="189"/>
      <c r="IC116" s="189"/>
      <c r="ID116" s="189"/>
      <c r="IE116" s="189"/>
      <c r="IF116" s="189"/>
      <c r="IG116" s="189"/>
      <c r="IH116" s="189"/>
      <c r="II116" s="189"/>
      <c r="IJ116" s="189"/>
      <c r="IK116" s="189"/>
      <c r="IL116" s="189"/>
      <c r="IM116" s="189"/>
      <c r="IN116" s="189"/>
      <c r="IO116" s="189"/>
      <c r="IP116" s="189"/>
      <c r="IQ116" s="189"/>
      <c r="IR116" s="189"/>
      <c r="IS116" s="189"/>
      <c r="IT116" s="189"/>
      <c r="IU116" s="189"/>
      <c r="IV116" s="189"/>
      <c r="IW116" s="189"/>
      <c r="IX116" s="189"/>
      <c r="IY116" s="189"/>
      <c r="IZ116" s="189"/>
      <c r="JA116" s="189"/>
      <c r="JB116" s="189"/>
      <c r="JC116" s="189"/>
      <c r="JD116" s="189"/>
      <c r="JE116" s="189"/>
      <c r="JF116" s="189"/>
      <c r="JG116" s="189"/>
      <c r="JH116" s="189"/>
      <c r="JI116" s="189"/>
      <c r="JJ116" s="189"/>
      <c r="JK116" s="189"/>
      <c r="JL116" s="189"/>
      <c r="JM116" s="189"/>
      <c r="JN116" s="189"/>
      <c r="JO116" s="189"/>
      <c r="JP116" s="189"/>
      <c r="JQ116" s="189"/>
      <c r="JR116" s="189"/>
      <c r="JS116" s="189"/>
      <c r="JT116" s="189"/>
      <c r="JU116" s="189"/>
      <c r="JV116" s="189"/>
      <c r="JW116" s="189"/>
      <c r="JX116" s="189"/>
      <c r="JY116" s="189"/>
      <c r="JZ116" s="189"/>
      <c r="KA116" s="189"/>
      <c r="KB116" s="189"/>
      <c r="KC116" s="189"/>
      <c r="KD116" s="189"/>
      <c r="KE116" s="189"/>
      <c r="KF116" s="189"/>
      <c r="KG116" s="189"/>
      <c r="KH116" s="189"/>
      <c r="KI116" s="189"/>
      <c r="KJ116" s="189"/>
      <c r="KK116" s="189"/>
      <c r="KL116" s="189"/>
      <c r="KM116" s="189"/>
      <c r="KN116" s="189"/>
      <c r="KO116" s="189"/>
      <c r="KP116" s="189"/>
      <c r="KQ116" s="189"/>
      <c r="KR116" s="189"/>
      <c r="KS116" s="189"/>
      <c r="KT116" s="189"/>
      <c r="KU116" s="189"/>
      <c r="KV116" s="189"/>
      <c r="KW116" s="189"/>
      <c r="KX116" s="189"/>
      <c r="KY116" s="189"/>
      <c r="KZ116" s="189"/>
      <c r="LA116" s="189"/>
      <c r="LB116" s="189"/>
      <c r="LC116" s="189"/>
      <c r="LD116" s="189"/>
      <c r="LE116" s="189"/>
      <c r="LF116" s="189"/>
      <c r="LG116" s="189"/>
      <c r="LH116" s="189"/>
      <c r="LI116" s="189"/>
      <c r="LJ116" s="189"/>
      <c r="LK116" s="189"/>
      <c r="LL116" s="189"/>
      <c r="LM116" s="189"/>
      <c r="LN116" s="189"/>
      <c r="LO116" s="189"/>
      <c r="LP116" s="189"/>
      <c r="LQ116" s="189"/>
      <c r="LR116" s="189"/>
      <c r="LS116" s="189"/>
      <c r="LT116" s="189"/>
      <c r="LU116" s="189"/>
      <c r="LV116" s="189"/>
      <c r="LW116" s="189"/>
      <c r="LX116" s="189"/>
      <c r="LY116" s="189"/>
      <c r="LZ116" s="189"/>
      <c r="MA116" s="189"/>
      <c r="MB116" s="189"/>
      <c r="MC116" s="189"/>
      <c r="MD116" s="189"/>
      <c r="ME116" s="189"/>
      <c r="MF116" s="189"/>
      <c r="MG116" s="189"/>
      <c r="MH116" s="189"/>
      <c r="MI116" s="189"/>
      <c r="MJ116" s="189"/>
      <c r="MK116" s="189"/>
      <c r="ML116" s="189"/>
      <c r="MM116" s="189"/>
      <c r="MN116" s="189"/>
      <c r="MO116" s="189"/>
      <c r="MP116" s="189"/>
      <c r="MQ116" s="189"/>
      <c r="MR116" s="189"/>
      <c r="MS116" s="189"/>
      <c r="MT116" s="189"/>
      <c r="MU116" s="189"/>
      <c r="MV116" s="189"/>
      <c r="MW116" s="189"/>
      <c r="MX116" s="189"/>
      <c r="MY116" s="189"/>
      <c r="MZ116" s="189"/>
      <c r="NA116" s="189"/>
      <c r="NB116" s="189"/>
      <c r="NC116" s="189"/>
      <c r="ND116" s="189"/>
      <c r="NE116" s="189"/>
      <c r="NF116" s="189"/>
      <c r="NG116" s="189"/>
      <c r="NH116" s="189"/>
      <c r="NI116" s="189"/>
      <c r="NJ116" s="189"/>
      <c r="NK116" s="189"/>
      <c r="NL116" s="189"/>
      <c r="NM116" s="189"/>
      <c r="NN116" s="189"/>
      <c r="NO116" s="189"/>
      <c r="NP116" s="189"/>
      <c r="NQ116" s="189"/>
      <c r="NR116" s="189"/>
      <c r="NS116" s="189"/>
      <c r="NT116" s="189"/>
      <c r="NU116" s="189"/>
      <c r="NV116" s="189"/>
      <c r="NW116" s="189"/>
      <c r="NX116" s="189"/>
      <c r="NY116" s="189"/>
      <c r="NZ116" s="189"/>
      <c r="OA116" s="189"/>
      <c r="OB116" s="189"/>
      <c r="OC116" s="189"/>
      <c r="OD116" s="189"/>
      <c r="OE116" s="189"/>
      <c r="OF116" s="189"/>
      <c r="OG116" s="189"/>
      <c r="OH116" s="189"/>
      <c r="OI116" s="189"/>
      <c r="OJ116" s="189"/>
      <c r="OK116" s="189"/>
      <c r="OL116" s="189"/>
      <c r="OM116" s="189"/>
      <c r="ON116" s="189"/>
      <c r="OO116" s="189"/>
      <c r="OP116" s="189"/>
      <c r="OQ116" s="189"/>
      <c r="OR116" s="189"/>
      <c r="OS116" s="189"/>
      <c r="OT116" s="189"/>
      <c r="OU116" s="189"/>
      <c r="OV116" s="189"/>
      <c r="OW116" s="189"/>
      <c r="OX116" s="189"/>
      <c r="OY116" s="189"/>
      <c r="OZ116" s="189"/>
      <c r="PA116" s="189"/>
      <c r="PB116" s="189"/>
      <c r="PC116" s="189"/>
      <c r="PD116" s="189"/>
      <c r="PE116" s="189"/>
      <c r="PF116" s="189"/>
      <c r="PG116" s="189"/>
      <c r="PH116" s="189"/>
      <c r="PI116" s="189"/>
      <c r="PJ116" s="189"/>
      <c r="PK116" s="189"/>
      <c r="PL116" s="189"/>
      <c r="PM116" s="189"/>
      <c r="PN116" s="189"/>
      <c r="PO116" s="189"/>
      <c r="PP116" s="189"/>
      <c r="PQ116" s="189"/>
      <c r="PR116" s="189"/>
      <c r="PS116" s="189"/>
      <c r="PT116" s="189"/>
      <c r="PU116" s="189"/>
      <c r="PV116" s="189"/>
      <c r="PW116" s="189"/>
      <c r="PX116" s="189"/>
      <c r="PY116" s="189"/>
      <c r="PZ116" s="189"/>
      <c r="QA116" s="189"/>
      <c r="QB116" s="189"/>
      <c r="QC116" s="189"/>
      <c r="QD116" s="189"/>
      <c r="QE116" s="189"/>
      <c r="QF116" s="189"/>
      <c r="QG116" s="189"/>
      <c r="QH116" s="189"/>
      <c r="QI116" s="189"/>
      <c r="QJ116" s="189"/>
      <c r="QK116" s="189"/>
      <c r="QL116" s="189"/>
      <c r="QM116" s="189"/>
      <c r="QN116" s="189"/>
      <c r="QO116" s="189"/>
      <c r="QP116" s="189"/>
      <c r="QQ116" s="189"/>
      <c r="QR116" s="189"/>
      <c r="QS116" s="189"/>
      <c r="QT116" s="189"/>
      <c r="QU116" s="189"/>
      <c r="QV116" s="189"/>
      <c r="QW116" s="189"/>
      <c r="QX116" s="189"/>
      <c r="QY116" s="189"/>
      <c r="QZ116" s="189"/>
      <c r="RA116" s="189"/>
      <c r="RB116" s="189"/>
      <c r="RC116" s="189"/>
      <c r="RD116" s="189"/>
      <c r="RE116" s="189"/>
      <c r="RF116" s="189"/>
      <c r="RG116" s="189"/>
      <c r="RH116" s="189"/>
      <c r="RI116" s="189"/>
      <c r="RJ116" s="189"/>
      <c r="RK116" s="189"/>
      <c r="RL116" s="189"/>
      <c r="RM116" s="189"/>
      <c r="RN116" s="189"/>
      <c r="RO116" s="189"/>
      <c r="RP116" s="189"/>
      <c r="RQ116" s="189"/>
      <c r="RR116" s="189"/>
      <c r="RS116" s="189"/>
      <c r="RT116" s="189"/>
      <c r="RU116" s="189"/>
      <c r="RV116" s="189"/>
      <c r="RW116" s="189"/>
      <c r="RX116" s="189"/>
      <c r="RY116" s="189"/>
      <c r="RZ116" s="189"/>
      <c r="SA116" s="189"/>
      <c r="SB116" s="189"/>
      <c r="SC116" s="189"/>
      <c r="SD116" s="189"/>
      <c r="SE116" s="189"/>
      <c r="SF116" s="189"/>
      <c r="SG116" s="189"/>
      <c r="SH116" s="189"/>
      <c r="SI116" s="189"/>
      <c r="SJ116" s="189"/>
      <c r="SK116" s="189"/>
      <c r="SL116" s="189"/>
      <c r="SM116" s="189"/>
      <c r="SN116" s="189"/>
      <c r="SO116" s="189"/>
      <c r="SP116" s="189"/>
      <c r="SQ116" s="189"/>
      <c r="SR116" s="189"/>
      <c r="SS116" s="189"/>
      <c r="ST116" s="189"/>
      <c r="SU116" s="189"/>
      <c r="SV116" s="189"/>
      <c r="SW116" s="189"/>
      <c r="SX116" s="189"/>
      <c r="SY116" s="189"/>
      <c r="SZ116" s="189"/>
      <c r="TA116" s="189"/>
      <c r="TB116" s="189"/>
      <c r="TC116" s="189"/>
      <c r="TD116" s="189"/>
      <c r="TE116" s="189"/>
      <c r="TF116" s="189"/>
      <c r="TG116" s="189"/>
      <c r="TH116" s="189"/>
      <c r="TI116" s="189"/>
      <c r="TJ116" s="189"/>
      <c r="TK116" s="189"/>
      <c r="TL116" s="189"/>
      <c r="TM116" s="189"/>
      <c r="TN116" s="189"/>
      <c r="TO116" s="189"/>
      <c r="TP116" s="189"/>
      <c r="TQ116" s="189"/>
      <c r="TR116" s="189"/>
      <c r="TS116" s="189"/>
      <c r="TT116" s="189"/>
      <c r="TU116" s="189"/>
      <c r="TV116" s="189"/>
      <c r="TW116" s="189"/>
      <c r="TX116" s="189"/>
      <c r="TY116" s="189"/>
      <c r="TZ116" s="189"/>
      <c r="UA116" s="189"/>
      <c r="UB116" s="189"/>
      <c r="UC116" s="189"/>
      <c r="UD116" s="189"/>
      <c r="UE116" s="189"/>
      <c r="UF116" s="189"/>
      <c r="UG116" s="189"/>
      <c r="UH116" s="189"/>
      <c r="UI116" s="189"/>
      <c r="UJ116" s="189"/>
      <c r="UK116" s="189"/>
      <c r="UL116" s="189"/>
      <c r="UM116" s="189"/>
      <c r="UN116" s="189"/>
      <c r="UO116" s="189"/>
      <c r="UP116" s="189"/>
      <c r="UQ116" s="189"/>
      <c r="UR116" s="189"/>
      <c r="US116" s="189"/>
      <c r="UT116" s="189"/>
      <c r="UU116" s="189"/>
      <c r="UV116" s="189"/>
      <c r="UW116" s="189"/>
      <c r="UX116" s="189"/>
      <c r="UY116" s="189"/>
      <c r="UZ116" s="189"/>
      <c r="VA116" s="189"/>
      <c r="VB116" s="189"/>
      <c r="VC116" s="189"/>
      <c r="VD116" s="189"/>
      <c r="VE116" s="189"/>
      <c r="VF116" s="189"/>
      <c r="VG116" s="189"/>
      <c r="VH116" s="189"/>
      <c r="VI116" s="189"/>
      <c r="VJ116" s="189"/>
      <c r="VK116" s="189"/>
      <c r="VL116" s="189"/>
      <c r="VM116" s="189"/>
      <c r="VN116" s="189"/>
      <c r="VO116" s="189"/>
      <c r="VP116" s="189"/>
      <c r="VQ116" s="189"/>
      <c r="VR116" s="189"/>
      <c r="VS116" s="189"/>
      <c r="VT116" s="189"/>
      <c r="VU116" s="189"/>
      <c r="VV116" s="189"/>
      <c r="VW116" s="189"/>
      <c r="VX116" s="189"/>
      <c r="VY116" s="189"/>
      <c r="VZ116" s="189"/>
      <c r="WA116" s="189"/>
      <c r="WB116" s="189"/>
      <c r="WC116" s="189"/>
      <c r="WD116" s="189"/>
      <c r="WE116" s="189"/>
      <c r="WF116" s="189"/>
      <c r="WG116" s="189"/>
      <c r="WH116" s="189"/>
      <c r="WI116" s="189"/>
      <c r="WJ116" s="189"/>
      <c r="WK116" s="189"/>
      <c r="WL116" s="189"/>
      <c r="WM116" s="189"/>
      <c r="WN116" s="189"/>
      <c r="WO116" s="189"/>
      <c r="WP116" s="189"/>
      <c r="WQ116" s="189"/>
      <c r="WR116" s="189"/>
      <c r="WS116" s="189"/>
      <c r="WT116" s="189"/>
      <c r="WU116" s="189"/>
      <c r="WV116" s="189"/>
      <c r="WW116" s="189"/>
      <c r="WX116" s="189"/>
      <c r="WY116" s="189"/>
      <c r="WZ116" s="189"/>
      <c r="XA116" s="189"/>
      <c r="XB116" s="189"/>
      <c r="XC116" s="189"/>
      <c r="XD116" s="189"/>
      <c r="XE116" s="189"/>
      <c r="XF116" s="189"/>
      <c r="XG116" s="189"/>
      <c r="XH116" s="189"/>
      <c r="XI116" s="189"/>
      <c r="XJ116" s="189"/>
      <c r="XK116" s="189"/>
      <c r="XL116" s="189"/>
      <c r="XM116" s="189"/>
      <c r="XN116" s="189"/>
      <c r="XO116" s="189"/>
      <c r="XP116" s="189"/>
      <c r="XQ116" s="189"/>
      <c r="XR116" s="189"/>
      <c r="XS116" s="189"/>
      <c r="XT116" s="189"/>
      <c r="XU116" s="189"/>
      <c r="XV116" s="189"/>
      <c r="XW116" s="189"/>
      <c r="XX116" s="189"/>
      <c r="XY116" s="189"/>
      <c r="XZ116" s="189"/>
      <c r="YA116" s="189"/>
      <c r="YB116" s="189"/>
      <c r="YC116" s="189"/>
      <c r="YD116" s="189"/>
      <c r="YE116" s="189"/>
      <c r="YF116" s="189"/>
      <c r="YG116" s="189"/>
      <c r="YH116" s="189"/>
      <c r="YI116" s="189"/>
      <c r="YJ116" s="189"/>
      <c r="YK116" s="189"/>
      <c r="YL116" s="189"/>
      <c r="YM116" s="189"/>
      <c r="YN116" s="189"/>
      <c r="YO116" s="189"/>
      <c r="YP116" s="189"/>
      <c r="YQ116" s="189"/>
      <c r="YR116" s="189"/>
      <c r="YS116" s="189"/>
      <c r="YT116" s="189"/>
      <c r="YU116" s="189"/>
      <c r="YV116" s="189"/>
      <c r="YW116" s="189"/>
      <c r="YX116" s="189"/>
      <c r="YY116" s="189"/>
      <c r="YZ116" s="189"/>
      <c r="ZA116" s="189"/>
      <c r="ZB116" s="189"/>
      <c r="ZC116" s="189"/>
      <c r="ZD116" s="189"/>
      <c r="ZE116" s="189"/>
      <c r="ZF116" s="189"/>
      <c r="ZG116" s="189"/>
      <c r="ZH116" s="189"/>
      <c r="ZI116" s="189"/>
      <c r="ZJ116" s="189"/>
      <c r="ZK116" s="189"/>
      <c r="ZL116" s="189"/>
      <c r="ZM116" s="189"/>
      <c r="ZN116" s="189"/>
      <c r="ZO116" s="189"/>
      <c r="ZP116" s="189"/>
      <c r="ZQ116" s="189"/>
      <c r="ZR116" s="189"/>
      <c r="ZS116" s="189"/>
      <c r="ZT116" s="189"/>
      <c r="ZU116" s="189"/>
      <c r="ZV116" s="189"/>
      <c r="ZW116" s="189"/>
      <c r="ZX116" s="189"/>
      <c r="ZY116" s="189"/>
      <c r="ZZ116" s="189"/>
      <c r="AAA116" s="189"/>
      <c r="AAB116" s="189"/>
      <c r="AAC116" s="189"/>
      <c r="AAD116" s="189"/>
      <c r="AAE116" s="189"/>
      <c r="AAF116" s="189"/>
      <c r="AAG116" s="189"/>
      <c r="AAH116" s="189"/>
      <c r="AAI116" s="189"/>
      <c r="AAJ116" s="189"/>
      <c r="AAK116" s="189"/>
      <c r="AAL116" s="189"/>
      <c r="AAM116" s="189"/>
      <c r="AAN116" s="189"/>
      <c r="AAO116" s="189"/>
      <c r="AAP116" s="189"/>
      <c r="AAQ116" s="189"/>
      <c r="AAR116" s="189"/>
      <c r="AAS116" s="189"/>
      <c r="AAT116" s="189"/>
      <c r="AAU116" s="189"/>
      <c r="AAV116" s="189"/>
      <c r="AAW116" s="189"/>
      <c r="AAX116" s="189"/>
      <c r="AAY116" s="189"/>
      <c r="AAZ116" s="189"/>
      <c r="ABA116" s="189"/>
      <c r="ABB116" s="189"/>
      <c r="ABC116" s="189"/>
      <c r="ABD116" s="189"/>
      <c r="ABE116" s="189"/>
      <c r="ABF116" s="189"/>
      <c r="ABG116" s="189"/>
      <c r="ABH116" s="189"/>
      <c r="ABI116" s="189"/>
      <c r="ABJ116" s="189"/>
      <c r="ABK116" s="189"/>
      <c r="ABL116" s="189"/>
      <c r="ABM116" s="189"/>
      <c r="ABN116" s="189"/>
      <c r="ABO116" s="189"/>
      <c r="ABP116" s="189"/>
      <c r="ABQ116" s="189"/>
      <c r="ABR116" s="189"/>
      <c r="ABS116" s="189"/>
      <c r="ABT116" s="189"/>
      <c r="ABU116" s="189"/>
      <c r="ABV116" s="189"/>
      <c r="ABW116" s="189"/>
      <c r="ABX116" s="189"/>
      <c r="ABY116" s="189"/>
      <c r="ABZ116" s="189"/>
      <c r="ACA116" s="189"/>
      <c r="ACB116" s="189"/>
      <c r="ACC116" s="189"/>
      <c r="ACD116" s="189"/>
      <c r="ACE116" s="189"/>
      <c r="ACF116" s="189"/>
      <c r="ACG116" s="189"/>
      <c r="ACH116" s="189"/>
      <c r="ACI116" s="189"/>
      <c r="ACJ116" s="189"/>
      <c r="ACK116" s="189"/>
      <c r="ACL116" s="189"/>
      <c r="ACM116" s="189"/>
      <c r="ACN116" s="189"/>
      <c r="ACO116" s="189"/>
      <c r="ACP116" s="189"/>
      <c r="ACQ116" s="189"/>
      <c r="ACR116" s="189"/>
      <c r="ACS116" s="189"/>
      <c r="ACT116" s="189"/>
      <c r="ACU116" s="189"/>
      <c r="ACV116" s="189"/>
      <c r="ACW116" s="189"/>
      <c r="ACX116" s="189"/>
      <c r="ACY116" s="189"/>
      <c r="ACZ116" s="189"/>
      <c r="ADA116" s="189"/>
      <c r="ADB116" s="189"/>
      <c r="ADC116" s="189"/>
      <c r="ADD116" s="189"/>
      <c r="ADE116" s="189"/>
      <c r="ADF116" s="189"/>
      <c r="ADG116" s="189"/>
      <c r="ADH116" s="189"/>
      <c r="ADI116" s="189"/>
      <c r="ADJ116" s="189"/>
      <c r="ADK116" s="189"/>
      <c r="ADL116" s="189"/>
      <c r="ADM116" s="189"/>
      <c r="ADN116" s="189"/>
      <c r="ADO116" s="189"/>
      <c r="ADP116" s="189"/>
      <c r="ADQ116" s="189"/>
      <c r="ADR116" s="189"/>
      <c r="ADS116" s="189"/>
      <c r="ADT116" s="189"/>
      <c r="ADU116" s="189"/>
      <c r="ADV116" s="189"/>
      <c r="ADW116" s="189"/>
      <c r="ADX116" s="189"/>
      <c r="ADY116" s="189"/>
      <c r="ADZ116" s="189"/>
      <c r="AEA116" s="189"/>
      <c r="AEB116" s="189"/>
      <c r="AEC116" s="189"/>
      <c r="AED116" s="189"/>
      <c r="AEE116" s="189"/>
      <c r="AEF116" s="189"/>
      <c r="AEG116" s="189"/>
      <c r="AEH116" s="189"/>
      <c r="AEI116" s="189"/>
      <c r="AEJ116" s="189"/>
      <c r="AEK116" s="189"/>
      <c r="AEL116" s="189"/>
      <c r="AEM116" s="189"/>
      <c r="AEN116" s="189"/>
      <c r="AEO116" s="189"/>
      <c r="AEP116" s="189"/>
      <c r="AEQ116" s="189"/>
      <c r="AER116" s="189"/>
      <c r="AES116" s="189"/>
      <c r="AET116" s="189"/>
      <c r="AEU116" s="189"/>
      <c r="AEV116" s="189"/>
      <c r="AEW116" s="189"/>
      <c r="AEX116" s="189"/>
      <c r="AEY116" s="189"/>
      <c r="AEZ116" s="189"/>
      <c r="AFA116" s="189"/>
      <c r="AFB116" s="189"/>
      <c r="AFC116" s="189"/>
      <c r="AFD116" s="189"/>
      <c r="AFE116" s="189"/>
      <c r="AFF116" s="189"/>
      <c r="AFG116" s="189"/>
      <c r="AFH116" s="189"/>
      <c r="AFI116" s="189"/>
      <c r="AFJ116" s="189"/>
      <c r="AFK116" s="189"/>
      <c r="AFL116" s="189"/>
      <c r="AFM116" s="189"/>
      <c r="AFN116" s="189"/>
      <c r="AFO116" s="189"/>
      <c r="AFP116" s="189"/>
      <c r="AFQ116" s="189"/>
      <c r="AFR116" s="189"/>
      <c r="AFS116" s="189"/>
      <c r="AFT116" s="189"/>
      <c r="AFU116" s="189"/>
      <c r="AFV116" s="189"/>
      <c r="AFW116" s="189"/>
      <c r="AFX116" s="189"/>
      <c r="AFY116" s="189"/>
      <c r="AFZ116" s="189"/>
      <c r="AGA116" s="189"/>
      <c r="AGB116" s="189"/>
      <c r="AGC116" s="189"/>
      <c r="AGD116" s="189"/>
      <c r="AGE116" s="189"/>
      <c r="AGF116" s="189"/>
      <c r="AGG116" s="189"/>
      <c r="AGH116" s="189"/>
      <c r="AGI116" s="189"/>
      <c r="AGJ116" s="189"/>
      <c r="AGK116" s="189"/>
      <c r="AGL116" s="189"/>
      <c r="AGM116" s="189"/>
      <c r="AGN116" s="189"/>
      <c r="AGO116" s="189"/>
      <c r="AGP116" s="189"/>
      <c r="AGQ116" s="189"/>
      <c r="AGR116" s="189"/>
      <c r="AGS116" s="189"/>
      <c r="AGT116" s="189"/>
      <c r="AGU116" s="189"/>
      <c r="AGV116" s="189"/>
      <c r="AGW116" s="189"/>
      <c r="AGX116" s="189"/>
      <c r="AGY116" s="189"/>
      <c r="AGZ116" s="189"/>
      <c r="AHA116" s="189"/>
      <c r="AHB116" s="189"/>
      <c r="AHC116" s="189"/>
      <c r="AHD116" s="189"/>
      <c r="AHE116" s="189"/>
      <c r="AHF116" s="189"/>
      <c r="AHG116" s="189"/>
      <c r="AHH116" s="189"/>
      <c r="AHI116" s="189"/>
      <c r="AHJ116" s="189"/>
      <c r="AHK116" s="189"/>
      <c r="AHL116" s="189"/>
      <c r="AHM116" s="189"/>
      <c r="AHN116" s="189"/>
      <c r="AHO116" s="189"/>
      <c r="AHP116" s="189"/>
      <c r="AHQ116" s="189"/>
      <c r="AHR116" s="189"/>
      <c r="AHS116" s="189"/>
      <c r="AHT116" s="189"/>
      <c r="AHU116" s="189"/>
      <c r="AHV116" s="189"/>
      <c r="AHW116" s="189"/>
      <c r="AHX116" s="189"/>
      <c r="AHY116" s="189"/>
      <c r="AHZ116" s="189"/>
      <c r="AIA116" s="189"/>
      <c r="AIB116" s="189"/>
      <c r="AIC116" s="189"/>
      <c r="AID116" s="189"/>
      <c r="AIE116" s="189"/>
      <c r="AIF116" s="189"/>
      <c r="AIG116" s="189"/>
      <c r="AIH116" s="189"/>
      <c r="AII116" s="189"/>
      <c r="AIJ116" s="189"/>
      <c r="AIK116" s="189"/>
      <c r="AIL116" s="189"/>
      <c r="AIM116" s="189"/>
      <c r="AIN116" s="189"/>
      <c r="AIO116" s="189"/>
      <c r="AIP116" s="189"/>
      <c r="AIQ116" s="189"/>
      <c r="AIR116" s="189"/>
      <c r="AIS116" s="189"/>
      <c r="AIT116" s="189"/>
      <c r="AIU116" s="189"/>
      <c r="AIV116" s="189"/>
      <c r="AIW116" s="189"/>
      <c r="AIX116" s="189"/>
      <c r="AIY116" s="189"/>
      <c r="AIZ116" s="189"/>
      <c r="AJA116" s="189"/>
      <c r="AJB116" s="189"/>
      <c r="AJC116" s="189"/>
      <c r="AJD116" s="189"/>
      <c r="AJE116" s="189"/>
      <c r="AJF116" s="189"/>
      <c r="AJG116" s="189"/>
      <c r="AJH116" s="189"/>
      <c r="AJI116" s="189"/>
      <c r="AJJ116" s="189"/>
      <c r="AJK116" s="189"/>
      <c r="AJL116" s="189"/>
      <c r="AJM116" s="189"/>
      <c r="AJN116" s="189"/>
      <c r="AJO116" s="189"/>
      <c r="AJP116" s="189"/>
      <c r="AJQ116" s="189"/>
      <c r="AJR116" s="189"/>
      <c r="AJS116" s="189"/>
      <c r="AJT116" s="189"/>
      <c r="AJU116" s="189"/>
      <c r="AJV116" s="189"/>
      <c r="AJW116" s="189"/>
      <c r="AJX116" s="189"/>
      <c r="AJY116" s="189"/>
      <c r="AJZ116" s="189"/>
      <c r="AKA116" s="189"/>
      <c r="AKB116" s="189"/>
      <c r="AKC116" s="189"/>
      <c r="AKD116" s="189"/>
      <c r="AKE116" s="189"/>
      <c r="AKF116" s="189"/>
      <c r="AKG116" s="189"/>
      <c r="AKH116" s="189"/>
      <c r="AKI116" s="189"/>
      <c r="AKJ116" s="189"/>
      <c r="AKK116" s="189"/>
      <c r="AKL116" s="189"/>
      <c r="AKM116" s="189"/>
      <c r="AKN116" s="189"/>
      <c r="AKO116" s="189"/>
      <c r="AKP116" s="189"/>
      <c r="AKQ116" s="189"/>
      <c r="AKR116" s="189"/>
      <c r="AKS116" s="189"/>
      <c r="AKT116" s="189"/>
      <c r="AKU116" s="189"/>
      <c r="AKV116" s="189"/>
      <c r="AKW116" s="189"/>
      <c r="AKX116" s="189"/>
      <c r="AKY116" s="189"/>
      <c r="AKZ116" s="189"/>
      <c r="ALA116" s="189"/>
      <c r="ALB116" s="189"/>
      <c r="ALC116" s="189"/>
      <c r="ALD116" s="189"/>
      <c r="ALE116" s="189"/>
      <c r="ALF116" s="189"/>
      <c r="ALG116" s="189"/>
      <c r="ALH116" s="189"/>
      <c r="ALI116" s="189"/>
      <c r="ALJ116" s="189"/>
      <c r="ALK116" s="189"/>
      <c r="ALL116" s="189"/>
      <c r="ALM116" s="189"/>
      <c r="ALN116" s="189"/>
      <c r="ALO116" s="189"/>
      <c r="ALP116" s="189"/>
      <c r="ALQ116" s="189"/>
      <c r="ALR116" s="189"/>
      <c r="ALS116" s="189"/>
      <c r="ALT116" s="189"/>
      <c r="ALU116" s="189"/>
      <c r="ALV116" s="189"/>
      <c r="ALW116" s="189"/>
      <c r="ALX116" s="189"/>
      <c r="ALY116" s="189"/>
      <c r="ALZ116" s="189"/>
      <c r="AMA116" s="189"/>
      <c r="AMB116" s="189"/>
      <c r="AMC116" s="189"/>
      <c r="AMD116" s="189"/>
      <c r="AME116" s="189"/>
      <c r="AMF116" s="189"/>
      <c r="AMG116" s="189"/>
      <c r="AMH116" s="189"/>
      <c r="AMI116" s="189"/>
      <c r="AMJ116" s="189"/>
      <c r="AMK116" s="189"/>
      <c r="AML116" s="189"/>
      <c r="AMM116" s="189"/>
      <c r="AMN116" s="189"/>
      <c r="AMO116" s="189"/>
      <c r="AMP116" s="189"/>
      <c r="AMQ116" s="189"/>
      <c r="AMR116" s="189"/>
      <c r="AMS116" s="189"/>
      <c r="AMT116" s="189"/>
      <c r="AMU116" s="189"/>
      <c r="AMV116" s="189"/>
      <c r="AMW116" s="189"/>
      <c r="AMX116" s="189"/>
      <c r="AMY116" s="189"/>
      <c r="AMZ116" s="189"/>
      <c r="ANA116" s="189"/>
      <c r="ANB116" s="189"/>
      <c r="ANC116" s="189"/>
      <c r="AND116" s="189"/>
      <c r="ANE116" s="189"/>
      <c r="ANF116" s="189"/>
      <c r="ANG116" s="189"/>
      <c r="ANH116" s="189"/>
      <c r="ANI116" s="189"/>
      <c r="ANJ116" s="189"/>
      <c r="ANK116" s="189"/>
      <c r="ANL116" s="189"/>
      <c r="ANM116" s="189"/>
      <c r="ANN116" s="189"/>
      <c r="ANO116" s="189"/>
      <c r="ANP116" s="189"/>
      <c r="ANQ116" s="189"/>
      <c r="ANR116" s="189"/>
      <c r="ANS116" s="189"/>
      <c r="ANT116" s="189"/>
      <c r="ANU116" s="189"/>
      <c r="ANV116" s="189"/>
      <c r="ANW116" s="189"/>
      <c r="ANX116" s="189"/>
      <c r="ANY116" s="189"/>
      <c r="ANZ116" s="189"/>
      <c r="AOA116" s="189"/>
      <c r="AOB116" s="189"/>
      <c r="AOC116" s="189"/>
      <c r="AOD116" s="189"/>
      <c r="AOE116" s="189"/>
      <c r="AOF116" s="189"/>
      <c r="AOG116" s="189"/>
      <c r="AOH116" s="189"/>
      <c r="AOI116" s="189"/>
      <c r="AOJ116" s="189"/>
      <c r="AOK116" s="189"/>
      <c r="AOL116" s="189"/>
      <c r="AOM116" s="189"/>
      <c r="AON116" s="189"/>
      <c r="AOO116" s="189"/>
      <c r="AOP116" s="189"/>
      <c r="AOQ116" s="189"/>
      <c r="AOR116" s="189"/>
      <c r="AOS116" s="189"/>
      <c r="AOT116" s="189"/>
      <c r="AOU116" s="189"/>
      <c r="AOV116" s="189"/>
      <c r="AOW116" s="189"/>
      <c r="AOX116" s="189"/>
      <c r="AOY116" s="189"/>
      <c r="AOZ116" s="189"/>
      <c r="APA116" s="189"/>
      <c r="APB116" s="189"/>
      <c r="APC116" s="189"/>
      <c r="APD116" s="189"/>
      <c r="APE116" s="189"/>
      <c r="APF116" s="189"/>
      <c r="APG116" s="189"/>
      <c r="APH116" s="189"/>
      <c r="API116" s="189"/>
      <c r="APJ116" s="189"/>
      <c r="APK116" s="189"/>
      <c r="APL116" s="189"/>
      <c r="APM116" s="189"/>
      <c r="APN116" s="189"/>
      <c r="APO116" s="189"/>
      <c r="APP116" s="189"/>
      <c r="APQ116" s="189"/>
      <c r="APR116" s="189"/>
      <c r="APS116" s="189"/>
      <c r="APT116" s="189"/>
      <c r="APU116" s="189"/>
      <c r="APV116" s="189"/>
      <c r="APW116" s="189"/>
      <c r="APX116" s="189"/>
      <c r="APY116" s="189"/>
      <c r="APZ116" s="189"/>
      <c r="AQA116" s="189"/>
      <c r="AQB116" s="189"/>
      <c r="AQC116" s="189"/>
      <c r="AQD116" s="189"/>
      <c r="AQE116" s="189"/>
      <c r="AQF116" s="189"/>
      <c r="AQG116" s="189"/>
      <c r="AQH116" s="189"/>
      <c r="AQI116" s="189"/>
      <c r="AQJ116" s="189"/>
      <c r="AQK116" s="189"/>
      <c r="AQL116" s="189"/>
      <c r="AQM116" s="189"/>
      <c r="AQN116" s="189"/>
      <c r="AQO116" s="189"/>
      <c r="AQP116" s="189"/>
      <c r="AQQ116" s="189"/>
      <c r="AQR116" s="189"/>
      <c r="AQS116" s="189"/>
      <c r="AQT116" s="189"/>
      <c r="AQU116" s="189"/>
      <c r="AQV116" s="189"/>
      <c r="AQW116" s="189"/>
      <c r="AQX116" s="189"/>
      <c r="AQY116" s="189"/>
      <c r="AQZ116" s="189"/>
      <c r="ARA116" s="189"/>
      <c r="ARB116" s="189"/>
      <c r="ARC116" s="189"/>
      <c r="ARD116" s="189"/>
      <c r="ARE116" s="189"/>
      <c r="ARF116" s="189"/>
      <c r="ARG116" s="189"/>
      <c r="ARH116" s="189"/>
      <c r="ARI116" s="189"/>
      <c r="ARJ116" s="189"/>
      <c r="ARK116" s="189"/>
      <c r="ARL116" s="189"/>
      <c r="ARM116" s="189"/>
      <c r="ARN116" s="189"/>
      <c r="ARO116" s="189"/>
      <c r="ARP116" s="189"/>
      <c r="ARQ116" s="189"/>
      <c r="ARR116" s="189"/>
      <c r="ARS116" s="189"/>
      <c r="ART116" s="189"/>
      <c r="ARU116" s="189"/>
      <c r="ARV116" s="189"/>
      <c r="ARW116" s="189"/>
      <c r="ARX116" s="189"/>
      <c r="ARY116" s="189"/>
      <c r="ARZ116" s="189"/>
      <c r="ASA116" s="189"/>
      <c r="ASB116" s="189"/>
      <c r="ASC116" s="189"/>
      <c r="ASD116" s="189"/>
      <c r="ASE116" s="189"/>
      <c r="ASF116" s="189"/>
      <c r="ASG116" s="189"/>
      <c r="ASH116" s="189"/>
      <c r="ASI116" s="189"/>
      <c r="ASJ116" s="189"/>
      <c r="ASK116" s="189"/>
      <c r="ASL116" s="189"/>
      <c r="ASM116" s="189"/>
      <c r="ASN116" s="189"/>
      <c r="ASO116" s="189"/>
      <c r="ASP116" s="189"/>
      <c r="ASQ116" s="189"/>
      <c r="ASR116" s="189"/>
      <c r="ASS116" s="189"/>
      <c r="AST116" s="189"/>
      <c r="ASU116" s="189"/>
      <c r="ASV116" s="189"/>
      <c r="ASW116" s="189"/>
      <c r="ASX116" s="189"/>
      <c r="ASY116" s="189"/>
      <c r="ASZ116" s="189"/>
      <c r="ATA116" s="189"/>
      <c r="ATB116" s="189"/>
      <c r="ATC116" s="189"/>
      <c r="ATD116" s="189"/>
      <c r="ATE116" s="189"/>
      <c r="ATF116" s="189"/>
      <c r="ATG116" s="189"/>
      <c r="ATH116" s="189"/>
      <c r="ATI116" s="189"/>
      <c r="ATJ116" s="189"/>
      <c r="ATK116" s="189"/>
      <c r="ATL116" s="189"/>
      <c r="ATM116" s="189"/>
      <c r="ATN116" s="189"/>
      <c r="ATO116" s="189"/>
      <c r="ATP116" s="189"/>
      <c r="ATQ116" s="189"/>
      <c r="ATR116" s="189"/>
      <c r="ATS116" s="189"/>
      <c r="ATT116" s="189"/>
      <c r="ATU116" s="189"/>
      <c r="ATV116" s="189"/>
      <c r="ATW116" s="189"/>
      <c r="ATX116" s="189"/>
      <c r="ATY116" s="189"/>
      <c r="ATZ116" s="189"/>
      <c r="AUA116" s="189"/>
      <c r="AUB116" s="189"/>
      <c r="AUC116" s="189"/>
      <c r="AUD116" s="189"/>
      <c r="AUE116" s="189"/>
      <c r="AUF116" s="189"/>
      <c r="AUG116" s="189"/>
      <c r="AUH116" s="189"/>
      <c r="AUI116" s="189"/>
      <c r="AUJ116" s="189"/>
      <c r="AUK116" s="189"/>
      <c r="AUL116" s="189"/>
      <c r="AUM116" s="189"/>
      <c r="AUN116" s="189"/>
      <c r="AUO116" s="189"/>
      <c r="AUP116" s="189"/>
      <c r="AUQ116" s="189"/>
      <c r="AUR116" s="189"/>
      <c r="AUS116" s="189"/>
      <c r="AUT116" s="189"/>
      <c r="AUU116" s="189"/>
      <c r="AUV116" s="189"/>
      <c r="AUW116" s="189"/>
      <c r="AUX116" s="189"/>
      <c r="AUY116" s="189"/>
      <c r="AUZ116" s="189"/>
      <c r="AVA116" s="189"/>
      <c r="AVB116" s="189"/>
      <c r="AVC116" s="189"/>
      <c r="AVD116" s="189"/>
      <c r="AVE116" s="189"/>
      <c r="AVF116" s="189"/>
      <c r="AVG116" s="189"/>
      <c r="AVH116" s="189"/>
      <c r="AVI116" s="189"/>
      <c r="AVJ116" s="189"/>
      <c r="AVK116" s="189"/>
      <c r="AVL116" s="189"/>
      <c r="AVM116" s="189"/>
      <c r="AVN116" s="189"/>
      <c r="AVO116" s="189"/>
      <c r="AVP116" s="189"/>
      <c r="AVQ116" s="189"/>
      <c r="AVR116" s="189"/>
      <c r="AVS116" s="189"/>
      <c r="AVT116" s="189"/>
      <c r="AVU116" s="189"/>
      <c r="AVV116" s="189"/>
      <c r="AVW116" s="189"/>
      <c r="AVX116" s="189"/>
      <c r="AVY116" s="189"/>
      <c r="AVZ116" s="189"/>
      <c r="AWA116" s="189"/>
      <c r="AWB116" s="189"/>
      <c r="AWC116" s="189"/>
      <c r="AWD116" s="189"/>
      <c r="AWE116" s="189"/>
      <c r="AWF116" s="189"/>
      <c r="AWG116" s="189"/>
      <c r="AWH116" s="189"/>
      <c r="AWI116" s="189"/>
      <c r="AWJ116" s="189"/>
      <c r="AWK116" s="189"/>
      <c r="AWL116" s="189"/>
      <c r="AWM116" s="189"/>
      <c r="AWN116" s="189"/>
      <c r="AWO116" s="189"/>
      <c r="AWP116" s="189"/>
      <c r="AWQ116" s="189"/>
      <c r="AWR116" s="189"/>
      <c r="AWS116" s="189"/>
      <c r="AWT116" s="189"/>
      <c r="AWU116" s="189"/>
      <c r="AWV116" s="189"/>
      <c r="AWW116" s="189"/>
      <c r="AWX116" s="189"/>
      <c r="AWY116" s="189"/>
      <c r="AWZ116" s="189"/>
      <c r="AXA116" s="189"/>
      <c r="AXB116" s="189"/>
      <c r="AXC116" s="189"/>
      <c r="AXD116" s="189"/>
      <c r="AXE116" s="189"/>
      <c r="AXF116" s="189"/>
      <c r="AXG116" s="189"/>
      <c r="AXH116" s="189"/>
      <c r="AXI116" s="189"/>
      <c r="AXJ116" s="189"/>
      <c r="AXK116" s="189"/>
      <c r="AXL116" s="189"/>
      <c r="AXM116" s="189"/>
      <c r="AXN116" s="189"/>
      <c r="AXO116" s="189"/>
      <c r="AXP116" s="189"/>
      <c r="AXQ116" s="189"/>
      <c r="AXR116" s="189"/>
      <c r="AXS116" s="189"/>
      <c r="AXT116" s="189"/>
      <c r="AXU116" s="189"/>
      <c r="AXV116" s="189"/>
      <c r="AXW116" s="189"/>
      <c r="AXX116" s="189"/>
      <c r="AXY116" s="189"/>
      <c r="AXZ116" s="189"/>
      <c r="AYA116" s="189"/>
      <c r="AYB116" s="189"/>
      <c r="AYC116" s="189"/>
      <c r="AYD116" s="189"/>
      <c r="AYE116" s="189"/>
      <c r="AYF116" s="189"/>
      <c r="AYG116" s="189"/>
      <c r="AYH116" s="189"/>
      <c r="AYI116" s="189"/>
      <c r="AYJ116" s="189"/>
      <c r="AYK116" s="189"/>
      <c r="AYL116" s="189"/>
      <c r="AYM116" s="189"/>
      <c r="AYN116" s="189"/>
      <c r="AYO116" s="189"/>
      <c r="AYP116" s="189"/>
      <c r="AYQ116" s="189"/>
      <c r="AYR116" s="189"/>
      <c r="AYS116" s="189"/>
      <c r="AYT116" s="189"/>
      <c r="AYU116" s="189"/>
      <c r="AYV116" s="189"/>
      <c r="AYW116" s="189"/>
      <c r="AYX116" s="189"/>
      <c r="AYY116" s="189"/>
      <c r="AYZ116" s="189"/>
      <c r="AZA116" s="189"/>
      <c r="AZB116" s="189"/>
      <c r="AZC116" s="189"/>
      <c r="AZD116" s="189"/>
      <c r="AZE116" s="189"/>
      <c r="AZF116" s="189"/>
      <c r="AZG116" s="189"/>
      <c r="AZH116" s="189"/>
      <c r="AZI116" s="189"/>
      <c r="AZJ116" s="189"/>
      <c r="AZK116" s="189"/>
      <c r="AZL116" s="189"/>
      <c r="AZM116" s="189"/>
      <c r="AZN116" s="189"/>
      <c r="AZO116" s="189"/>
      <c r="AZP116" s="189"/>
      <c r="AZQ116" s="189"/>
      <c r="AZR116" s="189"/>
      <c r="AZS116" s="189"/>
      <c r="AZT116" s="189"/>
      <c r="AZU116" s="189"/>
      <c r="AZV116" s="189"/>
      <c r="AZW116" s="189"/>
      <c r="AZX116" s="189"/>
      <c r="AZY116" s="189"/>
      <c r="AZZ116" s="189"/>
      <c r="BAA116" s="189"/>
      <c r="BAB116" s="189"/>
      <c r="BAC116" s="189"/>
      <c r="BAD116" s="189"/>
      <c r="BAE116" s="189"/>
      <c r="BAF116" s="189"/>
      <c r="BAG116" s="189"/>
      <c r="BAH116" s="189"/>
      <c r="BAI116" s="189"/>
      <c r="BAJ116" s="189"/>
      <c r="BAK116" s="189"/>
      <c r="BAL116" s="189"/>
      <c r="BAM116" s="189"/>
      <c r="BAN116" s="189"/>
      <c r="BAO116" s="189"/>
      <c r="BAP116" s="189"/>
      <c r="BAQ116" s="189"/>
      <c r="BAR116" s="189"/>
      <c r="BAS116" s="189"/>
      <c r="BAT116" s="189"/>
      <c r="BAU116" s="189"/>
      <c r="BAV116" s="189"/>
      <c r="BAW116" s="189"/>
      <c r="BAX116" s="189"/>
      <c r="BAY116" s="189"/>
      <c r="BAZ116" s="189"/>
      <c r="BBA116" s="189"/>
      <c r="BBB116" s="189"/>
      <c r="BBC116" s="189"/>
      <c r="BBD116" s="189"/>
      <c r="BBE116" s="189"/>
      <c r="BBF116" s="189"/>
      <c r="BBG116" s="189"/>
      <c r="BBH116" s="189"/>
      <c r="BBI116" s="189"/>
      <c r="BBJ116" s="189"/>
      <c r="BBK116" s="189"/>
      <c r="BBL116" s="189"/>
      <c r="BBM116" s="189"/>
      <c r="BBN116" s="189"/>
      <c r="BBO116" s="189"/>
      <c r="BBP116" s="189"/>
      <c r="BBQ116" s="189"/>
      <c r="BBR116" s="189"/>
      <c r="BBS116" s="189"/>
      <c r="BBT116" s="189"/>
      <c r="BBU116" s="189"/>
      <c r="BBV116" s="189"/>
      <c r="BBW116" s="189"/>
      <c r="BBX116" s="189"/>
      <c r="BBY116" s="189"/>
      <c r="BBZ116" s="189"/>
      <c r="BCA116" s="189"/>
      <c r="BCB116" s="189"/>
      <c r="BCC116" s="189"/>
      <c r="BCD116" s="189"/>
      <c r="BCE116" s="189"/>
      <c r="BCF116" s="189"/>
      <c r="BCG116" s="189"/>
      <c r="BCH116" s="189"/>
      <c r="BCI116" s="189"/>
      <c r="BCJ116" s="189"/>
      <c r="BCK116" s="189"/>
      <c r="BCL116" s="189"/>
      <c r="BCM116" s="189"/>
      <c r="BCN116" s="189"/>
      <c r="BCO116" s="189"/>
      <c r="BCP116" s="189"/>
      <c r="BCQ116" s="189"/>
      <c r="BCR116" s="189"/>
      <c r="BCS116" s="189"/>
      <c r="BCT116" s="189"/>
      <c r="BCU116" s="189"/>
      <c r="BCV116" s="189"/>
      <c r="BCW116" s="189"/>
      <c r="BCX116" s="189"/>
      <c r="BCY116" s="189"/>
      <c r="BCZ116" s="189"/>
      <c r="BDA116" s="189"/>
      <c r="BDB116" s="189"/>
      <c r="BDC116" s="189"/>
      <c r="BDD116" s="189"/>
      <c r="BDE116" s="189"/>
      <c r="BDF116" s="189"/>
      <c r="BDG116" s="189"/>
      <c r="BDH116" s="189"/>
      <c r="BDI116" s="189"/>
      <c r="BDJ116" s="189"/>
      <c r="BDK116" s="189"/>
      <c r="BDL116" s="189"/>
      <c r="BDM116" s="189"/>
      <c r="BDN116" s="189"/>
      <c r="BDO116" s="189"/>
      <c r="BDP116" s="189"/>
      <c r="BDQ116" s="189"/>
      <c r="BDR116" s="189"/>
      <c r="BDS116" s="189"/>
      <c r="BDT116" s="189"/>
      <c r="BDU116" s="189"/>
      <c r="BDV116" s="189"/>
      <c r="BDW116" s="189"/>
      <c r="BDX116" s="189"/>
      <c r="BDY116" s="189"/>
      <c r="BDZ116" s="189"/>
      <c r="BEA116" s="189"/>
      <c r="BEB116" s="189"/>
      <c r="BEC116" s="189"/>
      <c r="BED116" s="189"/>
      <c r="BEE116" s="189"/>
      <c r="BEF116" s="189"/>
      <c r="BEG116" s="189"/>
      <c r="BEH116" s="189"/>
      <c r="BEI116" s="189"/>
      <c r="BEJ116" s="189"/>
      <c r="BEK116" s="189"/>
      <c r="BEL116" s="189"/>
      <c r="BEM116" s="189"/>
      <c r="BEN116" s="189"/>
      <c r="BEO116" s="189"/>
      <c r="BEP116" s="189"/>
      <c r="BEQ116" s="189"/>
      <c r="BER116" s="189"/>
      <c r="BES116" s="189"/>
      <c r="BET116" s="189"/>
      <c r="BEU116" s="189"/>
      <c r="BEV116" s="189"/>
      <c r="BEW116" s="189"/>
      <c r="BEX116" s="189"/>
      <c r="BEY116" s="189"/>
      <c r="BEZ116" s="189"/>
      <c r="BFA116" s="189"/>
      <c r="BFB116" s="189"/>
      <c r="BFC116" s="189"/>
      <c r="BFD116" s="189"/>
      <c r="BFE116" s="189"/>
      <c r="BFF116" s="189"/>
      <c r="BFG116" s="189"/>
      <c r="BFH116" s="189"/>
      <c r="BFI116" s="189"/>
      <c r="BFJ116" s="189"/>
      <c r="BFK116" s="189"/>
      <c r="BFL116" s="189"/>
      <c r="BFM116" s="189"/>
      <c r="BFN116" s="189"/>
      <c r="BFO116" s="189"/>
      <c r="BFP116" s="189"/>
      <c r="BFQ116" s="189"/>
      <c r="BFR116" s="189"/>
      <c r="BFS116" s="189"/>
      <c r="BFT116" s="189"/>
      <c r="BFU116" s="189"/>
      <c r="BFV116" s="189"/>
      <c r="BFW116" s="189"/>
      <c r="BFX116" s="189"/>
      <c r="BFY116" s="189"/>
      <c r="BFZ116" s="189"/>
      <c r="BGA116" s="189"/>
      <c r="BGB116" s="189"/>
      <c r="BGC116" s="189"/>
      <c r="BGD116" s="189"/>
      <c r="BGE116" s="189"/>
      <c r="BGF116" s="189"/>
      <c r="BGG116" s="189"/>
      <c r="BGH116" s="189"/>
      <c r="BGI116" s="189"/>
      <c r="BGJ116" s="189"/>
      <c r="BGK116" s="189"/>
      <c r="BGL116" s="189"/>
      <c r="BGM116" s="189"/>
      <c r="BGN116" s="189"/>
      <c r="BGO116" s="189"/>
      <c r="BGP116" s="189"/>
      <c r="BGQ116" s="189"/>
      <c r="BGR116" s="189"/>
      <c r="BGS116" s="189"/>
      <c r="BGT116" s="189"/>
      <c r="BGU116" s="189"/>
      <c r="BGV116" s="189"/>
      <c r="BGW116" s="189"/>
      <c r="BGX116" s="189"/>
      <c r="BGY116" s="189"/>
      <c r="BGZ116" s="189"/>
      <c r="BHA116" s="189"/>
      <c r="BHB116" s="189"/>
      <c r="BHC116" s="189"/>
      <c r="BHD116" s="189"/>
      <c r="BHE116" s="189"/>
      <c r="BHF116" s="189"/>
      <c r="BHG116" s="189"/>
      <c r="BHH116" s="189"/>
      <c r="BHI116" s="189"/>
      <c r="BHJ116" s="189"/>
      <c r="BHK116" s="189"/>
      <c r="BHL116" s="189"/>
      <c r="BHM116" s="189"/>
      <c r="BHN116" s="189"/>
      <c r="BHO116" s="189"/>
      <c r="BHP116" s="189"/>
      <c r="BHQ116" s="189"/>
      <c r="BHR116" s="189"/>
      <c r="BHS116" s="189"/>
      <c r="BHT116" s="189"/>
      <c r="BHU116" s="189"/>
      <c r="BHV116" s="189"/>
      <c r="BHW116" s="189"/>
      <c r="BHX116" s="189"/>
      <c r="BHY116" s="189"/>
      <c r="BHZ116" s="189"/>
      <c r="BIA116" s="189"/>
      <c r="BIB116" s="189"/>
      <c r="BIC116" s="189"/>
      <c r="BID116" s="189"/>
      <c r="BIE116" s="189"/>
      <c r="BIF116" s="189"/>
      <c r="BIG116" s="189"/>
      <c r="BIH116" s="189"/>
      <c r="BII116" s="189"/>
      <c r="BIJ116" s="189"/>
      <c r="BIK116" s="189"/>
      <c r="BIL116" s="189"/>
      <c r="BIM116" s="189"/>
      <c r="BIN116" s="189"/>
      <c r="BIO116" s="189"/>
      <c r="BIP116" s="189"/>
      <c r="BIQ116" s="189"/>
      <c r="BIR116" s="189"/>
      <c r="BIS116" s="189"/>
      <c r="BIT116" s="189"/>
      <c r="BIU116" s="189"/>
      <c r="BIV116" s="189"/>
      <c r="BIW116" s="189"/>
      <c r="BIX116" s="189"/>
      <c r="BIY116" s="189"/>
      <c r="BIZ116" s="189"/>
      <c r="BJA116" s="189"/>
      <c r="BJB116" s="189"/>
      <c r="BJC116" s="189"/>
      <c r="BJD116" s="189"/>
      <c r="BJE116" s="189"/>
      <c r="BJF116" s="189"/>
      <c r="BJG116" s="189"/>
      <c r="BJH116" s="189"/>
      <c r="BJI116" s="189"/>
      <c r="BJJ116" s="189"/>
      <c r="BJK116" s="189"/>
      <c r="BJL116" s="189"/>
      <c r="BJM116" s="189"/>
      <c r="BJN116" s="189"/>
      <c r="BJO116" s="189"/>
      <c r="BJP116" s="189"/>
      <c r="BJQ116" s="189"/>
      <c r="BJR116" s="189"/>
      <c r="BJS116" s="189"/>
      <c r="BJT116" s="189"/>
      <c r="BJU116" s="189"/>
      <c r="BJV116" s="189"/>
      <c r="BJW116" s="189"/>
      <c r="BJX116" s="189"/>
      <c r="BJY116" s="189"/>
      <c r="BJZ116" s="189"/>
      <c r="BKA116" s="189"/>
      <c r="BKB116" s="189"/>
      <c r="BKC116" s="189"/>
      <c r="BKD116" s="189"/>
      <c r="BKE116" s="189"/>
      <c r="BKF116" s="189"/>
      <c r="BKG116" s="189"/>
      <c r="BKH116" s="189"/>
      <c r="BKI116" s="189"/>
      <c r="BKJ116" s="189"/>
      <c r="BKK116" s="189"/>
      <c r="BKL116" s="189"/>
      <c r="BKM116" s="189"/>
      <c r="BKN116" s="189"/>
      <c r="BKO116" s="189"/>
      <c r="BKP116" s="189"/>
      <c r="BKQ116" s="189"/>
      <c r="BKR116" s="189"/>
      <c r="BKS116" s="189"/>
      <c r="BKT116" s="189"/>
      <c r="BKU116" s="189"/>
      <c r="BKV116" s="189"/>
      <c r="BKW116" s="189"/>
      <c r="BKX116" s="189"/>
      <c r="BKY116" s="189"/>
      <c r="BKZ116" s="189"/>
      <c r="BLA116" s="189"/>
      <c r="BLB116" s="189"/>
      <c r="BLC116" s="189"/>
      <c r="BLD116" s="189"/>
      <c r="BLE116" s="189"/>
      <c r="BLF116" s="189"/>
      <c r="BLG116" s="189"/>
      <c r="BLH116" s="189"/>
      <c r="BLI116" s="189"/>
      <c r="BLJ116" s="189"/>
      <c r="BLK116" s="189"/>
      <c r="BLL116" s="189"/>
      <c r="BLM116" s="189"/>
      <c r="BLN116" s="189"/>
      <c r="BLO116" s="189"/>
      <c r="BLP116" s="189"/>
      <c r="BLQ116" s="189"/>
      <c r="BLR116" s="189"/>
      <c r="BLS116" s="189"/>
      <c r="BLT116" s="189"/>
      <c r="BLU116" s="189"/>
      <c r="BLV116" s="189"/>
      <c r="BLW116" s="189"/>
      <c r="BLX116" s="189"/>
      <c r="BLY116" s="189"/>
      <c r="BLZ116" s="189"/>
      <c r="BMA116" s="189"/>
      <c r="BMB116" s="189"/>
      <c r="BMC116" s="189"/>
      <c r="BMD116" s="189"/>
      <c r="BME116" s="189"/>
      <c r="BMF116" s="189"/>
      <c r="BMG116" s="189"/>
      <c r="BMH116" s="189"/>
      <c r="BMI116" s="189"/>
      <c r="BMJ116" s="189"/>
      <c r="BMK116" s="189"/>
      <c r="BML116" s="189"/>
      <c r="BMM116" s="189"/>
      <c r="BMN116" s="189"/>
      <c r="BMO116" s="189"/>
      <c r="BMP116" s="189"/>
      <c r="BMQ116" s="189"/>
      <c r="BMR116" s="189"/>
      <c r="BMS116" s="189"/>
      <c r="BMT116" s="189"/>
      <c r="BMU116" s="189"/>
      <c r="BMV116" s="189"/>
      <c r="BMW116" s="189"/>
      <c r="BMX116" s="189"/>
      <c r="BMY116" s="189"/>
      <c r="BMZ116" s="189"/>
      <c r="BNA116" s="189"/>
      <c r="BNB116" s="189"/>
      <c r="BNC116" s="189"/>
      <c r="BND116" s="189"/>
      <c r="BNE116" s="189"/>
      <c r="BNF116" s="189"/>
      <c r="BNG116" s="189"/>
      <c r="BNH116" s="189"/>
      <c r="BNI116" s="189"/>
      <c r="BNJ116" s="189"/>
      <c r="BNK116" s="189"/>
      <c r="BNL116" s="189"/>
      <c r="BNM116" s="189"/>
      <c r="BNN116" s="189"/>
      <c r="BNO116" s="189"/>
      <c r="BNP116" s="189"/>
      <c r="BNQ116" s="189"/>
      <c r="BNR116" s="189"/>
      <c r="BNS116" s="189"/>
      <c r="BNT116" s="189"/>
      <c r="BNU116" s="189"/>
      <c r="BNV116" s="189"/>
      <c r="BNW116" s="189"/>
      <c r="BNX116" s="189"/>
      <c r="BNY116" s="189"/>
      <c r="BNZ116" s="189"/>
      <c r="BOA116" s="189"/>
      <c r="BOB116" s="189"/>
      <c r="BOC116" s="189"/>
      <c r="BOD116" s="189"/>
      <c r="BOE116" s="189"/>
      <c r="BOF116" s="189"/>
      <c r="BOG116" s="189"/>
      <c r="BOH116" s="189"/>
      <c r="BOI116" s="189"/>
      <c r="BOJ116" s="189"/>
      <c r="BOK116" s="189"/>
      <c r="BOL116" s="189"/>
      <c r="BOM116" s="189"/>
      <c r="BON116" s="189"/>
      <c r="BOO116" s="189"/>
      <c r="BOP116" s="189"/>
      <c r="BOQ116" s="189"/>
      <c r="BOR116" s="189"/>
      <c r="BOS116" s="189"/>
      <c r="BOT116" s="189"/>
      <c r="BOU116" s="189"/>
      <c r="BOV116" s="189"/>
      <c r="BOW116" s="189"/>
      <c r="BOX116" s="189"/>
      <c r="BOY116" s="189"/>
      <c r="BOZ116" s="189"/>
      <c r="BPA116" s="189"/>
      <c r="BPB116" s="189"/>
      <c r="BPC116" s="189"/>
      <c r="BPD116" s="189"/>
      <c r="BPE116" s="189"/>
      <c r="BPF116" s="189"/>
      <c r="BPG116" s="189"/>
      <c r="BPH116" s="189"/>
      <c r="BPI116" s="189"/>
      <c r="BPJ116" s="189"/>
      <c r="BPK116" s="189"/>
      <c r="BPL116" s="189"/>
      <c r="BPM116" s="189"/>
      <c r="BPN116" s="189"/>
      <c r="BPO116" s="189"/>
      <c r="BPP116" s="189"/>
      <c r="BPQ116" s="189"/>
      <c r="BPR116" s="189"/>
      <c r="BPS116" s="189"/>
      <c r="BPT116" s="189"/>
      <c r="BPU116" s="189"/>
      <c r="BPV116" s="189"/>
      <c r="BPW116" s="189"/>
      <c r="BPX116" s="189"/>
      <c r="BPY116" s="189"/>
      <c r="BPZ116" s="189"/>
      <c r="BQA116" s="189"/>
      <c r="BQB116" s="189"/>
      <c r="BQC116" s="189"/>
      <c r="BQD116" s="189"/>
      <c r="BQE116" s="189"/>
      <c r="BQF116" s="189"/>
      <c r="BQG116" s="189"/>
      <c r="BQH116" s="189"/>
      <c r="BQI116" s="189"/>
      <c r="BQJ116" s="189"/>
      <c r="BQK116" s="189"/>
      <c r="BQL116" s="189"/>
      <c r="BQM116" s="189"/>
      <c r="BQN116" s="189"/>
      <c r="BQO116" s="189"/>
      <c r="BQP116" s="189"/>
      <c r="BQQ116" s="189"/>
      <c r="BQR116" s="189"/>
      <c r="BQS116" s="189"/>
      <c r="BQT116" s="189"/>
      <c r="BQU116" s="189"/>
      <c r="BQV116" s="189"/>
      <c r="BQW116" s="189"/>
      <c r="BQX116" s="189"/>
      <c r="BQY116" s="189"/>
      <c r="BQZ116" s="189"/>
      <c r="BRA116" s="189"/>
      <c r="BRB116" s="189"/>
      <c r="BRC116" s="189"/>
      <c r="BRD116" s="189"/>
      <c r="BRE116" s="189"/>
      <c r="BRF116" s="189"/>
      <c r="BRG116" s="189"/>
      <c r="BRH116" s="189"/>
      <c r="BRI116" s="189"/>
      <c r="BRJ116" s="189"/>
      <c r="BRK116" s="189"/>
      <c r="BRL116" s="189"/>
      <c r="BRM116" s="189"/>
      <c r="BRN116" s="189"/>
      <c r="BRO116" s="189"/>
      <c r="BRP116" s="189"/>
      <c r="BRQ116" s="189"/>
      <c r="BRR116" s="189"/>
      <c r="BRS116" s="189"/>
      <c r="BRT116" s="189"/>
      <c r="BRU116" s="189"/>
      <c r="BRV116" s="189"/>
      <c r="BRW116" s="189"/>
      <c r="BRX116" s="189"/>
      <c r="BRY116" s="189"/>
      <c r="BRZ116" s="189"/>
      <c r="BSA116" s="189"/>
      <c r="BSB116" s="189"/>
      <c r="BSC116" s="189"/>
      <c r="BSD116" s="189"/>
      <c r="BSE116" s="189"/>
      <c r="BSF116" s="189"/>
      <c r="BSG116" s="189"/>
      <c r="BSH116" s="189"/>
      <c r="BSI116" s="189"/>
      <c r="BSJ116" s="189"/>
      <c r="BSK116" s="189"/>
      <c r="BSL116" s="189"/>
      <c r="BSM116" s="189"/>
      <c r="BSN116" s="189"/>
      <c r="BSO116" s="189"/>
      <c r="BSP116" s="189"/>
      <c r="BSQ116" s="189"/>
      <c r="BSR116" s="189"/>
      <c r="BSS116" s="189"/>
      <c r="BST116" s="189"/>
      <c r="BSU116" s="189"/>
      <c r="BSV116" s="189"/>
      <c r="BSW116" s="189"/>
      <c r="BSX116" s="189"/>
      <c r="BSY116" s="189"/>
      <c r="BSZ116" s="189"/>
      <c r="BTA116" s="189"/>
      <c r="BTB116" s="189"/>
      <c r="BTC116" s="189"/>
      <c r="BTD116" s="189"/>
      <c r="BTE116" s="189"/>
      <c r="BTF116" s="189"/>
      <c r="BTG116" s="189"/>
      <c r="BTH116" s="189"/>
      <c r="BTI116" s="189"/>
      <c r="BTJ116" s="189"/>
      <c r="BTK116" s="189"/>
      <c r="BTL116" s="189"/>
      <c r="BTM116" s="189"/>
      <c r="BTN116" s="189"/>
      <c r="BTO116" s="189"/>
      <c r="BTP116" s="189"/>
      <c r="BTQ116" s="189"/>
      <c r="BTR116" s="189"/>
      <c r="BTS116" s="189"/>
      <c r="BTT116" s="189"/>
      <c r="BTU116" s="189"/>
      <c r="BTV116" s="189"/>
      <c r="BTW116" s="189"/>
      <c r="BTX116" s="189"/>
      <c r="BTY116" s="189"/>
      <c r="BTZ116" s="189"/>
      <c r="BUA116" s="189"/>
      <c r="BUB116" s="189"/>
      <c r="BUC116" s="189"/>
      <c r="BUD116" s="189"/>
      <c r="BUE116" s="189"/>
      <c r="BUF116" s="189"/>
      <c r="BUG116" s="189"/>
      <c r="BUH116" s="189"/>
      <c r="BUI116" s="189"/>
      <c r="BUJ116" s="189"/>
      <c r="BUK116" s="189"/>
      <c r="BUL116" s="189"/>
      <c r="BUM116" s="189"/>
      <c r="BUN116" s="189"/>
      <c r="BUO116" s="189"/>
      <c r="BUP116" s="189"/>
      <c r="BUQ116" s="189"/>
      <c r="BUR116" s="189"/>
      <c r="BUS116" s="189"/>
      <c r="BUT116" s="189"/>
      <c r="BUU116" s="189"/>
      <c r="BUV116" s="189"/>
      <c r="BUW116" s="189"/>
      <c r="BUX116" s="189"/>
      <c r="BUY116" s="189"/>
      <c r="BUZ116" s="189"/>
      <c r="BVA116" s="189"/>
      <c r="BVB116" s="189"/>
      <c r="BVC116" s="189"/>
      <c r="BVD116" s="189"/>
      <c r="BVE116" s="189"/>
      <c r="BVF116" s="189"/>
      <c r="BVG116" s="189"/>
      <c r="BVH116" s="189"/>
      <c r="BVI116" s="189"/>
      <c r="BVJ116" s="189"/>
      <c r="BVK116" s="189"/>
      <c r="BVL116" s="189"/>
      <c r="BVM116" s="189"/>
      <c r="BVN116" s="189"/>
      <c r="BVO116" s="189"/>
      <c r="BVP116" s="189"/>
      <c r="BVQ116" s="189"/>
      <c r="BVR116" s="189"/>
      <c r="BVS116" s="189"/>
      <c r="BVT116" s="189"/>
      <c r="BVU116" s="189"/>
      <c r="BVV116" s="189"/>
      <c r="BVW116" s="189"/>
      <c r="BVX116" s="189"/>
      <c r="BVY116" s="189"/>
      <c r="BVZ116" s="189"/>
      <c r="BWA116" s="189"/>
      <c r="BWB116" s="189"/>
      <c r="BWC116" s="189"/>
      <c r="BWD116" s="189"/>
      <c r="BWE116" s="189"/>
      <c r="BWF116" s="189"/>
      <c r="BWG116" s="189"/>
      <c r="BWH116" s="189"/>
      <c r="BWI116" s="189"/>
      <c r="BWJ116" s="189"/>
      <c r="BWK116" s="189"/>
      <c r="BWL116" s="189"/>
      <c r="BWM116" s="189"/>
      <c r="BWN116" s="189"/>
      <c r="BWO116" s="189"/>
      <c r="BWP116" s="189"/>
      <c r="BWQ116" s="189"/>
      <c r="BWR116" s="189"/>
      <c r="BWS116" s="189"/>
      <c r="BWT116" s="189"/>
      <c r="BWU116" s="189"/>
      <c r="BWV116" s="189"/>
      <c r="BWW116" s="189"/>
      <c r="BWX116" s="189"/>
      <c r="BWY116" s="189"/>
      <c r="BWZ116" s="189"/>
      <c r="BXA116" s="189"/>
      <c r="BXB116" s="189"/>
      <c r="BXC116" s="189"/>
      <c r="BXD116" s="189"/>
      <c r="BXE116" s="189"/>
      <c r="BXF116" s="189"/>
      <c r="BXG116" s="189"/>
      <c r="BXH116" s="189"/>
      <c r="BXI116" s="189"/>
      <c r="BXJ116" s="189"/>
      <c r="BXK116" s="189"/>
      <c r="BXL116" s="189"/>
      <c r="BXM116" s="189"/>
      <c r="BXN116" s="189"/>
      <c r="BXO116" s="189"/>
      <c r="BXP116" s="189"/>
      <c r="BXQ116" s="189"/>
      <c r="BXR116" s="189"/>
      <c r="BXS116" s="189"/>
      <c r="BXT116" s="189"/>
      <c r="BXU116" s="189"/>
      <c r="BXV116" s="189"/>
      <c r="BXW116" s="189"/>
      <c r="BXX116" s="189"/>
      <c r="BXY116" s="189"/>
      <c r="BXZ116" s="189"/>
      <c r="BYA116" s="189"/>
      <c r="BYB116" s="189"/>
      <c r="BYC116" s="189"/>
      <c r="BYD116" s="189"/>
      <c r="BYE116" s="189"/>
      <c r="BYF116" s="189"/>
      <c r="BYG116" s="189"/>
      <c r="BYH116" s="189"/>
      <c r="BYI116" s="189"/>
      <c r="BYJ116" s="189"/>
      <c r="BYK116" s="189"/>
      <c r="BYL116" s="189"/>
      <c r="BYM116" s="189"/>
      <c r="BYN116" s="189"/>
      <c r="BYO116" s="189"/>
      <c r="BYP116" s="189"/>
      <c r="BYQ116" s="189"/>
      <c r="BYR116" s="189"/>
      <c r="BYS116" s="189"/>
      <c r="BYT116" s="189"/>
      <c r="BYU116" s="189"/>
      <c r="BYV116" s="189"/>
      <c r="BYW116" s="189"/>
      <c r="BYX116" s="189"/>
      <c r="BYY116" s="189"/>
      <c r="BYZ116" s="189"/>
      <c r="BZA116" s="189"/>
      <c r="BZB116" s="189"/>
      <c r="BZC116" s="189"/>
      <c r="BZD116" s="189"/>
      <c r="BZE116" s="189"/>
      <c r="BZF116" s="189"/>
      <c r="BZG116" s="189"/>
      <c r="BZH116" s="189"/>
      <c r="BZI116" s="189"/>
      <c r="BZJ116" s="189"/>
      <c r="BZK116" s="189"/>
      <c r="BZL116" s="189"/>
      <c r="BZM116" s="189"/>
      <c r="BZN116" s="189"/>
      <c r="BZO116" s="189"/>
      <c r="BZP116" s="189"/>
      <c r="BZQ116" s="189"/>
      <c r="BZR116" s="189"/>
      <c r="BZS116" s="189"/>
      <c r="BZT116" s="189"/>
      <c r="BZU116" s="189"/>
      <c r="BZV116" s="189"/>
      <c r="BZW116" s="189"/>
      <c r="BZX116" s="189"/>
      <c r="BZY116" s="189"/>
      <c r="BZZ116" s="189"/>
      <c r="CAA116" s="189"/>
      <c r="CAB116" s="189"/>
      <c r="CAC116" s="189"/>
      <c r="CAD116" s="189"/>
      <c r="CAE116" s="189"/>
      <c r="CAF116" s="189"/>
      <c r="CAG116" s="189"/>
      <c r="CAH116" s="189"/>
      <c r="CAI116" s="189"/>
      <c r="CAJ116" s="189"/>
      <c r="CAK116" s="189"/>
      <c r="CAL116" s="189"/>
      <c r="CAM116" s="189"/>
      <c r="CAN116" s="189"/>
      <c r="CAO116" s="189"/>
      <c r="CAP116" s="189"/>
      <c r="CAQ116" s="189"/>
      <c r="CAR116" s="189"/>
      <c r="CAS116" s="189"/>
      <c r="CAT116" s="189"/>
      <c r="CAU116" s="189"/>
      <c r="CAV116" s="189"/>
      <c r="CAW116" s="189"/>
      <c r="CAX116" s="189"/>
      <c r="CAY116" s="189"/>
      <c r="CAZ116" s="189"/>
      <c r="CBA116" s="189"/>
      <c r="CBB116" s="189"/>
      <c r="CBC116" s="189"/>
      <c r="CBD116" s="189"/>
      <c r="CBE116" s="189"/>
      <c r="CBF116" s="189"/>
      <c r="CBG116" s="189"/>
      <c r="CBH116" s="189"/>
      <c r="CBI116" s="189"/>
      <c r="CBJ116" s="189"/>
      <c r="CBK116" s="189"/>
      <c r="CBL116" s="189"/>
      <c r="CBM116" s="189"/>
      <c r="CBN116" s="189"/>
      <c r="CBO116" s="189"/>
      <c r="CBP116" s="189"/>
      <c r="CBQ116" s="189"/>
      <c r="CBR116" s="189"/>
      <c r="CBS116" s="189"/>
      <c r="CBT116" s="189"/>
      <c r="CBU116" s="189"/>
      <c r="CBV116" s="189"/>
      <c r="CBW116" s="189"/>
      <c r="CBX116" s="189"/>
      <c r="CBY116" s="189"/>
      <c r="CBZ116" s="189"/>
      <c r="CCA116" s="189"/>
      <c r="CCB116" s="189"/>
      <c r="CCC116" s="189"/>
      <c r="CCD116" s="189"/>
      <c r="CCE116" s="189"/>
      <c r="CCF116" s="189"/>
      <c r="CCG116" s="189"/>
      <c r="CCH116" s="189"/>
      <c r="CCI116" s="189"/>
      <c r="CCJ116" s="189"/>
      <c r="CCK116" s="189"/>
      <c r="CCL116" s="189"/>
      <c r="CCM116" s="189"/>
      <c r="CCN116" s="189"/>
      <c r="CCO116" s="189"/>
      <c r="CCP116" s="189"/>
      <c r="CCQ116" s="189"/>
      <c r="CCR116" s="189"/>
      <c r="CCS116" s="189"/>
      <c r="CCT116" s="189"/>
      <c r="CCU116" s="189"/>
      <c r="CCV116" s="189"/>
      <c r="CCW116" s="189"/>
      <c r="CCX116" s="189"/>
      <c r="CCY116" s="189"/>
      <c r="CCZ116" s="189"/>
      <c r="CDA116" s="189"/>
      <c r="CDB116" s="189"/>
      <c r="CDC116" s="189"/>
      <c r="CDD116" s="189"/>
      <c r="CDE116" s="189"/>
      <c r="CDF116" s="189"/>
      <c r="CDG116" s="189"/>
      <c r="CDH116" s="189"/>
      <c r="CDI116" s="189"/>
      <c r="CDJ116" s="189"/>
      <c r="CDK116" s="189"/>
      <c r="CDL116" s="189"/>
      <c r="CDM116" s="189"/>
      <c r="CDN116" s="189"/>
      <c r="CDO116" s="189"/>
      <c r="CDP116" s="189"/>
      <c r="CDQ116" s="189"/>
      <c r="CDR116" s="189"/>
      <c r="CDS116" s="189"/>
      <c r="CDT116" s="189"/>
      <c r="CDU116" s="189"/>
      <c r="CDV116" s="189"/>
      <c r="CDW116" s="189"/>
      <c r="CDX116" s="189"/>
      <c r="CDY116" s="189"/>
      <c r="CDZ116" s="189"/>
      <c r="CEA116" s="189"/>
      <c r="CEB116" s="189"/>
      <c r="CEC116" s="189"/>
      <c r="CED116" s="189"/>
      <c r="CEE116" s="189"/>
      <c r="CEF116" s="189"/>
      <c r="CEG116" s="189"/>
      <c r="CEH116" s="189"/>
      <c r="CEI116" s="189"/>
      <c r="CEJ116" s="189"/>
      <c r="CEK116" s="189"/>
      <c r="CEL116" s="189"/>
      <c r="CEM116" s="189"/>
      <c r="CEN116" s="189"/>
      <c r="CEO116" s="189"/>
      <c r="CEP116" s="189"/>
      <c r="CEQ116" s="189"/>
      <c r="CER116" s="189"/>
      <c r="CES116" s="189"/>
      <c r="CET116" s="189"/>
      <c r="CEU116" s="189"/>
      <c r="CEV116" s="189"/>
      <c r="CEW116" s="189"/>
      <c r="CEX116" s="189"/>
      <c r="CEY116" s="189"/>
      <c r="CEZ116" s="189"/>
      <c r="CFA116" s="189"/>
      <c r="CFB116" s="189"/>
      <c r="CFC116" s="189"/>
      <c r="CFD116" s="189"/>
      <c r="CFE116" s="189"/>
      <c r="CFF116" s="189"/>
      <c r="CFG116" s="189"/>
      <c r="CFH116" s="189"/>
      <c r="CFI116" s="189"/>
      <c r="CFJ116" s="189"/>
      <c r="CFK116" s="189"/>
      <c r="CFL116" s="189"/>
      <c r="CFM116" s="189"/>
      <c r="CFN116" s="189"/>
      <c r="CFO116" s="189"/>
      <c r="CFP116" s="189"/>
      <c r="CFQ116" s="189"/>
      <c r="CFR116" s="189"/>
      <c r="CFS116" s="189"/>
      <c r="CFT116" s="189"/>
      <c r="CFU116" s="189"/>
      <c r="CFV116" s="189"/>
      <c r="CFW116" s="189"/>
      <c r="CFX116" s="189"/>
      <c r="CFY116" s="189"/>
      <c r="CFZ116" s="189"/>
      <c r="CGA116" s="189"/>
      <c r="CGB116" s="189"/>
      <c r="CGC116" s="189"/>
      <c r="CGD116" s="189"/>
      <c r="CGE116" s="189"/>
      <c r="CGF116" s="189"/>
      <c r="CGG116" s="189"/>
      <c r="CGH116" s="189"/>
      <c r="CGI116" s="189"/>
      <c r="CGJ116" s="189"/>
      <c r="CGK116" s="189"/>
      <c r="CGL116" s="189"/>
      <c r="CGM116" s="189"/>
      <c r="CGN116" s="189"/>
      <c r="CGO116" s="189"/>
      <c r="CGP116" s="189"/>
      <c r="CGQ116" s="189"/>
      <c r="CGR116" s="189"/>
      <c r="CGS116" s="189"/>
      <c r="CGT116" s="189"/>
      <c r="CGU116" s="189"/>
      <c r="CGV116" s="189"/>
      <c r="CGW116" s="189"/>
      <c r="CGX116" s="189"/>
      <c r="CGY116" s="189"/>
      <c r="CGZ116" s="189"/>
      <c r="CHA116" s="189"/>
      <c r="CHB116" s="189"/>
      <c r="CHC116" s="189"/>
      <c r="CHD116" s="189"/>
      <c r="CHE116" s="189"/>
      <c r="CHF116" s="189"/>
      <c r="CHG116" s="189"/>
      <c r="CHH116" s="189"/>
      <c r="CHI116" s="189"/>
      <c r="CHJ116" s="189"/>
      <c r="CHK116" s="189"/>
      <c r="CHL116" s="189"/>
      <c r="CHM116" s="189"/>
      <c r="CHN116" s="189"/>
      <c r="CHO116" s="189"/>
      <c r="CHP116" s="189"/>
      <c r="CHQ116" s="189"/>
      <c r="CHR116" s="189"/>
      <c r="CHS116" s="189"/>
      <c r="CHT116" s="189"/>
      <c r="CHU116" s="189"/>
      <c r="CHV116" s="189"/>
      <c r="CHW116" s="189"/>
      <c r="CHX116" s="189"/>
      <c r="CHY116" s="189"/>
      <c r="CHZ116" s="189"/>
      <c r="CIA116" s="189"/>
      <c r="CIB116" s="189"/>
      <c r="CIC116" s="189"/>
      <c r="CID116" s="189"/>
      <c r="CIE116" s="189"/>
      <c r="CIF116" s="189"/>
      <c r="CIG116" s="189"/>
      <c r="CIH116" s="189"/>
      <c r="CII116" s="189"/>
      <c r="CIJ116" s="189"/>
      <c r="CIK116" s="189"/>
      <c r="CIL116" s="189"/>
      <c r="CIM116" s="189"/>
      <c r="CIN116" s="189"/>
      <c r="CIO116" s="189"/>
      <c r="CIP116" s="189"/>
      <c r="CIQ116" s="189"/>
      <c r="CIR116" s="189"/>
      <c r="CIS116" s="189"/>
      <c r="CIT116" s="189"/>
      <c r="CIU116" s="189"/>
      <c r="CIV116" s="189"/>
      <c r="CIW116" s="189"/>
      <c r="CIX116" s="189"/>
      <c r="CIY116" s="189"/>
      <c r="CIZ116" s="189"/>
      <c r="CJA116" s="189"/>
      <c r="CJB116" s="189"/>
      <c r="CJC116" s="189"/>
      <c r="CJD116" s="189"/>
      <c r="CJE116" s="189"/>
      <c r="CJF116" s="189"/>
      <c r="CJG116" s="189"/>
      <c r="CJH116" s="189"/>
      <c r="CJI116" s="189"/>
      <c r="CJJ116" s="189"/>
      <c r="CJK116" s="189"/>
      <c r="CJL116" s="189"/>
      <c r="CJM116" s="189"/>
      <c r="CJN116" s="189"/>
      <c r="CJO116" s="189"/>
      <c r="CJP116" s="189"/>
      <c r="CJQ116" s="189"/>
      <c r="CJR116" s="189"/>
      <c r="CJS116" s="189"/>
      <c r="CJT116" s="189"/>
      <c r="CJU116" s="189"/>
      <c r="CJV116" s="189"/>
      <c r="CJW116" s="189"/>
      <c r="CJX116" s="189"/>
      <c r="CJY116" s="189"/>
      <c r="CJZ116" s="189"/>
      <c r="CKA116" s="189"/>
      <c r="CKB116" s="189"/>
      <c r="CKC116" s="189"/>
      <c r="CKD116" s="189"/>
      <c r="CKE116" s="189"/>
      <c r="CKF116" s="189"/>
      <c r="CKG116" s="189"/>
      <c r="CKH116" s="189"/>
      <c r="CKI116" s="189"/>
      <c r="CKJ116" s="189"/>
      <c r="CKK116" s="189"/>
      <c r="CKL116" s="189"/>
      <c r="CKM116" s="189"/>
      <c r="CKN116" s="189"/>
      <c r="CKO116" s="189"/>
      <c r="CKP116" s="189"/>
      <c r="CKQ116" s="189"/>
      <c r="CKR116" s="189"/>
      <c r="CKS116" s="189"/>
      <c r="CKT116" s="189"/>
      <c r="CKU116" s="189"/>
      <c r="CKV116" s="189"/>
      <c r="CKW116" s="189"/>
      <c r="CKX116" s="189"/>
      <c r="CKY116" s="189"/>
      <c r="CKZ116" s="189"/>
      <c r="CLA116" s="189"/>
      <c r="CLB116" s="189"/>
      <c r="CLC116" s="189"/>
      <c r="CLD116" s="189"/>
      <c r="CLE116" s="189"/>
      <c r="CLF116" s="189"/>
      <c r="CLG116" s="189"/>
      <c r="CLH116" s="189"/>
      <c r="CLI116" s="189"/>
      <c r="CLJ116" s="189"/>
      <c r="CLK116" s="189"/>
      <c r="CLL116" s="189"/>
      <c r="CLM116" s="189"/>
      <c r="CLN116" s="189"/>
      <c r="CLO116" s="189"/>
      <c r="CLP116" s="189"/>
      <c r="CLQ116" s="189"/>
      <c r="CLR116" s="189"/>
      <c r="CLS116" s="189"/>
      <c r="CLT116" s="189"/>
      <c r="CLU116" s="189"/>
      <c r="CLV116" s="189"/>
      <c r="CLW116" s="189"/>
      <c r="CLX116" s="189"/>
      <c r="CLY116" s="189"/>
      <c r="CLZ116" s="189"/>
      <c r="CMA116" s="189"/>
      <c r="CMB116" s="189"/>
      <c r="CMC116" s="189"/>
      <c r="CMD116" s="189"/>
      <c r="CME116" s="189"/>
      <c r="CMF116" s="189"/>
      <c r="CMG116" s="189"/>
      <c r="CMH116" s="189"/>
      <c r="CMI116" s="189"/>
      <c r="CMJ116" s="189"/>
      <c r="CMK116" s="189"/>
      <c r="CML116" s="189"/>
      <c r="CMM116" s="189"/>
      <c r="CMN116" s="189"/>
      <c r="CMO116" s="189"/>
      <c r="CMP116" s="189"/>
      <c r="CMQ116" s="189"/>
      <c r="CMR116" s="189"/>
      <c r="CMS116" s="189"/>
      <c r="CMT116" s="189"/>
      <c r="CMU116" s="189"/>
      <c r="CMV116" s="189"/>
      <c r="CMW116" s="189"/>
      <c r="CMX116" s="189"/>
      <c r="CMY116" s="189"/>
      <c r="CMZ116" s="189"/>
      <c r="CNA116" s="189"/>
      <c r="CNB116" s="189"/>
      <c r="CNC116" s="189"/>
      <c r="CND116" s="189"/>
      <c r="CNE116" s="189"/>
      <c r="CNF116" s="189"/>
      <c r="CNG116" s="189"/>
      <c r="CNH116" s="189"/>
      <c r="CNI116" s="189"/>
      <c r="CNJ116" s="189"/>
      <c r="CNK116" s="189"/>
      <c r="CNL116" s="189"/>
      <c r="CNM116" s="189"/>
      <c r="CNN116" s="189"/>
      <c r="CNO116" s="189"/>
      <c r="CNP116" s="189"/>
      <c r="CNQ116" s="189"/>
      <c r="CNR116" s="189"/>
      <c r="CNS116" s="189"/>
      <c r="CNT116" s="189"/>
      <c r="CNU116" s="189"/>
      <c r="CNV116" s="189"/>
      <c r="CNW116" s="189"/>
      <c r="CNX116" s="189"/>
      <c r="CNY116" s="189"/>
      <c r="CNZ116" s="189"/>
      <c r="COA116" s="189"/>
      <c r="COB116" s="189"/>
      <c r="COC116" s="189"/>
      <c r="COD116" s="189"/>
      <c r="COE116" s="189"/>
      <c r="COF116" s="189"/>
      <c r="COG116" s="189"/>
      <c r="COH116" s="189"/>
      <c r="COI116" s="189"/>
      <c r="COJ116" s="189"/>
      <c r="COK116" s="189"/>
      <c r="COL116" s="189"/>
      <c r="COM116" s="189"/>
      <c r="CON116" s="189"/>
      <c r="COO116" s="189"/>
      <c r="COP116" s="189"/>
      <c r="COQ116" s="189"/>
      <c r="COR116" s="189"/>
      <c r="COS116" s="189"/>
      <c r="COT116" s="189"/>
      <c r="COU116" s="189"/>
      <c r="COV116" s="189"/>
      <c r="COW116" s="189"/>
      <c r="COX116" s="189"/>
      <c r="COY116" s="189"/>
      <c r="COZ116" s="189"/>
      <c r="CPA116" s="189"/>
      <c r="CPB116" s="189"/>
      <c r="CPC116" s="189"/>
      <c r="CPD116" s="189"/>
      <c r="CPE116" s="189"/>
      <c r="CPF116" s="189"/>
      <c r="CPG116" s="189"/>
      <c r="CPH116" s="189"/>
      <c r="CPI116" s="189"/>
      <c r="CPJ116" s="189"/>
      <c r="CPK116" s="189"/>
      <c r="CPL116" s="189"/>
      <c r="CPM116" s="189"/>
      <c r="CPN116" s="189"/>
      <c r="CPO116" s="189"/>
      <c r="CPP116" s="189"/>
      <c r="CPQ116" s="189"/>
      <c r="CPR116" s="189"/>
      <c r="CPS116" s="189"/>
      <c r="CPT116" s="189"/>
      <c r="CPU116" s="189"/>
      <c r="CPV116" s="189"/>
      <c r="CPW116" s="189"/>
      <c r="CPX116" s="189"/>
      <c r="CPY116" s="189"/>
      <c r="CPZ116" s="189"/>
      <c r="CQA116" s="189"/>
      <c r="CQB116" s="189"/>
      <c r="CQC116" s="189"/>
      <c r="CQD116" s="189"/>
      <c r="CQE116" s="189"/>
      <c r="CQF116" s="189"/>
      <c r="CQG116" s="189"/>
      <c r="CQH116" s="189"/>
      <c r="CQI116" s="189"/>
      <c r="CQJ116" s="189"/>
      <c r="CQK116" s="189"/>
      <c r="CQL116" s="189"/>
      <c r="CQM116" s="189"/>
      <c r="CQN116" s="189"/>
      <c r="CQO116" s="189"/>
      <c r="CQP116" s="189"/>
      <c r="CQQ116" s="189"/>
      <c r="CQR116" s="189"/>
      <c r="CQS116" s="189"/>
      <c r="CQT116" s="189"/>
      <c r="CQU116" s="189"/>
      <c r="CQV116" s="189"/>
      <c r="CQW116" s="189"/>
      <c r="CQX116" s="189"/>
      <c r="CQY116" s="189"/>
      <c r="CQZ116" s="189"/>
      <c r="CRA116" s="189"/>
      <c r="CRB116" s="189"/>
      <c r="CRC116" s="189"/>
      <c r="CRD116" s="189"/>
      <c r="CRE116" s="189"/>
      <c r="CRF116" s="189"/>
      <c r="CRG116" s="189"/>
      <c r="CRH116" s="189"/>
      <c r="CRI116" s="189"/>
      <c r="CRJ116" s="189"/>
      <c r="CRK116" s="189"/>
      <c r="CRL116" s="189"/>
      <c r="CRM116" s="189"/>
      <c r="CRN116" s="189"/>
      <c r="CRO116" s="189"/>
      <c r="CRP116" s="189"/>
      <c r="CRQ116" s="189"/>
      <c r="CRR116" s="189"/>
      <c r="CRS116" s="189"/>
      <c r="CRT116" s="189"/>
      <c r="CRU116" s="189"/>
      <c r="CRV116" s="189"/>
      <c r="CRW116" s="189"/>
      <c r="CRX116" s="189"/>
      <c r="CRY116" s="189"/>
      <c r="CRZ116" s="189"/>
      <c r="CSA116" s="189"/>
      <c r="CSB116" s="189"/>
      <c r="CSC116" s="189"/>
      <c r="CSD116" s="189"/>
      <c r="CSE116" s="189"/>
      <c r="CSF116" s="189"/>
      <c r="CSG116" s="189"/>
      <c r="CSH116" s="189"/>
      <c r="CSI116" s="189"/>
      <c r="CSJ116" s="189"/>
      <c r="CSK116" s="189"/>
      <c r="CSL116" s="189"/>
      <c r="CSM116" s="189"/>
      <c r="CSN116" s="189"/>
      <c r="CSO116" s="189"/>
      <c r="CSP116" s="189"/>
      <c r="CSQ116" s="189"/>
      <c r="CSR116" s="189"/>
      <c r="CSS116" s="189"/>
      <c r="CST116" s="189"/>
      <c r="CSU116" s="189"/>
      <c r="CSV116" s="189"/>
      <c r="CSW116" s="189"/>
      <c r="CSX116" s="189"/>
      <c r="CSY116" s="189"/>
      <c r="CSZ116" s="189"/>
      <c r="CTA116" s="189"/>
      <c r="CTB116" s="189"/>
      <c r="CTC116" s="189"/>
      <c r="CTD116" s="189"/>
      <c r="CTE116" s="189"/>
      <c r="CTF116" s="189"/>
      <c r="CTG116" s="189"/>
      <c r="CTH116" s="189"/>
      <c r="CTI116" s="189"/>
      <c r="CTJ116" s="189"/>
      <c r="CTK116" s="189"/>
      <c r="CTL116" s="189"/>
      <c r="CTM116" s="189"/>
      <c r="CTN116" s="189"/>
      <c r="CTO116" s="189"/>
      <c r="CTP116" s="189"/>
      <c r="CTQ116" s="189"/>
      <c r="CTR116" s="189"/>
      <c r="CTS116" s="189"/>
      <c r="CTT116" s="189"/>
      <c r="CTU116" s="189"/>
      <c r="CTV116" s="189"/>
      <c r="CTW116" s="189"/>
      <c r="CTX116" s="189"/>
      <c r="CTY116" s="189"/>
      <c r="CTZ116" s="189"/>
      <c r="CUA116" s="189"/>
      <c r="CUB116" s="189"/>
      <c r="CUC116" s="189"/>
      <c r="CUD116" s="189"/>
      <c r="CUE116" s="189"/>
      <c r="CUF116" s="189"/>
      <c r="CUG116" s="189"/>
      <c r="CUH116" s="189"/>
      <c r="CUI116" s="189"/>
      <c r="CUJ116" s="189"/>
      <c r="CUK116" s="189"/>
      <c r="CUL116" s="189"/>
      <c r="CUM116" s="189"/>
      <c r="CUN116" s="189"/>
      <c r="CUO116" s="189"/>
      <c r="CUP116" s="189"/>
      <c r="CUQ116" s="189"/>
      <c r="CUR116" s="189"/>
      <c r="CUS116" s="189"/>
      <c r="CUT116" s="189"/>
      <c r="CUU116" s="189"/>
      <c r="CUV116" s="189"/>
      <c r="CUW116" s="189"/>
      <c r="CUX116" s="189"/>
      <c r="CUY116" s="189"/>
      <c r="CUZ116" s="189"/>
      <c r="CVA116" s="189"/>
      <c r="CVB116" s="189"/>
      <c r="CVC116" s="189"/>
      <c r="CVD116" s="189"/>
      <c r="CVE116" s="189"/>
      <c r="CVF116" s="189"/>
      <c r="CVG116" s="189"/>
      <c r="CVH116" s="189"/>
      <c r="CVI116" s="189"/>
      <c r="CVJ116" s="189"/>
      <c r="CVK116" s="189"/>
      <c r="CVL116" s="189"/>
      <c r="CVM116" s="189"/>
      <c r="CVN116" s="189"/>
      <c r="CVO116" s="189"/>
      <c r="CVP116" s="189"/>
      <c r="CVQ116" s="189"/>
      <c r="CVR116" s="189"/>
      <c r="CVS116" s="189"/>
      <c r="CVT116" s="189"/>
      <c r="CVU116" s="189"/>
      <c r="CVV116" s="189"/>
      <c r="CVW116" s="189"/>
      <c r="CVX116" s="189"/>
      <c r="CVY116" s="189"/>
      <c r="CVZ116" s="189"/>
      <c r="CWA116" s="189"/>
      <c r="CWB116" s="189"/>
      <c r="CWC116" s="189"/>
      <c r="CWD116" s="189"/>
      <c r="CWE116" s="189"/>
      <c r="CWF116" s="189"/>
      <c r="CWG116" s="189"/>
      <c r="CWH116" s="189"/>
      <c r="CWI116" s="189"/>
      <c r="CWJ116" s="189"/>
      <c r="CWK116" s="189"/>
      <c r="CWL116" s="189"/>
      <c r="CWM116" s="189"/>
      <c r="CWN116" s="189"/>
      <c r="CWO116" s="189"/>
      <c r="CWP116" s="189"/>
      <c r="CWQ116" s="189"/>
      <c r="CWR116" s="189"/>
      <c r="CWS116" s="189"/>
      <c r="CWT116" s="189"/>
      <c r="CWU116" s="189"/>
      <c r="CWV116" s="189"/>
      <c r="CWW116" s="189"/>
      <c r="CWX116" s="189"/>
      <c r="CWY116" s="189"/>
      <c r="CWZ116" s="189"/>
      <c r="CXA116" s="189"/>
      <c r="CXB116" s="189"/>
      <c r="CXC116" s="189"/>
      <c r="CXD116" s="189"/>
      <c r="CXE116" s="189"/>
      <c r="CXF116" s="189"/>
      <c r="CXG116" s="189"/>
      <c r="CXH116" s="189"/>
      <c r="CXI116" s="189"/>
      <c r="CXJ116" s="189"/>
      <c r="CXK116" s="189"/>
      <c r="CXL116" s="189"/>
      <c r="CXM116" s="189"/>
      <c r="CXN116" s="189"/>
      <c r="CXO116" s="189"/>
      <c r="CXP116" s="189"/>
      <c r="CXQ116" s="189"/>
      <c r="CXR116" s="189"/>
      <c r="CXS116" s="189"/>
      <c r="CXT116" s="189"/>
      <c r="CXU116" s="189"/>
      <c r="CXV116" s="189"/>
      <c r="CXW116" s="189"/>
      <c r="CXX116" s="189"/>
      <c r="CXY116" s="189"/>
      <c r="CXZ116" s="189"/>
      <c r="CYA116" s="189"/>
      <c r="CYB116" s="189"/>
      <c r="CYC116" s="189"/>
      <c r="CYD116" s="189"/>
      <c r="CYE116" s="189"/>
      <c r="CYF116" s="189"/>
      <c r="CYG116" s="189"/>
      <c r="CYH116" s="189"/>
      <c r="CYI116" s="189"/>
      <c r="CYJ116" s="189"/>
      <c r="CYK116" s="189"/>
      <c r="CYL116" s="189"/>
      <c r="CYM116" s="189"/>
      <c r="CYN116" s="189"/>
      <c r="CYO116" s="189"/>
      <c r="CYP116" s="189"/>
      <c r="CYQ116" s="189"/>
      <c r="CYR116" s="189"/>
      <c r="CYS116" s="189"/>
      <c r="CYT116" s="189"/>
      <c r="CYU116" s="189"/>
      <c r="CYV116" s="189"/>
      <c r="CYW116" s="189"/>
      <c r="CYX116" s="189"/>
      <c r="CYY116" s="189"/>
      <c r="CYZ116" s="189"/>
      <c r="CZA116" s="189"/>
      <c r="CZB116" s="189"/>
      <c r="CZC116" s="189"/>
      <c r="CZD116" s="189"/>
      <c r="CZE116" s="189"/>
      <c r="CZF116" s="189"/>
      <c r="CZG116" s="189"/>
      <c r="CZH116" s="189"/>
      <c r="CZI116" s="189"/>
      <c r="CZJ116" s="189"/>
      <c r="CZK116" s="189"/>
      <c r="CZL116" s="189"/>
      <c r="CZM116" s="189"/>
      <c r="CZN116" s="189"/>
      <c r="CZO116" s="189"/>
      <c r="CZP116" s="189"/>
      <c r="CZQ116" s="189"/>
      <c r="CZR116" s="189"/>
      <c r="CZS116" s="189"/>
      <c r="CZT116" s="189"/>
      <c r="CZU116" s="189"/>
      <c r="CZV116" s="189"/>
      <c r="CZW116" s="189"/>
      <c r="CZX116" s="189"/>
      <c r="CZY116" s="189"/>
      <c r="CZZ116" s="189"/>
      <c r="DAA116" s="189"/>
      <c r="DAB116" s="189"/>
      <c r="DAC116" s="189"/>
      <c r="DAD116" s="189"/>
      <c r="DAE116" s="189"/>
      <c r="DAF116" s="189"/>
      <c r="DAG116" s="189"/>
      <c r="DAH116" s="189"/>
      <c r="DAI116" s="189"/>
      <c r="DAJ116" s="189"/>
      <c r="DAK116" s="189"/>
      <c r="DAL116" s="189"/>
      <c r="DAM116" s="189"/>
      <c r="DAN116" s="189"/>
      <c r="DAO116" s="189"/>
      <c r="DAP116" s="189"/>
      <c r="DAQ116" s="189"/>
      <c r="DAR116" s="189"/>
      <c r="DAS116" s="189"/>
      <c r="DAT116" s="189"/>
      <c r="DAU116" s="189"/>
      <c r="DAV116" s="189"/>
      <c r="DAW116" s="189"/>
      <c r="DAX116" s="189"/>
      <c r="DAY116" s="189"/>
      <c r="DAZ116" s="189"/>
      <c r="DBA116" s="189"/>
      <c r="DBB116" s="189"/>
      <c r="DBC116" s="189"/>
      <c r="DBD116" s="189"/>
      <c r="DBE116" s="189"/>
      <c r="DBF116" s="189"/>
      <c r="DBG116" s="189"/>
      <c r="DBH116" s="189"/>
      <c r="DBI116" s="189"/>
      <c r="DBJ116" s="189"/>
      <c r="DBK116" s="189"/>
      <c r="DBL116" s="189"/>
      <c r="DBM116" s="189"/>
      <c r="DBN116" s="189"/>
      <c r="DBO116" s="189"/>
      <c r="DBP116" s="189"/>
      <c r="DBQ116" s="189"/>
      <c r="DBR116" s="189"/>
      <c r="DBS116" s="189"/>
      <c r="DBT116" s="189"/>
      <c r="DBU116" s="189"/>
      <c r="DBV116" s="189"/>
      <c r="DBW116" s="189"/>
      <c r="DBX116" s="189"/>
      <c r="DBY116" s="189"/>
      <c r="DBZ116" s="189"/>
      <c r="DCA116" s="189"/>
      <c r="DCB116" s="189"/>
      <c r="DCC116" s="189"/>
      <c r="DCD116" s="189"/>
      <c r="DCE116" s="189"/>
      <c r="DCF116" s="189"/>
      <c r="DCG116" s="189"/>
      <c r="DCH116" s="189"/>
      <c r="DCI116" s="189"/>
      <c r="DCJ116" s="189"/>
      <c r="DCK116" s="189"/>
      <c r="DCL116" s="189"/>
      <c r="DCM116" s="189"/>
      <c r="DCN116" s="189"/>
      <c r="DCO116" s="189"/>
      <c r="DCP116" s="189"/>
      <c r="DCQ116" s="189"/>
      <c r="DCR116" s="189"/>
      <c r="DCS116" s="189"/>
      <c r="DCT116" s="189"/>
      <c r="DCU116" s="189"/>
      <c r="DCV116" s="189"/>
      <c r="DCW116" s="189"/>
      <c r="DCX116" s="189"/>
      <c r="DCY116" s="189"/>
      <c r="DCZ116" s="189"/>
      <c r="DDA116" s="189"/>
      <c r="DDB116" s="189"/>
      <c r="DDC116" s="189"/>
      <c r="DDD116" s="189"/>
      <c r="DDE116" s="189"/>
      <c r="DDF116" s="189"/>
      <c r="DDG116" s="189"/>
      <c r="DDH116" s="189"/>
      <c r="DDI116" s="189"/>
      <c r="DDJ116" s="189"/>
      <c r="DDK116" s="189"/>
      <c r="DDL116" s="189"/>
      <c r="DDM116" s="189"/>
      <c r="DDN116" s="189"/>
      <c r="DDO116" s="189"/>
      <c r="DDP116" s="189"/>
      <c r="DDQ116" s="189"/>
      <c r="DDR116" s="189"/>
      <c r="DDS116" s="189"/>
      <c r="DDT116" s="189"/>
      <c r="DDU116" s="189"/>
      <c r="DDV116" s="189"/>
      <c r="DDW116" s="189"/>
      <c r="DDX116" s="189"/>
      <c r="DDY116" s="189"/>
      <c r="DDZ116" s="189"/>
      <c r="DEA116" s="189"/>
      <c r="DEB116" s="189"/>
      <c r="DEC116" s="189"/>
      <c r="DED116" s="189"/>
      <c r="DEE116" s="189"/>
      <c r="DEF116" s="189"/>
      <c r="DEG116" s="189"/>
      <c r="DEH116" s="189"/>
      <c r="DEI116" s="189"/>
      <c r="DEJ116" s="189"/>
      <c r="DEK116" s="189"/>
      <c r="DEL116" s="189"/>
      <c r="DEM116" s="189"/>
      <c r="DEN116" s="189"/>
      <c r="DEO116" s="189"/>
      <c r="DEP116" s="189"/>
      <c r="DEQ116" s="189"/>
      <c r="DER116" s="189"/>
      <c r="DES116" s="189"/>
      <c r="DET116" s="189"/>
      <c r="DEU116" s="189"/>
      <c r="DEV116" s="189"/>
      <c r="DEW116" s="189"/>
      <c r="DEX116" s="189"/>
      <c r="DEY116" s="189"/>
      <c r="DEZ116" s="189"/>
      <c r="DFA116" s="189"/>
      <c r="DFB116" s="189"/>
      <c r="DFC116" s="189"/>
      <c r="DFD116" s="189"/>
      <c r="DFE116" s="189"/>
      <c r="DFF116" s="189"/>
      <c r="DFG116" s="189"/>
      <c r="DFH116" s="189"/>
      <c r="DFI116" s="189"/>
      <c r="DFJ116" s="189"/>
      <c r="DFK116" s="189"/>
      <c r="DFL116" s="189"/>
      <c r="DFM116" s="189"/>
      <c r="DFN116" s="189"/>
      <c r="DFO116" s="189"/>
      <c r="DFP116" s="189"/>
      <c r="DFQ116" s="189"/>
      <c r="DFR116" s="189"/>
      <c r="DFS116" s="189"/>
      <c r="DFT116" s="189"/>
      <c r="DFU116" s="189"/>
      <c r="DFV116" s="189"/>
      <c r="DFW116" s="189"/>
      <c r="DFX116" s="189"/>
      <c r="DFY116" s="189"/>
      <c r="DFZ116" s="189"/>
      <c r="DGA116" s="189"/>
      <c r="DGB116" s="189"/>
      <c r="DGC116" s="189"/>
      <c r="DGD116" s="189"/>
      <c r="DGE116" s="189"/>
      <c r="DGF116" s="189"/>
      <c r="DGG116" s="189"/>
      <c r="DGH116" s="189"/>
      <c r="DGI116" s="189"/>
      <c r="DGJ116" s="189"/>
      <c r="DGK116" s="189"/>
      <c r="DGL116" s="189"/>
      <c r="DGM116" s="189"/>
      <c r="DGN116" s="189"/>
      <c r="DGO116" s="189"/>
      <c r="DGP116" s="189"/>
      <c r="DGQ116" s="189"/>
      <c r="DGR116" s="189"/>
      <c r="DGS116" s="189"/>
      <c r="DGT116" s="189"/>
      <c r="DGU116" s="189"/>
      <c r="DGV116" s="189"/>
      <c r="DGW116" s="189"/>
      <c r="DGX116" s="189"/>
      <c r="DGY116" s="189"/>
      <c r="DGZ116" s="189"/>
      <c r="DHA116" s="189"/>
      <c r="DHB116" s="189"/>
      <c r="DHC116" s="189"/>
      <c r="DHD116" s="189"/>
      <c r="DHE116" s="189"/>
      <c r="DHF116" s="189"/>
      <c r="DHG116" s="189"/>
      <c r="DHH116" s="189"/>
      <c r="DHI116" s="189"/>
      <c r="DHJ116" s="189"/>
      <c r="DHK116" s="189"/>
      <c r="DHL116" s="189"/>
      <c r="DHM116" s="189"/>
      <c r="DHN116" s="189"/>
      <c r="DHO116" s="189"/>
      <c r="DHP116" s="189"/>
      <c r="DHQ116" s="189"/>
      <c r="DHR116" s="189"/>
      <c r="DHS116" s="189"/>
      <c r="DHT116" s="189"/>
      <c r="DHU116" s="189"/>
      <c r="DHV116" s="189"/>
      <c r="DHW116" s="189"/>
      <c r="DHX116" s="189"/>
      <c r="DHY116" s="189"/>
      <c r="DHZ116" s="189"/>
      <c r="DIA116" s="189"/>
      <c r="DIB116" s="189"/>
      <c r="DIC116" s="189"/>
      <c r="DID116" s="189"/>
      <c r="DIE116" s="189"/>
      <c r="DIF116" s="189"/>
      <c r="DIG116" s="189"/>
      <c r="DIH116" s="189"/>
      <c r="DII116" s="189"/>
      <c r="DIJ116" s="189"/>
      <c r="DIK116" s="189"/>
      <c r="DIL116" s="189"/>
      <c r="DIM116" s="189"/>
      <c r="DIN116" s="189"/>
      <c r="DIO116" s="189"/>
      <c r="DIP116" s="189"/>
      <c r="DIQ116" s="189"/>
      <c r="DIR116" s="189"/>
      <c r="DIS116" s="189"/>
      <c r="DIT116" s="189"/>
      <c r="DIU116" s="189"/>
      <c r="DIV116" s="189"/>
      <c r="DIW116" s="189"/>
      <c r="DIX116" s="189"/>
      <c r="DIY116" s="189"/>
      <c r="DIZ116" s="189"/>
      <c r="DJA116" s="189"/>
      <c r="DJB116" s="189"/>
      <c r="DJC116" s="189"/>
      <c r="DJD116" s="189"/>
      <c r="DJE116" s="189"/>
      <c r="DJF116" s="189"/>
      <c r="DJG116" s="189"/>
      <c r="DJH116" s="189"/>
      <c r="DJI116" s="189"/>
      <c r="DJJ116" s="189"/>
      <c r="DJK116" s="189"/>
      <c r="DJL116" s="189"/>
      <c r="DJM116" s="189"/>
      <c r="DJN116" s="189"/>
      <c r="DJO116" s="189"/>
      <c r="DJP116" s="189"/>
      <c r="DJQ116" s="189"/>
      <c r="DJR116" s="189"/>
      <c r="DJS116" s="189"/>
      <c r="DJT116" s="189"/>
      <c r="DJU116" s="189"/>
      <c r="DJV116" s="189"/>
      <c r="DJW116" s="189"/>
      <c r="DJX116" s="189"/>
      <c r="DJY116" s="189"/>
      <c r="DJZ116" s="189"/>
      <c r="DKA116" s="189"/>
      <c r="DKB116" s="189"/>
      <c r="DKC116" s="189"/>
      <c r="DKD116" s="189"/>
      <c r="DKE116" s="189"/>
      <c r="DKF116" s="189"/>
      <c r="DKG116" s="189"/>
      <c r="DKH116" s="189"/>
      <c r="DKI116" s="189"/>
      <c r="DKJ116" s="189"/>
      <c r="DKK116" s="189"/>
      <c r="DKL116" s="189"/>
      <c r="DKM116" s="189"/>
      <c r="DKN116" s="189"/>
      <c r="DKO116" s="189"/>
      <c r="DKP116" s="189"/>
      <c r="DKQ116" s="189"/>
      <c r="DKR116" s="189"/>
      <c r="DKS116" s="189"/>
      <c r="DKT116" s="189"/>
      <c r="DKU116" s="189"/>
      <c r="DKV116" s="189"/>
      <c r="DKW116" s="189"/>
      <c r="DKX116" s="189"/>
      <c r="DKY116" s="189"/>
      <c r="DKZ116" s="189"/>
      <c r="DLA116" s="189"/>
      <c r="DLB116" s="189"/>
      <c r="DLC116" s="189"/>
      <c r="DLD116" s="189"/>
      <c r="DLE116" s="189"/>
      <c r="DLF116" s="189"/>
      <c r="DLG116" s="189"/>
      <c r="DLH116" s="189"/>
      <c r="DLI116" s="189"/>
      <c r="DLJ116" s="189"/>
      <c r="DLK116" s="189"/>
      <c r="DLL116" s="189"/>
      <c r="DLM116" s="189"/>
      <c r="DLN116" s="189"/>
      <c r="DLO116" s="189"/>
      <c r="DLP116" s="189"/>
      <c r="DLQ116" s="189"/>
      <c r="DLR116" s="189"/>
      <c r="DLS116" s="189"/>
      <c r="DLT116" s="189"/>
      <c r="DLU116" s="189"/>
      <c r="DLV116" s="189"/>
      <c r="DLW116" s="189"/>
      <c r="DLX116" s="189"/>
      <c r="DLY116" s="189"/>
      <c r="DLZ116" s="189"/>
      <c r="DMA116" s="189"/>
      <c r="DMB116" s="189"/>
      <c r="DMC116" s="189"/>
      <c r="DMD116" s="189"/>
      <c r="DME116" s="189"/>
      <c r="DMF116" s="189"/>
      <c r="DMG116" s="189"/>
      <c r="DMH116" s="189"/>
      <c r="DMI116" s="189"/>
      <c r="DMJ116" s="189"/>
      <c r="DMK116" s="189"/>
      <c r="DML116" s="189"/>
      <c r="DMM116" s="189"/>
      <c r="DMN116" s="189"/>
      <c r="DMO116" s="189"/>
      <c r="DMP116" s="189"/>
      <c r="DMQ116" s="189"/>
      <c r="DMR116" s="189"/>
      <c r="DMS116" s="189"/>
      <c r="DMT116" s="189"/>
      <c r="DMU116" s="189"/>
      <c r="DMV116" s="189"/>
      <c r="DMW116" s="189"/>
      <c r="DMX116" s="189"/>
      <c r="DMY116" s="189"/>
      <c r="DMZ116" s="189"/>
      <c r="DNA116" s="189"/>
      <c r="DNB116" s="189"/>
      <c r="DNC116" s="189"/>
      <c r="DND116" s="189"/>
      <c r="DNE116" s="189"/>
      <c r="DNF116" s="189"/>
      <c r="DNG116" s="189"/>
      <c r="DNH116" s="189"/>
      <c r="DNI116" s="189"/>
      <c r="DNJ116" s="189"/>
      <c r="DNK116" s="189"/>
      <c r="DNL116" s="189"/>
      <c r="DNM116" s="189"/>
      <c r="DNN116" s="189"/>
      <c r="DNO116" s="189"/>
      <c r="DNP116" s="189"/>
      <c r="DNQ116" s="189"/>
      <c r="DNR116" s="189"/>
      <c r="DNS116" s="189"/>
      <c r="DNT116" s="189"/>
      <c r="DNU116" s="189"/>
      <c r="DNV116" s="189"/>
      <c r="DNW116" s="189"/>
      <c r="DNX116" s="189"/>
      <c r="DNY116" s="189"/>
      <c r="DNZ116" s="189"/>
      <c r="DOA116" s="189"/>
      <c r="DOB116" s="189"/>
      <c r="DOC116" s="189"/>
      <c r="DOD116" s="189"/>
      <c r="DOE116" s="189"/>
      <c r="DOF116" s="189"/>
      <c r="DOG116" s="189"/>
      <c r="DOH116" s="189"/>
      <c r="DOI116" s="189"/>
      <c r="DOJ116" s="189"/>
      <c r="DOK116" s="189"/>
      <c r="DOL116" s="189"/>
      <c r="DOM116" s="189"/>
      <c r="DON116" s="189"/>
      <c r="DOO116" s="189"/>
      <c r="DOP116" s="189"/>
      <c r="DOQ116" s="189"/>
      <c r="DOR116" s="189"/>
      <c r="DOS116" s="189"/>
      <c r="DOT116" s="189"/>
      <c r="DOU116" s="189"/>
      <c r="DOV116" s="189"/>
      <c r="DOW116" s="189"/>
      <c r="DOX116" s="189"/>
      <c r="DOY116" s="189"/>
      <c r="DOZ116" s="189"/>
      <c r="DPA116" s="189"/>
      <c r="DPB116" s="189"/>
      <c r="DPC116" s="189"/>
      <c r="DPD116" s="189"/>
      <c r="DPE116" s="189"/>
      <c r="DPF116" s="189"/>
      <c r="DPG116" s="189"/>
      <c r="DPH116" s="189"/>
      <c r="DPI116" s="189"/>
      <c r="DPJ116" s="189"/>
      <c r="DPK116" s="189"/>
      <c r="DPL116" s="189"/>
      <c r="DPM116" s="189"/>
      <c r="DPN116" s="189"/>
      <c r="DPO116" s="189"/>
      <c r="DPP116" s="189"/>
      <c r="DPQ116" s="189"/>
      <c r="DPR116" s="189"/>
      <c r="DPS116" s="189"/>
      <c r="DPT116" s="189"/>
      <c r="DPU116" s="189"/>
      <c r="DPV116" s="189"/>
      <c r="DPW116" s="189"/>
      <c r="DPX116" s="189"/>
      <c r="DPY116" s="189"/>
      <c r="DPZ116" s="189"/>
      <c r="DQA116" s="189"/>
      <c r="DQB116" s="189"/>
      <c r="DQC116" s="189"/>
      <c r="DQD116" s="189"/>
      <c r="DQE116" s="189"/>
      <c r="DQF116" s="189"/>
      <c r="DQG116" s="189"/>
      <c r="DQH116" s="189"/>
      <c r="DQI116" s="189"/>
      <c r="DQJ116" s="189"/>
      <c r="DQK116" s="189"/>
      <c r="DQL116" s="189"/>
      <c r="DQM116" s="189"/>
      <c r="DQN116" s="189"/>
      <c r="DQO116" s="189"/>
      <c r="DQP116" s="189"/>
      <c r="DQQ116" s="189"/>
      <c r="DQR116" s="189"/>
      <c r="DQS116" s="189"/>
      <c r="DQT116" s="189"/>
      <c r="DQU116" s="189"/>
      <c r="DQV116" s="189"/>
      <c r="DQW116" s="189"/>
      <c r="DQX116" s="189"/>
      <c r="DQY116" s="189"/>
      <c r="DQZ116" s="189"/>
      <c r="DRA116" s="189"/>
      <c r="DRB116" s="189"/>
      <c r="DRC116" s="189"/>
      <c r="DRD116" s="189"/>
      <c r="DRE116" s="189"/>
      <c r="DRF116" s="189"/>
      <c r="DRG116" s="189"/>
      <c r="DRH116" s="189"/>
      <c r="DRI116" s="189"/>
      <c r="DRJ116" s="189"/>
      <c r="DRK116" s="189"/>
      <c r="DRL116" s="189"/>
      <c r="DRM116" s="189"/>
      <c r="DRN116" s="189"/>
      <c r="DRO116" s="189"/>
      <c r="DRP116" s="189"/>
      <c r="DRQ116" s="189"/>
      <c r="DRR116" s="189"/>
      <c r="DRS116" s="189"/>
      <c r="DRT116" s="189"/>
      <c r="DRU116" s="189"/>
      <c r="DRV116" s="189"/>
      <c r="DRW116" s="189"/>
      <c r="DRX116" s="189"/>
      <c r="DRY116" s="189"/>
      <c r="DRZ116" s="189"/>
      <c r="DSA116" s="189"/>
      <c r="DSB116" s="189"/>
      <c r="DSC116" s="189"/>
      <c r="DSD116" s="189"/>
      <c r="DSE116" s="189"/>
      <c r="DSF116" s="189"/>
      <c r="DSG116" s="189"/>
      <c r="DSH116" s="189"/>
      <c r="DSI116" s="189"/>
      <c r="DSJ116" s="189"/>
      <c r="DSK116" s="189"/>
      <c r="DSL116" s="189"/>
      <c r="DSM116" s="189"/>
      <c r="DSN116" s="189"/>
      <c r="DSO116" s="189"/>
      <c r="DSP116" s="189"/>
      <c r="DSQ116" s="189"/>
      <c r="DSR116" s="189"/>
      <c r="DSS116" s="189"/>
      <c r="DST116" s="189"/>
      <c r="DSU116" s="189"/>
      <c r="DSV116" s="189"/>
      <c r="DSW116" s="189"/>
      <c r="DSX116" s="189"/>
      <c r="DSY116" s="189"/>
      <c r="DSZ116" s="189"/>
      <c r="DTA116" s="189"/>
      <c r="DTB116" s="189"/>
      <c r="DTC116" s="189"/>
      <c r="DTD116" s="189"/>
      <c r="DTE116" s="189"/>
      <c r="DTF116" s="189"/>
      <c r="DTG116" s="189"/>
      <c r="DTH116" s="189"/>
      <c r="DTI116" s="189"/>
      <c r="DTJ116" s="189"/>
      <c r="DTK116" s="189"/>
      <c r="DTL116" s="189"/>
      <c r="DTM116" s="189"/>
      <c r="DTN116" s="189"/>
      <c r="DTO116" s="189"/>
      <c r="DTP116" s="189"/>
      <c r="DTQ116" s="189"/>
      <c r="DTR116" s="189"/>
      <c r="DTS116" s="189"/>
      <c r="DTT116" s="189"/>
      <c r="DTU116" s="189"/>
      <c r="DTV116" s="189"/>
      <c r="DTW116" s="189"/>
      <c r="DTX116" s="189"/>
      <c r="DTY116" s="189"/>
      <c r="DTZ116" s="189"/>
      <c r="DUA116" s="189"/>
      <c r="DUB116" s="189"/>
      <c r="DUC116" s="189"/>
      <c r="DUD116" s="189"/>
      <c r="DUE116" s="189"/>
      <c r="DUF116" s="189"/>
      <c r="DUG116" s="189"/>
      <c r="DUH116" s="189"/>
      <c r="DUI116" s="189"/>
      <c r="DUJ116" s="189"/>
      <c r="DUK116" s="189"/>
      <c r="DUL116" s="189"/>
      <c r="DUM116" s="189"/>
      <c r="DUN116" s="189"/>
      <c r="DUO116" s="189"/>
      <c r="DUP116" s="189"/>
      <c r="DUQ116" s="189"/>
      <c r="DUR116" s="189"/>
      <c r="DUS116" s="189"/>
      <c r="DUT116" s="189"/>
      <c r="DUU116" s="189"/>
      <c r="DUV116" s="189"/>
      <c r="DUW116" s="189"/>
      <c r="DUX116" s="189"/>
      <c r="DUY116" s="189"/>
      <c r="DUZ116" s="189"/>
      <c r="DVA116" s="189"/>
      <c r="DVB116" s="189"/>
      <c r="DVC116" s="189"/>
      <c r="DVD116" s="189"/>
      <c r="DVE116" s="189"/>
      <c r="DVF116" s="189"/>
      <c r="DVG116" s="189"/>
      <c r="DVH116" s="189"/>
      <c r="DVI116" s="189"/>
      <c r="DVJ116" s="189"/>
      <c r="DVK116" s="189"/>
      <c r="DVL116" s="189"/>
      <c r="DVM116" s="189"/>
      <c r="DVN116" s="189"/>
      <c r="DVO116" s="189"/>
      <c r="DVP116" s="189"/>
      <c r="DVQ116" s="189"/>
      <c r="DVR116" s="189"/>
      <c r="DVS116" s="189"/>
      <c r="DVT116" s="189"/>
      <c r="DVU116" s="189"/>
      <c r="DVV116" s="189"/>
      <c r="DVW116" s="189"/>
      <c r="DVX116" s="189"/>
      <c r="DVY116" s="189"/>
      <c r="DVZ116" s="189"/>
      <c r="DWA116" s="189"/>
      <c r="DWB116" s="189"/>
      <c r="DWC116" s="189"/>
      <c r="DWD116" s="189"/>
      <c r="DWE116" s="189"/>
      <c r="DWF116" s="189"/>
      <c r="DWG116" s="189"/>
      <c r="DWH116" s="189"/>
      <c r="DWI116" s="189"/>
      <c r="DWJ116" s="189"/>
      <c r="DWK116" s="189"/>
      <c r="DWL116" s="189"/>
      <c r="DWM116" s="189"/>
      <c r="DWN116" s="189"/>
      <c r="DWO116" s="189"/>
      <c r="DWP116" s="189"/>
      <c r="DWQ116" s="189"/>
      <c r="DWR116" s="189"/>
      <c r="DWS116" s="189"/>
      <c r="DWT116" s="189"/>
      <c r="DWU116" s="189"/>
      <c r="DWV116" s="189"/>
      <c r="DWW116" s="189"/>
      <c r="DWX116" s="189"/>
      <c r="DWY116" s="189"/>
      <c r="DWZ116" s="189"/>
      <c r="DXA116" s="189"/>
      <c r="DXB116" s="189"/>
      <c r="DXC116" s="189"/>
      <c r="DXD116" s="189"/>
      <c r="DXE116" s="189"/>
      <c r="DXF116" s="189"/>
      <c r="DXG116" s="189"/>
      <c r="DXH116" s="189"/>
      <c r="DXI116" s="189"/>
      <c r="DXJ116" s="189"/>
      <c r="DXK116" s="189"/>
      <c r="DXL116" s="189"/>
      <c r="DXM116" s="189"/>
      <c r="DXN116" s="189"/>
      <c r="DXO116" s="189"/>
      <c r="DXP116" s="189"/>
      <c r="DXQ116" s="189"/>
      <c r="DXR116" s="189"/>
      <c r="DXS116" s="189"/>
      <c r="DXT116" s="189"/>
      <c r="DXU116" s="189"/>
      <c r="DXV116" s="189"/>
      <c r="DXW116" s="189"/>
      <c r="DXX116" s="189"/>
      <c r="DXY116" s="189"/>
      <c r="DXZ116" s="189"/>
      <c r="DYA116" s="189"/>
      <c r="DYB116" s="189"/>
      <c r="DYC116" s="189"/>
      <c r="DYD116" s="189"/>
      <c r="DYE116" s="189"/>
      <c r="DYF116" s="189"/>
      <c r="DYG116" s="189"/>
      <c r="DYH116" s="189"/>
      <c r="DYI116" s="189"/>
      <c r="DYJ116" s="189"/>
      <c r="DYK116" s="189"/>
      <c r="DYL116" s="189"/>
      <c r="DYM116" s="189"/>
      <c r="DYN116" s="189"/>
      <c r="DYO116" s="189"/>
      <c r="DYP116" s="189"/>
      <c r="DYQ116" s="189"/>
      <c r="DYR116" s="189"/>
      <c r="DYS116" s="189"/>
      <c r="DYT116" s="189"/>
      <c r="DYU116" s="189"/>
      <c r="DYV116" s="189"/>
      <c r="DYW116" s="189"/>
      <c r="DYX116" s="189"/>
      <c r="DYY116" s="189"/>
      <c r="DYZ116" s="189"/>
      <c r="DZA116" s="189"/>
      <c r="DZB116" s="189"/>
      <c r="DZC116" s="189"/>
      <c r="DZD116" s="189"/>
      <c r="DZE116" s="189"/>
      <c r="DZF116" s="189"/>
      <c r="DZG116" s="189"/>
      <c r="DZH116" s="189"/>
      <c r="DZI116" s="189"/>
      <c r="DZJ116" s="189"/>
      <c r="DZK116" s="189"/>
      <c r="DZL116" s="189"/>
      <c r="DZM116" s="189"/>
      <c r="DZN116" s="189"/>
      <c r="DZO116" s="189"/>
      <c r="DZP116" s="189"/>
      <c r="DZQ116" s="189"/>
      <c r="DZR116" s="189"/>
      <c r="DZS116" s="189"/>
      <c r="DZT116" s="189"/>
      <c r="DZU116" s="189"/>
      <c r="DZV116" s="189"/>
      <c r="DZW116" s="189"/>
      <c r="DZX116" s="189"/>
      <c r="DZY116" s="189"/>
      <c r="DZZ116" s="189"/>
      <c r="EAA116" s="189"/>
      <c r="EAB116" s="189"/>
      <c r="EAC116" s="189"/>
      <c r="EAD116" s="189"/>
      <c r="EAE116" s="189"/>
      <c r="EAF116" s="189"/>
      <c r="EAG116" s="189"/>
      <c r="EAH116" s="189"/>
      <c r="EAI116" s="189"/>
      <c r="EAJ116" s="189"/>
      <c r="EAK116" s="189"/>
      <c r="EAL116" s="189"/>
      <c r="EAM116" s="189"/>
      <c r="EAN116" s="189"/>
      <c r="EAO116" s="189"/>
      <c r="EAP116" s="189"/>
      <c r="EAQ116" s="189"/>
      <c r="EAR116" s="189"/>
      <c r="EAS116" s="189"/>
      <c r="EAT116" s="189"/>
      <c r="EAU116" s="189"/>
      <c r="EAV116" s="189"/>
      <c r="EAW116" s="189"/>
      <c r="EAX116" s="189"/>
      <c r="EAY116" s="189"/>
      <c r="EAZ116" s="189"/>
      <c r="EBA116" s="189"/>
      <c r="EBB116" s="189"/>
      <c r="EBC116" s="189"/>
      <c r="EBD116" s="189"/>
      <c r="EBE116" s="189"/>
      <c r="EBF116" s="189"/>
      <c r="EBG116" s="189"/>
      <c r="EBH116" s="189"/>
      <c r="EBI116" s="189"/>
      <c r="EBJ116" s="189"/>
      <c r="EBK116" s="189"/>
      <c r="EBL116" s="189"/>
      <c r="EBM116" s="189"/>
      <c r="EBN116" s="189"/>
      <c r="EBO116" s="189"/>
      <c r="EBP116" s="189"/>
      <c r="EBQ116" s="189"/>
      <c r="EBR116" s="189"/>
      <c r="EBS116" s="189"/>
      <c r="EBT116" s="189"/>
      <c r="EBU116" s="189"/>
      <c r="EBV116" s="189"/>
      <c r="EBW116" s="189"/>
      <c r="EBX116" s="189"/>
      <c r="EBY116" s="189"/>
      <c r="EBZ116" s="189"/>
      <c r="ECA116" s="189"/>
      <c r="ECB116" s="189"/>
      <c r="ECC116" s="189"/>
      <c r="ECD116" s="189"/>
      <c r="ECE116" s="189"/>
      <c r="ECF116" s="189"/>
      <c r="ECG116" s="189"/>
      <c r="ECH116" s="189"/>
      <c r="ECI116" s="189"/>
      <c r="ECJ116" s="189"/>
      <c r="ECK116" s="189"/>
      <c r="ECL116" s="189"/>
      <c r="ECM116" s="189"/>
      <c r="ECN116" s="189"/>
      <c r="ECO116" s="189"/>
      <c r="ECP116" s="189"/>
      <c r="ECQ116" s="189"/>
      <c r="ECR116" s="189"/>
      <c r="ECS116" s="189"/>
      <c r="ECT116" s="189"/>
      <c r="ECU116" s="189"/>
      <c r="ECV116" s="189"/>
      <c r="ECW116" s="189"/>
      <c r="ECX116" s="189"/>
      <c r="ECY116" s="189"/>
      <c r="ECZ116" s="189"/>
      <c r="EDA116" s="189"/>
      <c r="EDB116" s="189"/>
      <c r="EDC116" s="189"/>
      <c r="EDD116" s="189"/>
      <c r="EDE116" s="189"/>
      <c r="EDF116" s="189"/>
      <c r="EDG116" s="189"/>
      <c r="EDH116" s="189"/>
      <c r="EDI116" s="189"/>
      <c r="EDJ116" s="189"/>
      <c r="EDK116" s="189"/>
      <c r="EDL116" s="189"/>
      <c r="EDM116" s="189"/>
      <c r="EDN116" s="189"/>
      <c r="EDO116" s="189"/>
      <c r="EDP116" s="189"/>
      <c r="EDQ116" s="189"/>
      <c r="EDR116" s="189"/>
      <c r="EDS116" s="189"/>
      <c r="EDT116" s="189"/>
      <c r="EDU116" s="189"/>
      <c r="EDV116" s="189"/>
      <c r="EDW116" s="189"/>
      <c r="EDX116" s="189"/>
      <c r="EDY116" s="189"/>
      <c r="EDZ116" s="189"/>
      <c r="EEA116" s="189"/>
      <c r="EEB116" s="189"/>
      <c r="EEC116" s="189"/>
      <c r="EED116" s="189"/>
      <c r="EEE116" s="189"/>
      <c r="EEF116" s="189"/>
      <c r="EEG116" s="189"/>
      <c r="EEH116" s="189"/>
      <c r="EEI116" s="189"/>
      <c r="EEJ116" s="189"/>
      <c r="EEK116" s="189"/>
      <c r="EEL116" s="189"/>
      <c r="EEM116" s="189"/>
      <c r="EEN116" s="189"/>
      <c r="EEO116" s="189"/>
      <c r="EEP116" s="189"/>
      <c r="EEQ116" s="189"/>
      <c r="EER116" s="189"/>
      <c r="EES116" s="189"/>
      <c r="EET116" s="189"/>
      <c r="EEU116" s="189"/>
      <c r="EEV116" s="189"/>
      <c r="EEW116" s="189"/>
      <c r="EEX116" s="189"/>
      <c r="EEY116" s="189"/>
      <c r="EEZ116" s="189"/>
      <c r="EFA116" s="189"/>
      <c r="EFB116" s="189"/>
      <c r="EFC116" s="189"/>
      <c r="EFD116" s="189"/>
      <c r="EFE116" s="189"/>
      <c r="EFF116" s="189"/>
      <c r="EFG116" s="189"/>
      <c r="EFH116" s="189"/>
      <c r="EFI116" s="189"/>
      <c r="EFJ116" s="189"/>
      <c r="EFK116" s="189"/>
      <c r="EFL116" s="189"/>
      <c r="EFM116" s="189"/>
      <c r="EFN116" s="189"/>
      <c r="EFO116" s="189"/>
      <c r="EFP116" s="189"/>
      <c r="EFQ116" s="189"/>
      <c r="EFR116" s="189"/>
      <c r="EFS116" s="189"/>
      <c r="EFT116" s="189"/>
      <c r="EFU116" s="189"/>
      <c r="EFV116" s="189"/>
      <c r="EFW116" s="189"/>
      <c r="EFX116" s="189"/>
      <c r="EFY116" s="189"/>
      <c r="EFZ116" s="189"/>
      <c r="EGA116" s="189"/>
      <c r="EGB116" s="189"/>
      <c r="EGC116" s="189"/>
      <c r="EGD116" s="189"/>
      <c r="EGE116" s="189"/>
      <c r="EGF116" s="189"/>
      <c r="EGG116" s="189"/>
      <c r="EGH116" s="189"/>
      <c r="EGI116" s="189"/>
      <c r="EGJ116" s="189"/>
      <c r="EGK116" s="189"/>
      <c r="EGL116" s="189"/>
      <c r="EGM116" s="189"/>
      <c r="EGN116" s="189"/>
      <c r="EGO116" s="189"/>
      <c r="EGP116" s="189"/>
      <c r="EGQ116" s="189"/>
      <c r="EGR116" s="189"/>
      <c r="EGS116" s="189"/>
      <c r="EGT116" s="189"/>
      <c r="EGU116" s="189"/>
      <c r="EGV116" s="189"/>
      <c r="EGW116" s="189"/>
      <c r="EGX116" s="189"/>
      <c r="EGY116" s="189"/>
      <c r="EGZ116" s="189"/>
      <c r="EHA116" s="189"/>
      <c r="EHB116" s="189"/>
      <c r="EHC116" s="189"/>
      <c r="EHD116" s="189"/>
      <c r="EHE116" s="189"/>
      <c r="EHF116" s="189"/>
      <c r="EHG116" s="189"/>
      <c r="EHH116" s="189"/>
      <c r="EHI116" s="189"/>
      <c r="EHJ116" s="189"/>
      <c r="EHK116" s="189"/>
      <c r="EHL116" s="189"/>
      <c r="EHM116" s="189"/>
      <c r="EHN116" s="189"/>
      <c r="EHO116" s="189"/>
      <c r="EHP116" s="189"/>
      <c r="EHQ116" s="189"/>
      <c r="EHR116" s="189"/>
      <c r="EHS116" s="189"/>
      <c r="EHT116" s="189"/>
      <c r="EHU116" s="189"/>
      <c r="EHV116" s="189"/>
      <c r="EHW116" s="189"/>
      <c r="EHX116" s="189"/>
      <c r="EHY116" s="189"/>
      <c r="EHZ116" s="189"/>
      <c r="EIA116" s="189"/>
      <c r="EIB116" s="189"/>
      <c r="EIC116" s="189"/>
      <c r="EID116" s="189"/>
      <c r="EIE116" s="189"/>
      <c r="EIF116" s="189"/>
      <c r="EIG116" s="189"/>
      <c r="EIH116" s="189"/>
      <c r="EII116" s="189"/>
      <c r="EIJ116" s="189"/>
      <c r="EIK116" s="189"/>
      <c r="EIL116" s="189"/>
      <c r="EIM116" s="189"/>
      <c r="EIN116" s="189"/>
      <c r="EIO116" s="189"/>
      <c r="EIP116" s="189"/>
      <c r="EIQ116" s="189"/>
      <c r="EIR116" s="189"/>
      <c r="EIS116" s="189"/>
      <c r="EIT116" s="189"/>
      <c r="EIU116" s="189"/>
      <c r="EIV116" s="189"/>
      <c r="EIW116" s="189"/>
      <c r="EIX116" s="189"/>
      <c r="EIY116" s="189"/>
      <c r="EIZ116" s="189"/>
      <c r="EJA116" s="189"/>
      <c r="EJB116" s="189"/>
      <c r="EJC116" s="189"/>
      <c r="EJD116" s="189"/>
      <c r="EJE116" s="189"/>
      <c r="EJF116" s="189"/>
      <c r="EJG116" s="189"/>
      <c r="EJH116" s="189"/>
      <c r="EJI116" s="189"/>
      <c r="EJJ116" s="189"/>
      <c r="EJK116" s="189"/>
      <c r="EJL116" s="189"/>
      <c r="EJM116" s="189"/>
      <c r="EJN116" s="189"/>
      <c r="EJO116" s="189"/>
      <c r="EJP116" s="189"/>
      <c r="EJQ116" s="189"/>
      <c r="EJR116" s="189"/>
      <c r="EJS116" s="189"/>
      <c r="EJT116" s="189"/>
      <c r="EJU116" s="189"/>
      <c r="EJV116" s="189"/>
      <c r="EJW116" s="189"/>
      <c r="EJX116" s="189"/>
      <c r="EJY116" s="189"/>
      <c r="EJZ116" s="189"/>
      <c r="EKA116" s="189"/>
      <c r="EKB116" s="189"/>
      <c r="EKC116" s="189"/>
      <c r="EKD116" s="189"/>
      <c r="EKE116" s="189"/>
      <c r="EKF116" s="189"/>
      <c r="EKG116" s="189"/>
      <c r="EKH116" s="189"/>
      <c r="EKI116" s="189"/>
      <c r="EKJ116" s="189"/>
      <c r="EKK116" s="189"/>
      <c r="EKL116" s="189"/>
      <c r="EKM116" s="189"/>
      <c r="EKN116" s="189"/>
      <c r="EKO116" s="189"/>
      <c r="EKP116" s="189"/>
      <c r="EKQ116" s="189"/>
      <c r="EKR116" s="189"/>
      <c r="EKS116" s="189"/>
      <c r="EKT116" s="189"/>
      <c r="EKU116" s="189"/>
      <c r="EKV116" s="189"/>
      <c r="EKW116" s="189"/>
      <c r="EKX116" s="189"/>
      <c r="EKY116" s="189"/>
      <c r="EKZ116" s="189"/>
      <c r="ELA116" s="189"/>
      <c r="ELB116" s="189"/>
      <c r="ELC116" s="189"/>
      <c r="ELD116" s="189"/>
      <c r="ELE116" s="189"/>
      <c r="ELF116" s="189"/>
      <c r="ELG116" s="189"/>
      <c r="ELH116" s="189"/>
      <c r="ELI116" s="189"/>
      <c r="ELJ116" s="189"/>
      <c r="ELK116" s="189"/>
      <c r="ELL116" s="189"/>
      <c r="ELM116" s="189"/>
      <c r="ELN116" s="189"/>
      <c r="ELO116" s="189"/>
      <c r="ELP116" s="189"/>
      <c r="ELQ116" s="189"/>
      <c r="ELR116" s="189"/>
      <c r="ELS116" s="189"/>
      <c r="ELT116" s="189"/>
      <c r="ELU116" s="189"/>
      <c r="ELV116" s="189"/>
      <c r="ELW116" s="189"/>
      <c r="ELX116" s="189"/>
      <c r="ELY116" s="189"/>
      <c r="ELZ116" s="189"/>
      <c r="EMA116" s="189"/>
      <c r="EMB116" s="189"/>
      <c r="EMC116" s="189"/>
      <c r="EMD116" s="189"/>
      <c r="EME116" s="189"/>
      <c r="EMF116" s="189"/>
      <c r="EMG116" s="189"/>
      <c r="EMH116" s="189"/>
      <c r="EMI116" s="189"/>
      <c r="EMJ116" s="189"/>
      <c r="EMK116" s="189"/>
      <c r="EML116" s="189"/>
      <c r="EMM116" s="189"/>
      <c r="EMN116" s="189"/>
      <c r="EMO116" s="189"/>
      <c r="EMP116" s="189"/>
      <c r="EMQ116" s="189"/>
      <c r="EMR116" s="189"/>
      <c r="EMS116" s="189"/>
      <c r="EMT116" s="189"/>
      <c r="EMU116" s="189"/>
      <c r="EMV116" s="189"/>
      <c r="EMW116" s="189"/>
      <c r="EMX116" s="189"/>
      <c r="EMY116" s="189"/>
      <c r="EMZ116" s="189"/>
      <c r="ENA116" s="189"/>
      <c r="ENB116" s="189"/>
      <c r="ENC116" s="189"/>
      <c r="END116" s="189"/>
      <c r="ENE116" s="189"/>
      <c r="ENF116" s="189"/>
      <c r="ENG116" s="189"/>
      <c r="ENH116" s="189"/>
      <c r="ENI116" s="189"/>
      <c r="ENJ116" s="189"/>
      <c r="ENK116" s="189"/>
      <c r="ENL116" s="189"/>
      <c r="ENM116" s="189"/>
      <c r="ENN116" s="189"/>
      <c r="ENO116" s="189"/>
      <c r="ENP116" s="189"/>
      <c r="ENQ116" s="189"/>
      <c r="ENR116" s="189"/>
      <c r="ENS116" s="189"/>
      <c r="ENT116" s="189"/>
      <c r="ENU116" s="189"/>
      <c r="ENV116" s="189"/>
      <c r="ENW116" s="189"/>
      <c r="ENX116" s="189"/>
      <c r="ENY116" s="189"/>
      <c r="ENZ116" s="189"/>
      <c r="EOA116" s="189"/>
      <c r="EOB116" s="189"/>
      <c r="EOC116" s="189"/>
      <c r="EOD116" s="189"/>
      <c r="EOE116" s="189"/>
      <c r="EOF116" s="189"/>
      <c r="EOG116" s="189"/>
      <c r="EOH116" s="189"/>
      <c r="EOI116" s="189"/>
      <c r="EOJ116" s="189"/>
      <c r="EOK116" s="189"/>
      <c r="EOL116" s="189"/>
      <c r="EOM116" s="189"/>
      <c r="EON116" s="189"/>
      <c r="EOO116" s="189"/>
      <c r="EOP116" s="189"/>
      <c r="EOQ116" s="189"/>
      <c r="EOR116" s="189"/>
      <c r="EOS116" s="189"/>
      <c r="EOT116" s="189"/>
      <c r="EOU116" s="189"/>
      <c r="EOV116" s="189"/>
      <c r="EOW116" s="189"/>
      <c r="EOX116" s="189"/>
      <c r="EOY116" s="189"/>
      <c r="EOZ116" s="189"/>
      <c r="EPA116" s="189"/>
      <c r="EPB116" s="189"/>
      <c r="EPC116" s="189"/>
      <c r="EPD116" s="189"/>
      <c r="EPE116" s="189"/>
      <c r="EPF116" s="189"/>
      <c r="EPG116" s="189"/>
      <c r="EPH116" s="189"/>
      <c r="EPI116" s="189"/>
      <c r="EPJ116" s="189"/>
      <c r="EPK116" s="189"/>
      <c r="EPL116" s="189"/>
      <c r="EPM116" s="189"/>
      <c r="EPN116" s="189"/>
      <c r="EPO116" s="189"/>
      <c r="EPP116" s="189"/>
      <c r="EPQ116" s="189"/>
      <c r="EPR116" s="189"/>
      <c r="EPS116" s="189"/>
      <c r="EPT116" s="189"/>
      <c r="EPU116" s="189"/>
      <c r="EPV116" s="189"/>
      <c r="EPW116" s="189"/>
      <c r="EPX116" s="189"/>
      <c r="EPY116" s="189"/>
      <c r="EPZ116" s="189"/>
      <c r="EQA116" s="189"/>
      <c r="EQB116" s="189"/>
      <c r="EQC116" s="189"/>
      <c r="EQD116" s="189"/>
      <c r="EQE116" s="189"/>
      <c r="EQF116" s="189"/>
      <c r="EQG116" s="189"/>
      <c r="EQH116" s="189"/>
      <c r="EQI116" s="189"/>
      <c r="EQJ116" s="189"/>
      <c r="EQK116" s="189"/>
      <c r="EQL116" s="189"/>
      <c r="EQM116" s="189"/>
      <c r="EQN116" s="189"/>
      <c r="EQO116" s="189"/>
      <c r="EQP116" s="189"/>
      <c r="EQQ116" s="189"/>
      <c r="EQR116" s="189"/>
      <c r="EQS116" s="189"/>
      <c r="EQT116" s="189"/>
      <c r="EQU116" s="189"/>
      <c r="EQV116" s="189"/>
      <c r="EQW116" s="189"/>
      <c r="EQX116" s="189"/>
      <c r="EQY116" s="189"/>
      <c r="EQZ116" s="189"/>
      <c r="ERA116" s="189"/>
      <c r="ERB116" s="189"/>
      <c r="ERC116" s="189"/>
      <c r="ERD116" s="189"/>
      <c r="ERE116" s="189"/>
      <c r="ERF116" s="189"/>
      <c r="ERG116" s="189"/>
      <c r="ERH116" s="189"/>
      <c r="ERI116" s="189"/>
      <c r="ERJ116" s="189"/>
      <c r="ERK116" s="189"/>
      <c r="ERL116" s="189"/>
      <c r="ERM116" s="189"/>
      <c r="ERN116" s="189"/>
      <c r="ERO116" s="189"/>
      <c r="ERP116" s="189"/>
      <c r="ERQ116" s="189"/>
      <c r="ERR116" s="189"/>
      <c r="ERS116" s="189"/>
      <c r="ERT116" s="189"/>
      <c r="ERU116" s="189"/>
      <c r="ERV116" s="189"/>
      <c r="ERW116" s="189"/>
      <c r="ERX116" s="189"/>
      <c r="ERY116" s="189"/>
      <c r="ERZ116" s="189"/>
      <c r="ESA116" s="189"/>
      <c r="ESB116" s="189"/>
      <c r="ESC116" s="189"/>
      <c r="ESD116" s="189"/>
      <c r="ESE116" s="189"/>
      <c r="ESF116" s="189"/>
      <c r="ESG116" s="189"/>
      <c r="ESH116" s="189"/>
      <c r="ESI116" s="189"/>
      <c r="ESJ116" s="189"/>
      <c r="ESK116" s="189"/>
      <c r="ESL116" s="189"/>
      <c r="ESM116" s="189"/>
      <c r="ESN116" s="189"/>
      <c r="ESO116" s="189"/>
      <c r="ESP116" s="189"/>
      <c r="ESQ116" s="189"/>
      <c r="ESR116" s="189"/>
      <c r="ESS116" s="189"/>
      <c r="EST116" s="189"/>
      <c r="ESU116" s="189"/>
      <c r="ESV116" s="189"/>
      <c r="ESW116" s="189"/>
      <c r="ESX116" s="189"/>
      <c r="ESY116" s="189"/>
      <c r="ESZ116" s="189"/>
      <c r="ETA116" s="189"/>
      <c r="ETB116" s="189"/>
      <c r="ETC116" s="189"/>
      <c r="ETD116" s="189"/>
      <c r="ETE116" s="189"/>
      <c r="ETF116" s="189"/>
      <c r="ETG116" s="189"/>
      <c r="ETH116" s="189"/>
      <c r="ETI116" s="189"/>
      <c r="ETJ116" s="189"/>
      <c r="ETK116" s="189"/>
      <c r="ETL116" s="189"/>
      <c r="ETM116" s="189"/>
      <c r="ETN116" s="189"/>
      <c r="ETO116" s="189"/>
      <c r="ETP116" s="189"/>
      <c r="ETQ116" s="189"/>
      <c r="ETR116" s="189"/>
      <c r="ETS116" s="189"/>
      <c r="ETT116" s="189"/>
      <c r="ETU116" s="189"/>
      <c r="ETV116" s="189"/>
      <c r="ETW116" s="189"/>
      <c r="ETX116" s="189"/>
      <c r="ETY116" s="189"/>
      <c r="ETZ116" s="189"/>
      <c r="EUA116" s="189"/>
      <c r="EUB116" s="189"/>
      <c r="EUC116" s="189"/>
      <c r="EUD116" s="189"/>
      <c r="EUE116" s="189"/>
      <c r="EUF116" s="189"/>
      <c r="EUG116" s="189"/>
      <c r="EUH116" s="189"/>
      <c r="EUI116" s="189"/>
      <c r="EUJ116" s="189"/>
      <c r="EUK116" s="189"/>
      <c r="EUL116" s="189"/>
      <c r="EUM116" s="189"/>
      <c r="EUN116" s="189"/>
      <c r="EUO116" s="189"/>
      <c r="EUP116" s="189"/>
      <c r="EUQ116" s="189"/>
      <c r="EUR116" s="189"/>
      <c r="EUS116" s="189"/>
      <c r="EUT116" s="189"/>
      <c r="EUU116" s="189"/>
      <c r="EUV116" s="189"/>
      <c r="EUW116" s="189"/>
      <c r="EUX116" s="189"/>
      <c r="EUY116" s="189"/>
      <c r="EUZ116" s="189"/>
      <c r="EVA116" s="189"/>
      <c r="EVB116" s="189"/>
      <c r="EVC116" s="189"/>
      <c r="EVD116" s="189"/>
      <c r="EVE116" s="189"/>
      <c r="EVF116" s="189"/>
      <c r="EVG116" s="189"/>
      <c r="EVH116" s="189"/>
      <c r="EVI116" s="189"/>
      <c r="EVJ116" s="189"/>
      <c r="EVK116" s="189"/>
      <c r="EVL116" s="189"/>
      <c r="EVM116" s="189"/>
      <c r="EVN116" s="189"/>
      <c r="EVO116" s="189"/>
      <c r="EVP116" s="189"/>
      <c r="EVQ116" s="189"/>
      <c r="EVR116" s="189"/>
      <c r="EVS116" s="189"/>
      <c r="EVT116" s="189"/>
      <c r="EVU116" s="189"/>
      <c r="EVV116" s="189"/>
      <c r="EVW116" s="189"/>
      <c r="EVX116" s="189"/>
      <c r="EVY116" s="189"/>
      <c r="EVZ116" s="189"/>
      <c r="EWA116" s="189"/>
      <c r="EWB116" s="189"/>
      <c r="EWC116" s="189"/>
      <c r="EWD116" s="189"/>
      <c r="EWE116" s="189"/>
      <c r="EWF116" s="189"/>
      <c r="EWG116" s="189"/>
      <c r="EWH116" s="189"/>
      <c r="EWI116" s="189"/>
      <c r="EWJ116" s="189"/>
      <c r="EWK116" s="189"/>
      <c r="EWL116" s="189"/>
      <c r="EWM116" s="189"/>
      <c r="EWN116" s="189"/>
      <c r="EWO116" s="189"/>
      <c r="EWP116" s="189"/>
      <c r="EWQ116" s="189"/>
      <c r="EWR116" s="189"/>
      <c r="EWS116" s="189"/>
      <c r="EWT116" s="189"/>
      <c r="EWU116" s="189"/>
      <c r="EWV116" s="189"/>
      <c r="EWW116" s="189"/>
      <c r="EWX116" s="189"/>
      <c r="EWY116" s="189"/>
      <c r="EWZ116" s="189"/>
      <c r="EXA116" s="189"/>
      <c r="EXB116" s="189"/>
      <c r="EXC116" s="189"/>
      <c r="EXD116" s="189"/>
      <c r="EXE116" s="189"/>
      <c r="EXF116" s="189"/>
      <c r="EXG116" s="189"/>
      <c r="EXH116" s="189"/>
      <c r="EXI116" s="189"/>
      <c r="EXJ116" s="189"/>
      <c r="EXK116" s="189"/>
      <c r="EXL116" s="189"/>
      <c r="EXM116" s="189"/>
      <c r="EXN116" s="189"/>
      <c r="EXO116" s="189"/>
      <c r="EXP116" s="189"/>
      <c r="EXQ116" s="189"/>
      <c r="EXR116" s="189"/>
      <c r="EXS116" s="189"/>
      <c r="EXT116" s="189"/>
      <c r="EXU116" s="189"/>
      <c r="EXV116" s="189"/>
      <c r="EXW116" s="189"/>
      <c r="EXX116" s="189"/>
      <c r="EXY116" s="189"/>
      <c r="EXZ116" s="189"/>
      <c r="EYA116" s="189"/>
      <c r="EYB116" s="189"/>
      <c r="EYC116" s="189"/>
      <c r="EYD116" s="189"/>
      <c r="EYE116" s="189"/>
      <c r="EYF116" s="189"/>
      <c r="EYG116" s="189"/>
      <c r="EYH116" s="189"/>
      <c r="EYI116" s="189"/>
      <c r="EYJ116" s="189"/>
      <c r="EYK116" s="189"/>
      <c r="EYL116" s="189"/>
      <c r="EYM116" s="189"/>
      <c r="EYN116" s="189"/>
      <c r="EYO116" s="189"/>
      <c r="EYP116" s="189"/>
      <c r="EYQ116" s="189"/>
      <c r="EYR116" s="189"/>
      <c r="EYS116" s="189"/>
      <c r="EYT116" s="189"/>
      <c r="EYU116" s="189"/>
      <c r="EYV116" s="189"/>
      <c r="EYW116" s="189"/>
      <c r="EYX116" s="189"/>
      <c r="EYY116" s="189"/>
      <c r="EYZ116" s="189"/>
      <c r="EZA116" s="189"/>
      <c r="EZB116" s="189"/>
      <c r="EZC116" s="189"/>
      <c r="EZD116" s="189"/>
      <c r="EZE116" s="189"/>
      <c r="EZF116" s="189"/>
      <c r="EZG116" s="189"/>
      <c r="EZH116" s="189"/>
      <c r="EZI116" s="189"/>
      <c r="EZJ116" s="189"/>
      <c r="EZK116" s="189"/>
      <c r="EZL116" s="189"/>
      <c r="EZM116" s="189"/>
      <c r="EZN116" s="189"/>
      <c r="EZO116" s="189"/>
      <c r="EZP116" s="189"/>
      <c r="EZQ116" s="189"/>
      <c r="EZR116" s="189"/>
      <c r="EZS116" s="189"/>
      <c r="EZT116" s="189"/>
      <c r="EZU116" s="189"/>
      <c r="EZV116" s="189"/>
      <c r="EZW116" s="189"/>
      <c r="EZX116" s="189"/>
      <c r="EZY116" s="189"/>
      <c r="EZZ116" s="189"/>
      <c r="FAA116" s="189"/>
      <c r="FAB116" s="189"/>
      <c r="FAC116" s="189"/>
      <c r="FAD116" s="189"/>
      <c r="FAE116" s="189"/>
      <c r="FAF116" s="189"/>
      <c r="FAG116" s="189"/>
      <c r="FAH116" s="189"/>
      <c r="FAI116" s="189"/>
      <c r="FAJ116" s="189"/>
      <c r="FAK116" s="189"/>
      <c r="FAL116" s="189"/>
      <c r="FAM116" s="189"/>
      <c r="FAN116" s="189"/>
      <c r="FAO116" s="189"/>
      <c r="FAP116" s="189"/>
      <c r="FAQ116" s="189"/>
      <c r="FAR116" s="189"/>
      <c r="FAS116" s="189"/>
      <c r="FAT116" s="189"/>
      <c r="FAU116" s="189"/>
      <c r="FAV116" s="189"/>
      <c r="FAW116" s="189"/>
      <c r="FAX116" s="189"/>
      <c r="FAY116" s="189"/>
      <c r="FAZ116" s="189"/>
      <c r="FBA116" s="189"/>
      <c r="FBB116" s="189"/>
      <c r="FBC116" s="189"/>
      <c r="FBD116" s="189"/>
      <c r="FBE116" s="189"/>
      <c r="FBF116" s="189"/>
      <c r="FBG116" s="189"/>
      <c r="FBH116" s="189"/>
      <c r="FBI116" s="189"/>
      <c r="FBJ116" s="189"/>
      <c r="FBK116" s="189"/>
      <c r="FBL116" s="189"/>
      <c r="FBM116" s="189"/>
      <c r="FBN116" s="189"/>
      <c r="FBO116" s="189"/>
      <c r="FBP116" s="189"/>
      <c r="FBQ116" s="189"/>
      <c r="FBR116" s="189"/>
      <c r="FBS116" s="189"/>
      <c r="FBT116" s="189"/>
      <c r="FBU116" s="189"/>
      <c r="FBV116" s="189"/>
      <c r="FBW116" s="189"/>
      <c r="FBX116" s="189"/>
      <c r="FBY116" s="189"/>
      <c r="FBZ116" s="189"/>
      <c r="FCA116" s="189"/>
      <c r="FCB116" s="189"/>
      <c r="FCC116" s="189"/>
      <c r="FCD116" s="189"/>
      <c r="FCE116" s="189"/>
      <c r="FCF116" s="189"/>
      <c r="FCG116" s="189"/>
      <c r="FCH116" s="189"/>
      <c r="FCI116" s="189"/>
      <c r="FCJ116" s="189"/>
      <c r="FCK116" s="189"/>
      <c r="FCL116" s="189"/>
      <c r="FCM116" s="189"/>
      <c r="FCN116" s="189"/>
      <c r="FCO116" s="189"/>
      <c r="FCP116" s="189"/>
      <c r="FCQ116" s="189"/>
      <c r="FCR116" s="189"/>
      <c r="FCS116" s="189"/>
      <c r="FCT116" s="189"/>
      <c r="FCU116" s="189"/>
      <c r="FCV116" s="189"/>
      <c r="FCW116" s="189"/>
      <c r="FCX116" s="189"/>
      <c r="FCY116" s="189"/>
      <c r="FCZ116" s="189"/>
      <c r="FDA116" s="189"/>
      <c r="FDB116" s="189"/>
      <c r="FDC116" s="189"/>
      <c r="FDD116" s="189"/>
      <c r="FDE116" s="189"/>
      <c r="FDF116" s="189"/>
      <c r="FDG116" s="189"/>
      <c r="FDH116" s="189"/>
      <c r="FDI116" s="189"/>
      <c r="FDJ116" s="189"/>
      <c r="FDK116" s="189"/>
      <c r="FDL116" s="189"/>
      <c r="FDM116" s="189"/>
      <c r="FDN116" s="189"/>
      <c r="FDO116" s="189"/>
      <c r="FDP116" s="189"/>
      <c r="FDQ116" s="189"/>
      <c r="FDR116" s="189"/>
      <c r="FDS116" s="189"/>
      <c r="FDT116" s="189"/>
      <c r="FDU116" s="189"/>
      <c r="FDV116" s="189"/>
      <c r="FDW116" s="189"/>
      <c r="FDX116" s="189"/>
      <c r="FDY116" s="189"/>
      <c r="FDZ116" s="189"/>
      <c r="FEA116" s="189"/>
      <c r="FEB116" s="189"/>
      <c r="FEC116" s="189"/>
      <c r="FED116" s="189"/>
      <c r="FEE116" s="189"/>
      <c r="FEF116" s="189"/>
      <c r="FEG116" s="189"/>
      <c r="FEH116" s="189"/>
      <c r="FEI116" s="189"/>
      <c r="FEJ116" s="189"/>
      <c r="FEK116" s="189"/>
      <c r="FEL116" s="189"/>
      <c r="FEM116" s="189"/>
      <c r="FEN116" s="189"/>
      <c r="FEO116" s="189"/>
      <c r="FEP116" s="189"/>
      <c r="FEQ116" s="189"/>
      <c r="FER116" s="189"/>
      <c r="FES116" s="189"/>
      <c r="FET116" s="189"/>
      <c r="FEU116" s="189"/>
      <c r="FEV116" s="189"/>
      <c r="FEW116" s="189"/>
      <c r="FEX116" s="189"/>
      <c r="FEY116" s="189"/>
      <c r="FEZ116" s="189"/>
      <c r="FFA116" s="189"/>
      <c r="FFB116" s="189"/>
      <c r="FFC116" s="189"/>
      <c r="FFD116" s="189"/>
      <c r="FFE116" s="189"/>
      <c r="FFF116" s="189"/>
      <c r="FFG116" s="189"/>
      <c r="FFH116" s="189"/>
      <c r="FFI116" s="189"/>
      <c r="FFJ116" s="189"/>
      <c r="FFK116" s="189"/>
      <c r="FFL116" s="189"/>
      <c r="FFM116" s="189"/>
      <c r="FFN116" s="189"/>
      <c r="FFO116" s="189"/>
      <c r="FFP116" s="189"/>
      <c r="FFQ116" s="189"/>
      <c r="FFR116" s="189"/>
      <c r="FFS116" s="189"/>
      <c r="FFT116" s="189"/>
      <c r="FFU116" s="189"/>
      <c r="FFV116" s="189"/>
      <c r="FFW116" s="189"/>
      <c r="FFX116" s="189"/>
      <c r="FFY116" s="189"/>
      <c r="FFZ116" s="189"/>
      <c r="FGA116" s="189"/>
      <c r="FGB116" s="189"/>
      <c r="FGC116" s="189"/>
      <c r="FGD116" s="189"/>
      <c r="FGE116" s="189"/>
      <c r="FGF116" s="189"/>
      <c r="FGG116" s="189"/>
      <c r="FGH116" s="189"/>
      <c r="FGI116" s="189"/>
      <c r="FGJ116" s="189"/>
      <c r="FGK116" s="189"/>
      <c r="FGL116" s="189"/>
      <c r="FGM116" s="189"/>
      <c r="FGN116" s="189"/>
      <c r="FGO116" s="189"/>
      <c r="FGP116" s="189"/>
      <c r="FGQ116" s="189"/>
      <c r="FGR116" s="189"/>
      <c r="FGS116" s="189"/>
      <c r="FGT116" s="189"/>
      <c r="FGU116" s="189"/>
      <c r="FGV116" s="189"/>
      <c r="FGW116" s="189"/>
      <c r="FGX116" s="189"/>
      <c r="FGY116" s="189"/>
      <c r="FGZ116" s="189"/>
      <c r="FHA116" s="189"/>
      <c r="FHB116" s="189"/>
      <c r="FHC116" s="189"/>
      <c r="FHD116" s="189"/>
      <c r="FHE116" s="189"/>
      <c r="FHF116" s="189"/>
      <c r="FHG116" s="189"/>
      <c r="FHH116" s="189"/>
      <c r="FHI116" s="189"/>
      <c r="FHJ116" s="189"/>
      <c r="FHK116" s="189"/>
      <c r="FHL116" s="189"/>
      <c r="FHM116" s="189"/>
      <c r="FHN116" s="189"/>
      <c r="FHO116" s="189"/>
      <c r="FHP116" s="189"/>
      <c r="FHQ116" s="189"/>
      <c r="FHR116" s="189"/>
      <c r="FHS116" s="189"/>
      <c r="FHT116" s="189"/>
      <c r="FHU116" s="189"/>
      <c r="FHV116" s="189"/>
      <c r="FHW116" s="189"/>
      <c r="FHX116" s="189"/>
      <c r="FHY116" s="189"/>
      <c r="FHZ116" s="189"/>
      <c r="FIA116" s="189"/>
      <c r="FIB116" s="189"/>
      <c r="FIC116" s="189"/>
      <c r="FID116" s="189"/>
      <c r="FIE116" s="189"/>
      <c r="FIF116" s="189"/>
      <c r="FIG116" s="189"/>
      <c r="FIH116" s="189"/>
      <c r="FII116" s="189"/>
      <c r="FIJ116" s="189"/>
      <c r="FIK116" s="189"/>
      <c r="FIL116" s="189"/>
      <c r="FIM116" s="189"/>
      <c r="FIN116" s="189"/>
      <c r="FIO116" s="189"/>
      <c r="FIP116" s="189"/>
      <c r="FIQ116" s="189"/>
      <c r="FIR116" s="189"/>
      <c r="FIS116" s="189"/>
      <c r="FIT116" s="189"/>
      <c r="FIU116" s="189"/>
      <c r="FIV116" s="189"/>
      <c r="FIW116" s="189"/>
      <c r="FIX116" s="189"/>
      <c r="FIY116" s="189"/>
      <c r="FIZ116" s="189"/>
      <c r="FJA116" s="189"/>
      <c r="FJB116" s="189"/>
      <c r="FJC116" s="189"/>
      <c r="FJD116" s="189"/>
      <c r="FJE116" s="189"/>
      <c r="FJF116" s="189"/>
      <c r="FJG116" s="189"/>
      <c r="FJH116" s="189"/>
      <c r="FJI116" s="189"/>
      <c r="FJJ116" s="189"/>
      <c r="FJK116" s="189"/>
      <c r="FJL116" s="189"/>
      <c r="FJM116" s="189"/>
      <c r="FJN116" s="189"/>
      <c r="FJO116" s="189"/>
      <c r="FJP116" s="189"/>
      <c r="FJQ116" s="189"/>
      <c r="FJR116" s="189"/>
      <c r="FJS116" s="189"/>
      <c r="FJT116" s="189"/>
      <c r="FJU116" s="189"/>
      <c r="FJV116" s="189"/>
      <c r="FJW116" s="189"/>
      <c r="FJX116" s="189"/>
      <c r="FJY116" s="189"/>
      <c r="FJZ116" s="189"/>
      <c r="FKA116" s="189"/>
      <c r="FKB116" s="189"/>
      <c r="FKC116" s="189"/>
      <c r="FKD116" s="189"/>
      <c r="FKE116" s="189"/>
      <c r="FKF116" s="189"/>
      <c r="FKG116" s="189"/>
      <c r="FKH116" s="189"/>
      <c r="FKI116" s="189"/>
      <c r="FKJ116" s="189"/>
      <c r="FKK116" s="189"/>
      <c r="FKL116" s="189"/>
      <c r="FKM116" s="189"/>
      <c r="FKN116" s="189"/>
      <c r="FKO116" s="189"/>
      <c r="FKP116" s="189"/>
      <c r="FKQ116" s="189"/>
      <c r="FKR116" s="189"/>
      <c r="FKS116" s="189"/>
      <c r="FKT116" s="189"/>
      <c r="FKU116" s="189"/>
      <c r="FKV116" s="189"/>
      <c r="FKW116" s="189"/>
      <c r="FKX116" s="189"/>
      <c r="FKY116" s="189"/>
      <c r="FKZ116" s="189"/>
      <c r="FLA116" s="189"/>
      <c r="FLB116" s="189"/>
      <c r="FLC116" s="189"/>
      <c r="FLD116" s="189"/>
      <c r="FLE116" s="189"/>
      <c r="FLF116" s="189"/>
      <c r="FLG116" s="189"/>
      <c r="FLH116" s="189"/>
      <c r="FLI116" s="189"/>
      <c r="FLJ116" s="189"/>
      <c r="FLK116" s="189"/>
      <c r="FLL116" s="189"/>
      <c r="FLM116" s="189"/>
      <c r="FLN116" s="189"/>
      <c r="FLO116" s="189"/>
      <c r="FLP116" s="189"/>
      <c r="FLQ116" s="189"/>
      <c r="FLR116" s="189"/>
      <c r="FLS116" s="189"/>
      <c r="FLT116" s="189"/>
      <c r="FLU116" s="189"/>
      <c r="FLV116" s="189"/>
      <c r="FLW116" s="189"/>
      <c r="FLX116" s="189"/>
      <c r="FLY116" s="189"/>
      <c r="FLZ116" s="189"/>
      <c r="FMA116" s="189"/>
      <c r="FMB116" s="189"/>
      <c r="FMC116" s="189"/>
      <c r="FMD116" s="189"/>
      <c r="FME116" s="189"/>
      <c r="FMF116" s="189"/>
      <c r="FMG116" s="189"/>
      <c r="FMH116" s="189"/>
      <c r="FMI116" s="189"/>
      <c r="FMJ116" s="189"/>
      <c r="FMK116" s="189"/>
      <c r="FML116" s="189"/>
      <c r="FMM116" s="189"/>
      <c r="FMN116" s="189"/>
      <c r="FMO116" s="189"/>
      <c r="FMP116" s="189"/>
      <c r="FMQ116" s="189"/>
      <c r="FMR116" s="189"/>
      <c r="FMS116" s="189"/>
      <c r="FMT116" s="189"/>
      <c r="FMU116" s="189"/>
      <c r="FMV116" s="189"/>
      <c r="FMW116" s="189"/>
      <c r="FMX116" s="189"/>
      <c r="FMY116" s="189"/>
      <c r="FMZ116" s="189"/>
      <c r="FNA116" s="189"/>
      <c r="FNB116" s="189"/>
      <c r="FNC116" s="189"/>
      <c r="FND116" s="189"/>
      <c r="FNE116" s="189"/>
      <c r="FNF116" s="189"/>
      <c r="FNG116" s="189"/>
      <c r="FNH116" s="189"/>
      <c r="FNI116" s="189"/>
      <c r="FNJ116" s="189"/>
      <c r="FNK116" s="189"/>
      <c r="FNL116" s="189"/>
      <c r="FNM116" s="189"/>
      <c r="FNN116" s="189"/>
      <c r="FNO116" s="189"/>
      <c r="FNP116" s="189"/>
      <c r="FNQ116" s="189"/>
      <c r="FNR116" s="189"/>
      <c r="FNS116" s="189"/>
      <c r="FNT116" s="189"/>
      <c r="FNU116" s="189"/>
      <c r="FNV116" s="189"/>
      <c r="FNW116" s="189"/>
      <c r="FNX116" s="189"/>
      <c r="FNY116" s="189"/>
      <c r="FNZ116" s="189"/>
      <c r="FOA116" s="189"/>
      <c r="FOB116" s="189"/>
      <c r="FOC116" s="189"/>
      <c r="FOD116" s="189"/>
      <c r="FOE116" s="189"/>
      <c r="FOF116" s="189"/>
      <c r="FOG116" s="189"/>
      <c r="FOH116" s="189"/>
      <c r="FOI116" s="189"/>
      <c r="FOJ116" s="189"/>
      <c r="FOK116" s="189"/>
      <c r="FOL116" s="189"/>
      <c r="FOM116" s="189"/>
      <c r="FON116" s="189"/>
      <c r="FOO116" s="189"/>
      <c r="FOP116" s="189"/>
      <c r="FOQ116" s="189"/>
      <c r="FOR116" s="189"/>
      <c r="FOS116" s="189"/>
      <c r="FOT116" s="189"/>
      <c r="FOU116" s="189"/>
      <c r="FOV116" s="189"/>
      <c r="FOW116" s="189"/>
      <c r="FOX116" s="189"/>
      <c r="FOY116" s="189"/>
      <c r="FOZ116" s="189"/>
      <c r="FPA116" s="189"/>
      <c r="FPB116" s="189"/>
      <c r="FPC116" s="189"/>
      <c r="FPD116" s="189"/>
      <c r="FPE116" s="189"/>
      <c r="FPF116" s="189"/>
      <c r="FPG116" s="189"/>
      <c r="FPH116" s="189"/>
      <c r="FPI116" s="189"/>
      <c r="FPJ116" s="189"/>
      <c r="FPK116" s="189"/>
      <c r="FPL116" s="189"/>
      <c r="FPM116" s="189"/>
      <c r="FPN116" s="189"/>
      <c r="FPO116" s="189"/>
      <c r="FPP116" s="189"/>
      <c r="FPQ116" s="189"/>
      <c r="FPR116" s="189"/>
      <c r="FPS116" s="189"/>
      <c r="FPT116" s="189"/>
      <c r="FPU116" s="189"/>
      <c r="FPV116" s="189"/>
      <c r="FPW116" s="189"/>
      <c r="FPX116" s="189"/>
      <c r="FPY116" s="189"/>
      <c r="FPZ116" s="189"/>
      <c r="FQA116" s="189"/>
      <c r="FQB116" s="189"/>
      <c r="FQC116" s="189"/>
      <c r="FQD116" s="189"/>
      <c r="FQE116" s="189"/>
      <c r="FQF116" s="189"/>
      <c r="FQG116" s="189"/>
      <c r="FQH116" s="189"/>
      <c r="FQI116" s="189"/>
      <c r="FQJ116" s="189"/>
      <c r="FQK116" s="189"/>
      <c r="FQL116" s="189"/>
      <c r="FQM116" s="189"/>
      <c r="FQN116" s="189"/>
      <c r="FQO116" s="189"/>
      <c r="FQP116" s="189"/>
      <c r="FQQ116" s="189"/>
      <c r="FQR116" s="189"/>
      <c r="FQS116" s="189"/>
      <c r="FQT116" s="189"/>
      <c r="FQU116" s="189"/>
      <c r="FQV116" s="189"/>
      <c r="FQW116" s="189"/>
      <c r="FQX116" s="189"/>
      <c r="FQY116" s="189"/>
      <c r="FQZ116" s="189"/>
      <c r="FRA116" s="189"/>
      <c r="FRB116" s="189"/>
      <c r="FRC116" s="189"/>
      <c r="FRD116" s="189"/>
      <c r="FRE116" s="189"/>
      <c r="FRF116" s="189"/>
      <c r="FRG116" s="189"/>
      <c r="FRH116" s="189"/>
      <c r="FRI116" s="189"/>
      <c r="FRJ116" s="189"/>
      <c r="FRK116" s="189"/>
      <c r="FRL116" s="189"/>
      <c r="FRM116" s="189"/>
      <c r="FRN116" s="189"/>
      <c r="FRO116" s="189"/>
      <c r="FRP116" s="189"/>
      <c r="FRQ116" s="189"/>
      <c r="FRR116" s="189"/>
      <c r="FRS116" s="189"/>
      <c r="FRT116" s="189"/>
      <c r="FRU116" s="189"/>
      <c r="FRV116" s="189"/>
      <c r="FRW116" s="189"/>
      <c r="FRX116" s="189"/>
      <c r="FRY116" s="189"/>
      <c r="FRZ116" s="189"/>
      <c r="FSA116" s="189"/>
      <c r="FSB116" s="189"/>
      <c r="FSC116" s="189"/>
      <c r="FSD116" s="189"/>
      <c r="FSE116" s="189"/>
      <c r="FSF116" s="189"/>
      <c r="FSG116" s="189"/>
      <c r="FSH116" s="189"/>
      <c r="FSI116" s="189"/>
      <c r="FSJ116" s="189"/>
      <c r="FSK116" s="189"/>
      <c r="FSL116" s="189"/>
      <c r="FSM116" s="189"/>
      <c r="FSN116" s="189"/>
      <c r="FSO116" s="189"/>
      <c r="FSP116" s="189"/>
      <c r="FSQ116" s="189"/>
      <c r="FSR116" s="189"/>
      <c r="FSS116" s="189"/>
      <c r="FST116" s="189"/>
      <c r="FSU116" s="189"/>
      <c r="FSV116" s="189"/>
      <c r="FSW116" s="189"/>
      <c r="FSX116" s="189"/>
      <c r="FSY116" s="189"/>
      <c r="FSZ116" s="189"/>
      <c r="FTA116" s="189"/>
      <c r="FTB116" s="189"/>
      <c r="FTC116" s="189"/>
      <c r="FTD116" s="189"/>
      <c r="FTE116" s="189"/>
      <c r="FTF116" s="189"/>
      <c r="FTG116" s="189"/>
      <c r="FTH116" s="189"/>
      <c r="FTI116" s="189"/>
      <c r="FTJ116" s="189"/>
      <c r="FTK116" s="189"/>
      <c r="FTL116" s="189"/>
      <c r="FTM116" s="189"/>
      <c r="FTN116" s="189"/>
      <c r="FTO116" s="189"/>
      <c r="FTP116" s="189"/>
      <c r="FTQ116" s="189"/>
      <c r="FTR116" s="189"/>
      <c r="FTS116" s="189"/>
      <c r="FTT116" s="189"/>
      <c r="FTU116" s="189"/>
      <c r="FTV116" s="189"/>
      <c r="FTW116" s="189"/>
      <c r="FTX116" s="189"/>
      <c r="FTY116" s="189"/>
      <c r="FTZ116" s="189"/>
      <c r="FUA116" s="189"/>
      <c r="FUB116" s="189"/>
      <c r="FUC116" s="189"/>
      <c r="FUD116" s="189"/>
      <c r="FUE116" s="189"/>
      <c r="FUF116" s="189"/>
      <c r="FUG116" s="189"/>
      <c r="FUH116" s="189"/>
      <c r="FUI116" s="189"/>
      <c r="FUJ116" s="189"/>
      <c r="FUK116" s="189"/>
      <c r="FUL116" s="189"/>
      <c r="FUM116" s="189"/>
      <c r="FUN116" s="189"/>
      <c r="FUO116" s="189"/>
      <c r="FUP116" s="189"/>
      <c r="FUQ116" s="189"/>
      <c r="FUR116" s="189"/>
      <c r="FUS116" s="189"/>
      <c r="FUT116" s="189"/>
      <c r="FUU116" s="189"/>
      <c r="FUV116" s="189"/>
      <c r="FUW116" s="189"/>
      <c r="FUX116" s="189"/>
      <c r="FUY116" s="189"/>
      <c r="FUZ116" s="189"/>
      <c r="FVA116" s="189"/>
      <c r="FVB116" s="189"/>
      <c r="FVC116" s="189"/>
      <c r="FVD116" s="189"/>
      <c r="FVE116" s="189"/>
      <c r="FVF116" s="189"/>
      <c r="FVG116" s="189"/>
      <c r="FVH116" s="189"/>
      <c r="FVI116" s="189"/>
      <c r="FVJ116" s="189"/>
      <c r="FVK116" s="189"/>
      <c r="FVL116" s="189"/>
      <c r="FVM116" s="189"/>
      <c r="FVN116" s="189"/>
      <c r="FVO116" s="189"/>
      <c r="FVP116" s="189"/>
      <c r="FVQ116" s="189"/>
      <c r="FVR116" s="189"/>
      <c r="FVS116" s="189"/>
      <c r="FVT116" s="189"/>
      <c r="FVU116" s="189"/>
      <c r="FVV116" s="189"/>
      <c r="FVW116" s="189"/>
      <c r="FVX116" s="189"/>
      <c r="FVY116" s="189"/>
      <c r="FVZ116" s="189"/>
      <c r="FWA116" s="189"/>
      <c r="FWB116" s="189"/>
      <c r="FWC116" s="189"/>
      <c r="FWD116" s="189"/>
      <c r="FWE116" s="189"/>
      <c r="FWF116" s="189"/>
      <c r="FWG116" s="189"/>
      <c r="FWH116" s="189"/>
      <c r="FWI116" s="189"/>
      <c r="FWJ116" s="189"/>
      <c r="FWK116" s="189"/>
      <c r="FWL116" s="189"/>
      <c r="FWM116" s="189"/>
      <c r="FWN116" s="189"/>
      <c r="FWO116" s="189"/>
      <c r="FWP116" s="189"/>
      <c r="FWQ116" s="189"/>
      <c r="FWR116" s="189"/>
      <c r="FWS116" s="189"/>
      <c r="FWT116" s="189"/>
      <c r="FWU116" s="189"/>
      <c r="FWV116" s="189"/>
      <c r="FWW116" s="189"/>
      <c r="FWX116" s="189"/>
      <c r="FWY116" s="189"/>
      <c r="FWZ116" s="189"/>
      <c r="FXA116" s="189"/>
      <c r="FXB116" s="189"/>
      <c r="FXC116" s="189"/>
      <c r="FXD116" s="189"/>
      <c r="FXE116" s="189"/>
      <c r="FXF116" s="189"/>
      <c r="FXG116" s="189"/>
      <c r="FXH116" s="189"/>
      <c r="FXI116" s="189"/>
      <c r="FXJ116" s="189"/>
      <c r="FXK116" s="189"/>
      <c r="FXL116" s="189"/>
      <c r="FXM116" s="189"/>
      <c r="FXN116" s="189"/>
      <c r="FXO116" s="189"/>
      <c r="FXP116" s="189"/>
      <c r="FXQ116" s="189"/>
      <c r="FXR116" s="189"/>
      <c r="FXS116" s="189"/>
      <c r="FXT116" s="189"/>
      <c r="FXU116" s="189"/>
      <c r="FXV116" s="189"/>
      <c r="FXW116" s="189"/>
      <c r="FXX116" s="189"/>
      <c r="FXY116" s="189"/>
      <c r="FXZ116" s="189"/>
      <c r="FYA116" s="189"/>
      <c r="FYB116" s="189"/>
      <c r="FYC116" s="189"/>
      <c r="FYD116" s="189"/>
      <c r="FYE116" s="189"/>
      <c r="FYF116" s="189"/>
      <c r="FYG116" s="189"/>
      <c r="FYH116" s="189"/>
      <c r="FYI116" s="189"/>
      <c r="FYJ116" s="189"/>
      <c r="FYK116" s="189"/>
      <c r="FYL116" s="189"/>
      <c r="FYM116" s="189"/>
      <c r="FYN116" s="189"/>
      <c r="FYO116" s="189"/>
      <c r="FYP116" s="189"/>
      <c r="FYQ116" s="189"/>
      <c r="FYR116" s="189"/>
      <c r="FYS116" s="189"/>
      <c r="FYT116" s="189"/>
      <c r="FYU116" s="189"/>
      <c r="FYV116" s="189"/>
      <c r="FYW116" s="189"/>
      <c r="FYX116" s="189"/>
      <c r="FYY116" s="189"/>
      <c r="FYZ116" s="189"/>
      <c r="FZA116" s="189"/>
      <c r="FZB116" s="189"/>
      <c r="FZC116" s="189"/>
      <c r="FZD116" s="189"/>
      <c r="FZE116" s="189"/>
      <c r="FZF116" s="189"/>
      <c r="FZG116" s="189"/>
      <c r="FZH116" s="189"/>
      <c r="FZI116" s="189"/>
      <c r="FZJ116" s="189"/>
      <c r="FZK116" s="189"/>
      <c r="FZL116" s="189"/>
      <c r="FZM116" s="189"/>
      <c r="FZN116" s="189"/>
      <c r="FZO116" s="189"/>
      <c r="FZP116" s="189"/>
      <c r="FZQ116" s="189"/>
      <c r="FZR116" s="189"/>
      <c r="FZS116" s="189"/>
      <c r="FZT116" s="189"/>
      <c r="FZU116" s="189"/>
      <c r="FZV116" s="189"/>
      <c r="FZW116" s="189"/>
      <c r="FZX116" s="189"/>
      <c r="FZY116" s="189"/>
      <c r="FZZ116" s="189"/>
      <c r="GAA116" s="189"/>
      <c r="GAB116" s="189"/>
      <c r="GAC116" s="189"/>
      <c r="GAD116" s="189"/>
      <c r="GAE116" s="189"/>
      <c r="GAF116" s="189"/>
      <c r="GAG116" s="189"/>
      <c r="GAH116" s="189"/>
      <c r="GAI116" s="189"/>
      <c r="GAJ116" s="189"/>
      <c r="GAK116" s="189"/>
      <c r="GAL116" s="189"/>
      <c r="GAM116" s="189"/>
      <c r="GAN116" s="189"/>
      <c r="GAO116" s="189"/>
      <c r="GAP116" s="189"/>
      <c r="GAQ116" s="189"/>
      <c r="GAR116" s="189"/>
      <c r="GAS116" s="189"/>
      <c r="GAT116" s="189"/>
      <c r="GAU116" s="189"/>
      <c r="GAV116" s="189"/>
      <c r="GAW116" s="189"/>
      <c r="GAX116" s="189"/>
      <c r="GAY116" s="189"/>
      <c r="GAZ116" s="189"/>
      <c r="GBA116" s="189"/>
      <c r="GBB116" s="189"/>
      <c r="GBC116" s="189"/>
      <c r="GBD116" s="189"/>
      <c r="GBE116" s="189"/>
      <c r="GBF116" s="189"/>
      <c r="GBG116" s="189"/>
      <c r="GBH116" s="189"/>
      <c r="GBI116" s="189"/>
      <c r="GBJ116" s="189"/>
      <c r="GBK116" s="189"/>
      <c r="GBL116" s="189"/>
      <c r="GBM116" s="189"/>
      <c r="GBN116" s="189"/>
      <c r="GBO116" s="189"/>
      <c r="GBP116" s="189"/>
      <c r="GBQ116" s="189"/>
      <c r="GBR116" s="189"/>
      <c r="GBS116" s="189"/>
      <c r="GBT116" s="189"/>
      <c r="GBU116" s="189"/>
      <c r="GBV116" s="189"/>
      <c r="GBW116" s="189"/>
      <c r="GBX116" s="189"/>
      <c r="GBY116" s="189"/>
      <c r="GBZ116" s="189"/>
      <c r="GCA116" s="189"/>
      <c r="GCB116" s="189"/>
      <c r="GCC116" s="189"/>
      <c r="GCD116" s="189"/>
      <c r="GCE116" s="189"/>
      <c r="GCF116" s="189"/>
      <c r="GCG116" s="189"/>
      <c r="GCH116" s="189"/>
      <c r="GCI116" s="189"/>
      <c r="GCJ116" s="189"/>
      <c r="GCK116" s="189"/>
      <c r="GCL116" s="189"/>
      <c r="GCM116" s="189"/>
      <c r="GCN116" s="189"/>
      <c r="GCO116" s="189"/>
      <c r="GCP116" s="189"/>
      <c r="GCQ116" s="189"/>
      <c r="GCR116" s="189"/>
      <c r="GCS116" s="189"/>
      <c r="GCT116" s="189"/>
      <c r="GCU116" s="189"/>
      <c r="GCV116" s="189"/>
      <c r="GCW116" s="189"/>
      <c r="GCX116" s="189"/>
      <c r="GCY116" s="189"/>
      <c r="GCZ116" s="189"/>
      <c r="GDA116" s="189"/>
      <c r="GDB116" s="189"/>
      <c r="GDC116" s="189"/>
      <c r="GDD116" s="189"/>
      <c r="GDE116" s="189"/>
      <c r="GDF116" s="189"/>
      <c r="GDG116" s="189"/>
      <c r="GDH116" s="189"/>
      <c r="GDI116" s="189"/>
      <c r="GDJ116" s="189"/>
      <c r="GDK116" s="189"/>
      <c r="GDL116" s="189"/>
      <c r="GDM116" s="189"/>
      <c r="GDN116" s="189"/>
      <c r="GDO116" s="189"/>
      <c r="GDP116" s="189"/>
      <c r="GDQ116" s="189"/>
      <c r="GDR116" s="189"/>
      <c r="GDS116" s="189"/>
      <c r="GDT116" s="189"/>
      <c r="GDU116" s="189"/>
      <c r="GDV116" s="189"/>
      <c r="GDW116" s="189"/>
      <c r="GDX116" s="189"/>
      <c r="GDY116" s="189"/>
      <c r="GDZ116" s="189"/>
      <c r="GEA116" s="189"/>
      <c r="GEB116" s="189"/>
      <c r="GEC116" s="189"/>
      <c r="GED116" s="189"/>
      <c r="GEE116" s="189"/>
      <c r="GEF116" s="189"/>
      <c r="GEG116" s="189"/>
      <c r="GEH116" s="189"/>
      <c r="GEI116" s="189"/>
      <c r="GEJ116" s="189"/>
      <c r="GEK116" s="189"/>
      <c r="GEL116" s="189"/>
      <c r="GEM116" s="189"/>
      <c r="GEN116" s="189"/>
      <c r="GEO116" s="189"/>
      <c r="GEP116" s="189"/>
      <c r="GEQ116" s="189"/>
      <c r="GER116" s="189"/>
      <c r="GES116" s="189"/>
      <c r="GET116" s="189"/>
      <c r="GEU116" s="189"/>
      <c r="GEV116" s="189"/>
      <c r="GEW116" s="189"/>
      <c r="GEX116" s="189"/>
      <c r="GEY116" s="189"/>
      <c r="GEZ116" s="189"/>
      <c r="GFA116" s="189"/>
      <c r="GFB116" s="189"/>
      <c r="GFC116" s="189"/>
      <c r="GFD116" s="189"/>
      <c r="GFE116" s="189"/>
      <c r="GFF116" s="189"/>
      <c r="GFG116" s="189"/>
      <c r="GFH116" s="189"/>
      <c r="GFI116" s="189"/>
      <c r="GFJ116" s="189"/>
      <c r="GFK116" s="189"/>
      <c r="GFL116" s="189"/>
      <c r="GFM116" s="189"/>
      <c r="GFN116" s="189"/>
      <c r="GFO116" s="189"/>
      <c r="GFP116" s="189"/>
      <c r="GFQ116" s="189"/>
      <c r="GFR116" s="189"/>
      <c r="GFS116" s="189"/>
      <c r="GFT116" s="189"/>
      <c r="GFU116" s="189"/>
      <c r="GFV116" s="189"/>
      <c r="GFW116" s="189"/>
      <c r="GFX116" s="189"/>
      <c r="GFY116" s="189"/>
      <c r="GFZ116" s="189"/>
      <c r="GGA116" s="189"/>
      <c r="GGB116" s="189"/>
      <c r="GGC116" s="189"/>
      <c r="GGD116" s="189"/>
      <c r="GGE116" s="189"/>
      <c r="GGF116" s="189"/>
      <c r="GGG116" s="189"/>
      <c r="GGH116" s="189"/>
      <c r="GGI116" s="189"/>
      <c r="GGJ116" s="189"/>
      <c r="GGK116" s="189"/>
      <c r="GGL116" s="189"/>
      <c r="GGM116" s="189"/>
      <c r="GGN116" s="189"/>
      <c r="GGO116" s="189"/>
      <c r="GGP116" s="189"/>
      <c r="GGQ116" s="189"/>
      <c r="GGR116" s="189"/>
      <c r="GGS116" s="189"/>
      <c r="GGT116" s="189"/>
      <c r="GGU116" s="189"/>
      <c r="GGV116" s="189"/>
      <c r="GGW116" s="189"/>
      <c r="GGX116" s="189"/>
      <c r="GGY116" s="189"/>
      <c r="GGZ116" s="189"/>
      <c r="GHA116" s="189"/>
      <c r="GHB116" s="189"/>
      <c r="GHC116" s="189"/>
      <c r="GHD116" s="189"/>
      <c r="GHE116" s="189"/>
      <c r="GHF116" s="189"/>
      <c r="GHG116" s="189"/>
      <c r="GHH116" s="189"/>
      <c r="GHI116" s="189"/>
      <c r="GHJ116" s="189"/>
      <c r="GHK116" s="189"/>
      <c r="GHL116" s="189"/>
      <c r="GHM116" s="189"/>
      <c r="GHN116" s="189"/>
      <c r="GHO116" s="189"/>
      <c r="GHP116" s="189"/>
      <c r="GHQ116" s="189"/>
      <c r="GHR116" s="189"/>
      <c r="GHS116" s="189"/>
      <c r="GHT116" s="189"/>
      <c r="GHU116" s="189"/>
      <c r="GHV116" s="189"/>
      <c r="GHW116" s="189"/>
      <c r="GHX116" s="189"/>
      <c r="GHY116" s="189"/>
      <c r="GHZ116" s="189"/>
      <c r="GIA116" s="189"/>
      <c r="GIB116" s="189"/>
      <c r="GIC116" s="189"/>
      <c r="GID116" s="189"/>
      <c r="GIE116" s="189"/>
      <c r="GIF116" s="189"/>
      <c r="GIG116" s="189"/>
      <c r="GIH116" s="189"/>
      <c r="GII116" s="189"/>
      <c r="GIJ116" s="189"/>
      <c r="GIK116" s="189"/>
      <c r="GIL116" s="189"/>
      <c r="GIM116" s="189"/>
      <c r="GIN116" s="189"/>
      <c r="GIO116" s="189"/>
      <c r="GIP116" s="189"/>
      <c r="GIQ116" s="189"/>
      <c r="GIR116" s="189"/>
      <c r="GIS116" s="189"/>
      <c r="GIT116" s="189"/>
      <c r="GIU116" s="189"/>
      <c r="GIV116" s="189"/>
      <c r="GIW116" s="189"/>
      <c r="GIX116" s="189"/>
      <c r="GIY116" s="189"/>
      <c r="GIZ116" s="189"/>
      <c r="GJA116" s="189"/>
      <c r="GJB116" s="189"/>
      <c r="GJC116" s="189"/>
      <c r="GJD116" s="189"/>
      <c r="GJE116" s="189"/>
      <c r="GJF116" s="189"/>
      <c r="GJG116" s="189"/>
      <c r="GJH116" s="189"/>
      <c r="GJI116" s="189"/>
      <c r="GJJ116" s="189"/>
      <c r="GJK116" s="189"/>
      <c r="GJL116" s="189"/>
      <c r="GJM116" s="189"/>
      <c r="GJN116" s="189"/>
      <c r="GJO116" s="189"/>
      <c r="GJP116" s="189"/>
      <c r="GJQ116" s="189"/>
      <c r="GJR116" s="189"/>
      <c r="GJS116" s="189"/>
      <c r="GJT116" s="189"/>
      <c r="GJU116" s="189"/>
      <c r="GJV116" s="189"/>
      <c r="GJW116" s="189"/>
      <c r="GJX116" s="189"/>
      <c r="GJY116" s="189"/>
      <c r="GJZ116" s="189"/>
      <c r="GKA116" s="189"/>
      <c r="GKB116" s="189"/>
      <c r="GKC116" s="189"/>
      <c r="GKD116" s="189"/>
      <c r="GKE116" s="189"/>
      <c r="GKF116" s="189"/>
      <c r="GKG116" s="189"/>
      <c r="GKH116" s="189"/>
      <c r="GKI116" s="189"/>
      <c r="GKJ116" s="189"/>
      <c r="GKK116" s="189"/>
      <c r="GKL116" s="189"/>
      <c r="GKM116" s="189"/>
      <c r="GKN116" s="189"/>
      <c r="GKO116" s="189"/>
      <c r="GKP116" s="189"/>
      <c r="GKQ116" s="189"/>
      <c r="GKR116" s="189"/>
      <c r="GKS116" s="189"/>
      <c r="GKT116" s="189"/>
      <c r="GKU116" s="189"/>
      <c r="GKV116" s="189"/>
      <c r="GKW116" s="189"/>
      <c r="GKX116" s="189"/>
      <c r="GKY116" s="189"/>
      <c r="GKZ116" s="189"/>
      <c r="GLA116" s="189"/>
      <c r="GLB116" s="189"/>
      <c r="GLC116" s="189"/>
      <c r="GLD116" s="189"/>
      <c r="GLE116" s="189"/>
      <c r="GLF116" s="189"/>
      <c r="GLG116" s="189"/>
      <c r="GLH116" s="189"/>
      <c r="GLI116" s="189"/>
      <c r="GLJ116" s="189"/>
      <c r="GLK116" s="189"/>
      <c r="GLL116" s="189"/>
      <c r="GLM116" s="189"/>
      <c r="GLN116" s="189"/>
      <c r="GLO116" s="189"/>
      <c r="GLP116" s="189"/>
      <c r="GLQ116" s="189"/>
      <c r="GLR116" s="189"/>
      <c r="GLS116" s="189"/>
      <c r="GLT116" s="189"/>
      <c r="GLU116" s="189"/>
      <c r="GLV116" s="189"/>
      <c r="GLW116" s="189"/>
      <c r="GLX116" s="189"/>
      <c r="GLY116" s="189"/>
      <c r="GLZ116" s="189"/>
      <c r="GMA116" s="189"/>
      <c r="GMB116" s="189"/>
      <c r="GMC116" s="189"/>
      <c r="GMD116" s="189"/>
      <c r="GME116" s="189"/>
      <c r="GMF116" s="189"/>
      <c r="GMG116" s="189"/>
      <c r="GMH116" s="189"/>
      <c r="GMI116" s="189"/>
      <c r="GMJ116" s="189"/>
      <c r="GMK116" s="189"/>
      <c r="GML116" s="189"/>
      <c r="GMM116" s="189"/>
      <c r="GMN116" s="189"/>
      <c r="GMO116" s="189"/>
      <c r="GMP116" s="189"/>
      <c r="GMQ116" s="189"/>
      <c r="GMR116" s="189"/>
      <c r="GMS116" s="189"/>
      <c r="GMT116" s="189"/>
      <c r="GMU116" s="189"/>
      <c r="GMV116" s="189"/>
      <c r="GMW116" s="189"/>
      <c r="GMX116" s="189"/>
      <c r="GMY116" s="189"/>
      <c r="GMZ116" s="189"/>
      <c r="GNA116" s="189"/>
      <c r="GNB116" s="189"/>
      <c r="GNC116" s="189"/>
      <c r="GND116" s="189"/>
      <c r="GNE116" s="189"/>
      <c r="GNF116" s="189"/>
      <c r="GNG116" s="189"/>
      <c r="GNH116" s="189"/>
      <c r="GNI116" s="189"/>
      <c r="GNJ116" s="189"/>
      <c r="GNK116" s="189"/>
      <c r="GNL116" s="189"/>
      <c r="GNM116" s="189"/>
      <c r="GNN116" s="189"/>
      <c r="GNO116" s="189"/>
      <c r="GNP116" s="189"/>
      <c r="GNQ116" s="189"/>
      <c r="GNR116" s="189"/>
      <c r="GNS116" s="189"/>
      <c r="GNT116" s="189"/>
      <c r="GNU116" s="189"/>
      <c r="GNV116" s="189"/>
      <c r="GNW116" s="189"/>
      <c r="GNX116" s="189"/>
      <c r="GNY116" s="189"/>
      <c r="GNZ116" s="189"/>
      <c r="GOA116" s="189"/>
      <c r="GOB116" s="189"/>
      <c r="GOC116" s="189"/>
      <c r="GOD116" s="189"/>
      <c r="GOE116" s="189"/>
      <c r="GOF116" s="189"/>
      <c r="GOG116" s="189"/>
      <c r="GOH116" s="189"/>
      <c r="GOI116" s="189"/>
      <c r="GOJ116" s="189"/>
      <c r="GOK116" s="189"/>
      <c r="GOL116" s="189"/>
      <c r="GOM116" s="189"/>
      <c r="GON116" s="189"/>
      <c r="GOO116" s="189"/>
      <c r="GOP116" s="189"/>
      <c r="GOQ116" s="189"/>
      <c r="GOR116" s="189"/>
      <c r="GOS116" s="189"/>
      <c r="GOT116" s="189"/>
      <c r="GOU116" s="189"/>
      <c r="GOV116" s="189"/>
      <c r="GOW116" s="189"/>
      <c r="GOX116" s="189"/>
      <c r="GOY116" s="189"/>
      <c r="GOZ116" s="189"/>
      <c r="GPA116" s="189"/>
      <c r="GPB116" s="189"/>
      <c r="GPC116" s="189"/>
      <c r="GPD116" s="189"/>
      <c r="GPE116" s="189"/>
      <c r="GPF116" s="189"/>
      <c r="GPG116" s="189"/>
      <c r="GPH116" s="189"/>
      <c r="GPI116" s="189"/>
      <c r="GPJ116" s="189"/>
      <c r="GPK116" s="189"/>
      <c r="GPL116" s="189"/>
      <c r="GPM116" s="189"/>
      <c r="GPN116" s="189"/>
      <c r="GPO116" s="189"/>
      <c r="GPP116" s="189"/>
      <c r="GPQ116" s="189"/>
      <c r="GPR116" s="189"/>
      <c r="GPS116" s="189"/>
      <c r="GPT116" s="189"/>
      <c r="GPU116" s="189"/>
      <c r="GPV116" s="189"/>
      <c r="GPW116" s="189"/>
      <c r="GPX116" s="189"/>
      <c r="GPY116" s="189"/>
      <c r="GPZ116" s="189"/>
      <c r="GQA116" s="189"/>
      <c r="GQB116" s="189"/>
      <c r="GQC116" s="189"/>
      <c r="GQD116" s="189"/>
      <c r="GQE116" s="189"/>
      <c r="GQF116" s="189"/>
      <c r="GQG116" s="189"/>
      <c r="GQH116" s="189"/>
      <c r="GQI116" s="189"/>
      <c r="GQJ116" s="189"/>
      <c r="GQK116" s="189"/>
      <c r="GQL116" s="189"/>
      <c r="GQM116" s="189"/>
      <c r="GQN116" s="189"/>
      <c r="GQO116" s="189"/>
      <c r="GQP116" s="189"/>
      <c r="GQQ116" s="189"/>
      <c r="GQR116" s="189"/>
      <c r="GQS116" s="189"/>
      <c r="GQT116" s="189"/>
      <c r="GQU116" s="189"/>
      <c r="GQV116" s="189"/>
      <c r="GQW116" s="189"/>
      <c r="GQX116" s="189"/>
      <c r="GQY116" s="189"/>
      <c r="GQZ116" s="189"/>
      <c r="GRA116" s="189"/>
      <c r="GRB116" s="189"/>
      <c r="GRC116" s="189"/>
      <c r="GRD116" s="189"/>
      <c r="GRE116" s="189"/>
      <c r="GRF116" s="189"/>
      <c r="GRG116" s="189"/>
      <c r="GRH116" s="189"/>
      <c r="GRI116" s="189"/>
      <c r="GRJ116" s="189"/>
      <c r="GRK116" s="189"/>
      <c r="GRL116" s="189"/>
      <c r="GRM116" s="189"/>
      <c r="GRN116" s="189"/>
      <c r="GRO116" s="189"/>
      <c r="GRP116" s="189"/>
      <c r="GRQ116" s="189"/>
      <c r="GRR116" s="189"/>
      <c r="GRS116" s="189"/>
      <c r="GRT116" s="189"/>
      <c r="GRU116" s="189"/>
      <c r="GRV116" s="189"/>
      <c r="GRW116" s="189"/>
      <c r="GRX116" s="189"/>
      <c r="GRY116" s="189"/>
      <c r="GRZ116" s="189"/>
      <c r="GSA116" s="189"/>
      <c r="GSB116" s="189"/>
      <c r="GSC116" s="189"/>
      <c r="GSD116" s="189"/>
      <c r="GSE116" s="189"/>
      <c r="GSF116" s="189"/>
      <c r="GSG116" s="189"/>
      <c r="GSH116" s="189"/>
      <c r="GSI116" s="189"/>
      <c r="GSJ116" s="189"/>
      <c r="GSK116" s="189"/>
      <c r="GSL116" s="189"/>
      <c r="GSM116" s="189"/>
      <c r="GSN116" s="189"/>
      <c r="GSO116" s="189"/>
      <c r="GSP116" s="189"/>
      <c r="GSQ116" s="189"/>
      <c r="GSR116" s="189"/>
      <c r="GSS116" s="189"/>
      <c r="GST116" s="189"/>
      <c r="GSU116" s="189"/>
      <c r="GSV116" s="189"/>
      <c r="GSW116" s="189"/>
      <c r="GSX116" s="189"/>
      <c r="GSY116" s="189"/>
      <c r="GSZ116" s="189"/>
      <c r="GTA116" s="189"/>
      <c r="GTB116" s="189"/>
      <c r="GTC116" s="189"/>
      <c r="GTD116" s="189"/>
      <c r="GTE116" s="189"/>
      <c r="GTF116" s="189"/>
      <c r="GTG116" s="189"/>
      <c r="GTH116" s="189"/>
      <c r="GTI116" s="189"/>
      <c r="GTJ116" s="189"/>
      <c r="GTK116" s="189"/>
      <c r="GTL116" s="189"/>
      <c r="GTM116" s="189"/>
      <c r="GTN116" s="189"/>
      <c r="GTO116" s="189"/>
      <c r="GTP116" s="189"/>
      <c r="GTQ116" s="189"/>
      <c r="GTR116" s="189"/>
      <c r="GTS116" s="189"/>
      <c r="GTT116" s="189"/>
      <c r="GTU116" s="189"/>
      <c r="GTV116" s="189"/>
      <c r="GTW116" s="189"/>
      <c r="GTX116" s="189"/>
      <c r="GTY116" s="189"/>
      <c r="GTZ116" s="189"/>
      <c r="GUA116" s="189"/>
      <c r="GUB116" s="189"/>
      <c r="GUC116" s="189"/>
      <c r="GUD116" s="189"/>
      <c r="GUE116" s="189"/>
      <c r="GUF116" s="189"/>
      <c r="GUG116" s="189"/>
      <c r="GUH116" s="189"/>
      <c r="GUI116" s="189"/>
      <c r="GUJ116" s="189"/>
      <c r="GUK116" s="189"/>
      <c r="GUL116" s="189"/>
      <c r="GUM116" s="189"/>
      <c r="GUN116" s="189"/>
      <c r="GUO116" s="189"/>
      <c r="GUP116" s="189"/>
      <c r="GUQ116" s="189"/>
      <c r="GUR116" s="189"/>
      <c r="GUS116" s="189"/>
      <c r="GUT116" s="189"/>
      <c r="GUU116" s="189"/>
      <c r="GUV116" s="189"/>
      <c r="GUW116" s="189"/>
      <c r="GUX116" s="189"/>
      <c r="GUY116" s="189"/>
      <c r="GUZ116" s="189"/>
      <c r="GVA116" s="189"/>
      <c r="GVB116" s="189"/>
      <c r="GVC116" s="189"/>
      <c r="GVD116" s="189"/>
      <c r="GVE116" s="189"/>
      <c r="GVF116" s="189"/>
      <c r="GVG116" s="189"/>
      <c r="GVH116" s="189"/>
      <c r="GVI116" s="189"/>
      <c r="GVJ116" s="189"/>
      <c r="GVK116" s="189"/>
      <c r="GVL116" s="189"/>
      <c r="GVM116" s="189"/>
      <c r="GVN116" s="189"/>
      <c r="GVO116" s="189"/>
      <c r="GVP116" s="189"/>
      <c r="GVQ116" s="189"/>
      <c r="GVR116" s="189"/>
      <c r="GVS116" s="189"/>
      <c r="GVT116" s="189"/>
      <c r="GVU116" s="189"/>
      <c r="GVV116" s="189"/>
      <c r="GVW116" s="189"/>
      <c r="GVX116" s="189"/>
      <c r="GVY116" s="189"/>
      <c r="GVZ116" s="189"/>
      <c r="GWA116" s="189"/>
      <c r="GWB116" s="189"/>
      <c r="GWC116" s="189"/>
      <c r="GWD116" s="189"/>
      <c r="GWE116" s="189"/>
      <c r="GWF116" s="189"/>
      <c r="GWG116" s="189"/>
      <c r="GWH116" s="189"/>
      <c r="GWI116" s="189"/>
      <c r="GWJ116" s="189"/>
      <c r="GWK116" s="189"/>
      <c r="GWL116" s="189"/>
      <c r="GWM116" s="189"/>
      <c r="GWN116" s="189"/>
      <c r="GWO116" s="189"/>
      <c r="GWP116" s="189"/>
      <c r="GWQ116" s="189"/>
      <c r="GWR116" s="189"/>
      <c r="GWS116" s="189"/>
      <c r="GWT116" s="189"/>
      <c r="GWU116" s="189"/>
      <c r="GWV116" s="189"/>
      <c r="GWW116" s="189"/>
      <c r="GWX116" s="189"/>
      <c r="GWY116" s="189"/>
      <c r="GWZ116" s="189"/>
      <c r="GXA116" s="189"/>
      <c r="GXB116" s="189"/>
      <c r="GXC116" s="189"/>
      <c r="GXD116" s="189"/>
      <c r="GXE116" s="189"/>
      <c r="GXF116" s="189"/>
      <c r="GXG116" s="189"/>
      <c r="GXH116" s="189"/>
      <c r="GXI116" s="189"/>
      <c r="GXJ116" s="189"/>
      <c r="GXK116" s="189"/>
      <c r="GXL116" s="189"/>
      <c r="GXM116" s="189"/>
      <c r="GXN116" s="189"/>
      <c r="GXO116" s="189"/>
      <c r="GXP116" s="189"/>
      <c r="GXQ116" s="189"/>
      <c r="GXR116" s="189"/>
      <c r="GXS116" s="189"/>
      <c r="GXT116" s="189"/>
      <c r="GXU116" s="189"/>
      <c r="GXV116" s="189"/>
      <c r="GXW116" s="189"/>
      <c r="GXX116" s="189"/>
      <c r="GXY116" s="189"/>
      <c r="GXZ116" s="189"/>
      <c r="GYA116" s="189"/>
      <c r="GYB116" s="189"/>
      <c r="GYC116" s="189"/>
      <c r="GYD116" s="189"/>
      <c r="GYE116" s="189"/>
      <c r="GYF116" s="189"/>
      <c r="GYG116" s="189"/>
      <c r="GYH116" s="189"/>
      <c r="GYI116" s="189"/>
      <c r="GYJ116" s="189"/>
      <c r="GYK116" s="189"/>
      <c r="GYL116" s="189"/>
      <c r="GYM116" s="189"/>
      <c r="GYN116" s="189"/>
      <c r="GYO116" s="189"/>
      <c r="GYP116" s="189"/>
      <c r="GYQ116" s="189"/>
      <c r="GYR116" s="189"/>
      <c r="GYS116" s="189"/>
      <c r="GYT116" s="189"/>
      <c r="GYU116" s="189"/>
      <c r="GYV116" s="189"/>
      <c r="GYW116" s="189"/>
      <c r="GYX116" s="189"/>
      <c r="GYY116" s="189"/>
      <c r="GYZ116" s="189"/>
      <c r="GZA116" s="189"/>
      <c r="GZB116" s="189"/>
      <c r="GZC116" s="189"/>
      <c r="GZD116" s="189"/>
      <c r="GZE116" s="189"/>
      <c r="GZF116" s="189"/>
      <c r="GZG116" s="189"/>
      <c r="GZH116" s="189"/>
      <c r="GZI116" s="189"/>
      <c r="GZJ116" s="189"/>
      <c r="GZK116" s="189"/>
      <c r="GZL116" s="189"/>
      <c r="GZM116" s="189"/>
      <c r="GZN116" s="189"/>
      <c r="GZO116" s="189"/>
      <c r="GZP116" s="189"/>
      <c r="GZQ116" s="189"/>
      <c r="GZR116" s="189"/>
      <c r="GZS116" s="189"/>
      <c r="GZT116" s="189"/>
      <c r="GZU116" s="189"/>
      <c r="GZV116" s="189"/>
      <c r="GZW116" s="189"/>
      <c r="GZX116" s="189"/>
      <c r="GZY116" s="189"/>
      <c r="GZZ116" s="189"/>
      <c r="HAA116" s="189"/>
      <c r="HAB116" s="189"/>
      <c r="HAC116" s="189"/>
      <c r="HAD116" s="189"/>
      <c r="HAE116" s="189"/>
      <c r="HAF116" s="189"/>
      <c r="HAG116" s="189"/>
      <c r="HAH116" s="189"/>
      <c r="HAI116" s="189"/>
      <c r="HAJ116" s="189"/>
      <c r="HAK116" s="189"/>
      <c r="HAL116" s="189"/>
      <c r="HAM116" s="189"/>
      <c r="HAN116" s="189"/>
      <c r="HAO116" s="189"/>
      <c r="HAP116" s="189"/>
      <c r="HAQ116" s="189"/>
      <c r="HAR116" s="189"/>
      <c r="HAS116" s="189"/>
      <c r="HAT116" s="189"/>
      <c r="HAU116" s="189"/>
      <c r="HAV116" s="189"/>
      <c r="HAW116" s="189"/>
      <c r="HAX116" s="189"/>
      <c r="HAY116" s="189"/>
      <c r="HAZ116" s="189"/>
      <c r="HBA116" s="189"/>
      <c r="HBB116" s="189"/>
      <c r="HBC116" s="189"/>
      <c r="HBD116" s="189"/>
      <c r="HBE116" s="189"/>
      <c r="HBF116" s="189"/>
      <c r="HBG116" s="189"/>
      <c r="HBH116" s="189"/>
      <c r="HBI116" s="189"/>
      <c r="HBJ116" s="189"/>
      <c r="HBK116" s="189"/>
      <c r="HBL116" s="189"/>
      <c r="HBM116" s="189"/>
      <c r="HBN116" s="189"/>
      <c r="HBO116" s="189"/>
      <c r="HBP116" s="189"/>
      <c r="HBQ116" s="189"/>
      <c r="HBR116" s="189"/>
      <c r="HBS116" s="189"/>
      <c r="HBT116" s="189"/>
      <c r="HBU116" s="189"/>
      <c r="HBV116" s="189"/>
      <c r="HBW116" s="189"/>
      <c r="HBX116" s="189"/>
      <c r="HBY116" s="189"/>
      <c r="HBZ116" s="189"/>
      <c r="HCA116" s="189"/>
      <c r="HCB116" s="189"/>
      <c r="HCC116" s="189"/>
      <c r="HCD116" s="189"/>
      <c r="HCE116" s="189"/>
      <c r="HCF116" s="189"/>
      <c r="HCG116" s="189"/>
      <c r="HCH116" s="189"/>
      <c r="HCI116" s="189"/>
      <c r="HCJ116" s="189"/>
      <c r="HCK116" s="189"/>
      <c r="HCL116" s="189"/>
      <c r="HCM116" s="189"/>
      <c r="HCN116" s="189"/>
      <c r="HCO116" s="189"/>
      <c r="HCP116" s="189"/>
      <c r="HCQ116" s="189"/>
      <c r="HCR116" s="189"/>
      <c r="HCS116" s="189"/>
      <c r="HCT116" s="189"/>
      <c r="HCU116" s="189"/>
      <c r="HCV116" s="189"/>
      <c r="HCW116" s="189"/>
      <c r="HCX116" s="189"/>
      <c r="HCY116" s="189"/>
      <c r="HCZ116" s="189"/>
      <c r="HDA116" s="189"/>
      <c r="HDB116" s="189"/>
      <c r="HDC116" s="189"/>
      <c r="HDD116" s="189"/>
      <c r="HDE116" s="189"/>
      <c r="HDF116" s="189"/>
      <c r="HDG116" s="189"/>
      <c r="HDH116" s="189"/>
      <c r="HDI116" s="189"/>
      <c r="HDJ116" s="189"/>
      <c r="HDK116" s="189"/>
      <c r="HDL116" s="189"/>
      <c r="HDM116" s="189"/>
      <c r="HDN116" s="189"/>
      <c r="HDO116" s="189"/>
      <c r="HDP116" s="189"/>
      <c r="HDQ116" s="189"/>
      <c r="HDR116" s="189"/>
      <c r="HDS116" s="189"/>
      <c r="HDT116" s="189"/>
      <c r="HDU116" s="189"/>
      <c r="HDV116" s="189"/>
      <c r="HDW116" s="189"/>
      <c r="HDX116" s="189"/>
      <c r="HDY116" s="189"/>
      <c r="HDZ116" s="189"/>
      <c r="HEA116" s="189"/>
      <c r="HEB116" s="189"/>
      <c r="HEC116" s="189"/>
      <c r="HED116" s="189"/>
      <c r="HEE116" s="189"/>
      <c r="HEF116" s="189"/>
      <c r="HEG116" s="189"/>
      <c r="HEH116" s="189"/>
      <c r="HEI116" s="189"/>
      <c r="HEJ116" s="189"/>
      <c r="HEK116" s="189"/>
      <c r="HEL116" s="189"/>
      <c r="HEM116" s="189"/>
      <c r="HEN116" s="189"/>
      <c r="HEO116" s="189"/>
      <c r="HEP116" s="189"/>
      <c r="HEQ116" s="189"/>
      <c r="HER116" s="189"/>
      <c r="HES116" s="189"/>
      <c r="HET116" s="189"/>
      <c r="HEU116" s="189"/>
      <c r="HEV116" s="189"/>
      <c r="HEW116" s="189"/>
      <c r="HEX116" s="189"/>
      <c r="HEY116" s="189"/>
      <c r="HEZ116" s="189"/>
      <c r="HFA116" s="189"/>
      <c r="HFB116" s="189"/>
      <c r="HFC116" s="189"/>
      <c r="HFD116" s="189"/>
      <c r="HFE116" s="189"/>
      <c r="HFF116" s="189"/>
      <c r="HFG116" s="189"/>
      <c r="HFH116" s="189"/>
      <c r="HFI116" s="189"/>
      <c r="HFJ116" s="189"/>
      <c r="HFK116" s="189"/>
      <c r="HFL116" s="189"/>
      <c r="HFM116" s="189"/>
      <c r="HFN116" s="189"/>
      <c r="HFO116" s="189"/>
      <c r="HFP116" s="189"/>
      <c r="HFQ116" s="189"/>
      <c r="HFR116" s="189"/>
      <c r="HFS116" s="189"/>
      <c r="HFT116" s="189"/>
      <c r="HFU116" s="189"/>
      <c r="HFV116" s="189"/>
      <c r="HFW116" s="189"/>
      <c r="HFX116" s="189"/>
      <c r="HFY116" s="189"/>
      <c r="HFZ116" s="189"/>
      <c r="HGA116" s="189"/>
      <c r="HGB116" s="189"/>
      <c r="HGC116" s="189"/>
      <c r="HGD116" s="189"/>
      <c r="HGE116" s="189"/>
      <c r="HGF116" s="189"/>
      <c r="HGG116" s="189"/>
      <c r="HGH116" s="189"/>
      <c r="HGI116" s="189"/>
      <c r="HGJ116" s="189"/>
      <c r="HGK116" s="189"/>
      <c r="HGL116" s="189"/>
      <c r="HGM116" s="189"/>
      <c r="HGN116" s="189"/>
      <c r="HGO116" s="189"/>
      <c r="HGP116" s="189"/>
      <c r="HGQ116" s="189"/>
      <c r="HGR116" s="189"/>
      <c r="HGS116" s="189"/>
      <c r="HGT116" s="189"/>
      <c r="HGU116" s="189"/>
      <c r="HGV116" s="189"/>
      <c r="HGW116" s="189"/>
      <c r="HGX116" s="189"/>
      <c r="HGY116" s="189"/>
      <c r="HGZ116" s="189"/>
      <c r="HHA116" s="189"/>
      <c r="HHB116" s="189"/>
      <c r="HHC116" s="189"/>
      <c r="HHD116" s="189"/>
      <c r="HHE116" s="189"/>
      <c r="HHF116" s="189"/>
      <c r="HHG116" s="189"/>
      <c r="HHH116" s="189"/>
      <c r="HHI116" s="189"/>
      <c r="HHJ116" s="189"/>
      <c r="HHK116" s="189"/>
      <c r="HHL116" s="189"/>
      <c r="HHM116" s="189"/>
      <c r="HHN116" s="189"/>
      <c r="HHO116" s="189"/>
      <c r="HHP116" s="189"/>
      <c r="HHQ116" s="189"/>
      <c r="HHR116" s="189"/>
      <c r="HHS116" s="189"/>
      <c r="HHT116" s="189"/>
      <c r="HHU116" s="189"/>
      <c r="HHV116" s="189"/>
      <c r="HHW116" s="189"/>
      <c r="HHX116" s="189"/>
      <c r="HHY116" s="189"/>
      <c r="HHZ116" s="189"/>
      <c r="HIA116" s="189"/>
      <c r="HIB116" s="189"/>
      <c r="HIC116" s="189"/>
      <c r="HID116" s="189"/>
      <c r="HIE116" s="189"/>
      <c r="HIF116" s="189"/>
      <c r="HIG116" s="189"/>
      <c r="HIH116" s="189"/>
      <c r="HII116" s="189"/>
      <c r="HIJ116" s="189"/>
      <c r="HIK116" s="189"/>
      <c r="HIL116" s="189"/>
      <c r="HIM116" s="189"/>
      <c r="HIN116" s="189"/>
      <c r="HIO116" s="189"/>
      <c r="HIP116" s="189"/>
      <c r="HIQ116" s="189"/>
      <c r="HIR116" s="189"/>
      <c r="HIS116" s="189"/>
      <c r="HIT116" s="189"/>
      <c r="HIU116" s="189"/>
      <c r="HIV116" s="189"/>
      <c r="HIW116" s="189"/>
      <c r="HIX116" s="189"/>
      <c r="HIY116" s="189"/>
      <c r="HIZ116" s="189"/>
      <c r="HJA116" s="189"/>
      <c r="HJB116" s="189"/>
      <c r="HJC116" s="189"/>
      <c r="HJD116" s="189"/>
      <c r="HJE116" s="189"/>
      <c r="HJF116" s="189"/>
      <c r="HJG116" s="189"/>
      <c r="HJH116" s="189"/>
      <c r="HJI116" s="189"/>
      <c r="HJJ116" s="189"/>
      <c r="HJK116" s="189"/>
      <c r="HJL116" s="189"/>
      <c r="HJM116" s="189"/>
      <c r="HJN116" s="189"/>
      <c r="HJO116" s="189"/>
      <c r="HJP116" s="189"/>
      <c r="HJQ116" s="189"/>
      <c r="HJR116" s="189"/>
      <c r="HJS116" s="189"/>
      <c r="HJT116" s="189"/>
      <c r="HJU116" s="189"/>
      <c r="HJV116" s="189"/>
      <c r="HJW116" s="189"/>
      <c r="HJX116" s="189"/>
      <c r="HJY116" s="189"/>
      <c r="HJZ116" s="189"/>
      <c r="HKA116" s="189"/>
      <c r="HKB116" s="189"/>
      <c r="HKC116" s="189"/>
      <c r="HKD116" s="189"/>
      <c r="HKE116" s="189"/>
      <c r="HKF116" s="189"/>
      <c r="HKG116" s="189"/>
      <c r="HKH116" s="189"/>
      <c r="HKI116" s="189"/>
      <c r="HKJ116" s="189"/>
      <c r="HKK116" s="189"/>
      <c r="HKL116" s="189"/>
      <c r="HKM116" s="189"/>
      <c r="HKN116" s="189"/>
      <c r="HKO116" s="189"/>
      <c r="HKP116" s="189"/>
      <c r="HKQ116" s="189"/>
      <c r="HKR116" s="189"/>
      <c r="HKS116" s="189"/>
      <c r="HKT116" s="189"/>
      <c r="HKU116" s="189"/>
      <c r="HKV116" s="189"/>
      <c r="HKW116" s="189"/>
      <c r="HKX116" s="189"/>
      <c r="HKY116" s="189"/>
      <c r="HKZ116" s="189"/>
      <c r="HLA116" s="189"/>
      <c r="HLB116" s="189"/>
      <c r="HLC116" s="189"/>
      <c r="HLD116" s="189"/>
      <c r="HLE116" s="189"/>
      <c r="HLF116" s="189"/>
      <c r="HLG116" s="189"/>
      <c r="HLH116" s="189"/>
      <c r="HLI116" s="189"/>
      <c r="HLJ116" s="189"/>
      <c r="HLK116" s="189"/>
      <c r="HLL116" s="189"/>
      <c r="HLM116" s="189"/>
      <c r="HLN116" s="189"/>
      <c r="HLO116" s="189"/>
      <c r="HLP116" s="189"/>
      <c r="HLQ116" s="189"/>
      <c r="HLR116" s="189"/>
      <c r="HLS116" s="189"/>
      <c r="HLT116" s="189"/>
      <c r="HLU116" s="189"/>
      <c r="HLV116" s="189"/>
      <c r="HLW116" s="189"/>
      <c r="HLX116" s="189"/>
      <c r="HLY116" s="189"/>
      <c r="HLZ116" s="189"/>
      <c r="HMA116" s="189"/>
      <c r="HMB116" s="189"/>
      <c r="HMC116" s="189"/>
      <c r="HMD116" s="189"/>
      <c r="HME116" s="189"/>
      <c r="HMF116" s="189"/>
      <c r="HMG116" s="189"/>
      <c r="HMH116" s="189"/>
      <c r="HMI116" s="189"/>
      <c r="HMJ116" s="189"/>
      <c r="HMK116" s="189"/>
      <c r="HML116" s="189"/>
      <c r="HMM116" s="189"/>
      <c r="HMN116" s="189"/>
      <c r="HMO116" s="189"/>
      <c r="HMP116" s="189"/>
      <c r="HMQ116" s="189"/>
      <c r="HMR116" s="189"/>
      <c r="HMS116" s="189"/>
      <c r="HMT116" s="189"/>
      <c r="HMU116" s="189"/>
      <c r="HMV116" s="189"/>
      <c r="HMW116" s="189"/>
      <c r="HMX116" s="189"/>
      <c r="HMY116" s="189"/>
      <c r="HMZ116" s="189"/>
      <c r="HNA116" s="189"/>
      <c r="HNB116" s="189"/>
      <c r="HNC116" s="189"/>
      <c r="HND116" s="189"/>
      <c r="HNE116" s="189"/>
      <c r="HNF116" s="189"/>
      <c r="HNG116" s="189"/>
      <c r="HNH116" s="189"/>
      <c r="HNI116" s="189"/>
      <c r="HNJ116" s="189"/>
      <c r="HNK116" s="189"/>
      <c r="HNL116" s="189"/>
      <c r="HNM116" s="189"/>
      <c r="HNN116" s="189"/>
      <c r="HNO116" s="189"/>
      <c r="HNP116" s="189"/>
      <c r="HNQ116" s="189"/>
      <c r="HNR116" s="189"/>
      <c r="HNS116" s="189"/>
      <c r="HNT116" s="189"/>
      <c r="HNU116" s="189"/>
      <c r="HNV116" s="189"/>
      <c r="HNW116" s="189"/>
      <c r="HNX116" s="189"/>
      <c r="HNY116" s="189"/>
      <c r="HNZ116" s="189"/>
      <c r="HOA116" s="189"/>
      <c r="HOB116" s="189"/>
      <c r="HOC116" s="189"/>
      <c r="HOD116" s="189"/>
      <c r="HOE116" s="189"/>
      <c r="HOF116" s="189"/>
      <c r="HOG116" s="189"/>
      <c r="HOH116" s="189"/>
      <c r="HOI116" s="189"/>
      <c r="HOJ116" s="189"/>
      <c r="HOK116" s="189"/>
      <c r="HOL116" s="189"/>
      <c r="HOM116" s="189"/>
      <c r="HON116" s="189"/>
      <c r="HOO116" s="189"/>
      <c r="HOP116" s="189"/>
      <c r="HOQ116" s="189"/>
      <c r="HOR116" s="189"/>
      <c r="HOS116" s="189"/>
      <c r="HOT116" s="189"/>
      <c r="HOU116" s="189"/>
      <c r="HOV116" s="189"/>
      <c r="HOW116" s="189"/>
      <c r="HOX116" s="189"/>
      <c r="HOY116" s="189"/>
      <c r="HOZ116" s="189"/>
      <c r="HPA116" s="189"/>
      <c r="HPB116" s="189"/>
      <c r="HPC116" s="189"/>
      <c r="HPD116" s="189"/>
      <c r="HPE116" s="189"/>
      <c r="HPF116" s="189"/>
      <c r="HPG116" s="189"/>
      <c r="HPH116" s="189"/>
      <c r="HPI116" s="189"/>
      <c r="HPJ116" s="189"/>
      <c r="HPK116" s="189"/>
      <c r="HPL116" s="189"/>
      <c r="HPM116" s="189"/>
      <c r="HPN116" s="189"/>
      <c r="HPO116" s="189"/>
      <c r="HPP116" s="189"/>
      <c r="HPQ116" s="189"/>
      <c r="HPR116" s="189"/>
      <c r="HPS116" s="189"/>
      <c r="HPT116" s="189"/>
      <c r="HPU116" s="189"/>
      <c r="HPV116" s="189"/>
      <c r="HPW116" s="189"/>
      <c r="HPX116" s="189"/>
      <c r="HPY116" s="189"/>
      <c r="HPZ116" s="189"/>
      <c r="HQA116" s="189"/>
      <c r="HQB116" s="189"/>
      <c r="HQC116" s="189"/>
      <c r="HQD116" s="189"/>
      <c r="HQE116" s="189"/>
      <c r="HQF116" s="189"/>
      <c r="HQG116" s="189"/>
      <c r="HQH116" s="189"/>
      <c r="HQI116" s="189"/>
      <c r="HQJ116" s="189"/>
      <c r="HQK116" s="189"/>
      <c r="HQL116" s="189"/>
      <c r="HQM116" s="189"/>
      <c r="HQN116" s="189"/>
      <c r="HQO116" s="189"/>
      <c r="HQP116" s="189"/>
      <c r="HQQ116" s="189"/>
      <c r="HQR116" s="189"/>
      <c r="HQS116" s="189"/>
      <c r="HQT116" s="189"/>
      <c r="HQU116" s="189"/>
      <c r="HQV116" s="189"/>
      <c r="HQW116" s="189"/>
      <c r="HQX116" s="189"/>
      <c r="HQY116" s="189"/>
      <c r="HQZ116" s="189"/>
      <c r="HRA116" s="189"/>
      <c r="HRB116" s="189"/>
      <c r="HRC116" s="189"/>
      <c r="HRD116" s="189"/>
      <c r="HRE116" s="189"/>
      <c r="HRF116" s="189"/>
      <c r="HRG116" s="189"/>
      <c r="HRH116" s="189"/>
      <c r="HRI116" s="189"/>
      <c r="HRJ116" s="189"/>
      <c r="HRK116" s="189"/>
      <c r="HRL116" s="189"/>
      <c r="HRM116" s="189"/>
      <c r="HRN116" s="189"/>
      <c r="HRO116" s="189"/>
      <c r="HRP116" s="189"/>
      <c r="HRQ116" s="189"/>
      <c r="HRR116" s="189"/>
      <c r="HRS116" s="189"/>
      <c r="HRT116" s="189"/>
      <c r="HRU116" s="189"/>
      <c r="HRV116" s="189"/>
      <c r="HRW116" s="189"/>
      <c r="HRX116" s="189"/>
      <c r="HRY116" s="189"/>
      <c r="HRZ116" s="189"/>
      <c r="HSA116" s="189"/>
      <c r="HSB116" s="189"/>
      <c r="HSC116" s="189"/>
      <c r="HSD116" s="189"/>
      <c r="HSE116" s="189"/>
      <c r="HSF116" s="189"/>
      <c r="HSG116" s="189"/>
      <c r="HSH116" s="189"/>
      <c r="HSI116" s="189"/>
      <c r="HSJ116" s="189"/>
      <c r="HSK116" s="189"/>
      <c r="HSL116" s="189"/>
      <c r="HSM116" s="189"/>
      <c r="HSN116" s="189"/>
      <c r="HSO116" s="189"/>
      <c r="HSP116" s="189"/>
      <c r="HSQ116" s="189"/>
      <c r="HSR116" s="189"/>
      <c r="HSS116" s="189"/>
      <c r="HST116" s="189"/>
      <c r="HSU116" s="189"/>
      <c r="HSV116" s="189"/>
      <c r="HSW116" s="189"/>
      <c r="HSX116" s="189"/>
      <c r="HSY116" s="189"/>
      <c r="HSZ116" s="189"/>
      <c r="HTA116" s="189"/>
      <c r="HTB116" s="189"/>
      <c r="HTC116" s="189"/>
      <c r="HTD116" s="189"/>
      <c r="HTE116" s="189"/>
      <c r="HTF116" s="189"/>
      <c r="HTG116" s="189"/>
      <c r="HTH116" s="189"/>
      <c r="HTI116" s="189"/>
      <c r="HTJ116" s="189"/>
      <c r="HTK116" s="189"/>
      <c r="HTL116" s="189"/>
      <c r="HTM116" s="189"/>
      <c r="HTN116" s="189"/>
      <c r="HTO116" s="189"/>
      <c r="HTP116" s="189"/>
      <c r="HTQ116" s="189"/>
      <c r="HTR116" s="189"/>
      <c r="HTS116" s="189"/>
      <c r="HTT116" s="189"/>
      <c r="HTU116" s="189"/>
      <c r="HTV116" s="189"/>
      <c r="HTW116" s="189"/>
      <c r="HTX116" s="189"/>
      <c r="HTY116" s="189"/>
      <c r="HTZ116" s="189"/>
      <c r="HUA116" s="189"/>
      <c r="HUB116" s="189"/>
      <c r="HUC116" s="189"/>
      <c r="HUD116" s="189"/>
      <c r="HUE116" s="189"/>
      <c r="HUF116" s="189"/>
      <c r="HUG116" s="189"/>
      <c r="HUH116" s="189"/>
      <c r="HUI116" s="189"/>
      <c r="HUJ116" s="189"/>
      <c r="HUK116" s="189"/>
      <c r="HUL116" s="189"/>
      <c r="HUM116" s="189"/>
      <c r="HUN116" s="189"/>
      <c r="HUO116" s="189"/>
      <c r="HUP116" s="189"/>
      <c r="HUQ116" s="189"/>
      <c r="HUR116" s="189"/>
      <c r="HUS116" s="189"/>
      <c r="HUT116" s="189"/>
      <c r="HUU116" s="189"/>
      <c r="HUV116" s="189"/>
      <c r="HUW116" s="189"/>
      <c r="HUX116" s="189"/>
      <c r="HUY116" s="189"/>
      <c r="HUZ116" s="189"/>
      <c r="HVA116" s="189"/>
      <c r="HVB116" s="189"/>
      <c r="HVC116" s="189"/>
      <c r="HVD116" s="189"/>
      <c r="HVE116" s="189"/>
      <c r="HVF116" s="189"/>
      <c r="HVG116" s="189"/>
      <c r="HVH116" s="189"/>
      <c r="HVI116" s="189"/>
      <c r="HVJ116" s="189"/>
      <c r="HVK116" s="189"/>
      <c r="HVL116" s="189"/>
      <c r="HVM116" s="189"/>
      <c r="HVN116" s="189"/>
      <c r="HVO116" s="189"/>
      <c r="HVP116" s="189"/>
      <c r="HVQ116" s="189"/>
      <c r="HVR116" s="189"/>
      <c r="HVS116" s="189"/>
      <c r="HVT116" s="189"/>
      <c r="HVU116" s="189"/>
      <c r="HVV116" s="189"/>
      <c r="HVW116" s="189"/>
      <c r="HVX116" s="189"/>
      <c r="HVY116" s="189"/>
      <c r="HVZ116" s="189"/>
      <c r="HWA116" s="189"/>
      <c r="HWB116" s="189"/>
      <c r="HWC116" s="189"/>
      <c r="HWD116" s="189"/>
      <c r="HWE116" s="189"/>
      <c r="HWF116" s="189"/>
      <c r="HWG116" s="189"/>
      <c r="HWH116" s="189"/>
      <c r="HWI116" s="189"/>
      <c r="HWJ116" s="189"/>
      <c r="HWK116" s="189"/>
      <c r="HWL116" s="189"/>
      <c r="HWM116" s="189"/>
      <c r="HWN116" s="189"/>
      <c r="HWO116" s="189"/>
      <c r="HWP116" s="189"/>
      <c r="HWQ116" s="189"/>
      <c r="HWR116" s="189"/>
      <c r="HWS116" s="189"/>
      <c r="HWT116" s="189"/>
      <c r="HWU116" s="189"/>
      <c r="HWV116" s="189"/>
      <c r="HWW116" s="189"/>
      <c r="HWX116" s="189"/>
      <c r="HWY116" s="189"/>
      <c r="HWZ116" s="189"/>
      <c r="HXA116" s="189"/>
      <c r="HXB116" s="189"/>
      <c r="HXC116" s="189"/>
      <c r="HXD116" s="189"/>
      <c r="HXE116" s="189"/>
      <c r="HXF116" s="189"/>
      <c r="HXG116" s="189"/>
      <c r="HXH116" s="189"/>
      <c r="HXI116" s="189"/>
      <c r="HXJ116" s="189"/>
      <c r="HXK116" s="189"/>
      <c r="HXL116" s="189"/>
      <c r="HXM116" s="189"/>
      <c r="HXN116" s="189"/>
      <c r="HXO116" s="189"/>
      <c r="HXP116" s="189"/>
      <c r="HXQ116" s="189"/>
      <c r="HXR116" s="189"/>
      <c r="HXS116" s="189"/>
      <c r="HXT116" s="189"/>
      <c r="HXU116" s="189"/>
      <c r="HXV116" s="189"/>
      <c r="HXW116" s="189"/>
      <c r="HXX116" s="189"/>
      <c r="HXY116" s="189"/>
      <c r="HXZ116" s="189"/>
      <c r="HYA116" s="189"/>
      <c r="HYB116" s="189"/>
      <c r="HYC116" s="189"/>
      <c r="HYD116" s="189"/>
      <c r="HYE116" s="189"/>
      <c r="HYF116" s="189"/>
      <c r="HYG116" s="189"/>
      <c r="HYH116" s="189"/>
      <c r="HYI116" s="189"/>
      <c r="HYJ116" s="189"/>
      <c r="HYK116" s="189"/>
      <c r="HYL116" s="189"/>
      <c r="HYM116" s="189"/>
      <c r="HYN116" s="189"/>
      <c r="HYO116" s="189"/>
      <c r="HYP116" s="189"/>
      <c r="HYQ116" s="189"/>
      <c r="HYR116" s="189"/>
      <c r="HYS116" s="189"/>
      <c r="HYT116" s="189"/>
      <c r="HYU116" s="189"/>
      <c r="HYV116" s="189"/>
      <c r="HYW116" s="189"/>
      <c r="HYX116" s="189"/>
      <c r="HYY116" s="189"/>
      <c r="HYZ116" s="189"/>
      <c r="HZA116" s="189"/>
      <c r="HZB116" s="189"/>
      <c r="HZC116" s="189"/>
      <c r="HZD116" s="189"/>
      <c r="HZE116" s="189"/>
      <c r="HZF116" s="189"/>
      <c r="HZG116" s="189"/>
      <c r="HZH116" s="189"/>
      <c r="HZI116" s="189"/>
      <c r="HZJ116" s="189"/>
      <c r="HZK116" s="189"/>
      <c r="HZL116" s="189"/>
      <c r="HZM116" s="189"/>
      <c r="HZN116" s="189"/>
      <c r="HZO116" s="189"/>
      <c r="HZP116" s="189"/>
      <c r="HZQ116" s="189"/>
      <c r="HZR116" s="189"/>
      <c r="HZS116" s="189"/>
      <c r="HZT116" s="189"/>
      <c r="HZU116" s="189"/>
      <c r="HZV116" s="189"/>
      <c r="HZW116" s="189"/>
      <c r="HZX116" s="189"/>
      <c r="HZY116" s="189"/>
      <c r="HZZ116" s="189"/>
      <c r="IAA116" s="189"/>
      <c r="IAB116" s="189"/>
      <c r="IAC116" s="189"/>
      <c r="IAD116" s="189"/>
      <c r="IAE116" s="189"/>
      <c r="IAF116" s="189"/>
      <c r="IAG116" s="189"/>
      <c r="IAH116" s="189"/>
      <c r="IAI116" s="189"/>
      <c r="IAJ116" s="189"/>
      <c r="IAK116" s="189"/>
      <c r="IAL116" s="189"/>
      <c r="IAM116" s="189"/>
      <c r="IAN116" s="189"/>
      <c r="IAO116" s="189"/>
      <c r="IAP116" s="189"/>
      <c r="IAQ116" s="189"/>
      <c r="IAR116" s="189"/>
      <c r="IAS116" s="189"/>
      <c r="IAT116" s="189"/>
      <c r="IAU116" s="189"/>
      <c r="IAV116" s="189"/>
      <c r="IAW116" s="189"/>
      <c r="IAX116" s="189"/>
      <c r="IAY116" s="189"/>
      <c r="IAZ116" s="189"/>
      <c r="IBA116" s="189"/>
      <c r="IBB116" s="189"/>
      <c r="IBC116" s="189"/>
      <c r="IBD116" s="189"/>
      <c r="IBE116" s="189"/>
      <c r="IBF116" s="189"/>
      <c r="IBG116" s="189"/>
      <c r="IBH116" s="189"/>
      <c r="IBI116" s="189"/>
      <c r="IBJ116" s="189"/>
      <c r="IBK116" s="189"/>
      <c r="IBL116" s="189"/>
      <c r="IBM116" s="189"/>
      <c r="IBN116" s="189"/>
      <c r="IBO116" s="189"/>
      <c r="IBP116" s="189"/>
      <c r="IBQ116" s="189"/>
      <c r="IBR116" s="189"/>
      <c r="IBS116" s="189"/>
      <c r="IBT116" s="189"/>
      <c r="IBU116" s="189"/>
      <c r="IBV116" s="189"/>
      <c r="IBW116" s="189"/>
      <c r="IBX116" s="189"/>
      <c r="IBY116" s="189"/>
      <c r="IBZ116" s="189"/>
      <c r="ICA116" s="189"/>
      <c r="ICB116" s="189"/>
      <c r="ICC116" s="189"/>
      <c r="ICD116" s="189"/>
      <c r="ICE116" s="189"/>
      <c r="ICF116" s="189"/>
      <c r="ICG116" s="189"/>
      <c r="ICH116" s="189"/>
      <c r="ICI116" s="189"/>
      <c r="ICJ116" s="189"/>
      <c r="ICK116" s="189"/>
      <c r="ICL116" s="189"/>
      <c r="ICM116" s="189"/>
      <c r="ICN116" s="189"/>
      <c r="ICO116" s="189"/>
      <c r="ICP116" s="189"/>
      <c r="ICQ116" s="189"/>
      <c r="ICR116" s="189"/>
      <c r="ICS116" s="189"/>
      <c r="ICT116" s="189"/>
      <c r="ICU116" s="189"/>
      <c r="ICV116" s="189"/>
      <c r="ICW116" s="189"/>
      <c r="ICX116" s="189"/>
      <c r="ICY116" s="189"/>
      <c r="ICZ116" s="189"/>
      <c r="IDA116" s="189"/>
      <c r="IDB116" s="189"/>
      <c r="IDC116" s="189"/>
      <c r="IDD116" s="189"/>
      <c r="IDE116" s="189"/>
      <c r="IDF116" s="189"/>
      <c r="IDG116" s="189"/>
      <c r="IDH116" s="189"/>
      <c r="IDI116" s="189"/>
      <c r="IDJ116" s="189"/>
      <c r="IDK116" s="189"/>
      <c r="IDL116" s="189"/>
      <c r="IDM116" s="189"/>
      <c r="IDN116" s="189"/>
      <c r="IDO116" s="189"/>
      <c r="IDP116" s="189"/>
      <c r="IDQ116" s="189"/>
      <c r="IDR116" s="189"/>
      <c r="IDS116" s="189"/>
      <c r="IDT116" s="189"/>
      <c r="IDU116" s="189"/>
      <c r="IDV116" s="189"/>
      <c r="IDW116" s="189"/>
      <c r="IDX116" s="189"/>
      <c r="IDY116" s="189"/>
      <c r="IDZ116" s="189"/>
      <c r="IEA116" s="189"/>
      <c r="IEB116" s="189"/>
      <c r="IEC116" s="189"/>
      <c r="IED116" s="189"/>
      <c r="IEE116" s="189"/>
      <c r="IEF116" s="189"/>
      <c r="IEG116" s="189"/>
      <c r="IEH116" s="189"/>
      <c r="IEI116" s="189"/>
      <c r="IEJ116" s="189"/>
      <c r="IEK116" s="189"/>
      <c r="IEL116" s="189"/>
      <c r="IEM116" s="189"/>
      <c r="IEN116" s="189"/>
      <c r="IEO116" s="189"/>
      <c r="IEP116" s="189"/>
      <c r="IEQ116" s="189"/>
      <c r="IER116" s="189"/>
      <c r="IES116" s="189"/>
      <c r="IET116" s="189"/>
      <c r="IEU116" s="189"/>
      <c r="IEV116" s="189"/>
      <c r="IEW116" s="189"/>
      <c r="IEX116" s="189"/>
      <c r="IEY116" s="189"/>
      <c r="IEZ116" s="189"/>
      <c r="IFA116" s="189"/>
      <c r="IFB116" s="189"/>
      <c r="IFC116" s="189"/>
      <c r="IFD116" s="189"/>
      <c r="IFE116" s="189"/>
      <c r="IFF116" s="189"/>
      <c r="IFG116" s="189"/>
      <c r="IFH116" s="189"/>
      <c r="IFI116" s="189"/>
      <c r="IFJ116" s="189"/>
      <c r="IFK116" s="189"/>
      <c r="IFL116" s="189"/>
      <c r="IFM116" s="189"/>
      <c r="IFN116" s="189"/>
      <c r="IFO116" s="189"/>
      <c r="IFP116" s="189"/>
      <c r="IFQ116" s="189"/>
      <c r="IFR116" s="189"/>
      <c r="IFS116" s="189"/>
      <c r="IFT116" s="189"/>
      <c r="IFU116" s="189"/>
      <c r="IFV116" s="189"/>
      <c r="IFW116" s="189"/>
      <c r="IFX116" s="189"/>
      <c r="IFY116" s="189"/>
      <c r="IFZ116" s="189"/>
      <c r="IGA116" s="189"/>
      <c r="IGB116" s="189"/>
      <c r="IGC116" s="189"/>
      <c r="IGD116" s="189"/>
      <c r="IGE116" s="189"/>
      <c r="IGF116" s="189"/>
      <c r="IGG116" s="189"/>
      <c r="IGH116" s="189"/>
      <c r="IGI116" s="189"/>
      <c r="IGJ116" s="189"/>
      <c r="IGK116" s="189"/>
      <c r="IGL116" s="189"/>
      <c r="IGM116" s="189"/>
      <c r="IGN116" s="189"/>
      <c r="IGO116" s="189"/>
      <c r="IGP116" s="189"/>
      <c r="IGQ116" s="189"/>
      <c r="IGR116" s="189"/>
      <c r="IGS116" s="189"/>
      <c r="IGT116" s="189"/>
      <c r="IGU116" s="189"/>
      <c r="IGV116" s="189"/>
      <c r="IGW116" s="189"/>
      <c r="IGX116" s="189"/>
      <c r="IGY116" s="189"/>
      <c r="IGZ116" s="189"/>
      <c r="IHA116" s="189"/>
      <c r="IHB116" s="189"/>
      <c r="IHC116" s="189"/>
      <c r="IHD116" s="189"/>
      <c r="IHE116" s="189"/>
      <c r="IHF116" s="189"/>
      <c r="IHG116" s="189"/>
      <c r="IHH116" s="189"/>
      <c r="IHI116" s="189"/>
      <c r="IHJ116" s="189"/>
      <c r="IHK116" s="189"/>
      <c r="IHL116" s="189"/>
      <c r="IHM116" s="189"/>
      <c r="IHN116" s="189"/>
      <c r="IHO116" s="189"/>
      <c r="IHP116" s="189"/>
      <c r="IHQ116" s="189"/>
      <c r="IHR116" s="189"/>
      <c r="IHS116" s="189"/>
      <c r="IHT116" s="189"/>
      <c r="IHU116" s="189"/>
      <c r="IHV116" s="189"/>
      <c r="IHW116" s="189"/>
      <c r="IHX116" s="189"/>
      <c r="IHY116" s="189"/>
      <c r="IHZ116" s="189"/>
      <c r="IIA116" s="189"/>
      <c r="IIB116" s="189"/>
      <c r="IIC116" s="189"/>
      <c r="IID116" s="189"/>
      <c r="IIE116" s="189"/>
      <c r="IIF116" s="189"/>
      <c r="IIG116" s="189"/>
      <c r="IIH116" s="189"/>
      <c r="III116" s="189"/>
      <c r="IIJ116" s="189"/>
      <c r="IIK116" s="189"/>
      <c r="IIL116" s="189"/>
      <c r="IIM116" s="189"/>
      <c r="IIN116" s="189"/>
      <c r="IIO116" s="189"/>
      <c r="IIP116" s="189"/>
      <c r="IIQ116" s="189"/>
      <c r="IIR116" s="189"/>
      <c r="IIS116" s="189"/>
      <c r="IIT116" s="189"/>
      <c r="IIU116" s="189"/>
      <c r="IIV116" s="189"/>
      <c r="IIW116" s="189"/>
      <c r="IIX116" s="189"/>
      <c r="IIY116" s="189"/>
      <c r="IIZ116" s="189"/>
      <c r="IJA116" s="189"/>
      <c r="IJB116" s="189"/>
      <c r="IJC116" s="189"/>
      <c r="IJD116" s="189"/>
      <c r="IJE116" s="189"/>
      <c r="IJF116" s="189"/>
      <c r="IJG116" s="189"/>
      <c r="IJH116" s="189"/>
      <c r="IJI116" s="189"/>
      <c r="IJJ116" s="189"/>
      <c r="IJK116" s="189"/>
      <c r="IJL116" s="189"/>
      <c r="IJM116" s="189"/>
      <c r="IJN116" s="189"/>
      <c r="IJO116" s="189"/>
      <c r="IJP116" s="189"/>
      <c r="IJQ116" s="189"/>
      <c r="IJR116" s="189"/>
      <c r="IJS116" s="189"/>
      <c r="IJT116" s="189"/>
      <c r="IJU116" s="189"/>
      <c r="IJV116" s="189"/>
      <c r="IJW116" s="189"/>
      <c r="IJX116" s="189"/>
      <c r="IJY116" s="189"/>
      <c r="IJZ116" s="189"/>
      <c r="IKA116" s="189"/>
      <c r="IKB116" s="189"/>
      <c r="IKC116" s="189"/>
      <c r="IKD116" s="189"/>
      <c r="IKE116" s="189"/>
      <c r="IKF116" s="189"/>
      <c r="IKG116" s="189"/>
      <c r="IKH116" s="189"/>
      <c r="IKI116" s="189"/>
      <c r="IKJ116" s="189"/>
      <c r="IKK116" s="189"/>
      <c r="IKL116" s="189"/>
      <c r="IKM116" s="189"/>
      <c r="IKN116" s="189"/>
      <c r="IKO116" s="189"/>
      <c r="IKP116" s="189"/>
      <c r="IKQ116" s="189"/>
      <c r="IKR116" s="189"/>
      <c r="IKS116" s="189"/>
      <c r="IKT116" s="189"/>
      <c r="IKU116" s="189"/>
      <c r="IKV116" s="189"/>
      <c r="IKW116" s="189"/>
      <c r="IKX116" s="189"/>
      <c r="IKY116" s="189"/>
      <c r="IKZ116" s="189"/>
      <c r="ILA116" s="189"/>
      <c r="ILB116" s="189"/>
      <c r="ILC116" s="189"/>
      <c r="ILD116" s="189"/>
      <c r="ILE116" s="189"/>
      <c r="ILF116" s="189"/>
      <c r="ILG116" s="189"/>
      <c r="ILH116" s="189"/>
      <c r="ILI116" s="189"/>
      <c r="ILJ116" s="189"/>
      <c r="ILK116" s="189"/>
      <c r="ILL116" s="189"/>
      <c r="ILM116" s="189"/>
      <c r="ILN116" s="189"/>
      <c r="ILO116" s="189"/>
      <c r="ILP116" s="189"/>
      <c r="ILQ116" s="189"/>
      <c r="ILR116" s="189"/>
      <c r="ILS116" s="189"/>
      <c r="ILT116" s="189"/>
      <c r="ILU116" s="189"/>
      <c r="ILV116" s="189"/>
      <c r="ILW116" s="189"/>
      <c r="ILX116" s="189"/>
      <c r="ILY116" s="189"/>
      <c r="ILZ116" s="189"/>
      <c r="IMA116" s="189"/>
      <c r="IMB116" s="189"/>
      <c r="IMC116" s="189"/>
      <c r="IMD116" s="189"/>
      <c r="IME116" s="189"/>
      <c r="IMF116" s="189"/>
      <c r="IMG116" s="189"/>
      <c r="IMH116" s="189"/>
      <c r="IMI116" s="189"/>
      <c r="IMJ116" s="189"/>
      <c r="IMK116" s="189"/>
      <c r="IML116" s="189"/>
      <c r="IMM116" s="189"/>
      <c r="IMN116" s="189"/>
      <c r="IMO116" s="189"/>
      <c r="IMP116" s="189"/>
      <c r="IMQ116" s="189"/>
      <c r="IMR116" s="189"/>
      <c r="IMS116" s="189"/>
      <c r="IMT116" s="189"/>
      <c r="IMU116" s="189"/>
      <c r="IMV116" s="189"/>
      <c r="IMW116" s="189"/>
      <c r="IMX116" s="189"/>
      <c r="IMY116" s="189"/>
      <c r="IMZ116" s="189"/>
      <c r="INA116" s="189"/>
      <c r="INB116" s="189"/>
      <c r="INC116" s="189"/>
      <c r="IND116" s="189"/>
      <c r="INE116" s="189"/>
      <c r="INF116" s="189"/>
      <c r="ING116" s="189"/>
      <c r="INH116" s="189"/>
      <c r="INI116" s="189"/>
      <c r="INJ116" s="189"/>
      <c r="INK116" s="189"/>
      <c r="INL116" s="189"/>
      <c r="INM116" s="189"/>
      <c r="INN116" s="189"/>
      <c r="INO116" s="189"/>
      <c r="INP116" s="189"/>
      <c r="INQ116" s="189"/>
      <c r="INR116" s="189"/>
      <c r="INS116" s="189"/>
      <c r="INT116" s="189"/>
      <c r="INU116" s="189"/>
      <c r="INV116" s="189"/>
      <c r="INW116" s="189"/>
      <c r="INX116" s="189"/>
      <c r="INY116" s="189"/>
      <c r="INZ116" s="189"/>
      <c r="IOA116" s="189"/>
      <c r="IOB116" s="189"/>
      <c r="IOC116" s="189"/>
      <c r="IOD116" s="189"/>
      <c r="IOE116" s="189"/>
      <c r="IOF116" s="189"/>
      <c r="IOG116" s="189"/>
      <c r="IOH116" s="189"/>
      <c r="IOI116" s="189"/>
      <c r="IOJ116" s="189"/>
      <c r="IOK116" s="189"/>
      <c r="IOL116" s="189"/>
      <c r="IOM116" s="189"/>
      <c r="ION116" s="189"/>
      <c r="IOO116" s="189"/>
      <c r="IOP116" s="189"/>
      <c r="IOQ116" s="189"/>
      <c r="IOR116" s="189"/>
      <c r="IOS116" s="189"/>
      <c r="IOT116" s="189"/>
      <c r="IOU116" s="189"/>
      <c r="IOV116" s="189"/>
      <c r="IOW116" s="189"/>
      <c r="IOX116" s="189"/>
      <c r="IOY116" s="189"/>
      <c r="IOZ116" s="189"/>
      <c r="IPA116" s="189"/>
      <c r="IPB116" s="189"/>
      <c r="IPC116" s="189"/>
      <c r="IPD116" s="189"/>
      <c r="IPE116" s="189"/>
      <c r="IPF116" s="189"/>
      <c r="IPG116" s="189"/>
      <c r="IPH116" s="189"/>
      <c r="IPI116" s="189"/>
      <c r="IPJ116" s="189"/>
      <c r="IPK116" s="189"/>
      <c r="IPL116" s="189"/>
      <c r="IPM116" s="189"/>
      <c r="IPN116" s="189"/>
      <c r="IPO116" s="189"/>
      <c r="IPP116" s="189"/>
      <c r="IPQ116" s="189"/>
      <c r="IPR116" s="189"/>
      <c r="IPS116" s="189"/>
      <c r="IPT116" s="189"/>
      <c r="IPU116" s="189"/>
      <c r="IPV116" s="189"/>
      <c r="IPW116" s="189"/>
      <c r="IPX116" s="189"/>
      <c r="IPY116" s="189"/>
      <c r="IPZ116" s="189"/>
      <c r="IQA116" s="189"/>
      <c r="IQB116" s="189"/>
      <c r="IQC116" s="189"/>
      <c r="IQD116" s="189"/>
      <c r="IQE116" s="189"/>
      <c r="IQF116" s="189"/>
      <c r="IQG116" s="189"/>
      <c r="IQH116" s="189"/>
      <c r="IQI116" s="189"/>
      <c r="IQJ116" s="189"/>
      <c r="IQK116" s="189"/>
      <c r="IQL116" s="189"/>
      <c r="IQM116" s="189"/>
      <c r="IQN116" s="189"/>
      <c r="IQO116" s="189"/>
      <c r="IQP116" s="189"/>
      <c r="IQQ116" s="189"/>
      <c r="IQR116" s="189"/>
      <c r="IQS116" s="189"/>
      <c r="IQT116" s="189"/>
      <c r="IQU116" s="189"/>
      <c r="IQV116" s="189"/>
      <c r="IQW116" s="189"/>
      <c r="IQX116" s="189"/>
      <c r="IQY116" s="189"/>
      <c r="IQZ116" s="189"/>
      <c r="IRA116" s="189"/>
      <c r="IRB116" s="189"/>
      <c r="IRC116" s="189"/>
      <c r="IRD116" s="189"/>
      <c r="IRE116" s="189"/>
      <c r="IRF116" s="189"/>
      <c r="IRG116" s="189"/>
      <c r="IRH116" s="189"/>
      <c r="IRI116" s="189"/>
      <c r="IRJ116" s="189"/>
      <c r="IRK116" s="189"/>
      <c r="IRL116" s="189"/>
      <c r="IRM116" s="189"/>
      <c r="IRN116" s="189"/>
      <c r="IRO116" s="189"/>
      <c r="IRP116" s="189"/>
      <c r="IRQ116" s="189"/>
      <c r="IRR116" s="189"/>
      <c r="IRS116" s="189"/>
      <c r="IRT116" s="189"/>
      <c r="IRU116" s="189"/>
      <c r="IRV116" s="189"/>
      <c r="IRW116" s="189"/>
      <c r="IRX116" s="189"/>
      <c r="IRY116" s="189"/>
      <c r="IRZ116" s="189"/>
      <c r="ISA116" s="189"/>
      <c r="ISB116" s="189"/>
      <c r="ISC116" s="189"/>
      <c r="ISD116" s="189"/>
      <c r="ISE116" s="189"/>
      <c r="ISF116" s="189"/>
      <c r="ISG116" s="189"/>
      <c r="ISH116" s="189"/>
      <c r="ISI116" s="189"/>
      <c r="ISJ116" s="189"/>
      <c r="ISK116" s="189"/>
      <c r="ISL116" s="189"/>
      <c r="ISM116" s="189"/>
      <c r="ISN116" s="189"/>
      <c r="ISO116" s="189"/>
      <c r="ISP116" s="189"/>
      <c r="ISQ116" s="189"/>
      <c r="ISR116" s="189"/>
      <c r="ISS116" s="189"/>
      <c r="IST116" s="189"/>
      <c r="ISU116" s="189"/>
      <c r="ISV116" s="189"/>
      <c r="ISW116" s="189"/>
      <c r="ISX116" s="189"/>
      <c r="ISY116" s="189"/>
      <c r="ISZ116" s="189"/>
      <c r="ITA116" s="189"/>
      <c r="ITB116" s="189"/>
      <c r="ITC116" s="189"/>
      <c r="ITD116" s="189"/>
      <c r="ITE116" s="189"/>
      <c r="ITF116" s="189"/>
      <c r="ITG116" s="189"/>
      <c r="ITH116" s="189"/>
      <c r="ITI116" s="189"/>
      <c r="ITJ116" s="189"/>
      <c r="ITK116" s="189"/>
      <c r="ITL116" s="189"/>
      <c r="ITM116" s="189"/>
      <c r="ITN116" s="189"/>
      <c r="ITO116" s="189"/>
      <c r="ITP116" s="189"/>
      <c r="ITQ116" s="189"/>
      <c r="ITR116" s="189"/>
      <c r="ITS116" s="189"/>
      <c r="ITT116" s="189"/>
      <c r="ITU116" s="189"/>
      <c r="ITV116" s="189"/>
      <c r="ITW116" s="189"/>
      <c r="ITX116" s="189"/>
      <c r="ITY116" s="189"/>
      <c r="ITZ116" s="189"/>
      <c r="IUA116" s="189"/>
      <c r="IUB116" s="189"/>
      <c r="IUC116" s="189"/>
      <c r="IUD116" s="189"/>
      <c r="IUE116" s="189"/>
      <c r="IUF116" s="189"/>
      <c r="IUG116" s="189"/>
      <c r="IUH116" s="189"/>
      <c r="IUI116" s="189"/>
      <c r="IUJ116" s="189"/>
      <c r="IUK116" s="189"/>
      <c r="IUL116" s="189"/>
      <c r="IUM116" s="189"/>
      <c r="IUN116" s="189"/>
      <c r="IUO116" s="189"/>
      <c r="IUP116" s="189"/>
      <c r="IUQ116" s="189"/>
      <c r="IUR116" s="189"/>
      <c r="IUS116" s="189"/>
      <c r="IUT116" s="189"/>
      <c r="IUU116" s="189"/>
      <c r="IUV116" s="189"/>
      <c r="IUW116" s="189"/>
      <c r="IUX116" s="189"/>
      <c r="IUY116" s="189"/>
      <c r="IUZ116" s="189"/>
      <c r="IVA116" s="189"/>
      <c r="IVB116" s="189"/>
      <c r="IVC116" s="189"/>
      <c r="IVD116" s="189"/>
      <c r="IVE116" s="189"/>
      <c r="IVF116" s="189"/>
      <c r="IVG116" s="189"/>
      <c r="IVH116" s="189"/>
      <c r="IVI116" s="189"/>
      <c r="IVJ116" s="189"/>
      <c r="IVK116" s="189"/>
      <c r="IVL116" s="189"/>
      <c r="IVM116" s="189"/>
      <c r="IVN116" s="189"/>
      <c r="IVO116" s="189"/>
      <c r="IVP116" s="189"/>
      <c r="IVQ116" s="189"/>
      <c r="IVR116" s="189"/>
      <c r="IVS116" s="189"/>
      <c r="IVT116" s="189"/>
      <c r="IVU116" s="189"/>
      <c r="IVV116" s="189"/>
      <c r="IVW116" s="189"/>
      <c r="IVX116" s="189"/>
      <c r="IVY116" s="189"/>
      <c r="IVZ116" s="189"/>
      <c r="IWA116" s="189"/>
      <c r="IWB116" s="189"/>
      <c r="IWC116" s="189"/>
      <c r="IWD116" s="189"/>
      <c r="IWE116" s="189"/>
      <c r="IWF116" s="189"/>
      <c r="IWG116" s="189"/>
      <c r="IWH116" s="189"/>
      <c r="IWI116" s="189"/>
      <c r="IWJ116" s="189"/>
      <c r="IWK116" s="189"/>
      <c r="IWL116" s="189"/>
      <c r="IWM116" s="189"/>
      <c r="IWN116" s="189"/>
      <c r="IWO116" s="189"/>
      <c r="IWP116" s="189"/>
      <c r="IWQ116" s="189"/>
      <c r="IWR116" s="189"/>
      <c r="IWS116" s="189"/>
      <c r="IWT116" s="189"/>
      <c r="IWU116" s="189"/>
      <c r="IWV116" s="189"/>
      <c r="IWW116" s="189"/>
      <c r="IWX116" s="189"/>
      <c r="IWY116" s="189"/>
      <c r="IWZ116" s="189"/>
      <c r="IXA116" s="189"/>
      <c r="IXB116" s="189"/>
      <c r="IXC116" s="189"/>
      <c r="IXD116" s="189"/>
      <c r="IXE116" s="189"/>
      <c r="IXF116" s="189"/>
      <c r="IXG116" s="189"/>
      <c r="IXH116" s="189"/>
      <c r="IXI116" s="189"/>
      <c r="IXJ116" s="189"/>
      <c r="IXK116" s="189"/>
      <c r="IXL116" s="189"/>
      <c r="IXM116" s="189"/>
      <c r="IXN116" s="189"/>
      <c r="IXO116" s="189"/>
      <c r="IXP116" s="189"/>
      <c r="IXQ116" s="189"/>
      <c r="IXR116" s="189"/>
      <c r="IXS116" s="189"/>
      <c r="IXT116" s="189"/>
      <c r="IXU116" s="189"/>
      <c r="IXV116" s="189"/>
      <c r="IXW116" s="189"/>
      <c r="IXX116" s="189"/>
      <c r="IXY116" s="189"/>
      <c r="IXZ116" s="189"/>
      <c r="IYA116" s="189"/>
      <c r="IYB116" s="189"/>
      <c r="IYC116" s="189"/>
      <c r="IYD116" s="189"/>
      <c r="IYE116" s="189"/>
      <c r="IYF116" s="189"/>
      <c r="IYG116" s="189"/>
      <c r="IYH116" s="189"/>
      <c r="IYI116" s="189"/>
      <c r="IYJ116" s="189"/>
      <c r="IYK116" s="189"/>
      <c r="IYL116" s="189"/>
      <c r="IYM116" s="189"/>
      <c r="IYN116" s="189"/>
      <c r="IYO116" s="189"/>
      <c r="IYP116" s="189"/>
      <c r="IYQ116" s="189"/>
      <c r="IYR116" s="189"/>
      <c r="IYS116" s="189"/>
      <c r="IYT116" s="189"/>
      <c r="IYU116" s="189"/>
      <c r="IYV116" s="189"/>
      <c r="IYW116" s="189"/>
      <c r="IYX116" s="189"/>
      <c r="IYY116" s="189"/>
      <c r="IYZ116" s="189"/>
      <c r="IZA116" s="189"/>
      <c r="IZB116" s="189"/>
      <c r="IZC116" s="189"/>
      <c r="IZD116" s="189"/>
      <c r="IZE116" s="189"/>
      <c r="IZF116" s="189"/>
      <c r="IZG116" s="189"/>
      <c r="IZH116" s="189"/>
      <c r="IZI116" s="189"/>
      <c r="IZJ116" s="189"/>
      <c r="IZK116" s="189"/>
      <c r="IZL116" s="189"/>
      <c r="IZM116" s="189"/>
      <c r="IZN116" s="189"/>
      <c r="IZO116" s="189"/>
      <c r="IZP116" s="189"/>
      <c r="IZQ116" s="189"/>
      <c r="IZR116" s="189"/>
      <c r="IZS116" s="189"/>
      <c r="IZT116" s="189"/>
      <c r="IZU116" s="189"/>
      <c r="IZV116" s="189"/>
      <c r="IZW116" s="189"/>
      <c r="IZX116" s="189"/>
      <c r="IZY116" s="189"/>
      <c r="IZZ116" s="189"/>
      <c r="JAA116" s="189"/>
      <c r="JAB116" s="189"/>
      <c r="JAC116" s="189"/>
      <c r="JAD116" s="189"/>
      <c r="JAE116" s="189"/>
      <c r="JAF116" s="189"/>
      <c r="JAG116" s="189"/>
      <c r="JAH116" s="189"/>
      <c r="JAI116" s="189"/>
      <c r="JAJ116" s="189"/>
      <c r="JAK116" s="189"/>
      <c r="JAL116" s="189"/>
      <c r="JAM116" s="189"/>
      <c r="JAN116" s="189"/>
      <c r="JAO116" s="189"/>
      <c r="JAP116" s="189"/>
      <c r="JAQ116" s="189"/>
      <c r="JAR116" s="189"/>
      <c r="JAS116" s="189"/>
      <c r="JAT116" s="189"/>
      <c r="JAU116" s="189"/>
      <c r="JAV116" s="189"/>
      <c r="JAW116" s="189"/>
      <c r="JAX116" s="189"/>
      <c r="JAY116" s="189"/>
      <c r="JAZ116" s="189"/>
      <c r="JBA116" s="189"/>
      <c r="JBB116" s="189"/>
      <c r="JBC116" s="189"/>
      <c r="JBD116" s="189"/>
      <c r="JBE116" s="189"/>
      <c r="JBF116" s="189"/>
      <c r="JBG116" s="189"/>
      <c r="JBH116" s="189"/>
      <c r="JBI116" s="189"/>
      <c r="JBJ116" s="189"/>
      <c r="JBK116" s="189"/>
      <c r="JBL116" s="189"/>
      <c r="JBM116" s="189"/>
      <c r="JBN116" s="189"/>
      <c r="JBO116" s="189"/>
      <c r="JBP116" s="189"/>
      <c r="JBQ116" s="189"/>
      <c r="JBR116" s="189"/>
      <c r="JBS116" s="189"/>
      <c r="JBT116" s="189"/>
      <c r="JBU116" s="189"/>
      <c r="JBV116" s="189"/>
      <c r="JBW116" s="189"/>
      <c r="JBX116" s="189"/>
      <c r="JBY116" s="189"/>
      <c r="JBZ116" s="189"/>
      <c r="JCA116" s="189"/>
      <c r="JCB116" s="189"/>
      <c r="JCC116" s="189"/>
      <c r="JCD116" s="189"/>
      <c r="JCE116" s="189"/>
      <c r="JCF116" s="189"/>
      <c r="JCG116" s="189"/>
      <c r="JCH116" s="189"/>
      <c r="JCI116" s="189"/>
      <c r="JCJ116" s="189"/>
      <c r="JCK116" s="189"/>
      <c r="JCL116" s="189"/>
      <c r="JCM116" s="189"/>
      <c r="JCN116" s="189"/>
      <c r="JCO116" s="189"/>
      <c r="JCP116" s="189"/>
      <c r="JCQ116" s="189"/>
      <c r="JCR116" s="189"/>
      <c r="JCS116" s="189"/>
      <c r="JCT116" s="189"/>
      <c r="JCU116" s="189"/>
      <c r="JCV116" s="189"/>
      <c r="JCW116" s="189"/>
      <c r="JCX116" s="189"/>
      <c r="JCY116" s="189"/>
      <c r="JCZ116" s="189"/>
      <c r="JDA116" s="189"/>
      <c r="JDB116" s="189"/>
      <c r="JDC116" s="189"/>
      <c r="JDD116" s="189"/>
      <c r="JDE116" s="189"/>
      <c r="JDF116" s="189"/>
      <c r="JDG116" s="189"/>
      <c r="JDH116" s="189"/>
      <c r="JDI116" s="189"/>
      <c r="JDJ116" s="189"/>
      <c r="JDK116" s="189"/>
      <c r="JDL116" s="189"/>
      <c r="JDM116" s="189"/>
      <c r="JDN116" s="189"/>
      <c r="JDO116" s="189"/>
      <c r="JDP116" s="189"/>
      <c r="JDQ116" s="189"/>
      <c r="JDR116" s="189"/>
      <c r="JDS116" s="189"/>
      <c r="JDT116" s="189"/>
      <c r="JDU116" s="189"/>
      <c r="JDV116" s="189"/>
      <c r="JDW116" s="189"/>
      <c r="JDX116" s="189"/>
      <c r="JDY116" s="189"/>
      <c r="JDZ116" s="189"/>
      <c r="JEA116" s="189"/>
      <c r="JEB116" s="189"/>
      <c r="JEC116" s="189"/>
      <c r="JED116" s="189"/>
      <c r="JEE116" s="189"/>
      <c r="JEF116" s="189"/>
      <c r="JEG116" s="189"/>
      <c r="JEH116" s="189"/>
      <c r="JEI116" s="189"/>
      <c r="JEJ116" s="189"/>
      <c r="JEK116" s="189"/>
      <c r="JEL116" s="189"/>
      <c r="JEM116" s="189"/>
      <c r="JEN116" s="189"/>
      <c r="JEO116" s="189"/>
      <c r="JEP116" s="189"/>
      <c r="JEQ116" s="189"/>
      <c r="JER116" s="189"/>
      <c r="JES116" s="189"/>
      <c r="JET116" s="189"/>
      <c r="JEU116" s="189"/>
      <c r="JEV116" s="189"/>
      <c r="JEW116" s="189"/>
      <c r="JEX116" s="189"/>
      <c r="JEY116" s="189"/>
      <c r="JEZ116" s="189"/>
      <c r="JFA116" s="189"/>
      <c r="JFB116" s="189"/>
      <c r="JFC116" s="189"/>
      <c r="JFD116" s="189"/>
      <c r="JFE116" s="189"/>
      <c r="JFF116" s="189"/>
      <c r="JFG116" s="189"/>
      <c r="JFH116" s="189"/>
      <c r="JFI116" s="189"/>
      <c r="JFJ116" s="189"/>
      <c r="JFK116" s="189"/>
      <c r="JFL116" s="189"/>
      <c r="JFM116" s="189"/>
      <c r="JFN116" s="189"/>
      <c r="JFO116" s="189"/>
      <c r="JFP116" s="189"/>
      <c r="JFQ116" s="189"/>
      <c r="JFR116" s="189"/>
      <c r="JFS116" s="189"/>
      <c r="JFT116" s="189"/>
      <c r="JFU116" s="189"/>
      <c r="JFV116" s="189"/>
      <c r="JFW116" s="189"/>
      <c r="JFX116" s="189"/>
      <c r="JFY116" s="189"/>
      <c r="JFZ116" s="189"/>
      <c r="JGA116" s="189"/>
      <c r="JGB116" s="189"/>
      <c r="JGC116" s="189"/>
      <c r="JGD116" s="189"/>
      <c r="JGE116" s="189"/>
      <c r="JGF116" s="189"/>
      <c r="JGG116" s="189"/>
      <c r="JGH116" s="189"/>
      <c r="JGI116" s="189"/>
      <c r="JGJ116" s="189"/>
      <c r="JGK116" s="189"/>
      <c r="JGL116" s="189"/>
      <c r="JGM116" s="189"/>
      <c r="JGN116" s="189"/>
      <c r="JGO116" s="189"/>
      <c r="JGP116" s="189"/>
      <c r="JGQ116" s="189"/>
      <c r="JGR116" s="189"/>
      <c r="JGS116" s="189"/>
      <c r="JGT116" s="189"/>
      <c r="JGU116" s="189"/>
      <c r="JGV116" s="189"/>
      <c r="JGW116" s="189"/>
      <c r="JGX116" s="189"/>
      <c r="JGY116" s="189"/>
      <c r="JGZ116" s="189"/>
      <c r="JHA116" s="189"/>
      <c r="JHB116" s="189"/>
      <c r="JHC116" s="189"/>
      <c r="JHD116" s="189"/>
      <c r="JHE116" s="189"/>
      <c r="JHF116" s="189"/>
      <c r="JHG116" s="189"/>
      <c r="JHH116" s="189"/>
      <c r="JHI116" s="189"/>
      <c r="JHJ116" s="189"/>
      <c r="JHK116" s="189"/>
      <c r="JHL116" s="189"/>
      <c r="JHM116" s="189"/>
      <c r="JHN116" s="189"/>
      <c r="JHO116" s="189"/>
      <c r="JHP116" s="189"/>
      <c r="JHQ116" s="189"/>
      <c r="JHR116" s="189"/>
      <c r="JHS116" s="189"/>
      <c r="JHT116" s="189"/>
      <c r="JHU116" s="189"/>
      <c r="JHV116" s="189"/>
      <c r="JHW116" s="189"/>
      <c r="JHX116" s="189"/>
      <c r="JHY116" s="189"/>
      <c r="JHZ116" s="189"/>
      <c r="JIA116" s="189"/>
      <c r="JIB116" s="189"/>
      <c r="JIC116" s="189"/>
      <c r="JID116" s="189"/>
      <c r="JIE116" s="189"/>
      <c r="JIF116" s="189"/>
      <c r="JIG116" s="189"/>
      <c r="JIH116" s="189"/>
      <c r="JII116" s="189"/>
      <c r="JIJ116" s="189"/>
      <c r="JIK116" s="189"/>
      <c r="JIL116" s="189"/>
      <c r="JIM116" s="189"/>
      <c r="JIN116" s="189"/>
      <c r="JIO116" s="189"/>
      <c r="JIP116" s="189"/>
      <c r="JIQ116" s="189"/>
      <c r="JIR116" s="189"/>
      <c r="JIS116" s="189"/>
      <c r="JIT116" s="189"/>
      <c r="JIU116" s="189"/>
      <c r="JIV116" s="189"/>
      <c r="JIW116" s="189"/>
      <c r="JIX116" s="189"/>
      <c r="JIY116" s="189"/>
      <c r="JIZ116" s="189"/>
      <c r="JJA116" s="189"/>
      <c r="JJB116" s="189"/>
      <c r="JJC116" s="189"/>
      <c r="JJD116" s="189"/>
      <c r="JJE116" s="189"/>
      <c r="JJF116" s="189"/>
      <c r="JJG116" s="189"/>
      <c r="JJH116" s="189"/>
      <c r="JJI116" s="189"/>
      <c r="JJJ116" s="189"/>
      <c r="JJK116" s="189"/>
      <c r="JJL116" s="189"/>
      <c r="JJM116" s="189"/>
      <c r="JJN116" s="189"/>
      <c r="JJO116" s="189"/>
      <c r="JJP116" s="189"/>
      <c r="JJQ116" s="189"/>
      <c r="JJR116" s="189"/>
      <c r="JJS116" s="189"/>
      <c r="JJT116" s="189"/>
      <c r="JJU116" s="189"/>
      <c r="JJV116" s="189"/>
      <c r="JJW116" s="189"/>
      <c r="JJX116" s="189"/>
      <c r="JJY116" s="189"/>
      <c r="JJZ116" s="189"/>
      <c r="JKA116" s="189"/>
      <c r="JKB116" s="189"/>
      <c r="JKC116" s="189"/>
      <c r="JKD116" s="189"/>
      <c r="JKE116" s="189"/>
      <c r="JKF116" s="189"/>
      <c r="JKG116" s="189"/>
      <c r="JKH116" s="189"/>
      <c r="JKI116" s="189"/>
      <c r="JKJ116" s="189"/>
      <c r="JKK116" s="189"/>
      <c r="JKL116" s="189"/>
      <c r="JKM116" s="189"/>
      <c r="JKN116" s="189"/>
      <c r="JKO116" s="189"/>
      <c r="JKP116" s="189"/>
      <c r="JKQ116" s="189"/>
      <c r="JKR116" s="189"/>
      <c r="JKS116" s="189"/>
      <c r="JKT116" s="189"/>
      <c r="JKU116" s="189"/>
      <c r="JKV116" s="189"/>
      <c r="JKW116" s="189"/>
      <c r="JKX116" s="189"/>
      <c r="JKY116" s="189"/>
      <c r="JKZ116" s="189"/>
      <c r="JLA116" s="189"/>
      <c r="JLB116" s="189"/>
      <c r="JLC116" s="189"/>
      <c r="JLD116" s="189"/>
      <c r="JLE116" s="189"/>
      <c r="JLF116" s="189"/>
      <c r="JLG116" s="189"/>
      <c r="JLH116" s="189"/>
      <c r="JLI116" s="189"/>
      <c r="JLJ116" s="189"/>
      <c r="JLK116" s="189"/>
      <c r="JLL116" s="189"/>
      <c r="JLM116" s="189"/>
      <c r="JLN116" s="189"/>
      <c r="JLO116" s="189"/>
      <c r="JLP116" s="189"/>
      <c r="JLQ116" s="189"/>
      <c r="JLR116" s="189"/>
      <c r="JLS116" s="189"/>
      <c r="JLT116" s="189"/>
      <c r="JLU116" s="189"/>
      <c r="JLV116" s="189"/>
      <c r="JLW116" s="189"/>
      <c r="JLX116" s="189"/>
      <c r="JLY116" s="189"/>
      <c r="JLZ116" s="189"/>
      <c r="JMA116" s="189"/>
      <c r="JMB116" s="189"/>
      <c r="JMC116" s="189"/>
      <c r="JMD116" s="189"/>
      <c r="JME116" s="189"/>
      <c r="JMF116" s="189"/>
      <c r="JMG116" s="189"/>
      <c r="JMH116" s="189"/>
      <c r="JMI116" s="189"/>
      <c r="JMJ116" s="189"/>
      <c r="JMK116" s="189"/>
      <c r="JML116" s="189"/>
      <c r="JMM116" s="189"/>
      <c r="JMN116" s="189"/>
      <c r="JMO116" s="189"/>
      <c r="JMP116" s="189"/>
      <c r="JMQ116" s="189"/>
      <c r="JMR116" s="189"/>
      <c r="JMS116" s="189"/>
      <c r="JMT116" s="189"/>
      <c r="JMU116" s="189"/>
      <c r="JMV116" s="189"/>
      <c r="JMW116" s="189"/>
      <c r="JMX116" s="189"/>
      <c r="JMY116" s="189"/>
      <c r="JMZ116" s="189"/>
      <c r="JNA116" s="189"/>
      <c r="JNB116" s="189"/>
      <c r="JNC116" s="189"/>
      <c r="JND116" s="189"/>
      <c r="JNE116" s="189"/>
      <c r="JNF116" s="189"/>
      <c r="JNG116" s="189"/>
      <c r="JNH116" s="189"/>
      <c r="JNI116" s="189"/>
      <c r="JNJ116" s="189"/>
      <c r="JNK116" s="189"/>
      <c r="JNL116" s="189"/>
      <c r="JNM116" s="189"/>
      <c r="JNN116" s="189"/>
      <c r="JNO116" s="189"/>
      <c r="JNP116" s="189"/>
      <c r="JNQ116" s="189"/>
      <c r="JNR116" s="189"/>
      <c r="JNS116" s="189"/>
      <c r="JNT116" s="189"/>
      <c r="JNU116" s="189"/>
      <c r="JNV116" s="189"/>
      <c r="JNW116" s="189"/>
      <c r="JNX116" s="189"/>
      <c r="JNY116" s="189"/>
      <c r="JNZ116" s="189"/>
      <c r="JOA116" s="189"/>
      <c r="JOB116" s="189"/>
      <c r="JOC116" s="189"/>
      <c r="JOD116" s="189"/>
      <c r="JOE116" s="189"/>
      <c r="JOF116" s="189"/>
      <c r="JOG116" s="189"/>
      <c r="JOH116" s="189"/>
      <c r="JOI116" s="189"/>
      <c r="JOJ116" s="189"/>
      <c r="JOK116" s="189"/>
      <c r="JOL116" s="189"/>
      <c r="JOM116" s="189"/>
      <c r="JON116" s="189"/>
      <c r="JOO116" s="189"/>
      <c r="JOP116" s="189"/>
      <c r="JOQ116" s="189"/>
      <c r="JOR116" s="189"/>
      <c r="JOS116" s="189"/>
      <c r="JOT116" s="189"/>
      <c r="JOU116" s="189"/>
      <c r="JOV116" s="189"/>
      <c r="JOW116" s="189"/>
      <c r="JOX116" s="189"/>
      <c r="JOY116" s="189"/>
      <c r="JOZ116" s="189"/>
      <c r="JPA116" s="189"/>
      <c r="JPB116" s="189"/>
      <c r="JPC116" s="189"/>
      <c r="JPD116" s="189"/>
      <c r="JPE116" s="189"/>
      <c r="JPF116" s="189"/>
      <c r="JPG116" s="189"/>
      <c r="JPH116" s="189"/>
      <c r="JPI116" s="189"/>
      <c r="JPJ116" s="189"/>
      <c r="JPK116" s="189"/>
      <c r="JPL116" s="189"/>
      <c r="JPM116" s="189"/>
      <c r="JPN116" s="189"/>
      <c r="JPO116" s="189"/>
      <c r="JPP116" s="189"/>
      <c r="JPQ116" s="189"/>
      <c r="JPR116" s="189"/>
      <c r="JPS116" s="189"/>
      <c r="JPT116" s="189"/>
      <c r="JPU116" s="189"/>
      <c r="JPV116" s="189"/>
      <c r="JPW116" s="189"/>
      <c r="JPX116" s="189"/>
      <c r="JPY116" s="189"/>
      <c r="JPZ116" s="189"/>
      <c r="JQA116" s="189"/>
      <c r="JQB116" s="189"/>
      <c r="JQC116" s="189"/>
      <c r="JQD116" s="189"/>
      <c r="JQE116" s="189"/>
      <c r="JQF116" s="189"/>
      <c r="JQG116" s="189"/>
      <c r="JQH116" s="189"/>
      <c r="JQI116" s="189"/>
      <c r="JQJ116" s="189"/>
      <c r="JQK116" s="189"/>
      <c r="JQL116" s="189"/>
      <c r="JQM116" s="189"/>
      <c r="JQN116" s="189"/>
      <c r="JQO116" s="189"/>
      <c r="JQP116" s="189"/>
      <c r="JQQ116" s="189"/>
      <c r="JQR116" s="189"/>
      <c r="JQS116" s="189"/>
      <c r="JQT116" s="189"/>
      <c r="JQU116" s="189"/>
      <c r="JQV116" s="189"/>
      <c r="JQW116" s="189"/>
      <c r="JQX116" s="189"/>
      <c r="JQY116" s="189"/>
      <c r="JQZ116" s="189"/>
      <c r="JRA116" s="189"/>
      <c r="JRB116" s="189"/>
      <c r="JRC116" s="189"/>
      <c r="JRD116" s="189"/>
      <c r="JRE116" s="189"/>
      <c r="JRF116" s="189"/>
      <c r="JRG116" s="189"/>
      <c r="JRH116" s="189"/>
      <c r="JRI116" s="189"/>
      <c r="JRJ116" s="189"/>
      <c r="JRK116" s="189"/>
      <c r="JRL116" s="189"/>
      <c r="JRM116" s="189"/>
      <c r="JRN116" s="189"/>
      <c r="JRO116" s="189"/>
      <c r="JRP116" s="189"/>
      <c r="JRQ116" s="189"/>
      <c r="JRR116" s="189"/>
      <c r="JRS116" s="189"/>
      <c r="JRT116" s="189"/>
      <c r="JRU116" s="189"/>
      <c r="JRV116" s="189"/>
      <c r="JRW116" s="189"/>
      <c r="JRX116" s="189"/>
      <c r="JRY116" s="189"/>
      <c r="JRZ116" s="189"/>
      <c r="JSA116" s="189"/>
      <c r="JSB116" s="189"/>
      <c r="JSC116" s="189"/>
      <c r="JSD116" s="189"/>
      <c r="JSE116" s="189"/>
      <c r="JSF116" s="189"/>
      <c r="JSG116" s="189"/>
      <c r="JSH116" s="189"/>
      <c r="JSI116" s="189"/>
      <c r="JSJ116" s="189"/>
      <c r="JSK116" s="189"/>
      <c r="JSL116" s="189"/>
      <c r="JSM116" s="189"/>
      <c r="JSN116" s="189"/>
      <c r="JSO116" s="189"/>
      <c r="JSP116" s="189"/>
      <c r="JSQ116" s="189"/>
      <c r="JSR116" s="189"/>
      <c r="JSS116" s="189"/>
      <c r="JST116" s="189"/>
      <c r="JSU116" s="189"/>
      <c r="JSV116" s="189"/>
      <c r="JSW116" s="189"/>
      <c r="JSX116" s="189"/>
      <c r="JSY116" s="189"/>
      <c r="JSZ116" s="189"/>
      <c r="JTA116" s="189"/>
      <c r="JTB116" s="189"/>
      <c r="JTC116" s="189"/>
      <c r="JTD116" s="189"/>
      <c r="JTE116" s="189"/>
      <c r="JTF116" s="189"/>
      <c r="JTG116" s="189"/>
      <c r="JTH116" s="189"/>
      <c r="JTI116" s="189"/>
      <c r="JTJ116" s="189"/>
      <c r="JTK116" s="189"/>
      <c r="JTL116" s="189"/>
      <c r="JTM116" s="189"/>
      <c r="JTN116" s="189"/>
      <c r="JTO116" s="189"/>
      <c r="JTP116" s="189"/>
      <c r="JTQ116" s="189"/>
      <c r="JTR116" s="189"/>
      <c r="JTS116" s="189"/>
      <c r="JTT116" s="189"/>
      <c r="JTU116" s="189"/>
      <c r="JTV116" s="189"/>
      <c r="JTW116" s="189"/>
      <c r="JTX116" s="189"/>
      <c r="JTY116" s="189"/>
      <c r="JTZ116" s="189"/>
      <c r="JUA116" s="189"/>
      <c r="JUB116" s="189"/>
      <c r="JUC116" s="189"/>
      <c r="JUD116" s="189"/>
      <c r="JUE116" s="189"/>
      <c r="JUF116" s="189"/>
      <c r="JUG116" s="189"/>
      <c r="JUH116" s="189"/>
      <c r="JUI116" s="189"/>
      <c r="JUJ116" s="189"/>
      <c r="JUK116" s="189"/>
      <c r="JUL116" s="189"/>
      <c r="JUM116" s="189"/>
      <c r="JUN116" s="189"/>
      <c r="JUO116" s="189"/>
      <c r="JUP116" s="189"/>
      <c r="JUQ116" s="189"/>
      <c r="JUR116" s="189"/>
      <c r="JUS116" s="189"/>
      <c r="JUT116" s="189"/>
      <c r="JUU116" s="189"/>
      <c r="JUV116" s="189"/>
      <c r="JUW116" s="189"/>
      <c r="JUX116" s="189"/>
      <c r="JUY116" s="189"/>
      <c r="JUZ116" s="189"/>
      <c r="JVA116" s="189"/>
      <c r="JVB116" s="189"/>
      <c r="JVC116" s="189"/>
      <c r="JVD116" s="189"/>
      <c r="JVE116" s="189"/>
      <c r="JVF116" s="189"/>
      <c r="JVG116" s="189"/>
      <c r="JVH116" s="189"/>
      <c r="JVI116" s="189"/>
      <c r="JVJ116" s="189"/>
      <c r="JVK116" s="189"/>
      <c r="JVL116" s="189"/>
      <c r="JVM116" s="189"/>
      <c r="JVN116" s="189"/>
      <c r="JVO116" s="189"/>
      <c r="JVP116" s="189"/>
      <c r="JVQ116" s="189"/>
      <c r="JVR116" s="189"/>
      <c r="JVS116" s="189"/>
      <c r="JVT116" s="189"/>
      <c r="JVU116" s="189"/>
      <c r="JVV116" s="189"/>
      <c r="JVW116" s="189"/>
      <c r="JVX116" s="189"/>
      <c r="JVY116" s="189"/>
      <c r="JVZ116" s="189"/>
      <c r="JWA116" s="189"/>
      <c r="JWB116" s="189"/>
      <c r="JWC116" s="189"/>
      <c r="JWD116" s="189"/>
      <c r="JWE116" s="189"/>
      <c r="JWF116" s="189"/>
      <c r="JWG116" s="189"/>
      <c r="JWH116" s="189"/>
      <c r="JWI116" s="189"/>
      <c r="JWJ116" s="189"/>
      <c r="JWK116" s="189"/>
      <c r="JWL116" s="189"/>
      <c r="JWM116" s="189"/>
      <c r="JWN116" s="189"/>
      <c r="JWO116" s="189"/>
      <c r="JWP116" s="189"/>
      <c r="JWQ116" s="189"/>
      <c r="JWR116" s="189"/>
      <c r="JWS116" s="189"/>
      <c r="JWT116" s="189"/>
      <c r="JWU116" s="189"/>
      <c r="JWV116" s="189"/>
      <c r="JWW116" s="189"/>
      <c r="JWX116" s="189"/>
      <c r="JWY116" s="189"/>
      <c r="JWZ116" s="189"/>
      <c r="JXA116" s="189"/>
      <c r="JXB116" s="189"/>
      <c r="JXC116" s="189"/>
      <c r="JXD116" s="189"/>
      <c r="JXE116" s="189"/>
      <c r="JXF116" s="189"/>
      <c r="JXG116" s="189"/>
      <c r="JXH116" s="189"/>
      <c r="JXI116" s="189"/>
      <c r="JXJ116" s="189"/>
      <c r="JXK116" s="189"/>
      <c r="JXL116" s="189"/>
      <c r="JXM116" s="189"/>
      <c r="JXN116" s="189"/>
      <c r="JXO116" s="189"/>
      <c r="JXP116" s="189"/>
      <c r="JXQ116" s="189"/>
      <c r="JXR116" s="189"/>
      <c r="JXS116" s="189"/>
      <c r="JXT116" s="189"/>
      <c r="JXU116" s="189"/>
      <c r="JXV116" s="189"/>
      <c r="JXW116" s="189"/>
      <c r="JXX116" s="189"/>
      <c r="JXY116" s="189"/>
      <c r="JXZ116" s="189"/>
      <c r="JYA116" s="189"/>
      <c r="JYB116" s="189"/>
      <c r="JYC116" s="189"/>
      <c r="JYD116" s="189"/>
      <c r="JYE116" s="189"/>
      <c r="JYF116" s="189"/>
      <c r="JYG116" s="189"/>
      <c r="JYH116" s="189"/>
      <c r="JYI116" s="189"/>
      <c r="JYJ116" s="189"/>
      <c r="JYK116" s="189"/>
      <c r="JYL116" s="189"/>
      <c r="JYM116" s="189"/>
      <c r="JYN116" s="189"/>
      <c r="JYO116" s="189"/>
      <c r="JYP116" s="189"/>
      <c r="JYQ116" s="189"/>
      <c r="JYR116" s="189"/>
      <c r="JYS116" s="189"/>
      <c r="JYT116" s="189"/>
      <c r="JYU116" s="189"/>
      <c r="JYV116" s="189"/>
      <c r="JYW116" s="189"/>
      <c r="JYX116" s="189"/>
      <c r="JYY116" s="189"/>
      <c r="JYZ116" s="189"/>
      <c r="JZA116" s="189"/>
      <c r="JZB116" s="189"/>
      <c r="JZC116" s="189"/>
      <c r="JZD116" s="189"/>
      <c r="JZE116" s="189"/>
      <c r="JZF116" s="189"/>
      <c r="JZG116" s="189"/>
      <c r="JZH116" s="189"/>
      <c r="JZI116" s="189"/>
      <c r="JZJ116" s="189"/>
      <c r="JZK116" s="189"/>
      <c r="JZL116" s="189"/>
      <c r="JZM116" s="189"/>
      <c r="JZN116" s="189"/>
      <c r="JZO116" s="189"/>
      <c r="JZP116" s="189"/>
      <c r="JZQ116" s="189"/>
      <c r="JZR116" s="189"/>
      <c r="JZS116" s="189"/>
      <c r="JZT116" s="189"/>
      <c r="JZU116" s="189"/>
      <c r="JZV116" s="189"/>
      <c r="JZW116" s="189"/>
      <c r="JZX116" s="189"/>
      <c r="JZY116" s="189"/>
      <c r="JZZ116" s="189"/>
      <c r="KAA116" s="189"/>
      <c r="KAB116" s="189"/>
      <c r="KAC116" s="189"/>
      <c r="KAD116" s="189"/>
      <c r="KAE116" s="189"/>
      <c r="KAF116" s="189"/>
      <c r="KAG116" s="189"/>
      <c r="KAH116" s="189"/>
      <c r="KAI116" s="189"/>
      <c r="KAJ116" s="189"/>
      <c r="KAK116" s="189"/>
      <c r="KAL116" s="189"/>
      <c r="KAM116" s="189"/>
      <c r="KAN116" s="189"/>
      <c r="KAO116" s="189"/>
      <c r="KAP116" s="189"/>
      <c r="KAQ116" s="189"/>
      <c r="KAR116" s="189"/>
      <c r="KAS116" s="189"/>
      <c r="KAT116" s="189"/>
      <c r="KAU116" s="189"/>
      <c r="KAV116" s="189"/>
      <c r="KAW116" s="189"/>
      <c r="KAX116" s="189"/>
      <c r="KAY116" s="189"/>
      <c r="KAZ116" s="189"/>
      <c r="KBA116" s="189"/>
      <c r="KBB116" s="189"/>
      <c r="KBC116" s="189"/>
      <c r="KBD116" s="189"/>
      <c r="KBE116" s="189"/>
      <c r="KBF116" s="189"/>
      <c r="KBG116" s="189"/>
      <c r="KBH116" s="189"/>
      <c r="KBI116" s="189"/>
      <c r="KBJ116" s="189"/>
      <c r="KBK116" s="189"/>
      <c r="KBL116" s="189"/>
      <c r="KBM116" s="189"/>
      <c r="KBN116" s="189"/>
      <c r="KBO116" s="189"/>
      <c r="KBP116" s="189"/>
      <c r="KBQ116" s="189"/>
      <c r="KBR116" s="189"/>
      <c r="KBS116" s="189"/>
      <c r="KBT116" s="189"/>
      <c r="KBU116" s="189"/>
      <c r="KBV116" s="189"/>
      <c r="KBW116" s="189"/>
      <c r="KBX116" s="189"/>
      <c r="KBY116" s="189"/>
      <c r="KBZ116" s="189"/>
      <c r="KCA116" s="189"/>
      <c r="KCB116" s="189"/>
      <c r="KCC116" s="189"/>
      <c r="KCD116" s="189"/>
      <c r="KCE116" s="189"/>
      <c r="KCF116" s="189"/>
      <c r="KCG116" s="189"/>
      <c r="KCH116" s="189"/>
      <c r="KCI116" s="189"/>
      <c r="KCJ116" s="189"/>
      <c r="KCK116" s="189"/>
      <c r="KCL116" s="189"/>
      <c r="KCM116" s="189"/>
      <c r="KCN116" s="189"/>
      <c r="KCO116" s="189"/>
      <c r="KCP116" s="189"/>
      <c r="KCQ116" s="189"/>
      <c r="KCR116" s="189"/>
      <c r="KCS116" s="189"/>
      <c r="KCT116" s="189"/>
      <c r="KCU116" s="189"/>
      <c r="KCV116" s="189"/>
      <c r="KCW116" s="189"/>
      <c r="KCX116" s="189"/>
      <c r="KCY116" s="189"/>
      <c r="KCZ116" s="189"/>
      <c r="KDA116" s="189"/>
      <c r="KDB116" s="189"/>
      <c r="KDC116" s="189"/>
      <c r="KDD116" s="189"/>
      <c r="KDE116" s="189"/>
      <c r="KDF116" s="189"/>
      <c r="KDG116" s="189"/>
      <c r="KDH116" s="189"/>
      <c r="KDI116" s="189"/>
      <c r="KDJ116" s="189"/>
      <c r="KDK116" s="189"/>
      <c r="KDL116" s="189"/>
      <c r="KDM116" s="189"/>
      <c r="KDN116" s="189"/>
      <c r="KDO116" s="189"/>
      <c r="KDP116" s="189"/>
      <c r="KDQ116" s="189"/>
      <c r="KDR116" s="189"/>
      <c r="KDS116" s="189"/>
      <c r="KDT116" s="189"/>
      <c r="KDU116" s="189"/>
      <c r="KDV116" s="189"/>
      <c r="KDW116" s="189"/>
      <c r="KDX116" s="189"/>
      <c r="KDY116" s="189"/>
      <c r="KDZ116" s="189"/>
      <c r="KEA116" s="189"/>
      <c r="KEB116" s="189"/>
      <c r="KEC116" s="189"/>
      <c r="KED116" s="189"/>
      <c r="KEE116" s="189"/>
      <c r="KEF116" s="189"/>
      <c r="KEG116" s="189"/>
      <c r="KEH116" s="189"/>
      <c r="KEI116" s="189"/>
      <c r="KEJ116" s="189"/>
      <c r="KEK116" s="189"/>
      <c r="KEL116" s="189"/>
      <c r="KEM116" s="189"/>
      <c r="KEN116" s="189"/>
      <c r="KEO116" s="189"/>
      <c r="KEP116" s="189"/>
      <c r="KEQ116" s="189"/>
      <c r="KER116" s="189"/>
      <c r="KES116" s="189"/>
      <c r="KET116" s="189"/>
      <c r="KEU116" s="189"/>
      <c r="KEV116" s="189"/>
      <c r="KEW116" s="189"/>
      <c r="KEX116" s="189"/>
      <c r="KEY116" s="189"/>
      <c r="KEZ116" s="189"/>
      <c r="KFA116" s="189"/>
      <c r="KFB116" s="189"/>
      <c r="KFC116" s="189"/>
      <c r="KFD116" s="189"/>
      <c r="KFE116" s="189"/>
      <c r="KFF116" s="189"/>
      <c r="KFG116" s="189"/>
      <c r="KFH116" s="189"/>
      <c r="KFI116" s="189"/>
      <c r="KFJ116" s="189"/>
      <c r="KFK116" s="189"/>
      <c r="KFL116" s="189"/>
      <c r="KFM116" s="189"/>
      <c r="KFN116" s="189"/>
      <c r="KFO116" s="189"/>
      <c r="KFP116" s="189"/>
      <c r="KFQ116" s="189"/>
      <c r="KFR116" s="189"/>
      <c r="KFS116" s="189"/>
      <c r="KFT116" s="189"/>
      <c r="KFU116" s="189"/>
      <c r="KFV116" s="189"/>
      <c r="KFW116" s="189"/>
      <c r="KFX116" s="189"/>
      <c r="KFY116" s="189"/>
      <c r="KFZ116" s="189"/>
      <c r="KGA116" s="189"/>
      <c r="KGB116" s="189"/>
      <c r="KGC116" s="189"/>
      <c r="KGD116" s="189"/>
      <c r="KGE116" s="189"/>
      <c r="KGF116" s="189"/>
      <c r="KGG116" s="189"/>
      <c r="KGH116" s="189"/>
      <c r="KGI116" s="189"/>
      <c r="KGJ116" s="189"/>
      <c r="KGK116" s="189"/>
      <c r="KGL116" s="189"/>
      <c r="KGM116" s="189"/>
      <c r="KGN116" s="189"/>
      <c r="KGO116" s="189"/>
      <c r="KGP116" s="189"/>
      <c r="KGQ116" s="189"/>
      <c r="KGR116" s="189"/>
      <c r="KGS116" s="189"/>
      <c r="KGT116" s="189"/>
      <c r="KGU116" s="189"/>
      <c r="KGV116" s="189"/>
      <c r="KGW116" s="189"/>
      <c r="KGX116" s="189"/>
      <c r="KGY116" s="189"/>
      <c r="KGZ116" s="189"/>
      <c r="KHA116" s="189"/>
      <c r="KHB116" s="189"/>
      <c r="KHC116" s="189"/>
      <c r="KHD116" s="189"/>
      <c r="KHE116" s="189"/>
      <c r="KHF116" s="189"/>
      <c r="KHG116" s="189"/>
      <c r="KHH116" s="189"/>
      <c r="KHI116" s="189"/>
      <c r="KHJ116" s="189"/>
      <c r="KHK116" s="189"/>
      <c r="KHL116" s="189"/>
      <c r="KHM116" s="189"/>
      <c r="KHN116" s="189"/>
      <c r="KHO116" s="189"/>
      <c r="KHP116" s="189"/>
      <c r="KHQ116" s="189"/>
      <c r="KHR116" s="189"/>
      <c r="KHS116" s="189"/>
      <c r="KHT116" s="189"/>
      <c r="KHU116" s="189"/>
      <c r="KHV116" s="189"/>
      <c r="KHW116" s="189"/>
      <c r="KHX116" s="189"/>
      <c r="KHY116" s="189"/>
      <c r="KHZ116" s="189"/>
      <c r="KIA116" s="189"/>
      <c r="KIB116" s="189"/>
      <c r="KIC116" s="189"/>
      <c r="KID116" s="189"/>
      <c r="KIE116" s="189"/>
      <c r="KIF116" s="189"/>
      <c r="KIG116" s="189"/>
      <c r="KIH116" s="189"/>
      <c r="KII116" s="189"/>
      <c r="KIJ116" s="189"/>
      <c r="KIK116" s="189"/>
      <c r="KIL116" s="189"/>
      <c r="KIM116" s="189"/>
      <c r="KIN116" s="189"/>
      <c r="KIO116" s="189"/>
      <c r="KIP116" s="189"/>
      <c r="KIQ116" s="189"/>
      <c r="KIR116" s="189"/>
      <c r="KIS116" s="189"/>
      <c r="KIT116" s="189"/>
      <c r="KIU116" s="189"/>
      <c r="KIV116" s="189"/>
      <c r="KIW116" s="189"/>
      <c r="KIX116" s="189"/>
      <c r="KIY116" s="189"/>
      <c r="KIZ116" s="189"/>
      <c r="KJA116" s="189"/>
      <c r="KJB116" s="189"/>
      <c r="KJC116" s="189"/>
      <c r="KJD116" s="189"/>
      <c r="KJE116" s="189"/>
      <c r="KJF116" s="189"/>
      <c r="KJG116" s="189"/>
      <c r="KJH116" s="189"/>
      <c r="KJI116" s="189"/>
      <c r="KJJ116" s="189"/>
      <c r="KJK116" s="189"/>
      <c r="KJL116" s="189"/>
      <c r="KJM116" s="189"/>
      <c r="KJN116" s="189"/>
      <c r="KJO116" s="189"/>
      <c r="KJP116" s="189"/>
      <c r="KJQ116" s="189"/>
      <c r="KJR116" s="189"/>
      <c r="KJS116" s="189"/>
      <c r="KJT116" s="189"/>
      <c r="KJU116" s="189"/>
      <c r="KJV116" s="189"/>
      <c r="KJW116" s="189"/>
      <c r="KJX116" s="189"/>
      <c r="KJY116" s="189"/>
      <c r="KJZ116" s="189"/>
      <c r="KKA116" s="189"/>
      <c r="KKB116" s="189"/>
      <c r="KKC116" s="189"/>
      <c r="KKD116" s="189"/>
      <c r="KKE116" s="189"/>
      <c r="KKF116" s="189"/>
      <c r="KKG116" s="189"/>
      <c r="KKH116" s="189"/>
      <c r="KKI116" s="189"/>
      <c r="KKJ116" s="189"/>
      <c r="KKK116" s="189"/>
      <c r="KKL116" s="189"/>
      <c r="KKM116" s="189"/>
      <c r="KKN116" s="189"/>
      <c r="KKO116" s="189"/>
      <c r="KKP116" s="189"/>
      <c r="KKQ116" s="189"/>
      <c r="KKR116" s="189"/>
      <c r="KKS116" s="189"/>
      <c r="KKT116" s="189"/>
      <c r="KKU116" s="189"/>
      <c r="KKV116" s="189"/>
      <c r="KKW116" s="189"/>
      <c r="KKX116" s="189"/>
      <c r="KKY116" s="189"/>
      <c r="KKZ116" s="189"/>
      <c r="KLA116" s="189"/>
      <c r="KLB116" s="189"/>
      <c r="KLC116" s="189"/>
      <c r="KLD116" s="189"/>
      <c r="KLE116" s="189"/>
      <c r="KLF116" s="189"/>
      <c r="KLG116" s="189"/>
      <c r="KLH116" s="189"/>
      <c r="KLI116" s="189"/>
      <c r="KLJ116" s="189"/>
      <c r="KLK116" s="189"/>
      <c r="KLL116" s="189"/>
      <c r="KLM116" s="189"/>
      <c r="KLN116" s="189"/>
      <c r="KLO116" s="189"/>
      <c r="KLP116" s="189"/>
      <c r="KLQ116" s="189"/>
      <c r="KLR116" s="189"/>
      <c r="KLS116" s="189"/>
      <c r="KLT116" s="189"/>
      <c r="KLU116" s="189"/>
      <c r="KLV116" s="189"/>
      <c r="KLW116" s="189"/>
      <c r="KLX116" s="189"/>
      <c r="KLY116" s="189"/>
      <c r="KLZ116" s="189"/>
      <c r="KMA116" s="189"/>
      <c r="KMB116" s="189"/>
      <c r="KMC116" s="189"/>
      <c r="KMD116" s="189"/>
      <c r="KME116" s="189"/>
      <c r="KMF116" s="189"/>
      <c r="KMG116" s="189"/>
      <c r="KMH116" s="189"/>
      <c r="KMI116" s="189"/>
      <c r="KMJ116" s="189"/>
      <c r="KMK116" s="189"/>
      <c r="KML116" s="189"/>
      <c r="KMM116" s="189"/>
      <c r="KMN116" s="189"/>
      <c r="KMO116" s="189"/>
      <c r="KMP116" s="189"/>
      <c r="KMQ116" s="189"/>
      <c r="KMR116" s="189"/>
      <c r="KMS116" s="189"/>
      <c r="KMT116" s="189"/>
      <c r="KMU116" s="189"/>
      <c r="KMV116" s="189"/>
      <c r="KMW116" s="189"/>
      <c r="KMX116" s="189"/>
      <c r="KMY116" s="189"/>
      <c r="KMZ116" s="189"/>
      <c r="KNA116" s="189"/>
      <c r="KNB116" s="189"/>
      <c r="KNC116" s="189"/>
      <c r="KND116" s="189"/>
      <c r="KNE116" s="189"/>
      <c r="KNF116" s="189"/>
      <c r="KNG116" s="189"/>
      <c r="KNH116" s="189"/>
      <c r="KNI116" s="189"/>
      <c r="KNJ116" s="189"/>
      <c r="KNK116" s="189"/>
      <c r="KNL116" s="189"/>
      <c r="KNM116" s="189"/>
      <c r="KNN116" s="189"/>
      <c r="KNO116" s="189"/>
      <c r="KNP116" s="189"/>
      <c r="KNQ116" s="189"/>
      <c r="KNR116" s="189"/>
      <c r="KNS116" s="189"/>
      <c r="KNT116" s="189"/>
      <c r="KNU116" s="189"/>
      <c r="KNV116" s="189"/>
      <c r="KNW116" s="189"/>
      <c r="KNX116" s="189"/>
      <c r="KNY116" s="189"/>
      <c r="KNZ116" s="189"/>
      <c r="KOA116" s="189"/>
      <c r="KOB116" s="189"/>
      <c r="KOC116" s="189"/>
      <c r="KOD116" s="189"/>
      <c r="KOE116" s="189"/>
      <c r="KOF116" s="189"/>
      <c r="KOG116" s="189"/>
      <c r="KOH116" s="189"/>
      <c r="KOI116" s="189"/>
      <c r="KOJ116" s="189"/>
      <c r="KOK116" s="189"/>
      <c r="KOL116" s="189"/>
      <c r="KOM116" s="189"/>
      <c r="KON116" s="189"/>
      <c r="KOO116" s="189"/>
      <c r="KOP116" s="189"/>
      <c r="KOQ116" s="189"/>
      <c r="KOR116" s="189"/>
      <c r="KOS116" s="189"/>
      <c r="KOT116" s="189"/>
      <c r="KOU116" s="189"/>
      <c r="KOV116" s="189"/>
      <c r="KOW116" s="189"/>
      <c r="KOX116" s="189"/>
      <c r="KOY116" s="189"/>
      <c r="KOZ116" s="189"/>
      <c r="KPA116" s="189"/>
      <c r="KPB116" s="189"/>
      <c r="KPC116" s="189"/>
      <c r="KPD116" s="189"/>
      <c r="KPE116" s="189"/>
      <c r="KPF116" s="189"/>
      <c r="KPG116" s="189"/>
      <c r="KPH116" s="189"/>
      <c r="KPI116" s="189"/>
      <c r="KPJ116" s="189"/>
      <c r="KPK116" s="189"/>
      <c r="KPL116" s="189"/>
      <c r="KPM116" s="189"/>
      <c r="KPN116" s="189"/>
      <c r="KPO116" s="189"/>
      <c r="KPP116" s="189"/>
      <c r="KPQ116" s="189"/>
      <c r="KPR116" s="189"/>
      <c r="KPS116" s="189"/>
      <c r="KPT116" s="189"/>
      <c r="KPU116" s="189"/>
      <c r="KPV116" s="189"/>
      <c r="KPW116" s="189"/>
      <c r="KPX116" s="189"/>
      <c r="KPY116" s="189"/>
      <c r="KPZ116" s="189"/>
      <c r="KQA116" s="189"/>
      <c r="KQB116" s="189"/>
      <c r="KQC116" s="189"/>
      <c r="KQD116" s="189"/>
      <c r="KQE116" s="189"/>
      <c r="KQF116" s="189"/>
      <c r="KQG116" s="189"/>
      <c r="KQH116" s="189"/>
      <c r="KQI116" s="189"/>
      <c r="KQJ116" s="189"/>
      <c r="KQK116" s="189"/>
      <c r="KQL116" s="189"/>
      <c r="KQM116" s="189"/>
      <c r="KQN116" s="189"/>
      <c r="KQO116" s="189"/>
      <c r="KQP116" s="189"/>
      <c r="KQQ116" s="189"/>
      <c r="KQR116" s="189"/>
      <c r="KQS116" s="189"/>
      <c r="KQT116" s="189"/>
      <c r="KQU116" s="189"/>
      <c r="KQV116" s="189"/>
      <c r="KQW116" s="189"/>
      <c r="KQX116" s="189"/>
      <c r="KQY116" s="189"/>
      <c r="KQZ116" s="189"/>
      <c r="KRA116" s="189"/>
      <c r="KRB116" s="189"/>
      <c r="KRC116" s="189"/>
      <c r="KRD116" s="189"/>
      <c r="KRE116" s="189"/>
      <c r="KRF116" s="189"/>
      <c r="KRG116" s="189"/>
      <c r="KRH116" s="189"/>
      <c r="KRI116" s="189"/>
      <c r="KRJ116" s="189"/>
      <c r="KRK116" s="189"/>
      <c r="KRL116" s="189"/>
      <c r="KRM116" s="189"/>
      <c r="KRN116" s="189"/>
      <c r="KRO116" s="189"/>
      <c r="KRP116" s="189"/>
      <c r="KRQ116" s="189"/>
      <c r="KRR116" s="189"/>
      <c r="KRS116" s="189"/>
      <c r="KRT116" s="189"/>
      <c r="KRU116" s="189"/>
      <c r="KRV116" s="189"/>
      <c r="KRW116" s="189"/>
      <c r="KRX116" s="189"/>
      <c r="KRY116" s="189"/>
      <c r="KRZ116" s="189"/>
      <c r="KSA116" s="189"/>
      <c r="KSB116" s="189"/>
      <c r="KSC116" s="189"/>
      <c r="KSD116" s="189"/>
      <c r="KSE116" s="189"/>
      <c r="KSF116" s="189"/>
      <c r="KSG116" s="189"/>
      <c r="KSH116" s="189"/>
      <c r="KSI116" s="189"/>
      <c r="KSJ116" s="189"/>
      <c r="KSK116" s="189"/>
      <c r="KSL116" s="189"/>
      <c r="KSM116" s="189"/>
      <c r="KSN116" s="189"/>
      <c r="KSO116" s="189"/>
      <c r="KSP116" s="189"/>
      <c r="KSQ116" s="189"/>
      <c r="KSR116" s="189"/>
      <c r="KSS116" s="189"/>
      <c r="KST116" s="189"/>
      <c r="KSU116" s="189"/>
      <c r="KSV116" s="189"/>
      <c r="KSW116" s="189"/>
      <c r="KSX116" s="189"/>
      <c r="KSY116" s="189"/>
      <c r="KSZ116" s="189"/>
      <c r="KTA116" s="189"/>
      <c r="KTB116" s="189"/>
      <c r="KTC116" s="189"/>
      <c r="KTD116" s="189"/>
      <c r="KTE116" s="189"/>
      <c r="KTF116" s="189"/>
      <c r="KTG116" s="189"/>
      <c r="KTH116" s="189"/>
      <c r="KTI116" s="189"/>
      <c r="KTJ116" s="189"/>
      <c r="KTK116" s="189"/>
      <c r="KTL116" s="189"/>
      <c r="KTM116" s="189"/>
      <c r="KTN116" s="189"/>
      <c r="KTO116" s="189"/>
      <c r="KTP116" s="189"/>
      <c r="KTQ116" s="189"/>
      <c r="KTR116" s="189"/>
      <c r="KTS116" s="189"/>
      <c r="KTT116" s="189"/>
      <c r="KTU116" s="189"/>
      <c r="KTV116" s="189"/>
      <c r="KTW116" s="189"/>
      <c r="KTX116" s="189"/>
      <c r="KTY116" s="189"/>
      <c r="KTZ116" s="189"/>
      <c r="KUA116" s="189"/>
      <c r="KUB116" s="189"/>
      <c r="KUC116" s="189"/>
      <c r="KUD116" s="189"/>
      <c r="KUE116" s="189"/>
      <c r="KUF116" s="189"/>
      <c r="KUG116" s="189"/>
      <c r="KUH116" s="189"/>
      <c r="KUI116" s="189"/>
      <c r="KUJ116" s="189"/>
      <c r="KUK116" s="189"/>
      <c r="KUL116" s="189"/>
      <c r="KUM116" s="189"/>
      <c r="KUN116" s="189"/>
      <c r="KUO116" s="189"/>
      <c r="KUP116" s="189"/>
      <c r="KUQ116" s="189"/>
      <c r="KUR116" s="189"/>
      <c r="KUS116" s="189"/>
      <c r="KUT116" s="189"/>
      <c r="KUU116" s="189"/>
      <c r="KUV116" s="189"/>
      <c r="KUW116" s="189"/>
      <c r="KUX116" s="189"/>
      <c r="KUY116" s="189"/>
      <c r="KUZ116" s="189"/>
      <c r="KVA116" s="189"/>
      <c r="KVB116" s="189"/>
      <c r="KVC116" s="189"/>
      <c r="KVD116" s="189"/>
      <c r="KVE116" s="189"/>
      <c r="KVF116" s="189"/>
      <c r="KVG116" s="189"/>
      <c r="KVH116" s="189"/>
      <c r="KVI116" s="189"/>
      <c r="KVJ116" s="189"/>
      <c r="KVK116" s="189"/>
      <c r="KVL116" s="189"/>
      <c r="KVM116" s="189"/>
      <c r="KVN116" s="189"/>
      <c r="KVO116" s="189"/>
      <c r="KVP116" s="189"/>
      <c r="KVQ116" s="189"/>
      <c r="KVR116" s="189"/>
      <c r="KVS116" s="189"/>
      <c r="KVT116" s="189"/>
      <c r="KVU116" s="189"/>
      <c r="KVV116" s="189"/>
      <c r="KVW116" s="189"/>
      <c r="KVX116" s="189"/>
      <c r="KVY116" s="189"/>
      <c r="KVZ116" s="189"/>
      <c r="KWA116" s="189"/>
      <c r="KWB116" s="189"/>
      <c r="KWC116" s="189"/>
      <c r="KWD116" s="189"/>
      <c r="KWE116" s="189"/>
      <c r="KWF116" s="189"/>
      <c r="KWG116" s="189"/>
      <c r="KWH116" s="189"/>
      <c r="KWI116" s="189"/>
      <c r="KWJ116" s="189"/>
      <c r="KWK116" s="189"/>
      <c r="KWL116" s="189"/>
      <c r="KWM116" s="189"/>
      <c r="KWN116" s="189"/>
      <c r="KWO116" s="189"/>
      <c r="KWP116" s="189"/>
      <c r="KWQ116" s="189"/>
      <c r="KWR116" s="189"/>
      <c r="KWS116" s="189"/>
      <c r="KWT116" s="189"/>
      <c r="KWU116" s="189"/>
      <c r="KWV116" s="189"/>
      <c r="KWW116" s="189"/>
      <c r="KWX116" s="189"/>
      <c r="KWY116" s="189"/>
      <c r="KWZ116" s="189"/>
      <c r="KXA116" s="189"/>
      <c r="KXB116" s="189"/>
      <c r="KXC116" s="189"/>
      <c r="KXD116" s="189"/>
      <c r="KXE116" s="189"/>
      <c r="KXF116" s="189"/>
      <c r="KXG116" s="189"/>
      <c r="KXH116" s="189"/>
      <c r="KXI116" s="189"/>
      <c r="KXJ116" s="189"/>
      <c r="KXK116" s="189"/>
      <c r="KXL116" s="189"/>
      <c r="KXM116" s="189"/>
      <c r="KXN116" s="189"/>
      <c r="KXO116" s="189"/>
      <c r="KXP116" s="189"/>
      <c r="KXQ116" s="189"/>
      <c r="KXR116" s="189"/>
      <c r="KXS116" s="189"/>
      <c r="KXT116" s="189"/>
      <c r="KXU116" s="189"/>
      <c r="KXV116" s="189"/>
      <c r="KXW116" s="189"/>
      <c r="KXX116" s="189"/>
      <c r="KXY116" s="189"/>
      <c r="KXZ116" s="189"/>
      <c r="KYA116" s="189"/>
      <c r="KYB116" s="189"/>
      <c r="KYC116" s="189"/>
      <c r="KYD116" s="189"/>
      <c r="KYE116" s="189"/>
      <c r="KYF116" s="189"/>
      <c r="KYG116" s="189"/>
      <c r="KYH116" s="189"/>
      <c r="KYI116" s="189"/>
      <c r="KYJ116" s="189"/>
      <c r="KYK116" s="189"/>
      <c r="KYL116" s="189"/>
      <c r="KYM116" s="189"/>
      <c r="KYN116" s="189"/>
      <c r="KYO116" s="189"/>
      <c r="KYP116" s="189"/>
      <c r="KYQ116" s="189"/>
      <c r="KYR116" s="189"/>
      <c r="KYS116" s="189"/>
      <c r="KYT116" s="189"/>
      <c r="KYU116" s="189"/>
      <c r="KYV116" s="189"/>
      <c r="KYW116" s="189"/>
      <c r="KYX116" s="189"/>
      <c r="KYY116" s="189"/>
      <c r="KYZ116" s="189"/>
      <c r="KZA116" s="189"/>
      <c r="KZB116" s="189"/>
      <c r="KZC116" s="189"/>
      <c r="KZD116" s="189"/>
      <c r="KZE116" s="189"/>
      <c r="KZF116" s="189"/>
      <c r="KZG116" s="189"/>
      <c r="KZH116" s="189"/>
      <c r="KZI116" s="189"/>
      <c r="KZJ116" s="189"/>
      <c r="KZK116" s="189"/>
      <c r="KZL116" s="189"/>
      <c r="KZM116" s="189"/>
      <c r="KZN116" s="189"/>
      <c r="KZO116" s="189"/>
      <c r="KZP116" s="189"/>
      <c r="KZQ116" s="189"/>
      <c r="KZR116" s="189"/>
      <c r="KZS116" s="189"/>
      <c r="KZT116" s="189"/>
      <c r="KZU116" s="189"/>
      <c r="KZV116" s="189"/>
      <c r="KZW116" s="189"/>
      <c r="KZX116" s="189"/>
      <c r="KZY116" s="189"/>
      <c r="KZZ116" s="189"/>
      <c r="LAA116" s="189"/>
      <c r="LAB116" s="189"/>
      <c r="LAC116" s="189"/>
      <c r="LAD116" s="189"/>
      <c r="LAE116" s="189"/>
      <c r="LAF116" s="189"/>
      <c r="LAG116" s="189"/>
      <c r="LAH116" s="189"/>
      <c r="LAI116" s="189"/>
      <c r="LAJ116" s="189"/>
      <c r="LAK116" s="189"/>
      <c r="LAL116" s="189"/>
      <c r="LAM116" s="189"/>
      <c r="LAN116" s="189"/>
      <c r="LAO116" s="189"/>
      <c r="LAP116" s="189"/>
      <c r="LAQ116" s="189"/>
      <c r="LAR116" s="189"/>
      <c r="LAS116" s="189"/>
      <c r="LAT116" s="189"/>
      <c r="LAU116" s="189"/>
      <c r="LAV116" s="189"/>
      <c r="LAW116" s="189"/>
      <c r="LAX116" s="189"/>
      <c r="LAY116" s="189"/>
      <c r="LAZ116" s="189"/>
      <c r="LBA116" s="189"/>
      <c r="LBB116" s="189"/>
      <c r="LBC116" s="189"/>
      <c r="LBD116" s="189"/>
      <c r="LBE116" s="189"/>
      <c r="LBF116" s="189"/>
      <c r="LBG116" s="189"/>
      <c r="LBH116" s="189"/>
      <c r="LBI116" s="189"/>
      <c r="LBJ116" s="189"/>
      <c r="LBK116" s="189"/>
      <c r="LBL116" s="189"/>
      <c r="LBM116" s="189"/>
      <c r="LBN116" s="189"/>
      <c r="LBO116" s="189"/>
      <c r="LBP116" s="189"/>
      <c r="LBQ116" s="189"/>
      <c r="LBR116" s="189"/>
      <c r="LBS116" s="189"/>
      <c r="LBT116" s="189"/>
      <c r="LBU116" s="189"/>
      <c r="LBV116" s="189"/>
      <c r="LBW116" s="189"/>
      <c r="LBX116" s="189"/>
      <c r="LBY116" s="189"/>
      <c r="LBZ116" s="189"/>
      <c r="LCA116" s="189"/>
      <c r="LCB116" s="189"/>
      <c r="LCC116" s="189"/>
      <c r="LCD116" s="189"/>
      <c r="LCE116" s="189"/>
      <c r="LCF116" s="189"/>
      <c r="LCG116" s="189"/>
      <c r="LCH116" s="189"/>
      <c r="LCI116" s="189"/>
      <c r="LCJ116" s="189"/>
      <c r="LCK116" s="189"/>
      <c r="LCL116" s="189"/>
      <c r="LCM116" s="189"/>
      <c r="LCN116" s="189"/>
      <c r="LCO116" s="189"/>
      <c r="LCP116" s="189"/>
      <c r="LCQ116" s="189"/>
      <c r="LCR116" s="189"/>
      <c r="LCS116" s="189"/>
      <c r="LCT116" s="189"/>
      <c r="LCU116" s="189"/>
      <c r="LCV116" s="189"/>
      <c r="LCW116" s="189"/>
      <c r="LCX116" s="189"/>
      <c r="LCY116" s="189"/>
      <c r="LCZ116" s="189"/>
      <c r="LDA116" s="189"/>
      <c r="LDB116" s="189"/>
      <c r="LDC116" s="189"/>
      <c r="LDD116" s="189"/>
      <c r="LDE116" s="189"/>
      <c r="LDF116" s="189"/>
      <c r="LDG116" s="189"/>
      <c r="LDH116" s="189"/>
      <c r="LDI116" s="189"/>
      <c r="LDJ116" s="189"/>
      <c r="LDK116" s="189"/>
      <c r="LDL116" s="189"/>
      <c r="LDM116" s="189"/>
      <c r="LDN116" s="189"/>
      <c r="LDO116" s="189"/>
      <c r="LDP116" s="189"/>
      <c r="LDQ116" s="189"/>
      <c r="LDR116" s="189"/>
      <c r="LDS116" s="189"/>
      <c r="LDT116" s="189"/>
      <c r="LDU116" s="189"/>
      <c r="LDV116" s="189"/>
      <c r="LDW116" s="189"/>
      <c r="LDX116" s="189"/>
      <c r="LDY116" s="189"/>
      <c r="LDZ116" s="189"/>
      <c r="LEA116" s="189"/>
      <c r="LEB116" s="189"/>
      <c r="LEC116" s="189"/>
      <c r="LED116" s="189"/>
      <c r="LEE116" s="189"/>
      <c r="LEF116" s="189"/>
      <c r="LEG116" s="189"/>
      <c r="LEH116" s="189"/>
      <c r="LEI116" s="189"/>
      <c r="LEJ116" s="189"/>
      <c r="LEK116" s="189"/>
      <c r="LEL116" s="189"/>
      <c r="LEM116" s="189"/>
      <c r="LEN116" s="189"/>
      <c r="LEO116" s="189"/>
      <c r="LEP116" s="189"/>
      <c r="LEQ116" s="189"/>
      <c r="LER116" s="189"/>
      <c r="LES116" s="189"/>
      <c r="LET116" s="189"/>
      <c r="LEU116" s="189"/>
      <c r="LEV116" s="189"/>
      <c r="LEW116" s="189"/>
      <c r="LEX116" s="189"/>
      <c r="LEY116" s="189"/>
      <c r="LEZ116" s="189"/>
      <c r="LFA116" s="189"/>
      <c r="LFB116" s="189"/>
      <c r="LFC116" s="189"/>
      <c r="LFD116" s="189"/>
      <c r="LFE116" s="189"/>
      <c r="LFF116" s="189"/>
      <c r="LFG116" s="189"/>
      <c r="LFH116" s="189"/>
      <c r="LFI116" s="189"/>
      <c r="LFJ116" s="189"/>
      <c r="LFK116" s="189"/>
      <c r="LFL116" s="189"/>
      <c r="LFM116" s="189"/>
      <c r="LFN116" s="189"/>
      <c r="LFO116" s="189"/>
      <c r="LFP116" s="189"/>
      <c r="LFQ116" s="189"/>
      <c r="LFR116" s="189"/>
      <c r="LFS116" s="189"/>
      <c r="LFT116" s="189"/>
      <c r="LFU116" s="189"/>
      <c r="LFV116" s="189"/>
      <c r="LFW116" s="189"/>
      <c r="LFX116" s="189"/>
      <c r="LFY116" s="189"/>
      <c r="LFZ116" s="189"/>
      <c r="LGA116" s="189"/>
      <c r="LGB116" s="189"/>
      <c r="LGC116" s="189"/>
      <c r="LGD116" s="189"/>
      <c r="LGE116" s="189"/>
      <c r="LGF116" s="189"/>
      <c r="LGG116" s="189"/>
      <c r="LGH116" s="189"/>
      <c r="LGI116" s="189"/>
      <c r="LGJ116" s="189"/>
      <c r="LGK116" s="189"/>
      <c r="LGL116" s="189"/>
      <c r="LGM116" s="189"/>
      <c r="LGN116" s="189"/>
      <c r="LGO116" s="189"/>
      <c r="LGP116" s="189"/>
      <c r="LGQ116" s="189"/>
      <c r="LGR116" s="189"/>
      <c r="LGS116" s="189"/>
      <c r="LGT116" s="189"/>
      <c r="LGU116" s="189"/>
      <c r="LGV116" s="189"/>
      <c r="LGW116" s="189"/>
      <c r="LGX116" s="189"/>
      <c r="LGY116" s="189"/>
      <c r="LGZ116" s="189"/>
      <c r="LHA116" s="189"/>
      <c r="LHB116" s="189"/>
      <c r="LHC116" s="189"/>
      <c r="LHD116" s="189"/>
      <c r="LHE116" s="189"/>
      <c r="LHF116" s="189"/>
      <c r="LHG116" s="189"/>
      <c r="LHH116" s="189"/>
      <c r="LHI116" s="189"/>
      <c r="LHJ116" s="189"/>
      <c r="LHK116" s="189"/>
      <c r="LHL116" s="189"/>
      <c r="LHM116" s="189"/>
      <c r="LHN116" s="189"/>
      <c r="LHO116" s="189"/>
      <c r="LHP116" s="189"/>
      <c r="LHQ116" s="189"/>
      <c r="LHR116" s="189"/>
      <c r="LHS116" s="189"/>
      <c r="LHT116" s="189"/>
      <c r="LHU116" s="189"/>
      <c r="LHV116" s="189"/>
      <c r="LHW116" s="189"/>
      <c r="LHX116" s="189"/>
      <c r="LHY116" s="189"/>
      <c r="LHZ116" s="189"/>
      <c r="LIA116" s="189"/>
      <c r="LIB116" s="189"/>
      <c r="LIC116" s="189"/>
      <c r="LID116" s="189"/>
      <c r="LIE116" s="189"/>
      <c r="LIF116" s="189"/>
      <c r="LIG116" s="189"/>
      <c r="LIH116" s="189"/>
      <c r="LII116" s="189"/>
      <c r="LIJ116" s="189"/>
      <c r="LIK116" s="189"/>
      <c r="LIL116" s="189"/>
      <c r="LIM116" s="189"/>
      <c r="LIN116" s="189"/>
      <c r="LIO116" s="189"/>
      <c r="LIP116" s="189"/>
      <c r="LIQ116" s="189"/>
      <c r="LIR116" s="189"/>
      <c r="LIS116" s="189"/>
      <c r="LIT116" s="189"/>
      <c r="LIU116" s="189"/>
      <c r="LIV116" s="189"/>
      <c r="LIW116" s="189"/>
      <c r="LIX116" s="189"/>
      <c r="LIY116" s="189"/>
      <c r="LIZ116" s="189"/>
      <c r="LJA116" s="189"/>
      <c r="LJB116" s="189"/>
      <c r="LJC116" s="189"/>
      <c r="LJD116" s="189"/>
      <c r="LJE116" s="189"/>
      <c r="LJF116" s="189"/>
      <c r="LJG116" s="189"/>
      <c r="LJH116" s="189"/>
      <c r="LJI116" s="189"/>
      <c r="LJJ116" s="189"/>
      <c r="LJK116" s="189"/>
      <c r="LJL116" s="189"/>
      <c r="LJM116" s="189"/>
      <c r="LJN116" s="189"/>
      <c r="LJO116" s="189"/>
      <c r="LJP116" s="189"/>
      <c r="LJQ116" s="189"/>
      <c r="LJR116" s="189"/>
      <c r="LJS116" s="189"/>
      <c r="LJT116" s="189"/>
      <c r="LJU116" s="189"/>
      <c r="LJV116" s="189"/>
      <c r="LJW116" s="189"/>
      <c r="LJX116" s="189"/>
      <c r="LJY116" s="189"/>
      <c r="LJZ116" s="189"/>
      <c r="LKA116" s="189"/>
      <c r="LKB116" s="189"/>
      <c r="LKC116" s="189"/>
      <c r="LKD116" s="189"/>
      <c r="LKE116" s="189"/>
      <c r="LKF116" s="189"/>
      <c r="LKG116" s="189"/>
      <c r="LKH116" s="189"/>
      <c r="LKI116" s="189"/>
      <c r="LKJ116" s="189"/>
      <c r="LKK116" s="189"/>
      <c r="LKL116" s="189"/>
      <c r="LKM116" s="189"/>
      <c r="LKN116" s="189"/>
      <c r="LKO116" s="189"/>
      <c r="LKP116" s="189"/>
      <c r="LKQ116" s="189"/>
      <c r="LKR116" s="189"/>
      <c r="LKS116" s="189"/>
      <c r="LKT116" s="189"/>
      <c r="LKU116" s="189"/>
      <c r="LKV116" s="189"/>
      <c r="LKW116" s="189"/>
      <c r="LKX116" s="189"/>
      <c r="LKY116" s="189"/>
      <c r="LKZ116" s="189"/>
      <c r="LLA116" s="189"/>
      <c r="LLB116" s="189"/>
      <c r="LLC116" s="189"/>
      <c r="LLD116" s="189"/>
      <c r="LLE116" s="189"/>
      <c r="LLF116" s="189"/>
      <c r="LLG116" s="189"/>
      <c r="LLH116" s="189"/>
      <c r="LLI116" s="189"/>
      <c r="LLJ116" s="189"/>
      <c r="LLK116" s="189"/>
      <c r="LLL116" s="189"/>
      <c r="LLM116" s="189"/>
      <c r="LLN116" s="189"/>
      <c r="LLO116" s="189"/>
      <c r="LLP116" s="189"/>
      <c r="LLQ116" s="189"/>
      <c r="LLR116" s="189"/>
      <c r="LLS116" s="189"/>
      <c r="LLT116" s="189"/>
      <c r="LLU116" s="189"/>
      <c r="LLV116" s="189"/>
      <c r="LLW116" s="189"/>
      <c r="LLX116" s="189"/>
      <c r="LLY116" s="189"/>
      <c r="LLZ116" s="189"/>
      <c r="LMA116" s="189"/>
      <c r="LMB116" s="189"/>
      <c r="LMC116" s="189"/>
      <c r="LMD116" s="189"/>
      <c r="LME116" s="189"/>
      <c r="LMF116" s="189"/>
      <c r="LMG116" s="189"/>
      <c r="LMH116" s="189"/>
      <c r="LMI116" s="189"/>
      <c r="LMJ116" s="189"/>
      <c r="LMK116" s="189"/>
      <c r="LML116" s="189"/>
      <c r="LMM116" s="189"/>
      <c r="LMN116" s="189"/>
      <c r="LMO116" s="189"/>
      <c r="LMP116" s="189"/>
      <c r="LMQ116" s="189"/>
      <c r="LMR116" s="189"/>
      <c r="LMS116" s="189"/>
      <c r="LMT116" s="189"/>
      <c r="LMU116" s="189"/>
      <c r="LMV116" s="189"/>
      <c r="LMW116" s="189"/>
      <c r="LMX116" s="189"/>
      <c r="LMY116" s="189"/>
      <c r="LMZ116" s="189"/>
      <c r="LNA116" s="189"/>
      <c r="LNB116" s="189"/>
      <c r="LNC116" s="189"/>
      <c r="LND116" s="189"/>
      <c r="LNE116" s="189"/>
      <c r="LNF116" s="189"/>
      <c r="LNG116" s="189"/>
      <c r="LNH116" s="189"/>
      <c r="LNI116" s="189"/>
      <c r="LNJ116" s="189"/>
      <c r="LNK116" s="189"/>
      <c r="LNL116" s="189"/>
      <c r="LNM116" s="189"/>
      <c r="LNN116" s="189"/>
      <c r="LNO116" s="189"/>
      <c r="LNP116" s="189"/>
      <c r="LNQ116" s="189"/>
      <c r="LNR116" s="189"/>
      <c r="LNS116" s="189"/>
      <c r="LNT116" s="189"/>
      <c r="LNU116" s="189"/>
      <c r="LNV116" s="189"/>
      <c r="LNW116" s="189"/>
      <c r="LNX116" s="189"/>
      <c r="LNY116" s="189"/>
      <c r="LNZ116" s="189"/>
      <c r="LOA116" s="189"/>
      <c r="LOB116" s="189"/>
      <c r="LOC116" s="189"/>
      <c r="LOD116" s="189"/>
      <c r="LOE116" s="189"/>
      <c r="LOF116" s="189"/>
      <c r="LOG116" s="189"/>
      <c r="LOH116" s="189"/>
      <c r="LOI116" s="189"/>
      <c r="LOJ116" s="189"/>
      <c r="LOK116" s="189"/>
      <c r="LOL116" s="189"/>
      <c r="LOM116" s="189"/>
      <c r="LON116" s="189"/>
      <c r="LOO116" s="189"/>
      <c r="LOP116" s="189"/>
      <c r="LOQ116" s="189"/>
      <c r="LOR116" s="189"/>
      <c r="LOS116" s="189"/>
      <c r="LOT116" s="189"/>
      <c r="LOU116" s="189"/>
      <c r="LOV116" s="189"/>
      <c r="LOW116" s="189"/>
      <c r="LOX116" s="189"/>
      <c r="LOY116" s="189"/>
      <c r="LOZ116" s="189"/>
      <c r="LPA116" s="189"/>
      <c r="LPB116" s="189"/>
      <c r="LPC116" s="189"/>
      <c r="LPD116" s="189"/>
      <c r="LPE116" s="189"/>
      <c r="LPF116" s="189"/>
      <c r="LPG116" s="189"/>
      <c r="LPH116" s="189"/>
      <c r="LPI116" s="189"/>
      <c r="LPJ116" s="189"/>
      <c r="LPK116" s="189"/>
      <c r="LPL116" s="189"/>
      <c r="LPM116" s="189"/>
      <c r="LPN116" s="189"/>
      <c r="LPO116" s="189"/>
      <c r="LPP116" s="189"/>
      <c r="LPQ116" s="189"/>
      <c r="LPR116" s="189"/>
      <c r="LPS116" s="189"/>
      <c r="LPT116" s="189"/>
      <c r="LPU116" s="189"/>
      <c r="LPV116" s="189"/>
      <c r="LPW116" s="189"/>
      <c r="LPX116" s="189"/>
      <c r="LPY116" s="189"/>
      <c r="LPZ116" s="189"/>
      <c r="LQA116" s="189"/>
      <c r="LQB116" s="189"/>
      <c r="LQC116" s="189"/>
      <c r="LQD116" s="189"/>
      <c r="LQE116" s="189"/>
      <c r="LQF116" s="189"/>
      <c r="LQG116" s="189"/>
      <c r="LQH116" s="189"/>
      <c r="LQI116" s="189"/>
      <c r="LQJ116" s="189"/>
      <c r="LQK116" s="189"/>
      <c r="LQL116" s="189"/>
      <c r="LQM116" s="189"/>
      <c r="LQN116" s="189"/>
      <c r="LQO116" s="189"/>
      <c r="LQP116" s="189"/>
      <c r="LQQ116" s="189"/>
      <c r="LQR116" s="189"/>
      <c r="LQS116" s="189"/>
      <c r="LQT116" s="189"/>
      <c r="LQU116" s="189"/>
      <c r="LQV116" s="189"/>
      <c r="LQW116" s="189"/>
      <c r="LQX116" s="189"/>
      <c r="LQY116" s="189"/>
      <c r="LQZ116" s="189"/>
      <c r="LRA116" s="189"/>
      <c r="LRB116" s="189"/>
      <c r="LRC116" s="189"/>
      <c r="LRD116" s="189"/>
      <c r="LRE116" s="189"/>
      <c r="LRF116" s="189"/>
      <c r="LRG116" s="189"/>
      <c r="LRH116" s="189"/>
      <c r="LRI116" s="189"/>
      <c r="LRJ116" s="189"/>
      <c r="LRK116" s="189"/>
      <c r="LRL116" s="189"/>
      <c r="LRM116" s="189"/>
      <c r="LRN116" s="189"/>
      <c r="LRO116" s="189"/>
      <c r="LRP116" s="189"/>
      <c r="LRQ116" s="189"/>
      <c r="LRR116" s="189"/>
      <c r="LRS116" s="189"/>
      <c r="LRT116" s="189"/>
      <c r="LRU116" s="189"/>
      <c r="LRV116" s="189"/>
      <c r="LRW116" s="189"/>
      <c r="LRX116" s="189"/>
      <c r="LRY116" s="189"/>
      <c r="LRZ116" s="189"/>
      <c r="LSA116" s="189"/>
      <c r="LSB116" s="189"/>
      <c r="LSC116" s="189"/>
      <c r="LSD116" s="189"/>
      <c r="LSE116" s="189"/>
      <c r="LSF116" s="189"/>
      <c r="LSG116" s="189"/>
      <c r="LSH116" s="189"/>
      <c r="LSI116" s="189"/>
      <c r="LSJ116" s="189"/>
      <c r="LSK116" s="189"/>
      <c r="LSL116" s="189"/>
      <c r="LSM116" s="189"/>
      <c r="LSN116" s="189"/>
      <c r="LSO116" s="189"/>
      <c r="LSP116" s="189"/>
      <c r="LSQ116" s="189"/>
      <c r="LSR116" s="189"/>
      <c r="LSS116" s="189"/>
      <c r="LST116" s="189"/>
      <c r="LSU116" s="189"/>
      <c r="LSV116" s="189"/>
      <c r="LSW116" s="189"/>
      <c r="LSX116" s="189"/>
      <c r="LSY116" s="189"/>
      <c r="LSZ116" s="189"/>
      <c r="LTA116" s="189"/>
      <c r="LTB116" s="189"/>
      <c r="LTC116" s="189"/>
      <c r="LTD116" s="189"/>
      <c r="LTE116" s="189"/>
      <c r="LTF116" s="189"/>
      <c r="LTG116" s="189"/>
      <c r="LTH116" s="189"/>
      <c r="LTI116" s="189"/>
      <c r="LTJ116" s="189"/>
      <c r="LTK116" s="189"/>
      <c r="LTL116" s="189"/>
      <c r="LTM116" s="189"/>
      <c r="LTN116" s="189"/>
      <c r="LTO116" s="189"/>
      <c r="LTP116" s="189"/>
      <c r="LTQ116" s="189"/>
      <c r="LTR116" s="189"/>
      <c r="LTS116" s="189"/>
      <c r="LTT116" s="189"/>
      <c r="LTU116" s="189"/>
      <c r="LTV116" s="189"/>
      <c r="LTW116" s="189"/>
      <c r="LTX116" s="189"/>
      <c r="LTY116" s="189"/>
      <c r="LTZ116" s="189"/>
      <c r="LUA116" s="189"/>
      <c r="LUB116" s="189"/>
      <c r="LUC116" s="189"/>
      <c r="LUD116" s="189"/>
      <c r="LUE116" s="189"/>
      <c r="LUF116" s="189"/>
      <c r="LUG116" s="189"/>
      <c r="LUH116" s="189"/>
      <c r="LUI116" s="189"/>
      <c r="LUJ116" s="189"/>
      <c r="LUK116" s="189"/>
      <c r="LUL116" s="189"/>
      <c r="LUM116" s="189"/>
      <c r="LUN116" s="189"/>
      <c r="LUO116" s="189"/>
      <c r="LUP116" s="189"/>
      <c r="LUQ116" s="189"/>
      <c r="LUR116" s="189"/>
      <c r="LUS116" s="189"/>
      <c r="LUT116" s="189"/>
      <c r="LUU116" s="189"/>
      <c r="LUV116" s="189"/>
      <c r="LUW116" s="189"/>
      <c r="LUX116" s="189"/>
      <c r="LUY116" s="189"/>
      <c r="LUZ116" s="189"/>
      <c r="LVA116" s="189"/>
      <c r="LVB116" s="189"/>
      <c r="LVC116" s="189"/>
      <c r="LVD116" s="189"/>
      <c r="LVE116" s="189"/>
      <c r="LVF116" s="189"/>
      <c r="LVG116" s="189"/>
      <c r="LVH116" s="189"/>
      <c r="LVI116" s="189"/>
      <c r="LVJ116" s="189"/>
      <c r="LVK116" s="189"/>
      <c r="LVL116" s="189"/>
      <c r="LVM116" s="189"/>
      <c r="LVN116" s="189"/>
      <c r="LVO116" s="189"/>
      <c r="LVP116" s="189"/>
      <c r="LVQ116" s="189"/>
      <c r="LVR116" s="189"/>
      <c r="LVS116" s="189"/>
      <c r="LVT116" s="189"/>
      <c r="LVU116" s="189"/>
      <c r="LVV116" s="189"/>
      <c r="LVW116" s="189"/>
      <c r="LVX116" s="189"/>
      <c r="LVY116" s="189"/>
      <c r="LVZ116" s="189"/>
      <c r="LWA116" s="189"/>
      <c r="LWB116" s="189"/>
      <c r="LWC116" s="189"/>
      <c r="LWD116" s="189"/>
      <c r="LWE116" s="189"/>
      <c r="LWF116" s="189"/>
      <c r="LWG116" s="189"/>
      <c r="LWH116" s="189"/>
      <c r="LWI116" s="189"/>
      <c r="LWJ116" s="189"/>
      <c r="LWK116" s="189"/>
      <c r="LWL116" s="189"/>
      <c r="LWM116" s="189"/>
      <c r="LWN116" s="189"/>
      <c r="LWO116" s="189"/>
      <c r="LWP116" s="189"/>
      <c r="LWQ116" s="189"/>
      <c r="LWR116" s="189"/>
      <c r="LWS116" s="189"/>
      <c r="LWT116" s="189"/>
      <c r="LWU116" s="189"/>
      <c r="LWV116" s="189"/>
      <c r="LWW116" s="189"/>
      <c r="LWX116" s="189"/>
      <c r="LWY116" s="189"/>
      <c r="LWZ116" s="189"/>
      <c r="LXA116" s="189"/>
      <c r="LXB116" s="189"/>
      <c r="LXC116" s="189"/>
      <c r="LXD116" s="189"/>
      <c r="LXE116" s="189"/>
      <c r="LXF116" s="189"/>
      <c r="LXG116" s="189"/>
      <c r="LXH116" s="189"/>
      <c r="LXI116" s="189"/>
      <c r="LXJ116" s="189"/>
      <c r="LXK116" s="189"/>
      <c r="LXL116" s="189"/>
      <c r="LXM116" s="189"/>
      <c r="LXN116" s="189"/>
      <c r="LXO116" s="189"/>
      <c r="LXP116" s="189"/>
      <c r="LXQ116" s="189"/>
      <c r="LXR116" s="189"/>
      <c r="LXS116" s="189"/>
      <c r="LXT116" s="189"/>
      <c r="LXU116" s="189"/>
      <c r="LXV116" s="189"/>
      <c r="LXW116" s="189"/>
      <c r="LXX116" s="189"/>
      <c r="LXY116" s="189"/>
      <c r="LXZ116" s="189"/>
      <c r="LYA116" s="189"/>
      <c r="LYB116" s="189"/>
      <c r="LYC116" s="189"/>
      <c r="LYD116" s="189"/>
      <c r="LYE116" s="189"/>
      <c r="LYF116" s="189"/>
      <c r="LYG116" s="189"/>
      <c r="LYH116" s="189"/>
      <c r="LYI116" s="189"/>
      <c r="LYJ116" s="189"/>
      <c r="LYK116" s="189"/>
      <c r="LYL116" s="189"/>
      <c r="LYM116" s="189"/>
      <c r="LYN116" s="189"/>
      <c r="LYO116" s="189"/>
      <c r="LYP116" s="189"/>
      <c r="LYQ116" s="189"/>
      <c r="LYR116" s="189"/>
      <c r="LYS116" s="189"/>
      <c r="LYT116" s="189"/>
      <c r="LYU116" s="189"/>
      <c r="LYV116" s="189"/>
      <c r="LYW116" s="189"/>
      <c r="LYX116" s="189"/>
      <c r="LYY116" s="189"/>
      <c r="LYZ116" s="189"/>
      <c r="LZA116" s="189"/>
      <c r="LZB116" s="189"/>
      <c r="LZC116" s="189"/>
      <c r="LZD116" s="189"/>
      <c r="LZE116" s="189"/>
      <c r="LZF116" s="189"/>
      <c r="LZG116" s="189"/>
      <c r="LZH116" s="189"/>
      <c r="LZI116" s="189"/>
      <c r="LZJ116" s="189"/>
      <c r="LZK116" s="189"/>
      <c r="LZL116" s="189"/>
      <c r="LZM116" s="189"/>
      <c r="LZN116" s="189"/>
      <c r="LZO116" s="189"/>
      <c r="LZP116" s="189"/>
      <c r="LZQ116" s="189"/>
      <c r="LZR116" s="189"/>
      <c r="LZS116" s="189"/>
      <c r="LZT116" s="189"/>
      <c r="LZU116" s="189"/>
      <c r="LZV116" s="189"/>
      <c r="LZW116" s="189"/>
      <c r="LZX116" s="189"/>
      <c r="LZY116" s="189"/>
      <c r="LZZ116" s="189"/>
      <c r="MAA116" s="189"/>
      <c r="MAB116" s="189"/>
      <c r="MAC116" s="189"/>
      <c r="MAD116" s="189"/>
      <c r="MAE116" s="189"/>
      <c r="MAF116" s="189"/>
      <c r="MAG116" s="189"/>
      <c r="MAH116" s="189"/>
      <c r="MAI116" s="189"/>
      <c r="MAJ116" s="189"/>
      <c r="MAK116" s="189"/>
      <c r="MAL116" s="189"/>
      <c r="MAM116" s="189"/>
      <c r="MAN116" s="189"/>
      <c r="MAO116" s="189"/>
      <c r="MAP116" s="189"/>
      <c r="MAQ116" s="189"/>
      <c r="MAR116" s="189"/>
      <c r="MAS116" s="189"/>
      <c r="MAT116" s="189"/>
      <c r="MAU116" s="189"/>
      <c r="MAV116" s="189"/>
      <c r="MAW116" s="189"/>
      <c r="MAX116" s="189"/>
      <c r="MAY116" s="189"/>
      <c r="MAZ116" s="189"/>
      <c r="MBA116" s="189"/>
      <c r="MBB116" s="189"/>
      <c r="MBC116" s="189"/>
      <c r="MBD116" s="189"/>
      <c r="MBE116" s="189"/>
      <c r="MBF116" s="189"/>
      <c r="MBG116" s="189"/>
      <c r="MBH116" s="189"/>
      <c r="MBI116" s="189"/>
      <c r="MBJ116" s="189"/>
      <c r="MBK116" s="189"/>
      <c r="MBL116" s="189"/>
      <c r="MBM116" s="189"/>
      <c r="MBN116" s="189"/>
      <c r="MBO116" s="189"/>
      <c r="MBP116" s="189"/>
      <c r="MBQ116" s="189"/>
      <c r="MBR116" s="189"/>
      <c r="MBS116" s="189"/>
      <c r="MBT116" s="189"/>
      <c r="MBU116" s="189"/>
      <c r="MBV116" s="189"/>
      <c r="MBW116" s="189"/>
      <c r="MBX116" s="189"/>
      <c r="MBY116" s="189"/>
      <c r="MBZ116" s="189"/>
      <c r="MCA116" s="189"/>
      <c r="MCB116" s="189"/>
      <c r="MCC116" s="189"/>
      <c r="MCD116" s="189"/>
      <c r="MCE116" s="189"/>
      <c r="MCF116" s="189"/>
      <c r="MCG116" s="189"/>
      <c r="MCH116" s="189"/>
      <c r="MCI116" s="189"/>
      <c r="MCJ116" s="189"/>
      <c r="MCK116" s="189"/>
      <c r="MCL116" s="189"/>
      <c r="MCM116" s="189"/>
      <c r="MCN116" s="189"/>
      <c r="MCO116" s="189"/>
      <c r="MCP116" s="189"/>
      <c r="MCQ116" s="189"/>
      <c r="MCR116" s="189"/>
      <c r="MCS116" s="189"/>
      <c r="MCT116" s="189"/>
      <c r="MCU116" s="189"/>
      <c r="MCV116" s="189"/>
      <c r="MCW116" s="189"/>
      <c r="MCX116" s="189"/>
      <c r="MCY116" s="189"/>
      <c r="MCZ116" s="189"/>
      <c r="MDA116" s="189"/>
      <c r="MDB116" s="189"/>
      <c r="MDC116" s="189"/>
      <c r="MDD116" s="189"/>
      <c r="MDE116" s="189"/>
      <c r="MDF116" s="189"/>
      <c r="MDG116" s="189"/>
      <c r="MDH116" s="189"/>
      <c r="MDI116" s="189"/>
      <c r="MDJ116" s="189"/>
      <c r="MDK116" s="189"/>
      <c r="MDL116" s="189"/>
      <c r="MDM116" s="189"/>
      <c r="MDN116" s="189"/>
      <c r="MDO116" s="189"/>
      <c r="MDP116" s="189"/>
      <c r="MDQ116" s="189"/>
      <c r="MDR116" s="189"/>
      <c r="MDS116" s="189"/>
      <c r="MDT116" s="189"/>
      <c r="MDU116" s="189"/>
      <c r="MDV116" s="189"/>
      <c r="MDW116" s="189"/>
      <c r="MDX116" s="189"/>
      <c r="MDY116" s="189"/>
      <c r="MDZ116" s="189"/>
      <c r="MEA116" s="189"/>
      <c r="MEB116" s="189"/>
      <c r="MEC116" s="189"/>
      <c r="MED116" s="189"/>
      <c r="MEE116" s="189"/>
      <c r="MEF116" s="189"/>
      <c r="MEG116" s="189"/>
      <c r="MEH116" s="189"/>
      <c r="MEI116" s="189"/>
      <c r="MEJ116" s="189"/>
      <c r="MEK116" s="189"/>
      <c r="MEL116" s="189"/>
      <c r="MEM116" s="189"/>
      <c r="MEN116" s="189"/>
      <c r="MEO116" s="189"/>
      <c r="MEP116" s="189"/>
      <c r="MEQ116" s="189"/>
      <c r="MER116" s="189"/>
      <c r="MES116" s="189"/>
      <c r="MET116" s="189"/>
      <c r="MEU116" s="189"/>
      <c r="MEV116" s="189"/>
      <c r="MEW116" s="189"/>
      <c r="MEX116" s="189"/>
      <c r="MEY116" s="189"/>
      <c r="MEZ116" s="189"/>
      <c r="MFA116" s="189"/>
      <c r="MFB116" s="189"/>
      <c r="MFC116" s="189"/>
      <c r="MFD116" s="189"/>
      <c r="MFE116" s="189"/>
      <c r="MFF116" s="189"/>
      <c r="MFG116" s="189"/>
      <c r="MFH116" s="189"/>
      <c r="MFI116" s="189"/>
      <c r="MFJ116" s="189"/>
      <c r="MFK116" s="189"/>
      <c r="MFL116" s="189"/>
      <c r="MFM116" s="189"/>
      <c r="MFN116" s="189"/>
      <c r="MFO116" s="189"/>
      <c r="MFP116" s="189"/>
      <c r="MFQ116" s="189"/>
      <c r="MFR116" s="189"/>
      <c r="MFS116" s="189"/>
      <c r="MFT116" s="189"/>
      <c r="MFU116" s="189"/>
      <c r="MFV116" s="189"/>
      <c r="MFW116" s="189"/>
      <c r="MFX116" s="189"/>
      <c r="MFY116" s="189"/>
      <c r="MFZ116" s="189"/>
      <c r="MGA116" s="189"/>
      <c r="MGB116" s="189"/>
      <c r="MGC116" s="189"/>
      <c r="MGD116" s="189"/>
      <c r="MGE116" s="189"/>
      <c r="MGF116" s="189"/>
      <c r="MGG116" s="189"/>
      <c r="MGH116" s="189"/>
      <c r="MGI116" s="189"/>
      <c r="MGJ116" s="189"/>
      <c r="MGK116" s="189"/>
      <c r="MGL116" s="189"/>
      <c r="MGM116" s="189"/>
      <c r="MGN116" s="189"/>
      <c r="MGO116" s="189"/>
      <c r="MGP116" s="189"/>
      <c r="MGQ116" s="189"/>
      <c r="MGR116" s="189"/>
      <c r="MGS116" s="189"/>
      <c r="MGT116" s="189"/>
      <c r="MGU116" s="189"/>
      <c r="MGV116" s="189"/>
      <c r="MGW116" s="189"/>
      <c r="MGX116" s="189"/>
      <c r="MGY116" s="189"/>
      <c r="MGZ116" s="189"/>
      <c r="MHA116" s="189"/>
      <c r="MHB116" s="189"/>
      <c r="MHC116" s="189"/>
      <c r="MHD116" s="189"/>
      <c r="MHE116" s="189"/>
      <c r="MHF116" s="189"/>
      <c r="MHG116" s="189"/>
      <c r="MHH116" s="189"/>
      <c r="MHI116" s="189"/>
      <c r="MHJ116" s="189"/>
      <c r="MHK116" s="189"/>
      <c r="MHL116" s="189"/>
      <c r="MHM116" s="189"/>
      <c r="MHN116" s="189"/>
      <c r="MHO116" s="189"/>
      <c r="MHP116" s="189"/>
      <c r="MHQ116" s="189"/>
      <c r="MHR116" s="189"/>
      <c r="MHS116" s="189"/>
      <c r="MHT116" s="189"/>
      <c r="MHU116" s="189"/>
      <c r="MHV116" s="189"/>
      <c r="MHW116" s="189"/>
      <c r="MHX116" s="189"/>
      <c r="MHY116" s="189"/>
      <c r="MHZ116" s="189"/>
      <c r="MIA116" s="189"/>
      <c r="MIB116" s="189"/>
      <c r="MIC116" s="189"/>
      <c r="MID116" s="189"/>
      <c r="MIE116" s="189"/>
      <c r="MIF116" s="189"/>
      <c r="MIG116" s="189"/>
      <c r="MIH116" s="189"/>
      <c r="MII116" s="189"/>
      <c r="MIJ116" s="189"/>
      <c r="MIK116" s="189"/>
      <c r="MIL116" s="189"/>
      <c r="MIM116" s="189"/>
      <c r="MIN116" s="189"/>
      <c r="MIO116" s="189"/>
      <c r="MIP116" s="189"/>
      <c r="MIQ116" s="189"/>
      <c r="MIR116" s="189"/>
      <c r="MIS116" s="189"/>
      <c r="MIT116" s="189"/>
      <c r="MIU116" s="189"/>
      <c r="MIV116" s="189"/>
      <c r="MIW116" s="189"/>
      <c r="MIX116" s="189"/>
      <c r="MIY116" s="189"/>
      <c r="MIZ116" s="189"/>
      <c r="MJA116" s="189"/>
      <c r="MJB116" s="189"/>
      <c r="MJC116" s="189"/>
      <c r="MJD116" s="189"/>
      <c r="MJE116" s="189"/>
      <c r="MJF116" s="189"/>
      <c r="MJG116" s="189"/>
      <c r="MJH116" s="189"/>
      <c r="MJI116" s="189"/>
      <c r="MJJ116" s="189"/>
      <c r="MJK116" s="189"/>
      <c r="MJL116" s="189"/>
      <c r="MJM116" s="189"/>
      <c r="MJN116" s="189"/>
      <c r="MJO116" s="189"/>
      <c r="MJP116" s="189"/>
      <c r="MJQ116" s="189"/>
      <c r="MJR116" s="189"/>
      <c r="MJS116" s="189"/>
      <c r="MJT116" s="189"/>
      <c r="MJU116" s="189"/>
      <c r="MJV116" s="189"/>
      <c r="MJW116" s="189"/>
      <c r="MJX116" s="189"/>
      <c r="MJY116" s="189"/>
      <c r="MJZ116" s="189"/>
      <c r="MKA116" s="189"/>
      <c r="MKB116" s="189"/>
      <c r="MKC116" s="189"/>
      <c r="MKD116" s="189"/>
      <c r="MKE116" s="189"/>
      <c r="MKF116" s="189"/>
      <c r="MKG116" s="189"/>
      <c r="MKH116" s="189"/>
      <c r="MKI116" s="189"/>
      <c r="MKJ116" s="189"/>
      <c r="MKK116" s="189"/>
      <c r="MKL116" s="189"/>
      <c r="MKM116" s="189"/>
      <c r="MKN116" s="189"/>
      <c r="MKO116" s="189"/>
      <c r="MKP116" s="189"/>
      <c r="MKQ116" s="189"/>
      <c r="MKR116" s="189"/>
      <c r="MKS116" s="189"/>
      <c r="MKT116" s="189"/>
      <c r="MKU116" s="189"/>
      <c r="MKV116" s="189"/>
      <c r="MKW116" s="189"/>
      <c r="MKX116" s="189"/>
      <c r="MKY116" s="189"/>
      <c r="MKZ116" s="189"/>
      <c r="MLA116" s="189"/>
      <c r="MLB116" s="189"/>
      <c r="MLC116" s="189"/>
      <c r="MLD116" s="189"/>
      <c r="MLE116" s="189"/>
      <c r="MLF116" s="189"/>
      <c r="MLG116" s="189"/>
      <c r="MLH116" s="189"/>
      <c r="MLI116" s="189"/>
      <c r="MLJ116" s="189"/>
      <c r="MLK116" s="189"/>
      <c r="MLL116" s="189"/>
      <c r="MLM116" s="189"/>
      <c r="MLN116" s="189"/>
      <c r="MLO116" s="189"/>
      <c r="MLP116" s="189"/>
      <c r="MLQ116" s="189"/>
      <c r="MLR116" s="189"/>
      <c r="MLS116" s="189"/>
      <c r="MLT116" s="189"/>
      <c r="MLU116" s="189"/>
      <c r="MLV116" s="189"/>
      <c r="MLW116" s="189"/>
      <c r="MLX116" s="189"/>
      <c r="MLY116" s="189"/>
      <c r="MLZ116" s="189"/>
      <c r="MMA116" s="189"/>
      <c r="MMB116" s="189"/>
      <c r="MMC116" s="189"/>
      <c r="MMD116" s="189"/>
      <c r="MME116" s="189"/>
      <c r="MMF116" s="189"/>
      <c r="MMG116" s="189"/>
      <c r="MMH116" s="189"/>
      <c r="MMI116" s="189"/>
      <c r="MMJ116" s="189"/>
      <c r="MMK116" s="189"/>
      <c r="MML116" s="189"/>
      <c r="MMM116" s="189"/>
      <c r="MMN116" s="189"/>
      <c r="MMO116" s="189"/>
      <c r="MMP116" s="189"/>
      <c r="MMQ116" s="189"/>
      <c r="MMR116" s="189"/>
      <c r="MMS116" s="189"/>
      <c r="MMT116" s="189"/>
      <c r="MMU116" s="189"/>
      <c r="MMV116" s="189"/>
      <c r="MMW116" s="189"/>
      <c r="MMX116" s="189"/>
      <c r="MMY116" s="189"/>
      <c r="MMZ116" s="189"/>
      <c r="MNA116" s="189"/>
      <c r="MNB116" s="189"/>
      <c r="MNC116" s="189"/>
      <c r="MND116" s="189"/>
      <c r="MNE116" s="189"/>
      <c r="MNF116" s="189"/>
      <c r="MNG116" s="189"/>
      <c r="MNH116" s="189"/>
      <c r="MNI116" s="189"/>
      <c r="MNJ116" s="189"/>
      <c r="MNK116" s="189"/>
      <c r="MNL116" s="189"/>
      <c r="MNM116" s="189"/>
      <c r="MNN116" s="189"/>
      <c r="MNO116" s="189"/>
      <c r="MNP116" s="189"/>
      <c r="MNQ116" s="189"/>
      <c r="MNR116" s="189"/>
      <c r="MNS116" s="189"/>
      <c r="MNT116" s="189"/>
      <c r="MNU116" s="189"/>
      <c r="MNV116" s="189"/>
      <c r="MNW116" s="189"/>
      <c r="MNX116" s="189"/>
      <c r="MNY116" s="189"/>
      <c r="MNZ116" s="189"/>
      <c r="MOA116" s="189"/>
      <c r="MOB116" s="189"/>
      <c r="MOC116" s="189"/>
      <c r="MOD116" s="189"/>
      <c r="MOE116" s="189"/>
      <c r="MOF116" s="189"/>
      <c r="MOG116" s="189"/>
      <c r="MOH116" s="189"/>
      <c r="MOI116" s="189"/>
      <c r="MOJ116" s="189"/>
      <c r="MOK116" s="189"/>
      <c r="MOL116" s="189"/>
      <c r="MOM116" s="189"/>
      <c r="MON116" s="189"/>
      <c r="MOO116" s="189"/>
      <c r="MOP116" s="189"/>
      <c r="MOQ116" s="189"/>
      <c r="MOR116" s="189"/>
      <c r="MOS116" s="189"/>
      <c r="MOT116" s="189"/>
      <c r="MOU116" s="189"/>
      <c r="MOV116" s="189"/>
      <c r="MOW116" s="189"/>
      <c r="MOX116" s="189"/>
      <c r="MOY116" s="189"/>
      <c r="MOZ116" s="189"/>
      <c r="MPA116" s="189"/>
      <c r="MPB116" s="189"/>
      <c r="MPC116" s="189"/>
      <c r="MPD116" s="189"/>
      <c r="MPE116" s="189"/>
      <c r="MPF116" s="189"/>
      <c r="MPG116" s="189"/>
      <c r="MPH116" s="189"/>
      <c r="MPI116" s="189"/>
      <c r="MPJ116" s="189"/>
      <c r="MPK116" s="189"/>
      <c r="MPL116" s="189"/>
      <c r="MPM116" s="189"/>
      <c r="MPN116" s="189"/>
      <c r="MPO116" s="189"/>
      <c r="MPP116" s="189"/>
      <c r="MPQ116" s="189"/>
      <c r="MPR116" s="189"/>
      <c r="MPS116" s="189"/>
      <c r="MPT116" s="189"/>
      <c r="MPU116" s="189"/>
      <c r="MPV116" s="189"/>
      <c r="MPW116" s="189"/>
      <c r="MPX116" s="189"/>
      <c r="MPY116" s="189"/>
      <c r="MPZ116" s="189"/>
      <c r="MQA116" s="189"/>
      <c r="MQB116" s="189"/>
      <c r="MQC116" s="189"/>
      <c r="MQD116" s="189"/>
      <c r="MQE116" s="189"/>
      <c r="MQF116" s="189"/>
      <c r="MQG116" s="189"/>
      <c r="MQH116" s="189"/>
      <c r="MQI116" s="189"/>
      <c r="MQJ116" s="189"/>
      <c r="MQK116" s="189"/>
      <c r="MQL116" s="189"/>
      <c r="MQM116" s="189"/>
      <c r="MQN116" s="189"/>
      <c r="MQO116" s="189"/>
      <c r="MQP116" s="189"/>
      <c r="MQQ116" s="189"/>
      <c r="MQR116" s="189"/>
      <c r="MQS116" s="189"/>
      <c r="MQT116" s="189"/>
      <c r="MQU116" s="189"/>
      <c r="MQV116" s="189"/>
      <c r="MQW116" s="189"/>
      <c r="MQX116" s="189"/>
      <c r="MQY116" s="189"/>
      <c r="MQZ116" s="189"/>
      <c r="MRA116" s="189"/>
      <c r="MRB116" s="189"/>
      <c r="MRC116" s="189"/>
      <c r="MRD116" s="189"/>
      <c r="MRE116" s="189"/>
      <c r="MRF116" s="189"/>
      <c r="MRG116" s="189"/>
      <c r="MRH116" s="189"/>
      <c r="MRI116" s="189"/>
      <c r="MRJ116" s="189"/>
      <c r="MRK116" s="189"/>
      <c r="MRL116" s="189"/>
      <c r="MRM116" s="189"/>
      <c r="MRN116" s="189"/>
      <c r="MRO116" s="189"/>
      <c r="MRP116" s="189"/>
      <c r="MRQ116" s="189"/>
      <c r="MRR116" s="189"/>
      <c r="MRS116" s="189"/>
      <c r="MRT116" s="189"/>
      <c r="MRU116" s="189"/>
      <c r="MRV116" s="189"/>
      <c r="MRW116" s="189"/>
      <c r="MRX116" s="189"/>
      <c r="MRY116" s="189"/>
      <c r="MRZ116" s="189"/>
      <c r="MSA116" s="189"/>
      <c r="MSB116" s="189"/>
      <c r="MSC116" s="189"/>
      <c r="MSD116" s="189"/>
      <c r="MSE116" s="189"/>
      <c r="MSF116" s="189"/>
      <c r="MSG116" s="189"/>
      <c r="MSH116" s="189"/>
      <c r="MSI116" s="189"/>
      <c r="MSJ116" s="189"/>
      <c r="MSK116" s="189"/>
      <c r="MSL116" s="189"/>
      <c r="MSM116" s="189"/>
      <c r="MSN116" s="189"/>
      <c r="MSO116" s="189"/>
      <c r="MSP116" s="189"/>
      <c r="MSQ116" s="189"/>
      <c r="MSR116" s="189"/>
      <c r="MSS116" s="189"/>
      <c r="MST116" s="189"/>
      <c r="MSU116" s="189"/>
      <c r="MSV116" s="189"/>
      <c r="MSW116" s="189"/>
      <c r="MSX116" s="189"/>
      <c r="MSY116" s="189"/>
      <c r="MSZ116" s="189"/>
      <c r="MTA116" s="189"/>
      <c r="MTB116" s="189"/>
      <c r="MTC116" s="189"/>
      <c r="MTD116" s="189"/>
      <c r="MTE116" s="189"/>
      <c r="MTF116" s="189"/>
      <c r="MTG116" s="189"/>
      <c r="MTH116" s="189"/>
      <c r="MTI116" s="189"/>
      <c r="MTJ116" s="189"/>
      <c r="MTK116" s="189"/>
      <c r="MTL116" s="189"/>
      <c r="MTM116" s="189"/>
      <c r="MTN116" s="189"/>
      <c r="MTO116" s="189"/>
      <c r="MTP116" s="189"/>
      <c r="MTQ116" s="189"/>
      <c r="MTR116" s="189"/>
      <c r="MTS116" s="189"/>
      <c r="MTT116" s="189"/>
      <c r="MTU116" s="189"/>
      <c r="MTV116" s="189"/>
      <c r="MTW116" s="189"/>
      <c r="MTX116" s="189"/>
      <c r="MTY116" s="189"/>
      <c r="MTZ116" s="189"/>
      <c r="MUA116" s="189"/>
      <c r="MUB116" s="189"/>
      <c r="MUC116" s="189"/>
      <c r="MUD116" s="189"/>
      <c r="MUE116" s="189"/>
      <c r="MUF116" s="189"/>
      <c r="MUG116" s="189"/>
      <c r="MUH116" s="189"/>
      <c r="MUI116" s="189"/>
      <c r="MUJ116" s="189"/>
      <c r="MUK116" s="189"/>
      <c r="MUL116" s="189"/>
      <c r="MUM116" s="189"/>
      <c r="MUN116" s="189"/>
      <c r="MUO116" s="189"/>
      <c r="MUP116" s="189"/>
      <c r="MUQ116" s="189"/>
      <c r="MUR116" s="189"/>
      <c r="MUS116" s="189"/>
      <c r="MUT116" s="189"/>
      <c r="MUU116" s="189"/>
      <c r="MUV116" s="189"/>
      <c r="MUW116" s="189"/>
      <c r="MUX116" s="189"/>
      <c r="MUY116" s="189"/>
      <c r="MUZ116" s="189"/>
      <c r="MVA116" s="189"/>
      <c r="MVB116" s="189"/>
      <c r="MVC116" s="189"/>
      <c r="MVD116" s="189"/>
      <c r="MVE116" s="189"/>
      <c r="MVF116" s="189"/>
      <c r="MVG116" s="189"/>
      <c r="MVH116" s="189"/>
      <c r="MVI116" s="189"/>
      <c r="MVJ116" s="189"/>
      <c r="MVK116" s="189"/>
      <c r="MVL116" s="189"/>
      <c r="MVM116" s="189"/>
      <c r="MVN116" s="189"/>
      <c r="MVO116" s="189"/>
      <c r="MVP116" s="189"/>
      <c r="MVQ116" s="189"/>
      <c r="MVR116" s="189"/>
      <c r="MVS116" s="189"/>
      <c r="MVT116" s="189"/>
      <c r="MVU116" s="189"/>
      <c r="MVV116" s="189"/>
      <c r="MVW116" s="189"/>
      <c r="MVX116" s="189"/>
      <c r="MVY116" s="189"/>
      <c r="MVZ116" s="189"/>
      <c r="MWA116" s="189"/>
      <c r="MWB116" s="189"/>
      <c r="MWC116" s="189"/>
      <c r="MWD116" s="189"/>
      <c r="MWE116" s="189"/>
      <c r="MWF116" s="189"/>
      <c r="MWG116" s="189"/>
      <c r="MWH116" s="189"/>
      <c r="MWI116" s="189"/>
      <c r="MWJ116" s="189"/>
      <c r="MWK116" s="189"/>
      <c r="MWL116" s="189"/>
      <c r="MWM116" s="189"/>
      <c r="MWN116" s="189"/>
      <c r="MWO116" s="189"/>
      <c r="MWP116" s="189"/>
      <c r="MWQ116" s="189"/>
      <c r="MWR116" s="189"/>
      <c r="MWS116" s="189"/>
      <c r="MWT116" s="189"/>
      <c r="MWU116" s="189"/>
      <c r="MWV116" s="189"/>
      <c r="MWW116" s="189"/>
      <c r="MWX116" s="189"/>
      <c r="MWY116" s="189"/>
      <c r="MWZ116" s="189"/>
      <c r="MXA116" s="189"/>
      <c r="MXB116" s="189"/>
      <c r="MXC116" s="189"/>
      <c r="MXD116" s="189"/>
      <c r="MXE116" s="189"/>
      <c r="MXF116" s="189"/>
      <c r="MXG116" s="189"/>
      <c r="MXH116" s="189"/>
      <c r="MXI116" s="189"/>
      <c r="MXJ116" s="189"/>
      <c r="MXK116" s="189"/>
      <c r="MXL116" s="189"/>
      <c r="MXM116" s="189"/>
      <c r="MXN116" s="189"/>
      <c r="MXO116" s="189"/>
      <c r="MXP116" s="189"/>
      <c r="MXQ116" s="189"/>
      <c r="MXR116" s="189"/>
      <c r="MXS116" s="189"/>
      <c r="MXT116" s="189"/>
      <c r="MXU116" s="189"/>
      <c r="MXV116" s="189"/>
      <c r="MXW116" s="189"/>
      <c r="MXX116" s="189"/>
      <c r="MXY116" s="189"/>
      <c r="MXZ116" s="189"/>
      <c r="MYA116" s="189"/>
      <c r="MYB116" s="189"/>
      <c r="MYC116" s="189"/>
      <c r="MYD116" s="189"/>
      <c r="MYE116" s="189"/>
      <c r="MYF116" s="189"/>
      <c r="MYG116" s="189"/>
      <c r="MYH116" s="189"/>
      <c r="MYI116" s="189"/>
      <c r="MYJ116" s="189"/>
      <c r="MYK116" s="189"/>
      <c r="MYL116" s="189"/>
      <c r="MYM116" s="189"/>
      <c r="MYN116" s="189"/>
      <c r="MYO116" s="189"/>
      <c r="MYP116" s="189"/>
      <c r="MYQ116" s="189"/>
      <c r="MYR116" s="189"/>
      <c r="MYS116" s="189"/>
      <c r="MYT116" s="189"/>
      <c r="MYU116" s="189"/>
      <c r="MYV116" s="189"/>
      <c r="MYW116" s="189"/>
      <c r="MYX116" s="189"/>
      <c r="MYY116" s="189"/>
      <c r="MYZ116" s="189"/>
      <c r="MZA116" s="189"/>
      <c r="MZB116" s="189"/>
      <c r="MZC116" s="189"/>
      <c r="MZD116" s="189"/>
      <c r="MZE116" s="189"/>
      <c r="MZF116" s="189"/>
      <c r="MZG116" s="189"/>
      <c r="MZH116" s="189"/>
      <c r="MZI116" s="189"/>
      <c r="MZJ116" s="189"/>
      <c r="MZK116" s="189"/>
      <c r="MZL116" s="189"/>
      <c r="MZM116" s="189"/>
      <c r="MZN116" s="189"/>
      <c r="MZO116" s="189"/>
      <c r="MZP116" s="189"/>
      <c r="MZQ116" s="189"/>
      <c r="MZR116" s="189"/>
      <c r="MZS116" s="189"/>
      <c r="MZT116" s="189"/>
      <c r="MZU116" s="189"/>
      <c r="MZV116" s="189"/>
      <c r="MZW116" s="189"/>
      <c r="MZX116" s="189"/>
      <c r="MZY116" s="189"/>
      <c r="MZZ116" s="189"/>
      <c r="NAA116" s="189"/>
      <c r="NAB116" s="189"/>
      <c r="NAC116" s="189"/>
      <c r="NAD116" s="189"/>
      <c r="NAE116" s="189"/>
      <c r="NAF116" s="189"/>
      <c r="NAG116" s="189"/>
      <c r="NAH116" s="189"/>
      <c r="NAI116" s="189"/>
      <c r="NAJ116" s="189"/>
      <c r="NAK116" s="189"/>
      <c r="NAL116" s="189"/>
      <c r="NAM116" s="189"/>
      <c r="NAN116" s="189"/>
      <c r="NAO116" s="189"/>
      <c r="NAP116" s="189"/>
      <c r="NAQ116" s="189"/>
      <c r="NAR116" s="189"/>
      <c r="NAS116" s="189"/>
      <c r="NAT116" s="189"/>
      <c r="NAU116" s="189"/>
      <c r="NAV116" s="189"/>
      <c r="NAW116" s="189"/>
      <c r="NAX116" s="189"/>
      <c r="NAY116" s="189"/>
      <c r="NAZ116" s="189"/>
      <c r="NBA116" s="189"/>
      <c r="NBB116" s="189"/>
      <c r="NBC116" s="189"/>
      <c r="NBD116" s="189"/>
      <c r="NBE116" s="189"/>
      <c r="NBF116" s="189"/>
      <c r="NBG116" s="189"/>
      <c r="NBH116" s="189"/>
      <c r="NBI116" s="189"/>
      <c r="NBJ116" s="189"/>
      <c r="NBK116" s="189"/>
      <c r="NBL116" s="189"/>
      <c r="NBM116" s="189"/>
      <c r="NBN116" s="189"/>
      <c r="NBO116" s="189"/>
      <c r="NBP116" s="189"/>
      <c r="NBQ116" s="189"/>
      <c r="NBR116" s="189"/>
      <c r="NBS116" s="189"/>
      <c r="NBT116" s="189"/>
      <c r="NBU116" s="189"/>
      <c r="NBV116" s="189"/>
      <c r="NBW116" s="189"/>
      <c r="NBX116" s="189"/>
      <c r="NBY116" s="189"/>
      <c r="NBZ116" s="189"/>
      <c r="NCA116" s="189"/>
      <c r="NCB116" s="189"/>
      <c r="NCC116" s="189"/>
      <c r="NCD116" s="189"/>
      <c r="NCE116" s="189"/>
      <c r="NCF116" s="189"/>
      <c r="NCG116" s="189"/>
      <c r="NCH116" s="189"/>
      <c r="NCI116" s="189"/>
      <c r="NCJ116" s="189"/>
      <c r="NCK116" s="189"/>
      <c r="NCL116" s="189"/>
      <c r="NCM116" s="189"/>
      <c r="NCN116" s="189"/>
      <c r="NCO116" s="189"/>
      <c r="NCP116" s="189"/>
      <c r="NCQ116" s="189"/>
      <c r="NCR116" s="189"/>
      <c r="NCS116" s="189"/>
      <c r="NCT116" s="189"/>
      <c r="NCU116" s="189"/>
      <c r="NCV116" s="189"/>
      <c r="NCW116" s="189"/>
      <c r="NCX116" s="189"/>
      <c r="NCY116" s="189"/>
      <c r="NCZ116" s="189"/>
      <c r="NDA116" s="189"/>
      <c r="NDB116" s="189"/>
      <c r="NDC116" s="189"/>
      <c r="NDD116" s="189"/>
      <c r="NDE116" s="189"/>
      <c r="NDF116" s="189"/>
      <c r="NDG116" s="189"/>
      <c r="NDH116" s="189"/>
      <c r="NDI116" s="189"/>
      <c r="NDJ116" s="189"/>
      <c r="NDK116" s="189"/>
      <c r="NDL116" s="189"/>
      <c r="NDM116" s="189"/>
      <c r="NDN116" s="189"/>
      <c r="NDO116" s="189"/>
      <c r="NDP116" s="189"/>
      <c r="NDQ116" s="189"/>
      <c r="NDR116" s="189"/>
      <c r="NDS116" s="189"/>
      <c r="NDT116" s="189"/>
      <c r="NDU116" s="189"/>
      <c r="NDV116" s="189"/>
      <c r="NDW116" s="189"/>
      <c r="NDX116" s="189"/>
      <c r="NDY116" s="189"/>
      <c r="NDZ116" s="189"/>
      <c r="NEA116" s="189"/>
      <c r="NEB116" s="189"/>
      <c r="NEC116" s="189"/>
      <c r="NED116" s="189"/>
      <c r="NEE116" s="189"/>
      <c r="NEF116" s="189"/>
      <c r="NEG116" s="189"/>
      <c r="NEH116" s="189"/>
      <c r="NEI116" s="189"/>
      <c r="NEJ116" s="189"/>
      <c r="NEK116" s="189"/>
      <c r="NEL116" s="189"/>
      <c r="NEM116" s="189"/>
      <c r="NEN116" s="189"/>
      <c r="NEO116" s="189"/>
      <c r="NEP116" s="189"/>
      <c r="NEQ116" s="189"/>
      <c r="NER116" s="189"/>
      <c r="NES116" s="189"/>
      <c r="NET116" s="189"/>
      <c r="NEU116" s="189"/>
      <c r="NEV116" s="189"/>
      <c r="NEW116" s="189"/>
      <c r="NEX116" s="189"/>
      <c r="NEY116" s="189"/>
      <c r="NEZ116" s="189"/>
      <c r="NFA116" s="189"/>
      <c r="NFB116" s="189"/>
      <c r="NFC116" s="189"/>
      <c r="NFD116" s="189"/>
      <c r="NFE116" s="189"/>
      <c r="NFF116" s="189"/>
      <c r="NFG116" s="189"/>
      <c r="NFH116" s="189"/>
      <c r="NFI116" s="189"/>
      <c r="NFJ116" s="189"/>
      <c r="NFK116" s="189"/>
      <c r="NFL116" s="189"/>
      <c r="NFM116" s="189"/>
      <c r="NFN116" s="189"/>
      <c r="NFO116" s="189"/>
      <c r="NFP116" s="189"/>
      <c r="NFQ116" s="189"/>
      <c r="NFR116" s="189"/>
      <c r="NFS116" s="189"/>
      <c r="NFT116" s="189"/>
      <c r="NFU116" s="189"/>
      <c r="NFV116" s="189"/>
      <c r="NFW116" s="189"/>
      <c r="NFX116" s="189"/>
      <c r="NFY116" s="189"/>
      <c r="NFZ116" s="189"/>
      <c r="NGA116" s="189"/>
      <c r="NGB116" s="189"/>
      <c r="NGC116" s="189"/>
      <c r="NGD116" s="189"/>
      <c r="NGE116" s="189"/>
      <c r="NGF116" s="189"/>
      <c r="NGG116" s="189"/>
      <c r="NGH116" s="189"/>
      <c r="NGI116" s="189"/>
      <c r="NGJ116" s="189"/>
      <c r="NGK116" s="189"/>
      <c r="NGL116" s="189"/>
      <c r="NGM116" s="189"/>
      <c r="NGN116" s="189"/>
      <c r="NGO116" s="189"/>
      <c r="NGP116" s="189"/>
      <c r="NGQ116" s="189"/>
      <c r="NGR116" s="189"/>
      <c r="NGS116" s="189"/>
      <c r="NGT116" s="189"/>
      <c r="NGU116" s="189"/>
      <c r="NGV116" s="189"/>
      <c r="NGW116" s="189"/>
      <c r="NGX116" s="189"/>
      <c r="NGY116" s="189"/>
      <c r="NGZ116" s="189"/>
      <c r="NHA116" s="189"/>
      <c r="NHB116" s="189"/>
      <c r="NHC116" s="189"/>
      <c r="NHD116" s="189"/>
      <c r="NHE116" s="189"/>
      <c r="NHF116" s="189"/>
      <c r="NHG116" s="189"/>
      <c r="NHH116" s="189"/>
      <c r="NHI116" s="189"/>
      <c r="NHJ116" s="189"/>
      <c r="NHK116" s="189"/>
      <c r="NHL116" s="189"/>
      <c r="NHM116" s="189"/>
      <c r="NHN116" s="189"/>
      <c r="NHO116" s="189"/>
      <c r="NHP116" s="189"/>
      <c r="NHQ116" s="189"/>
      <c r="NHR116" s="189"/>
      <c r="NHS116" s="189"/>
      <c r="NHT116" s="189"/>
      <c r="NHU116" s="189"/>
      <c r="NHV116" s="189"/>
      <c r="NHW116" s="189"/>
      <c r="NHX116" s="189"/>
      <c r="NHY116" s="189"/>
      <c r="NHZ116" s="189"/>
      <c r="NIA116" s="189"/>
      <c r="NIB116" s="189"/>
      <c r="NIC116" s="189"/>
      <c r="NID116" s="189"/>
      <c r="NIE116" s="189"/>
      <c r="NIF116" s="189"/>
      <c r="NIG116" s="189"/>
      <c r="NIH116" s="189"/>
      <c r="NII116" s="189"/>
      <c r="NIJ116" s="189"/>
      <c r="NIK116" s="189"/>
      <c r="NIL116" s="189"/>
      <c r="NIM116" s="189"/>
      <c r="NIN116" s="189"/>
      <c r="NIO116" s="189"/>
      <c r="NIP116" s="189"/>
      <c r="NIQ116" s="189"/>
      <c r="NIR116" s="189"/>
      <c r="NIS116" s="189"/>
      <c r="NIT116" s="189"/>
      <c r="NIU116" s="189"/>
      <c r="NIV116" s="189"/>
      <c r="NIW116" s="189"/>
      <c r="NIX116" s="189"/>
      <c r="NIY116" s="189"/>
      <c r="NIZ116" s="189"/>
      <c r="NJA116" s="189"/>
      <c r="NJB116" s="189"/>
      <c r="NJC116" s="189"/>
      <c r="NJD116" s="189"/>
      <c r="NJE116" s="189"/>
      <c r="NJF116" s="189"/>
      <c r="NJG116" s="189"/>
      <c r="NJH116" s="189"/>
      <c r="NJI116" s="189"/>
      <c r="NJJ116" s="189"/>
      <c r="NJK116" s="189"/>
      <c r="NJL116" s="189"/>
      <c r="NJM116" s="189"/>
      <c r="NJN116" s="189"/>
      <c r="NJO116" s="189"/>
      <c r="NJP116" s="189"/>
      <c r="NJQ116" s="189"/>
      <c r="NJR116" s="189"/>
      <c r="NJS116" s="189"/>
      <c r="NJT116" s="189"/>
      <c r="NJU116" s="189"/>
      <c r="NJV116" s="189"/>
      <c r="NJW116" s="189"/>
      <c r="NJX116" s="189"/>
      <c r="NJY116" s="189"/>
      <c r="NJZ116" s="189"/>
      <c r="NKA116" s="189"/>
      <c r="NKB116" s="189"/>
      <c r="NKC116" s="189"/>
      <c r="NKD116" s="189"/>
      <c r="NKE116" s="189"/>
      <c r="NKF116" s="189"/>
      <c r="NKG116" s="189"/>
      <c r="NKH116" s="189"/>
      <c r="NKI116" s="189"/>
      <c r="NKJ116" s="189"/>
      <c r="NKK116" s="189"/>
      <c r="NKL116" s="189"/>
      <c r="NKM116" s="189"/>
      <c r="NKN116" s="189"/>
      <c r="NKO116" s="189"/>
      <c r="NKP116" s="189"/>
      <c r="NKQ116" s="189"/>
      <c r="NKR116" s="189"/>
      <c r="NKS116" s="189"/>
      <c r="NKT116" s="189"/>
      <c r="NKU116" s="189"/>
      <c r="NKV116" s="189"/>
      <c r="NKW116" s="189"/>
      <c r="NKX116" s="189"/>
      <c r="NKY116" s="189"/>
      <c r="NKZ116" s="189"/>
      <c r="NLA116" s="189"/>
      <c r="NLB116" s="189"/>
      <c r="NLC116" s="189"/>
      <c r="NLD116" s="189"/>
      <c r="NLE116" s="189"/>
      <c r="NLF116" s="189"/>
      <c r="NLG116" s="189"/>
      <c r="NLH116" s="189"/>
      <c r="NLI116" s="189"/>
      <c r="NLJ116" s="189"/>
      <c r="NLK116" s="189"/>
      <c r="NLL116" s="189"/>
      <c r="NLM116" s="189"/>
      <c r="NLN116" s="189"/>
      <c r="NLO116" s="189"/>
      <c r="NLP116" s="189"/>
      <c r="NLQ116" s="189"/>
      <c r="NLR116" s="189"/>
      <c r="NLS116" s="189"/>
      <c r="NLT116" s="189"/>
      <c r="NLU116" s="189"/>
      <c r="NLV116" s="189"/>
      <c r="NLW116" s="189"/>
      <c r="NLX116" s="189"/>
      <c r="NLY116" s="189"/>
      <c r="NLZ116" s="189"/>
      <c r="NMA116" s="189"/>
      <c r="NMB116" s="189"/>
      <c r="NMC116" s="189"/>
      <c r="NMD116" s="189"/>
      <c r="NME116" s="189"/>
      <c r="NMF116" s="189"/>
      <c r="NMG116" s="189"/>
      <c r="NMH116" s="189"/>
      <c r="NMI116" s="189"/>
      <c r="NMJ116" s="189"/>
      <c r="NMK116" s="189"/>
      <c r="NML116" s="189"/>
      <c r="NMM116" s="189"/>
      <c r="NMN116" s="189"/>
      <c r="NMO116" s="189"/>
      <c r="NMP116" s="189"/>
      <c r="NMQ116" s="189"/>
      <c r="NMR116" s="189"/>
      <c r="NMS116" s="189"/>
      <c r="NMT116" s="189"/>
      <c r="NMU116" s="189"/>
      <c r="NMV116" s="189"/>
      <c r="NMW116" s="189"/>
      <c r="NMX116" s="189"/>
      <c r="NMY116" s="189"/>
      <c r="NMZ116" s="189"/>
      <c r="NNA116" s="189"/>
      <c r="NNB116" s="189"/>
      <c r="NNC116" s="189"/>
      <c r="NND116" s="189"/>
      <c r="NNE116" s="189"/>
      <c r="NNF116" s="189"/>
      <c r="NNG116" s="189"/>
      <c r="NNH116" s="189"/>
      <c r="NNI116" s="189"/>
      <c r="NNJ116" s="189"/>
      <c r="NNK116" s="189"/>
      <c r="NNL116" s="189"/>
      <c r="NNM116" s="189"/>
      <c r="NNN116" s="189"/>
      <c r="NNO116" s="189"/>
      <c r="NNP116" s="189"/>
      <c r="NNQ116" s="189"/>
      <c r="NNR116" s="189"/>
      <c r="NNS116" s="189"/>
      <c r="NNT116" s="189"/>
      <c r="NNU116" s="189"/>
      <c r="NNV116" s="189"/>
      <c r="NNW116" s="189"/>
      <c r="NNX116" s="189"/>
      <c r="NNY116" s="189"/>
      <c r="NNZ116" s="189"/>
      <c r="NOA116" s="189"/>
      <c r="NOB116" s="189"/>
      <c r="NOC116" s="189"/>
      <c r="NOD116" s="189"/>
      <c r="NOE116" s="189"/>
      <c r="NOF116" s="189"/>
      <c r="NOG116" s="189"/>
      <c r="NOH116" s="189"/>
      <c r="NOI116" s="189"/>
      <c r="NOJ116" s="189"/>
      <c r="NOK116" s="189"/>
      <c r="NOL116" s="189"/>
      <c r="NOM116" s="189"/>
      <c r="NON116" s="189"/>
      <c r="NOO116" s="189"/>
      <c r="NOP116" s="189"/>
      <c r="NOQ116" s="189"/>
      <c r="NOR116" s="189"/>
      <c r="NOS116" s="189"/>
      <c r="NOT116" s="189"/>
      <c r="NOU116" s="189"/>
      <c r="NOV116" s="189"/>
      <c r="NOW116" s="189"/>
      <c r="NOX116" s="189"/>
      <c r="NOY116" s="189"/>
      <c r="NOZ116" s="189"/>
      <c r="NPA116" s="189"/>
      <c r="NPB116" s="189"/>
      <c r="NPC116" s="189"/>
      <c r="NPD116" s="189"/>
      <c r="NPE116" s="189"/>
      <c r="NPF116" s="189"/>
      <c r="NPG116" s="189"/>
      <c r="NPH116" s="189"/>
      <c r="NPI116" s="189"/>
      <c r="NPJ116" s="189"/>
      <c r="NPK116" s="189"/>
      <c r="NPL116" s="189"/>
      <c r="NPM116" s="189"/>
      <c r="NPN116" s="189"/>
      <c r="NPO116" s="189"/>
      <c r="NPP116" s="189"/>
      <c r="NPQ116" s="189"/>
      <c r="NPR116" s="189"/>
      <c r="NPS116" s="189"/>
      <c r="NPT116" s="189"/>
      <c r="NPU116" s="189"/>
      <c r="NPV116" s="189"/>
      <c r="NPW116" s="189"/>
      <c r="NPX116" s="189"/>
      <c r="NPY116" s="189"/>
      <c r="NPZ116" s="189"/>
      <c r="NQA116" s="189"/>
      <c r="NQB116" s="189"/>
      <c r="NQC116" s="189"/>
      <c r="NQD116" s="189"/>
      <c r="NQE116" s="189"/>
      <c r="NQF116" s="189"/>
      <c r="NQG116" s="189"/>
      <c r="NQH116" s="189"/>
      <c r="NQI116" s="189"/>
      <c r="NQJ116" s="189"/>
      <c r="NQK116" s="189"/>
      <c r="NQL116" s="189"/>
      <c r="NQM116" s="189"/>
      <c r="NQN116" s="189"/>
      <c r="NQO116" s="189"/>
      <c r="NQP116" s="189"/>
      <c r="NQQ116" s="189"/>
      <c r="NQR116" s="189"/>
      <c r="NQS116" s="189"/>
      <c r="NQT116" s="189"/>
      <c r="NQU116" s="189"/>
      <c r="NQV116" s="189"/>
      <c r="NQW116" s="189"/>
      <c r="NQX116" s="189"/>
      <c r="NQY116" s="189"/>
      <c r="NQZ116" s="189"/>
      <c r="NRA116" s="189"/>
      <c r="NRB116" s="189"/>
      <c r="NRC116" s="189"/>
      <c r="NRD116" s="189"/>
      <c r="NRE116" s="189"/>
      <c r="NRF116" s="189"/>
      <c r="NRG116" s="189"/>
      <c r="NRH116" s="189"/>
      <c r="NRI116" s="189"/>
      <c r="NRJ116" s="189"/>
      <c r="NRK116" s="189"/>
      <c r="NRL116" s="189"/>
      <c r="NRM116" s="189"/>
      <c r="NRN116" s="189"/>
      <c r="NRO116" s="189"/>
      <c r="NRP116" s="189"/>
      <c r="NRQ116" s="189"/>
      <c r="NRR116" s="189"/>
      <c r="NRS116" s="189"/>
      <c r="NRT116" s="189"/>
      <c r="NRU116" s="189"/>
      <c r="NRV116" s="189"/>
      <c r="NRW116" s="189"/>
      <c r="NRX116" s="189"/>
      <c r="NRY116" s="189"/>
      <c r="NRZ116" s="189"/>
      <c r="NSA116" s="189"/>
      <c r="NSB116" s="189"/>
      <c r="NSC116" s="189"/>
      <c r="NSD116" s="189"/>
      <c r="NSE116" s="189"/>
      <c r="NSF116" s="189"/>
      <c r="NSG116" s="189"/>
      <c r="NSH116" s="189"/>
      <c r="NSI116" s="189"/>
      <c r="NSJ116" s="189"/>
      <c r="NSK116" s="189"/>
      <c r="NSL116" s="189"/>
      <c r="NSM116" s="189"/>
      <c r="NSN116" s="189"/>
      <c r="NSO116" s="189"/>
      <c r="NSP116" s="189"/>
      <c r="NSQ116" s="189"/>
      <c r="NSR116" s="189"/>
      <c r="NSS116" s="189"/>
      <c r="NST116" s="189"/>
      <c r="NSU116" s="189"/>
      <c r="NSV116" s="189"/>
      <c r="NSW116" s="189"/>
      <c r="NSX116" s="189"/>
      <c r="NSY116" s="189"/>
      <c r="NSZ116" s="189"/>
      <c r="NTA116" s="189"/>
      <c r="NTB116" s="189"/>
      <c r="NTC116" s="189"/>
      <c r="NTD116" s="189"/>
      <c r="NTE116" s="189"/>
      <c r="NTF116" s="189"/>
      <c r="NTG116" s="189"/>
      <c r="NTH116" s="189"/>
      <c r="NTI116" s="189"/>
      <c r="NTJ116" s="189"/>
      <c r="NTK116" s="189"/>
      <c r="NTL116" s="189"/>
      <c r="NTM116" s="189"/>
      <c r="NTN116" s="189"/>
      <c r="NTO116" s="189"/>
      <c r="NTP116" s="189"/>
      <c r="NTQ116" s="189"/>
      <c r="NTR116" s="189"/>
      <c r="NTS116" s="189"/>
      <c r="NTT116" s="189"/>
      <c r="NTU116" s="189"/>
      <c r="NTV116" s="189"/>
      <c r="NTW116" s="189"/>
      <c r="NTX116" s="189"/>
      <c r="NTY116" s="189"/>
      <c r="NTZ116" s="189"/>
      <c r="NUA116" s="189"/>
      <c r="NUB116" s="189"/>
      <c r="NUC116" s="189"/>
      <c r="NUD116" s="189"/>
      <c r="NUE116" s="189"/>
      <c r="NUF116" s="189"/>
      <c r="NUG116" s="189"/>
      <c r="NUH116" s="189"/>
      <c r="NUI116" s="189"/>
      <c r="NUJ116" s="189"/>
      <c r="NUK116" s="189"/>
      <c r="NUL116" s="189"/>
      <c r="NUM116" s="189"/>
      <c r="NUN116" s="189"/>
      <c r="NUO116" s="189"/>
      <c r="NUP116" s="189"/>
      <c r="NUQ116" s="189"/>
      <c r="NUR116" s="189"/>
      <c r="NUS116" s="189"/>
      <c r="NUT116" s="189"/>
      <c r="NUU116" s="189"/>
      <c r="NUV116" s="189"/>
      <c r="NUW116" s="189"/>
      <c r="NUX116" s="189"/>
      <c r="NUY116" s="189"/>
      <c r="NUZ116" s="189"/>
      <c r="NVA116" s="189"/>
      <c r="NVB116" s="189"/>
      <c r="NVC116" s="189"/>
      <c r="NVD116" s="189"/>
      <c r="NVE116" s="189"/>
      <c r="NVF116" s="189"/>
      <c r="NVG116" s="189"/>
      <c r="NVH116" s="189"/>
      <c r="NVI116" s="189"/>
      <c r="NVJ116" s="189"/>
      <c r="NVK116" s="189"/>
      <c r="NVL116" s="189"/>
      <c r="NVM116" s="189"/>
      <c r="NVN116" s="189"/>
      <c r="NVO116" s="189"/>
      <c r="NVP116" s="189"/>
      <c r="NVQ116" s="189"/>
      <c r="NVR116" s="189"/>
      <c r="NVS116" s="189"/>
      <c r="NVT116" s="189"/>
      <c r="NVU116" s="189"/>
      <c r="NVV116" s="189"/>
      <c r="NVW116" s="189"/>
      <c r="NVX116" s="189"/>
      <c r="NVY116" s="189"/>
      <c r="NVZ116" s="189"/>
      <c r="NWA116" s="189"/>
      <c r="NWB116" s="189"/>
      <c r="NWC116" s="189"/>
      <c r="NWD116" s="189"/>
      <c r="NWE116" s="189"/>
      <c r="NWF116" s="189"/>
      <c r="NWG116" s="189"/>
      <c r="NWH116" s="189"/>
      <c r="NWI116" s="189"/>
      <c r="NWJ116" s="189"/>
      <c r="NWK116" s="189"/>
      <c r="NWL116" s="189"/>
      <c r="NWM116" s="189"/>
      <c r="NWN116" s="189"/>
      <c r="NWO116" s="189"/>
      <c r="NWP116" s="189"/>
      <c r="NWQ116" s="189"/>
      <c r="NWR116" s="189"/>
      <c r="NWS116" s="189"/>
      <c r="NWT116" s="189"/>
      <c r="NWU116" s="189"/>
      <c r="NWV116" s="189"/>
      <c r="NWW116" s="189"/>
      <c r="NWX116" s="189"/>
      <c r="NWY116" s="189"/>
      <c r="NWZ116" s="189"/>
      <c r="NXA116" s="189"/>
      <c r="NXB116" s="189"/>
      <c r="NXC116" s="189"/>
      <c r="NXD116" s="189"/>
      <c r="NXE116" s="189"/>
      <c r="NXF116" s="189"/>
      <c r="NXG116" s="189"/>
      <c r="NXH116" s="189"/>
      <c r="NXI116" s="189"/>
      <c r="NXJ116" s="189"/>
      <c r="NXK116" s="189"/>
      <c r="NXL116" s="189"/>
      <c r="NXM116" s="189"/>
      <c r="NXN116" s="189"/>
      <c r="NXO116" s="189"/>
      <c r="NXP116" s="189"/>
      <c r="NXQ116" s="189"/>
      <c r="NXR116" s="189"/>
      <c r="NXS116" s="189"/>
      <c r="NXT116" s="189"/>
      <c r="NXU116" s="189"/>
      <c r="NXV116" s="189"/>
      <c r="NXW116" s="189"/>
      <c r="NXX116" s="189"/>
      <c r="NXY116" s="189"/>
      <c r="NXZ116" s="189"/>
      <c r="NYA116" s="189"/>
      <c r="NYB116" s="189"/>
      <c r="NYC116" s="189"/>
      <c r="NYD116" s="189"/>
      <c r="NYE116" s="189"/>
      <c r="NYF116" s="189"/>
      <c r="NYG116" s="189"/>
      <c r="NYH116" s="189"/>
      <c r="NYI116" s="189"/>
      <c r="NYJ116" s="189"/>
      <c r="NYK116" s="189"/>
      <c r="NYL116" s="189"/>
      <c r="NYM116" s="189"/>
      <c r="NYN116" s="189"/>
      <c r="NYO116" s="189"/>
      <c r="NYP116" s="189"/>
      <c r="NYQ116" s="189"/>
      <c r="NYR116" s="189"/>
      <c r="NYS116" s="189"/>
      <c r="NYT116" s="189"/>
      <c r="NYU116" s="189"/>
      <c r="NYV116" s="189"/>
      <c r="NYW116" s="189"/>
      <c r="NYX116" s="189"/>
      <c r="NYY116" s="189"/>
      <c r="NYZ116" s="189"/>
      <c r="NZA116" s="189"/>
      <c r="NZB116" s="189"/>
      <c r="NZC116" s="189"/>
      <c r="NZD116" s="189"/>
      <c r="NZE116" s="189"/>
      <c r="NZF116" s="189"/>
      <c r="NZG116" s="189"/>
      <c r="NZH116" s="189"/>
      <c r="NZI116" s="189"/>
      <c r="NZJ116" s="189"/>
      <c r="NZK116" s="189"/>
      <c r="NZL116" s="189"/>
      <c r="NZM116" s="189"/>
      <c r="NZN116" s="189"/>
      <c r="NZO116" s="189"/>
      <c r="NZP116" s="189"/>
      <c r="NZQ116" s="189"/>
      <c r="NZR116" s="189"/>
      <c r="NZS116" s="189"/>
      <c r="NZT116" s="189"/>
      <c r="NZU116" s="189"/>
      <c r="NZV116" s="189"/>
      <c r="NZW116" s="189"/>
      <c r="NZX116" s="189"/>
      <c r="NZY116" s="189"/>
      <c r="NZZ116" s="189"/>
      <c r="OAA116" s="189"/>
      <c r="OAB116" s="189"/>
      <c r="OAC116" s="189"/>
      <c r="OAD116" s="189"/>
      <c r="OAE116" s="189"/>
      <c r="OAF116" s="189"/>
      <c r="OAG116" s="189"/>
      <c r="OAH116" s="189"/>
      <c r="OAI116" s="189"/>
      <c r="OAJ116" s="189"/>
      <c r="OAK116" s="189"/>
      <c r="OAL116" s="189"/>
      <c r="OAM116" s="189"/>
      <c r="OAN116" s="189"/>
      <c r="OAO116" s="189"/>
      <c r="OAP116" s="189"/>
      <c r="OAQ116" s="189"/>
      <c r="OAR116" s="189"/>
      <c r="OAS116" s="189"/>
      <c r="OAT116" s="189"/>
      <c r="OAU116" s="189"/>
      <c r="OAV116" s="189"/>
      <c r="OAW116" s="189"/>
      <c r="OAX116" s="189"/>
      <c r="OAY116" s="189"/>
      <c r="OAZ116" s="189"/>
      <c r="OBA116" s="189"/>
      <c r="OBB116" s="189"/>
      <c r="OBC116" s="189"/>
      <c r="OBD116" s="189"/>
      <c r="OBE116" s="189"/>
      <c r="OBF116" s="189"/>
      <c r="OBG116" s="189"/>
      <c r="OBH116" s="189"/>
      <c r="OBI116" s="189"/>
      <c r="OBJ116" s="189"/>
      <c r="OBK116" s="189"/>
      <c r="OBL116" s="189"/>
      <c r="OBM116" s="189"/>
      <c r="OBN116" s="189"/>
      <c r="OBO116" s="189"/>
      <c r="OBP116" s="189"/>
      <c r="OBQ116" s="189"/>
      <c r="OBR116" s="189"/>
      <c r="OBS116" s="189"/>
      <c r="OBT116" s="189"/>
      <c r="OBU116" s="189"/>
      <c r="OBV116" s="189"/>
      <c r="OBW116" s="189"/>
      <c r="OBX116" s="189"/>
      <c r="OBY116" s="189"/>
      <c r="OBZ116" s="189"/>
      <c r="OCA116" s="189"/>
      <c r="OCB116" s="189"/>
      <c r="OCC116" s="189"/>
      <c r="OCD116" s="189"/>
      <c r="OCE116" s="189"/>
      <c r="OCF116" s="189"/>
      <c r="OCG116" s="189"/>
      <c r="OCH116" s="189"/>
      <c r="OCI116" s="189"/>
      <c r="OCJ116" s="189"/>
      <c r="OCK116" s="189"/>
      <c r="OCL116" s="189"/>
      <c r="OCM116" s="189"/>
      <c r="OCN116" s="189"/>
      <c r="OCO116" s="189"/>
      <c r="OCP116" s="189"/>
      <c r="OCQ116" s="189"/>
      <c r="OCR116" s="189"/>
      <c r="OCS116" s="189"/>
      <c r="OCT116" s="189"/>
      <c r="OCU116" s="189"/>
      <c r="OCV116" s="189"/>
      <c r="OCW116" s="189"/>
      <c r="OCX116" s="189"/>
      <c r="OCY116" s="189"/>
      <c r="OCZ116" s="189"/>
      <c r="ODA116" s="189"/>
      <c r="ODB116" s="189"/>
      <c r="ODC116" s="189"/>
      <c r="ODD116" s="189"/>
      <c r="ODE116" s="189"/>
      <c r="ODF116" s="189"/>
      <c r="ODG116" s="189"/>
      <c r="ODH116" s="189"/>
      <c r="ODI116" s="189"/>
      <c r="ODJ116" s="189"/>
      <c r="ODK116" s="189"/>
      <c r="ODL116" s="189"/>
      <c r="ODM116" s="189"/>
      <c r="ODN116" s="189"/>
      <c r="ODO116" s="189"/>
      <c r="ODP116" s="189"/>
      <c r="ODQ116" s="189"/>
      <c r="ODR116" s="189"/>
      <c r="ODS116" s="189"/>
      <c r="ODT116" s="189"/>
      <c r="ODU116" s="189"/>
      <c r="ODV116" s="189"/>
      <c r="ODW116" s="189"/>
      <c r="ODX116" s="189"/>
      <c r="ODY116" s="189"/>
      <c r="ODZ116" s="189"/>
      <c r="OEA116" s="189"/>
      <c r="OEB116" s="189"/>
      <c r="OEC116" s="189"/>
      <c r="OED116" s="189"/>
      <c r="OEE116" s="189"/>
      <c r="OEF116" s="189"/>
      <c r="OEG116" s="189"/>
      <c r="OEH116" s="189"/>
      <c r="OEI116" s="189"/>
      <c r="OEJ116" s="189"/>
      <c r="OEK116" s="189"/>
      <c r="OEL116" s="189"/>
      <c r="OEM116" s="189"/>
      <c r="OEN116" s="189"/>
      <c r="OEO116" s="189"/>
      <c r="OEP116" s="189"/>
      <c r="OEQ116" s="189"/>
      <c r="OER116" s="189"/>
      <c r="OES116" s="189"/>
      <c r="OET116" s="189"/>
      <c r="OEU116" s="189"/>
      <c r="OEV116" s="189"/>
      <c r="OEW116" s="189"/>
      <c r="OEX116" s="189"/>
      <c r="OEY116" s="189"/>
      <c r="OEZ116" s="189"/>
      <c r="OFA116" s="189"/>
      <c r="OFB116" s="189"/>
      <c r="OFC116" s="189"/>
      <c r="OFD116" s="189"/>
      <c r="OFE116" s="189"/>
      <c r="OFF116" s="189"/>
      <c r="OFG116" s="189"/>
      <c r="OFH116" s="189"/>
      <c r="OFI116" s="189"/>
      <c r="OFJ116" s="189"/>
      <c r="OFK116" s="189"/>
      <c r="OFL116" s="189"/>
      <c r="OFM116" s="189"/>
      <c r="OFN116" s="189"/>
      <c r="OFO116" s="189"/>
      <c r="OFP116" s="189"/>
      <c r="OFQ116" s="189"/>
      <c r="OFR116" s="189"/>
      <c r="OFS116" s="189"/>
      <c r="OFT116" s="189"/>
      <c r="OFU116" s="189"/>
      <c r="OFV116" s="189"/>
      <c r="OFW116" s="189"/>
      <c r="OFX116" s="189"/>
      <c r="OFY116" s="189"/>
      <c r="OFZ116" s="189"/>
      <c r="OGA116" s="189"/>
      <c r="OGB116" s="189"/>
      <c r="OGC116" s="189"/>
      <c r="OGD116" s="189"/>
      <c r="OGE116" s="189"/>
      <c r="OGF116" s="189"/>
      <c r="OGG116" s="189"/>
      <c r="OGH116" s="189"/>
      <c r="OGI116" s="189"/>
      <c r="OGJ116" s="189"/>
      <c r="OGK116" s="189"/>
      <c r="OGL116" s="189"/>
      <c r="OGM116" s="189"/>
      <c r="OGN116" s="189"/>
      <c r="OGO116" s="189"/>
      <c r="OGP116" s="189"/>
      <c r="OGQ116" s="189"/>
      <c r="OGR116" s="189"/>
      <c r="OGS116" s="189"/>
      <c r="OGT116" s="189"/>
      <c r="OGU116" s="189"/>
      <c r="OGV116" s="189"/>
      <c r="OGW116" s="189"/>
      <c r="OGX116" s="189"/>
      <c r="OGY116" s="189"/>
      <c r="OGZ116" s="189"/>
      <c r="OHA116" s="189"/>
      <c r="OHB116" s="189"/>
      <c r="OHC116" s="189"/>
      <c r="OHD116" s="189"/>
      <c r="OHE116" s="189"/>
      <c r="OHF116" s="189"/>
      <c r="OHG116" s="189"/>
      <c r="OHH116" s="189"/>
      <c r="OHI116" s="189"/>
      <c r="OHJ116" s="189"/>
      <c r="OHK116" s="189"/>
      <c r="OHL116" s="189"/>
      <c r="OHM116" s="189"/>
      <c r="OHN116" s="189"/>
      <c r="OHO116" s="189"/>
      <c r="OHP116" s="189"/>
      <c r="OHQ116" s="189"/>
      <c r="OHR116" s="189"/>
      <c r="OHS116" s="189"/>
      <c r="OHT116" s="189"/>
      <c r="OHU116" s="189"/>
      <c r="OHV116" s="189"/>
      <c r="OHW116" s="189"/>
      <c r="OHX116" s="189"/>
      <c r="OHY116" s="189"/>
      <c r="OHZ116" s="189"/>
      <c r="OIA116" s="189"/>
      <c r="OIB116" s="189"/>
      <c r="OIC116" s="189"/>
      <c r="OID116" s="189"/>
      <c r="OIE116" s="189"/>
      <c r="OIF116" s="189"/>
      <c r="OIG116" s="189"/>
      <c r="OIH116" s="189"/>
      <c r="OII116" s="189"/>
      <c r="OIJ116" s="189"/>
      <c r="OIK116" s="189"/>
      <c r="OIL116" s="189"/>
      <c r="OIM116" s="189"/>
      <c r="OIN116" s="189"/>
      <c r="OIO116" s="189"/>
      <c r="OIP116" s="189"/>
      <c r="OIQ116" s="189"/>
      <c r="OIR116" s="189"/>
      <c r="OIS116" s="189"/>
      <c r="OIT116" s="189"/>
      <c r="OIU116" s="189"/>
      <c r="OIV116" s="189"/>
      <c r="OIW116" s="189"/>
      <c r="OIX116" s="189"/>
      <c r="OIY116" s="189"/>
      <c r="OIZ116" s="189"/>
      <c r="OJA116" s="189"/>
      <c r="OJB116" s="189"/>
      <c r="OJC116" s="189"/>
      <c r="OJD116" s="189"/>
      <c r="OJE116" s="189"/>
      <c r="OJF116" s="189"/>
      <c r="OJG116" s="189"/>
      <c r="OJH116" s="189"/>
      <c r="OJI116" s="189"/>
      <c r="OJJ116" s="189"/>
      <c r="OJK116" s="189"/>
      <c r="OJL116" s="189"/>
      <c r="OJM116" s="189"/>
      <c r="OJN116" s="189"/>
      <c r="OJO116" s="189"/>
      <c r="OJP116" s="189"/>
      <c r="OJQ116" s="189"/>
      <c r="OJR116" s="189"/>
      <c r="OJS116" s="189"/>
      <c r="OJT116" s="189"/>
      <c r="OJU116" s="189"/>
      <c r="OJV116" s="189"/>
      <c r="OJW116" s="189"/>
      <c r="OJX116" s="189"/>
      <c r="OJY116" s="189"/>
      <c r="OJZ116" s="189"/>
      <c r="OKA116" s="189"/>
      <c r="OKB116" s="189"/>
      <c r="OKC116" s="189"/>
      <c r="OKD116" s="189"/>
      <c r="OKE116" s="189"/>
      <c r="OKF116" s="189"/>
      <c r="OKG116" s="189"/>
      <c r="OKH116" s="189"/>
      <c r="OKI116" s="189"/>
      <c r="OKJ116" s="189"/>
      <c r="OKK116" s="189"/>
      <c r="OKL116" s="189"/>
      <c r="OKM116" s="189"/>
      <c r="OKN116" s="189"/>
      <c r="OKO116" s="189"/>
      <c r="OKP116" s="189"/>
      <c r="OKQ116" s="189"/>
      <c r="OKR116" s="189"/>
      <c r="OKS116" s="189"/>
      <c r="OKT116" s="189"/>
      <c r="OKU116" s="189"/>
      <c r="OKV116" s="189"/>
      <c r="OKW116" s="189"/>
      <c r="OKX116" s="189"/>
      <c r="OKY116" s="189"/>
      <c r="OKZ116" s="189"/>
      <c r="OLA116" s="189"/>
      <c r="OLB116" s="189"/>
      <c r="OLC116" s="189"/>
      <c r="OLD116" s="189"/>
      <c r="OLE116" s="189"/>
      <c r="OLF116" s="189"/>
      <c r="OLG116" s="189"/>
      <c r="OLH116" s="189"/>
      <c r="OLI116" s="189"/>
      <c r="OLJ116" s="189"/>
      <c r="OLK116" s="189"/>
      <c r="OLL116" s="189"/>
      <c r="OLM116" s="189"/>
      <c r="OLN116" s="189"/>
      <c r="OLO116" s="189"/>
      <c r="OLP116" s="189"/>
      <c r="OLQ116" s="189"/>
      <c r="OLR116" s="189"/>
      <c r="OLS116" s="189"/>
      <c r="OLT116" s="189"/>
      <c r="OLU116" s="189"/>
      <c r="OLV116" s="189"/>
      <c r="OLW116" s="189"/>
      <c r="OLX116" s="189"/>
      <c r="OLY116" s="189"/>
      <c r="OLZ116" s="189"/>
      <c r="OMA116" s="189"/>
      <c r="OMB116" s="189"/>
      <c r="OMC116" s="189"/>
      <c r="OMD116" s="189"/>
      <c r="OME116" s="189"/>
      <c r="OMF116" s="189"/>
      <c r="OMG116" s="189"/>
      <c r="OMH116" s="189"/>
      <c r="OMI116" s="189"/>
      <c r="OMJ116" s="189"/>
      <c r="OMK116" s="189"/>
      <c r="OML116" s="189"/>
      <c r="OMM116" s="189"/>
      <c r="OMN116" s="189"/>
      <c r="OMO116" s="189"/>
      <c r="OMP116" s="189"/>
      <c r="OMQ116" s="189"/>
      <c r="OMR116" s="189"/>
      <c r="OMS116" s="189"/>
      <c r="OMT116" s="189"/>
      <c r="OMU116" s="189"/>
      <c r="OMV116" s="189"/>
      <c r="OMW116" s="189"/>
      <c r="OMX116" s="189"/>
      <c r="OMY116" s="189"/>
      <c r="OMZ116" s="189"/>
      <c r="ONA116" s="189"/>
      <c r="ONB116" s="189"/>
      <c r="ONC116" s="189"/>
      <c r="OND116" s="189"/>
      <c r="ONE116" s="189"/>
      <c r="ONF116" s="189"/>
      <c r="ONG116" s="189"/>
      <c r="ONH116" s="189"/>
      <c r="ONI116" s="189"/>
      <c r="ONJ116" s="189"/>
      <c r="ONK116" s="189"/>
      <c r="ONL116" s="189"/>
      <c r="ONM116" s="189"/>
      <c r="ONN116" s="189"/>
      <c r="ONO116" s="189"/>
      <c r="ONP116" s="189"/>
      <c r="ONQ116" s="189"/>
      <c r="ONR116" s="189"/>
      <c r="ONS116" s="189"/>
      <c r="ONT116" s="189"/>
      <c r="ONU116" s="189"/>
      <c r="ONV116" s="189"/>
      <c r="ONW116" s="189"/>
      <c r="ONX116" s="189"/>
      <c r="ONY116" s="189"/>
      <c r="ONZ116" s="189"/>
      <c r="OOA116" s="189"/>
      <c r="OOB116" s="189"/>
      <c r="OOC116" s="189"/>
      <c r="OOD116" s="189"/>
      <c r="OOE116" s="189"/>
      <c r="OOF116" s="189"/>
      <c r="OOG116" s="189"/>
      <c r="OOH116" s="189"/>
      <c r="OOI116" s="189"/>
      <c r="OOJ116" s="189"/>
      <c r="OOK116" s="189"/>
      <c r="OOL116" s="189"/>
      <c r="OOM116" s="189"/>
      <c r="OON116" s="189"/>
      <c r="OOO116" s="189"/>
      <c r="OOP116" s="189"/>
      <c r="OOQ116" s="189"/>
      <c r="OOR116" s="189"/>
      <c r="OOS116" s="189"/>
      <c r="OOT116" s="189"/>
      <c r="OOU116" s="189"/>
      <c r="OOV116" s="189"/>
      <c r="OOW116" s="189"/>
      <c r="OOX116" s="189"/>
      <c r="OOY116" s="189"/>
      <c r="OOZ116" s="189"/>
      <c r="OPA116" s="189"/>
      <c r="OPB116" s="189"/>
      <c r="OPC116" s="189"/>
      <c r="OPD116" s="189"/>
      <c r="OPE116" s="189"/>
      <c r="OPF116" s="189"/>
      <c r="OPG116" s="189"/>
      <c r="OPH116" s="189"/>
      <c r="OPI116" s="189"/>
      <c r="OPJ116" s="189"/>
      <c r="OPK116" s="189"/>
      <c r="OPL116" s="189"/>
      <c r="OPM116" s="189"/>
      <c r="OPN116" s="189"/>
      <c r="OPO116" s="189"/>
      <c r="OPP116" s="189"/>
      <c r="OPQ116" s="189"/>
      <c r="OPR116" s="189"/>
      <c r="OPS116" s="189"/>
      <c r="OPT116" s="189"/>
      <c r="OPU116" s="189"/>
      <c r="OPV116" s="189"/>
      <c r="OPW116" s="189"/>
      <c r="OPX116" s="189"/>
      <c r="OPY116" s="189"/>
      <c r="OPZ116" s="189"/>
      <c r="OQA116" s="189"/>
      <c r="OQB116" s="189"/>
      <c r="OQC116" s="189"/>
      <c r="OQD116" s="189"/>
      <c r="OQE116" s="189"/>
      <c r="OQF116" s="189"/>
      <c r="OQG116" s="189"/>
      <c r="OQH116" s="189"/>
      <c r="OQI116" s="189"/>
      <c r="OQJ116" s="189"/>
      <c r="OQK116" s="189"/>
      <c r="OQL116" s="189"/>
      <c r="OQM116" s="189"/>
      <c r="OQN116" s="189"/>
      <c r="OQO116" s="189"/>
      <c r="OQP116" s="189"/>
      <c r="OQQ116" s="189"/>
      <c r="OQR116" s="189"/>
      <c r="OQS116" s="189"/>
      <c r="OQT116" s="189"/>
      <c r="OQU116" s="189"/>
      <c r="OQV116" s="189"/>
      <c r="OQW116" s="189"/>
      <c r="OQX116" s="189"/>
      <c r="OQY116" s="189"/>
      <c r="OQZ116" s="189"/>
      <c r="ORA116" s="189"/>
      <c r="ORB116" s="189"/>
      <c r="ORC116" s="189"/>
      <c r="ORD116" s="189"/>
      <c r="ORE116" s="189"/>
      <c r="ORF116" s="189"/>
      <c r="ORG116" s="189"/>
      <c r="ORH116" s="189"/>
      <c r="ORI116" s="189"/>
      <c r="ORJ116" s="189"/>
      <c r="ORK116" s="189"/>
      <c r="ORL116" s="189"/>
      <c r="ORM116" s="189"/>
      <c r="ORN116" s="189"/>
      <c r="ORO116" s="189"/>
      <c r="ORP116" s="189"/>
      <c r="ORQ116" s="189"/>
      <c r="ORR116" s="189"/>
      <c r="ORS116" s="189"/>
      <c r="ORT116" s="189"/>
      <c r="ORU116" s="189"/>
      <c r="ORV116" s="189"/>
      <c r="ORW116" s="189"/>
      <c r="ORX116" s="189"/>
      <c r="ORY116" s="189"/>
      <c r="ORZ116" s="189"/>
      <c r="OSA116" s="189"/>
      <c r="OSB116" s="189"/>
      <c r="OSC116" s="189"/>
      <c r="OSD116" s="189"/>
      <c r="OSE116" s="189"/>
      <c r="OSF116" s="189"/>
      <c r="OSG116" s="189"/>
      <c r="OSH116" s="189"/>
      <c r="OSI116" s="189"/>
      <c r="OSJ116" s="189"/>
      <c r="OSK116" s="189"/>
      <c r="OSL116" s="189"/>
      <c r="OSM116" s="189"/>
      <c r="OSN116" s="189"/>
      <c r="OSO116" s="189"/>
      <c r="OSP116" s="189"/>
      <c r="OSQ116" s="189"/>
      <c r="OSR116" s="189"/>
      <c r="OSS116" s="189"/>
      <c r="OST116" s="189"/>
      <c r="OSU116" s="189"/>
      <c r="OSV116" s="189"/>
      <c r="OSW116" s="189"/>
      <c r="OSX116" s="189"/>
      <c r="OSY116" s="189"/>
      <c r="OSZ116" s="189"/>
      <c r="OTA116" s="189"/>
      <c r="OTB116" s="189"/>
      <c r="OTC116" s="189"/>
      <c r="OTD116" s="189"/>
      <c r="OTE116" s="189"/>
      <c r="OTF116" s="189"/>
      <c r="OTG116" s="189"/>
      <c r="OTH116" s="189"/>
      <c r="OTI116" s="189"/>
      <c r="OTJ116" s="189"/>
      <c r="OTK116" s="189"/>
      <c r="OTL116" s="189"/>
      <c r="OTM116" s="189"/>
      <c r="OTN116" s="189"/>
      <c r="OTO116" s="189"/>
      <c r="OTP116" s="189"/>
      <c r="OTQ116" s="189"/>
      <c r="OTR116" s="189"/>
      <c r="OTS116" s="189"/>
      <c r="OTT116" s="189"/>
      <c r="OTU116" s="189"/>
      <c r="OTV116" s="189"/>
      <c r="OTW116" s="189"/>
      <c r="OTX116" s="189"/>
      <c r="OTY116" s="189"/>
      <c r="OTZ116" s="189"/>
      <c r="OUA116" s="189"/>
      <c r="OUB116" s="189"/>
      <c r="OUC116" s="189"/>
      <c r="OUD116" s="189"/>
      <c r="OUE116" s="189"/>
      <c r="OUF116" s="189"/>
      <c r="OUG116" s="189"/>
      <c r="OUH116" s="189"/>
      <c r="OUI116" s="189"/>
      <c r="OUJ116" s="189"/>
      <c r="OUK116" s="189"/>
      <c r="OUL116" s="189"/>
      <c r="OUM116" s="189"/>
      <c r="OUN116" s="189"/>
      <c r="OUO116" s="189"/>
      <c r="OUP116" s="189"/>
      <c r="OUQ116" s="189"/>
      <c r="OUR116" s="189"/>
      <c r="OUS116" s="189"/>
      <c r="OUT116" s="189"/>
      <c r="OUU116" s="189"/>
      <c r="OUV116" s="189"/>
      <c r="OUW116" s="189"/>
      <c r="OUX116" s="189"/>
      <c r="OUY116" s="189"/>
      <c r="OUZ116" s="189"/>
      <c r="OVA116" s="189"/>
      <c r="OVB116" s="189"/>
      <c r="OVC116" s="189"/>
      <c r="OVD116" s="189"/>
      <c r="OVE116" s="189"/>
      <c r="OVF116" s="189"/>
      <c r="OVG116" s="189"/>
      <c r="OVH116" s="189"/>
      <c r="OVI116" s="189"/>
      <c r="OVJ116" s="189"/>
      <c r="OVK116" s="189"/>
      <c r="OVL116" s="189"/>
      <c r="OVM116" s="189"/>
      <c r="OVN116" s="189"/>
      <c r="OVO116" s="189"/>
      <c r="OVP116" s="189"/>
      <c r="OVQ116" s="189"/>
      <c r="OVR116" s="189"/>
      <c r="OVS116" s="189"/>
      <c r="OVT116" s="189"/>
      <c r="OVU116" s="189"/>
      <c r="OVV116" s="189"/>
      <c r="OVW116" s="189"/>
      <c r="OVX116" s="189"/>
      <c r="OVY116" s="189"/>
      <c r="OVZ116" s="189"/>
      <c r="OWA116" s="189"/>
      <c r="OWB116" s="189"/>
      <c r="OWC116" s="189"/>
      <c r="OWD116" s="189"/>
      <c r="OWE116" s="189"/>
      <c r="OWF116" s="189"/>
      <c r="OWG116" s="189"/>
      <c r="OWH116" s="189"/>
      <c r="OWI116" s="189"/>
      <c r="OWJ116" s="189"/>
      <c r="OWK116" s="189"/>
      <c r="OWL116" s="189"/>
      <c r="OWM116" s="189"/>
      <c r="OWN116" s="189"/>
      <c r="OWO116" s="189"/>
      <c r="OWP116" s="189"/>
      <c r="OWQ116" s="189"/>
      <c r="OWR116" s="189"/>
      <c r="OWS116" s="189"/>
      <c r="OWT116" s="189"/>
      <c r="OWU116" s="189"/>
      <c r="OWV116" s="189"/>
      <c r="OWW116" s="189"/>
      <c r="OWX116" s="189"/>
      <c r="OWY116" s="189"/>
      <c r="OWZ116" s="189"/>
      <c r="OXA116" s="189"/>
      <c r="OXB116" s="189"/>
      <c r="OXC116" s="189"/>
      <c r="OXD116" s="189"/>
      <c r="OXE116" s="189"/>
      <c r="OXF116" s="189"/>
      <c r="OXG116" s="189"/>
      <c r="OXH116" s="189"/>
      <c r="OXI116" s="189"/>
      <c r="OXJ116" s="189"/>
      <c r="OXK116" s="189"/>
      <c r="OXL116" s="189"/>
      <c r="OXM116" s="189"/>
      <c r="OXN116" s="189"/>
      <c r="OXO116" s="189"/>
      <c r="OXP116" s="189"/>
      <c r="OXQ116" s="189"/>
      <c r="OXR116" s="189"/>
      <c r="OXS116" s="189"/>
      <c r="OXT116" s="189"/>
      <c r="OXU116" s="189"/>
      <c r="OXV116" s="189"/>
      <c r="OXW116" s="189"/>
      <c r="OXX116" s="189"/>
      <c r="OXY116" s="189"/>
      <c r="OXZ116" s="189"/>
      <c r="OYA116" s="189"/>
      <c r="OYB116" s="189"/>
      <c r="OYC116" s="189"/>
      <c r="OYD116" s="189"/>
      <c r="OYE116" s="189"/>
      <c r="OYF116" s="189"/>
      <c r="OYG116" s="189"/>
      <c r="OYH116" s="189"/>
      <c r="OYI116" s="189"/>
      <c r="OYJ116" s="189"/>
      <c r="OYK116" s="189"/>
      <c r="OYL116" s="189"/>
      <c r="OYM116" s="189"/>
      <c r="OYN116" s="189"/>
      <c r="OYO116" s="189"/>
      <c r="OYP116" s="189"/>
      <c r="OYQ116" s="189"/>
      <c r="OYR116" s="189"/>
      <c r="OYS116" s="189"/>
      <c r="OYT116" s="189"/>
      <c r="OYU116" s="189"/>
      <c r="OYV116" s="189"/>
      <c r="OYW116" s="189"/>
      <c r="OYX116" s="189"/>
      <c r="OYY116" s="189"/>
      <c r="OYZ116" s="189"/>
      <c r="OZA116" s="189"/>
      <c r="OZB116" s="189"/>
      <c r="OZC116" s="189"/>
      <c r="OZD116" s="189"/>
      <c r="OZE116" s="189"/>
      <c r="OZF116" s="189"/>
      <c r="OZG116" s="189"/>
      <c r="OZH116" s="189"/>
      <c r="OZI116" s="189"/>
      <c r="OZJ116" s="189"/>
      <c r="OZK116" s="189"/>
      <c r="OZL116" s="189"/>
      <c r="OZM116" s="189"/>
      <c r="OZN116" s="189"/>
      <c r="OZO116" s="189"/>
      <c r="OZP116" s="189"/>
      <c r="OZQ116" s="189"/>
      <c r="OZR116" s="189"/>
      <c r="OZS116" s="189"/>
      <c r="OZT116" s="189"/>
      <c r="OZU116" s="189"/>
      <c r="OZV116" s="189"/>
      <c r="OZW116" s="189"/>
      <c r="OZX116" s="189"/>
      <c r="OZY116" s="189"/>
      <c r="OZZ116" s="189"/>
      <c r="PAA116" s="189"/>
      <c r="PAB116" s="189"/>
      <c r="PAC116" s="189"/>
      <c r="PAD116" s="189"/>
      <c r="PAE116" s="189"/>
      <c r="PAF116" s="189"/>
      <c r="PAG116" s="189"/>
      <c r="PAH116" s="189"/>
      <c r="PAI116" s="189"/>
      <c r="PAJ116" s="189"/>
      <c r="PAK116" s="189"/>
      <c r="PAL116" s="189"/>
      <c r="PAM116" s="189"/>
      <c r="PAN116" s="189"/>
      <c r="PAO116" s="189"/>
      <c r="PAP116" s="189"/>
      <c r="PAQ116" s="189"/>
      <c r="PAR116" s="189"/>
      <c r="PAS116" s="189"/>
      <c r="PAT116" s="189"/>
      <c r="PAU116" s="189"/>
      <c r="PAV116" s="189"/>
      <c r="PAW116" s="189"/>
      <c r="PAX116" s="189"/>
      <c r="PAY116" s="189"/>
      <c r="PAZ116" s="189"/>
      <c r="PBA116" s="189"/>
      <c r="PBB116" s="189"/>
      <c r="PBC116" s="189"/>
      <c r="PBD116" s="189"/>
      <c r="PBE116" s="189"/>
      <c r="PBF116" s="189"/>
      <c r="PBG116" s="189"/>
      <c r="PBH116" s="189"/>
      <c r="PBI116" s="189"/>
      <c r="PBJ116" s="189"/>
      <c r="PBK116" s="189"/>
      <c r="PBL116" s="189"/>
      <c r="PBM116" s="189"/>
      <c r="PBN116" s="189"/>
      <c r="PBO116" s="189"/>
      <c r="PBP116" s="189"/>
      <c r="PBQ116" s="189"/>
      <c r="PBR116" s="189"/>
      <c r="PBS116" s="189"/>
      <c r="PBT116" s="189"/>
      <c r="PBU116" s="189"/>
      <c r="PBV116" s="189"/>
      <c r="PBW116" s="189"/>
      <c r="PBX116" s="189"/>
      <c r="PBY116" s="189"/>
      <c r="PBZ116" s="189"/>
      <c r="PCA116" s="189"/>
      <c r="PCB116" s="189"/>
      <c r="PCC116" s="189"/>
      <c r="PCD116" s="189"/>
      <c r="PCE116" s="189"/>
      <c r="PCF116" s="189"/>
      <c r="PCG116" s="189"/>
      <c r="PCH116" s="189"/>
      <c r="PCI116" s="189"/>
      <c r="PCJ116" s="189"/>
      <c r="PCK116" s="189"/>
      <c r="PCL116" s="189"/>
      <c r="PCM116" s="189"/>
      <c r="PCN116" s="189"/>
      <c r="PCO116" s="189"/>
      <c r="PCP116" s="189"/>
      <c r="PCQ116" s="189"/>
      <c r="PCR116" s="189"/>
      <c r="PCS116" s="189"/>
      <c r="PCT116" s="189"/>
      <c r="PCU116" s="189"/>
      <c r="PCV116" s="189"/>
      <c r="PCW116" s="189"/>
      <c r="PCX116" s="189"/>
      <c r="PCY116" s="189"/>
      <c r="PCZ116" s="189"/>
      <c r="PDA116" s="189"/>
      <c r="PDB116" s="189"/>
      <c r="PDC116" s="189"/>
      <c r="PDD116" s="189"/>
      <c r="PDE116" s="189"/>
      <c r="PDF116" s="189"/>
      <c r="PDG116" s="189"/>
      <c r="PDH116" s="189"/>
      <c r="PDI116" s="189"/>
      <c r="PDJ116" s="189"/>
      <c r="PDK116" s="189"/>
      <c r="PDL116" s="189"/>
      <c r="PDM116" s="189"/>
      <c r="PDN116" s="189"/>
      <c r="PDO116" s="189"/>
      <c r="PDP116" s="189"/>
      <c r="PDQ116" s="189"/>
      <c r="PDR116" s="189"/>
      <c r="PDS116" s="189"/>
      <c r="PDT116" s="189"/>
      <c r="PDU116" s="189"/>
      <c r="PDV116" s="189"/>
      <c r="PDW116" s="189"/>
      <c r="PDX116" s="189"/>
      <c r="PDY116" s="189"/>
      <c r="PDZ116" s="189"/>
      <c r="PEA116" s="189"/>
      <c r="PEB116" s="189"/>
      <c r="PEC116" s="189"/>
      <c r="PED116" s="189"/>
      <c r="PEE116" s="189"/>
      <c r="PEF116" s="189"/>
      <c r="PEG116" s="189"/>
      <c r="PEH116" s="189"/>
      <c r="PEI116" s="189"/>
      <c r="PEJ116" s="189"/>
      <c r="PEK116" s="189"/>
      <c r="PEL116" s="189"/>
      <c r="PEM116" s="189"/>
      <c r="PEN116" s="189"/>
      <c r="PEO116" s="189"/>
      <c r="PEP116" s="189"/>
      <c r="PEQ116" s="189"/>
      <c r="PER116" s="189"/>
      <c r="PES116" s="189"/>
      <c r="PET116" s="189"/>
      <c r="PEU116" s="189"/>
      <c r="PEV116" s="189"/>
      <c r="PEW116" s="189"/>
      <c r="PEX116" s="189"/>
      <c r="PEY116" s="189"/>
      <c r="PEZ116" s="189"/>
      <c r="PFA116" s="189"/>
      <c r="PFB116" s="189"/>
      <c r="PFC116" s="189"/>
      <c r="PFD116" s="189"/>
      <c r="PFE116" s="189"/>
      <c r="PFF116" s="189"/>
      <c r="PFG116" s="189"/>
      <c r="PFH116" s="189"/>
      <c r="PFI116" s="189"/>
      <c r="PFJ116" s="189"/>
      <c r="PFK116" s="189"/>
      <c r="PFL116" s="189"/>
      <c r="PFM116" s="189"/>
      <c r="PFN116" s="189"/>
      <c r="PFO116" s="189"/>
      <c r="PFP116" s="189"/>
      <c r="PFQ116" s="189"/>
      <c r="PFR116" s="189"/>
      <c r="PFS116" s="189"/>
      <c r="PFT116" s="189"/>
      <c r="PFU116" s="189"/>
      <c r="PFV116" s="189"/>
      <c r="PFW116" s="189"/>
      <c r="PFX116" s="189"/>
      <c r="PFY116" s="189"/>
      <c r="PFZ116" s="189"/>
      <c r="PGA116" s="189"/>
      <c r="PGB116" s="189"/>
      <c r="PGC116" s="189"/>
      <c r="PGD116" s="189"/>
      <c r="PGE116" s="189"/>
      <c r="PGF116" s="189"/>
      <c r="PGG116" s="189"/>
      <c r="PGH116" s="189"/>
      <c r="PGI116" s="189"/>
      <c r="PGJ116" s="189"/>
      <c r="PGK116" s="189"/>
      <c r="PGL116" s="189"/>
      <c r="PGM116" s="189"/>
      <c r="PGN116" s="189"/>
      <c r="PGO116" s="189"/>
      <c r="PGP116" s="189"/>
      <c r="PGQ116" s="189"/>
      <c r="PGR116" s="189"/>
      <c r="PGS116" s="189"/>
      <c r="PGT116" s="189"/>
      <c r="PGU116" s="189"/>
      <c r="PGV116" s="189"/>
      <c r="PGW116" s="189"/>
      <c r="PGX116" s="189"/>
      <c r="PGY116" s="189"/>
      <c r="PGZ116" s="189"/>
      <c r="PHA116" s="189"/>
      <c r="PHB116" s="189"/>
      <c r="PHC116" s="189"/>
      <c r="PHD116" s="189"/>
      <c r="PHE116" s="189"/>
      <c r="PHF116" s="189"/>
      <c r="PHG116" s="189"/>
      <c r="PHH116" s="189"/>
      <c r="PHI116" s="189"/>
      <c r="PHJ116" s="189"/>
      <c r="PHK116" s="189"/>
      <c r="PHL116" s="189"/>
      <c r="PHM116" s="189"/>
      <c r="PHN116" s="189"/>
      <c r="PHO116" s="189"/>
      <c r="PHP116" s="189"/>
      <c r="PHQ116" s="189"/>
      <c r="PHR116" s="189"/>
      <c r="PHS116" s="189"/>
      <c r="PHT116" s="189"/>
      <c r="PHU116" s="189"/>
      <c r="PHV116" s="189"/>
      <c r="PHW116" s="189"/>
      <c r="PHX116" s="189"/>
      <c r="PHY116" s="189"/>
      <c r="PHZ116" s="189"/>
      <c r="PIA116" s="189"/>
      <c r="PIB116" s="189"/>
      <c r="PIC116" s="189"/>
      <c r="PID116" s="189"/>
      <c r="PIE116" s="189"/>
      <c r="PIF116" s="189"/>
      <c r="PIG116" s="189"/>
      <c r="PIH116" s="189"/>
      <c r="PII116" s="189"/>
      <c r="PIJ116" s="189"/>
      <c r="PIK116" s="189"/>
      <c r="PIL116" s="189"/>
      <c r="PIM116" s="189"/>
      <c r="PIN116" s="189"/>
      <c r="PIO116" s="189"/>
      <c r="PIP116" s="189"/>
      <c r="PIQ116" s="189"/>
      <c r="PIR116" s="189"/>
      <c r="PIS116" s="189"/>
      <c r="PIT116" s="189"/>
      <c r="PIU116" s="189"/>
      <c r="PIV116" s="189"/>
      <c r="PIW116" s="189"/>
      <c r="PIX116" s="189"/>
      <c r="PIY116" s="189"/>
      <c r="PIZ116" s="189"/>
      <c r="PJA116" s="189"/>
      <c r="PJB116" s="189"/>
      <c r="PJC116" s="189"/>
      <c r="PJD116" s="189"/>
      <c r="PJE116" s="189"/>
      <c r="PJF116" s="189"/>
      <c r="PJG116" s="189"/>
      <c r="PJH116" s="189"/>
      <c r="PJI116" s="189"/>
      <c r="PJJ116" s="189"/>
      <c r="PJK116" s="189"/>
      <c r="PJL116" s="189"/>
      <c r="PJM116" s="189"/>
      <c r="PJN116" s="189"/>
      <c r="PJO116" s="189"/>
      <c r="PJP116" s="189"/>
      <c r="PJQ116" s="189"/>
      <c r="PJR116" s="189"/>
      <c r="PJS116" s="189"/>
      <c r="PJT116" s="189"/>
      <c r="PJU116" s="189"/>
      <c r="PJV116" s="189"/>
      <c r="PJW116" s="189"/>
      <c r="PJX116" s="189"/>
      <c r="PJY116" s="189"/>
      <c r="PJZ116" s="189"/>
      <c r="PKA116" s="189"/>
      <c r="PKB116" s="189"/>
      <c r="PKC116" s="189"/>
      <c r="PKD116" s="189"/>
      <c r="PKE116" s="189"/>
      <c r="PKF116" s="189"/>
      <c r="PKG116" s="189"/>
      <c r="PKH116" s="189"/>
      <c r="PKI116" s="189"/>
      <c r="PKJ116" s="189"/>
      <c r="PKK116" s="189"/>
      <c r="PKL116" s="189"/>
      <c r="PKM116" s="189"/>
      <c r="PKN116" s="189"/>
      <c r="PKO116" s="189"/>
      <c r="PKP116" s="189"/>
      <c r="PKQ116" s="189"/>
      <c r="PKR116" s="189"/>
      <c r="PKS116" s="189"/>
      <c r="PKT116" s="189"/>
      <c r="PKU116" s="189"/>
      <c r="PKV116" s="189"/>
      <c r="PKW116" s="189"/>
      <c r="PKX116" s="189"/>
      <c r="PKY116" s="189"/>
      <c r="PKZ116" s="189"/>
      <c r="PLA116" s="189"/>
      <c r="PLB116" s="189"/>
      <c r="PLC116" s="189"/>
      <c r="PLD116" s="189"/>
      <c r="PLE116" s="189"/>
      <c r="PLF116" s="189"/>
      <c r="PLG116" s="189"/>
      <c r="PLH116" s="189"/>
      <c r="PLI116" s="189"/>
      <c r="PLJ116" s="189"/>
      <c r="PLK116" s="189"/>
      <c r="PLL116" s="189"/>
      <c r="PLM116" s="189"/>
      <c r="PLN116" s="189"/>
      <c r="PLO116" s="189"/>
      <c r="PLP116" s="189"/>
      <c r="PLQ116" s="189"/>
      <c r="PLR116" s="189"/>
      <c r="PLS116" s="189"/>
      <c r="PLT116" s="189"/>
      <c r="PLU116" s="189"/>
      <c r="PLV116" s="189"/>
      <c r="PLW116" s="189"/>
      <c r="PLX116" s="189"/>
      <c r="PLY116" s="189"/>
      <c r="PLZ116" s="189"/>
      <c r="PMA116" s="189"/>
      <c r="PMB116" s="189"/>
      <c r="PMC116" s="189"/>
      <c r="PMD116" s="189"/>
      <c r="PME116" s="189"/>
      <c r="PMF116" s="189"/>
      <c r="PMG116" s="189"/>
      <c r="PMH116" s="189"/>
      <c r="PMI116" s="189"/>
      <c r="PMJ116" s="189"/>
      <c r="PMK116" s="189"/>
      <c r="PML116" s="189"/>
      <c r="PMM116" s="189"/>
      <c r="PMN116" s="189"/>
      <c r="PMO116" s="189"/>
      <c r="PMP116" s="189"/>
      <c r="PMQ116" s="189"/>
      <c r="PMR116" s="189"/>
      <c r="PMS116" s="189"/>
      <c r="PMT116" s="189"/>
      <c r="PMU116" s="189"/>
      <c r="PMV116" s="189"/>
      <c r="PMW116" s="189"/>
      <c r="PMX116" s="189"/>
      <c r="PMY116" s="189"/>
      <c r="PMZ116" s="189"/>
      <c r="PNA116" s="189"/>
      <c r="PNB116" s="189"/>
      <c r="PNC116" s="189"/>
      <c r="PND116" s="189"/>
      <c r="PNE116" s="189"/>
      <c r="PNF116" s="189"/>
      <c r="PNG116" s="189"/>
      <c r="PNH116" s="189"/>
      <c r="PNI116" s="189"/>
      <c r="PNJ116" s="189"/>
      <c r="PNK116" s="189"/>
      <c r="PNL116" s="189"/>
      <c r="PNM116" s="189"/>
      <c r="PNN116" s="189"/>
      <c r="PNO116" s="189"/>
      <c r="PNP116" s="189"/>
      <c r="PNQ116" s="189"/>
      <c r="PNR116" s="189"/>
      <c r="PNS116" s="189"/>
      <c r="PNT116" s="189"/>
      <c r="PNU116" s="189"/>
      <c r="PNV116" s="189"/>
      <c r="PNW116" s="189"/>
      <c r="PNX116" s="189"/>
      <c r="PNY116" s="189"/>
      <c r="PNZ116" s="189"/>
      <c r="POA116" s="189"/>
      <c r="POB116" s="189"/>
      <c r="POC116" s="189"/>
      <c r="POD116" s="189"/>
      <c r="POE116" s="189"/>
      <c r="POF116" s="189"/>
      <c r="POG116" s="189"/>
      <c r="POH116" s="189"/>
      <c r="POI116" s="189"/>
      <c r="POJ116" s="189"/>
      <c r="POK116" s="189"/>
      <c r="POL116" s="189"/>
      <c r="POM116" s="189"/>
      <c r="PON116" s="189"/>
      <c r="POO116" s="189"/>
      <c r="POP116" s="189"/>
      <c r="POQ116" s="189"/>
      <c r="POR116" s="189"/>
      <c r="POS116" s="189"/>
      <c r="POT116" s="189"/>
      <c r="POU116" s="189"/>
      <c r="POV116" s="189"/>
      <c r="POW116" s="189"/>
      <c r="POX116" s="189"/>
      <c r="POY116" s="189"/>
      <c r="POZ116" s="189"/>
      <c r="PPA116" s="189"/>
      <c r="PPB116" s="189"/>
      <c r="PPC116" s="189"/>
      <c r="PPD116" s="189"/>
      <c r="PPE116" s="189"/>
      <c r="PPF116" s="189"/>
      <c r="PPG116" s="189"/>
      <c r="PPH116" s="189"/>
      <c r="PPI116" s="189"/>
      <c r="PPJ116" s="189"/>
      <c r="PPK116" s="189"/>
      <c r="PPL116" s="189"/>
      <c r="PPM116" s="189"/>
      <c r="PPN116" s="189"/>
      <c r="PPO116" s="189"/>
      <c r="PPP116" s="189"/>
      <c r="PPQ116" s="189"/>
      <c r="PPR116" s="189"/>
      <c r="PPS116" s="189"/>
      <c r="PPT116" s="189"/>
      <c r="PPU116" s="189"/>
      <c r="PPV116" s="189"/>
      <c r="PPW116" s="189"/>
      <c r="PPX116" s="189"/>
      <c r="PPY116" s="189"/>
      <c r="PPZ116" s="189"/>
      <c r="PQA116" s="189"/>
      <c r="PQB116" s="189"/>
      <c r="PQC116" s="189"/>
      <c r="PQD116" s="189"/>
      <c r="PQE116" s="189"/>
      <c r="PQF116" s="189"/>
      <c r="PQG116" s="189"/>
      <c r="PQH116" s="189"/>
      <c r="PQI116" s="189"/>
      <c r="PQJ116" s="189"/>
      <c r="PQK116" s="189"/>
      <c r="PQL116" s="189"/>
      <c r="PQM116" s="189"/>
      <c r="PQN116" s="189"/>
      <c r="PQO116" s="189"/>
      <c r="PQP116" s="189"/>
      <c r="PQQ116" s="189"/>
      <c r="PQR116" s="189"/>
      <c r="PQS116" s="189"/>
      <c r="PQT116" s="189"/>
      <c r="PQU116" s="189"/>
      <c r="PQV116" s="189"/>
      <c r="PQW116" s="189"/>
      <c r="PQX116" s="189"/>
      <c r="PQY116" s="189"/>
      <c r="PQZ116" s="189"/>
      <c r="PRA116" s="189"/>
      <c r="PRB116" s="189"/>
      <c r="PRC116" s="189"/>
      <c r="PRD116" s="189"/>
      <c r="PRE116" s="189"/>
      <c r="PRF116" s="189"/>
      <c r="PRG116" s="189"/>
      <c r="PRH116" s="189"/>
      <c r="PRI116" s="189"/>
      <c r="PRJ116" s="189"/>
      <c r="PRK116" s="189"/>
      <c r="PRL116" s="189"/>
      <c r="PRM116" s="189"/>
      <c r="PRN116" s="189"/>
      <c r="PRO116" s="189"/>
      <c r="PRP116" s="189"/>
      <c r="PRQ116" s="189"/>
      <c r="PRR116" s="189"/>
      <c r="PRS116" s="189"/>
      <c r="PRT116" s="189"/>
      <c r="PRU116" s="189"/>
      <c r="PRV116" s="189"/>
      <c r="PRW116" s="189"/>
      <c r="PRX116" s="189"/>
      <c r="PRY116" s="189"/>
      <c r="PRZ116" s="189"/>
      <c r="PSA116" s="189"/>
      <c r="PSB116" s="189"/>
      <c r="PSC116" s="189"/>
      <c r="PSD116" s="189"/>
      <c r="PSE116" s="189"/>
      <c r="PSF116" s="189"/>
      <c r="PSG116" s="189"/>
      <c r="PSH116" s="189"/>
      <c r="PSI116" s="189"/>
      <c r="PSJ116" s="189"/>
      <c r="PSK116" s="189"/>
      <c r="PSL116" s="189"/>
      <c r="PSM116" s="189"/>
      <c r="PSN116" s="189"/>
      <c r="PSO116" s="189"/>
      <c r="PSP116" s="189"/>
      <c r="PSQ116" s="189"/>
      <c r="PSR116" s="189"/>
      <c r="PSS116" s="189"/>
      <c r="PST116" s="189"/>
      <c r="PSU116" s="189"/>
      <c r="PSV116" s="189"/>
      <c r="PSW116" s="189"/>
      <c r="PSX116" s="189"/>
      <c r="PSY116" s="189"/>
      <c r="PSZ116" s="189"/>
      <c r="PTA116" s="189"/>
      <c r="PTB116" s="189"/>
      <c r="PTC116" s="189"/>
      <c r="PTD116" s="189"/>
      <c r="PTE116" s="189"/>
      <c r="PTF116" s="189"/>
      <c r="PTG116" s="189"/>
      <c r="PTH116" s="189"/>
      <c r="PTI116" s="189"/>
      <c r="PTJ116" s="189"/>
      <c r="PTK116" s="189"/>
      <c r="PTL116" s="189"/>
      <c r="PTM116" s="189"/>
      <c r="PTN116" s="189"/>
      <c r="PTO116" s="189"/>
      <c r="PTP116" s="189"/>
      <c r="PTQ116" s="189"/>
      <c r="PTR116" s="189"/>
      <c r="PTS116" s="189"/>
      <c r="PTT116" s="189"/>
      <c r="PTU116" s="189"/>
      <c r="PTV116" s="189"/>
      <c r="PTW116" s="189"/>
      <c r="PTX116" s="189"/>
      <c r="PTY116" s="189"/>
      <c r="PTZ116" s="189"/>
      <c r="PUA116" s="189"/>
      <c r="PUB116" s="189"/>
      <c r="PUC116" s="189"/>
      <c r="PUD116" s="189"/>
      <c r="PUE116" s="189"/>
      <c r="PUF116" s="189"/>
      <c r="PUG116" s="189"/>
      <c r="PUH116" s="189"/>
      <c r="PUI116" s="189"/>
      <c r="PUJ116" s="189"/>
      <c r="PUK116" s="189"/>
      <c r="PUL116" s="189"/>
      <c r="PUM116" s="189"/>
      <c r="PUN116" s="189"/>
      <c r="PUO116" s="189"/>
      <c r="PUP116" s="189"/>
      <c r="PUQ116" s="189"/>
      <c r="PUR116" s="189"/>
      <c r="PUS116" s="189"/>
      <c r="PUT116" s="189"/>
      <c r="PUU116" s="189"/>
      <c r="PUV116" s="189"/>
      <c r="PUW116" s="189"/>
      <c r="PUX116" s="189"/>
      <c r="PUY116" s="189"/>
      <c r="PUZ116" s="189"/>
      <c r="PVA116" s="189"/>
      <c r="PVB116" s="189"/>
      <c r="PVC116" s="189"/>
      <c r="PVD116" s="189"/>
      <c r="PVE116" s="189"/>
      <c r="PVF116" s="189"/>
      <c r="PVG116" s="189"/>
      <c r="PVH116" s="189"/>
      <c r="PVI116" s="189"/>
      <c r="PVJ116" s="189"/>
      <c r="PVK116" s="189"/>
      <c r="PVL116" s="189"/>
      <c r="PVM116" s="189"/>
      <c r="PVN116" s="189"/>
      <c r="PVO116" s="189"/>
      <c r="PVP116" s="189"/>
      <c r="PVQ116" s="189"/>
      <c r="PVR116" s="189"/>
      <c r="PVS116" s="189"/>
      <c r="PVT116" s="189"/>
      <c r="PVU116" s="189"/>
      <c r="PVV116" s="189"/>
      <c r="PVW116" s="189"/>
      <c r="PVX116" s="189"/>
      <c r="PVY116" s="189"/>
      <c r="PVZ116" s="189"/>
      <c r="PWA116" s="189"/>
      <c r="PWB116" s="189"/>
      <c r="PWC116" s="189"/>
      <c r="PWD116" s="189"/>
      <c r="PWE116" s="189"/>
      <c r="PWF116" s="189"/>
      <c r="PWG116" s="189"/>
      <c r="PWH116" s="189"/>
      <c r="PWI116" s="189"/>
      <c r="PWJ116" s="189"/>
      <c r="PWK116" s="189"/>
      <c r="PWL116" s="189"/>
      <c r="PWM116" s="189"/>
      <c r="PWN116" s="189"/>
      <c r="PWO116" s="189"/>
      <c r="PWP116" s="189"/>
      <c r="PWQ116" s="189"/>
      <c r="PWR116" s="189"/>
      <c r="PWS116" s="189"/>
      <c r="PWT116" s="189"/>
      <c r="PWU116" s="189"/>
      <c r="PWV116" s="189"/>
      <c r="PWW116" s="189"/>
      <c r="PWX116" s="189"/>
      <c r="PWY116" s="189"/>
      <c r="PWZ116" s="189"/>
      <c r="PXA116" s="189"/>
      <c r="PXB116" s="189"/>
      <c r="PXC116" s="189"/>
      <c r="PXD116" s="189"/>
      <c r="PXE116" s="189"/>
      <c r="PXF116" s="189"/>
      <c r="PXG116" s="189"/>
      <c r="PXH116" s="189"/>
      <c r="PXI116" s="189"/>
      <c r="PXJ116" s="189"/>
      <c r="PXK116" s="189"/>
      <c r="PXL116" s="189"/>
      <c r="PXM116" s="189"/>
      <c r="PXN116" s="189"/>
      <c r="PXO116" s="189"/>
      <c r="PXP116" s="189"/>
      <c r="PXQ116" s="189"/>
      <c r="PXR116" s="189"/>
      <c r="PXS116" s="189"/>
      <c r="PXT116" s="189"/>
      <c r="PXU116" s="189"/>
      <c r="PXV116" s="189"/>
      <c r="PXW116" s="189"/>
      <c r="PXX116" s="189"/>
      <c r="PXY116" s="189"/>
      <c r="PXZ116" s="189"/>
      <c r="PYA116" s="189"/>
      <c r="PYB116" s="189"/>
      <c r="PYC116" s="189"/>
      <c r="PYD116" s="189"/>
      <c r="PYE116" s="189"/>
      <c r="PYF116" s="189"/>
      <c r="PYG116" s="189"/>
      <c r="PYH116" s="189"/>
      <c r="PYI116" s="189"/>
      <c r="PYJ116" s="189"/>
      <c r="PYK116" s="189"/>
      <c r="PYL116" s="189"/>
      <c r="PYM116" s="189"/>
      <c r="PYN116" s="189"/>
      <c r="PYO116" s="189"/>
      <c r="PYP116" s="189"/>
      <c r="PYQ116" s="189"/>
      <c r="PYR116" s="189"/>
      <c r="PYS116" s="189"/>
      <c r="PYT116" s="189"/>
      <c r="PYU116" s="189"/>
      <c r="PYV116" s="189"/>
      <c r="PYW116" s="189"/>
      <c r="PYX116" s="189"/>
      <c r="PYY116" s="189"/>
      <c r="PYZ116" s="189"/>
      <c r="PZA116" s="189"/>
      <c r="PZB116" s="189"/>
      <c r="PZC116" s="189"/>
      <c r="PZD116" s="189"/>
      <c r="PZE116" s="189"/>
      <c r="PZF116" s="189"/>
      <c r="PZG116" s="189"/>
      <c r="PZH116" s="189"/>
      <c r="PZI116" s="189"/>
      <c r="PZJ116" s="189"/>
      <c r="PZK116" s="189"/>
      <c r="PZL116" s="189"/>
      <c r="PZM116" s="189"/>
      <c r="PZN116" s="189"/>
      <c r="PZO116" s="189"/>
      <c r="PZP116" s="189"/>
      <c r="PZQ116" s="189"/>
      <c r="PZR116" s="189"/>
      <c r="PZS116" s="189"/>
      <c r="PZT116" s="189"/>
      <c r="PZU116" s="189"/>
      <c r="PZV116" s="189"/>
      <c r="PZW116" s="189"/>
      <c r="PZX116" s="189"/>
      <c r="PZY116" s="189"/>
      <c r="PZZ116" s="189"/>
      <c r="QAA116" s="189"/>
      <c r="QAB116" s="189"/>
      <c r="QAC116" s="189"/>
      <c r="QAD116" s="189"/>
      <c r="QAE116" s="189"/>
      <c r="QAF116" s="189"/>
      <c r="QAG116" s="189"/>
      <c r="QAH116" s="189"/>
      <c r="QAI116" s="189"/>
      <c r="QAJ116" s="189"/>
      <c r="QAK116" s="189"/>
      <c r="QAL116" s="189"/>
      <c r="QAM116" s="189"/>
      <c r="QAN116" s="189"/>
      <c r="QAO116" s="189"/>
      <c r="QAP116" s="189"/>
      <c r="QAQ116" s="189"/>
      <c r="QAR116" s="189"/>
      <c r="QAS116" s="189"/>
      <c r="QAT116" s="189"/>
      <c r="QAU116" s="189"/>
      <c r="QAV116" s="189"/>
      <c r="QAW116" s="189"/>
      <c r="QAX116" s="189"/>
      <c r="QAY116" s="189"/>
      <c r="QAZ116" s="189"/>
      <c r="QBA116" s="189"/>
      <c r="QBB116" s="189"/>
      <c r="QBC116" s="189"/>
      <c r="QBD116" s="189"/>
      <c r="QBE116" s="189"/>
      <c r="QBF116" s="189"/>
      <c r="QBG116" s="189"/>
      <c r="QBH116" s="189"/>
      <c r="QBI116" s="189"/>
      <c r="QBJ116" s="189"/>
      <c r="QBK116" s="189"/>
      <c r="QBL116" s="189"/>
      <c r="QBM116" s="189"/>
      <c r="QBN116" s="189"/>
      <c r="QBO116" s="189"/>
      <c r="QBP116" s="189"/>
      <c r="QBQ116" s="189"/>
      <c r="QBR116" s="189"/>
      <c r="QBS116" s="189"/>
      <c r="QBT116" s="189"/>
      <c r="QBU116" s="189"/>
      <c r="QBV116" s="189"/>
      <c r="QBW116" s="189"/>
      <c r="QBX116" s="189"/>
      <c r="QBY116" s="189"/>
      <c r="QBZ116" s="189"/>
      <c r="QCA116" s="189"/>
      <c r="QCB116" s="189"/>
      <c r="QCC116" s="189"/>
      <c r="QCD116" s="189"/>
      <c r="QCE116" s="189"/>
      <c r="QCF116" s="189"/>
      <c r="QCG116" s="189"/>
      <c r="QCH116" s="189"/>
      <c r="QCI116" s="189"/>
      <c r="QCJ116" s="189"/>
      <c r="QCK116" s="189"/>
      <c r="QCL116" s="189"/>
      <c r="QCM116" s="189"/>
      <c r="QCN116" s="189"/>
      <c r="QCO116" s="189"/>
      <c r="QCP116" s="189"/>
      <c r="QCQ116" s="189"/>
      <c r="QCR116" s="189"/>
      <c r="QCS116" s="189"/>
      <c r="QCT116" s="189"/>
      <c r="QCU116" s="189"/>
      <c r="QCV116" s="189"/>
      <c r="QCW116" s="189"/>
      <c r="QCX116" s="189"/>
      <c r="QCY116" s="189"/>
      <c r="QCZ116" s="189"/>
      <c r="QDA116" s="189"/>
      <c r="QDB116" s="189"/>
      <c r="QDC116" s="189"/>
      <c r="QDD116" s="189"/>
      <c r="QDE116" s="189"/>
      <c r="QDF116" s="189"/>
      <c r="QDG116" s="189"/>
      <c r="QDH116" s="189"/>
      <c r="QDI116" s="189"/>
      <c r="QDJ116" s="189"/>
      <c r="QDK116" s="189"/>
      <c r="QDL116" s="189"/>
      <c r="QDM116" s="189"/>
      <c r="QDN116" s="189"/>
      <c r="QDO116" s="189"/>
      <c r="QDP116" s="189"/>
      <c r="QDQ116" s="189"/>
      <c r="QDR116" s="189"/>
      <c r="QDS116" s="189"/>
      <c r="QDT116" s="189"/>
      <c r="QDU116" s="189"/>
      <c r="QDV116" s="189"/>
      <c r="QDW116" s="189"/>
      <c r="QDX116" s="189"/>
      <c r="QDY116" s="189"/>
      <c r="QDZ116" s="189"/>
      <c r="QEA116" s="189"/>
      <c r="QEB116" s="189"/>
      <c r="QEC116" s="189"/>
      <c r="QED116" s="189"/>
      <c r="QEE116" s="189"/>
      <c r="QEF116" s="189"/>
      <c r="QEG116" s="189"/>
      <c r="QEH116" s="189"/>
      <c r="QEI116" s="189"/>
      <c r="QEJ116" s="189"/>
      <c r="QEK116" s="189"/>
      <c r="QEL116" s="189"/>
      <c r="QEM116" s="189"/>
      <c r="QEN116" s="189"/>
      <c r="QEO116" s="189"/>
      <c r="QEP116" s="189"/>
      <c r="QEQ116" s="189"/>
      <c r="QER116" s="189"/>
      <c r="QES116" s="189"/>
      <c r="QET116" s="189"/>
      <c r="QEU116" s="189"/>
      <c r="QEV116" s="189"/>
      <c r="QEW116" s="189"/>
      <c r="QEX116" s="189"/>
      <c r="QEY116" s="189"/>
      <c r="QEZ116" s="189"/>
      <c r="QFA116" s="189"/>
      <c r="QFB116" s="189"/>
      <c r="QFC116" s="189"/>
      <c r="QFD116" s="189"/>
      <c r="QFE116" s="189"/>
      <c r="QFF116" s="189"/>
      <c r="QFG116" s="189"/>
      <c r="QFH116" s="189"/>
      <c r="QFI116" s="189"/>
      <c r="QFJ116" s="189"/>
      <c r="QFK116" s="189"/>
      <c r="QFL116" s="189"/>
      <c r="QFM116" s="189"/>
      <c r="QFN116" s="189"/>
      <c r="QFO116" s="189"/>
      <c r="QFP116" s="189"/>
      <c r="QFQ116" s="189"/>
      <c r="QFR116" s="189"/>
      <c r="QFS116" s="189"/>
      <c r="QFT116" s="189"/>
      <c r="QFU116" s="189"/>
      <c r="QFV116" s="189"/>
      <c r="QFW116" s="189"/>
      <c r="QFX116" s="189"/>
      <c r="QFY116" s="189"/>
      <c r="QFZ116" s="189"/>
      <c r="QGA116" s="189"/>
      <c r="QGB116" s="189"/>
      <c r="QGC116" s="189"/>
      <c r="QGD116" s="189"/>
      <c r="QGE116" s="189"/>
      <c r="QGF116" s="189"/>
      <c r="QGG116" s="189"/>
      <c r="QGH116" s="189"/>
      <c r="QGI116" s="189"/>
      <c r="QGJ116" s="189"/>
      <c r="QGK116" s="189"/>
      <c r="QGL116" s="189"/>
      <c r="QGM116" s="189"/>
      <c r="QGN116" s="189"/>
      <c r="QGO116" s="189"/>
      <c r="QGP116" s="189"/>
      <c r="QGQ116" s="189"/>
      <c r="QGR116" s="189"/>
      <c r="QGS116" s="189"/>
      <c r="QGT116" s="189"/>
      <c r="QGU116" s="189"/>
      <c r="QGV116" s="189"/>
      <c r="QGW116" s="189"/>
      <c r="QGX116" s="189"/>
      <c r="QGY116" s="189"/>
      <c r="QGZ116" s="189"/>
      <c r="QHA116" s="189"/>
      <c r="QHB116" s="189"/>
      <c r="QHC116" s="189"/>
      <c r="QHD116" s="189"/>
      <c r="QHE116" s="189"/>
      <c r="QHF116" s="189"/>
      <c r="QHG116" s="189"/>
      <c r="QHH116" s="189"/>
      <c r="QHI116" s="189"/>
      <c r="QHJ116" s="189"/>
      <c r="QHK116" s="189"/>
      <c r="QHL116" s="189"/>
      <c r="QHM116" s="189"/>
      <c r="QHN116" s="189"/>
      <c r="QHO116" s="189"/>
      <c r="QHP116" s="189"/>
      <c r="QHQ116" s="189"/>
      <c r="QHR116" s="189"/>
      <c r="QHS116" s="189"/>
      <c r="QHT116" s="189"/>
      <c r="QHU116" s="189"/>
      <c r="QHV116" s="189"/>
      <c r="QHW116" s="189"/>
      <c r="QHX116" s="189"/>
      <c r="QHY116" s="189"/>
      <c r="QHZ116" s="189"/>
      <c r="QIA116" s="189"/>
      <c r="QIB116" s="189"/>
      <c r="QIC116" s="189"/>
      <c r="QID116" s="189"/>
      <c r="QIE116" s="189"/>
      <c r="QIF116" s="189"/>
      <c r="QIG116" s="189"/>
      <c r="QIH116" s="189"/>
      <c r="QII116" s="189"/>
      <c r="QIJ116" s="189"/>
      <c r="QIK116" s="189"/>
      <c r="QIL116" s="189"/>
      <c r="QIM116" s="189"/>
      <c r="QIN116" s="189"/>
      <c r="QIO116" s="189"/>
      <c r="QIP116" s="189"/>
      <c r="QIQ116" s="189"/>
      <c r="QIR116" s="189"/>
      <c r="QIS116" s="189"/>
      <c r="QIT116" s="189"/>
      <c r="QIU116" s="189"/>
      <c r="QIV116" s="189"/>
      <c r="QIW116" s="189"/>
      <c r="QIX116" s="189"/>
      <c r="QIY116" s="189"/>
      <c r="QIZ116" s="189"/>
      <c r="QJA116" s="189"/>
      <c r="QJB116" s="189"/>
      <c r="QJC116" s="189"/>
      <c r="QJD116" s="189"/>
      <c r="QJE116" s="189"/>
      <c r="QJF116" s="189"/>
      <c r="QJG116" s="189"/>
      <c r="QJH116" s="189"/>
      <c r="QJI116" s="189"/>
      <c r="QJJ116" s="189"/>
      <c r="QJK116" s="189"/>
      <c r="QJL116" s="189"/>
      <c r="QJM116" s="189"/>
      <c r="QJN116" s="189"/>
      <c r="QJO116" s="189"/>
      <c r="QJP116" s="189"/>
      <c r="QJQ116" s="189"/>
      <c r="QJR116" s="189"/>
      <c r="QJS116" s="189"/>
      <c r="QJT116" s="189"/>
      <c r="QJU116" s="189"/>
      <c r="QJV116" s="189"/>
      <c r="QJW116" s="189"/>
      <c r="QJX116" s="189"/>
      <c r="QJY116" s="189"/>
      <c r="QJZ116" s="189"/>
      <c r="QKA116" s="189"/>
      <c r="QKB116" s="189"/>
      <c r="QKC116" s="189"/>
      <c r="QKD116" s="189"/>
      <c r="QKE116" s="189"/>
      <c r="QKF116" s="189"/>
      <c r="QKG116" s="189"/>
      <c r="QKH116" s="189"/>
      <c r="QKI116" s="189"/>
      <c r="QKJ116" s="189"/>
      <c r="QKK116" s="189"/>
      <c r="QKL116" s="189"/>
      <c r="QKM116" s="189"/>
      <c r="QKN116" s="189"/>
      <c r="QKO116" s="189"/>
      <c r="QKP116" s="189"/>
      <c r="QKQ116" s="189"/>
      <c r="QKR116" s="189"/>
      <c r="QKS116" s="189"/>
      <c r="QKT116" s="189"/>
      <c r="QKU116" s="189"/>
      <c r="QKV116" s="189"/>
      <c r="QKW116" s="189"/>
      <c r="QKX116" s="189"/>
      <c r="QKY116" s="189"/>
      <c r="QKZ116" s="189"/>
      <c r="QLA116" s="189"/>
      <c r="QLB116" s="189"/>
      <c r="QLC116" s="189"/>
      <c r="QLD116" s="189"/>
      <c r="QLE116" s="189"/>
      <c r="QLF116" s="189"/>
      <c r="QLG116" s="189"/>
      <c r="QLH116" s="189"/>
      <c r="QLI116" s="189"/>
      <c r="QLJ116" s="189"/>
      <c r="QLK116" s="189"/>
      <c r="QLL116" s="189"/>
      <c r="QLM116" s="189"/>
      <c r="QLN116" s="189"/>
      <c r="QLO116" s="189"/>
      <c r="QLP116" s="189"/>
      <c r="QLQ116" s="189"/>
      <c r="QLR116" s="189"/>
      <c r="QLS116" s="189"/>
      <c r="QLT116" s="189"/>
      <c r="QLU116" s="189"/>
      <c r="QLV116" s="189"/>
      <c r="QLW116" s="189"/>
      <c r="QLX116" s="189"/>
      <c r="QLY116" s="189"/>
      <c r="QLZ116" s="189"/>
      <c r="QMA116" s="189"/>
      <c r="QMB116" s="189"/>
      <c r="QMC116" s="189"/>
      <c r="QMD116" s="189"/>
      <c r="QME116" s="189"/>
      <c r="QMF116" s="189"/>
      <c r="QMG116" s="189"/>
      <c r="QMH116" s="189"/>
      <c r="QMI116" s="189"/>
      <c r="QMJ116" s="189"/>
      <c r="QMK116" s="189"/>
      <c r="QML116" s="189"/>
      <c r="QMM116" s="189"/>
      <c r="QMN116" s="189"/>
      <c r="QMO116" s="189"/>
      <c r="QMP116" s="189"/>
      <c r="QMQ116" s="189"/>
      <c r="QMR116" s="189"/>
      <c r="QMS116" s="189"/>
      <c r="QMT116" s="189"/>
      <c r="QMU116" s="189"/>
      <c r="QMV116" s="189"/>
      <c r="QMW116" s="189"/>
      <c r="QMX116" s="189"/>
      <c r="QMY116" s="189"/>
      <c r="QMZ116" s="189"/>
      <c r="QNA116" s="189"/>
      <c r="QNB116" s="189"/>
      <c r="QNC116" s="189"/>
      <c r="QND116" s="189"/>
      <c r="QNE116" s="189"/>
      <c r="QNF116" s="189"/>
      <c r="QNG116" s="189"/>
      <c r="QNH116" s="189"/>
      <c r="QNI116" s="189"/>
      <c r="QNJ116" s="189"/>
      <c r="QNK116" s="189"/>
      <c r="QNL116" s="189"/>
      <c r="QNM116" s="189"/>
      <c r="QNN116" s="189"/>
      <c r="QNO116" s="189"/>
      <c r="QNP116" s="189"/>
      <c r="QNQ116" s="189"/>
      <c r="QNR116" s="189"/>
      <c r="QNS116" s="189"/>
      <c r="QNT116" s="189"/>
      <c r="QNU116" s="189"/>
      <c r="QNV116" s="189"/>
      <c r="QNW116" s="189"/>
      <c r="QNX116" s="189"/>
      <c r="QNY116" s="189"/>
      <c r="QNZ116" s="189"/>
      <c r="QOA116" s="189"/>
      <c r="QOB116" s="189"/>
      <c r="QOC116" s="189"/>
      <c r="QOD116" s="189"/>
      <c r="QOE116" s="189"/>
      <c r="QOF116" s="189"/>
      <c r="QOG116" s="189"/>
      <c r="QOH116" s="189"/>
      <c r="QOI116" s="189"/>
      <c r="QOJ116" s="189"/>
      <c r="QOK116" s="189"/>
      <c r="QOL116" s="189"/>
      <c r="QOM116" s="189"/>
      <c r="QON116" s="189"/>
      <c r="QOO116" s="189"/>
      <c r="QOP116" s="189"/>
      <c r="QOQ116" s="189"/>
      <c r="QOR116" s="189"/>
      <c r="QOS116" s="189"/>
      <c r="QOT116" s="189"/>
      <c r="QOU116" s="189"/>
      <c r="QOV116" s="189"/>
      <c r="QOW116" s="189"/>
      <c r="QOX116" s="189"/>
      <c r="QOY116" s="189"/>
      <c r="QOZ116" s="189"/>
      <c r="QPA116" s="189"/>
      <c r="QPB116" s="189"/>
      <c r="QPC116" s="189"/>
      <c r="QPD116" s="189"/>
      <c r="QPE116" s="189"/>
      <c r="QPF116" s="189"/>
      <c r="QPG116" s="189"/>
      <c r="QPH116" s="189"/>
      <c r="QPI116" s="189"/>
      <c r="QPJ116" s="189"/>
      <c r="QPK116" s="189"/>
      <c r="QPL116" s="189"/>
      <c r="QPM116" s="189"/>
      <c r="QPN116" s="189"/>
      <c r="QPO116" s="189"/>
      <c r="QPP116" s="189"/>
      <c r="QPQ116" s="189"/>
      <c r="QPR116" s="189"/>
      <c r="QPS116" s="189"/>
      <c r="QPT116" s="189"/>
      <c r="QPU116" s="189"/>
      <c r="QPV116" s="189"/>
      <c r="QPW116" s="189"/>
      <c r="QPX116" s="189"/>
      <c r="QPY116" s="189"/>
      <c r="QPZ116" s="189"/>
      <c r="QQA116" s="189"/>
      <c r="QQB116" s="189"/>
      <c r="QQC116" s="189"/>
      <c r="QQD116" s="189"/>
      <c r="QQE116" s="189"/>
      <c r="QQF116" s="189"/>
      <c r="QQG116" s="189"/>
      <c r="QQH116" s="189"/>
      <c r="QQI116" s="189"/>
      <c r="QQJ116" s="189"/>
      <c r="QQK116" s="189"/>
      <c r="QQL116" s="189"/>
      <c r="QQM116" s="189"/>
      <c r="QQN116" s="189"/>
      <c r="QQO116" s="189"/>
      <c r="QQP116" s="189"/>
      <c r="QQQ116" s="189"/>
      <c r="QQR116" s="189"/>
      <c r="QQS116" s="189"/>
      <c r="QQT116" s="189"/>
      <c r="QQU116" s="189"/>
      <c r="QQV116" s="189"/>
      <c r="QQW116" s="189"/>
      <c r="QQX116" s="189"/>
      <c r="QQY116" s="189"/>
      <c r="QQZ116" s="189"/>
      <c r="QRA116" s="189"/>
      <c r="QRB116" s="189"/>
      <c r="QRC116" s="189"/>
      <c r="QRD116" s="189"/>
      <c r="QRE116" s="189"/>
      <c r="QRF116" s="189"/>
      <c r="QRG116" s="189"/>
      <c r="QRH116" s="189"/>
      <c r="QRI116" s="189"/>
      <c r="QRJ116" s="189"/>
      <c r="QRK116" s="189"/>
      <c r="QRL116" s="189"/>
      <c r="QRM116" s="189"/>
      <c r="QRN116" s="189"/>
      <c r="QRO116" s="189"/>
      <c r="QRP116" s="189"/>
      <c r="QRQ116" s="189"/>
      <c r="QRR116" s="189"/>
      <c r="QRS116" s="189"/>
      <c r="QRT116" s="189"/>
      <c r="QRU116" s="189"/>
      <c r="QRV116" s="189"/>
      <c r="QRW116" s="189"/>
      <c r="QRX116" s="189"/>
      <c r="QRY116" s="189"/>
      <c r="QRZ116" s="189"/>
      <c r="QSA116" s="189"/>
      <c r="QSB116" s="189"/>
      <c r="QSC116" s="189"/>
      <c r="QSD116" s="189"/>
      <c r="QSE116" s="189"/>
      <c r="QSF116" s="189"/>
      <c r="QSG116" s="189"/>
      <c r="QSH116" s="189"/>
      <c r="QSI116" s="189"/>
      <c r="QSJ116" s="189"/>
      <c r="QSK116" s="189"/>
      <c r="QSL116" s="189"/>
      <c r="QSM116" s="189"/>
      <c r="QSN116" s="189"/>
      <c r="QSO116" s="189"/>
      <c r="QSP116" s="189"/>
      <c r="QSQ116" s="189"/>
      <c r="QSR116" s="189"/>
      <c r="QSS116" s="189"/>
      <c r="QST116" s="189"/>
      <c r="QSU116" s="189"/>
      <c r="QSV116" s="189"/>
      <c r="QSW116" s="189"/>
      <c r="QSX116" s="189"/>
      <c r="QSY116" s="189"/>
      <c r="QSZ116" s="189"/>
      <c r="QTA116" s="189"/>
      <c r="QTB116" s="189"/>
      <c r="QTC116" s="189"/>
      <c r="QTD116" s="189"/>
      <c r="QTE116" s="189"/>
      <c r="QTF116" s="189"/>
      <c r="QTG116" s="189"/>
      <c r="QTH116" s="189"/>
      <c r="QTI116" s="189"/>
      <c r="QTJ116" s="189"/>
      <c r="QTK116" s="189"/>
      <c r="QTL116" s="189"/>
      <c r="QTM116" s="189"/>
      <c r="QTN116" s="189"/>
      <c r="QTO116" s="189"/>
      <c r="QTP116" s="189"/>
      <c r="QTQ116" s="189"/>
      <c r="QTR116" s="189"/>
      <c r="QTS116" s="189"/>
      <c r="QTT116" s="189"/>
      <c r="QTU116" s="189"/>
      <c r="QTV116" s="189"/>
      <c r="QTW116" s="189"/>
      <c r="QTX116" s="189"/>
      <c r="QTY116" s="189"/>
      <c r="QTZ116" s="189"/>
      <c r="QUA116" s="189"/>
      <c r="QUB116" s="189"/>
      <c r="QUC116" s="189"/>
      <c r="QUD116" s="189"/>
      <c r="QUE116" s="189"/>
      <c r="QUF116" s="189"/>
      <c r="QUG116" s="189"/>
      <c r="QUH116" s="189"/>
      <c r="QUI116" s="189"/>
      <c r="QUJ116" s="189"/>
      <c r="QUK116" s="189"/>
      <c r="QUL116" s="189"/>
      <c r="QUM116" s="189"/>
      <c r="QUN116" s="189"/>
      <c r="QUO116" s="189"/>
      <c r="QUP116" s="189"/>
      <c r="QUQ116" s="189"/>
      <c r="QUR116" s="189"/>
      <c r="QUS116" s="189"/>
      <c r="QUT116" s="189"/>
      <c r="QUU116" s="189"/>
      <c r="QUV116" s="189"/>
      <c r="QUW116" s="189"/>
      <c r="QUX116" s="189"/>
      <c r="QUY116" s="189"/>
      <c r="QUZ116" s="189"/>
      <c r="QVA116" s="189"/>
      <c r="QVB116" s="189"/>
      <c r="QVC116" s="189"/>
      <c r="QVD116" s="189"/>
      <c r="QVE116" s="189"/>
      <c r="QVF116" s="189"/>
      <c r="QVG116" s="189"/>
      <c r="QVH116" s="189"/>
      <c r="QVI116" s="189"/>
      <c r="QVJ116" s="189"/>
      <c r="QVK116" s="189"/>
      <c r="QVL116" s="189"/>
      <c r="QVM116" s="189"/>
      <c r="QVN116" s="189"/>
      <c r="QVO116" s="189"/>
      <c r="QVP116" s="189"/>
      <c r="QVQ116" s="189"/>
      <c r="QVR116" s="189"/>
      <c r="QVS116" s="189"/>
      <c r="QVT116" s="189"/>
      <c r="QVU116" s="189"/>
      <c r="QVV116" s="189"/>
      <c r="QVW116" s="189"/>
      <c r="QVX116" s="189"/>
      <c r="QVY116" s="189"/>
      <c r="QVZ116" s="189"/>
      <c r="QWA116" s="189"/>
      <c r="QWB116" s="189"/>
      <c r="QWC116" s="189"/>
      <c r="QWD116" s="189"/>
      <c r="QWE116" s="189"/>
      <c r="QWF116" s="189"/>
      <c r="QWG116" s="189"/>
      <c r="QWH116" s="189"/>
      <c r="QWI116" s="189"/>
      <c r="QWJ116" s="189"/>
      <c r="QWK116" s="189"/>
      <c r="QWL116" s="189"/>
      <c r="QWM116" s="189"/>
      <c r="QWN116" s="189"/>
      <c r="QWO116" s="189"/>
      <c r="QWP116" s="189"/>
      <c r="QWQ116" s="189"/>
      <c r="QWR116" s="189"/>
      <c r="QWS116" s="189"/>
      <c r="QWT116" s="189"/>
      <c r="QWU116" s="189"/>
      <c r="QWV116" s="189"/>
      <c r="QWW116" s="189"/>
      <c r="QWX116" s="189"/>
      <c r="QWY116" s="189"/>
      <c r="QWZ116" s="189"/>
      <c r="QXA116" s="189"/>
      <c r="QXB116" s="189"/>
      <c r="QXC116" s="189"/>
      <c r="QXD116" s="189"/>
      <c r="QXE116" s="189"/>
      <c r="QXF116" s="189"/>
      <c r="QXG116" s="189"/>
      <c r="QXH116" s="189"/>
      <c r="QXI116" s="189"/>
      <c r="QXJ116" s="189"/>
      <c r="QXK116" s="189"/>
      <c r="QXL116" s="189"/>
      <c r="QXM116" s="189"/>
      <c r="QXN116" s="189"/>
      <c r="QXO116" s="189"/>
      <c r="QXP116" s="189"/>
      <c r="QXQ116" s="189"/>
      <c r="QXR116" s="189"/>
      <c r="QXS116" s="189"/>
      <c r="QXT116" s="189"/>
      <c r="QXU116" s="189"/>
      <c r="QXV116" s="189"/>
      <c r="QXW116" s="189"/>
      <c r="QXX116" s="189"/>
      <c r="QXY116" s="189"/>
      <c r="QXZ116" s="189"/>
      <c r="QYA116" s="189"/>
      <c r="QYB116" s="189"/>
      <c r="QYC116" s="189"/>
      <c r="QYD116" s="189"/>
      <c r="QYE116" s="189"/>
      <c r="QYF116" s="189"/>
      <c r="QYG116" s="189"/>
      <c r="QYH116" s="189"/>
      <c r="QYI116" s="189"/>
      <c r="QYJ116" s="189"/>
      <c r="QYK116" s="189"/>
      <c r="QYL116" s="189"/>
      <c r="QYM116" s="189"/>
      <c r="QYN116" s="189"/>
      <c r="QYO116" s="189"/>
      <c r="QYP116" s="189"/>
      <c r="QYQ116" s="189"/>
      <c r="QYR116" s="189"/>
      <c r="QYS116" s="189"/>
      <c r="QYT116" s="189"/>
      <c r="QYU116" s="189"/>
      <c r="QYV116" s="189"/>
      <c r="QYW116" s="189"/>
      <c r="QYX116" s="189"/>
      <c r="QYY116" s="189"/>
      <c r="QYZ116" s="189"/>
      <c r="QZA116" s="189"/>
      <c r="QZB116" s="189"/>
      <c r="QZC116" s="189"/>
      <c r="QZD116" s="189"/>
      <c r="QZE116" s="189"/>
      <c r="QZF116" s="189"/>
      <c r="QZG116" s="189"/>
      <c r="QZH116" s="189"/>
      <c r="QZI116" s="189"/>
      <c r="QZJ116" s="189"/>
      <c r="QZK116" s="189"/>
      <c r="QZL116" s="189"/>
      <c r="QZM116" s="189"/>
      <c r="QZN116" s="189"/>
      <c r="QZO116" s="189"/>
      <c r="QZP116" s="189"/>
      <c r="QZQ116" s="189"/>
      <c r="QZR116" s="189"/>
      <c r="QZS116" s="189"/>
      <c r="QZT116" s="189"/>
      <c r="QZU116" s="189"/>
      <c r="QZV116" s="189"/>
      <c r="QZW116" s="189"/>
      <c r="QZX116" s="189"/>
      <c r="QZY116" s="189"/>
      <c r="QZZ116" s="189"/>
      <c r="RAA116" s="189"/>
      <c r="RAB116" s="189"/>
      <c r="RAC116" s="189"/>
      <c r="RAD116" s="189"/>
      <c r="RAE116" s="189"/>
      <c r="RAF116" s="189"/>
      <c r="RAG116" s="189"/>
      <c r="RAH116" s="189"/>
      <c r="RAI116" s="189"/>
      <c r="RAJ116" s="189"/>
      <c r="RAK116" s="189"/>
      <c r="RAL116" s="189"/>
      <c r="RAM116" s="189"/>
      <c r="RAN116" s="189"/>
      <c r="RAO116" s="189"/>
      <c r="RAP116" s="189"/>
      <c r="RAQ116" s="189"/>
      <c r="RAR116" s="189"/>
      <c r="RAS116" s="189"/>
      <c r="RAT116" s="189"/>
      <c r="RAU116" s="189"/>
      <c r="RAV116" s="189"/>
      <c r="RAW116" s="189"/>
      <c r="RAX116" s="189"/>
      <c r="RAY116" s="189"/>
      <c r="RAZ116" s="189"/>
      <c r="RBA116" s="189"/>
      <c r="RBB116" s="189"/>
      <c r="RBC116" s="189"/>
      <c r="RBD116" s="189"/>
      <c r="RBE116" s="189"/>
      <c r="RBF116" s="189"/>
      <c r="RBG116" s="189"/>
      <c r="RBH116" s="189"/>
      <c r="RBI116" s="189"/>
      <c r="RBJ116" s="189"/>
      <c r="RBK116" s="189"/>
      <c r="RBL116" s="189"/>
      <c r="RBM116" s="189"/>
      <c r="RBN116" s="189"/>
      <c r="RBO116" s="189"/>
      <c r="RBP116" s="189"/>
      <c r="RBQ116" s="189"/>
      <c r="RBR116" s="189"/>
      <c r="RBS116" s="189"/>
      <c r="RBT116" s="189"/>
      <c r="RBU116" s="189"/>
      <c r="RBV116" s="189"/>
      <c r="RBW116" s="189"/>
      <c r="RBX116" s="189"/>
      <c r="RBY116" s="189"/>
      <c r="RBZ116" s="189"/>
      <c r="RCA116" s="189"/>
      <c r="RCB116" s="189"/>
      <c r="RCC116" s="189"/>
      <c r="RCD116" s="189"/>
      <c r="RCE116" s="189"/>
      <c r="RCF116" s="189"/>
      <c r="RCG116" s="189"/>
      <c r="RCH116" s="189"/>
      <c r="RCI116" s="189"/>
      <c r="RCJ116" s="189"/>
      <c r="RCK116" s="189"/>
      <c r="RCL116" s="189"/>
      <c r="RCM116" s="189"/>
      <c r="RCN116" s="189"/>
      <c r="RCO116" s="189"/>
      <c r="RCP116" s="189"/>
      <c r="RCQ116" s="189"/>
      <c r="RCR116" s="189"/>
      <c r="RCS116" s="189"/>
      <c r="RCT116" s="189"/>
      <c r="RCU116" s="189"/>
      <c r="RCV116" s="189"/>
      <c r="RCW116" s="189"/>
      <c r="RCX116" s="189"/>
      <c r="RCY116" s="189"/>
      <c r="RCZ116" s="189"/>
      <c r="RDA116" s="189"/>
      <c r="RDB116" s="189"/>
      <c r="RDC116" s="189"/>
      <c r="RDD116" s="189"/>
      <c r="RDE116" s="189"/>
      <c r="RDF116" s="189"/>
      <c r="RDG116" s="189"/>
      <c r="RDH116" s="189"/>
      <c r="RDI116" s="189"/>
      <c r="RDJ116" s="189"/>
      <c r="RDK116" s="189"/>
      <c r="RDL116" s="189"/>
      <c r="RDM116" s="189"/>
      <c r="RDN116" s="189"/>
      <c r="RDO116" s="189"/>
      <c r="RDP116" s="189"/>
      <c r="RDQ116" s="189"/>
      <c r="RDR116" s="189"/>
      <c r="RDS116" s="189"/>
      <c r="RDT116" s="189"/>
      <c r="RDU116" s="189"/>
      <c r="RDV116" s="189"/>
      <c r="RDW116" s="189"/>
      <c r="RDX116" s="189"/>
      <c r="RDY116" s="189"/>
      <c r="RDZ116" s="189"/>
      <c r="REA116" s="189"/>
      <c r="REB116" s="189"/>
      <c r="REC116" s="189"/>
      <c r="RED116" s="189"/>
      <c r="REE116" s="189"/>
      <c r="REF116" s="189"/>
      <c r="REG116" s="189"/>
      <c r="REH116" s="189"/>
      <c r="REI116" s="189"/>
      <c r="REJ116" s="189"/>
      <c r="REK116" s="189"/>
      <c r="REL116" s="189"/>
      <c r="REM116" s="189"/>
      <c r="REN116" s="189"/>
      <c r="REO116" s="189"/>
      <c r="REP116" s="189"/>
      <c r="REQ116" s="189"/>
      <c r="RER116" s="189"/>
      <c r="RES116" s="189"/>
      <c r="RET116" s="189"/>
      <c r="REU116" s="189"/>
      <c r="REV116" s="189"/>
      <c r="REW116" s="189"/>
      <c r="REX116" s="189"/>
      <c r="REY116" s="189"/>
      <c r="REZ116" s="189"/>
      <c r="RFA116" s="189"/>
      <c r="RFB116" s="189"/>
      <c r="RFC116" s="189"/>
      <c r="RFD116" s="189"/>
      <c r="RFE116" s="189"/>
      <c r="RFF116" s="189"/>
      <c r="RFG116" s="189"/>
      <c r="RFH116" s="189"/>
      <c r="RFI116" s="189"/>
      <c r="RFJ116" s="189"/>
      <c r="RFK116" s="189"/>
      <c r="RFL116" s="189"/>
      <c r="RFM116" s="189"/>
      <c r="RFN116" s="189"/>
      <c r="RFO116" s="189"/>
      <c r="RFP116" s="189"/>
      <c r="RFQ116" s="189"/>
      <c r="RFR116" s="189"/>
      <c r="RFS116" s="189"/>
      <c r="RFT116" s="189"/>
      <c r="RFU116" s="189"/>
      <c r="RFV116" s="189"/>
      <c r="RFW116" s="189"/>
      <c r="RFX116" s="189"/>
      <c r="RFY116" s="189"/>
      <c r="RFZ116" s="189"/>
      <c r="RGA116" s="189"/>
      <c r="RGB116" s="189"/>
      <c r="RGC116" s="189"/>
      <c r="RGD116" s="189"/>
      <c r="RGE116" s="189"/>
      <c r="RGF116" s="189"/>
      <c r="RGG116" s="189"/>
      <c r="RGH116" s="189"/>
      <c r="RGI116" s="189"/>
      <c r="RGJ116" s="189"/>
      <c r="RGK116" s="189"/>
      <c r="RGL116" s="189"/>
      <c r="RGM116" s="189"/>
      <c r="RGN116" s="189"/>
      <c r="RGO116" s="189"/>
      <c r="RGP116" s="189"/>
      <c r="RGQ116" s="189"/>
      <c r="RGR116" s="189"/>
      <c r="RGS116" s="189"/>
      <c r="RGT116" s="189"/>
      <c r="RGU116" s="189"/>
      <c r="RGV116" s="189"/>
      <c r="RGW116" s="189"/>
      <c r="RGX116" s="189"/>
      <c r="RGY116" s="189"/>
      <c r="RGZ116" s="189"/>
      <c r="RHA116" s="189"/>
      <c r="RHB116" s="189"/>
      <c r="RHC116" s="189"/>
      <c r="RHD116" s="189"/>
      <c r="RHE116" s="189"/>
      <c r="RHF116" s="189"/>
      <c r="RHG116" s="189"/>
      <c r="RHH116" s="189"/>
      <c r="RHI116" s="189"/>
      <c r="RHJ116" s="189"/>
      <c r="RHK116" s="189"/>
      <c r="RHL116" s="189"/>
      <c r="RHM116" s="189"/>
      <c r="RHN116" s="189"/>
      <c r="RHO116" s="189"/>
      <c r="RHP116" s="189"/>
      <c r="RHQ116" s="189"/>
      <c r="RHR116" s="189"/>
      <c r="RHS116" s="189"/>
      <c r="RHT116" s="189"/>
      <c r="RHU116" s="189"/>
      <c r="RHV116" s="189"/>
      <c r="RHW116" s="189"/>
      <c r="RHX116" s="189"/>
      <c r="RHY116" s="189"/>
      <c r="RHZ116" s="189"/>
      <c r="RIA116" s="189"/>
      <c r="RIB116" s="189"/>
      <c r="RIC116" s="189"/>
      <c r="RID116" s="189"/>
      <c r="RIE116" s="189"/>
      <c r="RIF116" s="189"/>
      <c r="RIG116" s="189"/>
      <c r="RIH116" s="189"/>
      <c r="RII116" s="189"/>
      <c r="RIJ116" s="189"/>
      <c r="RIK116" s="189"/>
      <c r="RIL116" s="189"/>
      <c r="RIM116" s="189"/>
      <c r="RIN116" s="189"/>
      <c r="RIO116" s="189"/>
      <c r="RIP116" s="189"/>
      <c r="RIQ116" s="189"/>
      <c r="RIR116" s="189"/>
      <c r="RIS116" s="189"/>
      <c r="RIT116" s="189"/>
      <c r="RIU116" s="189"/>
      <c r="RIV116" s="189"/>
      <c r="RIW116" s="189"/>
      <c r="RIX116" s="189"/>
      <c r="RIY116" s="189"/>
      <c r="RIZ116" s="189"/>
      <c r="RJA116" s="189"/>
      <c r="RJB116" s="189"/>
      <c r="RJC116" s="189"/>
      <c r="RJD116" s="189"/>
      <c r="RJE116" s="189"/>
      <c r="RJF116" s="189"/>
      <c r="RJG116" s="189"/>
      <c r="RJH116" s="189"/>
      <c r="RJI116" s="189"/>
      <c r="RJJ116" s="189"/>
      <c r="RJK116" s="189"/>
      <c r="RJL116" s="189"/>
      <c r="RJM116" s="189"/>
      <c r="RJN116" s="189"/>
      <c r="RJO116" s="189"/>
      <c r="RJP116" s="189"/>
      <c r="RJQ116" s="189"/>
      <c r="RJR116" s="189"/>
      <c r="RJS116" s="189"/>
      <c r="RJT116" s="189"/>
      <c r="RJU116" s="189"/>
      <c r="RJV116" s="189"/>
      <c r="RJW116" s="189"/>
      <c r="RJX116" s="189"/>
      <c r="RJY116" s="189"/>
      <c r="RJZ116" s="189"/>
      <c r="RKA116" s="189"/>
      <c r="RKB116" s="189"/>
      <c r="RKC116" s="189"/>
      <c r="RKD116" s="189"/>
      <c r="RKE116" s="189"/>
      <c r="RKF116" s="189"/>
      <c r="RKG116" s="189"/>
      <c r="RKH116" s="189"/>
      <c r="RKI116" s="189"/>
      <c r="RKJ116" s="189"/>
      <c r="RKK116" s="189"/>
      <c r="RKL116" s="189"/>
      <c r="RKM116" s="189"/>
      <c r="RKN116" s="189"/>
      <c r="RKO116" s="189"/>
      <c r="RKP116" s="189"/>
      <c r="RKQ116" s="189"/>
      <c r="RKR116" s="189"/>
      <c r="RKS116" s="189"/>
      <c r="RKT116" s="189"/>
      <c r="RKU116" s="189"/>
      <c r="RKV116" s="189"/>
      <c r="RKW116" s="189"/>
      <c r="RKX116" s="189"/>
      <c r="RKY116" s="189"/>
      <c r="RKZ116" s="189"/>
      <c r="RLA116" s="189"/>
      <c r="RLB116" s="189"/>
      <c r="RLC116" s="189"/>
      <c r="RLD116" s="189"/>
      <c r="RLE116" s="189"/>
      <c r="RLF116" s="189"/>
      <c r="RLG116" s="189"/>
      <c r="RLH116" s="189"/>
      <c r="RLI116" s="189"/>
      <c r="RLJ116" s="189"/>
      <c r="RLK116" s="189"/>
      <c r="RLL116" s="189"/>
      <c r="RLM116" s="189"/>
      <c r="RLN116" s="189"/>
      <c r="RLO116" s="189"/>
      <c r="RLP116" s="189"/>
      <c r="RLQ116" s="189"/>
      <c r="RLR116" s="189"/>
      <c r="RLS116" s="189"/>
      <c r="RLT116" s="189"/>
      <c r="RLU116" s="189"/>
      <c r="RLV116" s="189"/>
      <c r="RLW116" s="189"/>
      <c r="RLX116" s="189"/>
      <c r="RLY116" s="189"/>
      <c r="RLZ116" s="189"/>
      <c r="RMA116" s="189"/>
      <c r="RMB116" s="189"/>
      <c r="RMC116" s="189"/>
      <c r="RMD116" s="189"/>
      <c r="RME116" s="189"/>
      <c r="RMF116" s="189"/>
      <c r="RMG116" s="189"/>
      <c r="RMH116" s="189"/>
      <c r="RMI116" s="189"/>
      <c r="RMJ116" s="189"/>
      <c r="RMK116" s="189"/>
      <c r="RML116" s="189"/>
      <c r="RMM116" s="189"/>
      <c r="RMN116" s="189"/>
      <c r="RMO116" s="189"/>
      <c r="RMP116" s="189"/>
      <c r="RMQ116" s="189"/>
      <c r="RMR116" s="189"/>
      <c r="RMS116" s="189"/>
      <c r="RMT116" s="189"/>
      <c r="RMU116" s="189"/>
      <c r="RMV116" s="189"/>
      <c r="RMW116" s="189"/>
      <c r="RMX116" s="189"/>
      <c r="RMY116" s="189"/>
      <c r="RMZ116" s="189"/>
      <c r="RNA116" s="189"/>
      <c r="RNB116" s="189"/>
      <c r="RNC116" s="189"/>
      <c r="RND116" s="189"/>
      <c r="RNE116" s="189"/>
      <c r="RNF116" s="189"/>
      <c r="RNG116" s="189"/>
      <c r="RNH116" s="189"/>
      <c r="RNI116" s="189"/>
      <c r="RNJ116" s="189"/>
      <c r="RNK116" s="189"/>
      <c r="RNL116" s="189"/>
      <c r="RNM116" s="189"/>
      <c r="RNN116" s="189"/>
      <c r="RNO116" s="189"/>
      <c r="RNP116" s="189"/>
      <c r="RNQ116" s="189"/>
      <c r="RNR116" s="189"/>
      <c r="RNS116" s="189"/>
      <c r="RNT116" s="189"/>
      <c r="RNU116" s="189"/>
      <c r="RNV116" s="189"/>
      <c r="RNW116" s="189"/>
      <c r="RNX116" s="189"/>
      <c r="RNY116" s="189"/>
      <c r="RNZ116" s="189"/>
      <c r="ROA116" s="189"/>
      <c r="ROB116" s="189"/>
      <c r="ROC116" s="189"/>
      <c r="ROD116" s="189"/>
      <c r="ROE116" s="189"/>
      <c r="ROF116" s="189"/>
      <c r="ROG116" s="189"/>
      <c r="ROH116" s="189"/>
      <c r="ROI116" s="189"/>
      <c r="ROJ116" s="189"/>
      <c r="ROK116" s="189"/>
      <c r="ROL116" s="189"/>
      <c r="ROM116" s="189"/>
      <c r="RON116" s="189"/>
      <c r="ROO116" s="189"/>
      <c r="ROP116" s="189"/>
      <c r="ROQ116" s="189"/>
      <c r="ROR116" s="189"/>
      <c r="ROS116" s="189"/>
      <c r="ROT116" s="189"/>
      <c r="ROU116" s="189"/>
      <c r="ROV116" s="189"/>
      <c r="ROW116" s="189"/>
      <c r="ROX116" s="189"/>
      <c r="ROY116" s="189"/>
      <c r="ROZ116" s="189"/>
      <c r="RPA116" s="189"/>
      <c r="RPB116" s="189"/>
      <c r="RPC116" s="189"/>
      <c r="RPD116" s="189"/>
      <c r="RPE116" s="189"/>
      <c r="RPF116" s="189"/>
      <c r="RPG116" s="189"/>
      <c r="RPH116" s="189"/>
      <c r="RPI116" s="189"/>
      <c r="RPJ116" s="189"/>
      <c r="RPK116" s="189"/>
      <c r="RPL116" s="189"/>
      <c r="RPM116" s="189"/>
      <c r="RPN116" s="189"/>
      <c r="RPO116" s="189"/>
      <c r="RPP116" s="189"/>
      <c r="RPQ116" s="189"/>
      <c r="RPR116" s="189"/>
      <c r="RPS116" s="189"/>
      <c r="RPT116" s="189"/>
      <c r="RPU116" s="189"/>
      <c r="RPV116" s="189"/>
      <c r="RPW116" s="189"/>
      <c r="RPX116" s="189"/>
      <c r="RPY116" s="189"/>
      <c r="RPZ116" s="189"/>
      <c r="RQA116" s="189"/>
      <c r="RQB116" s="189"/>
      <c r="RQC116" s="189"/>
      <c r="RQD116" s="189"/>
      <c r="RQE116" s="189"/>
      <c r="RQF116" s="189"/>
      <c r="RQG116" s="189"/>
      <c r="RQH116" s="189"/>
      <c r="RQI116" s="189"/>
      <c r="RQJ116" s="189"/>
      <c r="RQK116" s="189"/>
      <c r="RQL116" s="189"/>
      <c r="RQM116" s="189"/>
      <c r="RQN116" s="189"/>
      <c r="RQO116" s="189"/>
      <c r="RQP116" s="189"/>
      <c r="RQQ116" s="189"/>
      <c r="RQR116" s="189"/>
      <c r="RQS116" s="189"/>
      <c r="RQT116" s="189"/>
      <c r="RQU116" s="189"/>
      <c r="RQV116" s="189"/>
      <c r="RQW116" s="189"/>
      <c r="RQX116" s="189"/>
      <c r="RQY116" s="189"/>
      <c r="RQZ116" s="189"/>
      <c r="RRA116" s="189"/>
      <c r="RRB116" s="189"/>
      <c r="RRC116" s="189"/>
      <c r="RRD116" s="189"/>
      <c r="RRE116" s="189"/>
      <c r="RRF116" s="189"/>
      <c r="RRG116" s="189"/>
      <c r="RRH116" s="189"/>
      <c r="RRI116" s="189"/>
      <c r="RRJ116" s="189"/>
      <c r="RRK116" s="189"/>
      <c r="RRL116" s="189"/>
      <c r="RRM116" s="189"/>
      <c r="RRN116" s="189"/>
      <c r="RRO116" s="189"/>
      <c r="RRP116" s="189"/>
      <c r="RRQ116" s="189"/>
      <c r="RRR116" s="189"/>
      <c r="RRS116" s="189"/>
      <c r="RRT116" s="189"/>
      <c r="RRU116" s="189"/>
      <c r="RRV116" s="189"/>
      <c r="RRW116" s="189"/>
      <c r="RRX116" s="189"/>
      <c r="RRY116" s="189"/>
      <c r="RRZ116" s="189"/>
      <c r="RSA116" s="189"/>
      <c r="RSB116" s="189"/>
      <c r="RSC116" s="189"/>
      <c r="RSD116" s="189"/>
      <c r="RSE116" s="189"/>
      <c r="RSF116" s="189"/>
      <c r="RSG116" s="189"/>
      <c r="RSH116" s="189"/>
      <c r="RSI116" s="189"/>
      <c r="RSJ116" s="189"/>
      <c r="RSK116" s="189"/>
      <c r="RSL116" s="189"/>
      <c r="RSM116" s="189"/>
      <c r="RSN116" s="189"/>
      <c r="RSO116" s="189"/>
      <c r="RSP116" s="189"/>
      <c r="RSQ116" s="189"/>
      <c r="RSR116" s="189"/>
      <c r="RSS116" s="189"/>
      <c r="RST116" s="189"/>
      <c r="RSU116" s="189"/>
      <c r="RSV116" s="189"/>
      <c r="RSW116" s="189"/>
      <c r="RSX116" s="189"/>
      <c r="RSY116" s="189"/>
      <c r="RSZ116" s="189"/>
      <c r="RTA116" s="189"/>
      <c r="RTB116" s="189"/>
      <c r="RTC116" s="189"/>
      <c r="RTD116" s="189"/>
      <c r="RTE116" s="189"/>
      <c r="RTF116" s="189"/>
      <c r="RTG116" s="189"/>
      <c r="RTH116" s="189"/>
      <c r="RTI116" s="189"/>
      <c r="RTJ116" s="189"/>
      <c r="RTK116" s="189"/>
      <c r="RTL116" s="189"/>
      <c r="RTM116" s="189"/>
      <c r="RTN116" s="189"/>
      <c r="RTO116" s="189"/>
      <c r="RTP116" s="189"/>
      <c r="RTQ116" s="189"/>
      <c r="RTR116" s="189"/>
      <c r="RTS116" s="189"/>
      <c r="RTT116" s="189"/>
      <c r="RTU116" s="189"/>
      <c r="RTV116" s="189"/>
      <c r="RTW116" s="189"/>
      <c r="RTX116" s="189"/>
      <c r="RTY116" s="189"/>
      <c r="RTZ116" s="189"/>
      <c r="RUA116" s="189"/>
      <c r="RUB116" s="189"/>
      <c r="RUC116" s="189"/>
      <c r="RUD116" s="189"/>
      <c r="RUE116" s="189"/>
      <c r="RUF116" s="189"/>
      <c r="RUG116" s="189"/>
      <c r="RUH116" s="189"/>
      <c r="RUI116" s="189"/>
      <c r="RUJ116" s="189"/>
      <c r="RUK116" s="189"/>
      <c r="RUL116" s="189"/>
      <c r="RUM116" s="189"/>
      <c r="RUN116" s="189"/>
      <c r="RUO116" s="189"/>
      <c r="RUP116" s="189"/>
      <c r="RUQ116" s="189"/>
      <c r="RUR116" s="189"/>
      <c r="RUS116" s="189"/>
      <c r="RUT116" s="189"/>
      <c r="RUU116" s="189"/>
      <c r="RUV116" s="189"/>
      <c r="RUW116" s="189"/>
      <c r="RUX116" s="189"/>
      <c r="RUY116" s="189"/>
      <c r="RUZ116" s="189"/>
      <c r="RVA116" s="189"/>
      <c r="RVB116" s="189"/>
      <c r="RVC116" s="189"/>
      <c r="RVD116" s="189"/>
      <c r="RVE116" s="189"/>
      <c r="RVF116" s="189"/>
      <c r="RVG116" s="189"/>
      <c r="RVH116" s="189"/>
      <c r="RVI116" s="189"/>
      <c r="RVJ116" s="189"/>
      <c r="RVK116" s="189"/>
      <c r="RVL116" s="189"/>
      <c r="RVM116" s="189"/>
      <c r="RVN116" s="189"/>
      <c r="RVO116" s="189"/>
      <c r="RVP116" s="189"/>
      <c r="RVQ116" s="189"/>
      <c r="RVR116" s="189"/>
      <c r="RVS116" s="189"/>
      <c r="RVT116" s="189"/>
      <c r="RVU116" s="189"/>
      <c r="RVV116" s="189"/>
      <c r="RVW116" s="189"/>
      <c r="RVX116" s="189"/>
      <c r="RVY116" s="189"/>
      <c r="RVZ116" s="189"/>
      <c r="RWA116" s="189"/>
      <c r="RWB116" s="189"/>
      <c r="RWC116" s="189"/>
      <c r="RWD116" s="189"/>
      <c r="RWE116" s="189"/>
      <c r="RWF116" s="189"/>
      <c r="RWG116" s="189"/>
      <c r="RWH116" s="189"/>
      <c r="RWI116" s="189"/>
      <c r="RWJ116" s="189"/>
      <c r="RWK116" s="189"/>
      <c r="RWL116" s="189"/>
      <c r="RWM116" s="189"/>
      <c r="RWN116" s="189"/>
      <c r="RWO116" s="189"/>
      <c r="RWP116" s="189"/>
      <c r="RWQ116" s="189"/>
      <c r="RWR116" s="189"/>
      <c r="RWS116" s="189"/>
      <c r="RWT116" s="189"/>
      <c r="RWU116" s="189"/>
      <c r="RWV116" s="189"/>
      <c r="RWW116" s="189"/>
      <c r="RWX116" s="189"/>
      <c r="RWY116" s="189"/>
      <c r="RWZ116" s="189"/>
      <c r="RXA116" s="189"/>
      <c r="RXB116" s="189"/>
      <c r="RXC116" s="189"/>
      <c r="RXD116" s="189"/>
      <c r="RXE116" s="189"/>
      <c r="RXF116" s="189"/>
      <c r="RXG116" s="189"/>
      <c r="RXH116" s="189"/>
      <c r="RXI116" s="189"/>
      <c r="RXJ116" s="189"/>
      <c r="RXK116" s="189"/>
      <c r="RXL116" s="189"/>
      <c r="RXM116" s="189"/>
      <c r="RXN116" s="189"/>
      <c r="RXO116" s="189"/>
      <c r="RXP116" s="189"/>
      <c r="RXQ116" s="189"/>
      <c r="RXR116" s="189"/>
      <c r="RXS116" s="189"/>
      <c r="RXT116" s="189"/>
      <c r="RXU116" s="189"/>
      <c r="RXV116" s="189"/>
      <c r="RXW116" s="189"/>
      <c r="RXX116" s="189"/>
      <c r="RXY116" s="189"/>
      <c r="RXZ116" s="189"/>
      <c r="RYA116" s="189"/>
      <c r="RYB116" s="189"/>
      <c r="RYC116" s="189"/>
      <c r="RYD116" s="189"/>
      <c r="RYE116" s="189"/>
      <c r="RYF116" s="189"/>
      <c r="RYG116" s="189"/>
      <c r="RYH116" s="189"/>
      <c r="RYI116" s="189"/>
      <c r="RYJ116" s="189"/>
      <c r="RYK116" s="189"/>
      <c r="RYL116" s="189"/>
      <c r="RYM116" s="189"/>
      <c r="RYN116" s="189"/>
      <c r="RYO116" s="189"/>
      <c r="RYP116" s="189"/>
      <c r="RYQ116" s="189"/>
      <c r="RYR116" s="189"/>
      <c r="RYS116" s="189"/>
      <c r="RYT116" s="189"/>
      <c r="RYU116" s="189"/>
      <c r="RYV116" s="189"/>
      <c r="RYW116" s="189"/>
      <c r="RYX116" s="189"/>
      <c r="RYY116" s="189"/>
      <c r="RYZ116" s="189"/>
      <c r="RZA116" s="189"/>
      <c r="RZB116" s="189"/>
      <c r="RZC116" s="189"/>
      <c r="RZD116" s="189"/>
      <c r="RZE116" s="189"/>
      <c r="RZF116" s="189"/>
      <c r="RZG116" s="189"/>
      <c r="RZH116" s="189"/>
      <c r="RZI116" s="189"/>
      <c r="RZJ116" s="189"/>
      <c r="RZK116" s="189"/>
      <c r="RZL116" s="189"/>
      <c r="RZM116" s="189"/>
      <c r="RZN116" s="189"/>
      <c r="RZO116" s="189"/>
      <c r="RZP116" s="189"/>
      <c r="RZQ116" s="189"/>
      <c r="RZR116" s="189"/>
      <c r="RZS116" s="189"/>
      <c r="RZT116" s="189"/>
      <c r="RZU116" s="189"/>
      <c r="RZV116" s="189"/>
      <c r="RZW116" s="189"/>
      <c r="RZX116" s="189"/>
      <c r="RZY116" s="189"/>
      <c r="RZZ116" s="189"/>
      <c r="SAA116" s="189"/>
      <c r="SAB116" s="189"/>
      <c r="SAC116" s="189"/>
      <c r="SAD116" s="189"/>
      <c r="SAE116" s="189"/>
      <c r="SAF116" s="189"/>
      <c r="SAG116" s="189"/>
      <c r="SAH116" s="189"/>
      <c r="SAI116" s="189"/>
      <c r="SAJ116" s="189"/>
      <c r="SAK116" s="189"/>
      <c r="SAL116" s="189"/>
      <c r="SAM116" s="189"/>
      <c r="SAN116" s="189"/>
      <c r="SAO116" s="189"/>
      <c r="SAP116" s="189"/>
      <c r="SAQ116" s="189"/>
      <c r="SAR116" s="189"/>
      <c r="SAS116" s="189"/>
      <c r="SAT116" s="189"/>
      <c r="SAU116" s="189"/>
      <c r="SAV116" s="189"/>
      <c r="SAW116" s="189"/>
      <c r="SAX116" s="189"/>
      <c r="SAY116" s="189"/>
      <c r="SAZ116" s="189"/>
      <c r="SBA116" s="189"/>
      <c r="SBB116" s="189"/>
      <c r="SBC116" s="189"/>
      <c r="SBD116" s="189"/>
      <c r="SBE116" s="189"/>
      <c r="SBF116" s="189"/>
      <c r="SBG116" s="189"/>
      <c r="SBH116" s="189"/>
      <c r="SBI116" s="189"/>
      <c r="SBJ116" s="189"/>
      <c r="SBK116" s="189"/>
      <c r="SBL116" s="189"/>
      <c r="SBM116" s="189"/>
      <c r="SBN116" s="189"/>
      <c r="SBO116" s="189"/>
      <c r="SBP116" s="189"/>
      <c r="SBQ116" s="189"/>
      <c r="SBR116" s="189"/>
      <c r="SBS116" s="189"/>
      <c r="SBT116" s="189"/>
      <c r="SBU116" s="189"/>
      <c r="SBV116" s="189"/>
      <c r="SBW116" s="189"/>
      <c r="SBX116" s="189"/>
      <c r="SBY116" s="189"/>
      <c r="SBZ116" s="189"/>
      <c r="SCA116" s="189"/>
      <c r="SCB116" s="189"/>
      <c r="SCC116" s="189"/>
      <c r="SCD116" s="189"/>
      <c r="SCE116" s="189"/>
      <c r="SCF116" s="189"/>
      <c r="SCG116" s="189"/>
      <c r="SCH116" s="189"/>
      <c r="SCI116" s="189"/>
      <c r="SCJ116" s="189"/>
      <c r="SCK116" s="189"/>
      <c r="SCL116" s="189"/>
      <c r="SCM116" s="189"/>
      <c r="SCN116" s="189"/>
      <c r="SCO116" s="189"/>
      <c r="SCP116" s="189"/>
      <c r="SCQ116" s="189"/>
      <c r="SCR116" s="189"/>
      <c r="SCS116" s="189"/>
      <c r="SCT116" s="189"/>
      <c r="SCU116" s="189"/>
      <c r="SCV116" s="189"/>
      <c r="SCW116" s="189"/>
      <c r="SCX116" s="189"/>
      <c r="SCY116" s="189"/>
      <c r="SCZ116" s="189"/>
      <c r="SDA116" s="189"/>
      <c r="SDB116" s="189"/>
      <c r="SDC116" s="189"/>
      <c r="SDD116" s="189"/>
      <c r="SDE116" s="189"/>
      <c r="SDF116" s="189"/>
      <c r="SDG116" s="189"/>
      <c r="SDH116" s="189"/>
      <c r="SDI116" s="189"/>
      <c r="SDJ116" s="189"/>
      <c r="SDK116" s="189"/>
      <c r="SDL116" s="189"/>
      <c r="SDM116" s="189"/>
      <c r="SDN116" s="189"/>
      <c r="SDO116" s="189"/>
      <c r="SDP116" s="189"/>
      <c r="SDQ116" s="189"/>
      <c r="SDR116" s="189"/>
      <c r="SDS116" s="189"/>
      <c r="SDT116" s="189"/>
      <c r="SDU116" s="189"/>
      <c r="SDV116" s="189"/>
      <c r="SDW116" s="189"/>
      <c r="SDX116" s="189"/>
      <c r="SDY116" s="189"/>
      <c r="SDZ116" s="189"/>
      <c r="SEA116" s="189"/>
      <c r="SEB116" s="189"/>
      <c r="SEC116" s="189"/>
      <c r="SED116" s="189"/>
      <c r="SEE116" s="189"/>
      <c r="SEF116" s="189"/>
      <c r="SEG116" s="189"/>
      <c r="SEH116" s="189"/>
      <c r="SEI116" s="189"/>
      <c r="SEJ116" s="189"/>
      <c r="SEK116" s="189"/>
      <c r="SEL116" s="189"/>
      <c r="SEM116" s="189"/>
      <c r="SEN116" s="189"/>
      <c r="SEO116" s="189"/>
      <c r="SEP116" s="189"/>
      <c r="SEQ116" s="189"/>
      <c r="SER116" s="189"/>
      <c r="SES116" s="189"/>
      <c r="SET116" s="189"/>
      <c r="SEU116" s="189"/>
      <c r="SEV116" s="189"/>
      <c r="SEW116" s="189"/>
      <c r="SEX116" s="189"/>
      <c r="SEY116" s="189"/>
      <c r="SEZ116" s="189"/>
      <c r="SFA116" s="189"/>
      <c r="SFB116" s="189"/>
      <c r="SFC116" s="189"/>
      <c r="SFD116" s="189"/>
      <c r="SFE116" s="189"/>
      <c r="SFF116" s="189"/>
      <c r="SFG116" s="189"/>
      <c r="SFH116" s="189"/>
      <c r="SFI116" s="189"/>
      <c r="SFJ116" s="189"/>
      <c r="SFK116" s="189"/>
      <c r="SFL116" s="189"/>
      <c r="SFM116" s="189"/>
      <c r="SFN116" s="189"/>
      <c r="SFO116" s="189"/>
      <c r="SFP116" s="189"/>
      <c r="SFQ116" s="189"/>
      <c r="SFR116" s="189"/>
      <c r="SFS116" s="189"/>
      <c r="SFT116" s="189"/>
      <c r="SFU116" s="189"/>
      <c r="SFV116" s="189"/>
      <c r="SFW116" s="189"/>
      <c r="SFX116" s="189"/>
      <c r="SFY116" s="189"/>
      <c r="SFZ116" s="189"/>
      <c r="SGA116" s="189"/>
      <c r="SGB116" s="189"/>
      <c r="SGC116" s="189"/>
      <c r="SGD116" s="189"/>
      <c r="SGE116" s="189"/>
      <c r="SGF116" s="189"/>
      <c r="SGG116" s="189"/>
      <c r="SGH116" s="189"/>
      <c r="SGI116" s="189"/>
      <c r="SGJ116" s="189"/>
      <c r="SGK116" s="189"/>
      <c r="SGL116" s="189"/>
      <c r="SGM116" s="189"/>
      <c r="SGN116" s="189"/>
      <c r="SGO116" s="189"/>
      <c r="SGP116" s="189"/>
      <c r="SGQ116" s="189"/>
      <c r="SGR116" s="189"/>
      <c r="SGS116" s="189"/>
      <c r="SGT116" s="189"/>
      <c r="SGU116" s="189"/>
      <c r="SGV116" s="189"/>
      <c r="SGW116" s="189"/>
      <c r="SGX116" s="189"/>
      <c r="SGY116" s="189"/>
      <c r="SGZ116" s="189"/>
      <c r="SHA116" s="189"/>
      <c r="SHB116" s="189"/>
      <c r="SHC116" s="189"/>
      <c r="SHD116" s="189"/>
      <c r="SHE116" s="189"/>
      <c r="SHF116" s="189"/>
      <c r="SHG116" s="189"/>
      <c r="SHH116" s="189"/>
      <c r="SHI116" s="189"/>
      <c r="SHJ116" s="189"/>
      <c r="SHK116" s="189"/>
      <c r="SHL116" s="189"/>
      <c r="SHM116" s="189"/>
      <c r="SHN116" s="189"/>
      <c r="SHO116" s="189"/>
      <c r="SHP116" s="189"/>
      <c r="SHQ116" s="189"/>
      <c r="SHR116" s="189"/>
      <c r="SHS116" s="189"/>
      <c r="SHT116" s="189"/>
      <c r="SHU116" s="189"/>
      <c r="SHV116" s="189"/>
      <c r="SHW116" s="189"/>
      <c r="SHX116" s="189"/>
      <c r="SHY116" s="189"/>
      <c r="SHZ116" s="189"/>
      <c r="SIA116" s="189"/>
      <c r="SIB116" s="189"/>
      <c r="SIC116" s="189"/>
      <c r="SID116" s="189"/>
      <c r="SIE116" s="189"/>
      <c r="SIF116" s="189"/>
      <c r="SIG116" s="189"/>
      <c r="SIH116" s="189"/>
      <c r="SII116" s="189"/>
      <c r="SIJ116" s="189"/>
      <c r="SIK116" s="189"/>
      <c r="SIL116" s="189"/>
      <c r="SIM116" s="189"/>
      <c r="SIN116" s="189"/>
      <c r="SIO116" s="189"/>
      <c r="SIP116" s="189"/>
      <c r="SIQ116" s="189"/>
      <c r="SIR116" s="189"/>
      <c r="SIS116" s="189"/>
      <c r="SIT116" s="189"/>
      <c r="SIU116" s="189"/>
      <c r="SIV116" s="189"/>
      <c r="SIW116" s="189"/>
      <c r="SIX116" s="189"/>
      <c r="SIY116" s="189"/>
      <c r="SIZ116" s="189"/>
      <c r="SJA116" s="189"/>
      <c r="SJB116" s="189"/>
      <c r="SJC116" s="189"/>
      <c r="SJD116" s="189"/>
      <c r="SJE116" s="189"/>
      <c r="SJF116" s="189"/>
      <c r="SJG116" s="189"/>
      <c r="SJH116" s="189"/>
      <c r="SJI116" s="189"/>
      <c r="SJJ116" s="189"/>
      <c r="SJK116" s="189"/>
      <c r="SJL116" s="189"/>
      <c r="SJM116" s="189"/>
      <c r="SJN116" s="189"/>
      <c r="SJO116" s="189"/>
      <c r="SJP116" s="189"/>
      <c r="SJQ116" s="189"/>
      <c r="SJR116" s="189"/>
      <c r="SJS116" s="189"/>
      <c r="SJT116" s="189"/>
      <c r="SJU116" s="189"/>
      <c r="SJV116" s="189"/>
      <c r="SJW116" s="189"/>
      <c r="SJX116" s="189"/>
      <c r="SJY116" s="189"/>
      <c r="SJZ116" s="189"/>
      <c r="SKA116" s="189"/>
      <c r="SKB116" s="189"/>
      <c r="SKC116" s="189"/>
      <c r="SKD116" s="189"/>
      <c r="SKE116" s="189"/>
      <c r="SKF116" s="189"/>
      <c r="SKG116" s="189"/>
      <c r="SKH116" s="189"/>
      <c r="SKI116" s="189"/>
      <c r="SKJ116" s="189"/>
      <c r="SKK116" s="189"/>
      <c r="SKL116" s="189"/>
      <c r="SKM116" s="189"/>
      <c r="SKN116" s="189"/>
      <c r="SKO116" s="189"/>
      <c r="SKP116" s="189"/>
      <c r="SKQ116" s="189"/>
      <c r="SKR116" s="189"/>
      <c r="SKS116" s="189"/>
      <c r="SKT116" s="189"/>
      <c r="SKU116" s="189"/>
      <c r="SKV116" s="189"/>
      <c r="SKW116" s="189"/>
      <c r="SKX116" s="189"/>
      <c r="SKY116" s="189"/>
      <c r="SKZ116" s="189"/>
      <c r="SLA116" s="189"/>
      <c r="SLB116" s="189"/>
      <c r="SLC116" s="189"/>
      <c r="SLD116" s="189"/>
      <c r="SLE116" s="189"/>
      <c r="SLF116" s="189"/>
      <c r="SLG116" s="189"/>
      <c r="SLH116" s="189"/>
      <c r="SLI116" s="189"/>
      <c r="SLJ116" s="189"/>
      <c r="SLK116" s="189"/>
      <c r="SLL116" s="189"/>
      <c r="SLM116" s="189"/>
      <c r="SLN116" s="189"/>
      <c r="SLO116" s="189"/>
      <c r="SLP116" s="189"/>
      <c r="SLQ116" s="189"/>
      <c r="SLR116" s="189"/>
      <c r="SLS116" s="189"/>
      <c r="SLT116" s="189"/>
      <c r="SLU116" s="189"/>
      <c r="SLV116" s="189"/>
      <c r="SLW116" s="189"/>
      <c r="SLX116" s="189"/>
      <c r="SLY116" s="189"/>
      <c r="SLZ116" s="189"/>
      <c r="SMA116" s="189"/>
      <c r="SMB116" s="189"/>
      <c r="SMC116" s="189"/>
      <c r="SMD116" s="189"/>
      <c r="SME116" s="189"/>
      <c r="SMF116" s="189"/>
      <c r="SMG116" s="189"/>
      <c r="SMH116" s="189"/>
      <c r="SMI116" s="189"/>
      <c r="SMJ116" s="189"/>
      <c r="SMK116" s="189"/>
      <c r="SML116" s="189"/>
      <c r="SMM116" s="189"/>
      <c r="SMN116" s="189"/>
      <c r="SMO116" s="189"/>
      <c r="SMP116" s="189"/>
      <c r="SMQ116" s="189"/>
      <c r="SMR116" s="189"/>
      <c r="SMS116" s="189"/>
      <c r="SMT116" s="189"/>
      <c r="SMU116" s="189"/>
      <c r="SMV116" s="189"/>
      <c r="SMW116" s="189"/>
      <c r="SMX116" s="189"/>
      <c r="SMY116" s="189"/>
      <c r="SMZ116" s="189"/>
      <c r="SNA116" s="189"/>
      <c r="SNB116" s="189"/>
      <c r="SNC116" s="189"/>
      <c r="SND116" s="189"/>
      <c r="SNE116" s="189"/>
      <c r="SNF116" s="189"/>
      <c r="SNG116" s="189"/>
      <c r="SNH116" s="189"/>
      <c r="SNI116" s="189"/>
      <c r="SNJ116" s="189"/>
      <c r="SNK116" s="189"/>
      <c r="SNL116" s="189"/>
      <c r="SNM116" s="189"/>
      <c r="SNN116" s="189"/>
      <c r="SNO116" s="189"/>
      <c r="SNP116" s="189"/>
      <c r="SNQ116" s="189"/>
      <c r="SNR116" s="189"/>
      <c r="SNS116" s="189"/>
      <c r="SNT116" s="189"/>
      <c r="SNU116" s="189"/>
      <c r="SNV116" s="189"/>
      <c r="SNW116" s="189"/>
      <c r="SNX116" s="189"/>
      <c r="SNY116" s="189"/>
      <c r="SNZ116" s="189"/>
      <c r="SOA116" s="189"/>
      <c r="SOB116" s="189"/>
      <c r="SOC116" s="189"/>
      <c r="SOD116" s="189"/>
      <c r="SOE116" s="189"/>
      <c r="SOF116" s="189"/>
      <c r="SOG116" s="189"/>
      <c r="SOH116" s="189"/>
      <c r="SOI116" s="189"/>
      <c r="SOJ116" s="189"/>
      <c r="SOK116" s="189"/>
      <c r="SOL116" s="189"/>
      <c r="SOM116" s="189"/>
      <c r="SON116" s="189"/>
      <c r="SOO116" s="189"/>
      <c r="SOP116" s="189"/>
      <c r="SOQ116" s="189"/>
      <c r="SOR116" s="189"/>
      <c r="SOS116" s="189"/>
      <c r="SOT116" s="189"/>
      <c r="SOU116" s="189"/>
      <c r="SOV116" s="189"/>
      <c r="SOW116" s="189"/>
      <c r="SOX116" s="189"/>
      <c r="SOY116" s="189"/>
      <c r="SOZ116" s="189"/>
      <c r="SPA116" s="189"/>
      <c r="SPB116" s="189"/>
      <c r="SPC116" s="189"/>
      <c r="SPD116" s="189"/>
      <c r="SPE116" s="189"/>
      <c r="SPF116" s="189"/>
      <c r="SPG116" s="189"/>
      <c r="SPH116" s="189"/>
      <c r="SPI116" s="189"/>
      <c r="SPJ116" s="189"/>
      <c r="SPK116" s="189"/>
      <c r="SPL116" s="189"/>
      <c r="SPM116" s="189"/>
      <c r="SPN116" s="189"/>
      <c r="SPO116" s="189"/>
      <c r="SPP116" s="189"/>
      <c r="SPQ116" s="189"/>
      <c r="SPR116" s="189"/>
      <c r="SPS116" s="189"/>
      <c r="SPT116" s="189"/>
      <c r="SPU116" s="189"/>
      <c r="SPV116" s="189"/>
      <c r="SPW116" s="189"/>
      <c r="SPX116" s="189"/>
      <c r="SPY116" s="189"/>
      <c r="SPZ116" s="189"/>
      <c r="SQA116" s="189"/>
      <c r="SQB116" s="189"/>
      <c r="SQC116" s="189"/>
      <c r="SQD116" s="189"/>
      <c r="SQE116" s="189"/>
      <c r="SQF116" s="189"/>
      <c r="SQG116" s="189"/>
      <c r="SQH116" s="189"/>
      <c r="SQI116" s="189"/>
      <c r="SQJ116" s="189"/>
      <c r="SQK116" s="189"/>
      <c r="SQL116" s="189"/>
      <c r="SQM116" s="189"/>
      <c r="SQN116" s="189"/>
      <c r="SQO116" s="189"/>
      <c r="SQP116" s="189"/>
      <c r="SQQ116" s="189"/>
      <c r="SQR116" s="189"/>
      <c r="SQS116" s="189"/>
      <c r="SQT116" s="189"/>
      <c r="SQU116" s="189"/>
      <c r="SQV116" s="189"/>
      <c r="SQW116" s="189"/>
      <c r="SQX116" s="189"/>
      <c r="SQY116" s="189"/>
      <c r="SQZ116" s="189"/>
      <c r="SRA116" s="189"/>
      <c r="SRB116" s="189"/>
      <c r="SRC116" s="189"/>
      <c r="SRD116" s="189"/>
      <c r="SRE116" s="189"/>
      <c r="SRF116" s="189"/>
      <c r="SRG116" s="189"/>
      <c r="SRH116" s="189"/>
      <c r="SRI116" s="189"/>
      <c r="SRJ116" s="189"/>
      <c r="SRK116" s="189"/>
      <c r="SRL116" s="189"/>
      <c r="SRM116" s="189"/>
      <c r="SRN116" s="189"/>
      <c r="SRO116" s="189"/>
      <c r="SRP116" s="189"/>
      <c r="SRQ116" s="189"/>
      <c r="SRR116" s="189"/>
      <c r="SRS116" s="189"/>
      <c r="SRT116" s="189"/>
      <c r="SRU116" s="189"/>
      <c r="SRV116" s="189"/>
      <c r="SRW116" s="189"/>
      <c r="SRX116" s="189"/>
      <c r="SRY116" s="189"/>
      <c r="SRZ116" s="189"/>
      <c r="SSA116" s="189"/>
      <c r="SSB116" s="189"/>
      <c r="SSC116" s="189"/>
      <c r="SSD116" s="189"/>
      <c r="SSE116" s="189"/>
      <c r="SSF116" s="189"/>
      <c r="SSG116" s="189"/>
      <c r="SSH116" s="189"/>
      <c r="SSI116" s="189"/>
      <c r="SSJ116" s="189"/>
      <c r="SSK116" s="189"/>
      <c r="SSL116" s="189"/>
      <c r="SSM116" s="189"/>
      <c r="SSN116" s="189"/>
      <c r="SSO116" s="189"/>
      <c r="SSP116" s="189"/>
      <c r="SSQ116" s="189"/>
      <c r="SSR116" s="189"/>
      <c r="SSS116" s="189"/>
      <c r="SST116" s="189"/>
      <c r="SSU116" s="189"/>
      <c r="SSV116" s="189"/>
      <c r="SSW116" s="189"/>
      <c r="SSX116" s="189"/>
      <c r="SSY116" s="189"/>
      <c r="SSZ116" s="189"/>
      <c r="STA116" s="189"/>
      <c r="STB116" s="189"/>
      <c r="STC116" s="189"/>
      <c r="STD116" s="189"/>
      <c r="STE116" s="189"/>
      <c r="STF116" s="189"/>
      <c r="STG116" s="189"/>
      <c r="STH116" s="189"/>
      <c r="STI116" s="189"/>
      <c r="STJ116" s="189"/>
      <c r="STK116" s="189"/>
      <c r="STL116" s="189"/>
      <c r="STM116" s="189"/>
      <c r="STN116" s="189"/>
      <c r="STO116" s="189"/>
      <c r="STP116" s="189"/>
      <c r="STQ116" s="189"/>
      <c r="STR116" s="189"/>
      <c r="STS116" s="189"/>
      <c r="STT116" s="189"/>
      <c r="STU116" s="189"/>
      <c r="STV116" s="189"/>
      <c r="STW116" s="189"/>
      <c r="STX116" s="189"/>
      <c r="STY116" s="189"/>
      <c r="STZ116" s="189"/>
      <c r="SUA116" s="189"/>
      <c r="SUB116" s="189"/>
      <c r="SUC116" s="189"/>
      <c r="SUD116" s="189"/>
      <c r="SUE116" s="189"/>
      <c r="SUF116" s="189"/>
      <c r="SUG116" s="189"/>
      <c r="SUH116" s="189"/>
      <c r="SUI116" s="189"/>
      <c r="SUJ116" s="189"/>
      <c r="SUK116" s="189"/>
      <c r="SUL116" s="189"/>
      <c r="SUM116" s="189"/>
      <c r="SUN116" s="189"/>
      <c r="SUO116" s="189"/>
      <c r="SUP116" s="189"/>
      <c r="SUQ116" s="189"/>
      <c r="SUR116" s="189"/>
      <c r="SUS116" s="189"/>
      <c r="SUT116" s="189"/>
      <c r="SUU116" s="189"/>
      <c r="SUV116" s="189"/>
      <c r="SUW116" s="189"/>
      <c r="SUX116" s="189"/>
      <c r="SUY116" s="189"/>
      <c r="SUZ116" s="189"/>
      <c r="SVA116" s="189"/>
      <c r="SVB116" s="189"/>
      <c r="SVC116" s="189"/>
      <c r="SVD116" s="189"/>
      <c r="SVE116" s="189"/>
      <c r="SVF116" s="189"/>
      <c r="SVG116" s="189"/>
      <c r="SVH116" s="189"/>
      <c r="SVI116" s="189"/>
      <c r="SVJ116" s="189"/>
      <c r="SVK116" s="189"/>
      <c r="SVL116" s="189"/>
      <c r="SVM116" s="189"/>
      <c r="SVN116" s="189"/>
      <c r="SVO116" s="189"/>
      <c r="SVP116" s="189"/>
      <c r="SVQ116" s="189"/>
      <c r="SVR116" s="189"/>
      <c r="SVS116" s="189"/>
      <c r="SVT116" s="189"/>
      <c r="SVU116" s="189"/>
      <c r="SVV116" s="189"/>
      <c r="SVW116" s="189"/>
      <c r="SVX116" s="189"/>
      <c r="SVY116" s="189"/>
      <c r="SVZ116" s="189"/>
      <c r="SWA116" s="189"/>
      <c r="SWB116" s="189"/>
      <c r="SWC116" s="189"/>
      <c r="SWD116" s="189"/>
      <c r="SWE116" s="189"/>
      <c r="SWF116" s="189"/>
      <c r="SWG116" s="189"/>
      <c r="SWH116" s="189"/>
      <c r="SWI116" s="189"/>
      <c r="SWJ116" s="189"/>
      <c r="SWK116" s="189"/>
      <c r="SWL116" s="189"/>
      <c r="SWM116" s="189"/>
      <c r="SWN116" s="189"/>
      <c r="SWO116" s="189"/>
      <c r="SWP116" s="189"/>
      <c r="SWQ116" s="189"/>
      <c r="SWR116" s="189"/>
      <c r="SWS116" s="189"/>
      <c r="SWT116" s="189"/>
      <c r="SWU116" s="189"/>
      <c r="SWV116" s="189"/>
      <c r="SWW116" s="189"/>
      <c r="SWX116" s="189"/>
      <c r="SWY116" s="189"/>
      <c r="SWZ116" s="189"/>
      <c r="SXA116" s="189"/>
      <c r="SXB116" s="189"/>
      <c r="SXC116" s="189"/>
      <c r="SXD116" s="189"/>
      <c r="SXE116" s="189"/>
      <c r="SXF116" s="189"/>
      <c r="SXG116" s="189"/>
      <c r="SXH116" s="189"/>
      <c r="SXI116" s="189"/>
      <c r="SXJ116" s="189"/>
      <c r="SXK116" s="189"/>
      <c r="SXL116" s="189"/>
      <c r="SXM116" s="189"/>
      <c r="SXN116" s="189"/>
      <c r="SXO116" s="189"/>
      <c r="SXP116" s="189"/>
      <c r="SXQ116" s="189"/>
      <c r="SXR116" s="189"/>
      <c r="SXS116" s="189"/>
      <c r="SXT116" s="189"/>
      <c r="SXU116" s="189"/>
      <c r="SXV116" s="189"/>
      <c r="SXW116" s="189"/>
      <c r="SXX116" s="189"/>
      <c r="SXY116" s="189"/>
      <c r="SXZ116" s="189"/>
      <c r="SYA116" s="189"/>
      <c r="SYB116" s="189"/>
      <c r="SYC116" s="189"/>
      <c r="SYD116" s="189"/>
      <c r="SYE116" s="189"/>
      <c r="SYF116" s="189"/>
      <c r="SYG116" s="189"/>
      <c r="SYH116" s="189"/>
      <c r="SYI116" s="189"/>
      <c r="SYJ116" s="189"/>
      <c r="SYK116" s="189"/>
      <c r="SYL116" s="189"/>
      <c r="SYM116" s="189"/>
      <c r="SYN116" s="189"/>
      <c r="SYO116" s="189"/>
      <c r="SYP116" s="189"/>
      <c r="SYQ116" s="189"/>
      <c r="SYR116" s="189"/>
      <c r="SYS116" s="189"/>
      <c r="SYT116" s="189"/>
      <c r="SYU116" s="189"/>
      <c r="SYV116" s="189"/>
      <c r="SYW116" s="189"/>
      <c r="SYX116" s="189"/>
      <c r="SYY116" s="189"/>
      <c r="SYZ116" s="189"/>
      <c r="SZA116" s="189"/>
      <c r="SZB116" s="189"/>
      <c r="SZC116" s="189"/>
      <c r="SZD116" s="189"/>
      <c r="SZE116" s="189"/>
      <c r="SZF116" s="189"/>
      <c r="SZG116" s="189"/>
      <c r="SZH116" s="189"/>
      <c r="SZI116" s="189"/>
      <c r="SZJ116" s="189"/>
      <c r="SZK116" s="189"/>
      <c r="SZL116" s="189"/>
      <c r="SZM116" s="189"/>
      <c r="SZN116" s="189"/>
      <c r="SZO116" s="189"/>
      <c r="SZP116" s="189"/>
      <c r="SZQ116" s="189"/>
      <c r="SZR116" s="189"/>
      <c r="SZS116" s="189"/>
      <c r="SZT116" s="189"/>
      <c r="SZU116" s="189"/>
      <c r="SZV116" s="189"/>
      <c r="SZW116" s="189"/>
      <c r="SZX116" s="189"/>
      <c r="SZY116" s="189"/>
      <c r="SZZ116" s="189"/>
      <c r="TAA116" s="189"/>
      <c r="TAB116" s="189"/>
      <c r="TAC116" s="189"/>
      <c r="TAD116" s="189"/>
      <c r="TAE116" s="189"/>
      <c r="TAF116" s="189"/>
      <c r="TAG116" s="189"/>
      <c r="TAH116" s="189"/>
      <c r="TAI116" s="189"/>
      <c r="TAJ116" s="189"/>
      <c r="TAK116" s="189"/>
      <c r="TAL116" s="189"/>
      <c r="TAM116" s="189"/>
      <c r="TAN116" s="189"/>
      <c r="TAO116" s="189"/>
      <c r="TAP116" s="189"/>
      <c r="TAQ116" s="189"/>
      <c r="TAR116" s="189"/>
      <c r="TAS116" s="189"/>
      <c r="TAT116" s="189"/>
      <c r="TAU116" s="189"/>
      <c r="TAV116" s="189"/>
      <c r="TAW116" s="189"/>
      <c r="TAX116" s="189"/>
      <c r="TAY116" s="189"/>
      <c r="TAZ116" s="189"/>
      <c r="TBA116" s="189"/>
      <c r="TBB116" s="189"/>
      <c r="TBC116" s="189"/>
      <c r="TBD116" s="189"/>
      <c r="TBE116" s="189"/>
      <c r="TBF116" s="189"/>
      <c r="TBG116" s="189"/>
      <c r="TBH116" s="189"/>
      <c r="TBI116" s="189"/>
      <c r="TBJ116" s="189"/>
      <c r="TBK116" s="189"/>
      <c r="TBL116" s="189"/>
      <c r="TBM116" s="189"/>
      <c r="TBN116" s="189"/>
      <c r="TBO116" s="189"/>
      <c r="TBP116" s="189"/>
      <c r="TBQ116" s="189"/>
      <c r="TBR116" s="189"/>
      <c r="TBS116" s="189"/>
      <c r="TBT116" s="189"/>
      <c r="TBU116" s="189"/>
      <c r="TBV116" s="189"/>
      <c r="TBW116" s="189"/>
      <c r="TBX116" s="189"/>
      <c r="TBY116" s="189"/>
      <c r="TBZ116" s="189"/>
      <c r="TCA116" s="189"/>
      <c r="TCB116" s="189"/>
      <c r="TCC116" s="189"/>
      <c r="TCD116" s="189"/>
      <c r="TCE116" s="189"/>
      <c r="TCF116" s="189"/>
      <c r="TCG116" s="189"/>
      <c r="TCH116" s="189"/>
      <c r="TCI116" s="189"/>
      <c r="TCJ116" s="189"/>
      <c r="TCK116" s="189"/>
      <c r="TCL116" s="189"/>
      <c r="TCM116" s="189"/>
      <c r="TCN116" s="189"/>
      <c r="TCO116" s="189"/>
      <c r="TCP116" s="189"/>
      <c r="TCQ116" s="189"/>
      <c r="TCR116" s="189"/>
      <c r="TCS116" s="189"/>
      <c r="TCT116" s="189"/>
      <c r="TCU116" s="189"/>
      <c r="TCV116" s="189"/>
      <c r="TCW116" s="189"/>
      <c r="TCX116" s="189"/>
      <c r="TCY116" s="189"/>
      <c r="TCZ116" s="189"/>
      <c r="TDA116" s="189"/>
      <c r="TDB116" s="189"/>
      <c r="TDC116" s="189"/>
      <c r="TDD116" s="189"/>
      <c r="TDE116" s="189"/>
      <c r="TDF116" s="189"/>
      <c r="TDG116" s="189"/>
      <c r="TDH116" s="189"/>
      <c r="TDI116" s="189"/>
      <c r="TDJ116" s="189"/>
      <c r="TDK116" s="189"/>
      <c r="TDL116" s="189"/>
      <c r="TDM116" s="189"/>
      <c r="TDN116" s="189"/>
      <c r="TDO116" s="189"/>
      <c r="TDP116" s="189"/>
      <c r="TDQ116" s="189"/>
      <c r="TDR116" s="189"/>
      <c r="TDS116" s="189"/>
      <c r="TDT116" s="189"/>
      <c r="TDU116" s="189"/>
      <c r="TDV116" s="189"/>
      <c r="TDW116" s="189"/>
      <c r="TDX116" s="189"/>
      <c r="TDY116" s="189"/>
      <c r="TDZ116" s="189"/>
      <c r="TEA116" s="189"/>
      <c r="TEB116" s="189"/>
      <c r="TEC116" s="189"/>
      <c r="TED116" s="189"/>
      <c r="TEE116" s="189"/>
      <c r="TEF116" s="189"/>
      <c r="TEG116" s="189"/>
      <c r="TEH116" s="189"/>
      <c r="TEI116" s="189"/>
      <c r="TEJ116" s="189"/>
      <c r="TEK116" s="189"/>
      <c r="TEL116" s="189"/>
      <c r="TEM116" s="189"/>
      <c r="TEN116" s="189"/>
      <c r="TEO116" s="189"/>
      <c r="TEP116" s="189"/>
      <c r="TEQ116" s="189"/>
      <c r="TER116" s="189"/>
      <c r="TES116" s="189"/>
      <c r="TET116" s="189"/>
      <c r="TEU116" s="189"/>
      <c r="TEV116" s="189"/>
      <c r="TEW116" s="189"/>
      <c r="TEX116" s="189"/>
      <c r="TEY116" s="189"/>
      <c r="TEZ116" s="189"/>
      <c r="TFA116" s="189"/>
      <c r="TFB116" s="189"/>
      <c r="TFC116" s="189"/>
      <c r="TFD116" s="189"/>
      <c r="TFE116" s="189"/>
      <c r="TFF116" s="189"/>
      <c r="TFG116" s="189"/>
      <c r="TFH116" s="189"/>
      <c r="TFI116" s="189"/>
      <c r="TFJ116" s="189"/>
      <c r="TFK116" s="189"/>
      <c r="TFL116" s="189"/>
      <c r="TFM116" s="189"/>
      <c r="TFN116" s="189"/>
      <c r="TFO116" s="189"/>
      <c r="TFP116" s="189"/>
      <c r="TFQ116" s="189"/>
      <c r="TFR116" s="189"/>
      <c r="TFS116" s="189"/>
      <c r="TFT116" s="189"/>
      <c r="TFU116" s="189"/>
      <c r="TFV116" s="189"/>
      <c r="TFW116" s="189"/>
      <c r="TFX116" s="189"/>
      <c r="TFY116" s="189"/>
      <c r="TFZ116" s="189"/>
      <c r="TGA116" s="189"/>
      <c r="TGB116" s="189"/>
      <c r="TGC116" s="189"/>
      <c r="TGD116" s="189"/>
      <c r="TGE116" s="189"/>
      <c r="TGF116" s="189"/>
      <c r="TGG116" s="189"/>
      <c r="TGH116" s="189"/>
      <c r="TGI116" s="189"/>
      <c r="TGJ116" s="189"/>
      <c r="TGK116" s="189"/>
      <c r="TGL116" s="189"/>
      <c r="TGM116" s="189"/>
      <c r="TGN116" s="189"/>
      <c r="TGO116" s="189"/>
      <c r="TGP116" s="189"/>
      <c r="TGQ116" s="189"/>
      <c r="TGR116" s="189"/>
      <c r="TGS116" s="189"/>
      <c r="TGT116" s="189"/>
      <c r="TGU116" s="189"/>
      <c r="TGV116" s="189"/>
      <c r="TGW116" s="189"/>
      <c r="TGX116" s="189"/>
      <c r="TGY116" s="189"/>
      <c r="TGZ116" s="189"/>
      <c r="THA116" s="189"/>
      <c r="THB116" s="189"/>
      <c r="THC116" s="189"/>
      <c r="THD116" s="189"/>
      <c r="THE116" s="189"/>
      <c r="THF116" s="189"/>
      <c r="THG116" s="189"/>
      <c r="THH116" s="189"/>
      <c r="THI116" s="189"/>
      <c r="THJ116" s="189"/>
      <c r="THK116" s="189"/>
      <c r="THL116" s="189"/>
      <c r="THM116" s="189"/>
      <c r="THN116" s="189"/>
      <c r="THO116" s="189"/>
      <c r="THP116" s="189"/>
      <c r="THQ116" s="189"/>
      <c r="THR116" s="189"/>
      <c r="THS116" s="189"/>
      <c r="THT116" s="189"/>
      <c r="THU116" s="189"/>
      <c r="THV116" s="189"/>
      <c r="THW116" s="189"/>
      <c r="THX116" s="189"/>
      <c r="THY116" s="189"/>
      <c r="THZ116" s="189"/>
      <c r="TIA116" s="189"/>
      <c r="TIB116" s="189"/>
      <c r="TIC116" s="189"/>
      <c r="TID116" s="189"/>
      <c r="TIE116" s="189"/>
      <c r="TIF116" s="189"/>
      <c r="TIG116" s="189"/>
      <c r="TIH116" s="189"/>
      <c r="TII116" s="189"/>
      <c r="TIJ116" s="189"/>
      <c r="TIK116" s="189"/>
      <c r="TIL116" s="189"/>
      <c r="TIM116" s="189"/>
      <c r="TIN116" s="189"/>
      <c r="TIO116" s="189"/>
      <c r="TIP116" s="189"/>
      <c r="TIQ116" s="189"/>
      <c r="TIR116" s="189"/>
      <c r="TIS116" s="189"/>
      <c r="TIT116" s="189"/>
      <c r="TIU116" s="189"/>
      <c r="TIV116" s="189"/>
      <c r="TIW116" s="189"/>
      <c r="TIX116" s="189"/>
      <c r="TIY116" s="189"/>
      <c r="TIZ116" s="189"/>
      <c r="TJA116" s="189"/>
      <c r="TJB116" s="189"/>
      <c r="TJC116" s="189"/>
      <c r="TJD116" s="189"/>
      <c r="TJE116" s="189"/>
      <c r="TJF116" s="189"/>
      <c r="TJG116" s="189"/>
      <c r="TJH116" s="189"/>
      <c r="TJI116" s="189"/>
      <c r="TJJ116" s="189"/>
      <c r="TJK116" s="189"/>
      <c r="TJL116" s="189"/>
      <c r="TJM116" s="189"/>
      <c r="TJN116" s="189"/>
      <c r="TJO116" s="189"/>
      <c r="TJP116" s="189"/>
      <c r="TJQ116" s="189"/>
      <c r="TJR116" s="189"/>
      <c r="TJS116" s="189"/>
      <c r="TJT116" s="189"/>
      <c r="TJU116" s="189"/>
      <c r="TJV116" s="189"/>
      <c r="TJW116" s="189"/>
      <c r="TJX116" s="189"/>
      <c r="TJY116" s="189"/>
      <c r="TJZ116" s="189"/>
      <c r="TKA116" s="189"/>
      <c r="TKB116" s="189"/>
      <c r="TKC116" s="189"/>
      <c r="TKD116" s="189"/>
      <c r="TKE116" s="189"/>
      <c r="TKF116" s="189"/>
      <c r="TKG116" s="189"/>
      <c r="TKH116" s="189"/>
      <c r="TKI116" s="189"/>
      <c r="TKJ116" s="189"/>
      <c r="TKK116" s="189"/>
      <c r="TKL116" s="189"/>
      <c r="TKM116" s="189"/>
      <c r="TKN116" s="189"/>
      <c r="TKO116" s="189"/>
      <c r="TKP116" s="189"/>
      <c r="TKQ116" s="189"/>
      <c r="TKR116" s="189"/>
      <c r="TKS116" s="189"/>
      <c r="TKT116" s="189"/>
      <c r="TKU116" s="189"/>
      <c r="TKV116" s="189"/>
      <c r="TKW116" s="189"/>
      <c r="TKX116" s="189"/>
      <c r="TKY116" s="189"/>
      <c r="TKZ116" s="189"/>
      <c r="TLA116" s="189"/>
      <c r="TLB116" s="189"/>
      <c r="TLC116" s="189"/>
      <c r="TLD116" s="189"/>
      <c r="TLE116" s="189"/>
      <c r="TLF116" s="189"/>
      <c r="TLG116" s="189"/>
      <c r="TLH116" s="189"/>
      <c r="TLI116" s="189"/>
      <c r="TLJ116" s="189"/>
      <c r="TLK116" s="189"/>
      <c r="TLL116" s="189"/>
      <c r="TLM116" s="189"/>
      <c r="TLN116" s="189"/>
      <c r="TLO116" s="189"/>
      <c r="TLP116" s="189"/>
      <c r="TLQ116" s="189"/>
      <c r="TLR116" s="189"/>
      <c r="TLS116" s="189"/>
      <c r="TLT116" s="189"/>
      <c r="TLU116" s="189"/>
      <c r="TLV116" s="189"/>
      <c r="TLW116" s="189"/>
      <c r="TLX116" s="189"/>
      <c r="TLY116" s="189"/>
      <c r="TLZ116" s="189"/>
      <c r="TMA116" s="189"/>
      <c r="TMB116" s="189"/>
      <c r="TMC116" s="189"/>
      <c r="TMD116" s="189"/>
      <c r="TME116" s="189"/>
      <c r="TMF116" s="189"/>
      <c r="TMG116" s="189"/>
      <c r="TMH116" s="189"/>
      <c r="TMI116" s="189"/>
      <c r="TMJ116" s="189"/>
      <c r="TMK116" s="189"/>
      <c r="TML116" s="189"/>
      <c r="TMM116" s="189"/>
      <c r="TMN116" s="189"/>
      <c r="TMO116" s="189"/>
      <c r="TMP116" s="189"/>
      <c r="TMQ116" s="189"/>
      <c r="TMR116" s="189"/>
      <c r="TMS116" s="189"/>
      <c r="TMT116" s="189"/>
      <c r="TMU116" s="189"/>
      <c r="TMV116" s="189"/>
      <c r="TMW116" s="189"/>
      <c r="TMX116" s="189"/>
      <c r="TMY116" s="189"/>
      <c r="TMZ116" s="189"/>
      <c r="TNA116" s="189"/>
      <c r="TNB116" s="189"/>
      <c r="TNC116" s="189"/>
      <c r="TND116" s="189"/>
      <c r="TNE116" s="189"/>
      <c r="TNF116" s="189"/>
      <c r="TNG116" s="189"/>
      <c r="TNH116" s="189"/>
      <c r="TNI116" s="189"/>
      <c r="TNJ116" s="189"/>
      <c r="TNK116" s="189"/>
      <c r="TNL116" s="189"/>
      <c r="TNM116" s="189"/>
      <c r="TNN116" s="189"/>
      <c r="TNO116" s="189"/>
      <c r="TNP116" s="189"/>
      <c r="TNQ116" s="189"/>
      <c r="TNR116" s="189"/>
      <c r="TNS116" s="189"/>
      <c r="TNT116" s="189"/>
      <c r="TNU116" s="189"/>
      <c r="TNV116" s="189"/>
      <c r="TNW116" s="189"/>
      <c r="TNX116" s="189"/>
      <c r="TNY116" s="189"/>
      <c r="TNZ116" s="189"/>
      <c r="TOA116" s="189"/>
      <c r="TOB116" s="189"/>
      <c r="TOC116" s="189"/>
      <c r="TOD116" s="189"/>
      <c r="TOE116" s="189"/>
      <c r="TOF116" s="189"/>
      <c r="TOG116" s="189"/>
      <c r="TOH116" s="189"/>
      <c r="TOI116" s="189"/>
      <c r="TOJ116" s="189"/>
      <c r="TOK116" s="189"/>
      <c r="TOL116" s="189"/>
      <c r="TOM116" s="189"/>
      <c r="TON116" s="189"/>
      <c r="TOO116" s="189"/>
      <c r="TOP116" s="189"/>
      <c r="TOQ116" s="189"/>
      <c r="TOR116" s="189"/>
      <c r="TOS116" s="189"/>
      <c r="TOT116" s="189"/>
      <c r="TOU116" s="189"/>
      <c r="TOV116" s="189"/>
      <c r="TOW116" s="189"/>
      <c r="TOX116" s="189"/>
      <c r="TOY116" s="189"/>
      <c r="TOZ116" s="189"/>
      <c r="TPA116" s="189"/>
      <c r="TPB116" s="189"/>
      <c r="TPC116" s="189"/>
      <c r="TPD116" s="189"/>
      <c r="TPE116" s="189"/>
      <c r="TPF116" s="189"/>
      <c r="TPG116" s="189"/>
      <c r="TPH116" s="189"/>
      <c r="TPI116" s="189"/>
      <c r="TPJ116" s="189"/>
      <c r="TPK116" s="189"/>
      <c r="TPL116" s="189"/>
      <c r="TPM116" s="189"/>
      <c r="TPN116" s="189"/>
      <c r="TPO116" s="189"/>
      <c r="TPP116" s="189"/>
      <c r="TPQ116" s="189"/>
      <c r="TPR116" s="189"/>
      <c r="TPS116" s="189"/>
      <c r="TPT116" s="189"/>
      <c r="TPU116" s="189"/>
      <c r="TPV116" s="189"/>
      <c r="TPW116" s="189"/>
      <c r="TPX116" s="189"/>
      <c r="TPY116" s="189"/>
      <c r="TPZ116" s="189"/>
      <c r="TQA116" s="189"/>
      <c r="TQB116" s="189"/>
      <c r="TQC116" s="189"/>
      <c r="TQD116" s="189"/>
      <c r="TQE116" s="189"/>
      <c r="TQF116" s="189"/>
      <c r="TQG116" s="189"/>
      <c r="TQH116" s="189"/>
      <c r="TQI116" s="189"/>
      <c r="TQJ116" s="189"/>
      <c r="TQK116" s="189"/>
      <c r="TQL116" s="189"/>
      <c r="TQM116" s="189"/>
      <c r="TQN116" s="189"/>
      <c r="TQO116" s="189"/>
      <c r="TQP116" s="189"/>
      <c r="TQQ116" s="189"/>
      <c r="TQR116" s="189"/>
      <c r="TQS116" s="189"/>
      <c r="TQT116" s="189"/>
      <c r="TQU116" s="189"/>
      <c r="TQV116" s="189"/>
      <c r="TQW116" s="189"/>
      <c r="TQX116" s="189"/>
      <c r="TQY116" s="189"/>
      <c r="TQZ116" s="189"/>
      <c r="TRA116" s="189"/>
      <c r="TRB116" s="189"/>
      <c r="TRC116" s="189"/>
      <c r="TRD116" s="189"/>
      <c r="TRE116" s="189"/>
      <c r="TRF116" s="189"/>
      <c r="TRG116" s="189"/>
      <c r="TRH116" s="189"/>
      <c r="TRI116" s="189"/>
      <c r="TRJ116" s="189"/>
      <c r="TRK116" s="189"/>
      <c r="TRL116" s="189"/>
      <c r="TRM116" s="189"/>
      <c r="TRN116" s="189"/>
      <c r="TRO116" s="189"/>
      <c r="TRP116" s="189"/>
      <c r="TRQ116" s="189"/>
      <c r="TRR116" s="189"/>
      <c r="TRS116" s="189"/>
      <c r="TRT116" s="189"/>
      <c r="TRU116" s="189"/>
      <c r="TRV116" s="189"/>
      <c r="TRW116" s="189"/>
      <c r="TRX116" s="189"/>
      <c r="TRY116" s="189"/>
      <c r="TRZ116" s="189"/>
      <c r="TSA116" s="189"/>
      <c r="TSB116" s="189"/>
      <c r="TSC116" s="189"/>
      <c r="TSD116" s="189"/>
      <c r="TSE116" s="189"/>
      <c r="TSF116" s="189"/>
      <c r="TSG116" s="189"/>
      <c r="TSH116" s="189"/>
      <c r="TSI116" s="189"/>
      <c r="TSJ116" s="189"/>
      <c r="TSK116" s="189"/>
      <c r="TSL116" s="189"/>
      <c r="TSM116" s="189"/>
      <c r="TSN116" s="189"/>
      <c r="TSO116" s="189"/>
      <c r="TSP116" s="189"/>
      <c r="TSQ116" s="189"/>
      <c r="TSR116" s="189"/>
      <c r="TSS116" s="189"/>
      <c r="TST116" s="189"/>
      <c r="TSU116" s="189"/>
      <c r="TSV116" s="189"/>
      <c r="TSW116" s="189"/>
      <c r="TSX116" s="189"/>
      <c r="TSY116" s="189"/>
      <c r="TSZ116" s="189"/>
      <c r="TTA116" s="189"/>
      <c r="TTB116" s="189"/>
      <c r="TTC116" s="189"/>
      <c r="TTD116" s="189"/>
      <c r="TTE116" s="189"/>
      <c r="TTF116" s="189"/>
      <c r="TTG116" s="189"/>
      <c r="TTH116" s="189"/>
      <c r="TTI116" s="189"/>
      <c r="TTJ116" s="189"/>
      <c r="TTK116" s="189"/>
      <c r="TTL116" s="189"/>
      <c r="TTM116" s="189"/>
      <c r="TTN116" s="189"/>
      <c r="TTO116" s="189"/>
      <c r="TTP116" s="189"/>
      <c r="TTQ116" s="189"/>
      <c r="TTR116" s="189"/>
      <c r="TTS116" s="189"/>
      <c r="TTT116" s="189"/>
      <c r="TTU116" s="189"/>
      <c r="TTV116" s="189"/>
      <c r="TTW116" s="189"/>
      <c r="TTX116" s="189"/>
      <c r="TTY116" s="189"/>
      <c r="TTZ116" s="189"/>
      <c r="TUA116" s="189"/>
      <c r="TUB116" s="189"/>
      <c r="TUC116" s="189"/>
      <c r="TUD116" s="189"/>
      <c r="TUE116" s="189"/>
      <c r="TUF116" s="189"/>
      <c r="TUG116" s="189"/>
      <c r="TUH116" s="189"/>
      <c r="TUI116" s="189"/>
      <c r="TUJ116" s="189"/>
      <c r="TUK116" s="189"/>
      <c r="TUL116" s="189"/>
      <c r="TUM116" s="189"/>
      <c r="TUN116" s="189"/>
      <c r="TUO116" s="189"/>
      <c r="TUP116" s="189"/>
      <c r="TUQ116" s="189"/>
      <c r="TUR116" s="189"/>
      <c r="TUS116" s="189"/>
      <c r="TUT116" s="189"/>
      <c r="TUU116" s="189"/>
      <c r="TUV116" s="189"/>
      <c r="TUW116" s="189"/>
      <c r="TUX116" s="189"/>
      <c r="TUY116" s="189"/>
      <c r="TUZ116" s="189"/>
      <c r="TVA116" s="189"/>
      <c r="TVB116" s="189"/>
      <c r="TVC116" s="189"/>
      <c r="TVD116" s="189"/>
      <c r="TVE116" s="189"/>
      <c r="TVF116" s="189"/>
      <c r="TVG116" s="189"/>
      <c r="TVH116" s="189"/>
      <c r="TVI116" s="189"/>
      <c r="TVJ116" s="189"/>
      <c r="TVK116" s="189"/>
      <c r="TVL116" s="189"/>
      <c r="TVM116" s="189"/>
      <c r="TVN116" s="189"/>
      <c r="TVO116" s="189"/>
      <c r="TVP116" s="189"/>
      <c r="TVQ116" s="189"/>
      <c r="TVR116" s="189"/>
      <c r="TVS116" s="189"/>
      <c r="TVT116" s="189"/>
      <c r="TVU116" s="189"/>
      <c r="TVV116" s="189"/>
      <c r="TVW116" s="189"/>
      <c r="TVX116" s="189"/>
      <c r="TVY116" s="189"/>
      <c r="TVZ116" s="189"/>
      <c r="TWA116" s="189"/>
      <c r="TWB116" s="189"/>
      <c r="TWC116" s="189"/>
      <c r="TWD116" s="189"/>
      <c r="TWE116" s="189"/>
      <c r="TWF116" s="189"/>
      <c r="TWG116" s="189"/>
      <c r="TWH116" s="189"/>
      <c r="TWI116" s="189"/>
      <c r="TWJ116" s="189"/>
      <c r="TWK116" s="189"/>
      <c r="TWL116" s="189"/>
      <c r="TWM116" s="189"/>
      <c r="TWN116" s="189"/>
      <c r="TWO116" s="189"/>
      <c r="TWP116" s="189"/>
      <c r="TWQ116" s="189"/>
      <c r="TWR116" s="189"/>
      <c r="TWS116" s="189"/>
      <c r="TWT116" s="189"/>
      <c r="TWU116" s="189"/>
      <c r="TWV116" s="189"/>
      <c r="TWW116" s="189"/>
      <c r="TWX116" s="189"/>
      <c r="TWY116" s="189"/>
      <c r="TWZ116" s="189"/>
      <c r="TXA116" s="189"/>
      <c r="TXB116" s="189"/>
      <c r="TXC116" s="189"/>
      <c r="TXD116" s="189"/>
      <c r="TXE116" s="189"/>
      <c r="TXF116" s="189"/>
      <c r="TXG116" s="189"/>
      <c r="TXH116" s="189"/>
      <c r="TXI116" s="189"/>
      <c r="TXJ116" s="189"/>
      <c r="TXK116" s="189"/>
      <c r="TXL116" s="189"/>
      <c r="TXM116" s="189"/>
      <c r="TXN116" s="189"/>
      <c r="TXO116" s="189"/>
      <c r="TXP116" s="189"/>
      <c r="TXQ116" s="189"/>
      <c r="TXR116" s="189"/>
      <c r="TXS116" s="189"/>
      <c r="TXT116" s="189"/>
      <c r="TXU116" s="189"/>
      <c r="TXV116" s="189"/>
      <c r="TXW116" s="189"/>
      <c r="TXX116" s="189"/>
      <c r="TXY116" s="189"/>
      <c r="TXZ116" s="189"/>
      <c r="TYA116" s="189"/>
      <c r="TYB116" s="189"/>
      <c r="TYC116" s="189"/>
      <c r="TYD116" s="189"/>
      <c r="TYE116" s="189"/>
      <c r="TYF116" s="189"/>
      <c r="TYG116" s="189"/>
      <c r="TYH116" s="189"/>
      <c r="TYI116" s="189"/>
      <c r="TYJ116" s="189"/>
      <c r="TYK116" s="189"/>
      <c r="TYL116" s="189"/>
      <c r="TYM116" s="189"/>
      <c r="TYN116" s="189"/>
      <c r="TYO116" s="189"/>
      <c r="TYP116" s="189"/>
      <c r="TYQ116" s="189"/>
      <c r="TYR116" s="189"/>
      <c r="TYS116" s="189"/>
      <c r="TYT116" s="189"/>
      <c r="TYU116" s="189"/>
      <c r="TYV116" s="189"/>
      <c r="TYW116" s="189"/>
      <c r="TYX116" s="189"/>
      <c r="TYY116" s="189"/>
      <c r="TYZ116" s="189"/>
      <c r="TZA116" s="189"/>
      <c r="TZB116" s="189"/>
      <c r="TZC116" s="189"/>
      <c r="TZD116" s="189"/>
      <c r="TZE116" s="189"/>
      <c r="TZF116" s="189"/>
      <c r="TZG116" s="189"/>
      <c r="TZH116" s="189"/>
      <c r="TZI116" s="189"/>
      <c r="TZJ116" s="189"/>
      <c r="TZK116" s="189"/>
      <c r="TZL116" s="189"/>
      <c r="TZM116" s="189"/>
      <c r="TZN116" s="189"/>
      <c r="TZO116" s="189"/>
      <c r="TZP116" s="189"/>
      <c r="TZQ116" s="189"/>
      <c r="TZR116" s="189"/>
      <c r="TZS116" s="189"/>
      <c r="TZT116" s="189"/>
      <c r="TZU116" s="189"/>
      <c r="TZV116" s="189"/>
      <c r="TZW116" s="189"/>
      <c r="TZX116" s="189"/>
      <c r="TZY116" s="189"/>
      <c r="TZZ116" s="189"/>
      <c r="UAA116" s="189"/>
      <c r="UAB116" s="189"/>
      <c r="UAC116" s="189"/>
      <c r="UAD116" s="189"/>
      <c r="UAE116" s="189"/>
      <c r="UAF116" s="189"/>
      <c r="UAG116" s="189"/>
      <c r="UAH116" s="189"/>
      <c r="UAI116" s="189"/>
      <c r="UAJ116" s="189"/>
      <c r="UAK116" s="189"/>
      <c r="UAL116" s="189"/>
      <c r="UAM116" s="189"/>
      <c r="UAN116" s="189"/>
      <c r="UAO116" s="189"/>
      <c r="UAP116" s="189"/>
      <c r="UAQ116" s="189"/>
      <c r="UAR116" s="189"/>
      <c r="UAS116" s="189"/>
      <c r="UAT116" s="189"/>
      <c r="UAU116" s="189"/>
      <c r="UAV116" s="189"/>
      <c r="UAW116" s="189"/>
      <c r="UAX116" s="189"/>
      <c r="UAY116" s="189"/>
      <c r="UAZ116" s="189"/>
      <c r="UBA116" s="189"/>
      <c r="UBB116" s="189"/>
      <c r="UBC116" s="189"/>
      <c r="UBD116" s="189"/>
      <c r="UBE116" s="189"/>
      <c r="UBF116" s="189"/>
      <c r="UBG116" s="189"/>
      <c r="UBH116" s="189"/>
      <c r="UBI116" s="189"/>
      <c r="UBJ116" s="189"/>
      <c r="UBK116" s="189"/>
      <c r="UBL116" s="189"/>
      <c r="UBM116" s="189"/>
      <c r="UBN116" s="189"/>
      <c r="UBO116" s="189"/>
      <c r="UBP116" s="189"/>
      <c r="UBQ116" s="189"/>
      <c r="UBR116" s="189"/>
      <c r="UBS116" s="189"/>
      <c r="UBT116" s="189"/>
      <c r="UBU116" s="189"/>
      <c r="UBV116" s="189"/>
      <c r="UBW116" s="189"/>
      <c r="UBX116" s="189"/>
      <c r="UBY116" s="189"/>
      <c r="UBZ116" s="189"/>
      <c r="UCA116" s="189"/>
      <c r="UCB116" s="189"/>
      <c r="UCC116" s="189"/>
      <c r="UCD116" s="189"/>
      <c r="UCE116" s="189"/>
      <c r="UCF116" s="189"/>
      <c r="UCG116" s="189"/>
      <c r="UCH116" s="189"/>
      <c r="UCI116" s="189"/>
      <c r="UCJ116" s="189"/>
      <c r="UCK116" s="189"/>
      <c r="UCL116" s="189"/>
      <c r="UCM116" s="189"/>
      <c r="UCN116" s="189"/>
      <c r="UCO116" s="189"/>
      <c r="UCP116" s="189"/>
      <c r="UCQ116" s="189"/>
      <c r="UCR116" s="189"/>
      <c r="UCS116" s="189"/>
      <c r="UCT116" s="189"/>
      <c r="UCU116" s="189"/>
      <c r="UCV116" s="189"/>
      <c r="UCW116" s="189"/>
      <c r="UCX116" s="189"/>
      <c r="UCY116" s="189"/>
      <c r="UCZ116" s="189"/>
      <c r="UDA116" s="189"/>
      <c r="UDB116" s="189"/>
      <c r="UDC116" s="189"/>
      <c r="UDD116" s="189"/>
      <c r="UDE116" s="189"/>
      <c r="UDF116" s="189"/>
      <c r="UDG116" s="189"/>
      <c r="UDH116" s="189"/>
      <c r="UDI116" s="189"/>
      <c r="UDJ116" s="189"/>
      <c r="UDK116" s="189"/>
      <c r="UDL116" s="189"/>
      <c r="UDM116" s="189"/>
      <c r="UDN116" s="189"/>
      <c r="UDO116" s="189"/>
      <c r="UDP116" s="189"/>
      <c r="UDQ116" s="189"/>
      <c r="UDR116" s="189"/>
      <c r="UDS116" s="189"/>
      <c r="UDT116" s="189"/>
      <c r="UDU116" s="189"/>
      <c r="UDV116" s="189"/>
      <c r="UDW116" s="189"/>
      <c r="UDX116" s="189"/>
      <c r="UDY116" s="189"/>
      <c r="UDZ116" s="189"/>
      <c r="UEA116" s="189"/>
      <c r="UEB116" s="189"/>
      <c r="UEC116" s="189"/>
      <c r="UED116" s="189"/>
      <c r="UEE116" s="189"/>
      <c r="UEF116" s="189"/>
      <c r="UEG116" s="189"/>
      <c r="UEH116" s="189"/>
      <c r="UEI116" s="189"/>
      <c r="UEJ116" s="189"/>
      <c r="UEK116" s="189"/>
      <c r="UEL116" s="189"/>
      <c r="UEM116" s="189"/>
      <c r="UEN116" s="189"/>
      <c r="UEO116" s="189"/>
      <c r="UEP116" s="189"/>
      <c r="UEQ116" s="189"/>
      <c r="UER116" s="189"/>
      <c r="UES116" s="189"/>
      <c r="UET116" s="189"/>
      <c r="UEU116" s="189"/>
      <c r="UEV116" s="189"/>
      <c r="UEW116" s="189"/>
      <c r="UEX116" s="189"/>
      <c r="UEY116" s="189"/>
      <c r="UEZ116" s="189"/>
      <c r="UFA116" s="189"/>
      <c r="UFB116" s="189"/>
      <c r="UFC116" s="189"/>
      <c r="UFD116" s="189"/>
      <c r="UFE116" s="189"/>
      <c r="UFF116" s="189"/>
      <c r="UFG116" s="189"/>
      <c r="UFH116" s="189"/>
      <c r="UFI116" s="189"/>
      <c r="UFJ116" s="189"/>
      <c r="UFK116" s="189"/>
      <c r="UFL116" s="189"/>
      <c r="UFM116" s="189"/>
      <c r="UFN116" s="189"/>
      <c r="UFO116" s="189"/>
      <c r="UFP116" s="189"/>
      <c r="UFQ116" s="189"/>
      <c r="UFR116" s="189"/>
      <c r="UFS116" s="189"/>
      <c r="UFT116" s="189"/>
      <c r="UFU116" s="189"/>
      <c r="UFV116" s="189"/>
      <c r="UFW116" s="189"/>
      <c r="UFX116" s="189"/>
      <c r="UFY116" s="189"/>
      <c r="UFZ116" s="189"/>
      <c r="UGA116" s="189"/>
      <c r="UGB116" s="189"/>
      <c r="UGC116" s="189"/>
      <c r="UGD116" s="189"/>
      <c r="UGE116" s="189"/>
      <c r="UGF116" s="189"/>
      <c r="UGG116" s="189"/>
      <c r="UGH116" s="189"/>
      <c r="UGI116" s="189"/>
      <c r="UGJ116" s="189"/>
      <c r="UGK116" s="189"/>
      <c r="UGL116" s="189"/>
      <c r="UGM116" s="189"/>
      <c r="UGN116" s="189"/>
      <c r="UGO116" s="189"/>
      <c r="UGP116" s="189"/>
      <c r="UGQ116" s="189"/>
      <c r="UGR116" s="189"/>
      <c r="UGS116" s="189"/>
      <c r="UGT116" s="189"/>
      <c r="UGU116" s="189"/>
      <c r="UGV116" s="189"/>
      <c r="UGW116" s="189"/>
      <c r="UGX116" s="189"/>
      <c r="UGY116" s="189"/>
      <c r="UGZ116" s="189"/>
      <c r="UHA116" s="189"/>
      <c r="UHB116" s="189"/>
      <c r="UHC116" s="189"/>
      <c r="UHD116" s="189"/>
      <c r="UHE116" s="189"/>
      <c r="UHF116" s="189"/>
      <c r="UHG116" s="189"/>
      <c r="UHH116" s="189"/>
      <c r="UHI116" s="189"/>
      <c r="UHJ116" s="189"/>
      <c r="UHK116" s="189"/>
      <c r="UHL116" s="189"/>
      <c r="UHM116" s="189"/>
      <c r="UHN116" s="189"/>
      <c r="UHO116" s="189"/>
      <c r="UHP116" s="189"/>
      <c r="UHQ116" s="189"/>
      <c r="UHR116" s="189"/>
      <c r="UHS116" s="189"/>
      <c r="UHT116" s="189"/>
      <c r="UHU116" s="189"/>
      <c r="UHV116" s="189"/>
      <c r="UHW116" s="189"/>
      <c r="UHX116" s="189"/>
      <c r="UHY116" s="189"/>
      <c r="UHZ116" s="189"/>
      <c r="UIA116" s="189"/>
      <c r="UIB116" s="189"/>
      <c r="UIC116" s="189"/>
      <c r="UID116" s="189"/>
      <c r="UIE116" s="189"/>
      <c r="UIF116" s="189"/>
      <c r="UIG116" s="189"/>
      <c r="UIH116" s="189"/>
      <c r="UII116" s="189"/>
      <c r="UIJ116" s="189"/>
      <c r="UIK116" s="189"/>
      <c r="UIL116" s="189"/>
      <c r="UIM116" s="189"/>
      <c r="UIN116" s="189"/>
      <c r="UIO116" s="189"/>
      <c r="UIP116" s="189"/>
      <c r="UIQ116" s="189"/>
      <c r="UIR116" s="189"/>
      <c r="UIS116" s="189"/>
      <c r="UIT116" s="189"/>
      <c r="UIU116" s="189"/>
      <c r="UIV116" s="189"/>
      <c r="UIW116" s="189"/>
      <c r="UIX116" s="189"/>
      <c r="UIY116" s="189"/>
      <c r="UIZ116" s="189"/>
      <c r="UJA116" s="189"/>
      <c r="UJB116" s="189"/>
      <c r="UJC116" s="189"/>
      <c r="UJD116" s="189"/>
      <c r="UJE116" s="189"/>
      <c r="UJF116" s="189"/>
      <c r="UJG116" s="189"/>
      <c r="UJH116" s="189"/>
      <c r="UJI116" s="189"/>
      <c r="UJJ116" s="189"/>
      <c r="UJK116" s="189"/>
      <c r="UJL116" s="189"/>
      <c r="UJM116" s="189"/>
      <c r="UJN116" s="189"/>
      <c r="UJO116" s="189"/>
      <c r="UJP116" s="189"/>
      <c r="UJQ116" s="189"/>
      <c r="UJR116" s="189"/>
      <c r="UJS116" s="189"/>
      <c r="UJT116" s="189"/>
      <c r="UJU116" s="189"/>
      <c r="UJV116" s="189"/>
      <c r="UJW116" s="189"/>
      <c r="UJX116" s="189"/>
      <c r="UJY116" s="189"/>
      <c r="UJZ116" s="189"/>
      <c r="UKA116" s="189"/>
      <c r="UKB116" s="189"/>
      <c r="UKC116" s="189"/>
      <c r="UKD116" s="189"/>
      <c r="UKE116" s="189"/>
      <c r="UKF116" s="189"/>
      <c r="UKG116" s="189"/>
      <c r="UKH116" s="189"/>
      <c r="UKI116" s="189"/>
      <c r="UKJ116" s="189"/>
      <c r="UKK116" s="189"/>
      <c r="UKL116" s="189"/>
      <c r="UKM116" s="189"/>
      <c r="UKN116" s="189"/>
      <c r="UKO116" s="189"/>
      <c r="UKP116" s="189"/>
      <c r="UKQ116" s="189"/>
      <c r="UKR116" s="189"/>
      <c r="UKS116" s="189"/>
      <c r="UKT116" s="189"/>
      <c r="UKU116" s="189"/>
      <c r="UKV116" s="189"/>
      <c r="UKW116" s="189"/>
      <c r="UKX116" s="189"/>
      <c r="UKY116" s="189"/>
      <c r="UKZ116" s="189"/>
      <c r="ULA116" s="189"/>
      <c r="ULB116" s="189"/>
      <c r="ULC116" s="189"/>
      <c r="ULD116" s="189"/>
      <c r="ULE116" s="189"/>
      <c r="ULF116" s="189"/>
      <c r="ULG116" s="189"/>
      <c r="ULH116" s="189"/>
      <c r="ULI116" s="189"/>
      <c r="ULJ116" s="189"/>
      <c r="ULK116" s="189"/>
      <c r="ULL116" s="189"/>
      <c r="ULM116" s="189"/>
      <c r="ULN116" s="189"/>
      <c r="ULO116" s="189"/>
      <c r="ULP116" s="189"/>
      <c r="ULQ116" s="189"/>
      <c r="ULR116" s="189"/>
      <c r="ULS116" s="189"/>
      <c r="ULT116" s="189"/>
      <c r="ULU116" s="189"/>
      <c r="ULV116" s="189"/>
      <c r="ULW116" s="189"/>
      <c r="ULX116" s="189"/>
      <c r="ULY116" s="189"/>
      <c r="ULZ116" s="189"/>
      <c r="UMA116" s="189"/>
      <c r="UMB116" s="189"/>
      <c r="UMC116" s="189"/>
      <c r="UMD116" s="189"/>
      <c r="UME116" s="189"/>
      <c r="UMF116" s="189"/>
      <c r="UMG116" s="189"/>
      <c r="UMH116" s="189"/>
      <c r="UMI116" s="189"/>
      <c r="UMJ116" s="189"/>
      <c r="UMK116" s="189"/>
      <c r="UML116" s="189"/>
      <c r="UMM116" s="189"/>
      <c r="UMN116" s="189"/>
      <c r="UMO116" s="189"/>
      <c r="UMP116" s="189"/>
      <c r="UMQ116" s="189"/>
      <c r="UMR116" s="189"/>
      <c r="UMS116" s="189"/>
      <c r="UMT116" s="189"/>
      <c r="UMU116" s="189"/>
      <c r="UMV116" s="189"/>
      <c r="UMW116" s="189"/>
      <c r="UMX116" s="189"/>
      <c r="UMY116" s="189"/>
      <c r="UMZ116" s="189"/>
      <c r="UNA116" s="189"/>
      <c r="UNB116" s="189"/>
      <c r="UNC116" s="189"/>
      <c r="UND116" s="189"/>
      <c r="UNE116" s="189"/>
      <c r="UNF116" s="189"/>
      <c r="UNG116" s="189"/>
      <c r="UNH116" s="189"/>
      <c r="UNI116" s="189"/>
      <c r="UNJ116" s="189"/>
      <c r="UNK116" s="189"/>
      <c r="UNL116" s="189"/>
      <c r="UNM116" s="189"/>
      <c r="UNN116" s="189"/>
      <c r="UNO116" s="189"/>
      <c r="UNP116" s="189"/>
      <c r="UNQ116" s="189"/>
      <c r="UNR116" s="189"/>
      <c r="UNS116" s="189"/>
      <c r="UNT116" s="189"/>
      <c r="UNU116" s="189"/>
      <c r="UNV116" s="189"/>
      <c r="UNW116" s="189"/>
      <c r="UNX116" s="189"/>
      <c r="UNY116" s="189"/>
      <c r="UNZ116" s="189"/>
      <c r="UOA116" s="189"/>
      <c r="UOB116" s="189"/>
      <c r="UOC116" s="189"/>
      <c r="UOD116" s="189"/>
      <c r="UOE116" s="189"/>
      <c r="UOF116" s="189"/>
      <c r="UOG116" s="189"/>
      <c r="UOH116" s="189"/>
      <c r="UOI116" s="189"/>
      <c r="UOJ116" s="189"/>
      <c r="UOK116" s="189"/>
      <c r="UOL116" s="189"/>
      <c r="UOM116" s="189"/>
      <c r="UON116" s="189"/>
      <c r="UOO116" s="189"/>
      <c r="UOP116" s="189"/>
      <c r="UOQ116" s="189"/>
      <c r="UOR116" s="189"/>
      <c r="UOS116" s="189"/>
      <c r="UOT116" s="189"/>
      <c r="UOU116" s="189"/>
      <c r="UOV116" s="189"/>
      <c r="UOW116" s="189"/>
      <c r="UOX116" s="189"/>
      <c r="UOY116" s="189"/>
      <c r="UOZ116" s="189"/>
      <c r="UPA116" s="189"/>
      <c r="UPB116" s="189"/>
      <c r="UPC116" s="189"/>
      <c r="UPD116" s="189"/>
      <c r="UPE116" s="189"/>
      <c r="UPF116" s="189"/>
      <c r="UPG116" s="189"/>
      <c r="UPH116" s="189"/>
      <c r="UPI116" s="189"/>
      <c r="UPJ116" s="189"/>
      <c r="UPK116" s="189"/>
      <c r="UPL116" s="189"/>
      <c r="UPM116" s="189"/>
      <c r="UPN116" s="189"/>
      <c r="UPO116" s="189"/>
      <c r="UPP116" s="189"/>
      <c r="UPQ116" s="189"/>
      <c r="UPR116" s="189"/>
      <c r="UPS116" s="189"/>
      <c r="UPT116" s="189"/>
      <c r="UPU116" s="189"/>
      <c r="UPV116" s="189"/>
      <c r="UPW116" s="189"/>
      <c r="UPX116" s="189"/>
      <c r="UPY116" s="189"/>
      <c r="UPZ116" s="189"/>
      <c r="UQA116" s="189"/>
      <c r="UQB116" s="189"/>
      <c r="UQC116" s="189"/>
      <c r="UQD116" s="189"/>
      <c r="UQE116" s="189"/>
      <c r="UQF116" s="189"/>
      <c r="UQG116" s="189"/>
      <c r="UQH116" s="189"/>
      <c r="UQI116" s="189"/>
      <c r="UQJ116" s="189"/>
      <c r="UQK116" s="189"/>
      <c r="UQL116" s="189"/>
      <c r="UQM116" s="189"/>
      <c r="UQN116" s="189"/>
      <c r="UQO116" s="189"/>
      <c r="UQP116" s="189"/>
      <c r="UQQ116" s="189"/>
      <c r="UQR116" s="189"/>
      <c r="UQS116" s="189"/>
      <c r="UQT116" s="189"/>
      <c r="UQU116" s="189"/>
      <c r="UQV116" s="189"/>
      <c r="UQW116" s="189"/>
      <c r="UQX116" s="189"/>
      <c r="UQY116" s="189"/>
      <c r="UQZ116" s="189"/>
      <c r="URA116" s="189"/>
      <c r="URB116" s="189"/>
      <c r="URC116" s="189"/>
      <c r="URD116" s="189"/>
      <c r="URE116" s="189"/>
      <c r="URF116" s="189"/>
      <c r="URG116" s="189"/>
      <c r="URH116" s="189"/>
      <c r="URI116" s="189"/>
      <c r="URJ116" s="189"/>
      <c r="URK116" s="189"/>
      <c r="URL116" s="189"/>
      <c r="URM116" s="189"/>
      <c r="URN116" s="189"/>
      <c r="URO116" s="189"/>
      <c r="URP116" s="189"/>
      <c r="URQ116" s="189"/>
      <c r="URR116" s="189"/>
      <c r="URS116" s="189"/>
      <c r="URT116" s="189"/>
      <c r="URU116" s="189"/>
      <c r="URV116" s="189"/>
      <c r="URW116" s="189"/>
      <c r="URX116" s="189"/>
      <c r="URY116" s="189"/>
      <c r="URZ116" s="189"/>
      <c r="USA116" s="189"/>
      <c r="USB116" s="189"/>
      <c r="USC116" s="189"/>
      <c r="USD116" s="189"/>
      <c r="USE116" s="189"/>
      <c r="USF116" s="189"/>
      <c r="USG116" s="189"/>
      <c r="USH116" s="189"/>
      <c r="USI116" s="189"/>
      <c r="USJ116" s="189"/>
      <c r="USK116" s="189"/>
      <c r="USL116" s="189"/>
      <c r="USM116" s="189"/>
      <c r="USN116" s="189"/>
      <c r="USO116" s="189"/>
      <c r="USP116" s="189"/>
      <c r="USQ116" s="189"/>
      <c r="USR116" s="189"/>
      <c r="USS116" s="189"/>
      <c r="UST116" s="189"/>
      <c r="USU116" s="189"/>
      <c r="USV116" s="189"/>
      <c r="USW116" s="189"/>
      <c r="USX116" s="189"/>
      <c r="USY116" s="189"/>
      <c r="USZ116" s="189"/>
      <c r="UTA116" s="189"/>
      <c r="UTB116" s="189"/>
      <c r="UTC116" s="189"/>
      <c r="UTD116" s="189"/>
      <c r="UTE116" s="189"/>
      <c r="UTF116" s="189"/>
      <c r="UTG116" s="189"/>
      <c r="UTH116" s="189"/>
      <c r="UTI116" s="189"/>
      <c r="UTJ116" s="189"/>
      <c r="UTK116" s="189"/>
      <c r="UTL116" s="189"/>
      <c r="UTM116" s="189"/>
      <c r="UTN116" s="189"/>
      <c r="UTO116" s="189"/>
      <c r="UTP116" s="189"/>
      <c r="UTQ116" s="189"/>
      <c r="UTR116" s="189"/>
      <c r="UTS116" s="189"/>
      <c r="UTT116" s="189"/>
      <c r="UTU116" s="189"/>
      <c r="UTV116" s="189"/>
      <c r="UTW116" s="189"/>
      <c r="UTX116" s="189"/>
      <c r="UTY116" s="189"/>
      <c r="UTZ116" s="189"/>
      <c r="UUA116" s="189"/>
      <c r="UUB116" s="189"/>
      <c r="UUC116" s="189"/>
      <c r="UUD116" s="189"/>
      <c r="UUE116" s="189"/>
      <c r="UUF116" s="189"/>
      <c r="UUG116" s="189"/>
      <c r="UUH116" s="189"/>
      <c r="UUI116" s="189"/>
      <c r="UUJ116" s="189"/>
      <c r="UUK116" s="189"/>
      <c r="UUL116" s="189"/>
      <c r="UUM116" s="189"/>
      <c r="UUN116" s="189"/>
      <c r="UUO116" s="189"/>
      <c r="UUP116" s="189"/>
      <c r="UUQ116" s="189"/>
      <c r="UUR116" s="189"/>
      <c r="UUS116" s="189"/>
      <c r="UUT116" s="189"/>
      <c r="UUU116" s="189"/>
      <c r="UUV116" s="189"/>
      <c r="UUW116" s="189"/>
      <c r="UUX116" s="189"/>
      <c r="UUY116" s="189"/>
      <c r="UUZ116" s="189"/>
      <c r="UVA116" s="189"/>
      <c r="UVB116" s="189"/>
      <c r="UVC116" s="189"/>
      <c r="UVD116" s="189"/>
      <c r="UVE116" s="189"/>
      <c r="UVF116" s="189"/>
      <c r="UVG116" s="189"/>
      <c r="UVH116" s="189"/>
      <c r="UVI116" s="189"/>
      <c r="UVJ116" s="189"/>
      <c r="UVK116" s="189"/>
      <c r="UVL116" s="189"/>
      <c r="UVM116" s="189"/>
      <c r="UVN116" s="189"/>
      <c r="UVO116" s="189"/>
      <c r="UVP116" s="189"/>
      <c r="UVQ116" s="189"/>
      <c r="UVR116" s="189"/>
      <c r="UVS116" s="189"/>
      <c r="UVT116" s="189"/>
      <c r="UVU116" s="189"/>
      <c r="UVV116" s="189"/>
      <c r="UVW116" s="189"/>
      <c r="UVX116" s="189"/>
      <c r="UVY116" s="189"/>
      <c r="UVZ116" s="189"/>
      <c r="UWA116" s="189"/>
      <c r="UWB116" s="189"/>
      <c r="UWC116" s="189"/>
      <c r="UWD116" s="189"/>
      <c r="UWE116" s="189"/>
      <c r="UWF116" s="189"/>
      <c r="UWG116" s="189"/>
      <c r="UWH116" s="189"/>
      <c r="UWI116" s="189"/>
      <c r="UWJ116" s="189"/>
      <c r="UWK116" s="189"/>
      <c r="UWL116" s="189"/>
      <c r="UWM116" s="189"/>
      <c r="UWN116" s="189"/>
      <c r="UWO116" s="189"/>
      <c r="UWP116" s="189"/>
      <c r="UWQ116" s="189"/>
      <c r="UWR116" s="189"/>
      <c r="UWS116" s="189"/>
      <c r="UWT116" s="189"/>
      <c r="UWU116" s="189"/>
      <c r="UWV116" s="189"/>
      <c r="UWW116" s="189"/>
      <c r="UWX116" s="189"/>
      <c r="UWY116" s="189"/>
      <c r="UWZ116" s="189"/>
      <c r="UXA116" s="189"/>
      <c r="UXB116" s="189"/>
      <c r="UXC116" s="189"/>
      <c r="UXD116" s="189"/>
      <c r="UXE116" s="189"/>
      <c r="UXF116" s="189"/>
      <c r="UXG116" s="189"/>
      <c r="UXH116" s="189"/>
      <c r="UXI116" s="189"/>
      <c r="UXJ116" s="189"/>
      <c r="UXK116" s="189"/>
      <c r="UXL116" s="189"/>
      <c r="UXM116" s="189"/>
      <c r="UXN116" s="189"/>
      <c r="UXO116" s="189"/>
      <c r="UXP116" s="189"/>
      <c r="UXQ116" s="189"/>
      <c r="UXR116" s="189"/>
      <c r="UXS116" s="189"/>
      <c r="UXT116" s="189"/>
      <c r="UXU116" s="189"/>
      <c r="UXV116" s="189"/>
      <c r="UXW116" s="189"/>
      <c r="UXX116" s="189"/>
      <c r="UXY116" s="189"/>
      <c r="UXZ116" s="189"/>
      <c r="UYA116" s="189"/>
      <c r="UYB116" s="189"/>
      <c r="UYC116" s="189"/>
      <c r="UYD116" s="189"/>
      <c r="UYE116" s="189"/>
      <c r="UYF116" s="189"/>
      <c r="UYG116" s="189"/>
      <c r="UYH116" s="189"/>
      <c r="UYI116" s="189"/>
      <c r="UYJ116" s="189"/>
      <c r="UYK116" s="189"/>
      <c r="UYL116" s="189"/>
      <c r="UYM116" s="189"/>
      <c r="UYN116" s="189"/>
      <c r="UYO116" s="189"/>
      <c r="UYP116" s="189"/>
      <c r="UYQ116" s="189"/>
      <c r="UYR116" s="189"/>
      <c r="UYS116" s="189"/>
      <c r="UYT116" s="189"/>
      <c r="UYU116" s="189"/>
      <c r="UYV116" s="189"/>
      <c r="UYW116" s="189"/>
      <c r="UYX116" s="189"/>
      <c r="UYY116" s="189"/>
      <c r="UYZ116" s="189"/>
      <c r="UZA116" s="189"/>
      <c r="UZB116" s="189"/>
      <c r="UZC116" s="189"/>
      <c r="UZD116" s="189"/>
      <c r="UZE116" s="189"/>
      <c r="UZF116" s="189"/>
      <c r="UZG116" s="189"/>
      <c r="UZH116" s="189"/>
      <c r="UZI116" s="189"/>
      <c r="UZJ116" s="189"/>
      <c r="UZK116" s="189"/>
      <c r="UZL116" s="189"/>
      <c r="UZM116" s="189"/>
      <c r="UZN116" s="189"/>
      <c r="UZO116" s="189"/>
      <c r="UZP116" s="189"/>
      <c r="UZQ116" s="189"/>
      <c r="UZR116" s="189"/>
      <c r="UZS116" s="189"/>
      <c r="UZT116" s="189"/>
      <c r="UZU116" s="189"/>
      <c r="UZV116" s="189"/>
      <c r="UZW116" s="189"/>
      <c r="UZX116" s="189"/>
      <c r="UZY116" s="189"/>
      <c r="UZZ116" s="189"/>
      <c r="VAA116" s="189"/>
      <c r="VAB116" s="189"/>
      <c r="VAC116" s="189"/>
      <c r="VAD116" s="189"/>
      <c r="VAE116" s="189"/>
      <c r="VAF116" s="189"/>
      <c r="VAG116" s="189"/>
      <c r="VAH116" s="189"/>
      <c r="VAI116" s="189"/>
      <c r="VAJ116" s="189"/>
      <c r="VAK116" s="189"/>
      <c r="VAL116" s="189"/>
      <c r="VAM116" s="189"/>
      <c r="VAN116" s="189"/>
      <c r="VAO116" s="189"/>
      <c r="VAP116" s="189"/>
      <c r="VAQ116" s="189"/>
      <c r="VAR116" s="189"/>
      <c r="VAS116" s="189"/>
      <c r="VAT116" s="189"/>
      <c r="VAU116" s="189"/>
      <c r="VAV116" s="189"/>
      <c r="VAW116" s="189"/>
      <c r="VAX116" s="189"/>
      <c r="VAY116" s="189"/>
      <c r="VAZ116" s="189"/>
      <c r="VBA116" s="189"/>
      <c r="VBB116" s="189"/>
      <c r="VBC116" s="189"/>
      <c r="VBD116" s="189"/>
      <c r="VBE116" s="189"/>
      <c r="VBF116" s="189"/>
      <c r="VBG116" s="189"/>
      <c r="VBH116" s="189"/>
      <c r="VBI116" s="189"/>
      <c r="VBJ116" s="189"/>
      <c r="VBK116" s="189"/>
      <c r="VBL116" s="189"/>
      <c r="VBM116" s="189"/>
      <c r="VBN116" s="189"/>
      <c r="VBO116" s="189"/>
      <c r="VBP116" s="189"/>
      <c r="VBQ116" s="189"/>
      <c r="VBR116" s="189"/>
      <c r="VBS116" s="189"/>
      <c r="VBT116" s="189"/>
      <c r="VBU116" s="189"/>
      <c r="VBV116" s="189"/>
      <c r="VBW116" s="189"/>
      <c r="VBX116" s="189"/>
      <c r="VBY116" s="189"/>
      <c r="VBZ116" s="189"/>
      <c r="VCA116" s="189"/>
      <c r="VCB116" s="189"/>
      <c r="VCC116" s="189"/>
      <c r="VCD116" s="189"/>
      <c r="VCE116" s="189"/>
      <c r="VCF116" s="189"/>
      <c r="VCG116" s="189"/>
      <c r="VCH116" s="189"/>
      <c r="VCI116" s="189"/>
      <c r="VCJ116" s="189"/>
      <c r="VCK116" s="189"/>
      <c r="VCL116" s="189"/>
      <c r="VCM116" s="189"/>
      <c r="VCN116" s="189"/>
      <c r="VCO116" s="189"/>
      <c r="VCP116" s="189"/>
      <c r="VCQ116" s="189"/>
      <c r="VCR116" s="189"/>
      <c r="VCS116" s="189"/>
      <c r="VCT116" s="189"/>
      <c r="VCU116" s="189"/>
      <c r="VCV116" s="189"/>
      <c r="VCW116" s="189"/>
      <c r="VCX116" s="189"/>
      <c r="VCY116" s="189"/>
      <c r="VCZ116" s="189"/>
      <c r="VDA116" s="189"/>
      <c r="VDB116" s="189"/>
      <c r="VDC116" s="189"/>
      <c r="VDD116" s="189"/>
      <c r="VDE116" s="189"/>
      <c r="VDF116" s="189"/>
      <c r="VDG116" s="189"/>
      <c r="VDH116" s="189"/>
      <c r="VDI116" s="189"/>
      <c r="VDJ116" s="189"/>
      <c r="VDK116" s="189"/>
      <c r="VDL116" s="189"/>
      <c r="VDM116" s="189"/>
      <c r="VDN116" s="189"/>
      <c r="VDO116" s="189"/>
      <c r="VDP116" s="189"/>
      <c r="VDQ116" s="189"/>
      <c r="VDR116" s="189"/>
      <c r="VDS116" s="189"/>
      <c r="VDT116" s="189"/>
      <c r="VDU116" s="189"/>
      <c r="VDV116" s="189"/>
      <c r="VDW116" s="189"/>
      <c r="VDX116" s="189"/>
      <c r="VDY116" s="189"/>
      <c r="VDZ116" s="189"/>
      <c r="VEA116" s="189"/>
      <c r="VEB116" s="189"/>
      <c r="VEC116" s="189"/>
      <c r="VED116" s="189"/>
      <c r="VEE116" s="189"/>
      <c r="VEF116" s="189"/>
      <c r="VEG116" s="189"/>
      <c r="VEH116" s="189"/>
      <c r="VEI116" s="189"/>
      <c r="VEJ116" s="189"/>
      <c r="VEK116" s="189"/>
      <c r="VEL116" s="189"/>
      <c r="VEM116" s="189"/>
      <c r="VEN116" s="189"/>
      <c r="VEO116" s="189"/>
      <c r="VEP116" s="189"/>
      <c r="VEQ116" s="189"/>
      <c r="VER116" s="189"/>
      <c r="VES116" s="189"/>
      <c r="VET116" s="189"/>
      <c r="VEU116" s="189"/>
      <c r="VEV116" s="189"/>
      <c r="VEW116" s="189"/>
      <c r="VEX116" s="189"/>
      <c r="VEY116" s="189"/>
      <c r="VEZ116" s="189"/>
      <c r="VFA116" s="189"/>
      <c r="VFB116" s="189"/>
      <c r="VFC116" s="189"/>
      <c r="VFD116" s="189"/>
      <c r="VFE116" s="189"/>
      <c r="VFF116" s="189"/>
      <c r="VFG116" s="189"/>
      <c r="VFH116" s="189"/>
      <c r="VFI116" s="189"/>
      <c r="VFJ116" s="189"/>
      <c r="VFK116" s="189"/>
      <c r="VFL116" s="189"/>
      <c r="VFM116" s="189"/>
      <c r="VFN116" s="189"/>
      <c r="VFO116" s="189"/>
      <c r="VFP116" s="189"/>
      <c r="VFQ116" s="189"/>
      <c r="VFR116" s="189"/>
      <c r="VFS116" s="189"/>
      <c r="VFT116" s="189"/>
      <c r="VFU116" s="189"/>
      <c r="VFV116" s="189"/>
      <c r="VFW116" s="189"/>
      <c r="VFX116" s="189"/>
      <c r="VFY116" s="189"/>
      <c r="VFZ116" s="189"/>
      <c r="VGA116" s="189"/>
      <c r="VGB116" s="189"/>
      <c r="VGC116" s="189"/>
      <c r="VGD116" s="189"/>
      <c r="VGE116" s="189"/>
      <c r="VGF116" s="189"/>
      <c r="VGG116" s="189"/>
      <c r="VGH116" s="189"/>
      <c r="VGI116" s="189"/>
      <c r="VGJ116" s="189"/>
      <c r="VGK116" s="189"/>
      <c r="VGL116" s="189"/>
      <c r="VGM116" s="189"/>
      <c r="VGN116" s="189"/>
      <c r="VGO116" s="189"/>
      <c r="VGP116" s="189"/>
      <c r="VGQ116" s="189"/>
      <c r="VGR116" s="189"/>
      <c r="VGS116" s="189"/>
      <c r="VGT116" s="189"/>
      <c r="VGU116" s="189"/>
      <c r="VGV116" s="189"/>
      <c r="VGW116" s="189"/>
      <c r="VGX116" s="189"/>
      <c r="VGY116" s="189"/>
      <c r="VGZ116" s="189"/>
      <c r="VHA116" s="189"/>
      <c r="VHB116" s="189"/>
      <c r="VHC116" s="189"/>
      <c r="VHD116" s="189"/>
      <c r="VHE116" s="189"/>
      <c r="VHF116" s="189"/>
      <c r="VHG116" s="189"/>
      <c r="VHH116" s="189"/>
      <c r="VHI116" s="189"/>
      <c r="VHJ116" s="189"/>
      <c r="VHK116" s="189"/>
      <c r="VHL116" s="189"/>
      <c r="VHM116" s="189"/>
      <c r="VHN116" s="189"/>
      <c r="VHO116" s="189"/>
      <c r="VHP116" s="189"/>
      <c r="VHQ116" s="189"/>
      <c r="VHR116" s="189"/>
      <c r="VHS116" s="189"/>
      <c r="VHT116" s="189"/>
      <c r="VHU116" s="189"/>
      <c r="VHV116" s="189"/>
      <c r="VHW116" s="189"/>
      <c r="VHX116" s="189"/>
      <c r="VHY116" s="189"/>
      <c r="VHZ116" s="189"/>
      <c r="VIA116" s="189"/>
      <c r="VIB116" s="189"/>
      <c r="VIC116" s="189"/>
      <c r="VID116" s="189"/>
      <c r="VIE116" s="189"/>
      <c r="VIF116" s="189"/>
      <c r="VIG116" s="189"/>
      <c r="VIH116" s="189"/>
      <c r="VII116" s="189"/>
      <c r="VIJ116" s="189"/>
      <c r="VIK116" s="189"/>
      <c r="VIL116" s="189"/>
      <c r="VIM116" s="189"/>
      <c r="VIN116" s="189"/>
      <c r="VIO116" s="189"/>
      <c r="VIP116" s="189"/>
      <c r="VIQ116" s="189"/>
      <c r="VIR116" s="189"/>
      <c r="VIS116" s="189"/>
      <c r="VIT116" s="189"/>
      <c r="VIU116" s="189"/>
      <c r="VIV116" s="189"/>
      <c r="VIW116" s="189"/>
      <c r="VIX116" s="189"/>
      <c r="VIY116" s="189"/>
      <c r="VIZ116" s="189"/>
      <c r="VJA116" s="189"/>
      <c r="VJB116" s="189"/>
      <c r="VJC116" s="189"/>
      <c r="VJD116" s="189"/>
      <c r="VJE116" s="189"/>
      <c r="VJF116" s="189"/>
      <c r="VJG116" s="189"/>
      <c r="VJH116" s="189"/>
      <c r="VJI116" s="189"/>
      <c r="VJJ116" s="189"/>
      <c r="VJK116" s="189"/>
      <c r="VJL116" s="189"/>
      <c r="VJM116" s="189"/>
      <c r="VJN116" s="189"/>
      <c r="VJO116" s="189"/>
      <c r="VJP116" s="189"/>
      <c r="VJQ116" s="189"/>
      <c r="VJR116" s="189"/>
      <c r="VJS116" s="189"/>
      <c r="VJT116" s="189"/>
      <c r="VJU116" s="189"/>
      <c r="VJV116" s="189"/>
      <c r="VJW116" s="189"/>
      <c r="VJX116" s="189"/>
      <c r="VJY116" s="189"/>
      <c r="VJZ116" s="189"/>
      <c r="VKA116" s="189"/>
      <c r="VKB116" s="189"/>
      <c r="VKC116" s="189"/>
      <c r="VKD116" s="189"/>
      <c r="VKE116" s="189"/>
      <c r="VKF116" s="189"/>
      <c r="VKG116" s="189"/>
      <c r="VKH116" s="189"/>
      <c r="VKI116" s="189"/>
      <c r="VKJ116" s="189"/>
      <c r="VKK116" s="189"/>
      <c r="VKL116" s="189"/>
      <c r="VKM116" s="189"/>
      <c r="VKN116" s="189"/>
      <c r="VKO116" s="189"/>
      <c r="VKP116" s="189"/>
      <c r="VKQ116" s="189"/>
      <c r="VKR116" s="189"/>
      <c r="VKS116" s="189"/>
      <c r="VKT116" s="189"/>
      <c r="VKU116" s="189"/>
      <c r="VKV116" s="189"/>
      <c r="VKW116" s="189"/>
      <c r="VKX116" s="189"/>
      <c r="VKY116" s="189"/>
      <c r="VKZ116" s="189"/>
      <c r="VLA116" s="189"/>
      <c r="VLB116" s="189"/>
      <c r="VLC116" s="189"/>
      <c r="VLD116" s="189"/>
      <c r="VLE116" s="189"/>
      <c r="VLF116" s="189"/>
      <c r="VLG116" s="189"/>
      <c r="VLH116" s="189"/>
      <c r="VLI116" s="189"/>
      <c r="VLJ116" s="189"/>
      <c r="VLK116" s="189"/>
      <c r="VLL116" s="189"/>
      <c r="VLM116" s="189"/>
      <c r="VLN116" s="189"/>
      <c r="VLO116" s="189"/>
      <c r="VLP116" s="189"/>
      <c r="VLQ116" s="189"/>
      <c r="VLR116" s="189"/>
      <c r="VLS116" s="189"/>
      <c r="VLT116" s="189"/>
      <c r="VLU116" s="189"/>
      <c r="VLV116" s="189"/>
      <c r="VLW116" s="189"/>
      <c r="VLX116" s="189"/>
      <c r="VLY116" s="189"/>
      <c r="VLZ116" s="189"/>
      <c r="VMA116" s="189"/>
      <c r="VMB116" s="189"/>
      <c r="VMC116" s="189"/>
      <c r="VMD116" s="189"/>
      <c r="VME116" s="189"/>
      <c r="VMF116" s="189"/>
      <c r="VMG116" s="189"/>
      <c r="VMH116" s="189"/>
      <c r="VMI116" s="189"/>
      <c r="VMJ116" s="189"/>
      <c r="VMK116" s="189"/>
      <c r="VML116" s="189"/>
      <c r="VMM116" s="189"/>
      <c r="VMN116" s="189"/>
      <c r="VMO116" s="189"/>
      <c r="VMP116" s="189"/>
      <c r="VMQ116" s="189"/>
      <c r="VMR116" s="189"/>
      <c r="VMS116" s="189"/>
      <c r="VMT116" s="189"/>
      <c r="VMU116" s="189"/>
      <c r="VMV116" s="189"/>
      <c r="VMW116" s="189"/>
      <c r="VMX116" s="189"/>
      <c r="VMY116" s="189"/>
      <c r="VMZ116" s="189"/>
      <c r="VNA116" s="189"/>
      <c r="VNB116" s="189"/>
      <c r="VNC116" s="189"/>
      <c r="VND116" s="189"/>
      <c r="VNE116" s="189"/>
      <c r="VNF116" s="189"/>
      <c r="VNG116" s="189"/>
      <c r="VNH116" s="189"/>
      <c r="VNI116" s="189"/>
      <c r="VNJ116" s="189"/>
      <c r="VNK116" s="189"/>
      <c r="VNL116" s="189"/>
      <c r="VNM116" s="189"/>
      <c r="VNN116" s="189"/>
      <c r="VNO116" s="189"/>
      <c r="VNP116" s="189"/>
      <c r="VNQ116" s="189"/>
      <c r="VNR116" s="189"/>
      <c r="VNS116" s="189"/>
      <c r="VNT116" s="189"/>
      <c r="VNU116" s="189"/>
      <c r="VNV116" s="189"/>
      <c r="VNW116" s="189"/>
      <c r="VNX116" s="189"/>
      <c r="VNY116" s="189"/>
      <c r="VNZ116" s="189"/>
      <c r="VOA116" s="189"/>
      <c r="VOB116" s="189"/>
      <c r="VOC116" s="189"/>
      <c r="VOD116" s="189"/>
      <c r="VOE116" s="189"/>
      <c r="VOF116" s="189"/>
      <c r="VOG116" s="189"/>
      <c r="VOH116" s="189"/>
      <c r="VOI116" s="189"/>
      <c r="VOJ116" s="189"/>
      <c r="VOK116" s="189"/>
      <c r="VOL116" s="189"/>
      <c r="VOM116" s="189"/>
      <c r="VON116" s="189"/>
      <c r="VOO116" s="189"/>
      <c r="VOP116" s="189"/>
      <c r="VOQ116" s="189"/>
      <c r="VOR116" s="189"/>
      <c r="VOS116" s="189"/>
      <c r="VOT116" s="189"/>
      <c r="VOU116" s="189"/>
      <c r="VOV116" s="189"/>
      <c r="VOW116" s="189"/>
      <c r="VOX116" s="189"/>
      <c r="VOY116" s="189"/>
      <c r="VOZ116" s="189"/>
      <c r="VPA116" s="189"/>
      <c r="VPB116" s="189"/>
      <c r="VPC116" s="189"/>
      <c r="VPD116" s="189"/>
      <c r="VPE116" s="189"/>
      <c r="VPF116" s="189"/>
      <c r="VPG116" s="189"/>
      <c r="VPH116" s="189"/>
      <c r="VPI116" s="189"/>
      <c r="VPJ116" s="189"/>
      <c r="VPK116" s="189"/>
      <c r="VPL116" s="189"/>
      <c r="VPM116" s="189"/>
      <c r="VPN116" s="189"/>
      <c r="VPO116" s="189"/>
      <c r="VPP116" s="189"/>
      <c r="VPQ116" s="189"/>
      <c r="VPR116" s="189"/>
      <c r="VPS116" s="189"/>
      <c r="VPT116" s="189"/>
      <c r="VPU116" s="189"/>
      <c r="VPV116" s="189"/>
      <c r="VPW116" s="189"/>
      <c r="VPX116" s="189"/>
      <c r="VPY116" s="189"/>
      <c r="VPZ116" s="189"/>
      <c r="VQA116" s="189"/>
      <c r="VQB116" s="189"/>
      <c r="VQC116" s="189"/>
      <c r="VQD116" s="189"/>
      <c r="VQE116" s="189"/>
      <c r="VQF116" s="189"/>
      <c r="VQG116" s="189"/>
      <c r="VQH116" s="189"/>
      <c r="VQI116" s="189"/>
      <c r="VQJ116" s="189"/>
      <c r="VQK116" s="189"/>
      <c r="VQL116" s="189"/>
      <c r="VQM116" s="189"/>
      <c r="VQN116" s="189"/>
      <c r="VQO116" s="189"/>
      <c r="VQP116" s="189"/>
      <c r="VQQ116" s="189"/>
      <c r="VQR116" s="189"/>
      <c r="VQS116" s="189"/>
      <c r="VQT116" s="189"/>
      <c r="VQU116" s="189"/>
      <c r="VQV116" s="189"/>
      <c r="VQW116" s="189"/>
      <c r="VQX116" s="189"/>
      <c r="VQY116" s="189"/>
      <c r="VQZ116" s="189"/>
      <c r="VRA116" s="189"/>
      <c r="VRB116" s="189"/>
      <c r="VRC116" s="189"/>
      <c r="VRD116" s="189"/>
      <c r="VRE116" s="189"/>
      <c r="VRF116" s="189"/>
      <c r="VRG116" s="189"/>
      <c r="VRH116" s="189"/>
      <c r="VRI116" s="189"/>
      <c r="VRJ116" s="189"/>
      <c r="VRK116" s="189"/>
      <c r="VRL116" s="189"/>
      <c r="VRM116" s="189"/>
      <c r="VRN116" s="189"/>
      <c r="VRO116" s="189"/>
      <c r="VRP116" s="189"/>
      <c r="VRQ116" s="189"/>
      <c r="VRR116" s="189"/>
      <c r="VRS116" s="189"/>
      <c r="VRT116" s="189"/>
      <c r="VRU116" s="189"/>
      <c r="VRV116" s="189"/>
      <c r="VRW116" s="189"/>
      <c r="VRX116" s="189"/>
      <c r="VRY116" s="189"/>
      <c r="VRZ116" s="189"/>
      <c r="VSA116" s="189"/>
      <c r="VSB116" s="189"/>
      <c r="VSC116" s="189"/>
      <c r="VSD116" s="189"/>
      <c r="VSE116" s="189"/>
      <c r="VSF116" s="189"/>
      <c r="VSG116" s="189"/>
      <c r="VSH116" s="189"/>
      <c r="VSI116" s="189"/>
      <c r="VSJ116" s="189"/>
      <c r="VSK116" s="189"/>
      <c r="VSL116" s="189"/>
      <c r="VSM116" s="189"/>
      <c r="VSN116" s="189"/>
      <c r="VSO116" s="189"/>
      <c r="VSP116" s="189"/>
      <c r="VSQ116" s="189"/>
      <c r="VSR116" s="189"/>
      <c r="VSS116" s="189"/>
      <c r="VST116" s="189"/>
      <c r="VSU116" s="189"/>
      <c r="VSV116" s="189"/>
      <c r="VSW116" s="189"/>
      <c r="VSX116" s="189"/>
      <c r="VSY116" s="189"/>
      <c r="VSZ116" s="189"/>
      <c r="VTA116" s="189"/>
      <c r="VTB116" s="189"/>
      <c r="VTC116" s="189"/>
      <c r="VTD116" s="189"/>
      <c r="VTE116" s="189"/>
      <c r="VTF116" s="189"/>
      <c r="VTG116" s="189"/>
      <c r="VTH116" s="189"/>
      <c r="VTI116" s="189"/>
      <c r="VTJ116" s="189"/>
      <c r="VTK116" s="189"/>
      <c r="VTL116" s="189"/>
      <c r="VTM116" s="189"/>
      <c r="VTN116" s="189"/>
      <c r="VTO116" s="189"/>
      <c r="VTP116" s="189"/>
      <c r="VTQ116" s="189"/>
      <c r="VTR116" s="189"/>
      <c r="VTS116" s="189"/>
      <c r="VTT116" s="189"/>
      <c r="VTU116" s="189"/>
      <c r="VTV116" s="189"/>
      <c r="VTW116" s="189"/>
      <c r="VTX116" s="189"/>
      <c r="VTY116" s="189"/>
      <c r="VTZ116" s="189"/>
      <c r="VUA116" s="189"/>
      <c r="VUB116" s="189"/>
      <c r="VUC116" s="189"/>
      <c r="VUD116" s="189"/>
      <c r="VUE116" s="189"/>
      <c r="VUF116" s="189"/>
      <c r="VUG116" s="189"/>
      <c r="VUH116" s="189"/>
      <c r="VUI116" s="189"/>
      <c r="VUJ116" s="189"/>
      <c r="VUK116" s="189"/>
      <c r="VUL116" s="189"/>
      <c r="VUM116" s="189"/>
      <c r="VUN116" s="189"/>
      <c r="VUO116" s="189"/>
      <c r="VUP116" s="189"/>
      <c r="VUQ116" s="189"/>
      <c r="VUR116" s="189"/>
      <c r="VUS116" s="189"/>
      <c r="VUT116" s="189"/>
      <c r="VUU116" s="189"/>
      <c r="VUV116" s="189"/>
      <c r="VUW116" s="189"/>
      <c r="VUX116" s="189"/>
      <c r="VUY116" s="189"/>
      <c r="VUZ116" s="189"/>
      <c r="VVA116" s="189"/>
      <c r="VVB116" s="189"/>
      <c r="VVC116" s="189"/>
      <c r="VVD116" s="189"/>
      <c r="VVE116" s="189"/>
      <c r="VVF116" s="189"/>
      <c r="VVG116" s="189"/>
      <c r="VVH116" s="189"/>
      <c r="VVI116" s="189"/>
      <c r="VVJ116" s="189"/>
      <c r="VVK116" s="189"/>
      <c r="VVL116" s="189"/>
      <c r="VVM116" s="189"/>
      <c r="VVN116" s="189"/>
      <c r="VVO116" s="189"/>
      <c r="VVP116" s="189"/>
      <c r="VVQ116" s="189"/>
      <c r="VVR116" s="189"/>
      <c r="VVS116" s="189"/>
      <c r="VVT116" s="189"/>
      <c r="VVU116" s="189"/>
      <c r="VVV116" s="189"/>
      <c r="VVW116" s="189"/>
      <c r="VVX116" s="189"/>
      <c r="VVY116" s="189"/>
      <c r="VVZ116" s="189"/>
      <c r="VWA116" s="189"/>
      <c r="VWB116" s="189"/>
      <c r="VWC116" s="189"/>
      <c r="VWD116" s="189"/>
      <c r="VWE116" s="189"/>
      <c r="VWF116" s="189"/>
      <c r="VWG116" s="189"/>
      <c r="VWH116" s="189"/>
      <c r="VWI116" s="189"/>
      <c r="VWJ116" s="189"/>
      <c r="VWK116" s="189"/>
      <c r="VWL116" s="189"/>
      <c r="VWM116" s="189"/>
      <c r="VWN116" s="189"/>
      <c r="VWO116" s="189"/>
      <c r="VWP116" s="189"/>
      <c r="VWQ116" s="189"/>
      <c r="VWR116" s="189"/>
      <c r="VWS116" s="189"/>
      <c r="VWT116" s="189"/>
      <c r="VWU116" s="189"/>
      <c r="VWV116" s="189"/>
      <c r="VWW116" s="189"/>
      <c r="VWX116" s="189"/>
      <c r="VWY116" s="189"/>
      <c r="VWZ116" s="189"/>
      <c r="VXA116" s="189"/>
      <c r="VXB116" s="189"/>
      <c r="VXC116" s="189"/>
      <c r="VXD116" s="189"/>
      <c r="VXE116" s="189"/>
      <c r="VXF116" s="189"/>
      <c r="VXG116" s="189"/>
      <c r="VXH116" s="189"/>
      <c r="VXI116" s="189"/>
      <c r="VXJ116" s="189"/>
      <c r="VXK116" s="189"/>
      <c r="VXL116" s="189"/>
      <c r="VXM116" s="189"/>
      <c r="VXN116" s="189"/>
      <c r="VXO116" s="189"/>
      <c r="VXP116" s="189"/>
      <c r="VXQ116" s="189"/>
      <c r="VXR116" s="189"/>
      <c r="VXS116" s="189"/>
      <c r="VXT116" s="189"/>
      <c r="VXU116" s="189"/>
      <c r="VXV116" s="189"/>
      <c r="VXW116" s="189"/>
      <c r="VXX116" s="189"/>
      <c r="VXY116" s="189"/>
      <c r="VXZ116" s="189"/>
      <c r="VYA116" s="189"/>
      <c r="VYB116" s="189"/>
      <c r="VYC116" s="189"/>
      <c r="VYD116" s="189"/>
      <c r="VYE116" s="189"/>
      <c r="VYF116" s="189"/>
      <c r="VYG116" s="189"/>
      <c r="VYH116" s="189"/>
      <c r="VYI116" s="189"/>
      <c r="VYJ116" s="189"/>
      <c r="VYK116" s="189"/>
      <c r="VYL116" s="189"/>
      <c r="VYM116" s="189"/>
      <c r="VYN116" s="189"/>
      <c r="VYO116" s="189"/>
      <c r="VYP116" s="189"/>
      <c r="VYQ116" s="189"/>
      <c r="VYR116" s="189"/>
      <c r="VYS116" s="189"/>
      <c r="VYT116" s="189"/>
      <c r="VYU116" s="189"/>
      <c r="VYV116" s="189"/>
      <c r="VYW116" s="189"/>
      <c r="VYX116" s="189"/>
      <c r="VYY116" s="189"/>
      <c r="VYZ116" s="189"/>
      <c r="VZA116" s="189"/>
      <c r="VZB116" s="189"/>
      <c r="VZC116" s="189"/>
      <c r="VZD116" s="189"/>
      <c r="VZE116" s="189"/>
      <c r="VZF116" s="189"/>
      <c r="VZG116" s="189"/>
      <c r="VZH116" s="189"/>
      <c r="VZI116" s="189"/>
      <c r="VZJ116" s="189"/>
      <c r="VZK116" s="189"/>
      <c r="VZL116" s="189"/>
      <c r="VZM116" s="189"/>
      <c r="VZN116" s="189"/>
      <c r="VZO116" s="189"/>
      <c r="VZP116" s="189"/>
      <c r="VZQ116" s="189"/>
      <c r="VZR116" s="189"/>
      <c r="VZS116" s="189"/>
      <c r="VZT116" s="189"/>
      <c r="VZU116" s="189"/>
      <c r="VZV116" s="189"/>
      <c r="VZW116" s="189"/>
      <c r="VZX116" s="189"/>
      <c r="VZY116" s="189"/>
      <c r="VZZ116" s="189"/>
      <c r="WAA116" s="189"/>
      <c r="WAB116" s="189"/>
      <c r="WAC116" s="189"/>
      <c r="WAD116" s="189"/>
      <c r="WAE116" s="189"/>
      <c r="WAF116" s="189"/>
      <c r="WAG116" s="189"/>
      <c r="WAH116" s="189"/>
      <c r="WAI116" s="189"/>
      <c r="WAJ116" s="189"/>
      <c r="WAK116" s="189"/>
      <c r="WAL116" s="189"/>
      <c r="WAM116" s="189"/>
      <c r="WAN116" s="189"/>
      <c r="WAO116" s="189"/>
      <c r="WAP116" s="189"/>
      <c r="WAQ116" s="189"/>
      <c r="WAR116" s="189"/>
      <c r="WAS116" s="189"/>
      <c r="WAT116" s="189"/>
      <c r="WAU116" s="189"/>
      <c r="WAV116" s="189"/>
      <c r="WAW116" s="189"/>
      <c r="WAX116" s="189"/>
      <c r="WAY116" s="189"/>
      <c r="WAZ116" s="189"/>
      <c r="WBA116" s="189"/>
      <c r="WBB116" s="189"/>
      <c r="WBC116" s="189"/>
      <c r="WBD116" s="189"/>
      <c r="WBE116" s="189"/>
      <c r="WBF116" s="189"/>
      <c r="WBG116" s="189"/>
      <c r="WBH116" s="189"/>
      <c r="WBI116" s="189"/>
      <c r="WBJ116" s="189"/>
      <c r="WBK116" s="189"/>
      <c r="WBL116" s="189"/>
      <c r="WBM116" s="189"/>
      <c r="WBN116" s="189"/>
      <c r="WBO116" s="189"/>
      <c r="WBP116" s="189"/>
      <c r="WBQ116" s="189"/>
      <c r="WBR116" s="189"/>
      <c r="WBS116" s="189"/>
      <c r="WBT116" s="189"/>
      <c r="WBU116" s="189"/>
      <c r="WBV116" s="189"/>
      <c r="WBW116" s="189"/>
      <c r="WBX116" s="189"/>
      <c r="WBY116" s="189"/>
      <c r="WBZ116" s="189"/>
      <c r="WCA116" s="189"/>
      <c r="WCB116" s="189"/>
      <c r="WCC116" s="189"/>
      <c r="WCD116" s="189"/>
      <c r="WCE116" s="189"/>
      <c r="WCF116" s="189"/>
      <c r="WCG116" s="189"/>
      <c r="WCH116" s="189"/>
      <c r="WCI116" s="189"/>
      <c r="WCJ116" s="189"/>
      <c r="WCK116" s="189"/>
      <c r="WCL116" s="189"/>
      <c r="WCM116" s="189"/>
      <c r="WCN116" s="189"/>
      <c r="WCO116" s="189"/>
      <c r="WCP116" s="189"/>
      <c r="WCQ116" s="189"/>
      <c r="WCR116" s="189"/>
      <c r="WCS116" s="189"/>
      <c r="WCT116" s="189"/>
      <c r="WCU116" s="189"/>
      <c r="WCV116" s="189"/>
      <c r="WCW116" s="189"/>
      <c r="WCX116" s="189"/>
      <c r="WCY116" s="189"/>
      <c r="WCZ116" s="189"/>
      <c r="WDA116" s="189"/>
      <c r="WDB116" s="189"/>
      <c r="WDC116" s="189"/>
      <c r="WDD116" s="189"/>
      <c r="WDE116" s="189"/>
      <c r="WDF116" s="189"/>
      <c r="WDG116" s="189"/>
      <c r="WDH116" s="189"/>
      <c r="WDI116" s="189"/>
      <c r="WDJ116" s="189"/>
      <c r="WDK116" s="189"/>
      <c r="WDL116" s="189"/>
      <c r="WDM116" s="189"/>
      <c r="WDN116" s="189"/>
      <c r="WDO116" s="189"/>
      <c r="WDP116" s="189"/>
      <c r="WDQ116" s="189"/>
      <c r="WDR116" s="189"/>
      <c r="WDS116" s="189"/>
      <c r="WDT116" s="189"/>
      <c r="WDU116" s="189"/>
      <c r="WDV116" s="189"/>
      <c r="WDW116" s="189"/>
      <c r="WDX116" s="189"/>
      <c r="WDY116" s="189"/>
      <c r="WDZ116" s="189"/>
      <c r="WEA116" s="189"/>
      <c r="WEB116" s="189"/>
      <c r="WEC116" s="189"/>
      <c r="WED116" s="189"/>
      <c r="WEE116" s="189"/>
      <c r="WEF116" s="189"/>
      <c r="WEG116" s="189"/>
      <c r="WEH116" s="189"/>
      <c r="WEI116" s="189"/>
      <c r="WEJ116" s="189"/>
      <c r="WEK116" s="189"/>
      <c r="WEL116" s="189"/>
      <c r="WEM116" s="189"/>
      <c r="WEN116" s="189"/>
      <c r="WEO116" s="189"/>
      <c r="WEP116" s="189"/>
      <c r="WEQ116" s="189"/>
      <c r="WER116" s="189"/>
      <c r="WES116" s="189"/>
      <c r="WET116" s="189"/>
      <c r="WEU116" s="189"/>
      <c r="WEV116" s="189"/>
      <c r="WEW116" s="189"/>
      <c r="WEX116" s="189"/>
      <c r="WEY116" s="189"/>
      <c r="WEZ116" s="189"/>
      <c r="WFA116" s="189"/>
      <c r="WFB116" s="189"/>
      <c r="WFC116" s="189"/>
      <c r="WFD116" s="189"/>
      <c r="WFE116" s="189"/>
      <c r="WFF116" s="189"/>
      <c r="WFG116" s="189"/>
      <c r="WFH116" s="189"/>
      <c r="WFI116" s="189"/>
      <c r="WFJ116" s="189"/>
      <c r="WFK116" s="189"/>
      <c r="WFL116" s="189"/>
      <c r="WFM116" s="189"/>
      <c r="WFN116" s="189"/>
      <c r="WFO116" s="189"/>
      <c r="WFP116" s="189"/>
      <c r="WFQ116" s="189"/>
      <c r="WFR116" s="189"/>
      <c r="WFS116" s="189"/>
      <c r="WFT116" s="189"/>
      <c r="WFU116" s="189"/>
      <c r="WFV116" s="189"/>
      <c r="WFW116" s="189"/>
      <c r="WFX116" s="189"/>
      <c r="WFY116" s="189"/>
      <c r="WFZ116" s="189"/>
      <c r="WGA116" s="189"/>
      <c r="WGB116" s="189"/>
      <c r="WGC116" s="189"/>
      <c r="WGD116" s="189"/>
      <c r="WGE116" s="189"/>
      <c r="WGF116" s="189"/>
      <c r="WGG116" s="189"/>
      <c r="WGH116" s="189"/>
      <c r="WGI116" s="189"/>
      <c r="WGJ116" s="189"/>
      <c r="WGK116" s="189"/>
      <c r="WGL116" s="189"/>
      <c r="WGM116" s="189"/>
      <c r="WGN116" s="189"/>
      <c r="WGO116" s="189"/>
      <c r="WGP116" s="189"/>
      <c r="WGQ116" s="189"/>
      <c r="WGR116" s="189"/>
      <c r="WGS116" s="189"/>
      <c r="WGT116" s="189"/>
      <c r="WGU116" s="189"/>
      <c r="WGV116" s="189"/>
      <c r="WGW116" s="189"/>
      <c r="WGX116" s="189"/>
      <c r="WGY116" s="189"/>
      <c r="WGZ116" s="189"/>
      <c r="WHA116" s="189"/>
      <c r="WHB116" s="189"/>
      <c r="WHC116" s="189"/>
      <c r="WHD116" s="189"/>
      <c r="WHE116" s="189"/>
      <c r="WHF116" s="189"/>
      <c r="WHG116" s="189"/>
      <c r="WHH116" s="189"/>
      <c r="WHI116" s="189"/>
      <c r="WHJ116" s="189"/>
      <c r="WHK116" s="189"/>
      <c r="WHL116" s="189"/>
      <c r="WHM116" s="189"/>
      <c r="WHN116" s="189"/>
      <c r="WHO116" s="189"/>
      <c r="WHP116" s="189"/>
      <c r="WHQ116" s="189"/>
      <c r="WHR116" s="189"/>
      <c r="WHS116" s="189"/>
      <c r="WHT116" s="189"/>
      <c r="WHU116" s="189"/>
      <c r="WHV116" s="189"/>
      <c r="WHW116" s="189"/>
      <c r="WHX116" s="189"/>
      <c r="WHY116" s="189"/>
      <c r="WHZ116" s="189"/>
      <c r="WIA116" s="189"/>
      <c r="WIB116" s="189"/>
      <c r="WIC116" s="189"/>
      <c r="WID116" s="189"/>
      <c r="WIE116" s="189"/>
      <c r="WIF116" s="189"/>
      <c r="WIG116" s="189"/>
      <c r="WIH116" s="189"/>
      <c r="WII116" s="189"/>
      <c r="WIJ116" s="189"/>
      <c r="WIK116" s="189"/>
      <c r="WIL116" s="189"/>
      <c r="WIM116" s="189"/>
      <c r="WIN116" s="189"/>
      <c r="WIO116" s="189"/>
      <c r="WIP116" s="189"/>
      <c r="WIQ116" s="189"/>
      <c r="WIR116" s="189"/>
      <c r="WIS116" s="189"/>
      <c r="WIT116" s="189"/>
      <c r="WIU116" s="189"/>
      <c r="WIV116" s="189"/>
      <c r="WIW116" s="189"/>
      <c r="WIX116" s="189"/>
      <c r="WIY116" s="189"/>
      <c r="WIZ116" s="189"/>
      <c r="WJA116" s="189"/>
      <c r="WJB116" s="189"/>
      <c r="WJC116" s="189"/>
      <c r="WJD116" s="189"/>
      <c r="WJE116" s="189"/>
      <c r="WJF116" s="189"/>
      <c r="WJG116" s="189"/>
      <c r="WJH116" s="189"/>
      <c r="WJI116" s="189"/>
      <c r="WJJ116" s="189"/>
      <c r="WJK116" s="189"/>
      <c r="WJL116" s="189"/>
      <c r="WJM116" s="189"/>
      <c r="WJN116" s="189"/>
      <c r="WJO116" s="189"/>
      <c r="WJP116" s="189"/>
      <c r="WJQ116" s="189"/>
      <c r="WJR116" s="189"/>
      <c r="WJS116" s="189"/>
      <c r="WJT116" s="189"/>
      <c r="WJU116" s="189"/>
      <c r="WJV116" s="189"/>
      <c r="WJW116" s="189"/>
      <c r="WJX116" s="189"/>
      <c r="WJY116" s="189"/>
      <c r="WJZ116" s="189"/>
      <c r="WKA116" s="189"/>
      <c r="WKB116" s="189"/>
      <c r="WKC116" s="189"/>
      <c r="WKD116" s="189"/>
      <c r="WKE116" s="189"/>
      <c r="WKF116" s="189"/>
      <c r="WKG116" s="189"/>
      <c r="WKH116" s="189"/>
      <c r="WKI116" s="189"/>
      <c r="WKJ116" s="189"/>
      <c r="WKK116" s="189"/>
      <c r="WKL116" s="189"/>
      <c r="WKM116" s="189"/>
      <c r="WKN116" s="189"/>
      <c r="WKO116" s="189"/>
      <c r="WKP116" s="189"/>
      <c r="WKQ116" s="189"/>
      <c r="WKR116" s="189"/>
      <c r="WKS116" s="189"/>
      <c r="WKT116" s="189"/>
      <c r="WKU116" s="189"/>
      <c r="WKV116" s="189"/>
      <c r="WKW116" s="189"/>
      <c r="WKX116" s="189"/>
      <c r="WKY116" s="189"/>
      <c r="WKZ116" s="189"/>
      <c r="WLA116" s="189"/>
      <c r="WLB116" s="189"/>
      <c r="WLC116" s="189"/>
      <c r="WLD116" s="189"/>
      <c r="WLE116" s="189"/>
      <c r="WLF116" s="189"/>
      <c r="WLG116" s="189"/>
      <c r="WLH116" s="189"/>
      <c r="WLI116" s="189"/>
      <c r="WLJ116" s="189"/>
      <c r="WLK116" s="189"/>
      <c r="WLL116" s="189"/>
      <c r="WLM116" s="189"/>
      <c r="WLN116" s="189"/>
      <c r="WLO116" s="189"/>
      <c r="WLP116" s="189"/>
      <c r="WLQ116" s="189"/>
      <c r="WLR116" s="189"/>
      <c r="WLS116" s="189"/>
      <c r="WLT116" s="189"/>
      <c r="WLU116" s="189"/>
      <c r="WLV116" s="189"/>
      <c r="WLW116" s="189"/>
      <c r="WLX116" s="189"/>
      <c r="WLY116" s="189"/>
      <c r="WLZ116" s="189"/>
      <c r="WMA116" s="189"/>
      <c r="WMB116" s="189"/>
      <c r="WMC116" s="189"/>
      <c r="WMD116" s="189"/>
      <c r="WME116" s="189"/>
      <c r="WMF116" s="189"/>
      <c r="WMG116" s="189"/>
      <c r="WMH116" s="189"/>
      <c r="WMI116" s="189"/>
      <c r="WMJ116" s="189"/>
      <c r="WMK116" s="189"/>
      <c r="WML116" s="189"/>
      <c r="WMM116" s="189"/>
      <c r="WMN116" s="189"/>
      <c r="WMO116" s="189"/>
      <c r="WMP116" s="189"/>
      <c r="WMQ116" s="189"/>
      <c r="WMR116" s="189"/>
      <c r="WMS116" s="189"/>
      <c r="WMT116" s="189"/>
      <c r="WMU116" s="189"/>
      <c r="WMV116" s="189"/>
      <c r="WMW116" s="189"/>
      <c r="WMX116" s="189"/>
      <c r="WMY116" s="189"/>
      <c r="WMZ116" s="189"/>
      <c r="WNA116" s="189"/>
      <c r="WNB116" s="189"/>
      <c r="WNC116" s="189"/>
      <c r="WND116" s="189"/>
      <c r="WNE116" s="189"/>
      <c r="WNF116" s="189"/>
      <c r="WNG116" s="189"/>
      <c r="WNH116" s="189"/>
      <c r="WNI116" s="189"/>
      <c r="WNJ116" s="189"/>
      <c r="WNK116" s="189"/>
      <c r="WNL116" s="189"/>
      <c r="WNM116" s="189"/>
      <c r="WNN116" s="189"/>
      <c r="WNO116" s="189"/>
      <c r="WNP116" s="189"/>
      <c r="WNQ116" s="189"/>
      <c r="WNR116" s="189"/>
      <c r="WNS116" s="189"/>
      <c r="WNT116" s="189"/>
      <c r="WNU116" s="189"/>
      <c r="WNV116" s="189"/>
      <c r="WNW116" s="189"/>
      <c r="WNX116" s="189"/>
      <c r="WNY116" s="189"/>
      <c r="WNZ116" s="189"/>
      <c r="WOA116" s="189"/>
      <c r="WOB116" s="189"/>
      <c r="WOC116" s="189"/>
      <c r="WOD116" s="189"/>
      <c r="WOE116" s="189"/>
      <c r="WOF116" s="189"/>
      <c r="WOG116" s="189"/>
      <c r="WOH116" s="189"/>
      <c r="WOI116" s="189"/>
      <c r="WOJ116" s="189"/>
      <c r="WOK116" s="189"/>
      <c r="WOL116" s="189"/>
      <c r="WOM116" s="189"/>
      <c r="WON116" s="189"/>
      <c r="WOO116" s="189"/>
      <c r="WOP116" s="189"/>
      <c r="WOQ116" s="189"/>
      <c r="WOR116" s="189"/>
      <c r="WOS116" s="189"/>
      <c r="WOT116" s="189"/>
      <c r="WOU116" s="189"/>
      <c r="WOV116" s="189"/>
      <c r="WOW116" s="189"/>
      <c r="WOX116" s="189"/>
      <c r="WOY116" s="189"/>
      <c r="WOZ116" s="189"/>
      <c r="WPA116" s="189"/>
      <c r="WPB116" s="189"/>
      <c r="WPC116" s="189"/>
      <c r="WPD116" s="189"/>
      <c r="WPE116" s="189"/>
      <c r="WPF116" s="189"/>
      <c r="WPG116" s="189"/>
      <c r="WPH116" s="189"/>
      <c r="WPI116" s="189"/>
      <c r="WPJ116" s="189"/>
      <c r="WPK116" s="189"/>
      <c r="WPL116" s="189"/>
      <c r="WPM116" s="189"/>
      <c r="WPN116" s="189"/>
      <c r="WPO116" s="189"/>
      <c r="WPP116" s="189"/>
      <c r="WPQ116" s="189"/>
      <c r="WPR116" s="189"/>
      <c r="WPS116" s="189"/>
      <c r="WPT116" s="189"/>
      <c r="WPU116" s="189"/>
      <c r="WPV116" s="189"/>
      <c r="WPW116" s="189"/>
      <c r="WPX116" s="189"/>
      <c r="WPY116" s="189"/>
      <c r="WPZ116" s="189"/>
      <c r="WQA116" s="189"/>
      <c r="WQB116" s="189"/>
      <c r="WQC116" s="189"/>
      <c r="WQD116" s="189"/>
      <c r="WQE116" s="189"/>
      <c r="WQF116" s="189"/>
      <c r="WQG116" s="189"/>
      <c r="WQH116" s="189"/>
      <c r="WQI116" s="189"/>
      <c r="WQJ116" s="189"/>
      <c r="WQK116" s="189"/>
      <c r="WQL116" s="189"/>
      <c r="WQM116" s="189"/>
      <c r="WQN116" s="189"/>
      <c r="WQO116" s="189"/>
      <c r="WQP116" s="189"/>
      <c r="WQQ116" s="189"/>
      <c r="WQR116" s="189"/>
      <c r="WQS116" s="189"/>
      <c r="WQT116" s="189"/>
      <c r="WQU116" s="189"/>
      <c r="WQV116" s="189"/>
      <c r="WQW116" s="189"/>
      <c r="WQX116" s="189"/>
      <c r="WQY116" s="189"/>
      <c r="WQZ116" s="189"/>
      <c r="WRA116" s="189"/>
      <c r="WRB116" s="189"/>
      <c r="WRC116" s="189"/>
      <c r="WRD116" s="189"/>
      <c r="WRE116" s="189"/>
      <c r="WRF116" s="189"/>
      <c r="WRG116" s="189"/>
      <c r="WRH116" s="189"/>
      <c r="WRI116" s="189"/>
      <c r="WRJ116" s="189"/>
      <c r="WRK116" s="189"/>
      <c r="WRL116" s="189"/>
      <c r="WRM116" s="189"/>
      <c r="WRN116" s="189"/>
      <c r="WRO116" s="189"/>
      <c r="WRP116" s="189"/>
      <c r="WRQ116" s="189"/>
      <c r="WRR116" s="189"/>
      <c r="WRS116" s="189"/>
      <c r="WRT116" s="189"/>
      <c r="WRU116" s="189"/>
      <c r="WRV116" s="189"/>
      <c r="WRW116" s="189"/>
      <c r="WRX116" s="189"/>
      <c r="WRY116" s="189"/>
      <c r="WRZ116" s="189"/>
      <c r="WSA116" s="189"/>
      <c r="WSB116" s="189"/>
      <c r="WSC116" s="189"/>
      <c r="WSD116" s="189"/>
      <c r="WSE116" s="189"/>
      <c r="WSF116" s="189"/>
      <c r="WSG116" s="189"/>
      <c r="WSH116" s="189"/>
      <c r="WSI116" s="189"/>
      <c r="WSJ116" s="189"/>
      <c r="WSK116" s="189"/>
      <c r="WSL116" s="189"/>
      <c r="WSM116" s="189"/>
      <c r="WSN116" s="189"/>
      <c r="WSO116" s="189"/>
      <c r="WSP116" s="189"/>
      <c r="WSQ116" s="189"/>
      <c r="WSR116" s="189"/>
      <c r="WSS116" s="189"/>
      <c r="WST116" s="189"/>
      <c r="WSU116" s="189"/>
      <c r="WSV116" s="189"/>
      <c r="WSW116" s="189"/>
      <c r="WSX116" s="189"/>
      <c r="WSY116" s="189"/>
      <c r="WSZ116" s="189"/>
      <c r="WTA116" s="189"/>
      <c r="WTB116" s="189"/>
      <c r="WTC116" s="189"/>
      <c r="WTD116" s="189"/>
      <c r="WTE116" s="189"/>
      <c r="WTF116" s="189"/>
      <c r="WTG116" s="189"/>
      <c r="WTH116" s="189"/>
      <c r="WTI116" s="189"/>
      <c r="WTJ116" s="189"/>
      <c r="WTK116" s="189"/>
      <c r="WTL116" s="189"/>
      <c r="WTM116" s="189"/>
      <c r="WTN116" s="189"/>
      <c r="WTO116" s="189"/>
      <c r="WTP116" s="189"/>
      <c r="WTQ116" s="189"/>
      <c r="WTR116" s="189"/>
      <c r="WTS116" s="189"/>
      <c r="WTT116" s="189"/>
      <c r="WTU116" s="189"/>
      <c r="WTV116" s="189"/>
      <c r="WTW116" s="189"/>
      <c r="WTX116" s="189"/>
      <c r="WTY116" s="189"/>
      <c r="WTZ116" s="189"/>
      <c r="WUA116" s="189"/>
      <c r="WUB116" s="189"/>
      <c r="WUC116" s="189"/>
      <c r="WUD116" s="189"/>
      <c r="WUE116" s="189"/>
      <c r="WUF116" s="189"/>
      <c r="WUG116" s="189"/>
      <c r="WUH116" s="189"/>
      <c r="WUI116" s="189"/>
      <c r="WUJ116" s="189"/>
      <c r="WUK116" s="189"/>
      <c r="WUL116" s="189"/>
      <c r="WUM116" s="189"/>
      <c r="WUN116" s="189"/>
      <c r="WUO116" s="189"/>
      <c r="WUP116" s="189"/>
      <c r="WUQ116" s="189"/>
      <c r="WUR116" s="189"/>
      <c r="WUS116" s="189"/>
      <c r="WUT116" s="189"/>
      <c r="WUU116" s="189"/>
      <c r="WUV116" s="189"/>
      <c r="WUW116" s="189"/>
      <c r="WUX116" s="189"/>
      <c r="WUY116" s="189"/>
      <c r="WUZ116" s="189"/>
      <c r="WVA116" s="189"/>
      <c r="WVB116" s="189"/>
      <c r="WVC116" s="189"/>
      <c r="WVD116" s="189"/>
      <c r="WVE116" s="189"/>
      <c r="WVF116" s="189"/>
      <c r="WVG116" s="189"/>
      <c r="WVH116" s="189"/>
      <c r="WVI116" s="189"/>
      <c r="WVJ116" s="189"/>
      <c r="WVK116" s="189"/>
      <c r="WVL116" s="189"/>
      <c r="WVM116" s="189"/>
      <c r="WVN116" s="189"/>
      <c r="WVO116" s="189"/>
      <c r="WVP116" s="189"/>
      <c r="WVQ116" s="189"/>
      <c r="WVR116" s="189"/>
      <c r="WVS116" s="189"/>
      <c r="WVT116" s="189"/>
      <c r="WVU116" s="189"/>
      <c r="WVV116" s="189"/>
      <c r="WVW116" s="189"/>
      <c r="WVX116" s="189"/>
      <c r="WVY116" s="189"/>
      <c r="WVZ116" s="189"/>
      <c r="WWA116" s="189"/>
      <c r="WWB116" s="189"/>
      <c r="WWC116" s="189"/>
      <c r="WWD116" s="189"/>
      <c r="WWE116" s="189"/>
      <c r="WWF116" s="189"/>
      <c r="WWG116" s="189"/>
      <c r="WWH116" s="189"/>
      <c r="WWI116" s="189"/>
      <c r="WWJ116" s="189"/>
      <c r="WWK116" s="189"/>
      <c r="WWL116" s="189"/>
      <c r="WWM116" s="189"/>
      <c r="WWN116" s="189"/>
      <c r="WWO116" s="189"/>
      <c r="WWP116" s="189"/>
      <c r="WWQ116" s="189"/>
      <c r="WWR116" s="189"/>
      <c r="WWS116" s="189"/>
      <c r="WWT116" s="189"/>
      <c r="WWU116" s="189"/>
      <c r="WWV116" s="189"/>
      <c r="WWW116" s="189"/>
      <c r="WWX116" s="189"/>
      <c r="WWY116" s="189"/>
      <c r="WWZ116" s="189"/>
      <c r="WXA116" s="189"/>
      <c r="WXB116" s="189"/>
      <c r="WXC116" s="189"/>
      <c r="WXD116" s="189"/>
      <c r="WXE116" s="189"/>
      <c r="WXF116" s="189"/>
      <c r="WXG116" s="189"/>
      <c r="WXH116" s="189"/>
      <c r="WXI116" s="189"/>
      <c r="WXJ116" s="189"/>
      <c r="WXK116" s="189"/>
      <c r="WXL116" s="189"/>
      <c r="WXM116" s="189"/>
      <c r="WXN116" s="189"/>
      <c r="WXO116" s="189"/>
      <c r="WXP116" s="189"/>
      <c r="WXQ116" s="189"/>
      <c r="WXR116" s="189"/>
      <c r="WXS116" s="189"/>
      <c r="WXT116" s="189"/>
      <c r="WXU116" s="189"/>
      <c r="WXV116" s="189"/>
      <c r="WXW116" s="189"/>
      <c r="WXX116" s="189"/>
      <c r="WXY116" s="189"/>
      <c r="WXZ116" s="189"/>
      <c r="WYA116" s="189"/>
      <c r="WYB116" s="189"/>
      <c r="WYC116" s="189"/>
      <c r="WYD116" s="189"/>
      <c r="WYE116" s="189"/>
      <c r="WYF116" s="189"/>
      <c r="WYG116" s="189"/>
      <c r="WYH116" s="189"/>
      <c r="WYI116" s="189"/>
      <c r="WYJ116" s="189"/>
      <c r="WYK116" s="189"/>
      <c r="WYL116" s="189"/>
      <c r="WYM116" s="189"/>
      <c r="WYN116" s="189"/>
      <c r="WYO116" s="189"/>
      <c r="WYP116" s="189"/>
      <c r="WYQ116" s="189"/>
      <c r="WYR116" s="189"/>
      <c r="WYS116" s="189"/>
      <c r="WYT116" s="189"/>
      <c r="WYU116" s="189"/>
      <c r="WYV116" s="189"/>
      <c r="WYW116" s="189"/>
      <c r="WYX116" s="189"/>
      <c r="WYY116" s="189"/>
      <c r="WYZ116" s="189"/>
      <c r="WZA116" s="189"/>
      <c r="WZB116" s="189"/>
      <c r="WZC116" s="189"/>
      <c r="WZD116" s="189"/>
      <c r="WZE116" s="189"/>
      <c r="WZF116" s="189"/>
      <c r="WZG116" s="189"/>
      <c r="WZH116" s="189"/>
      <c r="WZI116" s="189"/>
      <c r="WZJ116" s="189"/>
      <c r="WZK116" s="189"/>
      <c r="WZL116" s="189"/>
      <c r="WZM116" s="189"/>
      <c r="WZN116" s="189"/>
      <c r="WZO116" s="189"/>
      <c r="WZP116" s="189"/>
      <c r="WZQ116" s="189"/>
      <c r="WZR116" s="189"/>
      <c r="WZS116" s="189"/>
      <c r="WZT116" s="189"/>
      <c r="WZU116" s="189"/>
      <c r="WZV116" s="189"/>
      <c r="WZW116" s="189"/>
      <c r="WZX116" s="189"/>
      <c r="WZY116" s="189"/>
      <c r="WZZ116" s="189"/>
      <c r="XAA116" s="189"/>
      <c r="XAB116" s="189"/>
      <c r="XAC116" s="189"/>
      <c r="XAD116" s="189"/>
      <c r="XAE116" s="189"/>
      <c r="XAF116" s="189"/>
      <c r="XAG116" s="189"/>
      <c r="XAH116" s="189"/>
      <c r="XAI116" s="189"/>
      <c r="XAJ116" s="189"/>
      <c r="XAK116" s="189"/>
      <c r="XAL116" s="189"/>
      <c r="XAM116" s="189"/>
      <c r="XAN116" s="189"/>
      <c r="XAO116" s="189"/>
      <c r="XAP116" s="189"/>
      <c r="XAQ116" s="189"/>
      <c r="XAR116" s="189"/>
      <c r="XAS116" s="189"/>
      <c r="XAT116" s="189"/>
      <c r="XAU116" s="189"/>
      <c r="XAV116" s="189"/>
      <c r="XAW116" s="189"/>
      <c r="XAX116" s="189"/>
      <c r="XAY116" s="189"/>
      <c r="XAZ116" s="189"/>
      <c r="XBA116" s="189"/>
      <c r="XBB116" s="189"/>
      <c r="XBC116" s="189"/>
      <c r="XBD116" s="189"/>
      <c r="XBE116" s="189"/>
      <c r="XBF116" s="189"/>
      <c r="XBG116" s="189"/>
      <c r="XBH116" s="189"/>
      <c r="XBI116" s="189"/>
      <c r="XBJ116" s="189"/>
      <c r="XBK116" s="189"/>
      <c r="XBL116" s="189"/>
      <c r="XBM116" s="189"/>
      <c r="XBN116" s="189"/>
      <c r="XBO116" s="189"/>
      <c r="XBP116" s="189"/>
      <c r="XBQ116" s="189"/>
      <c r="XBR116" s="189"/>
      <c r="XBS116" s="189"/>
      <c r="XBT116" s="189"/>
      <c r="XBU116" s="189"/>
      <c r="XBV116" s="189"/>
      <c r="XBW116" s="189"/>
      <c r="XBX116" s="189"/>
      <c r="XBY116" s="189"/>
      <c r="XBZ116" s="189"/>
      <c r="XCA116" s="189"/>
      <c r="XCB116" s="189"/>
      <c r="XCC116" s="189"/>
      <c r="XCD116" s="189"/>
      <c r="XCE116" s="189"/>
      <c r="XCF116" s="189"/>
      <c r="XCG116" s="189"/>
      <c r="XCH116" s="189"/>
      <c r="XCI116" s="189"/>
      <c r="XCJ116" s="189"/>
      <c r="XCK116" s="189"/>
      <c r="XCL116" s="189"/>
      <c r="XCM116" s="189"/>
      <c r="XCN116" s="189"/>
      <c r="XCO116" s="189"/>
      <c r="XCP116" s="189"/>
      <c r="XCQ116" s="189"/>
      <c r="XCR116" s="189"/>
      <c r="XCS116" s="189"/>
      <c r="XCT116" s="189"/>
      <c r="XCU116" s="189"/>
      <c r="XCV116" s="189"/>
      <c r="XCW116" s="189"/>
      <c r="XCX116" s="189"/>
      <c r="XCY116" s="189"/>
      <c r="XCZ116" s="189"/>
      <c r="XDA116" s="189"/>
      <c r="XDB116" s="189"/>
      <c r="XDC116" s="189"/>
      <c r="XDD116" s="189"/>
      <c r="XDE116" s="189"/>
      <c r="XDF116" s="189"/>
      <c r="XDG116" s="189"/>
      <c r="XDH116" s="189"/>
      <c r="XDI116" s="189"/>
      <c r="XDJ116" s="189"/>
      <c r="XDK116" s="189"/>
      <c r="XDL116" s="189"/>
      <c r="XDM116" s="189"/>
      <c r="XDN116" s="189"/>
      <c r="XDO116" s="189"/>
      <c r="XDP116" s="189"/>
      <c r="XDQ116" s="189"/>
      <c r="XDR116" s="189"/>
      <c r="XDS116" s="189"/>
      <c r="XDT116" s="189"/>
      <c r="XDU116" s="189"/>
      <c r="XDV116" s="189"/>
      <c r="XDW116" s="189"/>
      <c r="XDX116" s="189"/>
      <c r="XDY116" s="189"/>
      <c r="XDZ116" s="189"/>
      <c r="XEA116" s="189"/>
      <c r="XEB116" s="189"/>
      <c r="XEC116" s="189"/>
      <c r="XED116" s="189"/>
      <c r="XEE116" s="189"/>
      <c r="XEF116" s="189"/>
      <c r="XEG116" s="189"/>
      <c r="XEH116" s="189"/>
      <c r="XEI116" s="189"/>
      <c r="XEJ116" s="189"/>
      <c r="XEK116" s="189"/>
      <c r="XEL116" s="189"/>
      <c r="XEM116" s="189"/>
      <c r="XEN116" s="189"/>
      <c r="XEO116" s="189"/>
      <c r="XEP116" s="189"/>
      <c r="XEQ116" s="189"/>
      <c r="XER116" s="189"/>
      <c r="XES116" s="189"/>
      <c r="XET116" s="189"/>
      <c r="XEU116" s="189"/>
      <c r="XEV116" s="189"/>
      <c r="XEW116" s="189"/>
      <c r="XEX116" s="189"/>
      <c r="XEY116" s="189"/>
      <c r="XEZ116" s="189"/>
      <c r="XFA116" s="189"/>
      <c r="XFB116" s="189"/>
      <c r="XFC116" s="189"/>
    </row>
    <row r="117" spans="1:16383">
      <c r="A117" s="189" t="s">
        <v>1023</v>
      </c>
      <c r="B117" s="861" t="s">
        <v>972</v>
      </c>
      <c r="C117" s="861" t="s">
        <v>972</v>
      </c>
      <c r="D117" s="861" t="s">
        <v>972</v>
      </c>
      <c r="E117" s="861" t="s">
        <v>972</v>
      </c>
      <c r="F117" s="861" t="s">
        <v>972</v>
      </c>
      <c r="G117" s="861" t="s">
        <v>972</v>
      </c>
      <c r="H117" s="978">
        <v>0.17699000000000001</v>
      </c>
      <c r="I117" s="978">
        <v>0</v>
      </c>
      <c r="J117" s="978">
        <v>0</v>
      </c>
      <c r="K117" s="978">
        <v>0.27410000000000001</v>
      </c>
      <c r="L117" s="978">
        <f>0.1866+0.0813</f>
        <v>0.26789999999999997</v>
      </c>
      <c r="M117" s="978">
        <v>0.32134299999999999</v>
      </c>
      <c r="N117" s="979">
        <v>0.26730199999999998</v>
      </c>
      <c r="O117" s="979">
        <v>0.35949999999999999</v>
      </c>
      <c r="P117" s="401">
        <f>67939/(P106*1000)</f>
        <v>0.20117556483373308</v>
      </c>
      <c r="Q117" s="401">
        <f>(46154+7010)/(Q106*1000)</f>
        <v>0.15685927394608884</v>
      </c>
      <c r="R117" s="401">
        <v>0.20699999999999999</v>
      </c>
      <c r="S117" s="472"/>
      <c r="T117" s="472"/>
      <c r="U117" s="472"/>
      <c r="V117" s="472"/>
      <c r="W117" s="756"/>
      <c r="X117" s="756"/>
    </row>
    <row r="118" spans="1:16383" s="494" customFormat="1">
      <c r="A118" s="1727" t="s">
        <v>1419</v>
      </c>
      <c r="B118" s="814"/>
      <c r="C118" s="980"/>
      <c r="D118" s="980"/>
      <c r="E118" s="980"/>
      <c r="F118" s="980"/>
      <c r="G118" s="980"/>
      <c r="H118" s="1861">
        <f>ROUND(H116-H117,3)</f>
        <v>0</v>
      </c>
      <c r="I118" s="1861">
        <f t="shared" ref="I118:R118" si="58">ROUND(I116-I117,2)</f>
        <v>0</v>
      </c>
      <c r="J118" s="1861">
        <f t="shared" si="58"/>
        <v>0</v>
      </c>
      <c r="K118" s="2282">
        <f t="shared" si="58"/>
        <v>-0.18</v>
      </c>
      <c r="L118" s="2282">
        <f t="shared" si="58"/>
        <v>-0.18</v>
      </c>
      <c r="M118" s="2282">
        <f t="shared" si="58"/>
        <v>-0.21</v>
      </c>
      <c r="N118" s="2282">
        <f t="shared" si="58"/>
        <v>-0.18</v>
      </c>
      <c r="O118" s="2282">
        <f t="shared" si="58"/>
        <v>-0.24</v>
      </c>
      <c r="P118" s="1861">
        <f t="shared" si="58"/>
        <v>0</v>
      </c>
      <c r="Q118" s="1861">
        <f t="shared" si="58"/>
        <v>0</v>
      </c>
      <c r="R118" s="2282">
        <f t="shared" si="58"/>
        <v>0.01</v>
      </c>
      <c r="S118" s="956"/>
      <c r="T118" s="956"/>
      <c r="U118" s="956"/>
      <c r="V118" s="956"/>
      <c r="W118" s="957"/>
      <c r="X118" s="957"/>
    </row>
    <row r="119" spans="1:16383">
      <c r="A119" s="54"/>
      <c r="B119" s="54"/>
      <c r="C119" s="54"/>
      <c r="D119" s="54"/>
      <c r="E119" s="54"/>
      <c r="F119" s="54"/>
      <c r="G119" s="472"/>
      <c r="H119" s="472"/>
      <c r="I119" s="472"/>
      <c r="J119" s="864"/>
      <c r="K119" s="864"/>
      <c r="L119" s="864"/>
      <c r="M119" s="864"/>
      <c r="N119" s="864"/>
      <c r="O119" s="1638"/>
      <c r="Q119" s="864"/>
      <c r="R119" s="864"/>
      <c r="S119" s="472"/>
      <c r="T119" s="472"/>
      <c r="U119" s="472"/>
      <c r="V119" s="472"/>
      <c r="W119" s="756"/>
      <c r="X119" s="756"/>
    </row>
    <row r="120" spans="1:16383">
      <c r="A120" s="14" t="s">
        <v>1057</v>
      </c>
      <c r="B120" s="54"/>
      <c r="C120" s="54"/>
      <c r="D120" s="54"/>
      <c r="E120" s="54"/>
      <c r="F120" s="54"/>
      <c r="G120" s="472"/>
      <c r="H120" s="926"/>
      <c r="I120" s="926"/>
      <c r="K120" s="926"/>
      <c r="L120" s="926"/>
      <c r="M120" s="926"/>
      <c r="N120" s="926"/>
      <c r="O120" s="926"/>
      <c r="P120" s="926"/>
      <c r="Q120" s="926"/>
      <c r="R120" s="926"/>
      <c r="S120" s="472"/>
      <c r="T120" s="472"/>
      <c r="U120" s="472"/>
      <c r="V120" s="472"/>
      <c r="W120" s="756"/>
      <c r="X120" s="756"/>
    </row>
    <row r="121" spans="1:16383">
      <c r="A121" s="14" t="s">
        <v>1044</v>
      </c>
      <c r="B121" s="774">
        <f t="shared" ref="B121:L121" si="59">SUM(B122:B124)</f>
        <v>0</v>
      </c>
      <c r="C121" s="774">
        <f t="shared" si="59"/>
        <v>0</v>
      </c>
      <c r="D121" s="774">
        <f t="shared" si="59"/>
        <v>0</v>
      </c>
      <c r="E121" s="772">
        <v>-57.6</v>
      </c>
      <c r="F121" s="772">
        <v>-54.4</v>
      </c>
      <c r="G121" s="772">
        <v>-39.162999999999997</v>
      </c>
      <c r="H121" s="772">
        <v>-54.848999999999997</v>
      </c>
      <c r="I121" s="772">
        <v>-42.623999999999995</v>
      </c>
      <c r="J121" s="772">
        <v>-34.978999999999999</v>
      </c>
      <c r="K121" s="774">
        <f t="shared" si="59"/>
        <v>-61.453999999999994</v>
      </c>
      <c r="L121" s="774">
        <f t="shared" si="59"/>
        <v>-58.205000000000005</v>
      </c>
      <c r="M121" s="774">
        <f t="shared" ref="M121:R121" si="60">SUM(M122:M124)</f>
        <v>-53.747999999999998</v>
      </c>
      <c r="N121" s="774">
        <f t="shared" si="60"/>
        <v>-72.465999999999994</v>
      </c>
      <c r="O121" s="774">
        <f t="shared" si="60"/>
        <v>-90.328999999999994</v>
      </c>
      <c r="P121" s="774">
        <f t="shared" si="60"/>
        <v>-94.217999999999989</v>
      </c>
      <c r="Q121" s="774">
        <f t="shared" si="60"/>
        <v>-109.14399999999999</v>
      </c>
      <c r="R121" s="774">
        <f t="shared" si="60"/>
        <v>-106.82000000000001</v>
      </c>
      <c r="S121" s="472"/>
      <c r="T121" s="472"/>
      <c r="U121" s="472"/>
      <c r="V121" s="472"/>
      <c r="W121" s="756"/>
      <c r="X121" s="756"/>
    </row>
    <row r="122" spans="1:16383">
      <c r="A122" s="771" t="s">
        <v>54</v>
      </c>
      <c r="B122" s="772" t="s">
        <v>972</v>
      </c>
      <c r="C122" s="772" t="s">
        <v>972</v>
      </c>
      <c r="D122" s="772" t="s">
        <v>972</v>
      </c>
      <c r="E122" s="772" t="s">
        <v>972</v>
      </c>
      <c r="F122" s="772" t="s">
        <v>972</v>
      </c>
      <c r="G122" s="772" t="s">
        <v>972</v>
      </c>
      <c r="H122" s="772" t="s">
        <v>972</v>
      </c>
      <c r="I122" s="772" t="s">
        <v>972</v>
      </c>
      <c r="J122" s="772" t="s">
        <v>972</v>
      </c>
      <c r="K122" s="772">
        <v>-46.046999999999997</v>
      </c>
      <c r="L122" s="772">
        <v>-47.274000000000001</v>
      </c>
      <c r="M122" s="772">
        <v>-43.994999999999997</v>
      </c>
      <c r="N122" s="772">
        <v>-57.265000000000001</v>
      </c>
      <c r="O122" s="772">
        <v>-62.015000000000001</v>
      </c>
      <c r="P122" s="772">
        <v>-76.153999999999996</v>
      </c>
      <c r="Q122" s="772">
        <v>-78.983999999999995</v>
      </c>
      <c r="R122" s="774">
        <v>-86.766000000000005</v>
      </c>
      <c r="S122" s="472"/>
      <c r="T122" s="472"/>
      <c r="U122" s="472"/>
      <c r="V122" s="472"/>
      <c r="W122" s="756"/>
      <c r="X122" s="756"/>
    </row>
    <row r="123" spans="1:16383">
      <c r="A123" s="771" t="s">
        <v>42</v>
      </c>
      <c r="B123" s="772" t="s">
        <v>972</v>
      </c>
      <c r="C123" s="772" t="s">
        <v>972</v>
      </c>
      <c r="D123" s="772" t="s">
        <v>972</v>
      </c>
      <c r="E123" s="772" t="s">
        <v>972</v>
      </c>
      <c r="F123" s="772" t="s">
        <v>972</v>
      </c>
      <c r="G123" s="772" t="s">
        <v>972</v>
      </c>
      <c r="H123" s="772" t="s">
        <v>972</v>
      </c>
      <c r="I123" s="772" t="s">
        <v>972</v>
      </c>
      <c r="J123" s="772" t="s">
        <v>972</v>
      </c>
      <c r="K123" s="772">
        <v>-15.086</v>
      </c>
      <c r="L123" s="772">
        <v>-10.776999999999999</v>
      </c>
      <c r="M123" s="772">
        <v>-6.73</v>
      </c>
      <c r="N123" s="772">
        <v>-11.923999999999999</v>
      </c>
      <c r="O123" s="772">
        <v>-22.943000000000001</v>
      </c>
      <c r="P123" s="772">
        <v>-12.297000000000001</v>
      </c>
      <c r="Q123" s="772">
        <v>-24.277000000000001</v>
      </c>
      <c r="R123" s="772">
        <f>-10.672-2.16</f>
        <v>-12.832000000000001</v>
      </c>
      <c r="S123" s="472"/>
      <c r="T123" s="472"/>
      <c r="U123" s="472"/>
      <c r="V123" s="472"/>
      <c r="W123" s="756"/>
      <c r="X123" s="756"/>
    </row>
    <row r="124" spans="1:16383">
      <c r="A124" s="771" t="s">
        <v>46</v>
      </c>
      <c r="B124" s="772" t="s">
        <v>972</v>
      </c>
      <c r="C124" s="772" t="s">
        <v>972</v>
      </c>
      <c r="D124" s="772" t="s">
        <v>972</v>
      </c>
      <c r="E124" s="772" t="s">
        <v>972</v>
      </c>
      <c r="F124" s="772" t="s">
        <v>972</v>
      </c>
      <c r="G124" s="772" t="s">
        <v>972</v>
      </c>
      <c r="H124" s="772" t="s">
        <v>972</v>
      </c>
      <c r="I124" s="772" t="s">
        <v>972</v>
      </c>
      <c r="J124" s="772" t="s">
        <v>972</v>
      </c>
      <c r="K124" s="772">
        <v>-0.32100000000000001</v>
      </c>
      <c r="L124" s="772">
        <v>-0.154</v>
      </c>
      <c r="M124" s="772">
        <v>-3.0230000000000001</v>
      </c>
      <c r="N124" s="772">
        <v>-3.2770000000000001</v>
      </c>
      <c r="O124" s="772">
        <v>-5.3710000000000004</v>
      </c>
      <c r="P124" s="772">
        <v>-5.7670000000000003</v>
      </c>
      <c r="Q124" s="772">
        <f>-5.806-0.077</f>
        <v>-5.883</v>
      </c>
      <c r="R124" s="772">
        <f>-6.978-0.244</f>
        <v>-7.2219999999999995</v>
      </c>
      <c r="S124" s="472"/>
      <c r="T124" s="472"/>
      <c r="U124" s="472"/>
      <c r="V124" s="472"/>
      <c r="W124" s="756"/>
      <c r="X124" s="756"/>
    </row>
    <row r="125" spans="1:16383">
      <c r="B125" s="195"/>
      <c r="C125" s="195"/>
      <c r="D125" s="195"/>
      <c r="E125" s="195"/>
      <c r="F125" s="195"/>
      <c r="G125" s="1052"/>
      <c r="H125" s="1052"/>
      <c r="I125" s="1053"/>
      <c r="J125" s="1053"/>
      <c r="K125" s="1053"/>
      <c r="L125" s="1053"/>
      <c r="M125" s="772"/>
      <c r="N125" s="772"/>
      <c r="O125" s="772"/>
      <c r="P125" s="772"/>
      <c r="Q125" s="772"/>
      <c r="R125" s="772"/>
      <c r="S125" s="472"/>
      <c r="T125" s="472"/>
      <c r="U125" s="472"/>
      <c r="V125" s="472"/>
      <c r="W125" s="756"/>
      <c r="X125" s="756"/>
    </row>
    <row r="126" spans="1:16383">
      <c r="A126" s="14" t="s">
        <v>1045</v>
      </c>
      <c r="B126" s="774">
        <f t="shared" ref="B126:L126" si="61">SUM(B127:B129)</f>
        <v>0</v>
      </c>
      <c r="C126" s="774">
        <f t="shared" si="61"/>
        <v>0</v>
      </c>
      <c r="D126" s="774">
        <f t="shared" si="61"/>
        <v>0</v>
      </c>
      <c r="E126" s="774">
        <f t="shared" si="61"/>
        <v>0</v>
      </c>
      <c r="F126" s="774">
        <f t="shared" si="61"/>
        <v>0</v>
      </c>
      <c r="G126" s="774">
        <f t="shared" si="61"/>
        <v>0</v>
      </c>
      <c r="H126" s="774">
        <f t="shared" si="61"/>
        <v>0</v>
      </c>
      <c r="I126" s="774">
        <f t="shared" si="61"/>
        <v>0</v>
      </c>
      <c r="J126" s="774">
        <f t="shared" si="61"/>
        <v>0</v>
      </c>
      <c r="K126" s="774">
        <f t="shared" si="61"/>
        <v>-88.223000000000013</v>
      </c>
      <c r="L126" s="774">
        <f t="shared" si="61"/>
        <v>-94.259</v>
      </c>
      <c r="M126" s="774">
        <f t="shared" ref="M126:R126" si="62">SUM(M127:M129)</f>
        <v>-107.011</v>
      </c>
      <c r="N126" s="774">
        <f t="shared" si="62"/>
        <v>-118.48</v>
      </c>
      <c r="O126" s="774">
        <f t="shared" si="62"/>
        <v>-128.93600000000001</v>
      </c>
      <c r="P126" s="774">
        <f t="shared" si="62"/>
        <v>-149.79399999999998</v>
      </c>
      <c r="Q126" s="774">
        <f t="shared" si="62"/>
        <v>-145.21300000000002</v>
      </c>
      <c r="R126" s="774">
        <f t="shared" si="62"/>
        <v>-152.886</v>
      </c>
      <c r="S126" s="472"/>
      <c r="T126" s="472"/>
      <c r="U126" s="472"/>
      <c r="V126" s="472"/>
      <c r="W126" s="756"/>
      <c r="X126" s="756"/>
    </row>
    <row r="127" spans="1:16383">
      <c r="A127" s="771" t="s">
        <v>54</v>
      </c>
      <c r="B127" s="772" t="s">
        <v>972</v>
      </c>
      <c r="C127" s="772" t="s">
        <v>972</v>
      </c>
      <c r="D127" s="772" t="s">
        <v>972</v>
      </c>
      <c r="E127" s="772" t="s">
        <v>972</v>
      </c>
      <c r="F127" s="772" t="s">
        <v>972</v>
      </c>
      <c r="G127" s="772" t="s">
        <v>972</v>
      </c>
      <c r="H127" s="772" t="s">
        <v>972</v>
      </c>
      <c r="I127" s="772" t="s">
        <v>972</v>
      </c>
      <c r="J127" s="772" t="s">
        <v>972</v>
      </c>
      <c r="K127" s="772">
        <v>-35.786000000000001</v>
      </c>
      <c r="L127" s="772">
        <v>-41.966000000000001</v>
      </c>
      <c r="M127" s="772">
        <v>-53.719000000000001</v>
      </c>
      <c r="N127" s="772">
        <v>-60.676000000000002</v>
      </c>
      <c r="O127" s="772">
        <v>-56.417999999999999</v>
      </c>
      <c r="P127" s="772">
        <v>-67.713999999999999</v>
      </c>
      <c r="Q127" s="772">
        <v>-61.481000000000002</v>
      </c>
      <c r="R127" s="772">
        <v>-72.63</v>
      </c>
      <c r="S127" s="472"/>
      <c r="T127" s="472"/>
      <c r="U127" s="472"/>
      <c r="V127" s="472"/>
      <c r="W127" s="756"/>
      <c r="X127" s="756"/>
    </row>
    <row r="128" spans="1:16383">
      <c r="A128" s="771" t="s">
        <v>42</v>
      </c>
      <c r="B128" s="772" t="s">
        <v>972</v>
      </c>
      <c r="C128" s="772" t="s">
        <v>972</v>
      </c>
      <c r="D128" s="772" t="s">
        <v>972</v>
      </c>
      <c r="E128" s="772" t="s">
        <v>972</v>
      </c>
      <c r="F128" s="772" t="s">
        <v>972</v>
      </c>
      <c r="G128" s="772" t="s">
        <v>972</v>
      </c>
      <c r="H128" s="772" t="s">
        <v>972</v>
      </c>
      <c r="I128" s="772" t="s">
        <v>972</v>
      </c>
      <c r="J128" s="772" t="s">
        <v>972</v>
      </c>
      <c r="K128" s="772">
        <v>-43.615000000000002</v>
      </c>
      <c r="L128" s="772">
        <v>-42.866999999999997</v>
      </c>
      <c r="M128" s="772">
        <v>-42.591000000000001</v>
      </c>
      <c r="N128" s="772">
        <v>-45.956000000000003</v>
      </c>
      <c r="O128" s="772">
        <v>-59.624000000000002</v>
      </c>
      <c r="P128" s="772">
        <v>-67.100999999999999</v>
      </c>
      <c r="Q128" s="772">
        <v>-67.033000000000001</v>
      </c>
      <c r="R128" s="772">
        <v>-62.585999999999999</v>
      </c>
      <c r="S128" s="472"/>
      <c r="T128" s="472"/>
      <c r="U128" s="472"/>
      <c r="V128" s="472"/>
      <c r="W128" s="756"/>
      <c r="X128" s="756"/>
    </row>
    <row r="129" spans="1:24">
      <c r="A129" s="771" t="s">
        <v>46</v>
      </c>
      <c r="B129" s="772" t="s">
        <v>972</v>
      </c>
      <c r="C129" s="772" t="s">
        <v>972</v>
      </c>
      <c r="D129" s="772" t="s">
        <v>972</v>
      </c>
      <c r="E129" s="772" t="s">
        <v>972</v>
      </c>
      <c r="F129" s="772" t="s">
        <v>972</v>
      </c>
      <c r="G129" s="772" t="s">
        <v>972</v>
      </c>
      <c r="H129" s="772" t="s">
        <v>972</v>
      </c>
      <c r="I129" s="772" t="s">
        <v>972</v>
      </c>
      <c r="J129" s="772" t="s">
        <v>972</v>
      </c>
      <c r="K129" s="772">
        <v>-8.8219999999999992</v>
      </c>
      <c r="L129" s="772">
        <v>-9.4260000000000002</v>
      </c>
      <c r="M129" s="772">
        <v>-10.701000000000001</v>
      </c>
      <c r="N129" s="772">
        <v>-11.848000000000001</v>
      </c>
      <c r="O129" s="772">
        <v>-12.894</v>
      </c>
      <c r="P129" s="772">
        <v>-14.978999999999999</v>
      </c>
      <c r="Q129" s="772">
        <f>-11.51-5.189</f>
        <v>-16.698999999999998</v>
      </c>
      <c r="R129" s="772">
        <f>-14.11-3.56</f>
        <v>-17.669999999999998</v>
      </c>
      <c r="S129" s="472"/>
      <c r="T129" s="472"/>
      <c r="U129" s="472"/>
      <c r="V129" s="472"/>
      <c r="W129" s="756"/>
      <c r="X129" s="756"/>
    </row>
    <row r="130" spans="1:24">
      <c r="B130" s="195"/>
      <c r="C130" s="195"/>
      <c r="D130" s="195"/>
      <c r="E130" s="195"/>
      <c r="F130" s="195"/>
      <c r="G130" s="1052"/>
      <c r="H130" s="1052"/>
      <c r="I130" s="1052"/>
      <c r="J130" s="1052"/>
      <c r="K130" s="1052"/>
      <c r="L130" s="1052"/>
      <c r="M130" s="772"/>
      <c r="N130" s="772"/>
      <c r="O130" s="772"/>
      <c r="P130" s="772"/>
      <c r="Q130" s="772"/>
      <c r="R130" s="472"/>
      <c r="S130" s="472"/>
      <c r="T130" s="472"/>
      <c r="U130" s="472"/>
      <c r="V130" s="472"/>
      <c r="W130" s="756"/>
      <c r="X130" s="756"/>
    </row>
    <row r="131" spans="1:24">
      <c r="A131" s="14" t="s">
        <v>1046</v>
      </c>
      <c r="B131" s="774">
        <f t="shared" ref="B131:L131" si="63">SUM(B132:B134)</f>
        <v>0</v>
      </c>
      <c r="C131" s="774">
        <f t="shared" si="63"/>
        <v>0</v>
      </c>
      <c r="D131" s="774">
        <f t="shared" si="63"/>
        <v>0</v>
      </c>
      <c r="E131" s="774">
        <f t="shared" si="63"/>
        <v>0</v>
      </c>
      <c r="F131" s="774">
        <f t="shared" si="63"/>
        <v>0</v>
      </c>
      <c r="G131" s="774">
        <f t="shared" si="63"/>
        <v>0</v>
      </c>
      <c r="H131" s="774">
        <f t="shared" si="63"/>
        <v>0</v>
      </c>
      <c r="I131" s="774">
        <f t="shared" si="63"/>
        <v>0</v>
      </c>
      <c r="J131" s="774">
        <f t="shared" si="63"/>
        <v>0</v>
      </c>
      <c r="K131" s="774">
        <f t="shared" si="63"/>
        <v>3.3279999999999998</v>
      </c>
      <c r="L131" s="774">
        <f t="shared" si="63"/>
        <v>3.9430000000000001</v>
      </c>
      <c r="M131" s="774">
        <f t="shared" ref="M131:R131" si="64">SUM(M132:M134)</f>
        <v>7.1230000000000002</v>
      </c>
      <c r="N131" s="774">
        <f t="shared" si="64"/>
        <v>0.26500000000000001</v>
      </c>
      <c r="O131" s="774">
        <f t="shared" si="64"/>
        <v>11.393000000000001</v>
      </c>
      <c r="P131" s="774">
        <f t="shared" si="64"/>
        <v>9.0890000000000004</v>
      </c>
      <c r="Q131" s="774">
        <f t="shared" si="64"/>
        <v>6.2629999999999999</v>
      </c>
      <c r="R131" s="774">
        <f t="shared" si="64"/>
        <v>5.71</v>
      </c>
      <c r="S131" s="472"/>
      <c r="T131" s="472"/>
      <c r="U131" s="472"/>
      <c r="V131" s="472"/>
      <c r="W131" s="756"/>
      <c r="X131" s="756"/>
    </row>
    <row r="132" spans="1:24">
      <c r="A132" s="771" t="s">
        <v>54</v>
      </c>
      <c r="B132" s="772" t="s">
        <v>972</v>
      </c>
      <c r="C132" s="772" t="s">
        <v>972</v>
      </c>
      <c r="D132" s="772" t="s">
        <v>972</v>
      </c>
      <c r="E132" s="772" t="s">
        <v>972</v>
      </c>
      <c r="F132" s="772" t="s">
        <v>972</v>
      </c>
      <c r="G132" s="772" t="s">
        <v>972</v>
      </c>
      <c r="H132" s="772" t="s">
        <v>972</v>
      </c>
      <c r="I132" s="772" t="s">
        <v>972</v>
      </c>
      <c r="J132" s="772" t="s">
        <v>972</v>
      </c>
      <c r="K132" s="772">
        <v>0</v>
      </c>
      <c r="L132" s="772">
        <v>0</v>
      </c>
      <c r="M132" s="772">
        <v>0</v>
      </c>
      <c r="N132" s="772">
        <v>0</v>
      </c>
      <c r="O132" s="772">
        <v>0</v>
      </c>
      <c r="P132" s="772">
        <v>0</v>
      </c>
      <c r="Q132" s="772">
        <v>0</v>
      </c>
      <c r="R132" s="772"/>
      <c r="S132" s="472"/>
      <c r="T132" s="472"/>
      <c r="U132" s="472"/>
      <c r="V132" s="472"/>
      <c r="W132" s="756"/>
      <c r="X132" s="756"/>
    </row>
    <row r="133" spans="1:24">
      <c r="A133" s="771" t="s">
        <v>42</v>
      </c>
      <c r="B133" s="772" t="s">
        <v>972</v>
      </c>
      <c r="C133" s="772" t="s">
        <v>972</v>
      </c>
      <c r="D133" s="772" t="s">
        <v>972</v>
      </c>
      <c r="E133" s="772" t="s">
        <v>972</v>
      </c>
      <c r="F133" s="772" t="s">
        <v>972</v>
      </c>
      <c r="G133" s="772" t="s">
        <v>972</v>
      </c>
      <c r="H133" s="772" t="s">
        <v>972</v>
      </c>
      <c r="I133" s="772" t="s">
        <v>972</v>
      </c>
      <c r="J133" s="772" t="s">
        <v>972</v>
      </c>
      <c r="K133" s="772">
        <v>0</v>
      </c>
      <c r="L133" s="772">
        <v>0</v>
      </c>
      <c r="M133" s="772">
        <v>0</v>
      </c>
      <c r="N133" s="772">
        <v>0</v>
      </c>
      <c r="O133" s="772">
        <v>0</v>
      </c>
      <c r="P133" s="772">
        <v>0</v>
      </c>
      <c r="Q133" s="772">
        <v>0</v>
      </c>
      <c r="R133" s="772"/>
      <c r="S133" s="472"/>
      <c r="T133" s="472"/>
      <c r="U133" s="472"/>
      <c r="V133" s="472"/>
      <c r="W133" s="756"/>
      <c r="X133" s="756"/>
    </row>
    <row r="134" spans="1:24">
      <c r="A134" s="771" t="s">
        <v>46</v>
      </c>
      <c r="B134" s="772" t="s">
        <v>972</v>
      </c>
      <c r="C134" s="772" t="s">
        <v>972</v>
      </c>
      <c r="D134" s="772" t="s">
        <v>972</v>
      </c>
      <c r="E134" s="772" t="s">
        <v>972</v>
      </c>
      <c r="F134" s="772" t="s">
        <v>972</v>
      </c>
      <c r="G134" s="772" t="s">
        <v>972</v>
      </c>
      <c r="H134" s="772" t="s">
        <v>972</v>
      </c>
      <c r="I134" s="772" t="s">
        <v>972</v>
      </c>
      <c r="J134" s="772" t="s">
        <v>972</v>
      </c>
      <c r="K134" s="772">
        <v>3.3279999999999998</v>
      </c>
      <c r="L134" s="772">
        <v>3.9430000000000001</v>
      </c>
      <c r="M134" s="772">
        <v>7.1230000000000002</v>
      </c>
      <c r="N134" s="772">
        <v>0.26500000000000001</v>
      </c>
      <c r="O134" s="772">
        <v>11.393000000000001</v>
      </c>
      <c r="P134" s="772">
        <v>9.0890000000000004</v>
      </c>
      <c r="Q134" s="772">
        <v>6.2629999999999999</v>
      </c>
      <c r="R134" s="772">
        <v>5.71</v>
      </c>
      <c r="S134" s="472"/>
      <c r="T134" s="472"/>
      <c r="U134" s="472"/>
      <c r="V134" s="472"/>
      <c r="W134" s="756"/>
      <c r="X134" s="756"/>
    </row>
    <row r="135" spans="1:24">
      <c r="B135" s="772"/>
      <c r="C135" s="772"/>
      <c r="D135" s="772"/>
      <c r="E135" s="772"/>
      <c r="F135" s="772"/>
      <c r="G135" s="772"/>
      <c r="H135" s="772"/>
      <c r="I135" s="772"/>
      <c r="J135" s="772"/>
      <c r="K135" s="772"/>
      <c r="L135" s="772"/>
      <c r="M135" s="772"/>
      <c r="N135" s="772"/>
      <c r="O135" s="772"/>
      <c r="P135" s="772"/>
      <c r="Q135" s="772"/>
      <c r="R135" s="472"/>
      <c r="S135" s="472"/>
      <c r="T135" s="472"/>
      <c r="U135" s="472"/>
      <c r="V135" s="472"/>
      <c r="W135" s="756"/>
      <c r="X135" s="756"/>
    </row>
    <row r="136" spans="1:24">
      <c r="A136" s="14" t="s">
        <v>1053</v>
      </c>
      <c r="B136" s="774"/>
      <c r="C136" s="774"/>
      <c r="D136" s="774"/>
      <c r="E136" s="774"/>
      <c r="F136" s="774"/>
      <c r="G136" s="774"/>
      <c r="H136" s="774"/>
      <c r="I136" s="774"/>
      <c r="J136" s="774"/>
      <c r="K136" s="774"/>
      <c r="L136" s="774">
        <f t="shared" ref="L136" si="65">SUM(L137:L139)</f>
        <v>612.58499999999992</v>
      </c>
      <c r="M136" s="774">
        <f t="shared" ref="M136:R136" si="66">SUM(M137:M139)</f>
        <v>537.11500000000001</v>
      </c>
      <c r="N136" s="774">
        <f t="shared" si="66"/>
        <v>650.10200000000009</v>
      </c>
      <c r="O136" s="774">
        <f t="shared" si="66"/>
        <v>766.60100000000011</v>
      </c>
      <c r="P136" s="774">
        <f t="shared" si="66"/>
        <v>1091.5919999999999</v>
      </c>
      <c r="Q136" s="774">
        <f t="shared" si="66"/>
        <v>1301.2400000000002</v>
      </c>
      <c r="R136" s="774">
        <f t="shared" si="66"/>
        <v>1445.0840000000001</v>
      </c>
      <c r="S136" s="472"/>
      <c r="T136" s="472"/>
      <c r="U136" s="472"/>
      <c r="V136" s="472"/>
      <c r="W136" s="756"/>
      <c r="X136" s="756"/>
    </row>
    <row r="137" spans="1:24">
      <c r="A137" s="771" t="s">
        <v>54</v>
      </c>
      <c r="B137" s="772" t="s">
        <v>972</v>
      </c>
      <c r="C137" s="772" t="s">
        <v>972</v>
      </c>
      <c r="D137" s="772" t="s">
        <v>972</v>
      </c>
      <c r="E137" s="772" t="s">
        <v>972</v>
      </c>
      <c r="F137" s="772" t="s">
        <v>972</v>
      </c>
      <c r="G137" s="772" t="s">
        <v>972</v>
      </c>
      <c r="H137" s="772" t="s">
        <v>972</v>
      </c>
      <c r="I137" s="772" t="s">
        <v>972</v>
      </c>
      <c r="J137" s="772" t="s">
        <v>972</v>
      </c>
      <c r="K137" s="772" t="s">
        <v>972</v>
      </c>
      <c r="L137" s="772">
        <v>355.96600000000001</v>
      </c>
      <c r="M137" s="772">
        <v>342.75</v>
      </c>
      <c r="N137" s="772">
        <v>439.67700000000002</v>
      </c>
      <c r="O137" s="772">
        <v>351.82900000000001</v>
      </c>
      <c r="P137" s="772">
        <v>480.26499999999999</v>
      </c>
      <c r="Q137" s="772">
        <v>520.21900000000005</v>
      </c>
      <c r="R137" s="772">
        <v>782.11199999999997</v>
      </c>
      <c r="S137" s="472"/>
      <c r="T137" s="472"/>
      <c r="U137" s="472"/>
      <c r="V137" s="472"/>
      <c r="W137" s="756"/>
      <c r="X137" s="756"/>
    </row>
    <row r="138" spans="1:24">
      <c r="A138" s="771" t="s">
        <v>42</v>
      </c>
      <c r="B138" s="772" t="s">
        <v>972</v>
      </c>
      <c r="C138" s="772" t="s">
        <v>972</v>
      </c>
      <c r="D138" s="772" t="s">
        <v>972</v>
      </c>
      <c r="E138" s="772" t="s">
        <v>972</v>
      </c>
      <c r="F138" s="772" t="s">
        <v>972</v>
      </c>
      <c r="G138" s="772" t="s">
        <v>972</v>
      </c>
      <c r="H138" s="772" t="s">
        <v>972</v>
      </c>
      <c r="I138" s="772" t="s">
        <v>972</v>
      </c>
      <c r="J138" s="772" t="s">
        <v>972</v>
      </c>
      <c r="K138" s="772" t="s">
        <v>972</v>
      </c>
      <c r="L138" s="772">
        <v>239.49799999999999</v>
      </c>
      <c r="M138" s="772">
        <v>171.54599999999999</v>
      </c>
      <c r="N138" s="772">
        <v>176.023</v>
      </c>
      <c r="O138" s="772">
        <v>325.45699999999999</v>
      </c>
      <c r="P138" s="772">
        <v>395.53</v>
      </c>
      <c r="Q138" s="772">
        <v>613.322</v>
      </c>
      <c r="R138" s="772">
        <f>537.894-3.517</f>
        <v>534.37699999999995</v>
      </c>
      <c r="S138" s="472"/>
      <c r="T138" s="472"/>
      <c r="U138" s="472"/>
      <c r="V138" s="472"/>
      <c r="W138" s="756"/>
      <c r="X138" s="756"/>
    </row>
    <row r="139" spans="1:24">
      <c r="A139" s="771" t="s">
        <v>46</v>
      </c>
      <c r="B139" s="772" t="s">
        <v>972</v>
      </c>
      <c r="C139" s="772" t="s">
        <v>972</v>
      </c>
      <c r="D139" s="772" t="s">
        <v>972</v>
      </c>
      <c r="E139" s="772" t="s">
        <v>972</v>
      </c>
      <c r="F139" s="772" t="s">
        <v>972</v>
      </c>
      <c r="G139" s="772" t="s">
        <v>972</v>
      </c>
      <c r="H139" s="772" t="s">
        <v>972</v>
      </c>
      <c r="I139" s="772" t="s">
        <v>972</v>
      </c>
      <c r="J139" s="772" t="s">
        <v>972</v>
      </c>
      <c r="K139" s="772" t="s">
        <v>972</v>
      </c>
      <c r="L139" s="772">
        <v>17.120999999999999</v>
      </c>
      <c r="M139" s="772">
        <v>22.818999999999999</v>
      </c>
      <c r="N139" s="772">
        <v>34.402000000000001</v>
      </c>
      <c r="O139" s="772">
        <v>89.314999999999998</v>
      </c>
      <c r="P139" s="772">
        <v>215.797</v>
      </c>
      <c r="Q139" s="772">
        <f>123.425+11.44+32.834</f>
        <v>167.69900000000001</v>
      </c>
      <c r="R139" s="772">
        <f>84.958+14.256+29.381</f>
        <v>128.595</v>
      </c>
      <c r="S139" s="472"/>
      <c r="T139" s="472"/>
      <c r="U139" s="472"/>
      <c r="V139" s="472"/>
      <c r="W139" s="756"/>
      <c r="X139" s="756"/>
    </row>
    <row r="140" spans="1:24">
      <c r="A140" s="210"/>
      <c r="B140" s="327"/>
      <c r="C140" s="327"/>
      <c r="D140" s="327"/>
      <c r="E140" s="327"/>
      <c r="F140" s="327"/>
      <c r="G140" s="1052"/>
      <c r="H140" s="1052"/>
      <c r="I140" s="1052"/>
      <c r="J140" s="1052"/>
      <c r="K140" s="1052"/>
      <c r="L140" s="1052"/>
      <c r="M140" s="1054"/>
      <c r="N140" s="1054"/>
      <c r="O140" s="1054"/>
      <c r="P140" s="1054"/>
      <c r="Q140" s="1054"/>
      <c r="R140" s="472"/>
      <c r="S140" s="472"/>
      <c r="T140" s="472"/>
      <c r="U140" s="472"/>
      <c r="V140" s="472"/>
      <c r="W140" s="756"/>
      <c r="X140" s="756"/>
    </row>
    <row r="141" spans="1:24">
      <c r="A141" s="1050" t="s">
        <v>1082</v>
      </c>
      <c r="B141" s="475"/>
      <c r="C141" s="475"/>
      <c r="D141" s="475"/>
      <c r="E141" s="475"/>
      <c r="F141" s="475"/>
      <c r="G141" s="475"/>
      <c r="H141" s="475"/>
      <c r="I141" s="475"/>
      <c r="J141" s="475"/>
      <c r="K141" s="475"/>
      <c r="L141" s="475">
        <f>L136</f>
        <v>612.58499999999992</v>
      </c>
      <c r="M141" s="475">
        <f>M136</f>
        <v>537.11500000000001</v>
      </c>
      <c r="N141" s="475">
        <f>SUM(N142:N144)</f>
        <v>650.10200000000009</v>
      </c>
      <c r="O141" s="475">
        <f>SUM(O142:O144)</f>
        <v>766.60099999999989</v>
      </c>
      <c r="P141" s="475">
        <f>SUM(P142:P144)</f>
        <v>1091.5929999999998</v>
      </c>
      <c r="Q141" s="475">
        <f>SUM(Q142:Q144)</f>
        <v>1301.241</v>
      </c>
      <c r="R141" s="475">
        <f>SUM(R142:R144)</f>
        <v>1445.0839999999998</v>
      </c>
      <c r="S141" s="472"/>
      <c r="T141" s="472"/>
      <c r="U141" s="472"/>
      <c r="V141" s="472"/>
      <c r="W141" s="756"/>
      <c r="X141" s="756"/>
    </row>
    <row r="142" spans="1:24">
      <c r="A142" s="1051" t="s">
        <v>1051</v>
      </c>
      <c r="B142" s="822" t="s">
        <v>972</v>
      </c>
      <c r="C142" s="822" t="s">
        <v>972</v>
      </c>
      <c r="D142" s="822" t="s">
        <v>972</v>
      </c>
      <c r="E142" s="822" t="s">
        <v>972</v>
      </c>
      <c r="F142" s="822" t="s">
        <v>972</v>
      </c>
      <c r="G142" s="822" t="s">
        <v>972</v>
      </c>
      <c r="H142" s="822" t="s">
        <v>972</v>
      </c>
      <c r="I142" s="822" t="s">
        <v>972</v>
      </c>
      <c r="J142" s="822" t="s">
        <v>972</v>
      </c>
      <c r="K142" s="822" t="s">
        <v>972</v>
      </c>
      <c r="L142" s="822" t="s">
        <v>972</v>
      </c>
      <c r="M142" s="822" t="s">
        <v>972</v>
      </c>
      <c r="N142" s="485">
        <v>615.70000000000005</v>
      </c>
      <c r="O142" s="485">
        <v>677.28599999999994</v>
      </c>
      <c r="P142" s="772">
        <v>875.79499999999996</v>
      </c>
      <c r="Q142" s="772">
        <v>1133.5419999999999</v>
      </c>
      <c r="R142" s="772">
        <f>782.112+537.894-3.517</f>
        <v>1316.4889999999998</v>
      </c>
      <c r="S142" s="472"/>
      <c r="T142" s="472"/>
      <c r="U142" s="472"/>
      <c r="V142" s="472"/>
      <c r="W142" s="756"/>
      <c r="X142" s="756"/>
    </row>
    <row r="143" spans="1:24">
      <c r="A143" s="1051" t="s">
        <v>1052</v>
      </c>
      <c r="B143" s="822" t="s">
        <v>972</v>
      </c>
      <c r="C143" s="822" t="s">
        <v>972</v>
      </c>
      <c r="D143" s="822" t="s">
        <v>972</v>
      </c>
      <c r="E143" s="822" t="s">
        <v>972</v>
      </c>
      <c r="F143" s="822" t="s">
        <v>972</v>
      </c>
      <c r="G143" s="822" t="s">
        <v>972</v>
      </c>
      <c r="H143" s="822" t="s">
        <v>972</v>
      </c>
      <c r="I143" s="822" t="s">
        <v>972</v>
      </c>
      <c r="J143" s="822" t="s">
        <v>972</v>
      </c>
      <c r="K143" s="822" t="s">
        <v>972</v>
      </c>
      <c r="L143" s="822" t="s">
        <v>972</v>
      </c>
      <c r="M143" s="822" t="s">
        <v>972</v>
      </c>
      <c r="N143" s="485">
        <v>26.98</v>
      </c>
      <c r="O143" s="485">
        <v>65.593000000000004</v>
      </c>
      <c r="P143" s="772">
        <v>174.95099999999999</v>
      </c>
      <c r="Q143" s="772">
        <v>123.425</v>
      </c>
      <c r="R143" s="772">
        <v>84.957999999999998</v>
      </c>
      <c r="S143" s="472"/>
      <c r="T143" s="472"/>
      <c r="U143" s="472"/>
      <c r="V143" s="472"/>
      <c r="W143" s="756"/>
      <c r="X143" s="756"/>
    </row>
    <row r="144" spans="1:24">
      <c r="A144" s="1051" t="s">
        <v>222</v>
      </c>
      <c r="B144" s="822" t="s">
        <v>972</v>
      </c>
      <c r="C144" s="822" t="s">
        <v>972</v>
      </c>
      <c r="D144" s="822" t="s">
        <v>972</v>
      </c>
      <c r="E144" s="822" t="s">
        <v>972</v>
      </c>
      <c r="F144" s="822" t="s">
        <v>972</v>
      </c>
      <c r="G144" s="822" t="s">
        <v>972</v>
      </c>
      <c r="H144" s="822" t="s">
        <v>972</v>
      </c>
      <c r="I144" s="822" t="s">
        <v>972</v>
      </c>
      <c r="J144" s="822" t="s">
        <v>972</v>
      </c>
      <c r="K144" s="822" t="s">
        <v>972</v>
      </c>
      <c r="L144" s="822" t="s">
        <v>972</v>
      </c>
      <c r="M144" s="822" t="s">
        <v>972</v>
      </c>
      <c r="N144" s="485">
        <v>7.4219999999999997</v>
      </c>
      <c r="O144" s="485">
        <v>23.722000000000001</v>
      </c>
      <c r="P144" s="772">
        <f>(25752+15095)/1000</f>
        <v>40.847000000000001</v>
      </c>
      <c r="Q144" s="772">
        <f>11.44+32.834</f>
        <v>44.274000000000001</v>
      </c>
      <c r="R144" s="772">
        <f>14.256+29.381</f>
        <v>43.637</v>
      </c>
      <c r="S144" s="472"/>
      <c r="T144" s="472"/>
      <c r="U144" s="472"/>
      <c r="V144" s="472"/>
      <c r="W144" s="756"/>
      <c r="X144" s="756"/>
    </row>
    <row r="145" spans="1:18">
      <c r="A145" s="1727" t="s">
        <v>1419</v>
      </c>
      <c r="H145" s="260"/>
      <c r="I145" s="260"/>
      <c r="J145" s="260"/>
      <c r="K145" s="260"/>
      <c r="L145" s="1862">
        <f t="shared" ref="L145:R145" si="67">L141-L136</f>
        <v>0</v>
      </c>
      <c r="M145" s="1862">
        <f t="shared" si="67"/>
        <v>0</v>
      </c>
      <c r="N145" s="1862">
        <f t="shared" si="67"/>
        <v>0</v>
      </c>
      <c r="O145" s="1862">
        <f t="shared" si="67"/>
        <v>0</v>
      </c>
      <c r="P145" s="1862">
        <f t="shared" si="67"/>
        <v>9.9999999997635314E-4</v>
      </c>
      <c r="Q145" s="1862">
        <f t="shared" si="67"/>
        <v>9.9999999974897946E-4</v>
      </c>
      <c r="R145" s="1862">
        <f t="shared" si="67"/>
        <v>0</v>
      </c>
    </row>
    <row r="146" spans="1:18" s="1401" customFormat="1">
      <c r="A146" s="1727"/>
      <c r="H146" s="260"/>
      <c r="I146" s="260"/>
      <c r="J146" s="260"/>
      <c r="K146" s="260"/>
      <c r="L146" s="1862"/>
      <c r="M146" s="1862"/>
      <c r="N146" s="1862"/>
      <c r="O146" s="1862"/>
      <c r="P146" s="1862"/>
      <c r="Q146" s="1862"/>
      <c r="R146" s="1862"/>
    </row>
    <row r="147" spans="1:18" s="1401" customFormat="1">
      <c r="A147" s="1727"/>
      <c r="H147" s="260"/>
      <c r="I147" s="260"/>
      <c r="J147" s="260"/>
      <c r="K147" s="260"/>
      <c r="L147" s="1862"/>
      <c r="M147" s="1862"/>
      <c r="N147" s="1862"/>
      <c r="O147" s="1862"/>
      <c r="P147" s="1862"/>
      <c r="Q147" s="1862"/>
      <c r="R147" s="1862"/>
    </row>
    <row r="148" spans="1:18" s="1401" customFormat="1">
      <c r="A148" s="853" t="s">
        <v>1765</v>
      </c>
      <c r="H148" s="260"/>
      <c r="I148" s="1377">
        <f t="shared" ref="I148:P148" si="68">+I149+SUM(I153:I156)</f>
        <v>0</v>
      </c>
      <c r="J148" s="1377">
        <f t="shared" si="68"/>
        <v>0</v>
      </c>
      <c r="K148" s="1377">
        <f t="shared" si="68"/>
        <v>584.29300000000001</v>
      </c>
      <c r="L148" s="1377">
        <f t="shared" si="68"/>
        <v>533.93900000000008</v>
      </c>
      <c r="M148" s="1377">
        <f t="shared" si="68"/>
        <v>653.327</v>
      </c>
      <c r="N148" s="1377">
        <f t="shared" si="68"/>
        <v>741.17199999999991</v>
      </c>
      <c r="O148" s="1377">
        <f t="shared" si="68"/>
        <v>996.70399999999995</v>
      </c>
      <c r="P148" s="1377">
        <f t="shared" si="68"/>
        <v>1023.2449999999999</v>
      </c>
      <c r="Q148" s="1377">
        <f>+Q149+SUM(Q153:Q156)</f>
        <v>1281.788</v>
      </c>
      <c r="R148" s="1377">
        <f t="shared" ref="R148" si="69">+R149+SUM(R153:R156)</f>
        <v>1423.27</v>
      </c>
    </row>
    <row r="149" spans="1:18" s="1401" customFormat="1">
      <c r="A149" s="157" t="s">
        <v>280</v>
      </c>
      <c r="H149" s="260"/>
      <c r="I149" s="1376">
        <f t="shared" ref="I149:Q149" si="70">+I150+I151+I152</f>
        <v>0</v>
      </c>
      <c r="J149" s="1376">
        <f t="shared" si="70"/>
        <v>0</v>
      </c>
      <c r="K149" s="1376">
        <f t="shared" si="70"/>
        <v>459.15699999999998</v>
      </c>
      <c r="L149" s="1376">
        <f t="shared" si="70"/>
        <v>430.43600000000004</v>
      </c>
      <c r="M149" s="1376">
        <f t="shared" si="70"/>
        <v>473.55999999999995</v>
      </c>
      <c r="N149" s="1376">
        <f t="shared" si="70"/>
        <v>510.71399999999994</v>
      </c>
      <c r="O149" s="1376">
        <f t="shared" si="70"/>
        <v>683.72500000000002</v>
      </c>
      <c r="P149" s="1376">
        <f t="shared" si="70"/>
        <v>802.77399999999989</v>
      </c>
      <c r="Q149" s="1376">
        <f t="shared" si="70"/>
        <v>1025.587</v>
      </c>
      <c r="R149" s="1376">
        <f>+R150+R151+R152</f>
        <v>1140.635</v>
      </c>
    </row>
    <row r="150" spans="1:18" s="1401" customFormat="1">
      <c r="A150" s="2436" t="s">
        <v>1760</v>
      </c>
      <c r="H150" s="260"/>
      <c r="I150" s="260"/>
      <c r="J150" s="260"/>
      <c r="K150" s="772">
        <v>246.58600000000001</v>
      </c>
      <c r="L150" s="772">
        <v>234.708</v>
      </c>
      <c r="M150" s="772">
        <v>272.71199999999999</v>
      </c>
      <c r="N150" s="772">
        <v>335.16399999999999</v>
      </c>
      <c r="O150" s="772">
        <v>366.87799999999999</v>
      </c>
      <c r="P150" s="772">
        <v>445.923</v>
      </c>
      <c r="Q150" s="772">
        <v>541.37800000000004</v>
      </c>
      <c r="R150" s="772">
        <v>575.33600000000001</v>
      </c>
    </row>
    <row r="151" spans="1:18" s="1401" customFormat="1">
      <c r="A151" s="2436" t="s">
        <v>1741</v>
      </c>
      <c r="H151" s="260"/>
      <c r="I151" s="260"/>
      <c r="J151" s="260"/>
      <c r="K151" s="772">
        <v>55.186</v>
      </c>
      <c r="L151" s="772">
        <v>61.237000000000002</v>
      </c>
      <c r="M151" s="772">
        <v>69.671000000000006</v>
      </c>
      <c r="N151" s="772">
        <v>27.751000000000001</v>
      </c>
      <c r="O151" s="772">
        <v>121.73099999999999</v>
      </c>
      <c r="P151" s="772">
        <v>144.22399999999999</v>
      </c>
      <c r="Q151" s="772">
        <v>194.256</v>
      </c>
      <c r="R151" s="772">
        <v>271.14400000000001</v>
      </c>
    </row>
    <row r="152" spans="1:18" s="1401" customFormat="1">
      <c r="A152" s="2436" t="s">
        <v>1761</v>
      </c>
      <c r="H152" s="260"/>
      <c r="I152" s="260"/>
      <c r="J152" s="260"/>
      <c r="K152" s="772">
        <v>157.38499999999999</v>
      </c>
      <c r="L152" s="772">
        <v>134.49100000000001</v>
      </c>
      <c r="M152" s="772">
        <v>131.17699999999999</v>
      </c>
      <c r="N152" s="772">
        <v>147.79900000000001</v>
      </c>
      <c r="O152" s="772">
        <v>195.11600000000001</v>
      </c>
      <c r="P152" s="772">
        <v>212.62700000000001</v>
      </c>
      <c r="Q152" s="772">
        <v>289.95299999999997</v>
      </c>
      <c r="R152" s="772">
        <v>294.15499999999997</v>
      </c>
    </row>
    <row r="153" spans="1:18" s="1401" customFormat="1">
      <c r="A153" s="157" t="s">
        <v>1762</v>
      </c>
      <c r="H153" s="260"/>
      <c r="I153" s="260"/>
      <c r="J153" s="260"/>
      <c r="K153" s="772">
        <v>73</v>
      </c>
      <c r="L153" s="772">
        <v>61.875999999999998</v>
      </c>
      <c r="M153" s="772">
        <v>80.718999999999994</v>
      </c>
      <c r="N153" s="772">
        <v>95.179000000000002</v>
      </c>
      <c r="O153" s="772">
        <v>123.236</v>
      </c>
      <c r="P153" s="772">
        <v>134.32300000000001</v>
      </c>
      <c r="Q153" s="772">
        <v>168.322</v>
      </c>
      <c r="R153" s="772">
        <v>175.28299999999999</v>
      </c>
    </row>
    <row r="154" spans="1:18" s="1401" customFormat="1">
      <c r="A154" s="157" t="s">
        <v>1763</v>
      </c>
      <c r="H154" s="260"/>
      <c r="I154" s="260"/>
      <c r="J154" s="260"/>
      <c r="K154" s="772">
        <v>52.136000000000003</v>
      </c>
      <c r="L154" s="772">
        <v>41.627000000000002</v>
      </c>
      <c r="M154" s="772">
        <v>99.048000000000002</v>
      </c>
      <c r="N154" s="772">
        <v>135.279</v>
      </c>
      <c r="O154" s="772">
        <v>189.74299999999999</v>
      </c>
      <c r="P154" s="772">
        <v>101.125</v>
      </c>
      <c r="Q154" s="772">
        <v>96.35</v>
      </c>
      <c r="R154" s="772">
        <v>91.466999999999999</v>
      </c>
    </row>
    <row r="155" spans="1:18" s="1401" customFormat="1">
      <c r="A155" s="157" t="s">
        <v>1764</v>
      </c>
      <c r="H155" s="260"/>
      <c r="I155" s="260"/>
      <c r="J155" s="260"/>
      <c r="K155" s="772">
        <v>0</v>
      </c>
      <c r="L155" s="772">
        <v>0</v>
      </c>
      <c r="M155" s="772">
        <v>0</v>
      </c>
      <c r="N155" s="772">
        <v>0</v>
      </c>
      <c r="O155" s="772">
        <v>0</v>
      </c>
      <c r="P155" s="772"/>
      <c r="Q155" s="772">
        <v>0</v>
      </c>
      <c r="R155" s="772">
        <v>26.87</v>
      </c>
    </row>
    <row r="156" spans="1:18" s="1401" customFormat="1">
      <c r="A156" s="157" t="s">
        <v>1750</v>
      </c>
      <c r="H156" s="260"/>
      <c r="I156" s="260"/>
      <c r="J156" s="260"/>
      <c r="K156" s="772">
        <v>0</v>
      </c>
      <c r="L156" s="772">
        <v>0</v>
      </c>
      <c r="M156" s="772">
        <v>0</v>
      </c>
      <c r="N156" s="772">
        <v>0</v>
      </c>
      <c r="O156" s="772">
        <v>0</v>
      </c>
      <c r="P156" s="772">
        <v>-14.977</v>
      </c>
      <c r="Q156" s="772">
        <v>-8.4710000000000001</v>
      </c>
      <c r="R156" s="772">
        <v>-10.984999999999999</v>
      </c>
    </row>
    <row r="157" spans="1:18" s="1401" customFormat="1">
      <c r="A157" s="1727"/>
      <c r="H157" s="260"/>
      <c r="I157" s="260"/>
      <c r="J157" s="260"/>
      <c r="K157" s="260"/>
      <c r="L157" s="1862"/>
      <c r="M157" s="1862"/>
      <c r="N157" s="1862"/>
      <c r="O157" s="1862"/>
      <c r="P157" s="1862"/>
      <c r="Q157" s="1862"/>
      <c r="R157" s="1862"/>
    </row>
    <row r="158" spans="1:18" s="1401" customFormat="1">
      <c r="A158" s="1727"/>
      <c r="H158" s="260"/>
      <c r="I158" s="260"/>
      <c r="J158" s="260"/>
      <c r="K158" s="260"/>
      <c r="L158" s="1862"/>
      <c r="M158" s="1862"/>
      <c r="N158" s="1862"/>
      <c r="O158" s="1862"/>
      <c r="P158" s="1862"/>
      <c r="Q158" s="1862"/>
      <c r="R158" s="1862"/>
    </row>
    <row r="159" spans="1:18" s="1401" customFormat="1">
      <c r="A159" s="1727"/>
      <c r="H159" s="260"/>
      <c r="I159" s="260"/>
      <c r="J159" s="260"/>
      <c r="K159" s="260"/>
      <c r="L159" s="1862"/>
      <c r="M159" s="1862"/>
      <c r="N159" s="1862"/>
      <c r="O159" s="1862"/>
      <c r="P159" s="1862"/>
      <c r="Q159" s="1862"/>
      <c r="R159" s="1862"/>
    </row>
    <row r="160" spans="1:18" s="1401" customFormat="1">
      <c r="A160" s="1727"/>
      <c r="H160" s="260"/>
      <c r="I160" s="260"/>
      <c r="J160" s="260"/>
      <c r="K160" s="260"/>
      <c r="L160" s="1862"/>
      <c r="M160" s="1862"/>
      <c r="N160" s="1862"/>
      <c r="O160" s="1862"/>
      <c r="P160" s="1862"/>
      <c r="Q160" s="1862"/>
      <c r="R160" s="1862"/>
    </row>
    <row r="161" spans="1:24" s="1401" customFormat="1">
      <c r="A161" s="1727"/>
      <c r="H161" s="260"/>
      <c r="I161" s="260"/>
      <c r="J161" s="260"/>
      <c r="K161" s="260"/>
      <c r="L161" s="1862"/>
      <c r="M161" s="1862"/>
      <c r="N161" s="1862"/>
      <c r="O161" s="1862"/>
      <c r="P161" s="1862"/>
      <c r="Q161" s="1862"/>
      <c r="R161" s="1862"/>
    </row>
    <row r="162" spans="1:24" s="1401" customFormat="1">
      <c r="A162" s="1727"/>
      <c r="H162" s="260"/>
      <c r="I162" s="260"/>
      <c r="J162" s="260"/>
      <c r="K162" s="260"/>
      <c r="L162" s="1862"/>
      <c r="M162" s="1862"/>
      <c r="N162" s="1862"/>
      <c r="O162" s="1862"/>
      <c r="P162" s="1862"/>
      <c r="Q162" s="1862"/>
      <c r="R162" s="1862"/>
    </row>
    <row r="163" spans="1:24" s="1401" customFormat="1">
      <c r="A163" s="1727"/>
      <c r="H163" s="260"/>
      <c r="I163" s="260"/>
      <c r="J163" s="260"/>
      <c r="K163" s="260"/>
      <c r="L163" s="1862"/>
      <c r="M163" s="1862"/>
      <c r="N163" s="1862"/>
      <c r="O163" s="1862"/>
      <c r="P163" s="1862"/>
      <c r="Q163" s="1862"/>
      <c r="R163" s="1862"/>
    </row>
    <row r="164" spans="1:24" s="1401" customFormat="1">
      <c r="A164" s="1727"/>
      <c r="H164" s="260"/>
      <c r="I164" s="260"/>
      <c r="J164" s="260"/>
      <c r="K164" s="260"/>
      <c r="L164" s="1862"/>
      <c r="M164" s="1862"/>
      <c r="N164" s="1862"/>
      <c r="O164" s="1862"/>
      <c r="P164" s="1862"/>
      <c r="Q164" s="1862"/>
      <c r="R164" s="1862"/>
    </row>
    <row r="165" spans="1:24" s="1401" customFormat="1">
      <c r="A165" s="1727"/>
      <c r="H165" s="260"/>
      <c r="I165" s="260"/>
      <c r="J165" s="260"/>
      <c r="K165" s="260"/>
      <c r="L165" s="1862"/>
      <c r="M165" s="1862"/>
      <c r="N165" s="1862"/>
      <c r="O165" s="1862"/>
      <c r="P165" s="1862"/>
      <c r="Q165" s="1862"/>
      <c r="R165" s="1862"/>
    </row>
    <row r="166" spans="1:24" s="1401" customFormat="1">
      <c r="A166" s="1727"/>
      <c r="H166" s="260"/>
      <c r="I166" s="260"/>
      <c r="J166" s="260"/>
      <c r="K166" s="260"/>
      <c r="L166" s="1862"/>
      <c r="M166" s="1862"/>
      <c r="N166" s="1862"/>
      <c r="O166" s="1862"/>
      <c r="P166" s="1862"/>
      <c r="Q166" s="1862"/>
      <c r="R166" s="1862"/>
    </row>
    <row r="167" spans="1:24" s="1401" customFormat="1">
      <c r="A167" s="1727"/>
      <c r="H167" s="260"/>
      <c r="I167" s="260"/>
      <c r="J167" s="260"/>
      <c r="K167" s="260"/>
      <c r="L167" s="1862"/>
      <c r="M167" s="1862"/>
      <c r="N167" s="1862"/>
      <c r="O167" s="1862"/>
      <c r="P167" s="1862"/>
      <c r="Q167" s="1862"/>
      <c r="R167" s="1862"/>
    </row>
    <row r="168" spans="1:24" s="1401" customFormat="1">
      <c r="A168" s="1727"/>
      <c r="H168" s="260"/>
      <c r="I168" s="260"/>
      <c r="J168" s="260"/>
      <c r="K168" s="260"/>
      <c r="L168" s="1862"/>
      <c r="M168" s="1862"/>
      <c r="N168" s="1862"/>
      <c r="O168" s="1862"/>
      <c r="P168" s="1862"/>
      <c r="Q168" s="1862"/>
      <c r="R168" s="1862"/>
    </row>
    <row r="169" spans="1:24" s="1401" customFormat="1">
      <c r="A169" s="1727"/>
      <c r="H169" s="260"/>
      <c r="I169" s="260"/>
      <c r="J169" s="260"/>
      <c r="K169" s="260"/>
      <c r="L169" s="1862"/>
      <c r="M169" s="1862"/>
      <c r="N169" s="1862"/>
      <c r="O169" s="1862"/>
      <c r="P169" s="1862"/>
      <c r="Q169" s="1862"/>
      <c r="R169" s="1862"/>
    </row>
    <row r="170" spans="1:24" s="1401" customFormat="1">
      <c r="A170" s="1727"/>
      <c r="H170" s="260"/>
      <c r="I170" s="260"/>
      <c r="J170" s="260"/>
      <c r="K170" s="260"/>
      <c r="L170" s="1862"/>
      <c r="M170" s="1862"/>
      <c r="N170" s="1862"/>
      <c r="O170" s="1862"/>
      <c r="P170" s="1862"/>
      <c r="Q170" s="1862"/>
      <c r="R170" s="1862"/>
    </row>
    <row r="171" spans="1:24" s="1401" customFormat="1">
      <c r="A171" s="1727"/>
      <c r="H171" s="260"/>
      <c r="I171" s="260"/>
      <c r="J171" s="260"/>
      <c r="K171" s="260"/>
      <c r="L171" s="1862"/>
      <c r="M171" s="1862"/>
      <c r="N171" s="1862"/>
      <c r="O171" s="1862"/>
      <c r="P171" s="1862"/>
      <c r="Q171" s="1862"/>
      <c r="R171" s="1862"/>
    </row>
    <row r="172" spans="1:24" s="1713" customFormat="1">
      <c r="A172" s="1713" t="s">
        <v>1386</v>
      </c>
      <c r="G172" s="1712"/>
      <c r="H172" s="1712"/>
      <c r="I172" s="1712"/>
      <c r="J172" s="1712"/>
      <c r="K172" s="1712"/>
      <c r="L172" s="1712"/>
      <c r="M172" s="1712"/>
      <c r="N172" s="1712"/>
      <c r="O172" s="1712"/>
      <c r="P172" s="1712"/>
      <c r="Q172" s="1712"/>
      <c r="R172" s="1712"/>
      <c r="S172" s="1712"/>
      <c r="T172" s="1712"/>
      <c r="U172" s="1712"/>
      <c r="V172" s="1712"/>
      <c r="W172" s="1712"/>
      <c r="X172" s="1712"/>
    </row>
    <row r="173" spans="1:24" s="1714" customFormat="1" hidden="1" outlineLevel="1">
      <c r="A173" s="1171" t="s">
        <v>213</v>
      </c>
      <c r="B173" s="1716"/>
      <c r="C173" s="1716"/>
      <c r="D173" s="1716"/>
      <c r="E173" s="1716"/>
      <c r="G173" s="1715"/>
      <c r="H173" s="1715"/>
      <c r="I173" s="1715"/>
      <c r="J173" s="1715"/>
      <c r="K173" s="1715"/>
      <c r="L173" s="1715"/>
      <c r="M173" s="1715"/>
      <c r="N173" s="1715"/>
      <c r="O173" s="1715"/>
      <c r="P173" s="1715"/>
      <c r="Q173" s="1715"/>
      <c r="R173" s="1715"/>
      <c r="S173" s="1715"/>
      <c r="T173" s="1715"/>
      <c r="U173" s="1715"/>
      <c r="V173" s="1715"/>
      <c r="W173" s="1715"/>
      <c r="X173" s="1715"/>
    </row>
    <row r="174" spans="1:24" hidden="1" outlineLevel="1">
      <c r="A174" s="1202" t="s">
        <v>170</v>
      </c>
      <c r="B174" s="54"/>
      <c r="C174" s="54"/>
      <c r="D174" s="54"/>
      <c r="E174" s="1199">
        <v>-72.7</v>
      </c>
      <c r="F174" s="1199">
        <v>-75.400000000000006</v>
      </c>
      <c r="G174" s="1199">
        <v>-68.847999999999999</v>
      </c>
      <c r="H174" s="1199">
        <v>-74.912000000000006</v>
      </c>
      <c r="I174" s="472"/>
      <c r="J174" s="472"/>
      <c r="K174" s="472"/>
      <c r="L174" s="472"/>
      <c r="M174" s="472"/>
      <c r="N174" s="472"/>
      <c r="O174" s="472"/>
      <c r="P174" s="472"/>
      <c r="Q174" s="472"/>
      <c r="R174" s="472"/>
      <c r="S174" s="472"/>
      <c r="T174" s="472"/>
      <c r="U174" s="472"/>
      <c r="V174" s="472"/>
      <c r="W174" s="756"/>
      <c r="X174" s="756"/>
    </row>
    <row r="175" spans="1:24" hidden="1" outlineLevel="1">
      <c r="A175" s="1141" t="s">
        <v>175</v>
      </c>
      <c r="B175" s="54"/>
      <c r="C175" s="54"/>
      <c r="D175" s="54"/>
      <c r="E175" s="1199">
        <v>0</v>
      </c>
      <c r="F175" s="1199">
        <v>0</v>
      </c>
      <c r="G175" s="1199">
        <v>-6.28</v>
      </c>
      <c r="H175" s="1200"/>
      <c r="I175" s="472"/>
      <c r="J175" s="472"/>
      <c r="K175" s="472"/>
      <c r="L175" s="472"/>
      <c r="M175" s="472"/>
      <c r="N175" s="472"/>
      <c r="O175" s="472"/>
      <c r="P175" s="472"/>
      <c r="Q175" s="472"/>
      <c r="R175" s="472"/>
      <c r="S175" s="472"/>
      <c r="T175" s="472"/>
      <c r="U175" s="472"/>
      <c r="V175" s="472"/>
      <c r="W175" s="756"/>
      <c r="X175" s="756"/>
    </row>
    <row r="176" spans="1:24" hidden="1" outlineLevel="1">
      <c r="A176" s="1141" t="s">
        <v>821</v>
      </c>
      <c r="E176" s="1199">
        <v>0</v>
      </c>
      <c r="F176" s="1199">
        <v>0</v>
      </c>
      <c r="G176" s="1199">
        <v>0.91500000000000004</v>
      </c>
      <c r="H176" s="1199">
        <v>-1.5269999999999999</v>
      </c>
      <c r="W176" s="477"/>
    </row>
    <row r="177" spans="1:8" hidden="1" outlineLevel="1">
      <c r="A177" s="1196" t="s">
        <v>382</v>
      </c>
      <c r="E177" s="1193">
        <v>-70.400000000000006</v>
      </c>
      <c r="F177" s="1193">
        <v>-77.599999999999994</v>
      </c>
      <c r="G177" s="1193">
        <v>-87.3</v>
      </c>
    </row>
    <row r="178" spans="1:8" s="1401" customFormat="1" hidden="1" outlineLevel="1">
      <c r="A178" s="731" t="s">
        <v>223</v>
      </c>
      <c r="E178" s="1199">
        <v>-41.234999999999999</v>
      </c>
      <c r="F178" s="1199">
        <v>-32.064</v>
      </c>
    </row>
    <row r="179" spans="1:8" s="1401" customFormat="1" hidden="1" outlineLevel="1">
      <c r="A179" s="1207" t="s">
        <v>173</v>
      </c>
      <c r="E179" s="1208" t="s">
        <v>972</v>
      </c>
      <c r="F179" s="1208" t="s">
        <v>972</v>
      </c>
      <c r="G179" s="1199">
        <v>38.320999999999998</v>
      </c>
    </row>
    <row r="180" spans="1:8" s="1401" customFormat="1" hidden="1" outlineLevel="1">
      <c r="A180" s="1207" t="s">
        <v>174</v>
      </c>
      <c r="E180" s="1208" t="s">
        <v>972</v>
      </c>
      <c r="F180" s="1208" t="s">
        <v>972</v>
      </c>
      <c r="G180" s="1199">
        <v>-71.518000000000001</v>
      </c>
    </row>
    <row r="181" spans="1:8" s="1401" customFormat="1" hidden="1" outlineLevel="1">
      <c r="A181" s="731" t="s">
        <v>914</v>
      </c>
      <c r="E181" s="1199">
        <v>-2.6379999999999999</v>
      </c>
      <c r="F181" s="1199">
        <v>1.0920000000000001</v>
      </c>
      <c r="G181" s="1199">
        <f>15.223-10.418+3.894</f>
        <v>8.6990000000000016</v>
      </c>
      <c r="H181" s="1199">
        <f>18.127-21.569+11.063</f>
        <v>7.6210000000000004</v>
      </c>
    </row>
    <row r="182" spans="1:8" s="1401" customFormat="1" hidden="1" outlineLevel="1">
      <c r="A182" s="731" t="s">
        <v>225</v>
      </c>
      <c r="E182" s="1193">
        <v>3.94</v>
      </c>
      <c r="F182" s="1193">
        <v>-18.835999999999999</v>
      </c>
      <c r="G182" s="1193">
        <f>-22.595-20.049+4.753</f>
        <v>-37.890999999999998</v>
      </c>
      <c r="H182" s="1193">
        <f>-35.745-0.552-0.277</f>
        <v>-36.573999999999998</v>
      </c>
    </row>
    <row r="183" spans="1:8" s="1401" customFormat="1" hidden="1" outlineLevel="1">
      <c r="A183" s="731"/>
      <c r="E183" s="1193"/>
      <c r="F183" s="1193"/>
      <c r="G183" s="1193"/>
      <c r="H183" s="1193"/>
    </row>
    <row r="184" spans="1:8" s="1401" customFormat="1" hidden="1" outlineLevel="1">
      <c r="A184" s="1171" t="s">
        <v>363</v>
      </c>
    </row>
    <row r="185" spans="1:8" s="1401" customFormat="1" hidden="1" outlineLevel="1">
      <c r="A185" s="1227" t="s">
        <v>365</v>
      </c>
      <c r="E185" s="1193">
        <v>0</v>
      </c>
      <c r="F185" s="1193">
        <v>0</v>
      </c>
      <c r="G185" s="1193">
        <v>0</v>
      </c>
    </row>
    <row r="186" spans="1:8" s="1401" customFormat="1" hidden="1" outlineLevel="1">
      <c r="A186" s="1227" t="s">
        <v>366</v>
      </c>
      <c r="E186" s="1193">
        <v>1258.3920000000001</v>
      </c>
      <c r="F186" s="1193">
        <v>1247.6500000000001</v>
      </c>
      <c r="G186" s="1193">
        <v>1241.558</v>
      </c>
    </row>
    <row r="187" spans="1:8" s="1401" customFormat="1" hidden="1" outlineLevel="1">
      <c r="A187" s="1227" t="s">
        <v>367</v>
      </c>
      <c r="E187" s="1193">
        <v>106.429</v>
      </c>
      <c r="F187" s="1193">
        <v>92.368000000000009</v>
      </c>
      <c r="G187" s="1193">
        <v>78.088000000000008</v>
      </c>
    </row>
    <row r="188" spans="1:8" s="1401" customFormat="1" hidden="1" outlineLevel="1">
      <c r="A188" s="1228" t="s">
        <v>368</v>
      </c>
      <c r="E188" s="1187">
        <f t="shared" ref="E188:G188" si="71">SUM(E185:E187)</f>
        <v>1364.8210000000001</v>
      </c>
      <c r="F188" s="1187">
        <f t="shared" si="71"/>
        <v>1340.018</v>
      </c>
      <c r="G188" s="1187">
        <f t="shared" si="71"/>
        <v>1319.646</v>
      </c>
    </row>
    <row r="189" spans="1:8" s="1401" customFormat="1" hidden="1" outlineLevel="1">
      <c r="A189" s="1227" t="s">
        <v>369</v>
      </c>
      <c r="E189" s="1193">
        <v>116.495</v>
      </c>
      <c r="F189" s="1193">
        <v>149.80699999999999</v>
      </c>
      <c r="G189" s="1193">
        <v>142.69800000000001</v>
      </c>
    </row>
    <row r="190" spans="1:8" s="1401" customFormat="1" hidden="1" outlineLevel="1">
      <c r="A190" s="1227" t="s">
        <v>370</v>
      </c>
      <c r="E190" s="1193">
        <v>54.155999999999999</v>
      </c>
      <c r="F190" s="1193">
        <v>36.188000000000002</v>
      </c>
      <c r="G190" s="1193">
        <v>45.05</v>
      </c>
    </row>
    <row r="191" spans="1:8" s="1401" customFormat="1" hidden="1" outlineLevel="1">
      <c r="A191" s="1227" t="s">
        <v>92</v>
      </c>
      <c r="E191" s="1193">
        <v>40.866999999999997</v>
      </c>
      <c r="F191" s="1193">
        <v>23.012</v>
      </c>
      <c r="G191" s="1193">
        <v>35.143999999999998</v>
      </c>
    </row>
    <row r="192" spans="1:8" s="1401" customFormat="1" hidden="1" outlineLevel="1">
      <c r="A192" s="1227" t="s">
        <v>93</v>
      </c>
      <c r="E192" s="1193">
        <v>0</v>
      </c>
      <c r="F192" s="1193">
        <v>0</v>
      </c>
      <c r="G192" s="1193">
        <v>0</v>
      </c>
    </row>
    <row r="193" spans="1:22" s="1401" customFormat="1" hidden="1" outlineLevel="1">
      <c r="A193" s="1227" t="s">
        <v>371</v>
      </c>
      <c r="E193" s="1193">
        <v>49.835000000000001</v>
      </c>
      <c r="F193" s="1193">
        <v>53.427</v>
      </c>
      <c r="G193" s="1193">
        <v>103.518</v>
      </c>
    </row>
    <row r="194" spans="1:22" s="1401" customFormat="1" hidden="1" outlineLevel="1">
      <c r="A194" s="1228" t="s">
        <v>372</v>
      </c>
      <c r="E194" s="1187">
        <f t="shared" ref="E194:G194" si="72">SUM(E188:E193)</f>
        <v>1626.1740000000002</v>
      </c>
      <c r="F194" s="1187">
        <f t="shared" si="72"/>
        <v>1602.452</v>
      </c>
      <c r="G194" s="1187">
        <f t="shared" si="72"/>
        <v>1646.056</v>
      </c>
    </row>
    <row r="195" spans="1:22" s="1401" customFormat="1" hidden="1" outlineLevel="1">
      <c r="A195" s="1228" t="s">
        <v>373</v>
      </c>
      <c r="E195" s="1194"/>
      <c r="F195" s="1194"/>
      <c r="G195" s="1194"/>
    </row>
    <row r="196" spans="1:22" s="1401" customFormat="1" hidden="1" outlineLevel="1">
      <c r="A196" s="1227" t="s">
        <v>374</v>
      </c>
      <c r="E196" s="1193">
        <v>54.197000000000003</v>
      </c>
      <c r="F196" s="1193">
        <v>54.197000000000003</v>
      </c>
      <c r="G196" s="1193">
        <v>17.731000000000002</v>
      </c>
    </row>
    <row r="197" spans="1:22" s="1401" customFormat="1" hidden="1" outlineLevel="1">
      <c r="A197" s="1227" t="s">
        <v>375</v>
      </c>
      <c r="E197" s="1193">
        <v>829.51800000000003</v>
      </c>
      <c r="F197" s="1193">
        <v>855.97499999999991</v>
      </c>
      <c r="G197" s="1193">
        <v>918.22</v>
      </c>
    </row>
    <row r="198" spans="1:22" s="1401" customFormat="1" hidden="1" outlineLevel="1">
      <c r="A198" s="1227" t="s">
        <v>255</v>
      </c>
      <c r="E198" s="1193"/>
      <c r="F198" s="1193"/>
      <c r="G198" s="1193"/>
    </row>
    <row r="199" spans="1:22" s="1401" customFormat="1" hidden="1" outlineLevel="1">
      <c r="A199" s="1227" t="s">
        <v>376</v>
      </c>
      <c r="E199" s="1193">
        <v>0</v>
      </c>
      <c r="F199" s="1193">
        <v>0</v>
      </c>
      <c r="G199" s="1193">
        <v>0</v>
      </c>
    </row>
    <row r="200" spans="1:22" s="1401" customFormat="1" hidden="1" outlineLevel="1">
      <c r="A200" s="1228" t="s">
        <v>377</v>
      </c>
      <c r="E200" s="1187">
        <f t="shared" ref="E200:G200" si="73">SUM(E196:E199)</f>
        <v>883.71500000000003</v>
      </c>
      <c r="F200" s="1187">
        <f t="shared" si="73"/>
        <v>910.17199999999991</v>
      </c>
      <c r="G200" s="1187">
        <f t="shared" si="73"/>
        <v>935.95100000000002</v>
      </c>
    </row>
    <row r="201" spans="1:22" s="1401" customFormat="1" hidden="1" outlineLevel="1">
      <c r="A201" s="1227" t="s">
        <v>378</v>
      </c>
      <c r="E201" s="1193">
        <v>258.00600000000003</v>
      </c>
      <c r="F201" s="1193">
        <v>223.90299999999999</v>
      </c>
      <c r="G201" s="1193">
        <v>241.31199999999998</v>
      </c>
    </row>
    <row r="202" spans="1:22" s="1401" customFormat="1" hidden="1" outlineLevel="1">
      <c r="A202" s="1227" t="s">
        <v>246</v>
      </c>
      <c r="E202" s="1193">
        <v>0</v>
      </c>
      <c r="F202" s="1193">
        <v>0</v>
      </c>
      <c r="G202" s="1193">
        <v>0</v>
      </c>
    </row>
    <row r="203" spans="1:22" s="1401" customFormat="1" hidden="1" outlineLevel="1">
      <c r="A203" s="1227" t="s">
        <v>1202</v>
      </c>
      <c r="E203" s="1560">
        <v>101.21899999999999</v>
      </c>
      <c r="F203" s="1560">
        <v>66.53</v>
      </c>
      <c r="G203" s="1560">
        <v>47.046999999999997</v>
      </c>
      <c r="H203" s="1560">
        <v>57.701000000000001</v>
      </c>
    </row>
    <row r="204" spans="1:22" s="1401" customFormat="1" hidden="1" outlineLevel="1">
      <c r="A204" s="1227" t="s">
        <v>379</v>
      </c>
      <c r="E204" s="1193">
        <f>484.453-E203</f>
        <v>383.23399999999998</v>
      </c>
      <c r="F204" s="1193">
        <f>468.377-F203</f>
        <v>401.84699999999998</v>
      </c>
      <c r="G204" s="1193">
        <f>468.793-G203</f>
        <v>421.74599999999998</v>
      </c>
    </row>
    <row r="205" spans="1:22" s="1401" customFormat="1" hidden="1" outlineLevel="1">
      <c r="A205" s="1707" t="s">
        <v>380</v>
      </c>
      <c r="E205" s="1592">
        <f t="shared" ref="E205:G205" si="74">SUM(E200:E204)</f>
        <v>1626.174</v>
      </c>
      <c r="F205" s="1592">
        <f t="shared" si="74"/>
        <v>1602.4519999999998</v>
      </c>
      <c r="G205" s="1592">
        <f t="shared" si="74"/>
        <v>1646.056</v>
      </c>
    </row>
    <row r="206" spans="1:22" s="1401" customFormat="1" collapsed="1">
      <c r="A206" s="1227"/>
      <c r="E206" s="1169"/>
      <c r="F206" s="1169"/>
      <c r="G206" s="1169"/>
    </row>
    <row r="207" spans="1:22" customFormat="1" ht="12.75">
      <c r="A207" s="658" t="s">
        <v>556</v>
      </c>
      <c r="B207" s="220"/>
      <c r="C207" s="220"/>
      <c r="D207" s="220"/>
      <c r="E207" s="220"/>
      <c r="F207" s="220"/>
      <c r="G207" s="220"/>
      <c r="H207" s="220"/>
      <c r="I207" s="220"/>
      <c r="J207" s="220"/>
      <c r="K207" s="220"/>
      <c r="L207" s="220"/>
      <c r="M207" s="220"/>
      <c r="N207" s="220"/>
      <c r="O207" s="220"/>
      <c r="P207" s="220"/>
      <c r="Q207" s="220"/>
      <c r="R207" s="220"/>
      <c r="S207" s="220"/>
      <c r="T207" s="220"/>
      <c r="U207" s="659" t="s">
        <v>557</v>
      </c>
      <c r="V207" s="52"/>
    </row>
    <row r="215" spans="8:17">
      <c r="H215" s="260"/>
      <c r="I215" s="260"/>
      <c r="J215" s="260"/>
      <c r="K215" s="260"/>
      <c r="L215" s="260"/>
      <c r="M215" s="260"/>
      <c r="N215" s="260"/>
      <c r="O215" s="260"/>
      <c r="P215" s="260"/>
      <c r="Q215" s="260"/>
    </row>
  </sheetData>
  <pageMargins left="0.7" right="0.7" top="0.75" bottom="0.75" header="0.3" footer="0.3"/>
  <pageSetup scale="42" orientation="portrait" r:id="rId1"/>
  <headerFooter alignWithMargins="0"/>
  <rowBreaks count="1" manualBreakCount="1">
    <brk id="171" max="20" man="1"/>
  </rowBreaks>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7"/>
  </sheetPr>
  <dimension ref="A1:BN264"/>
  <sheetViews>
    <sheetView showGridLines="0" workbookViewId="0">
      <pane xSplit="1" ySplit="4" topLeftCell="B5" activePane="bottomRight" state="frozen"/>
      <selection activeCell="AC362" sqref="AC362"/>
      <selection pane="topRight" activeCell="AC362" sqref="AC362"/>
      <selection pane="bottomLeft" activeCell="AC362" sqref="AC362"/>
      <selection pane="bottomRight"/>
    </sheetView>
  </sheetViews>
  <sheetFormatPr defaultRowHeight="12.75" outlineLevelRow="1" outlineLevelCol="1"/>
  <cols>
    <col min="1" max="1" width="36.28515625" customWidth="1"/>
    <col min="2" max="29" width="9.140625" hidden="1" customWidth="1" outlineLevel="1"/>
    <col min="30" max="30" width="9.140625" hidden="1" customWidth="1" outlineLevel="1" collapsed="1"/>
    <col min="31" max="32" width="9.140625" hidden="1" customWidth="1" outlineLevel="1"/>
    <col min="33" max="33" width="9.140625" collapsed="1"/>
    <col min="46" max="46" width="9" bestFit="1" customWidth="1"/>
  </cols>
  <sheetData>
    <row r="1" spans="1:66" ht="18">
      <c r="A1" s="1729" t="str">
        <f>Index!B1</f>
        <v>São Martinho</v>
      </c>
      <c r="B1" s="127"/>
      <c r="C1" s="666"/>
      <c r="D1" s="666"/>
      <c r="E1" s="666"/>
      <c r="F1" s="666"/>
      <c r="G1" s="666"/>
      <c r="H1" s="666"/>
      <c r="I1" s="666"/>
      <c r="J1" s="666"/>
      <c r="K1" s="666"/>
      <c r="L1" s="666"/>
      <c r="M1" s="666"/>
      <c r="N1" s="666"/>
      <c r="O1" s="666"/>
      <c r="P1" s="666"/>
      <c r="Q1" s="666"/>
      <c r="R1" s="666"/>
      <c r="S1" s="666"/>
      <c r="T1" s="666"/>
      <c r="U1" s="666"/>
      <c r="V1" s="666"/>
      <c r="W1" s="666"/>
      <c r="X1" s="666"/>
      <c r="Y1" s="666"/>
      <c r="Z1" s="666"/>
      <c r="AA1" s="666"/>
      <c r="AB1" s="666"/>
      <c r="AC1" s="666"/>
      <c r="AD1" s="666"/>
      <c r="AE1" s="666"/>
      <c r="AF1" s="666"/>
      <c r="AG1" s="666"/>
      <c r="AH1" s="666"/>
      <c r="AI1" s="666"/>
      <c r="AJ1" s="666"/>
      <c r="AK1" s="667"/>
      <c r="AL1" s="666"/>
      <c r="AM1" s="666"/>
      <c r="AN1" s="666"/>
      <c r="AO1" s="666"/>
      <c r="AP1" s="666"/>
      <c r="AQ1" s="666"/>
      <c r="AR1" s="666"/>
      <c r="AS1" s="666"/>
      <c r="AT1" s="666"/>
      <c r="AU1" s="666"/>
      <c r="AV1" s="666"/>
      <c r="AW1" s="666"/>
      <c r="AX1" s="666"/>
      <c r="AY1" s="666"/>
      <c r="AZ1" s="666"/>
      <c r="BA1" s="666"/>
      <c r="BB1" s="666"/>
      <c r="BC1" s="666"/>
      <c r="BD1" s="666"/>
      <c r="BE1" s="666"/>
      <c r="BF1" s="666"/>
      <c r="BG1" s="666"/>
      <c r="BH1" s="666"/>
      <c r="BI1" s="666"/>
      <c r="BJ1" s="666"/>
      <c r="BK1" s="666"/>
      <c r="BL1" s="431"/>
      <c r="BM1" s="431"/>
      <c r="BN1" s="106"/>
    </row>
    <row r="2" spans="1:66">
      <c r="A2" s="1730" t="s">
        <v>774</v>
      </c>
      <c r="B2" s="666"/>
      <c r="C2" s="431"/>
      <c r="D2" s="431"/>
      <c r="E2" s="431"/>
      <c r="F2" s="431"/>
      <c r="G2" s="431"/>
      <c r="H2" s="431"/>
      <c r="I2" s="431"/>
      <c r="J2" s="431"/>
      <c r="K2" s="431"/>
      <c r="L2" s="431"/>
      <c r="M2" s="431"/>
      <c r="N2" s="431"/>
      <c r="O2" s="431"/>
      <c r="P2" s="431"/>
      <c r="Q2" s="431"/>
      <c r="R2" s="431"/>
      <c r="S2" s="431"/>
      <c r="T2" s="431"/>
      <c r="U2" s="431"/>
      <c r="V2" s="431"/>
      <c r="W2" s="431"/>
      <c r="X2" s="431"/>
      <c r="Y2" s="431"/>
      <c r="Z2" s="431"/>
      <c r="AA2" s="431"/>
      <c r="AB2" s="431"/>
      <c r="AC2" s="431"/>
      <c r="AD2" s="431"/>
      <c r="AE2" s="431"/>
      <c r="AF2" s="431"/>
      <c r="AG2" s="431"/>
      <c r="AH2" s="431"/>
      <c r="AI2" s="431"/>
      <c r="AJ2" s="431"/>
      <c r="AK2" s="432"/>
      <c r="AL2" s="431"/>
      <c r="AM2" s="431"/>
      <c r="AN2" s="431"/>
      <c r="AO2" s="431"/>
      <c r="AP2" s="431"/>
      <c r="AQ2" s="431"/>
      <c r="AR2" s="431"/>
      <c r="AS2" s="431"/>
      <c r="AT2" s="431"/>
      <c r="AU2" s="431"/>
      <c r="AV2" s="431"/>
      <c r="AW2" s="431"/>
      <c r="AX2" s="431"/>
      <c r="AY2" s="431"/>
      <c r="AZ2" s="431"/>
      <c r="BA2" s="431"/>
      <c r="BB2" s="431"/>
      <c r="BC2" s="431"/>
      <c r="BD2" s="431"/>
      <c r="BE2" s="431"/>
      <c r="BF2" s="431"/>
      <c r="BG2" s="431"/>
      <c r="BH2" s="431"/>
      <c r="BI2" s="431"/>
      <c r="BJ2" s="431"/>
      <c r="BK2" s="431"/>
      <c r="BL2" s="431"/>
      <c r="BM2" s="432" t="s">
        <v>27</v>
      </c>
      <c r="BN2" s="52"/>
    </row>
    <row r="3" spans="1:66">
      <c r="A3" s="1731"/>
      <c r="B3" s="836">
        <v>2007</v>
      </c>
      <c r="C3" s="837">
        <f>B3</f>
        <v>2007</v>
      </c>
      <c r="D3" s="837">
        <f>C3</f>
        <v>2007</v>
      </c>
      <c r="E3" s="837">
        <f>D3</f>
        <v>2007</v>
      </c>
      <c r="F3" s="836">
        <f>B3+1</f>
        <v>2008</v>
      </c>
      <c r="G3" s="837">
        <f>F3</f>
        <v>2008</v>
      </c>
      <c r="H3" s="837">
        <f>G3</f>
        <v>2008</v>
      </c>
      <c r="I3" s="837">
        <f>H3</f>
        <v>2008</v>
      </c>
      <c r="J3" s="836">
        <f>F3+1</f>
        <v>2009</v>
      </c>
      <c r="K3" s="837">
        <f>J3</f>
        <v>2009</v>
      </c>
      <c r="L3" s="837">
        <f>K3</f>
        <v>2009</v>
      </c>
      <c r="M3" s="837">
        <f>L3</f>
        <v>2009</v>
      </c>
      <c r="N3" s="836">
        <f>J3+1</f>
        <v>2010</v>
      </c>
      <c r="O3" s="837">
        <f>N3</f>
        <v>2010</v>
      </c>
      <c r="P3" s="837">
        <f>O3</f>
        <v>2010</v>
      </c>
      <c r="Q3" s="837">
        <f>P3</f>
        <v>2010</v>
      </c>
      <c r="R3" s="836">
        <f>N3+1</f>
        <v>2011</v>
      </c>
      <c r="S3" s="837">
        <f>R3</f>
        <v>2011</v>
      </c>
      <c r="T3" s="837">
        <f>S3</f>
        <v>2011</v>
      </c>
      <c r="U3" s="837">
        <f>T3</f>
        <v>2011</v>
      </c>
      <c r="V3" s="836">
        <f>R3+1</f>
        <v>2012</v>
      </c>
      <c r="W3" s="837">
        <f>V3</f>
        <v>2012</v>
      </c>
      <c r="X3" s="837">
        <f>W3</f>
        <v>2012</v>
      </c>
      <c r="Y3" s="837">
        <f>X3</f>
        <v>2012</v>
      </c>
      <c r="Z3" s="836">
        <f>V3+1</f>
        <v>2013</v>
      </c>
      <c r="AA3" s="837">
        <f>Z3</f>
        <v>2013</v>
      </c>
      <c r="AB3" s="837">
        <f>AA3</f>
        <v>2013</v>
      </c>
      <c r="AC3" s="837">
        <f>AB3</f>
        <v>2013</v>
      </c>
      <c r="AD3" s="836">
        <f>Z3+1</f>
        <v>2014</v>
      </c>
      <c r="AE3" s="837">
        <f>AD3</f>
        <v>2014</v>
      </c>
      <c r="AF3" s="837">
        <f>AE3</f>
        <v>2014</v>
      </c>
      <c r="AG3" s="837">
        <f>AF3</f>
        <v>2014</v>
      </c>
      <c r="AH3" s="836">
        <f>AD3+1</f>
        <v>2015</v>
      </c>
      <c r="AI3" s="837">
        <f>AH3</f>
        <v>2015</v>
      </c>
      <c r="AJ3" s="837">
        <f>AI3</f>
        <v>2015</v>
      </c>
      <c r="AK3" s="1363">
        <f>AJ3</f>
        <v>2015</v>
      </c>
      <c r="AL3" s="251">
        <v>2016</v>
      </c>
      <c r="AM3" s="251">
        <v>2016</v>
      </c>
      <c r="AN3" s="251">
        <v>2016</v>
      </c>
      <c r="AO3" s="251">
        <v>2016</v>
      </c>
      <c r="AP3" s="251">
        <v>2017</v>
      </c>
      <c r="AQ3" s="251">
        <v>2017</v>
      </c>
      <c r="AR3" s="251">
        <v>2017</v>
      </c>
      <c r="AS3" s="251">
        <v>2017</v>
      </c>
      <c r="AT3" s="251">
        <v>2018</v>
      </c>
      <c r="AU3" s="473"/>
      <c r="AV3" s="473"/>
      <c r="AW3" s="473"/>
      <c r="AX3" s="473"/>
      <c r="AY3" s="473"/>
      <c r="AZ3" s="473"/>
      <c r="BA3" s="473"/>
      <c r="BB3" s="473"/>
      <c r="BC3" s="473"/>
      <c r="BD3" s="473"/>
      <c r="BE3" s="473"/>
      <c r="BF3" s="473"/>
      <c r="BG3" s="473"/>
      <c r="BH3" s="473"/>
      <c r="BI3" s="473"/>
      <c r="BJ3" s="473"/>
      <c r="BK3" s="473"/>
      <c r="BL3" s="473"/>
      <c r="BM3" s="473"/>
      <c r="BN3" s="473"/>
    </row>
    <row r="4" spans="1:66" s="1771" customFormat="1">
      <c r="A4" s="1767" t="s">
        <v>1398</v>
      </c>
      <c r="B4" s="1768">
        <v>38898</v>
      </c>
      <c r="C4" s="1768">
        <v>38990</v>
      </c>
      <c r="D4" s="1768">
        <v>39082</v>
      </c>
      <c r="E4" s="1768">
        <v>39172</v>
      </c>
      <c r="F4" s="1768">
        <v>39263</v>
      </c>
      <c r="G4" s="1768">
        <v>39355</v>
      </c>
      <c r="H4" s="1768">
        <v>39447</v>
      </c>
      <c r="I4" s="1768">
        <v>39538</v>
      </c>
      <c r="J4" s="1768">
        <v>39629</v>
      </c>
      <c r="K4" s="1768">
        <v>39721</v>
      </c>
      <c r="L4" s="1768">
        <v>39813</v>
      </c>
      <c r="M4" s="1768">
        <v>39903</v>
      </c>
      <c r="N4" s="1768">
        <v>39994</v>
      </c>
      <c r="O4" s="1768">
        <v>40086</v>
      </c>
      <c r="P4" s="1768">
        <v>40178</v>
      </c>
      <c r="Q4" s="1768">
        <v>40268</v>
      </c>
      <c r="R4" s="1768">
        <v>40359</v>
      </c>
      <c r="S4" s="1768">
        <v>40451</v>
      </c>
      <c r="T4" s="1768">
        <v>40543</v>
      </c>
      <c r="U4" s="1768">
        <v>40633</v>
      </c>
      <c r="V4" s="1768">
        <v>40724</v>
      </c>
      <c r="W4" s="1768">
        <v>40816</v>
      </c>
      <c r="X4" s="1768">
        <v>40908</v>
      </c>
      <c r="Y4" s="1768">
        <v>40999</v>
      </c>
      <c r="Z4" s="1768">
        <v>41090</v>
      </c>
      <c r="AA4" s="1768">
        <v>41182</v>
      </c>
      <c r="AB4" s="1768">
        <v>41274</v>
      </c>
      <c r="AC4" s="1768">
        <v>41364</v>
      </c>
      <c r="AD4" s="1768">
        <v>41455</v>
      </c>
      <c r="AE4" s="1768">
        <v>41547</v>
      </c>
      <c r="AF4" s="1768">
        <v>41639</v>
      </c>
      <c r="AG4" s="1768">
        <v>41729</v>
      </c>
      <c r="AH4" s="1768">
        <v>41820</v>
      </c>
      <c r="AI4" s="1768">
        <v>41912</v>
      </c>
      <c r="AJ4" s="1768">
        <v>42004</v>
      </c>
      <c r="AK4" s="1768">
        <v>42094</v>
      </c>
      <c r="AL4" s="1768">
        <v>42185</v>
      </c>
      <c r="AM4" s="1768">
        <v>42277</v>
      </c>
      <c r="AN4" s="1768">
        <v>42369</v>
      </c>
      <c r="AO4" s="1768">
        <v>42460</v>
      </c>
      <c r="AP4" s="1768">
        <v>42551</v>
      </c>
      <c r="AQ4" s="1768">
        <v>42643</v>
      </c>
      <c r="AR4" s="1768">
        <v>42735</v>
      </c>
      <c r="AS4" s="1768">
        <v>42825</v>
      </c>
      <c r="AT4" s="1768">
        <v>42916</v>
      </c>
      <c r="AU4" s="1769">
        <v>43008</v>
      </c>
      <c r="AV4" s="1769">
        <v>43100</v>
      </c>
      <c r="AW4" s="1769">
        <v>43190</v>
      </c>
      <c r="AX4" s="1769">
        <v>43281</v>
      </c>
      <c r="AY4" s="1769">
        <v>43373</v>
      </c>
      <c r="AZ4" s="1769">
        <v>43465</v>
      </c>
      <c r="BA4" s="1769">
        <v>43555</v>
      </c>
      <c r="BB4" s="1769">
        <v>43646</v>
      </c>
      <c r="BC4" s="1769">
        <v>43738</v>
      </c>
      <c r="BD4" s="1769">
        <v>43830</v>
      </c>
      <c r="BE4" s="1769">
        <v>43921</v>
      </c>
      <c r="BF4" s="1769">
        <v>44012</v>
      </c>
      <c r="BG4" s="1769">
        <v>44104</v>
      </c>
      <c r="BH4" s="1769">
        <v>44196</v>
      </c>
      <c r="BI4" s="1769">
        <v>44286</v>
      </c>
      <c r="BJ4" s="1769">
        <v>44377</v>
      </c>
      <c r="BK4" s="1769">
        <v>44469</v>
      </c>
      <c r="BL4" s="1769">
        <v>44561</v>
      </c>
      <c r="BM4" s="1770"/>
      <c r="BN4" s="238"/>
    </row>
    <row r="5" spans="1:66">
      <c r="A5" s="1732" t="s">
        <v>927</v>
      </c>
      <c r="B5" s="806" t="s">
        <v>945</v>
      </c>
      <c r="C5" s="806" t="s">
        <v>954</v>
      </c>
      <c r="D5" s="806" t="s">
        <v>928</v>
      </c>
      <c r="E5" s="806" t="s">
        <v>937</v>
      </c>
      <c r="F5" s="806" t="s">
        <v>946</v>
      </c>
      <c r="G5" s="806" t="s">
        <v>955</v>
      </c>
      <c r="H5" s="806" t="s">
        <v>929</v>
      </c>
      <c r="I5" s="806" t="s">
        <v>938</v>
      </c>
      <c r="J5" s="806" t="s">
        <v>947</v>
      </c>
      <c r="K5" s="806" t="s">
        <v>956</v>
      </c>
      <c r="L5" s="806" t="s">
        <v>930</v>
      </c>
      <c r="M5" s="806" t="s">
        <v>939</v>
      </c>
      <c r="N5" s="806" t="s">
        <v>948</v>
      </c>
      <c r="O5" s="806" t="s">
        <v>957</v>
      </c>
      <c r="P5" s="806" t="s">
        <v>931</v>
      </c>
      <c r="Q5" s="806" t="s">
        <v>940</v>
      </c>
      <c r="R5" s="806" t="s">
        <v>949</v>
      </c>
      <c r="S5" s="806" t="s">
        <v>958</v>
      </c>
      <c r="T5" s="806" t="s">
        <v>932</v>
      </c>
      <c r="U5" s="806" t="s">
        <v>941</v>
      </c>
      <c r="V5" s="806" t="s">
        <v>950</v>
      </c>
      <c r="W5" s="806" t="s">
        <v>959</v>
      </c>
      <c r="X5" s="806" t="s">
        <v>933</v>
      </c>
      <c r="Y5" s="806" t="s">
        <v>942</v>
      </c>
      <c r="Z5" s="806" t="s">
        <v>951</v>
      </c>
      <c r="AA5" s="806" t="s">
        <v>960</v>
      </c>
      <c r="AB5" s="806" t="s">
        <v>934</v>
      </c>
      <c r="AC5" s="806" t="s">
        <v>943</v>
      </c>
      <c r="AD5" s="806" t="s">
        <v>952</v>
      </c>
      <c r="AE5" s="806" t="s">
        <v>961</v>
      </c>
      <c r="AF5" s="806" t="s">
        <v>935</v>
      </c>
      <c r="AG5" s="806" t="s">
        <v>944</v>
      </c>
      <c r="AH5" s="806" t="s">
        <v>953</v>
      </c>
      <c r="AI5" s="806" t="s">
        <v>962</v>
      </c>
      <c r="AJ5" s="806" t="s">
        <v>936</v>
      </c>
      <c r="AK5" s="806" t="s">
        <v>1189</v>
      </c>
      <c r="AL5" s="806" t="s">
        <v>1212</v>
      </c>
      <c r="AM5" s="806" t="s">
        <v>1213</v>
      </c>
      <c r="AN5" s="806" t="s">
        <v>1306</v>
      </c>
      <c r="AO5" s="806" t="s">
        <v>1313</v>
      </c>
      <c r="AP5" s="806" t="s">
        <v>1503</v>
      </c>
      <c r="AQ5" s="806" t="s">
        <v>1533</v>
      </c>
      <c r="AR5" s="806" t="s">
        <v>1536</v>
      </c>
      <c r="AS5" s="806" t="s">
        <v>1618</v>
      </c>
      <c r="AT5" s="806" t="s">
        <v>1620</v>
      </c>
      <c r="AU5" s="472"/>
      <c r="AV5" s="472"/>
      <c r="AW5" s="472"/>
      <c r="AX5" s="472"/>
      <c r="AY5" s="472"/>
      <c r="AZ5" s="472"/>
      <c r="BA5" s="472"/>
      <c r="BB5" s="472"/>
      <c r="BC5" s="472"/>
      <c r="BD5" s="472"/>
      <c r="BE5" s="210"/>
      <c r="BF5" s="210"/>
      <c r="BG5" s="210"/>
      <c r="BH5" s="210"/>
      <c r="BI5" s="210"/>
      <c r="BJ5" s="210"/>
      <c r="BK5" s="210"/>
      <c r="BL5" s="210"/>
      <c r="BM5" s="210"/>
      <c r="BN5" s="106"/>
    </row>
    <row r="6" spans="1:66">
      <c r="A6" s="1732" t="s">
        <v>857</v>
      </c>
      <c r="B6" s="819">
        <v>3754</v>
      </c>
      <c r="C6" s="819">
        <v>8636</v>
      </c>
      <c r="D6" s="819">
        <v>9276</v>
      </c>
      <c r="E6" s="819">
        <v>9276</v>
      </c>
      <c r="F6" s="819">
        <v>3199</v>
      </c>
      <c r="G6" s="819">
        <v>7878</v>
      </c>
      <c r="H6" s="819">
        <v>10218</v>
      </c>
      <c r="I6" s="819">
        <v>10218</v>
      </c>
      <c r="J6" s="819">
        <v>2996</v>
      </c>
      <c r="K6" s="819">
        <v>8670</v>
      </c>
      <c r="L6" s="819">
        <v>12001</v>
      </c>
      <c r="M6" s="819">
        <v>12001</v>
      </c>
      <c r="N6" s="819">
        <v>4484</v>
      </c>
      <c r="O6" s="819">
        <v>9466</v>
      </c>
      <c r="P6" s="819">
        <v>12923</v>
      </c>
      <c r="Q6" s="819">
        <v>12923</v>
      </c>
      <c r="R6" s="819">
        <v>5252</v>
      </c>
      <c r="S6" s="819">
        <v>10813</v>
      </c>
      <c r="T6" s="819">
        <v>13067</v>
      </c>
      <c r="U6" s="819">
        <v>13067</v>
      </c>
      <c r="V6" s="819">
        <v>3648</v>
      </c>
      <c r="W6" s="819">
        <v>8683</v>
      </c>
      <c r="X6" s="819">
        <v>10590</v>
      </c>
      <c r="Y6" s="819">
        <v>10590</v>
      </c>
      <c r="Z6" s="819">
        <v>2918</v>
      </c>
      <c r="AA6" s="819">
        <v>8954</v>
      </c>
      <c r="AB6" s="819">
        <v>12885</v>
      </c>
      <c r="AC6" s="819">
        <v>12885</v>
      </c>
      <c r="AD6" s="819">
        <v>5543</v>
      </c>
      <c r="AE6" s="819">
        <v>11640</v>
      </c>
      <c r="AF6" s="819">
        <v>15592</v>
      </c>
      <c r="AG6" s="819">
        <v>15592</v>
      </c>
      <c r="AH6" s="819">
        <v>6467</v>
      </c>
      <c r="AI6" s="819">
        <v>15158</v>
      </c>
      <c r="AJ6" s="819">
        <v>18717</v>
      </c>
      <c r="AK6" s="835">
        <v>18717</v>
      </c>
      <c r="AL6" s="1426">
        <v>7409</v>
      </c>
      <c r="AM6" s="1426">
        <v>15037</v>
      </c>
      <c r="AN6" s="1426">
        <v>20024</v>
      </c>
      <c r="AO6" s="1426">
        <v>20024</v>
      </c>
      <c r="AP6" s="1426">
        <v>8186</v>
      </c>
      <c r="AQ6" s="1426">
        <v>16532</v>
      </c>
      <c r="AR6" s="1426">
        <v>19281</v>
      </c>
      <c r="AS6" s="1426">
        <v>19281</v>
      </c>
      <c r="AT6" s="1426">
        <v>8739</v>
      </c>
      <c r="AU6" s="740"/>
      <c r="AV6" s="740"/>
      <c r="AW6" s="740"/>
      <c r="AX6" s="740"/>
      <c r="AY6" s="740"/>
      <c r="AZ6" s="740"/>
      <c r="BA6" s="740"/>
      <c r="BB6" s="740"/>
      <c r="BC6" s="740"/>
      <c r="BD6" s="740"/>
      <c r="BE6" s="740"/>
      <c r="BF6" s="740"/>
      <c r="BG6" s="740"/>
      <c r="BH6" s="740"/>
      <c r="BI6" s="740"/>
      <c r="BJ6" s="740"/>
      <c r="BK6" s="740"/>
      <c r="BL6" s="740"/>
      <c r="BM6" s="740"/>
      <c r="BN6" s="106"/>
    </row>
    <row r="7" spans="1:66">
      <c r="A7" s="1733" t="s">
        <v>856</v>
      </c>
      <c r="B7" s="819">
        <v>2776</v>
      </c>
      <c r="C7" s="819">
        <v>5651</v>
      </c>
      <c r="D7" s="819">
        <v>6191</v>
      </c>
      <c r="E7" s="819">
        <v>6191</v>
      </c>
      <c r="F7" s="819">
        <v>2433</v>
      </c>
      <c r="G7" s="819">
        <v>4946</v>
      </c>
      <c r="H7" s="819">
        <v>6673</v>
      </c>
      <c r="I7" s="819">
        <v>6673</v>
      </c>
      <c r="J7" s="819">
        <v>2152</v>
      </c>
      <c r="K7" s="819">
        <v>4936</v>
      </c>
      <c r="L7" s="819">
        <v>7212</v>
      </c>
      <c r="M7" s="819">
        <v>7212</v>
      </c>
      <c r="N7" s="819">
        <v>3158</v>
      </c>
      <c r="O7" s="819">
        <v>5429</v>
      </c>
      <c r="P7" s="819">
        <v>7584</v>
      </c>
      <c r="Q7" s="819">
        <v>7584</v>
      </c>
      <c r="R7" s="819">
        <v>3911</v>
      </c>
      <c r="S7" s="819">
        <v>6640</v>
      </c>
      <c r="T7" s="819">
        <v>8511</v>
      </c>
      <c r="U7" s="819">
        <v>8511</v>
      </c>
      <c r="V7" s="819">
        <v>2623</v>
      </c>
      <c r="W7" s="819">
        <v>5266</v>
      </c>
      <c r="X7" s="819">
        <v>6886</v>
      </c>
      <c r="Y7" s="819">
        <v>6886</v>
      </c>
      <c r="Z7" s="819">
        <v>2159</v>
      </c>
      <c r="AA7" s="819">
        <v>5510</v>
      </c>
      <c r="AB7" s="819">
        <v>8206</v>
      </c>
      <c r="AC7" s="819">
        <v>8206</v>
      </c>
      <c r="AD7" s="819">
        <v>4271</v>
      </c>
      <c r="AE7" s="819">
        <v>7484</v>
      </c>
      <c r="AF7" s="819">
        <v>10315</v>
      </c>
      <c r="AG7" s="819">
        <v>10315</v>
      </c>
      <c r="AH7" s="819">
        <v>4339</v>
      </c>
      <c r="AI7" s="819">
        <v>9629</v>
      </c>
      <c r="AJ7" s="819">
        <v>12326</v>
      </c>
      <c r="AK7" s="835">
        <v>12326</v>
      </c>
      <c r="AL7" s="1426">
        <v>4768</v>
      </c>
      <c r="AM7" s="1426">
        <v>9253</v>
      </c>
      <c r="AN7" s="1426">
        <v>12985</v>
      </c>
      <c r="AO7" s="1426">
        <v>12985</v>
      </c>
      <c r="AP7" s="1426">
        <v>5644</v>
      </c>
      <c r="AQ7" s="1426">
        <v>10842</v>
      </c>
      <c r="AR7" s="1426">
        <v>13398</v>
      </c>
      <c r="AS7" s="1426">
        <v>13398</v>
      </c>
      <c r="AT7" s="1426">
        <v>5966</v>
      </c>
      <c r="AU7" s="740"/>
      <c r="AV7" s="740"/>
      <c r="AW7" s="740"/>
      <c r="AX7" s="740"/>
      <c r="AY7" s="740"/>
      <c r="AZ7" s="740"/>
      <c r="BA7" s="740"/>
      <c r="BB7" s="740"/>
      <c r="BC7" s="740"/>
      <c r="BD7" s="740"/>
      <c r="BE7" s="740"/>
      <c r="BF7" s="740"/>
      <c r="BG7" s="740"/>
      <c r="BH7" s="740"/>
      <c r="BI7" s="740"/>
      <c r="BJ7" s="740"/>
      <c r="BK7" s="740"/>
      <c r="BL7" s="740"/>
      <c r="BM7" s="740"/>
      <c r="BN7" s="106"/>
    </row>
    <row r="8" spans="1:66">
      <c r="A8" s="1733" t="s">
        <v>858</v>
      </c>
      <c r="B8" s="819">
        <v>978</v>
      </c>
      <c r="C8" s="819">
        <v>2985</v>
      </c>
      <c r="D8" s="819">
        <v>3085</v>
      </c>
      <c r="E8" s="819">
        <v>3085</v>
      </c>
      <c r="F8" s="819">
        <v>766</v>
      </c>
      <c r="G8" s="819">
        <v>2932</v>
      </c>
      <c r="H8" s="819">
        <v>3545</v>
      </c>
      <c r="I8" s="819">
        <v>3545</v>
      </c>
      <c r="J8" s="819">
        <v>844</v>
      </c>
      <c r="K8" s="819">
        <v>3734</v>
      </c>
      <c r="L8" s="819">
        <v>4789</v>
      </c>
      <c r="M8" s="819">
        <v>4789</v>
      </c>
      <c r="N8" s="819">
        <v>1327</v>
      </c>
      <c r="O8" s="819">
        <v>4037</v>
      </c>
      <c r="P8" s="819">
        <v>5339</v>
      </c>
      <c r="Q8" s="819">
        <v>5339</v>
      </c>
      <c r="R8" s="819">
        <v>1340</v>
      </c>
      <c r="S8" s="819">
        <v>4173</v>
      </c>
      <c r="T8" s="819">
        <v>4556</v>
      </c>
      <c r="U8" s="819">
        <v>4556</v>
      </c>
      <c r="V8" s="819">
        <v>1024</v>
      </c>
      <c r="W8" s="819">
        <v>3417</v>
      </c>
      <c r="X8" s="819">
        <v>3704</v>
      </c>
      <c r="Y8" s="819">
        <v>3704</v>
      </c>
      <c r="Z8" s="819">
        <v>759</v>
      </c>
      <c r="AA8" s="819">
        <v>3444</v>
      </c>
      <c r="AB8" s="819">
        <v>4679</v>
      </c>
      <c r="AC8" s="819">
        <v>4679</v>
      </c>
      <c r="AD8" s="819">
        <v>1272</v>
      </c>
      <c r="AE8" s="819">
        <v>4156</v>
      </c>
      <c r="AF8" s="819">
        <v>5278</v>
      </c>
      <c r="AG8" s="819">
        <v>5278</v>
      </c>
      <c r="AH8" s="819">
        <v>2128</v>
      </c>
      <c r="AI8" s="819">
        <v>5529</v>
      </c>
      <c r="AJ8" s="819">
        <v>6392</v>
      </c>
      <c r="AK8" s="835">
        <v>6392</v>
      </c>
      <c r="AL8" s="1426">
        <v>2641</v>
      </c>
      <c r="AM8" s="1426">
        <v>5784</v>
      </c>
      <c r="AN8" s="1426">
        <v>7039</v>
      </c>
      <c r="AO8" s="1426">
        <v>7039</v>
      </c>
      <c r="AP8" s="1426">
        <v>2542</v>
      </c>
      <c r="AQ8" s="1426">
        <v>5690</v>
      </c>
      <c r="AR8" s="1426">
        <v>5883</v>
      </c>
      <c r="AS8" s="1426">
        <v>5883</v>
      </c>
      <c r="AT8" s="1426">
        <v>2773</v>
      </c>
      <c r="AU8" s="791"/>
      <c r="AV8" s="791"/>
      <c r="AW8" s="791"/>
      <c r="AX8" s="791"/>
      <c r="AY8" s="791"/>
      <c r="AZ8" s="791"/>
      <c r="BA8" s="791"/>
      <c r="BB8" s="791"/>
      <c r="BC8" s="791"/>
      <c r="BD8" s="791"/>
      <c r="BE8" s="791"/>
      <c r="BF8" s="791"/>
      <c r="BG8" s="791"/>
      <c r="BH8" s="791"/>
      <c r="BI8" s="791"/>
      <c r="BJ8" s="791"/>
      <c r="BK8" s="791"/>
      <c r="BL8" s="791"/>
      <c r="BM8" s="791"/>
      <c r="BN8" s="106"/>
    </row>
    <row r="9" spans="1:66">
      <c r="A9" s="1734" t="s">
        <v>860</v>
      </c>
      <c r="B9" s="820">
        <v>0.77900000000000003</v>
      </c>
      <c r="C9" s="820">
        <v>0.73399999999999999</v>
      </c>
      <c r="D9" s="820">
        <v>0.73099999999999998</v>
      </c>
      <c r="E9" s="820">
        <v>0.73099999999999998</v>
      </c>
      <c r="F9" s="820">
        <v>0.81</v>
      </c>
      <c r="G9" s="820">
        <v>0.78900000000000003</v>
      </c>
      <c r="H9" s="820">
        <v>0.75</v>
      </c>
      <c r="I9" s="820">
        <v>0.75</v>
      </c>
      <c r="J9" s="820">
        <v>0.81399999999999995</v>
      </c>
      <c r="K9" s="820">
        <v>0.81599999999999995</v>
      </c>
      <c r="L9" s="820">
        <v>0.81399999999999995</v>
      </c>
      <c r="M9" s="820">
        <v>0.81399999999999995</v>
      </c>
      <c r="N9" s="820">
        <v>0.85799999999999998</v>
      </c>
      <c r="O9" s="820">
        <v>0.84499999999999997</v>
      </c>
      <c r="P9" s="820">
        <v>0.84399999999999997</v>
      </c>
      <c r="Q9" s="820">
        <v>0.84399999999999997</v>
      </c>
      <c r="R9" s="820">
        <v>0.873</v>
      </c>
      <c r="S9" s="820">
        <v>0.85699999999999998</v>
      </c>
      <c r="T9" s="820">
        <v>0.85299999999999998</v>
      </c>
      <c r="U9" s="820">
        <v>0.85299999999999998</v>
      </c>
      <c r="V9" s="820">
        <v>0.871</v>
      </c>
      <c r="W9" s="820">
        <v>0.85699999999999998</v>
      </c>
      <c r="X9" s="820">
        <v>0.85699999999999998</v>
      </c>
      <c r="Y9" s="820">
        <v>0.85699999999999998</v>
      </c>
      <c r="Z9" s="820">
        <v>0.89100000000000001</v>
      </c>
      <c r="AA9" s="820">
        <v>0.89200000000000002</v>
      </c>
      <c r="AB9" s="820">
        <v>0.88800000000000001</v>
      </c>
      <c r="AC9" s="820">
        <v>0.88800000000000001</v>
      </c>
      <c r="AD9" s="820">
        <v>0.94499999999999995</v>
      </c>
      <c r="AE9" s="820">
        <v>0.93899999999999995</v>
      </c>
      <c r="AF9" s="820">
        <v>0.93899999999999995</v>
      </c>
      <c r="AG9" s="820">
        <v>0.93899999999999995</v>
      </c>
      <c r="AH9" s="820">
        <v>0.94699999999999995</v>
      </c>
      <c r="AI9" s="820">
        <v>0.94799999999999995</v>
      </c>
      <c r="AJ9" s="820">
        <v>0.97</v>
      </c>
      <c r="AK9" s="821">
        <v>0.97</v>
      </c>
      <c r="AL9" s="1463">
        <v>0.98</v>
      </c>
      <c r="AM9" s="1463">
        <v>0.97099999999999997</v>
      </c>
      <c r="AN9" s="1463">
        <v>0.97399999999999998</v>
      </c>
      <c r="AO9" s="1463">
        <v>0.97399999999999998</v>
      </c>
      <c r="AP9" s="1463">
        <v>0.99299999999999999</v>
      </c>
      <c r="AQ9" s="2177">
        <v>0.99</v>
      </c>
      <c r="AR9" s="2177">
        <v>0.98899999999999999</v>
      </c>
      <c r="AS9" s="2177">
        <v>0.98899999999999999</v>
      </c>
      <c r="AT9" s="2177">
        <v>0.998</v>
      </c>
      <c r="AU9" s="792"/>
      <c r="AV9" s="792"/>
      <c r="AW9" s="792"/>
      <c r="AX9" s="792"/>
      <c r="AY9" s="792"/>
      <c r="AZ9" s="792"/>
      <c r="BA9" s="792"/>
      <c r="BB9" s="792"/>
      <c r="BC9" s="792"/>
      <c r="BD9" s="792"/>
      <c r="BE9" s="792"/>
      <c r="BF9" s="792"/>
      <c r="BG9" s="792"/>
      <c r="BH9" s="792"/>
      <c r="BI9" s="792"/>
      <c r="BJ9" s="792"/>
      <c r="BK9" s="792"/>
      <c r="BL9" s="792"/>
      <c r="BM9" s="792"/>
      <c r="BN9" s="106"/>
    </row>
    <row r="10" spans="1:66">
      <c r="A10" s="1735" t="s">
        <v>861</v>
      </c>
      <c r="B10" s="821" t="s">
        <v>963</v>
      </c>
      <c r="C10" s="821" t="s">
        <v>963</v>
      </c>
      <c r="D10" s="821" t="s">
        <v>963</v>
      </c>
      <c r="E10" s="821" t="s">
        <v>963</v>
      </c>
      <c r="F10" s="821" t="s">
        <v>963</v>
      </c>
      <c r="G10" s="821" t="s">
        <v>963</v>
      </c>
      <c r="H10" s="821" t="s">
        <v>963</v>
      </c>
      <c r="I10" s="821" t="s">
        <v>963</v>
      </c>
      <c r="J10" s="821" t="s">
        <v>963</v>
      </c>
      <c r="K10" s="821" t="s">
        <v>963</v>
      </c>
      <c r="L10" s="821" t="s">
        <v>963</v>
      </c>
      <c r="M10" s="821" t="s">
        <v>963</v>
      </c>
      <c r="N10" s="821" t="s">
        <v>963</v>
      </c>
      <c r="O10" s="821" t="s">
        <v>963</v>
      </c>
      <c r="P10" s="821" t="s">
        <v>963</v>
      </c>
      <c r="Q10" s="821" t="s">
        <v>963</v>
      </c>
      <c r="R10" s="821" t="s">
        <v>963</v>
      </c>
      <c r="S10" s="821" t="s">
        <v>963</v>
      </c>
      <c r="T10" s="821" t="s">
        <v>963</v>
      </c>
      <c r="U10" s="821" t="s">
        <v>963</v>
      </c>
      <c r="V10" s="821" t="s">
        <v>963</v>
      </c>
      <c r="W10" s="821" t="s">
        <v>963</v>
      </c>
      <c r="X10" s="821" t="s">
        <v>963</v>
      </c>
      <c r="Y10" s="821" t="s">
        <v>963</v>
      </c>
      <c r="Z10" s="821" t="s">
        <v>963</v>
      </c>
      <c r="AA10" s="805">
        <v>90.2</v>
      </c>
      <c r="AB10" s="805">
        <v>88.58</v>
      </c>
      <c r="AC10" s="805">
        <v>88.58</v>
      </c>
      <c r="AD10" s="805">
        <v>81.790000000000006</v>
      </c>
      <c r="AE10" s="805">
        <v>100</v>
      </c>
      <c r="AF10" s="805">
        <v>99.5</v>
      </c>
      <c r="AG10" s="805">
        <v>99.47</v>
      </c>
      <c r="AH10" s="805">
        <v>93.33</v>
      </c>
      <c r="AI10" s="805">
        <v>87.56</v>
      </c>
      <c r="AJ10" s="805">
        <v>87.6</v>
      </c>
      <c r="AK10" s="1364">
        <v>87.6</v>
      </c>
      <c r="AL10" s="1427">
        <v>83.2</v>
      </c>
      <c r="AM10" s="1427">
        <v>84.2</v>
      </c>
      <c r="AN10" s="1427">
        <v>85.9</v>
      </c>
      <c r="AO10" s="1427">
        <v>85.9</v>
      </c>
      <c r="AP10" s="1427">
        <v>85.4</v>
      </c>
      <c r="AQ10" s="1427">
        <v>80.900000000000006</v>
      </c>
      <c r="AR10" s="1427">
        <v>78.7</v>
      </c>
      <c r="AS10" s="1427">
        <v>78.7</v>
      </c>
      <c r="AT10" s="1427">
        <v>86</v>
      </c>
      <c r="AU10" s="793"/>
      <c r="AV10" s="793"/>
      <c r="AW10" s="793"/>
      <c r="AX10" s="793"/>
      <c r="AY10" s="793"/>
      <c r="AZ10" s="793"/>
      <c r="BA10" s="793"/>
      <c r="BB10" s="793"/>
      <c r="BC10" s="793"/>
      <c r="BD10" s="793"/>
      <c r="BE10" s="793"/>
      <c r="BF10" s="793"/>
      <c r="BG10" s="793"/>
      <c r="BH10" s="793"/>
      <c r="BI10" s="793"/>
      <c r="BJ10" s="793"/>
      <c r="BK10" s="793"/>
      <c r="BL10" s="793"/>
      <c r="BM10" s="793"/>
      <c r="BN10" s="374"/>
    </row>
    <row r="11" spans="1:66">
      <c r="A11" s="1735" t="s">
        <v>862</v>
      </c>
      <c r="B11" s="818" t="str">
        <f t="shared" ref="B11:N11" si="0">IFERROR(B17/B6*1000,"NM")</f>
        <v>NM</v>
      </c>
      <c r="C11" s="818" t="str">
        <f t="shared" si="0"/>
        <v>NM</v>
      </c>
      <c r="D11" s="818" t="str">
        <f t="shared" si="0"/>
        <v>NM</v>
      </c>
      <c r="E11" s="818" t="str">
        <f t="shared" si="0"/>
        <v>NM</v>
      </c>
      <c r="F11" s="818" t="str">
        <f t="shared" si="0"/>
        <v>NM</v>
      </c>
      <c r="G11" s="818" t="str">
        <f t="shared" si="0"/>
        <v>NM</v>
      </c>
      <c r="H11" s="818" t="str">
        <f t="shared" si="0"/>
        <v>NM</v>
      </c>
      <c r="I11" s="818" t="str">
        <f t="shared" si="0"/>
        <v>NM</v>
      </c>
      <c r="J11" s="818" t="str">
        <f t="shared" si="0"/>
        <v>NM</v>
      </c>
      <c r="K11" s="818" t="str">
        <f t="shared" si="0"/>
        <v>NM</v>
      </c>
      <c r="L11" s="818" t="str">
        <f t="shared" si="0"/>
        <v>NM</v>
      </c>
      <c r="M11" s="818" t="str">
        <f t="shared" si="0"/>
        <v>NM</v>
      </c>
      <c r="N11" s="818" t="str">
        <f t="shared" si="0"/>
        <v>NM</v>
      </c>
      <c r="O11" s="822">
        <v>137</v>
      </c>
      <c r="P11" s="818" t="str">
        <f>IFERROR(P17/P6*1000,"NM")</f>
        <v>NM</v>
      </c>
      <c r="Q11" s="818" t="str">
        <f>IFERROR(Q17/Q6*1000,"NM")</f>
        <v>NM</v>
      </c>
      <c r="R11" s="818" t="str">
        <f>IFERROR(R17/R6*1000,"NM")</f>
        <v>NM</v>
      </c>
      <c r="S11" s="822">
        <v>145</v>
      </c>
      <c r="T11" s="818" t="str">
        <f>IFERROR(T17/T6*1000,"NM")</f>
        <v>NM</v>
      </c>
      <c r="U11" s="818" t="str">
        <f>IFERROR(U17/U6*1000,"NM")</f>
        <v>NM</v>
      </c>
      <c r="V11" s="818" t="str">
        <f>IFERROR(V17/V6*1000,"NM")</f>
        <v>NM</v>
      </c>
      <c r="W11" s="818" t="str">
        <f>IFERROR(W17/W6*1000,"NM")</f>
        <v>NM</v>
      </c>
      <c r="X11" s="817">
        <f>X17/X6*1000</f>
        <v>137.96033994334277</v>
      </c>
      <c r="Y11" s="817">
        <f>Y17/Y6*1000</f>
        <v>137.96033994334277</v>
      </c>
      <c r="Z11" s="817">
        <f>Z17/Z6*1000</f>
        <v>122.3440712816998</v>
      </c>
      <c r="AA11" s="805">
        <v>137.65</v>
      </c>
      <c r="AB11" s="805">
        <v>139.13999999999999</v>
      </c>
      <c r="AC11" s="805">
        <v>139.13999999999999</v>
      </c>
      <c r="AD11" s="805">
        <v>126.98</v>
      </c>
      <c r="AE11" s="805">
        <v>137.01</v>
      </c>
      <c r="AF11" s="805">
        <v>137</v>
      </c>
      <c r="AG11" s="805">
        <v>136.94999999999999</v>
      </c>
      <c r="AH11" s="805">
        <v>129.88999999999999</v>
      </c>
      <c r="AI11" s="805">
        <v>141.04</v>
      </c>
      <c r="AJ11" s="805">
        <v>141.6</v>
      </c>
      <c r="AK11" s="1364">
        <v>141.6</v>
      </c>
      <c r="AL11" s="1427">
        <v>118.7</v>
      </c>
      <c r="AM11" s="1427">
        <v>130.1</v>
      </c>
      <c r="AN11" s="1427">
        <v>128.9</v>
      </c>
      <c r="AO11" s="1427">
        <v>128.9</v>
      </c>
      <c r="AP11" s="1427">
        <v>122.4</v>
      </c>
      <c r="AQ11" s="1427">
        <v>129.1</v>
      </c>
      <c r="AR11" s="1427">
        <v>130.30000000000001</v>
      </c>
      <c r="AS11" s="1427">
        <v>130.30000000000001</v>
      </c>
      <c r="AT11" s="1427">
        <v>125</v>
      </c>
      <c r="AU11" s="793"/>
      <c r="AV11" s="793"/>
      <c r="AW11" s="793"/>
      <c r="AX11" s="793"/>
      <c r="AY11" s="793"/>
      <c r="AZ11" s="793"/>
      <c r="BA11" s="793"/>
      <c r="BB11" s="793"/>
      <c r="BC11" s="793"/>
      <c r="BD11" s="793"/>
      <c r="BE11" s="793"/>
      <c r="BF11" s="793"/>
      <c r="BG11" s="793"/>
      <c r="BH11" s="793"/>
      <c r="BI11" s="793"/>
      <c r="BJ11" s="793"/>
      <c r="BK11" s="793"/>
      <c r="BL11" s="793"/>
      <c r="BM11" s="793"/>
      <c r="BN11" s="374"/>
    </row>
    <row r="12" spans="1:66">
      <c r="A12" s="1735" t="s">
        <v>863</v>
      </c>
      <c r="B12" s="819">
        <v>238</v>
      </c>
      <c r="C12" s="819">
        <v>633</v>
      </c>
      <c r="D12" s="819">
        <v>678</v>
      </c>
      <c r="E12" s="819">
        <v>678</v>
      </c>
      <c r="F12" s="819">
        <v>156</v>
      </c>
      <c r="G12" s="819">
        <v>400</v>
      </c>
      <c r="H12" s="819">
        <v>527</v>
      </c>
      <c r="I12" s="819">
        <v>527</v>
      </c>
      <c r="J12" s="819">
        <v>137</v>
      </c>
      <c r="K12" s="819">
        <v>431</v>
      </c>
      <c r="L12" s="819">
        <v>555</v>
      </c>
      <c r="M12" s="819">
        <v>555</v>
      </c>
      <c r="N12" s="819">
        <v>228</v>
      </c>
      <c r="O12" s="819">
        <v>525</v>
      </c>
      <c r="P12" s="819">
        <v>702</v>
      </c>
      <c r="Q12" s="819">
        <v>702</v>
      </c>
      <c r="R12" s="819">
        <v>303</v>
      </c>
      <c r="S12" s="819">
        <v>706</v>
      </c>
      <c r="T12" s="819">
        <v>873</v>
      </c>
      <c r="U12" s="819">
        <v>873</v>
      </c>
      <c r="V12" s="819">
        <v>213</v>
      </c>
      <c r="W12" s="819">
        <v>628</v>
      </c>
      <c r="X12" s="819">
        <v>774</v>
      </c>
      <c r="Y12" s="819">
        <v>774</v>
      </c>
      <c r="Z12" s="742">
        <f>190</f>
        <v>190</v>
      </c>
      <c r="AA12" s="819">
        <v>659</v>
      </c>
      <c r="AB12" s="819">
        <v>969</v>
      </c>
      <c r="AC12" s="819">
        <v>970</v>
      </c>
      <c r="AD12" s="819">
        <v>318</v>
      </c>
      <c r="AE12" s="819">
        <v>763</v>
      </c>
      <c r="AF12" s="819">
        <v>986</v>
      </c>
      <c r="AG12" s="819">
        <v>986</v>
      </c>
      <c r="AH12" s="819">
        <v>380</v>
      </c>
      <c r="AI12" s="819">
        <v>987</v>
      </c>
      <c r="AJ12" s="819">
        <v>1231</v>
      </c>
      <c r="AK12" s="835">
        <v>1231</v>
      </c>
      <c r="AL12" s="1426">
        <v>423</v>
      </c>
      <c r="AM12" s="1426">
        <v>952</v>
      </c>
      <c r="AN12" s="1426">
        <v>1230</v>
      </c>
      <c r="AO12" s="1426">
        <v>1230</v>
      </c>
      <c r="AP12" s="1426">
        <v>480</v>
      </c>
      <c r="AQ12" s="1426">
        <v>1093</v>
      </c>
      <c r="AR12" s="1426">
        <v>1301</v>
      </c>
      <c r="AS12" s="1426">
        <v>1301</v>
      </c>
      <c r="AT12" s="1426">
        <v>504</v>
      </c>
      <c r="AU12" s="740"/>
      <c r="AV12" s="740"/>
      <c r="AW12" s="740"/>
      <c r="AX12" s="740"/>
      <c r="AY12" s="740"/>
      <c r="AZ12" s="740"/>
      <c r="BA12" s="740"/>
      <c r="BB12" s="740"/>
      <c r="BC12" s="740"/>
      <c r="BD12" s="740"/>
      <c r="BE12" s="740"/>
      <c r="BF12" s="740"/>
      <c r="BG12" s="740"/>
      <c r="BH12" s="740"/>
      <c r="BI12" s="740"/>
      <c r="BJ12" s="740"/>
      <c r="BK12" s="740"/>
      <c r="BL12" s="740"/>
      <c r="BM12" s="740"/>
      <c r="BN12" s="106"/>
    </row>
    <row r="13" spans="1:66">
      <c r="A13" s="1735" t="s">
        <v>864</v>
      </c>
      <c r="B13" s="819">
        <v>63</v>
      </c>
      <c r="C13" s="819">
        <v>193</v>
      </c>
      <c r="D13" s="819">
        <v>212</v>
      </c>
      <c r="E13" s="819">
        <v>212</v>
      </c>
      <c r="F13" s="819">
        <v>82</v>
      </c>
      <c r="G13" s="819">
        <v>212</v>
      </c>
      <c r="H13" s="819">
        <v>306</v>
      </c>
      <c r="I13" s="819">
        <v>306</v>
      </c>
      <c r="J13" s="819">
        <v>64</v>
      </c>
      <c r="K13" s="819">
        <v>183</v>
      </c>
      <c r="L13" s="819">
        <v>287</v>
      </c>
      <c r="M13" s="819">
        <v>287</v>
      </c>
      <c r="N13" s="819">
        <v>59</v>
      </c>
      <c r="O13" s="819">
        <v>154</v>
      </c>
      <c r="P13" s="819">
        <v>226</v>
      </c>
      <c r="Q13" s="819">
        <v>226</v>
      </c>
      <c r="R13" s="819">
        <v>82</v>
      </c>
      <c r="S13" s="819">
        <v>211</v>
      </c>
      <c r="T13" s="819">
        <v>258</v>
      </c>
      <c r="U13" s="819">
        <v>258</v>
      </c>
      <c r="V13" s="819">
        <v>69</v>
      </c>
      <c r="W13" s="819">
        <v>161</v>
      </c>
      <c r="X13" s="819">
        <v>191</v>
      </c>
      <c r="Y13" s="819">
        <v>191</v>
      </c>
      <c r="Z13" s="819">
        <v>50</v>
      </c>
      <c r="AA13" s="819">
        <v>169</v>
      </c>
      <c r="AB13" s="819">
        <v>275</v>
      </c>
      <c r="AC13" s="819">
        <v>275</v>
      </c>
      <c r="AD13" s="819">
        <v>132</v>
      </c>
      <c r="AE13" s="819">
        <v>283</v>
      </c>
      <c r="AF13" s="819">
        <v>388</v>
      </c>
      <c r="AG13" s="819">
        <v>388</v>
      </c>
      <c r="AH13" s="819">
        <v>163</v>
      </c>
      <c r="AI13" s="819">
        <v>369</v>
      </c>
      <c r="AJ13" s="819">
        <v>438</v>
      </c>
      <c r="AK13" s="835">
        <v>438</v>
      </c>
      <c r="AL13" s="1426">
        <v>135</v>
      </c>
      <c r="AM13" s="1426">
        <v>318</v>
      </c>
      <c r="AN13" s="1426">
        <v>445</v>
      </c>
      <c r="AO13" s="1426">
        <v>445</v>
      </c>
      <c r="AP13" s="1426">
        <v>154</v>
      </c>
      <c r="AQ13" s="1426">
        <v>323</v>
      </c>
      <c r="AR13" s="1426">
        <v>398</v>
      </c>
      <c r="AS13" s="1426">
        <v>398</v>
      </c>
      <c r="AT13" s="1426">
        <v>159</v>
      </c>
      <c r="AU13" s="740"/>
      <c r="AV13" s="740"/>
      <c r="AW13" s="740"/>
      <c r="AX13" s="740"/>
      <c r="AY13" s="740"/>
      <c r="AZ13" s="740"/>
      <c r="BA13" s="740"/>
      <c r="BB13" s="740"/>
      <c r="BC13" s="740"/>
      <c r="BD13" s="740"/>
      <c r="BE13" s="740"/>
      <c r="BF13" s="740"/>
      <c r="BG13" s="740"/>
      <c r="BH13" s="740"/>
      <c r="BI13" s="740"/>
      <c r="BJ13" s="740"/>
      <c r="BK13" s="740"/>
      <c r="BL13" s="740"/>
      <c r="BM13" s="740"/>
      <c r="BN13" s="106"/>
    </row>
    <row r="14" spans="1:66">
      <c r="A14" s="1735" t="s">
        <v>865</v>
      </c>
      <c r="B14" s="819">
        <v>86</v>
      </c>
      <c r="C14" s="819">
        <v>167</v>
      </c>
      <c r="D14" s="819">
        <v>182</v>
      </c>
      <c r="E14" s="819">
        <v>182</v>
      </c>
      <c r="F14" s="819">
        <v>63</v>
      </c>
      <c r="G14" s="819">
        <v>174</v>
      </c>
      <c r="H14" s="819">
        <v>214</v>
      </c>
      <c r="I14" s="819">
        <v>214</v>
      </c>
      <c r="J14" s="819">
        <v>74</v>
      </c>
      <c r="K14" s="819">
        <v>280</v>
      </c>
      <c r="L14" s="819">
        <v>387</v>
      </c>
      <c r="M14" s="819">
        <v>387</v>
      </c>
      <c r="N14" s="819">
        <v>135</v>
      </c>
      <c r="O14" s="819">
        <v>282</v>
      </c>
      <c r="P14" s="819">
        <v>367</v>
      </c>
      <c r="Q14" s="819">
        <v>367</v>
      </c>
      <c r="R14" s="819">
        <v>135</v>
      </c>
      <c r="S14" s="819">
        <v>270</v>
      </c>
      <c r="T14" s="819">
        <v>307</v>
      </c>
      <c r="U14" s="819">
        <v>307</v>
      </c>
      <c r="V14" s="819">
        <v>60</v>
      </c>
      <c r="W14" s="819">
        <v>139</v>
      </c>
      <c r="X14" s="819">
        <v>188</v>
      </c>
      <c r="Y14" s="819">
        <v>188</v>
      </c>
      <c r="Z14" s="819">
        <v>42</v>
      </c>
      <c r="AA14" s="819">
        <v>146</v>
      </c>
      <c r="AB14" s="819">
        <v>176</v>
      </c>
      <c r="AC14" s="819">
        <v>177</v>
      </c>
      <c r="AD14" s="819">
        <v>83</v>
      </c>
      <c r="AE14" s="819">
        <v>179</v>
      </c>
      <c r="AF14" s="819">
        <v>252</v>
      </c>
      <c r="AG14" s="819">
        <v>252</v>
      </c>
      <c r="AH14" s="819">
        <v>93</v>
      </c>
      <c r="AI14" s="819">
        <v>273</v>
      </c>
      <c r="AJ14" s="819">
        <v>353</v>
      </c>
      <c r="AK14" s="835">
        <v>353</v>
      </c>
      <c r="AL14" s="1426">
        <v>119</v>
      </c>
      <c r="AM14" s="1426">
        <v>239</v>
      </c>
      <c r="AN14" s="1426">
        <v>306</v>
      </c>
      <c r="AO14" s="1426">
        <v>306</v>
      </c>
      <c r="AP14" s="1426">
        <v>136</v>
      </c>
      <c r="AQ14" s="1426">
        <v>253</v>
      </c>
      <c r="AR14" s="1426">
        <v>269</v>
      </c>
      <c r="AS14" s="1426">
        <v>269</v>
      </c>
      <c r="AT14" s="1426">
        <v>170</v>
      </c>
      <c r="AU14" s="740"/>
      <c r="AV14" s="740"/>
      <c r="AW14" s="740"/>
      <c r="AX14" s="740"/>
      <c r="AY14" s="740"/>
      <c r="AZ14" s="740"/>
      <c r="BA14" s="740"/>
      <c r="BB14" s="740"/>
      <c r="BC14" s="740"/>
      <c r="BD14" s="740"/>
      <c r="BE14" s="740"/>
      <c r="BF14" s="740"/>
      <c r="BG14" s="740"/>
      <c r="BH14" s="740"/>
      <c r="BI14" s="740"/>
      <c r="BJ14" s="740"/>
      <c r="BK14" s="740"/>
      <c r="BL14" s="740"/>
      <c r="BM14" s="740"/>
      <c r="BN14" s="106"/>
    </row>
    <row r="15" spans="1:66">
      <c r="A15" s="1735" t="s">
        <v>866</v>
      </c>
      <c r="B15" s="819">
        <v>52</v>
      </c>
      <c r="C15" s="819">
        <v>128</v>
      </c>
      <c r="D15" s="819">
        <v>295</v>
      </c>
      <c r="E15" s="819">
        <v>390</v>
      </c>
      <c r="F15" s="819">
        <v>92</v>
      </c>
      <c r="G15" s="819">
        <v>143</v>
      </c>
      <c r="H15" s="819">
        <v>293</v>
      </c>
      <c r="I15" s="819">
        <v>391</v>
      </c>
      <c r="J15" s="819">
        <v>12</v>
      </c>
      <c r="K15" s="819">
        <v>65</v>
      </c>
      <c r="L15" s="819">
        <v>161</v>
      </c>
      <c r="M15" s="819">
        <v>274</v>
      </c>
      <c r="N15" s="819">
        <v>57</v>
      </c>
      <c r="O15" s="819">
        <v>147</v>
      </c>
      <c r="P15" s="819">
        <v>231</v>
      </c>
      <c r="Q15" s="819">
        <v>279</v>
      </c>
      <c r="R15" s="819">
        <v>68</v>
      </c>
      <c r="S15" s="819">
        <v>147</v>
      </c>
      <c r="T15" s="819">
        <v>218</v>
      </c>
      <c r="U15" s="819">
        <v>264</v>
      </c>
      <c r="V15" s="819">
        <v>46</v>
      </c>
      <c r="W15" s="819">
        <v>130</v>
      </c>
      <c r="X15" s="819">
        <v>215</v>
      </c>
      <c r="Y15" s="819">
        <v>226</v>
      </c>
      <c r="Z15" s="819">
        <v>71</v>
      </c>
      <c r="AA15" s="819">
        <v>171</v>
      </c>
      <c r="AB15" s="819">
        <v>280</v>
      </c>
      <c r="AC15" s="819">
        <v>280</v>
      </c>
      <c r="AD15" s="819">
        <v>72</v>
      </c>
      <c r="AE15" s="819">
        <v>164</v>
      </c>
      <c r="AF15" s="819">
        <v>284</v>
      </c>
      <c r="AG15" s="819">
        <v>284</v>
      </c>
      <c r="AH15" s="819">
        <v>110</v>
      </c>
      <c r="AI15" s="819">
        <v>239</v>
      </c>
      <c r="AJ15" s="819">
        <v>284</v>
      </c>
      <c r="AK15" s="835">
        <v>284</v>
      </c>
      <c r="AL15" s="819">
        <v>97</v>
      </c>
      <c r="AM15" s="819">
        <v>142</v>
      </c>
      <c r="AN15" s="819">
        <v>0</v>
      </c>
      <c r="AO15" s="767">
        <v>0</v>
      </c>
      <c r="AP15" s="767">
        <v>0</v>
      </c>
      <c r="AQ15" s="767">
        <v>0</v>
      </c>
      <c r="AR15" s="767">
        <v>0</v>
      </c>
      <c r="AS15" s="767">
        <v>0</v>
      </c>
      <c r="AT15" s="767">
        <v>0</v>
      </c>
      <c r="AU15" s="742"/>
      <c r="AV15" s="742"/>
      <c r="AW15" s="742"/>
      <c r="AX15" s="742"/>
      <c r="AY15" s="742"/>
      <c r="AZ15" s="742"/>
      <c r="BA15" s="742"/>
      <c r="BB15" s="742"/>
      <c r="BC15" s="742"/>
      <c r="BD15" s="742"/>
      <c r="BE15" s="742"/>
      <c r="BF15" s="742"/>
      <c r="BG15" s="742"/>
      <c r="BH15" s="742"/>
      <c r="BI15" s="742"/>
      <c r="BJ15" s="742"/>
      <c r="BK15" s="742"/>
      <c r="BL15" s="742"/>
      <c r="BM15" s="742"/>
      <c r="BN15" s="106"/>
    </row>
    <row r="16" spans="1:66">
      <c r="A16" s="1735" t="s">
        <v>867</v>
      </c>
      <c r="B16" s="819">
        <v>0</v>
      </c>
      <c r="C16" s="819">
        <v>0</v>
      </c>
      <c r="D16" s="819">
        <v>0</v>
      </c>
      <c r="E16" s="819">
        <v>0</v>
      </c>
      <c r="F16" s="819">
        <v>0</v>
      </c>
      <c r="G16" s="819">
        <v>0</v>
      </c>
      <c r="H16" s="819">
        <v>0</v>
      </c>
      <c r="I16" s="819">
        <v>0</v>
      </c>
      <c r="J16" s="819">
        <v>0</v>
      </c>
      <c r="K16" s="819">
        <v>45</v>
      </c>
      <c r="L16" s="819">
        <v>89</v>
      </c>
      <c r="M16" s="819">
        <v>89</v>
      </c>
      <c r="N16" s="819">
        <v>50</v>
      </c>
      <c r="O16" s="819">
        <v>113</v>
      </c>
      <c r="P16" s="819">
        <v>159</v>
      </c>
      <c r="Q16" s="819">
        <v>159</v>
      </c>
      <c r="R16" s="819">
        <v>59</v>
      </c>
      <c r="S16" s="819">
        <v>127</v>
      </c>
      <c r="T16" s="819">
        <v>163</v>
      </c>
      <c r="U16" s="819">
        <v>163</v>
      </c>
      <c r="V16" s="819">
        <v>45</v>
      </c>
      <c r="W16" s="819">
        <v>109</v>
      </c>
      <c r="X16" s="819">
        <v>140</v>
      </c>
      <c r="Y16" s="819">
        <v>140</v>
      </c>
      <c r="Z16" s="819">
        <v>44</v>
      </c>
      <c r="AA16" s="819">
        <v>126</v>
      </c>
      <c r="AB16" s="819">
        <v>176</v>
      </c>
      <c r="AC16" s="819">
        <v>177</v>
      </c>
      <c r="AD16" s="819">
        <v>98</v>
      </c>
      <c r="AE16" s="819">
        <v>281</v>
      </c>
      <c r="AF16" s="819">
        <v>442</v>
      </c>
      <c r="AG16" s="819">
        <f>AF16</f>
        <v>442</v>
      </c>
      <c r="AH16" s="819">
        <v>195</v>
      </c>
      <c r="AI16" s="819">
        <v>507</v>
      </c>
      <c r="AJ16" s="819">
        <v>720</v>
      </c>
      <c r="AK16" s="835">
        <v>720</v>
      </c>
      <c r="AL16" s="1426">
        <v>259</v>
      </c>
      <c r="AM16" s="1426">
        <v>536</v>
      </c>
      <c r="AN16" s="1426">
        <v>741</v>
      </c>
      <c r="AO16" s="819">
        <v>741</v>
      </c>
      <c r="AP16" s="819">
        <v>241</v>
      </c>
      <c r="AQ16" s="819">
        <v>516</v>
      </c>
      <c r="AR16" s="819">
        <v>686</v>
      </c>
      <c r="AS16" s="819">
        <v>720</v>
      </c>
      <c r="AT16" s="819">
        <v>300</v>
      </c>
      <c r="AU16" s="740"/>
      <c r="AV16" s="740"/>
      <c r="AW16" s="740"/>
      <c r="AX16" s="740"/>
      <c r="AY16" s="740"/>
      <c r="AZ16" s="740"/>
      <c r="BA16" s="740"/>
      <c r="BB16" s="740"/>
      <c r="BC16" s="740"/>
      <c r="BD16" s="740"/>
      <c r="BE16" s="740"/>
      <c r="BF16" s="740"/>
      <c r="BG16" s="740"/>
      <c r="BH16" s="740"/>
      <c r="BI16" s="740"/>
      <c r="BJ16" s="740"/>
      <c r="BK16" s="740"/>
      <c r="BL16" s="740"/>
      <c r="BM16" s="740"/>
      <c r="BN16" s="106"/>
    </row>
    <row r="17" spans="1:66">
      <c r="A17" s="1735" t="s">
        <v>868</v>
      </c>
      <c r="B17" s="821" t="s">
        <v>963</v>
      </c>
      <c r="C17" s="821" t="s">
        <v>963</v>
      </c>
      <c r="D17" s="821" t="s">
        <v>963</v>
      </c>
      <c r="E17" s="821" t="s">
        <v>963</v>
      </c>
      <c r="F17" s="821" t="s">
        <v>963</v>
      </c>
      <c r="G17" s="821" t="s">
        <v>963</v>
      </c>
      <c r="H17" s="821" t="s">
        <v>963</v>
      </c>
      <c r="I17" s="821" t="s">
        <v>963</v>
      </c>
      <c r="J17" s="821" t="s">
        <v>963</v>
      </c>
      <c r="K17" s="821" t="s">
        <v>963</v>
      </c>
      <c r="L17" s="821" t="s">
        <v>963</v>
      </c>
      <c r="M17" s="821" t="s">
        <v>963</v>
      </c>
      <c r="N17" s="821" t="s">
        <v>963</v>
      </c>
      <c r="O17" s="821" t="s">
        <v>963</v>
      </c>
      <c r="P17" s="821" t="s">
        <v>963</v>
      </c>
      <c r="Q17" s="821" t="s">
        <v>963</v>
      </c>
      <c r="R17" s="821" t="s">
        <v>963</v>
      </c>
      <c r="S17" s="821" t="s">
        <v>963</v>
      </c>
      <c r="T17" s="821" t="s">
        <v>963</v>
      </c>
      <c r="U17" s="821" t="s">
        <v>963</v>
      </c>
      <c r="V17" s="821" t="s">
        <v>963</v>
      </c>
      <c r="W17" s="821" t="s">
        <v>963</v>
      </c>
      <c r="X17" s="819">
        <v>1461</v>
      </c>
      <c r="Y17" s="819">
        <v>1461</v>
      </c>
      <c r="Z17" s="819">
        <v>357</v>
      </c>
      <c r="AA17" s="819">
        <v>1232</v>
      </c>
      <c r="AB17" s="819">
        <v>1793</v>
      </c>
      <c r="AC17" s="819">
        <v>1793</v>
      </c>
      <c r="AD17" s="819">
        <v>704</v>
      </c>
      <c r="AE17" s="819">
        <v>1595</v>
      </c>
      <c r="AF17" s="819">
        <v>2136</v>
      </c>
      <c r="AG17" s="819">
        <f>2135+1</f>
        <v>2136</v>
      </c>
      <c r="AH17" s="819">
        <v>840</v>
      </c>
      <c r="AI17" s="819">
        <f>2138</f>
        <v>2138</v>
      </c>
      <c r="AJ17" s="819">
        <v>2650</v>
      </c>
      <c r="AK17" s="835">
        <v>2650</v>
      </c>
      <c r="AL17" s="819">
        <v>880</v>
      </c>
      <c r="AM17" s="819">
        <v>1957</v>
      </c>
      <c r="AN17" s="819">
        <v>2581</v>
      </c>
      <c r="AO17" s="819">
        <v>2581</v>
      </c>
      <c r="AP17" s="819">
        <v>1002</v>
      </c>
      <c r="AQ17" s="819">
        <v>2135</v>
      </c>
      <c r="AR17" s="819">
        <v>2512</v>
      </c>
      <c r="AS17" s="819">
        <v>2512</v>
      </c>
      <c r="AT17" s="819">
        <v>1092</v>
      </c>
      <c r="AU17" s="742"/>
      <c r="AV17" s="742"/>
      <c r="AW17" s="742"/>
      <c r="AX17" s="742"/>
      <c r="AY17" s="742"/>
      <c r="AZ17" s="742"/>
      <c r="BA17" s="742"/>
      <c r="BB17" s="742"/>
      <c r="BC17" s="742"/>
      <c r="BD17" s="742"/>
      <c r="BE17" s="742"/>
      <c r="BF17" s="742"/>
      <c r="BG17" s="742"/>
      <c r="BH17" s="742"/>
      <c r="BI17" s="742"/>
      <c r="BJ17" s="742"/>
      <c r="BK17" s="742"/>
      <c r="BL17" s="742"/>
      <c r="BM17" s="742"/>
      <c r="BN17" s="106"/>
    </row>
    <row r="18" spans="1:66">
      <c r="A18" s="1763" t="s">
        <v>765</v>
      </c>
      <c r="B18" s="816"/>
      <c r="C18" s="816"/>
      <c r="D18" s="816"/>
      <c r="E18" s="816"/>
      <c r="F18" s="816"/>
      <c r="G18" s="816"/>
      <c r="H18" s="816"/>
      <c r="I18" s="816"/>
      <c r="J18" s="816"/>
      <c r="K18" s="816"/>
      <c r="L18" s="816"/>
      <c r="M18" s="816"/>
      <c r="N18" s="816"/>
      <c r="O18" s="816"/>
      <c r="P18" s="816"/>
      <c r="Q18" s="816"/>
      <c r="R18" s="816"/>
      <c r="S18" s="816"/>
      <c r="T18" s="816"/>
      <c r="U18" s="816"/>
      <c r="V18" s="816"/>
      <c r="W18" s="816"/>
      <c r="X18" s="816"/>
      <c r="Y18" s="816"/>
      <c r="Z18" s="816"/>
      <c r="AA18" s="816">
        <f t="shared" ref="AA18:AP18" si="1">AA17/AA6*1000-AA11</f>
        <v>-5.7862407862415921E-2</v>
      </c>
      <c r="AB18" s="816">
        <f t="shared" si="1"/>
        <v>1.405510283274225E-2</v>
      </c>
      <c r="AC18" s="816">
        <f t="shared" si="1"/>
        <v>1.405510283274225E-2</v>
      </c>
      <c r="AD18" s="816">
        <f t="shared" si="1"/>
        <v>2.7035901136571283E-2</v>
      </c>
      <c r="AE18" s="816">
        <f t="shared" si="1"/>
        <v>1.7491408934716901E-2</v>
      </c>
      <c r="AF18" s="816">
        <f t="shared" si="1"/>
        <v>-6.6700872242222431E-3</v>
      </c>
      <c r="AG18" s="1436">
        <f t="shared" si="1"/>
        <v>4.3329912775789126E-2</v>
      </c>
      <c r="AH18" s="1436">
        <f t="shared" si="1"/>
        <v>2.1184475028235283E-4</v>
      </c>
      <c r="AI18" s="1436">
        <f t="shared" si="1"/>
        <v>7.631613669360604E-3</v>
      </c>
      <c r="AJ18" s="1436">
        <f t="shared" si="1"/>
        <v>-1.7481433990496953E-2</v>
      </c>
      <c r="AK18" s="1436">
        <f t="shared" si="1"/>
        <v>-1.7481433990496953E-2</v>
      </c>
      <c r="AL18" s="1436">
        <f t="shared" si="1"/>
        <v>7.4463490349572226E-2</v>
      </c>
      <c r="AM18" s="1436">
        <f t="shared" si="1"/>
        <v>4.5640752809731566E-2</v>
      </c>
      <c r="AN18" s="1436">
        <f t="shared" si="1"/>
        <v>-4.6743907311110888E-3</v>
      </c>
      <c r="AO18" s="1436">
        <f t="shared" si="1"/>
        <v>-4.6743907311110888E-3</v>
      </c>
      <c r="AP18" s="1436">
        <f t="shared" si="1"/>
        <v>4.1045687759577731E-3</v>
      </c>
      <c r="AQ18" s="1436">
        <f>AQ17/AQ6*1000-AQ11</f>
        <v>4.3479312847807705E-2</v>
      </c>
      <c r="AR18" s="1436">
        <f>AR17/AR6*1000-AR11</f>
        <v>-1.6301021731237597E-2</v>
      </c>
      <c r="AS18" s="1436">
        <f>AS17/AS6*1000-AS11</f>
        <v>-1.6301021731237597E-2</v>
      </c>
      <c r="AT18" s="1436">
        <f>AT17/AT6*1000-AT11</f>
        <v>-4.2911088225196181E-2</v>
      </c>
      <c r="AU18" s="815"/>
      <c r="AV18" s="815"/>
      <c r="AW18" s="815"/>
      <c r="AX18" s="815"/>
      <c r="AY18" s="815"/>
      <c r="AZ18" s="815"/>
      <c r="BA18" s="815"/>
      <c r="BB18" s="815"/>
      <c r="BC18" s="815"/>
      <c r="BD18" s="815"/>
      <c r="BE18" s="970"/>
      <c r="BF18" s="970"/>
      <c r="BG18" s="970"/>
      <c r="BH18" s="970"/>
      <c r="BI18" s="970"/>
      <c r="BJ18" s="970"/>
      <c r="BK18" s="970"/>
      <c r="BL18" s="970"/>
      <c r="BM18" s="970"/>
      <c r="BN18" s="971"/>
    </row>
    <row r="19" spans="1:66">
      <c r="A19" s="1732" t="s">
        <v>825</v>
      </c>
      <c r="B19" s="419"/>
      <c r="C19" s="419"/>
      <c r="D19" s="419"/>
      <c r="E19" s="419"/>
      <c r="F19" s="419"/>
      <c r="G19" s="419"/>
      <c r="H19" s="419"/>
      <c r="I19" s="419"/>
      <c r="J19" s="419"/>
      <c r="K19" s="419"/>
      <c r="L19" s="419"/>
      <c r="M19" s="419"/>
      <c r="N19" s="419"/>
      <c r="O19" s="419"/>
      <c r="P19" s="419"/>
      <c r="Q19" s="419"/>
      <c r="R19" s="419"/>
      <c r="S19" s="419"/>
      <c r="T19" s="419"/>
      <c r="U19" s="419"/>
      <c r="V19" s="419"/>
      <c r="W19" s="419"/>
      <c r="X19" s="419"/>
      <c r="Y19" s="419"/>
      <c r="Z19" s="419"/>
      <c r="AA19" s="419"/>
      <c r="AB19" s="419"/>
      <c r="AC19" s="472"/>
      <c r="AD19" s="472"/>
      <c r="AE19" s="733"/>
      <c r="AF19" s="472"/>
      <c r="AG19" s="472"/>
      <c r="AH19" s="472"/>
      <c r="AI19" s="472"/>
      <c r="AJ19" s="472"/>
      <c r="AK19" s="472"/>
      <c r="AL19" s="472" t="s">
        <v>736</v>
      </c>
      <c r="AM19" s="472"/>
      <c r="AN19" s="472"/>
      <c r="AO19" s="472"/>
      <c r="AP19" s="472"/>
      <c r="AQ19" s="472"/>
      <c r="AR19" s="472"/>
      <c r="AS19" s="472"/>
      <c r="AT19" s="472"/>
      <c r="AU19" s="472"/>
      <c r="AV19" s="472"/>
      <c r="AW19" s="472"/>
      <c r="AX19" s="472"/>
      <c r="AY19" s="472"/>
      <c r="AZ19" s="472"/>
      <c r="BA19" s="472"/>
      <c r="BB19" s="472"/>
      <c r="BC19" s="472"/>
      <c r="BD19" s="472"/>
      <c r="BE19" s="210"/>
      <c r="BF19" s="210"/>
      <c r="BG19" s="210"/>
      <c r="BH19" s="210"/>
      <c r="BI19" s="210"/>
      <c r="BJ19" s="210"/>
      <c r="BK19" s="210"/>
      <c r="BL19" s="210"/>
      <c r="BM19" s="210"/>
      <c r="BN19" s="106"/>
    </row>
    <row r="20" spans="1:66">
      <c r="A20" s="1733" t="s">
        <v>869</v>
      </c>
      <c r="B20" s="821" t="s">
        <v>963</v>
      </c>
      <c r="C20" s="821" t="s">
        <v>963</v>
      </c>
      <c r="D20" s="821" t="s">
        <v>963</v>
      </c>
      <c r="E20" s="821" t="s">
        <v>963</v>
      </c>
      <c r="F20" s="821" t="s">
        <v>963</v>
      </c>
      <c r="G20" s="821" t="s">
        <v>963</v>
      </c>
      <c r="H20" s="821" t="s">
        <v>963</v>
      </c>
      <c r="I20" s="821" t="s">
        <v>963</v>
      </c>
      <c r="J20" s="821" t="s">
        <v>963</v>
      </c>
      <c r="K20" s="821" t="s">
        <v>963</v>
      </c>
      <c r="L20" s="821" t="s">
        <v>963</v>
      </c>
      <c r="M20" s="821" t="s">
        <v>963</v>
      </c>
      <c r="N20" s="821" t="s">
        <v>963</v>
      </c>
      <c r="O20" s="821" t="s">
        <v>963</v>
      </c>
      <c r="P20" s="821" t="s">
        <v>963</v>
      </c>
      <c r="Q20" s="821" t="s">
        <v>963</v>
      </c>
      <c r="R20" s="821" t="s">
        <v>963</v>
      </c>
      <c r="S20" s="821" t="s">
        <v>963</v>
      </c>
      <c r="T20" s="821" t="s">
        <v>963</v>
      </c>
      <c r="U20" s="821" t="s">
        <v>963</v>
      </c>
      <c r="V20" s="821" t="s">
        <v>963</v>
      </c>
      <c r="W20" s="821" t="s">
        <v>963</v>
      </c>
      <c r="X20" s="635">
        <v>0.56000000000000005</v>
      </c>
      <c r="Y20" s="635">
        <v>0.56000000000000005</v>
      </c>
      <c r="Z20" s="635">
        <v>0.56000000000000005</v>
      </c>
      <c r="AA20" s="635">
        <v>0.56000000000000005</v>
      </c>
      <c r="AB20" s="635">
        <v>0.56999999999999995</v>
      </c>
      <c r="AC20" s="635">
        <v>0.56999999999999995</v>
      </c>
      <c r="AD20" s="635">
        <v>0.47</v>
      </c>
      <c r="AE20" s="635">
        <v>0.5</v>
      </c>
      <c r="AF20" s="635">
        <v>0.48</v>
      </c>
      <c r="AG20" s="635">
        <v>0.48</v>
      </c>
      <c r="AH20" s="635">
        <v>0.47</v>
      </c>
      <c r="AI20" s="635">
        <v>0.48</v>
      </c>
      <c r="AJ20" s="635">
        <v>0.49</v>
      </c>
      <c r="AK20" s="827">
        <v>0.49</v>
      </c>
      <c r="AL20" s="635">
        <v>0.51</v>
      </c>
      <c r="AM20" s="635">
        <v>0.51</v>
      </c>
      <c r="AN20" s="635">
        <v>0.5</v>
      </c>
      <c r="AO20" s="635">
        <v>0.5</v>
      </c>
      <c r="AP20" s="635">
        <v>0.5</v>
      </c>
      <c r="AQ20" s="635">
        <v>0.54</v>
      </c>
      <c r="AR20" s="635">
        <v>0.54</v>
      </c>
      <c r="AS20" s="635">
        <v>0.54</v>
      </c>
      <c r="AT20" s="635">
        <v>0.48</v>
      </c>
      <c r="AU20" s="783"/>
      <c r="AV20" s="783"/>
      <c r="AW20" s="783"/>
      <c r="AX20" s="783"/>
      <c r="AY20" s="783"/>
      <c r="AZ20" s="783"/>
      <c r="BA20" s="783"/>
      <c r="BB20" s="783"/>
      <c r="BC20" s="783"/>
      <c r="BD20" s="783"/>
      <c r="BE20" s="783"/>
      <c r="BF20" s="783"/>
      <c r="BG20" s="783"/>
      <c r="BH20" s="783"/>
      <c r="BI20" s="783"/>
      <c r="BJ20" s="783"/>
      <c r="BK20" s="783"/>
      <c r="BL20" s="783"/>
      <c r="BM20" s="783"/>
      <c r="BN20" s="106"/>
    </row>
    <row r="21" spans="1:66">
      <c r="A21" s="1733" t="s">
        <v>870</v>
      </c>
      <c r="B21" s="821" t="s">
        <v>963</v>
      </c>
      <c r="C21" s="821" t="s">
        <v>963</v>
      </c>
      <c r="D21" s="821" t="s">
        <v>963</v>
      </c>
      <c r="E21" s="821" t="s">
        <v>963</v>
      </c>
      <c r="F21" s="821" t="s">
        <v>963</v>
      </c>
      <c r="G21" s="821" t="s">
        <v>963</v>
      </c>
      <c r="H21" s="821" t="s">
        <v>963</v>
      </c>
      <c r="I21" s="821" t="s">
        <v>963</v>
      </c>
      <c r="J21" s="821" t="s">
        <v>963</v>
      </c>
      <c r="K21" s="821" t="s">
        <v>963</v>
      </c>
      <c r="L21" s="821" t="s">
        <v>963</v>
      </c>
      <c r="M21" s="821" t="s">
        <v>963</v>
      </c>
      <c r="N21" s="821" t="s">
        <v>963</v>
      </c>
      <c r="O21" s="821" t="s">
        <v>963</v>
      </c>
      <c r="P21" s="821" t="s">
        <v>963</v>
      </c>
      <c r="Q21" s="821" t="s">
        <v>963</v>
      </c>
      <c r="R21" s="821" t="s">
        <v>963</v>
      </c>
      <c r="S21" s="821" t="s">
        <v>963</v>
      </c>
      <c r="T21" s="821" t="s">
        <v>963</v>
      </c>
      <c r="U21" s="821" t="s">
        <v>963</v>
      </c>
      <c r="V21" s="821" t="s">
        <v>963</v>
      </c>
      <c r="W21" s="821" t="s">
        <v>963</v>
      </c>
      <c r="X21" s="635">
        <v>0.44</v>
      </c>
      <c r="Y21" s="635">
        <v>0.44</v>
      </c>
      <c r="Z21" s="635">
        <v>0.44</v>
      </c>
      <c r="AA21" s="635">
        <v>0.44</v>
      </c>
      <c r="AB21" s="635">
        <v>0.43</v>
      </c>
      <c r="AC21" s="635">
        <v>0.43</v>
      </c>
      <c r="AD21" s="635">
        <v>0.53</v>
      </c>
      <c r="AE21" s="635">
        <v>0.5</v>
      </c>
      <c r="AF21" s="635">
        <v>0.52</v>
      </c>
      <c r="AG21" s="635">
        <v>0.52</v>
      </c>
      <c r="AH21" s="635">
        <v>0.53</v>
      </c>
      <c r="AI21" s="635">
        <v>0.52</v>
      </c>
      <c r="AJ21" s="635">
        <v>0.51</v>
      </c>
      <c r="AK21" s="827">
        <v>0.51</v>
      </c>
      <c r="AL21" s="635">
        <v>0.49</v>
      </c>
      <c r="AM21" s="635">
        <v>0.49</v>
      </c>
      <c r="AN21" s="635">
        <v>0.5</v>
      </c>
      <c r="AO21" s="635">
        <v>0.5</v>
      </c>
      <c r="AP21" s="635">
        <v>0.5</v>
      </c>
      <c r="AQ21" s="635">
        <v>0.46</v>
      </c>
      <c r="AR21" s="635">
        <v>0.46</v>
      </c>
      <c r="AS21" s="635">
        <v>0.46</v>
      </c>
      <c r="AT21" s="635">
        <v>0.52</v>
      </c>
      <c r="AU21" s="783"/>
      <c r="AV21" s="783"/>
      <c r="AW21" s="783"/>
      <c r="AX21" s="783"/>
      <c r="AY21" s="783"/>
      <c r="AZ21" s="783"/>
      <c r="BA21" s="783"/>
      <c r="BB21" s="783"/>
      <c r="BC21" s="783"/>
      <c r="BD21" s="783"/>
      <c r="BE21" s="783"/>
      <c r="BF21" s="783"/>
      <c r="BG21" s="783"/>
      <c r="BH21" s="783"/>
      <c r="BI21" s="783"/>
      <c r="BJ21" s="783"/>
      <c r="BK21" s="783"/>
      <c r="BL21" s="783"/>
      <c r="BM21" s="783"/>
      <c r="BN21" s="106"/>
    </row>
    <row r="22" spans="1:66">
      <c r="A22" s="1732" t="s">
        <v>825</v>
      </c>
      <c r="B22" s="419"/>
      <c r="C22" s="419"/>
      <c r="D22" s="419"/>
      <c r="E22" s="419"/>
      <c r="F22" s="419"/>
      <c r="G22" s="419"/>
      <c r="H22" s="419"/>
      <c r="I22" s="419"/>
      <c r="J22" s="419"/>
      <c r="K22" s="419"/>
      <c r="L22" s="419"/>
      <c r="M22" s="419"/>
      <c r="N22" s="419"/>
      <c r="O22" s="419"/>
      <c r="P22" s="419"/>
      <c r="Q22" s="419"/>
      <c r="R22" s="419"/>
      <c r="S22" s="419"/>
      <c r="T22" s="419"/>
      <c r="U22" s="419"/>
      <c r="V22" s="419"/>
      <c r="W22" s="419"/>
      <c r="X22" s="419"/>
      <c r="Y22" s="419"/>
      <c r="Z22" s="419"/>
      <c r="AA22" s="419"/>
      <c r="AB22" s="419"/>
      <c r="AC22" s="472"/>
      <c r="AD22" s="472"/>
      <c r="AE22" s="733"/>
      <c r="AF22" s="472"/>
      <c r="AG22" s="472"/>
      <c r="AH22" s="472"/>
      <c r="AI22" s="472"/>
      <c r="AJ22" s="472"/>
      <c r="AK22" s="472"/>
      <c r="AL22" s="677"/>
      <c r="AM22" s="677"/>
      <c r="AN22" s="677"/>
      <c r="AO22" s="677"/>
      <c r="AP22" s="677"/>
      <c r="AQ22" s="677"/>
      <c r="AR22" s="677"/>
      <c r="AS22" s="677"/>
      <c r="AT22" s="677"/>
      <c r="AU22" s="472"/>
      <c r="AV22" s="472"/>
      <c r="AW22" s="472"/>
      <c r="AX22" s="472"/>
      <c r="AY22" s="472"/>
      <c r="AZ22" s="472"/>
      <c r="BA22" s="472"/>
      <c r="BB22" s="472"/>
      <c r="BC22" s="472"/>
      <c r="BD22" s="472"/>
      <c r="BE22" s="210"/>
      <c r="BF22" s="210"/>
      <c r="BG22" s="210"/>
      <c r="BH22" s="210"/>
      <c r="BI22" s="210"/>
      <c r="BJ22" s="210"/>
      <c r="BK22" s="210"/>
      <c r="BL22" s="210"/>
      <c r="BM22" s="210"/>
      <c r="BN22" s="106"/>
    </row>
    <row r="23" spans="1:66">
      <c r="A23" s="1733" t="s">
        <v>871</v>
      </c>
      <c r="B23" s="821" t="s">
        <v>963</v>
      </c>
      <c r="C23" s="821" t="s">
        <v>963</v>
      </c>
      <c r="D23" s="821" t="s">
        <v>963</v>
      </c>
      <c r="E23" s="821" t="s">
        <v>963</v>
      </c>
      <c r="F23" s="821" t="s">
        <v>963</v>
      </c>
      <c r="G23" s="821" t="s">
        <v>963</v>
      </c>
      <c r="H23" s="821" t="s">
        <v>963</v>
      </c>
      <c r="I23" s="821" t="s">
        <v>963</v>
      </c>
      <c r="J23" s="821" t="s">
        <v>963</v>
      </c>
      <c r="K23" s="821" t="s">
        <v>963</v>
      </c>
      <c r="L23" s="821" t="s">
        <v>963</v>
      </c>
      <c r="M23" s="821" t="s">
        <v>963</v>
      </c>
      <c r="N23" s="821" t="s">
        <v>963</v>
      </c>
      <c r="O23" s="821" t="s">
        <v>963</v>
      </c>
      <c r="P23" s="821" t="s">
        <v>963</v>
      </c>
      <c r="Q23" s="821" t="s">
        <v>963</v>
      </c>
      <c r="R23" s="821" t="s">
        <v>963</v>
      </c>
      <c r="S23" s="821" t="s">
        <v>963</v>
      </c>
      <c r="T23" s="821" t="s">
        <v>963</v>
      </c>
      <c r="U23" s="821" t="s">
        <v>963</v>
      </c>
      <c r="V23" s="821" t="s">
        <v>963</v>
      </c>
      <c r="W23" s="821" t="s">
        <v>963</v>
      </c>
      <c r="X23" s="635">
        <v>0.51</v>
      </c>
      <c r="Y23" s="635">
        <v>0.51</v>
      </c>
      <c r="Z23" s="635">
        <v>0.56000000000000005</v>
      </c>
      <c r="AA23" s="635">
        <v>0.55000000000000004</v>
      </c>
      <c r="AB23" s="635">
        <v>0.62</v>
      </c>
      <c r="AC23" s="635">
        <v>0.62</v>
      </c>
      <c r="AD23" s="635">
        <v>0.62</v>
      </c>
      <c r="AE23" s="635">
        <v>0.62</v>
      </c>
      <c r="AF23" s="635">
        <v>0.62</v>
      </c>
      <c r="AG23" s="635">
        <v>0.62</v>
      </c>
      <c r="AH23" s="635">
        <v>0.65</v>
      </c>
      <c r="AI23" s="635">
        <v>0.59</v>
      </c>
      <c r="AJ23" s="635">
        <v>0.56000000000000005</v>
      </c>
      <c r="AK23" s="827">
        <v>0.56000000000000005</v>
      </c>
      <c r="AL23" s="1428">
        <v>0.54</v>
      </c>
      <c r="AM23" s="1428">
        <v>0.57999999999999996</v>
      </c>
      <c r="AN23" s="1428">
        <v>0.6</v>
      </c>
      <c r="AO23" s="1428">
        <v>0.6</v>
      </c>
      <c r="AP23" s="1428">
        <v>0.54</v>
      </c>
      <c r="AQ23" s="1428">
        <v>0.56999999999999995</v>
      </c>
      <c r="AR23" s="1428">
        <v>0.61</v>
      </c>
      <c r="AS23" s="1428">
        <v>0.61</v>
      </c>
      <c r="AT23" s="1428">
        <v>0.5</v>
      </c>
      <c r="AU23" s="783"/>
      <c r="AV23" s="783"/>
      <c r="AW23" s="968"/>
      <c r="AX23" s="968"/>
      <c r="AY23" s="783"/>
      <c r="AZ23" s="783"/>
      <c r="BA23" s="968"/>
      <c r="BB23" s="968"/>
      <c r="BC23" s="783"/>
      <c r="BD23" s="783"/>
      <c r="BE23" s="968"/>
      <c r="BF23" s="968"/>
      <c r="BG23" s="783"/>
      <c r="BH23" s="783"/>
      <c r="BI23" s="968"/>
      <c r="BJ23" s="968"/>
      <c r="BK23" s="783"/>
      <c r="BL23" s="783"/>
      <c r="BM23" s="968"/>
      <c r="BN23" s="106"/>
    </row>
    <row r="24" spans="1:66">
      <c r="A24" s="1733" t="s">
        <v>872</v>
      </c>
      <c r="B24" s="821" t="s">
        <v>963</v>
      </c>
      <c r="C24" s="821" t="s">
        <v>963</v>
      </c>
      <c r="D24" s="821" t="s">
        <v>963</v>
      </c>
      <c r="E24" s="821" t="s">
        <v>963</v>
      </c>
      <c r="F24" s="821" t="s">
        <v>963</v>
      </c>
      <c r="G24" s="821" t="s">
        <v>963</v>
      </c>
      <c r="H24" s="821" t="s">
        <v>963</v>
      </c>
      <c r="I24" s="821" t="s">
        <v>963</v>
      </c>
      <c r="J24" s="821" t="s">
        <v>963</v>
      </c>
      <c r="K24" s="821" t="s">
        <v>963</v>
      </c>
      <c r="L24" s="821" t="s">
        <v>963</v>
      </c>
      <c r="M24" s="821" t="s">
        <v>963</v>
      </c>
      <c r="N24" s="821" t="s">
        <v>963</v>
      </c>
      <c r="O24" s="821" t="s">
        <v>963</v>
      </c>
      <c r="P24" s="821" t="s">
        <v>963</v>
      </c>
      <c r="Q24" s="821" t="s">
        <v>963</v>
      </c>
      <c r="R24" s="821" t="s">
        <v>963</v>
      </c>
      <c r="S24" s="821" t="s">
        <v>963</v>
      </c>
      <c r="T24" s="821" t="s">
        <v>963</v>
      </c>
      <c r="U24" s="821" t="s">
        <v>963</v>
      </c>
      <c r="V24" s="821" t="s">
        <v>963</v>
      </c>
      <c r="W24" s="821" t="s">
        <v>963</v>
      </c>
      <c r="X24" s="635">
        <v>0.49</v>
      </c>
      <c r="Y24" s="969">
        <v>49</v>
      </c>
      <c r="Z24" s="635">
        <v>0.44</v>
      </c>
      <c r="AA24" s="635">
        <v>0.45</v>
      </c>
      <c r="AB24" s="635">
        <v>0.38</v>
      </c>
      <c r="AC24" s="635">
        <v>0.38</v>
      </c>
      <c r="AD24" s="635">
        <v>0.38</v>
      </c>
      <c r="AE24" s="635">
        <v>0.38</v>
      </c>
      <c r="AF24" s="635">
        <v>0.38</v>
      </c>
      <c r="AG24" s="635">
        <v>0.38</v>
      </c>
      <c r="AH24" s="635">
        <v>0.35</v>
      </c>
      <c r="AI24" s="635">
        <v>0.41</v>
      </c>
      <c r="AJ24" s="635">
        <v>0.44</v>
      </c>
      <c r="AK24" s="827">
        <v>0.44</v>
      </c>
      <c r="AL24" s="1428">
        <v>0.46</v>
      </c>
      <c r="AM24" s="1428">
        <v>0.42</v>
      </c>
      <c r="AN24" s="1428">
        <v>0.4</v>
      </c>
      <c r="AO24" s="1428">
        <v>0.4</v>
      </c>
      <c r="AP24" s="1428">
        <v>0.46</v>
      </c>
      <c r="AQ24" s="1428">
        <v>0.43</v>
      </c>
      <c r="AR24" s="1428">
        <v>0.39</v>
      </c>
      <c r="AS24" s="1428">
        <v>0.39</v>
      </c>
      <c r="AT24" s="1428">
        <v>0.5</v>
      </c>
      <c r="AU24" s="783"/>
      <c r="AV24" s="783"/>
      <c r="AW24" s="968"/>
      <c r="AX24" s="968"/>
      <c r="AY24" s="783"/>
      <c r="AZ24" s="783"/>
      <c r="BA24" s="968"/>
      <c r="BB24" s="968"/>
      <c r="BC24" s="783"/>
      <c r="BD24" s="783"/>
      <c r="BE24" s="968"/>
      <c r="BF24" s="968"/>
      <c r="BG24" s="783"/>
      <c r="BH24" s="783"/>
      <c r="BI24" s="968"/>
      <c r="BJ24" s="968"/>
      <c r="BK24" s="783"/>
      <c r="BL24" s="783"/>
      <c r="BM24" s="968"/>
      <c r="BN24" s="106"/>
    </row>
    <row r="25" spans="1:66">
      <c r="A25" s="1736"/>
      <c r="B25" s="52"/>
      <c r="C25" s="52"/>
      <c r="D25" s="52"/>
      <c r="E25" s="52"/>
      <c r="F25" s="52"/>
      <c r="G25" s="52"/>
      <c r="H25" s="52"/>
      <c r="I25" s="52"/>
      <c r="J25" s="52"/>
      <c r="K25" s="52"/>
      <c r="L25" s="52"/>
      <c r="M25" s="52"/>
      <c r="N25" s="52"/>
      <c r="O25" s="52"/>
      <c r="P25" s="52"/>
      <c r="Q25" s="52"/>
      <c r="R25" s="52"/>
      <c r="S25" s="52"/>
      <c r="T25" s="52"/>
      <c r="U25" s="52"/>
      <c r="V25" s="52"/>
      <c r="W25" s="52"/>
      <c r="X25" s="52"/>
      <c r="Y25" s="52"/>
      <c r="Z25" s="52"/>
      <c r="AA25" s="52"/>
      <c r="AB25" s="52"/>
      <c r="AC25" s="52"/>
      <c r="AD25" s="52"/>
      <c r="AE25" s="52"/>
      <c r="AF25" s="52"/>
      <c r="AG25" s="52"/>
      <c r="AH25" s="52"/>
      <c r="AI25" s="52"/>
      <c r="AJ25" s="52"/>
      <c r="AK25" s="260"/>
      <c r="AL25" s="1401"/>
      <c r="AM25" s="52"/>
      <c r="AN25" s="1401"/>
      <c r="AO25" s="1401"/>
      <c r="AP25" s="1401"/>
      <c r="AQ25" s="1401"/>
      <c r="AR25" s="1401"/>
      <c r="AS25" s="52"/>
      <c r="AT25" s="52"/>
      <c r="AU25" s="52"/>
      <c r="AV25" s="52"/>
      <c r="AW25" s="52"/>
      <c r="AX25" s="52"/>
      <c r="AY25" s="52"/>
      <c r="AZ25" s="52"/>
      <c r="BA25" s="52"/>
      <c r="BB25" s="52"/>
      <c r="BC25" s="52"/>
      <c r="BD25" s="52"/>
      <c r="BE25" s="52"/>
      <c r="BF25" s="52"/>
      <c r="BG25" s="52"/>
      <c r="BH25" s="52"/>
      <c r="BI25" s="52"/>
      <c r="BJ25" s="52"/>
      <c r="BK25" s="52"/>
      <c r="BL25" s="52"/>
      <c r="BM25" s="52"/>
      <c r="BN25" s="52"/>
    </row>
    <row r="26" spans="1:66">
      <c r="A26" s="1737" t="s">
        <v>824</v>
      </c>
      <c r="B26" s="806" t="s">
        <v>578</v>
      </c>
      <c r="C26" s="806" t="s">
        <v>580</v>
      </c>
      <c r="D26" s="806" t="s">
        <v>581</v>
      </c>
      <c r="E26" s="806" t="s">
        <v>582</v>
      </c>
      <c r="F26" s="806" t="s">
        <v>583</v>
      </c>
      <c r="G26" s="806" t="s">
        <v>579</v>
      </c>
      <c r="H26" s="806" t="s">
        <v>584</v>
      </c>
      <c r="I26" s="806" t="s">
        <v>585</v>
      </c>
      <c r="J26" s="806" t="s">
        <v>586</v>
      </c>
      <c r="K26" s="806" t="s">
        <v>587</v>
      </c>
      <c r="L26" s="806" t="s">
        <v>588</v>
      </c>
      <c r="M26" s="806" t="s">
        <v>589</v>
      </c>
      <c r="N26" s="806" t="s">
        <v>590</v>
      </c>
      <c r="O26" s="806" t="s">
        <v>591</v>
      </c>
      <c r="P26" s="806" t="s">
        <v>592</v>
      </c>
      <c r="Q26" s="806" t="s">
        <v>593</v>
      </c>
      <c r="R26" s="806" t="s">
        <v>594</v>
      </c>
      <c r="S26" s="806" t="s">
        <v>595</v>
      </c>
      <c r="T26" s="806" t="s">
        <v>517</v>
      </c>
      <c r="U26" s="806" t="s">
        <v>518</v>
      </c>
      <c r="V26" s="806" t="s">
        <v>519</v>
      </c>
      <c r="W26" s="806" t="s">
        <v>520</v>
      </c>
      <c r="X26" s="806" t="s">
        <v>521</v>
      </c>
      <c r="Y26" s="806" t="s">
        <v>522</v>
      </c>
      <c r="Z26" s="806" t="s">
        <v>523</v>
      </c>
      <c r="AA26" s="806" t="s">
        <v>467</v>
      </c>
      <c r="AB26" s="806" t="s">
        <v>524</v>
      </c>
      <c r="AC26" s="806" t="s">
        <v>525</v>
      </c>
      <c r="AD26" s="806" t="s">
        <v>526</v>
      </c>
      <c r="AE26" s="806" t="s">
        <v>446</v>
      </c>
      <c r="AF26" s="806" t="s">
        <v>596</v>
      </c>
      <c r="AG26" s="806" t="s">
        <v>597</v>
      </c>
      <c r="AH26" s="806" t="s">
        <v>650</v>
      </c>
      <c r="AI26" s="806" t="s">
        <v>777</v>
      </c>
      <c r="AJ26" s="806" t="s">
        <v>778</v>
      </c>
      <c r="AK26" s="806" t="s">
        <v>779</v>
      </c>
      <c r="AL26" s="806" t="s">
        <v>780</v>
      </c>
      <c r="AM26" s="806" t="s">
        <v>781</v>
      </c>
      <c r="AN26" s="806" t="s">
        <v>782</v>
      </c>
      <c r="AO26" s="806" t="s">
        <v>783</v>
      </c>
      <c r="AP26" s="806" t="s">
        <v>785</v>
      </c>
      <c r="AQ26" s="806" t="s">
        <v>786</v>
      </c>
      <c r="AR26" s="806" t="s">
        <v>787</v>
      </c>
      <c r="AS26" s="806" t="s">
        <v>788</v>
      </c>
      <c r="AT26" s="806" t="s">
        <v>789</v>
      </c>
      <c r="AU26" s="806"/>
      <c r="AV26" s="806"/>
      <c r="AW26" s="806"/>
      <c r="AX26" s="806"/>
      <c r="AY26" s="806"/>
      <c r="AZ26" s="806"/>
      <c r="BA26" s="806"/>
      <c r="BB26" s="806"/>
      <c r="BC26" s="806"/>
      <c r="BD26" s="806"/>
      <c r="BE26" s="806"/>
      <c r="BF26" s="806"/>
      <c r="BG26" s="806"/>
      <c r="BH26" s="806"/>
      <c r="BI26" s="806"/>
      <c r="BJ26" s="806"/>
      <c r="BK26" s="806"/>
      <c r="BL26" s="806"/>
      <c r="BM26" s="806"/>
      <c r="BN26" s="807"/>
    </row>
    <row r="27" spans="1:66">
      <c r="A27" s="1732" t="s">
        <v>667</v>
      </c>
      <c r="B27" s="798">
        <f>B6</f>
        <v>3754</v>
      </c>
      <c r="C27" s="798">
        <f t="shared" ref="C27:E29" si="2">C6-B6</f>
        <v>4882</v>
      </c>
      <c r="D27" s="798">
        <f t="shared" si="2"/>
        <v>640</v>
      </c>
      <c r="E27" s="798">
        <f t="shared" si="2"/>
        <v>0</v>
      </c>
      <c r="F27" s="798">
        <f>F6</f>
        <v>3199</v>
      </c>
      <c r="G27" s="798">
        <f t="shared" ref="G27:I29" si="3">G6-F6</f>
        <v>4679</v>
      </c>
      <c r="H27" s="798">
        <f t="shared" si="3"/>
        <v>2340</v>
      </c>
      <c r="I27" s="798">
        <f t="shared" si="3"/>
        <v>0</v>
      </c>
      <c r="J27" s="798">
        <f>J6</f>
        <v>2996</v>
      </c>
      <c r="K27" s="798">
        <f t="shared" ref="K27:M29" si="4">K6-J6</f>
        <v>5674</v>
      </c>
      <c r="L27" s="798">
        <f t="shared" si="4"/>
        <v>3331</v>
      </c>
      <c r="M27" s="798">
        <f t="shared" si="4"/>
        <v>0</v>
      </c>
      <c r="N27" s="798">
        <f>N6</f>
        <v>4484</v>
      </c>
      <c r="O27" s="798">
        <f t="shared" ref="O27:Q29" si="5">O6-N6</f>
        <v>4982</v>
      </c>
      <c r="P27" s="798">
        <f t="shared" si="5"/>
        <v>3457</v>
      </c>
      <c r="Q27" s="798">
        <f t="shared" si="5"/>
        <v>0</v>
      </c>
      <c r="R27" s="798">
        <f>R6</f>
        <v>5252</v>
      </c>
      <c r="S27" s="798">
        <f t="shared" ref="S27:U29" si="6">S6-R6</f>
        <v>5561</v>
      </c>
      <c r="T27" s="798">
        <f t="shared" si="6"/>
        <v>2254</v>
      </c>
      <c r="U27" s="798">
        <f t="shared" si="6"/>
        <v>0</v>
      </c>
      <c r="V27" s="798">
        <f>V6</f>
        <v>3648</v>
      </c>
      <c r="W27" s="798">
        <f t="shared" ref="W27:Y29" si="7">W6-V6</f>
        <v>5035</v>
      </c>
      <c r="X27" s="798">
        <f t="shared" si="7"/>
        <v>1907</v>
      </c>
      <c r="Y27" s="798">
        <f t="shared" si="7"/>
        <v>0</v>
      </c>
      <c r="Z27" s="798">
        <f>Z6</f>
        <v>2918</v>
      </c>
      <c r="AA27" s="798">
        <f t="shared" ref="AA27:AC29" si="8">AA6-Z6</f>
        <v>6036</v>
      </c>
      <c r="AB27" s="798">
        <f t="shared" si="8"/>
        <v>3931</v>
      </c>
      <c r="AC27" s="798">
        <f t="shared" si="8"/>
        <v>0</v>
      </c>
      <c r="AD27" s="798">
        <f>AD6</f>
        <v>5543</v>
      </c>
      <c r="AE27" s="798">
        <f>11640-AD27</f>
        <v>6097</v>
      </c>
      <c r="AF27" s="798">
        <f t="shared" ref="AF27:AG29" si="9">AF6-AE6</f>
        <v>3952</v>
      </c>
      <c r="AG27" s="798">
        <f t="shared" si="9"/>
        <v>0</v>
      </c>
      <c r="AH27" s="798">
        <f>AH6</f>
        <v>6467</v>
      </c>
      <c r="AI27" s="798">
        <f t="shared" ref="AI27:AK29" si="10">AI6-AH6</f>
        <v>8691</v>
      </c>
      <c r="AJ27" s="798">
        <f t="shared" si="10"/>
        <v>3559</v>
      </c>
      <c r="AK27" s="1365">
        <f t="shared" si="10"/>
        <v>0</v>
      </c>
      <c r="AL27" s="798">
        <f>AL6</f>
        <v>7409</v>
      </c>
      <c r="AM27" s="798">
        <f>AM6-AL6</f>
        <v>7628</v>
      </c>
      <c r="AN27" s="798">
        <f>AN6-AM6</f>
        <v>4987</v>
      </c>
      <c r="AO27" s="1365">
        <f>AO6-AN6</f>
        <v>0</v>
      </c>
      <c r="AP27" s="1365">
        <f>AP6</f>
        <v>8186</v>
      </c>
      <c r="AQ27" s="1365">
        <f>AQ6-AP6</f>
        <v>8346</v>
      </c>
      <c r="AR27" s="1365">
        <f>AR6-AQ6</f>
        <v>2749</v>
      </c>
      <c r="AS27" s="798">
        <f>AS6-AR6</f>
        <v>0</v>
      </c>
      <c r="AT27" s="798">
        <f>AT6</f>
        <v>8739</v>
      </c>
      <c r="AU27" s="798"/>
      <c r="AV27" s="798"/>
      <c r="AW27" s="798"/>
      <c r="AX27" s="798"/>
      <c r="AY27" s="798"/>
      <c r="AZ27" s="798"/>
      <c r="BA27" s="798"/>
      <c r="BB27" s="798"/>
      <c r="BC27" s="798"/>
      <c r="BD27" s="798"/>
      <c r="BE27" s="798"/>
      <c r="BF27" s="798"/>
      <c r="BG27" s="798"/>
      <c r="BH27" s="798"/>
      <c r="BI27" s="798"/>
      <c r="BJ27" s="798"/>
      <c r="BK27" s="798"/>
      <c r="BL27" s="798"/>
      <c r="BM27" s="798"/>
      <c r="BN27" s="15"/>
    </row>
    <row r="28" spans="1:66">
      <c r="A28" s="1733" t="s">
        <v>414</v>
      </c>
      <c r="B28" s="742">
        <f>B7</f>
        <v>2776</v>
      </c>
      <c r="C28" s="742">
        <f t="shared" si="2"/>
        <v>2875</v>
      </c>
      <c r="D28" s="742">
        <f t="shared" si="2"/>
        <v>540</v>
      </c>
      <c r="E28" s="742">
        <f t="shared" si="2"/>
        <v>0</v>
      </c>
      <c r="F28" s="742">
        <f>F7</f>
        <v>2433</v>
      </c>
      <c r="G28" s="742">
        <f t="shared" si="3"/>
        <v>2513</v>
      </c>
      <c r="H28" s="742">
        <f t="shared" si="3"/>
        <v>1727</v>
      </c>
      <c r="I28" s="742">
        <f t="shared" si="3"/>
        <v>0</v>
      </c>
      <c r="J28" s="742">
        <f>J7</f>
        <v>2152</v>
      </c>
      <c r="K28" s="742">
        <f t="shared" si="4"/>
        <v>2784</v>
      </c>
      <c r="L28" s="742">
        <f t="shared" si="4"/>
        <v>2276</v>
      </c>
      <c r="M28" s="742">
        <f t="shared" si="4"/>
        <v>0</v>
      </c>
      <c r="N28" s="742">
        <f>N7</f>
        <v>3158</v>
      </c>
      <c r="O28" s="742">
        <f t="shared" si="5"/>
        <v>2271</v>
      </c>
      <c r="P28" s="742">
        <f t="shared" si="5"/>
        <v>2155</v>
      </c>
      <c r="Q28" s="742">
        <f t="shared" si="5"/>
        <v>0</v>
      </c>
      <c r="R28" s="742">
        <f>R7</f>
        <v>3911</v>
      </c>
      <c r="S28" s="742">
        <f t="shared" si="6"/>
        <v>2729</v>
      </c>
      <c r="T28" s="742">
        <f t="shared" si="6"/>
        <v>1871</v>
      </c>
      <c r="U28" s="742">
        <f t="shared" si="6"/>
        <v>0</v>
      </c>
      <c r="V28" s="742">
        <f>V7</f>
        <v>2623</v>
      </c>
      <c r="W28" s="742">
        <f t="shared" si="7"/>
        <v>2643</v>
      </c>
      <c r="X28" s="742">
        <f t="shared" si="7"/>
        <v>1620</v>
      </c>
      <c r="Y28" s="742">
        <f t="shared" si="7"/>
        <v>0</v>
      </c>
      <c r="Z28" s="742">
        <f>Z7</f>
        <v>2159</v>
      </c>
      <c r="AA28" s="742">
        <f t="shared" si="8"/>
        <v>3351</v>
      </c>
      <c r="AB28" s="742">
        <f t="shared" si="8"/>
        <v>2696</v>
      </c>
      <c r="AC28" s="742">
        <f t="shared" si="8"/>
        <v>0</v>
      </c>
      <c r="AD28" s="742">
        <f>AD7</f>
        <v>4271</v>
      </c>
      <c r="AE28" s="742">
        <f>AE7-AD7</f>
        <v>3213</v>
      </c>
      <c r="AF28" s="742">
        <f t="shared" si="9"/>
        <v>2831</v>
      </c>
      <c r="AG28" s="742">
        <f t="shared" si="9"/>
        <v>0</v>
      </c>
      <c r="AH28" s="742">
        <f>AH7</f>
        <v>4339</v>
      </c>
      <c r="AI28" s="742">
        <f t="shared" si="10"/>
        <v>5290</v>
      </c>
      <c r="AJ28" s="742">
        <f t="shared" si="10"/>
        <v>2697</v>
      </c>
      <c r="AK28" s="757">
        <f t="shared" si="10"/>
        <v>0</v>
      </c>
      <c r="AL28" s="742">
        <f>AL7</f>
        <v>4768</v>
      </c>
      <c r="AM28" s="742">
        <f t="shared" ref="AM28:AM29" si="11">AM7-AL7</f>
        <v>4485</v>
      </c>
      <c r="AN28" s="742">
        <f t="shared" ref="AN28:AO29" si="12">AN7-AM7</f>
        <v>3732</v>
      </c>
      <c r="AO28" s="757">
        <f t="shared" si="12"/>
        <v>0</v>
      </c>
      <c r="AP28" s="757">
        <f>AP7</f>
        <v>5644</v>
      </c>
      <c r="AQ28" s="757">
        <f>AQ7-AP7</f>
        <v>5198</v>
      </c>
      <c r="AR28" s="742">
        <f t="shared" ref="AR28:AS29" si="13">AR7-AQ7</f>
        <v>2556</v>
      </c>
      <c r="AS28" s="742">
        <f t="shared" si="13"/>
        <v>0</v>
      </c>
      <c r="AT28" s="742">
        <f>AT7</f>
        <v>5966</v>
      </c>
      <c r="AU28" s="742"/>
      <c r="AV28" s="742"/>
      <c r="AW28" s="742"/>
      <c r="AX28" s="742"/>
      <c r="AY28" s="742"/>
      <c r="AZ28" s="742"/>
      <c r="BA28" s="742"/>
      <c r="BB28" s="742"/>
      <c r="BC28" s="742"/>
      <c r="BD28" s="742"/>
      <c r="BE28" s="742"/>
      <c r="BF28" s="742"/>
      <c r="BG28" s="742"/>
      <c r="BH28" s="742"/>
      <c r="BI28" s="742"/>
      <c r="BJ28" s="742"/>
      <c r="BK28" s="742"/>
      <c r="BL28" s="742"/>
      <c r="BM28" s="742"/>
      <c r="BN28" s="210"/>
    </row>
    <row r="29" spans="1:66">
      <c r="A29" s="1733" t="s">
        <v>668</v>
      </c>
      <c r="B29" s="742">
        <f>B8</f>
        <v>978</v>
      </c>
      <c r="C29" s="742">
        <f t="shared" si="2"/>
        <v>2007</v>
      </c>
      <c r="D29" s="742">
        <f t="shared" si="2"/>
        <v>100</v>
      </c>
      <c r="E29" s="742">
        <f t="shared" si="2"/>
        <v>0</v>
      </c>
      <c r="F29" s="742">
        <f>F8</f>
        <v>766</v>
      </c>
      <c r="G29" s="742">
        <f t="shared" si="3"/>
        <v>2166</v>
      </c>
      <c r="H29" s="742">
        <f t="shared" si="3"/>
        <v>613</v>
      </c>
      <c r="I29" s="742">
        <f t="shared" si="3"/>
        <v>0</v>
      </c>
      <c r="J29" s="742">
        <f>J8</f>
        <v>844</v>
      </c>
      <c r="K29" s="742">
        <f t="shared" si="4"/>
        <v>2890</v>
      </c>
      <c r="L29" s="742">
        <f t="shared" si="4"/>
        <v>1055</v>
      </c>
      <c r="M29" s="742">
        <f t="shared" si="4"/>
        <v>0</v>
      </c>
      <c r="N29" s="742">
        <f>N8</f>
        <v>1327</v>
      </c>
      <c r="O29" s="742">
        <f t="shared" si="5"/>
        <v>2710</v>
      </c>
      <c r="P29" s="742">
        <f t="shared" si="5"/>
        <v>1302</v>
      </c>
      <c r="Q29" s="742">
        <f t="shared" si="5"/>
        <v>0</v>
      </c>
      <c r="R29" s="742">
        <f>R8</f>
        <v>1340</v>
      </c>
      <c r="S29" s="742">
        <f t="shared" si="6"/>
        <v>2833</v>
      </c>
      <c r="T29" s="742">
        <f t="shared" si="6"/>
        <v>383</v>
      </c>
      <c r="U29" s="742">
        <f t="shared" si="6"/>
        <v>0</v>
      </c>
      <c r="V29" s="742">
        <f>V8</f>
        <v>1024</v>
      </c>
      <c r="W29" s="742">
        <f t="shared" si="7"/>
        <v>2393</v>
      </c>
      <c r="X29" s="742">
        <f t="shared" si="7"/>
        <v>287</v>
      </c>
      <c r="Y29" s="742">
        <f t="shared" si="7"/>
        <v>0</v>
      </c>
      <c r="Z29" s="742">
        <f>Z8</f>
        <v>759</v>
      </c>
      <c r="AA29" s="742">
        <f t="shared" si="8"/>
        <v>2685</v>
      </c>
      <c r="AB29" s="742">
        <f t="shared" si="8"/>
        <v>1235</v>
      </c>
      <c r="AC29" s="742">
        <f t="shared" si="8"/>
        <v>0</v>
      </c>
      <c r="AD29" s="742">
        <f>AD8</f>
        <v>1272</v>
      </c>
      <c r="AE29" s="742">
        <f>AE8</f>
        <v>4156</v>
      </c>
      <c r="AF29" s="742">
        <f t="shared" si="9"/>
        <v>1122</v>
      </c>
      <c r="AG29" s="742">
        <f t="shared" si="9"/>
        <v>0</v>
      </c>
      <c r="AH29" s="742">
        <f>AH8</f>
        <v>2128</v>
      </c>
      <c r="AI29" s="742">
        <f t="shared" si="10"/>
        <v>3401</v>
      </c>
      <c r="AJ29" s="742">
        <f t="shared" si="10"/>
        <v>863</v>
      </c>
      <c r="AK29" s="757">
        <f t="shared" si="10"/>
        <v>0</v>
      </c>
      <c r="AL29" s="742">
        <f>AL8</f>
        <v>2641</v>
      </c>
      <c r="AM29" s="742">
        <f t="shared" si="11"/>
        <v>3143</v>
      </c>
      <c r="AN29" s="742">
        <f t="shared" si="12"/>
        <v>1255</v>
      </c>
      <c r="AO29" s="757">
        <f t="shared" si="12"/>
        <v>0</v>
      </c>
      <c r="AP29" s="757">
        <f>AP8</f>
        <v>2542</v>
      </c>
      <c r="AQ29" s="757">
        <f t="shared" ref="AQ29" si="14">AQ8-AP8</f>
        <v>3148</v>
      </c>
      <c r="AR29" s="742">
        <f t="shared" si="13"/>
        <v>193</v>
      </c>
      <c r="AS29" s="742">
        <f t="shared" si="13"/>
        <v>0</v>
      </c>
      <c r="AT29" s="742">
        <f>AT8</f>
        <v>2773</v>
      </c>
      <c r="AU29" s="742"/>
      <c r="AV29" s="742"/>
      <c r="AW29" s="742"/>
      <c r="AX29" s="742"/>
      <c r="AY29" s="742"/>
      <c r="AZ29" s="742"/>
      <c r="BA29" s="742"/>
      <c r="BB29" s="742"/>
      <c r="BC29" s="742"/>
      <c r="BD29" s="742"/>
      <c r="BE29" s="742"/>
      <c r="BF29" s="742"/>
      <c r="BG29" s="742"/>
      <c r="BH29" s="742"/>
      <c r="BI29" s="742"/>
      <c r="BJ29" s="742"/>
      <c r="BK29" s="742"/>
      <c r="BL29" s="742"/>
      <c r="BM29" s="742"/>
      <c r="BN29" s="210"/>
    </row>
    <row r="30" spans="1:66">
      <c r="A30" s="1735" t="s">
        <v>859</v>
      </c>
      <c r="B30" s="799">
        <f>B9</f>
        <v>0.77900000000000003</v>
      </c>
      <c r="C30" s="799">
        <f>IFERROR((C9*C6-B9*B6)/C27,C9)</f>
        <v>0.69939737812371972</v>
      </c>
      <c r="D30" s="799">
        <f>IFERROR((D9*D6-C9*C6)/D27,D9)</f>
        <v>0.69051874999999963</v>
      </c>
      <c r="E30" s="799">
        <f>IFERROR((E9*E6-D9*D6)/E27,E9)</f>
        <v>0.73099999999999998</v>
      </c>
      <c r="F30" s="799">
        <f>F9</f>
        <v>0.81</v>
      </c>
      <c r="G30" s="799">
        <f>IFERROR((G9*G6-F9*F6)/G27,G9)</f>
        <v>0.77464244496687329</v>
      </c>
      <c r="H30" s="799">
        <f>IFERROR((H9*H6-G9*G6)/H27,H9)</f>
        <v>0.61869999999999992</v>
      </c>
      <c r="I30" s="799">
        <f>IFERROR((I9*I6-H9*H6)/I27,I9)</f>
        <v>0.75</v>
      </c>
      <c r="J30" s="799">
        <f>J9</f>
        <v>0.81399999999999995</v>
      </c>
      <c r="K30" s="799">
        <f>IFERROR((K9*K6-J9*J6)/K27,K9)</f>
        <v>0.81705604511808239</v>
      </c>
      <c r="L30" s="799">
        <f>IFERROR((L9*L6-K9*K6)/L27,L9)</f>
        <v>0.80879435604923422</v>
      </c>
      <c r="M30" s="799">
        <f>IFERROR((M9*M6-L9*L6)/M27,M9)</f>
        <v>0.81399999999999995</v>
      </c>
      <c r="N30" s="799">
        <f>N9</f>
        <v>0.85799999999999998</v>
      </c>
      <c r="O30" s="799">
        <f>IFERROR((O9*O6-N9*N6)/O27,O9)</f>
        <v>0.83329947812123639</v>
      </c>
      <c r="P30" s="799">
        <f>IFERROR((P9*P6-O9*O6)/P27,P9)</f>
        <v>0.84126178767717652</v>
      </c>
      <c r="Q30" s="799">
        <f>IFERROR((Q9*Q6-P9*P6)/Q27,Q9)</f>
        <v>0.84399999999999997</v>
      </c>
      <c r="R30" s="799">
        <f>R9</f>
        <v>0.873</v>
      </c>
      <c r="S30" s="799">
        <f>IFERROR((S9*S6-R9*R6)/S27,S9)</f>
        <v>0.84188904873224235</v>
      </c>
      <c r="T30" s="799">
        <f>IFERROR((T9*T6-S9*S6)/T27,T9)</f>
        <v>0.83381100266193431</v>
      </c>
      <c r="U30" s="799">
        <f>IFERROR((U9*U6-T9*T6)/U27,U9)</f>
        <v>0.85299999999999998</v>
      </c>
      <c r="V30" s="799">
        <f>V9</f>
        <v>0.871</v>
      </c>
      <c r="W30" s="799">
        <f>IFERROR((W9*W6-V9*V6)/W27,W9)</f>
        <v>0.84685660377358507</v>
      </c>
      <c r="X30" s="799">
        <f>IFERROR((X9*X6-W9*W6)/X27,X9)</f>
        <v>0.85699999999999954</v>
      </c>
      <c r="Y30" s="799">
        <f>IFERROR((Y9*Y6-X9*X6)/Y27,Y9)</f>
        <v>0.85699999999999998</v>
      </c>
      <c r="Z30" s="799">
        <f>Z9</f>
        <v>0.89100000000000001</v>
      </c>
      <c r="AA30" s="799">
        <f>IFERROR((AA9*AA6-Z9*Z6)/AA27,AA9)</f>
        <v>0.89248343273691177</v>
      </c>
      <c r="AB30" s="799">
        <f>IFERROR((AB9*AB6-AA9*AA6)/AB27,AB9)</f>
        <v>0.87888883235817883</v>
      </c>
      <c r="AC30" s="799">
        <f>IFERROR((AC9*AC6-AB9*AB6)/AC27,AC9)</f>
        <v>0.88800000000000001</v>
      </c>
      <c r="AD30" s="799">
        <f>AD9</f>
        <v>0.94499999999999995</v>
      </c>
      <c r="AE30" s="799">
        <f>IFERROR((AE9*AE6-AD9*AD6)/AE27,AE9)</f>
        <v>0.93354518615712645</v>
      </c>
      <c r="AF30" s="799">
        <f>IFERROR((AF9*AF6-AE9*AE6)/AF27,AF9)</f>
        <v>0.93899999999999995</v>
      </c>
      <c r="AG30" s="799">
        <f>IFERROR((AG9*AG6-AF9*AF6)/AG27,AG9)</f>
        <v>0.93899999999999995</v>
      </c>
      <c r="AH30" s="799">
        <f>AH9</f>
        <v>0.94699999999999995</v>
      </c>
      <c r="AI30" s="799">
        <f>IFERROR((AI9*AI6-AH9*AH6)/AI27,AI9)</f>
        <v>0.94874410309515589</v>
      </c>
      <c r="AJ30" s="799">
        <f>IFERROR((AJ9*AJ6-AI9*AI6)/AJ27,AJ9)</f>
        <v>1.0636993537510533</v>
      </c>
      <c r="AK30" s="1366">
        <f>IFERROR((AK9*AK6-AJ9*AJ6)/AK27,AK9)</f>
        <v>0.97</v>
      </c>
      <c r="AL30" s="799">
        <f>AL9</f>
        <v>0.98</v>
      </c>
      <c r="AM30" s="799">
        <f t="shared" ref="AM30:AN30" si="15">AM9</f>
        <v>0.97099999999999997</v>
      </c>
      <c r="AN30" s="799">
        <f t="shared" si="15"/>
        <v>0.97399999999999998</v>
      </c>
      <c r="AO30" s="799">
        <f>AO9</f>
        <v>0.97399999999999998</v>
      </c>
      <c r="AP30" s="799">
        <f>AP9</f>
        <v>0.99299999999999999</v>
      </c>
      <c r="AQ30" s="799">
        <f t="shared" ref="AQ30:AR30" si="16">AQ9</f>
        <v>0.99</v>
      </c>
      <c r="AR30" s="799">
        <f t="shared" si="16"/>
        <v>0.98899999999999999</v>
      </c>
      <c r="AS30" s="799">
        <f>AS9</f>
        <v>0.98899999999999999</v>
      </c>
      <c r="AT30" s="799">
        <f>AT9</f>
        <v>0.998</v>
      </c>
      <c r="AU30" s="799"/>
      <c r="AV30" s="799"/>
      <c r="AW30" s="799"/>
      <c r="AX30" s="799"/>
      <c r="AY30" s="799"/>
      <c r="AZ30" s="799"/>
      <c r="BA30" s="799"/>
      <c r="BB30" s="799"/>
      <c r="BC30" s="799"/>
      <c r="BD30" s="799"/>
      <c r="BE30" s="799"/>
      <c r="BF30" s="799"/>
      <c r="BG30" s="799"/>
      <c r="BH30" s="799"/>
      <c r="BI30" s="799"/>
      <c r="BJ30" s="799"/>
      <c r="BK30" s="799"/>
      <c r="BL30" s="799"/>
      <c r="BM30" s="799"/>
      <c r="BN30" s="375"/>
    </row>
    <row r="31" spans="1:66">
      <c r="A31" s="1738" t="s">
        <v>670</v>
      </c>
      <c r="B31" s="823" t="e">
        <f>+NA()</f>
        <v>#N/A</v>
      </c>
      <c r="C31" s="823" t="e">
        <f>+NA()</f>
        <v>#N/A</v>
      </c>
      <c r="D31" s="823" t="e">
        <f>+NA()</f>
        <v>#N/A</v>
      </c>
      <c r="E31" s="823" t="e">
        <f>+NA()</f>
        <v>#N/A</v>
      </c>
      <c r="F31" s="823" t="e">
        <f>+NA()</f>
        <v>#N/A</v>
      </c>
      <c r="G31" s="823" t="e">
        <f>+NA()</f>
        <v>#N/A</v>
      </c>
      <c r="H31" s="823" t="e">
        <f>+NA()</f>
        <v>#N/A</v>
      </c>
      <c r="I31" s="823" t="e">
        <f>+NA()</f>
        <v>#N/A</v>
      </c>
      <c r="J31" s="823" t="e">
        <f>+NA()</f>
        <v>#N/A</v>
      </c>
      <c r="K31" s="823" t="e">
        <f>+NA()</f>
        <v>#N/A</v>
      </c>
      <c r="L31" s="823" t="e">
        <f>+NA()</f>
        <v>#N/A</v>
      </c>
      <c r="M31" s="823" t="e">
        <f>+NA()</f>
        <v>#N/A</v>
      </c>
      <c r="N31" s="823" t="e">
        <f>+NA()</f>
        <v>#N/A</v>
      </c>
      <c r="O31" s="823" t="e">
        <f>+NA()</f>
        <v>#N/A</v>
      </c>
      <c r="P31" s="823" t="e">
        <f>+NA()</f>
        <v>#N/A</v>
      </c>
      <c r="Q31" s="823" t="e">
        <f>+NA()</f>
        <v>#N/A</v>
      </c>
      <c r="R31" s="823" t="e">
        <f>+NA()</f>
        <v>#N/A</v>
      </c>
      <c r="S31" s="823" t="e">
        <f>+NA()</f>
        <v>#N/A</v>
      </c>
      <c r="T31" s="823" t="e">
        <f>+NA()</f>
        <v>#N/A</v>
      </c>
      <c r="U31" s="823" t="e">
        <f>+NA()</f>
        <v>#N/A</v>
      </c>
      <c r="V31" s="823" t="e">
        <f>+NA()</f>
        <v>#N/A</v>
      </c>
      <c r="W31" s="823" t="e">
        <f>+NA()</f>
        <v>#N/A</v>
      </c>
      <c r="X31" s="823" t="e">
        <f>+NA()</f>
        <v>#N/A</v>
      </c>
      <c r="Y31" s="823" t="e">
        <f>+NA()</f>
        <v>#N/A</v>
      </c>
      <c r="Z31" s="823" t="e">
        <f>+NA()</f>
        <v>#N/A</v>
      </c>
      <c r="AA31" s="794">
        <f>IF(AA27=0,AA10,IFERROR((AA10*AA6-Z10*Z6)/AA27,AA10))</f>
        <v>90.2</v>
      </c>
      <c r="AB31" s="794">
        <f>IF(AB27=0,AB10,(AB10*AB6-AA10*AA6)/AB27)</f>
        <v>84.889977105062329</v>
      </c>
      <c r="AC31" s="794">
        <f>IF(AC27=0,AC10,(AC10*AC6-AB10*AB6)/AC27)</f>
        <v>88.58</v>
      </c>
      <c r="AD31" s="794">
        <f>AD10</f>
        <v>81.790000000000006</v>
      </c>
      <c r="AE31" s="794">
        <f>IF(AE27=0,AE10,(AE10*AE6-AD10*AD6)/AE27)</f>
        <v>116.55536001312122</v>
      </c>
      <c r="AF31" s="794">
        <f>IF(AF27=0,AF10,(AF10*AF6-AE10*AE6)/AF27)</f>
        <v>98.027327935222672</v>
      </c>
      <c r="AG31" s="794">
        <f>IF(AG27=0,AG10,(AG10*AG6-AF10*AF6)/AG27)</f>
        <v>99.47</v>
      </c>
      <c r="AH31" s="794">
        <f>AH10</f>
        <v>93.33</v>
      </c>
      <c r="AI31" s="794">
        <f>IF(AI27=0,AI10,(AI10*AI6-AH10*AH6)/AI27)</f>
        <v>83.266525140950407</v>
      </c>
      <c r="AJ31" s="794">
        <f>IF(AJ27=0,AJ10,(AJ10*AJ6-AI10*AI6)/AJ27)</f>
        <v>87.770362461365551</v>
      </c>
      <c r="AK31" s="972">
        <f>IF(AK27=0,AK10,(AK10*AK6-AJ10*AJ6)/AK27)</f>
        <v>87.6</v>
      </c>
      <c r="AL31" s="794">
        <f>AL10</f>
        <v>83.2</v>
      </c>
      <c r="AM31" s="794">
        <f>IF(AM27=0,AM10,(AM10*AM6-AL10*AL6)/AM27)</f>
        <v>85.171289984268498</v>
      </c>
      <c r="AN31" s="794">
        <f>IF(AN27=0,AN10,(AN10*AN6-AM10*AM6)/AN27)</f>
        <v>91.02590735913374</v>
      </c>
      <c r="AO31" s="794">
        <f>IF(AO27=0,AO10,(AO10*AO6-AN10*AN6)/AO27)</f>
        <v>85.9</v>
      </c>
      <c r="AP31" s="794">
        <f>AP10</f>
        <v>85.4</v>
      </c>
      <c r="AQ31" s="794">
        <f>IF(AQ27=0,AQ10,(AQ10*AQ6-AP10*AP6)/AQ27)</f>
        <v>76.486268871315602</v>
      </c>
      <c r="AR31" s="794">
        <f>IF(AR27=0,AR10,(AR10*AR6-AQ10*AQ6)/AR27)</f>
        <v>65.469588941433216</v>
      </c>
      <c r="AS31" s="794">
        <f>IF(AS27=0,AS10,(AS10*AS6-AR10*AR6)/AS27)</f>
        <v>78.7</v>
      </c>
      <c r="AT31" s="794">
        <f>AT10</f>
        <v>86</v>
      </c>
      <c r="AU31" s="794"/>
      <c r="AV31" s="794"/>
      <c r="AW31" s="794"/>
      <c r="AX31" s="794"/>
      <c r="AY31" s="794"/>
      <c r="AZ31" s="794"/>
      <c r="BA31" s="794"/>
      <c r="BB31" s="794"/>
      <c r="BC31" s="794"/>
      <c r="BD31" s="794"/>
      <c r="BE31" s="794"/>
      <c r="BF31" s="794"/>
      <c r="BG31" s="794"/>
      <c r="BH31" s="794"/>
      <c r="BI31" s="794"/>
      <c r="BJ31" s="794"/>
      <c r="BK31" s="794"/>
      <c r="BL31" s="794"/>
      <c r="BM31" s="794"/>
      <c r="BN31" s="375"/>
    </row>
    <row r="32" spans="1:66">
      <c r="A32" s="1738" t="s">
        <v>671</v>
      </c>
      <c r="B32" s="823" t="str">
        <f t="shared" ref="B32:Y32" si="17">IFERROR(B39/B27*1000,"ND")</f>
        <v>ND</v>
      </c>
      <c r="C32" s="823" t="str">
        <f t="shared" si="17"/>
        <v>ND</v>
      </c>
      <c r="D32" s="823" t="str">
        <f t="shared" si="17"/>
        <v>ND</v>
      </c>
      <c r="E32" s="823" t="str">
        <f t="shared" si="17"/>
        <v>ND</v>
      </c>
      <c r="F32" s="823" t="str">
        <f t="shared" si="17"/>
        <v>ND</v>
      </c>
      <c r="G32" s="823" t="str">
        <f t="shared" si="17"/>
        <v>ND</v>
      </c>
      <c r="H32" s="823" t="str">
        <f t="shared" si="17"/>
        <v>ND</v>
      </c>
      <c r="I32" s="823" t="str">
        <f t="shared" si="17"/>
        <v>ND</v>
      </c>
      <c r="J32" s="823" t="str">
        <f t="shared" si="17"/>
        <v>ND</v>
      </c>
      <c r="K32" s="823" t="str">
        <f t="shared" si="17"/>
        <v>ND</v>
      </c>
      <c r="L32" s="823" t="str">
        <f t="shared" si="17"/>
        <v>ND</v>
      </c>
      <c r="M32" s="823" t="str">
        <f t="shared" si="17"/>
        <v>ND</v>
      </c>
      <c r="N32" s="823" t="str">
        <f t="shared" si="17"/>
        <v>ND</v>
      </c>
      <c r="O32" s="823" t="str">
        <f t="shared" si="17"/>
        <v>ND</v>
      </c>
      <c r="P32" s="823" t="str">
        <f t="shared" si="17"/>
        <v>ND</v>
      </c>
      <c r="Q32" s="823" t="str">
        <f t="shared" si="17"/>
        <v>ND</v>
      </c>
      <c r="R32" s="823" t="str">
        <f t="shared" si="17"/>
        <v>ND</v>
      </c>
      <c r="S32" s="823" t="str">
        <f t="shared" si="17"/>
        <v>ND</v>
      </c>
      <c r="T32" s="823" t="str">
        <f t="shared" si="17"/>
        <v>ND</v>
      </c>
      <c r="U32" s="823" t="str">
        <f t="shared" si="17"/>
        <v>ND</v>
      </c>
      <c r="V32" s="823" t="str">
        <f t="shared" si="17"/>
        <v>ND</v>
      </c>
      <c r="W32" s="823" t="str">
        <f t="shared" si="17"/>
        <v>ND</v>
      </c>
      <c r="X32" s="823" t="str">
        <f t="shared" si="17"/>
        <v>ND</v>
      </c>
      <c r="Y32" s="823" t="str">
        <f t="shared" si="17"/>
        <v>ND</v>
      </c>
      <c r="Z32" s="794">
        <f t="shared" ref="Z32:AG32" si="18">IFERROR(Z39/Z27*1000,"NM")</f>
        <v>122.3440712816998</v>
      </c>
      <c r="AA32" s="794">
        <f t="shared" si="18"/>
        <v>144.96355202120608</v>
      </c>
      <c r="AB32" s="794">
        <f t="shared" si="18"/>
        <v>142.71177817349275</v>
      </c>
      <c r="AC32" s="972" t="str">
        <f t="shared" si="18"/>
        <v>NM</v>
      </c>
      <c r="AD32" s="794">
        <f t="shared" si="18"/>
        <v>127.00703590113658</v>
      </c>
      <c r="AE32" s="794">
        <f t="shared" si="18"/>
        <v>146.13744464490733</v>
      </c>
      <c r="AF32" s="794">
        <f t="shared" si="18"/>
        <v>136.89271255060729</v>
      </c>
      <c r="AG32" s="972" t="str">
        <f t="shared" si="18"/>
        <v>NM</v>
      </c>
      <c r="AH32" s="794">
        <f>AH39/AH27*1000</f>
        <v>129.89021184475027</v>
      </c>
      <c r="AI32" s="794">
        <f>AI39/AI27*1000</f>
        <v>149.34990219767573</v>
      </c>
      <c r="AJ32" s="794">
        <f>AJ39/AJ27*1000</f>
        <v>143.86063500983423</v>
      </c>
      <c r="AK32" s="972" t="str">
        <f>IFERROR(AK39/AK27*1000,"NM")</f>
        <v>NM</v>
      </c>
      <c r="AL32" s="794">
        <f>AL39/AL27*1000</f>
        <v>118.77446349034958</v>
      </c>
      <c r="AM32" s="794">
        <f>AM39/AM27*1000</f>
        <v>141.19035133717881</v>
      </c>
      <c r="AN32" s="794">
        <f>AN39/AN27*1000</f>
        <v>125.12532584720273</v>
      </c>
      <c r="AO32" s="972" t="str">
        <f>IFERROR(AO39/AO27*1000,"NM")</f>
        <v>NM</v>
      </c>
      <c r="AP32" s="972">
        <f>AP39/AP27*1000</f>
        <v>122.40410456877596</v>
      </c>
      <c r="AQ32" s="972">
        <f>AQ39/AQ27*1000</f>
        <v>135.75365444524323</v>
      </c>
      <c r="AR32" s="794">
        <f>AR39/AR27*1000</f>
        <v>137.14077846489633</v>
      </c>
      <c r="AS32" s="794" t="str">
        <f>IFERROR(AS39/AS27*1000,"NM")</f>
        <v>NM</v>
      </c>
      <c r="AT32" s="794">
        <f>AT39/AT27*1000</f>
        <v>124.9570889117748</v>
      </c>
      <c r="AU32" s="794"/>
      <c r="AV32" s="794"/>
      <c r="AW32" s="794"/>
      <c r="AX32" s="794"/>
      <c r="AY32" s="794"/>
      <c r="AZ32" s="794"/>
      <c r="BA32" s="794"/>
      <c r="BB32" s="794"/>
      <c r="BC32" s="794"/>
      <c r="BD32" s="794"/>
      <c r="BE32" s="794"/>
      <c r="BF32" s="794"/>
      <c r="BG32" s="794"/>
      <c r="BH32" s="794"/>
      <c r="BI32" s="794"/>
      <c r="BJ32" s="794"/>
      <c r="BK32" s="794"/>
      <c r="BL32" s="794"/>
      <c r="BM32" s="794"/>
      <c r="BN32" s="375"/>
    </row>
    <row r="33" spans="1:66">
      <c r="A33" s="1732" t="s">
        <v>810</v>
      </c>
      <c r="B33" s="742"/>
      <c r="C33" s="742"/>
      <c r="D33" s="742"/>
      <c r="E33" s="742"/>
      <c r="F33" s="742"/>
      <c r="G33" s="742"/>
      <c r="H33" s="742"/>
      <c r="I33" s="742"/>
      <c r="J33" s="742"/>
      <c r="K33" s="742"/>
      <c r="L33" s="742"/>
      <c r="M33" s="742"/>
      <c r="N33" s="742"/>
      <c r="O33" s="742"/>
      <c r="P33" s="742"/>
      <c r="Q33" s="742"/>
      <c r="R33" s="742"/>
      <c r="S33" s="742"/>
      <c r="T33" s="742"/>
      <c r="U33" s="742"/>
      <c r="V33" s="742"/>
      <c r="W33" s="742"/>
      <c r="X33" s="742"/>
      <c r="Y33" s="742"/>
      <c r="Z33" s="742"/>
      <c r="AA33" s="742"/>
      <c r="AB33" s="742"/>
      <c r="AC33" s="742"/>
      <c r="AD33" s="742"/>
      <c r="AE33" s="742"/>
      <c r="AF33" s="742"/>
      <c r="AG33" s="742"/>
      <c r="AH33" s="742"/>
      <c r="AI33" s="742"/>
      <c r="AJ33" s="742"/>
      <c r="AK33" s="757"/>
      <c r="AL33" s="742"/>
      <c r="AM33" s="742"/>
      <c r="AN33" s="742"/>
      <c r="AO33" s="742"/>
      <c r="AP33" s="742"/>
      <c r="AQ33" s="742"/>
      <c r="AR33" s="742"/>
      <c r="AS33" s="742"/>
      <c r="AT33" s="742"/>
      <c r="AU33" s="742"/>
      <c r="AV33" s="742"/>
      <c r="AW33" s="742"/>
      <c r="AX33" s="742"/>
      <c r="AY33" s="742"/>
      <c r="AZ33" s="742"/>
      <c r="BA33" s="742"/>
      <c r="BB33" s="742"/>
      <c r="BC33" s="742"/>
      <c r="BD33" s="742"/>
      <c r="BE33" s="742"/>
      <c r="BF33" s="742"/>
      <c r="BG33" s="742"/>
      <c r="BH33" s="742"/>
      <c r="BI33" s="742"/>
      <c r="BJ33" s="742"/>
      <c r="BK33" s="742"/>
      <c r="BL33" s="742"/>
      <c r="BM33" s="742"/>
      <c r="BN33" s="210"/>
    </row>
    <row r="34" spans="1:66">
      <c r="A34" s="1735" t="s">
        <v>640</v>
      </c>
      <c r="B34" s="742">
        <f>B12</f>
        <v>238</v>
      </c>
      <c r="C34" s="742">
        <f t="shared" ref="C34:E38" si="19">C12-B12</f>
        <v>395</v>
      </c>
      <c r="D34" s="742">
        <f t="shared" si="19"/>
        <v>45</v>
      </c>
      <c r="E34" s="742">
        <f t="shared" si="19"/>
        <v>0</v>
      </c>
      <c r="F34" s="742">
        <f>F12</f>
        <v>156</v>
      </c>
      <c r="G34" s="742">
        <f t="shared" ref="G34:I38" si="20">G12-F12</f>
        <v>244</v>
      </c>
      <c r="H34" s="742">
        <f t="shared" si="20"/>
        <v>127</v>
      </c>
      <c r="I34" s="742">
        <f t="shared" si="20"/>
        <v>0</v>
      </c>
      <c r="J34" s="742">
        <f>J12</f>
        <v>137</v>
      </c>
      <c r="K34" s="742">
        <f t="shared" ref="K34:M38" si="21">K12-J12</f>
        <v>294</v>
      </c>
      <c r="L34" s="742">
        <f t="shared" si="21"/>
        <v>124</v>
      </c>
      <c r="M34" s="742">
        <f t="shared" si="21"/>
        <v>0</v>
      </c>
      <c r="N34" s="742">
        <f>N12</f>
        <v>228</v>
      </c>
      <c r="O34" s="742">
        <f t="shared" ref="O34:Q38" si="22">O12-N12</f>
        <v>297</v>
      </c>
      <c r="P34" s="742">
        <f t="shared" si="22"/>
        <v>177</v>
      </c>
      <c r="Q34" s="742">
        <f t="shared" si="22"/>
        <v>0</v>
      </c>
      <c r="R34" s="742">
        <f>R12</f>
        <v>303</v>
      </c>
      <c r="S34" s="742">
        <f t="shared" ref="S34:U38" si="23">S12-R12</f>
        <v>403</v>
      </c>
      <c r="T34" s="742">
        <f t="shared" si="23"/>
        <v>167</v>
      </c>
      <c r="U34" s="742">
        <f t="shared" si="23"/>
        <v>0</v>
      </c>
      <c r="V34" s="742">
        <f>V12</f>
        <v>213</v>
      </c>
      <c r="W34" s="742">
        <f t="shared" ref="W34:Y38" si="24">W12-V12</f>
        <v>415</v>
      </c>
      <c r="X34" s="742">
        <f t="shared" si="24"/>
        <v>146</v>
      </c>
      <c r="Y34" s="742">
        <f t="shared" si="24"/>
        <v>0</v>
      </c>
      <c r="Z34" s="742">
        <f t="shared" ref="Z34:Z39" si="25">Z12</f>
        <v>190</v>
      </c>
      <c r="AA34" s="742">
        <f t="shared" ref="AA34:AC39" si="26">AA12-Z12</f>
        <v>469</v>
      </c>
      <c r="AB34" s="742">
        <f t="shared" si="26"/>
        <v>310</v>
      </c>
      <c r="AC34" s="742">
        <f t="shared" si="26"/>
        <v>1</v>
      </c>
      <c r="AD34" s="742">
        <f t="shared" ref="AD34:AD39" si="27">AD12</f>
        <v>318</v>
      </c>
      <c r="AE34" s="742">
        <f t="shared" ref="AE34:AG39" si="28">AE12-AD12</f>
        <v>445</v>
      </c>
      <c r="AF34" s="742">
        <f t="shared" si="28"/>
        <v>223</v>
      </c>
      <c r="AG34" s="742">
        <f t="shared" si="28"/>
        <v>0</v>
      </c>
      <c r="AH34" s="742">
        <f t="shared" ref="AH34:AH39" si="29">AH12</f>
        <v>380</v>
      </c>
      <c r="AI34" s="742">
        <f t="shared" ref="AI34:AK39" si="30">AI12-AH12</f>
        <v>607</v>
      </c>
      <c r="AJ34" s="742">
        <f t="shared" si="30"/>
        <v>244</v>
      </c>
      <c r="AK34" s="757">
        <f t="shared" si="30"/>
        <v>0</v>
      </c>
      <c r="AL34" s="742">
        <f t="shared" ref="AL34:AL39" si="31">AL12</f>
        <v>423</v>
      </c>
      <c r="AM34" s="742">
        <f t="shared" ref="AM34:AS39" si="32">AM12-AL12</f>
        <v>529</v>
      </c>
      <c r="AN34" s="742">
        <f t="shared" si="32"/>
        <v>278</v>
      </c>
      <c r="AO34" s="757">
        <f t="shared" si="32"/>
        <v>0</v>
      </c>
      <c r="AP34" s="757">
        <f t="shared" ref="AP34:AP39" si="33">AP12</f>
        <v>480</v>
      </c>
      <c r="AQ34" s="757">
        <f t="shared" si="32"/>
        <v>613</v>
      </c>
      <c r="AR34" s="742">
        <f t="shared" si="32"/>
        <v>208</v>
      </c>
      <c r="AS34" s="742">
        <f t="shared" si="32"/>
        <v>0</v>
      </c>
      <c r="AT34" s="742">
        <f t="shared" ref="AT34:AT39" si="34">AT12</f>
        <v>504</v>
      </c>
      <c r="AU34" s="742"/>
      <c r="AV34" s="742"/>
      <c r="AW34" s="742"/>
      <c r="AX34" s="742"/>
      <c r="AY34" s="742"/>
      <c r="AZ34" s="742"/>
      <c r="BA34" s="742"/>
      <c r="BB34" s="742"/>
      <c r="BC34" s="742"/>
      <c r="BD34" s="742"/>
      <c r="BE34" s="742"/>
      <c r="BF34" s="742"/>
      <c r="BG34" s="742"/>
      <c r="BH34" s="742"/>
      <c r="BI34" s="742"/>
      <c r="BJ34" s="742"/>
      <c r="BK34" s="742"/>
      <c r="BL34" s="742"/>
      <c r="BM34" s="742"/>
      <c r="BN34" s="210"/>
    </row>
    <row r="35" spans="1:66">
      <c r="A35" s="1735" t="s">
        <v>672</v>
      </c>
      <c r="B35" s="742">
        <f>B13</f>
        <v>63</v>
      </c>
      <c r="C35" s="742">
        <f t="shared" si="19"/>
        <v>130</v>
      </c>
      <c r="D35" s="742">
        <f t="shared" si="19"/>
        <v>19</v>
      </c>
      <c r="E35" s="742">
        <f t="shared" si="19"/>
        <v>0</v>
      </c>
      <c r="F35" s="742">
        <f>F13</f>
        <v>82</v>
      </c>
      <c r="G35" s="742">
        <f t="shared" si="20"/>
        <v>130</v>
      </c>
      <c r="H35" s="742">
        <f t="shared" si="20"/>
        <v>94</v>
      </c>
      <c r="I35" s="742">
        <f t="shared" si="20"/>
        <v>0</v>
      </c>
      <c r="J35" s="742">
        <f>J13</f>
        <v>64</v>
      </c>
      <c r="K35" s="742">
        <f t="shared" si="21"/>
        <v>119</v>
      </c>
      <c r="L35" s="742">
        <f t="shared" si="21"/>
        <v>104</v>
      </c>
      <c r="M35" s="742">
        <f t="shared" si="21"/>
        <v>0</v>
      </c>
      <c r="N35" s="742">
        <f>N13</f>
        <v>59</v>
      </c>
      <c r="O35" s="742">
        <f t="shared" si="22"/>
        <v>95</v>
      </c>
      <c r="P35" s="742">
        <f t="shared" si="22"/>
        <v>72</v>
      </c>
      <c r="Q35" s="742">
        <f t="shared" si="22"/>
        <v>0</v>
      </c>
      <c r="R35" s="742">
        <f>R13</f>
        <v>82</v>
      </c>
      <c r="S35" s="742">
        <f t="shared" si="23"/>
        <v>129</v>
      </c>
      <c r="T35" s="742">
        <f t="shared" si="23"/>
        <v>47</v>
      </c>
      <c r="U35" s="742">
        <f t="shared" si="23"/>
        <v>0</v>
      </c>
      <c r="V35" s="742">
        <f>V13</f>
        <v>69</v>
      </c>
      <c r="W35" s="742">
        <f t="shared" si="24"/>
        <v>92</v>
      </c>
      <c r="X35" s="742">
        <f t="shared" si="24"/>
        <v>30</v>
      </c>
      <c r="Y35" s="742">
        <f t="shared" si="24"/>
        <v>0</v>
      </c>
      <c r="Z35" s="742">
        <f t="shared" si="25"/>
        <v>50</v>
      </c>
      <c r="AA35" s="742">
        <f t="shared" si="26"/>
        <v>119</v>
      </c>
      <c r="AB35" s="742">
        <f t="shared" si="26"/>
        <v>106</v>
      </c>
      <c r="AC35" s="742">
        <f t="shared" si="26"/>
        <v>0</v>
      </c>
      <c r="AD35" s="742">
        <f t="shared" si="27"/>
        <v>132</v>
      </c>
      <c r="AE35" s="742">
        <f t="shared" si="28"/>
        <v>151</v>
      </c>
      <c r="AF35" s="742">
        <f t="shared" si="28"/>
        <v>105</v>
      </c>
      <c r="AG35" s="742">
        <f t="shared" si="28"/>
        <v>0</v>
      </c>
      <c r="AH35" s="742">
        <f t="shared" si="29"/>
        <v>163</v>
      </c>
      <c r="AI35" s="742">
        <f t="shared" si="30"/>
        <v>206</v>
      </c>
      <c r="AJ35" s="742">
        <f t="shared" si="30"/>
        <v>69</v>
      </c>
      <c r="AK35" s="757">
        <f t="shared" si="30"/>
        <v>0</v>
      </c>
      <c r="AL35" s="742">
        <f t="shared" si="31"/>
        <v>135</v>
      </c>
      <c r="AM35" s="742">
        <f t="shared" si="32"/>
        <v>183</v>
      </c>
      <c r="AN35" s="742">
        <f t="shared" si="32"/>
        <v>127</v>
      </c>
      <c r="AO35" s="757">
        <f t="shared" si="32"/>
        <v>0</v>
      </c>
      <c r="AP35" s="757">
        <f t="shared" si="33"/>
        <v>154</v>
      </c>
      <c r="AQ35" s="757">
        <f t="shared" si="32"/>
        <v>169</v>
      </c>
      <c r="AR35" s="757">
        <f t="shared" si="32"/>
        <v>75</v>
      </c>
      <c r="AS35" s="742">
        <f t="shared" si="32"/>
        <v>0</v>
      </c>
      <c r="AT35" s="742">
        <f t="shared" si="34"/>
        <v>159</v>
      </c>
      <c r="AU35" s="742"/>
      <c r="AV35" s="742"/>
      <c r="AW35" s="742"/>
      <c r="AX35" s="742"/>
      <c r="AY35" s="742"/>
      <c r="AZ35" s="742"/>
      <c r="BA35" s="742"/>
      <c r="BB35" s="742"/>
      <c r="BC35" s="742"/>
      <c r="BD35" s="742"/>
      <c r="BE35" s="742"/>
      <c r="BF35" s="742"/>
      <c r="BG35" s="742"/>
      <c r="BH35" s="742"/>
      <c r="BI35" s="742"/>
      <c r="BJ35" s="742"/>
      <c r="BK35" s="742"/>
      <c r="BL35" s="742"/>
      <c r="BM35" s="742"/>
      <c r="BN35" s="210"/>
    </row>
    <row r="36" spans="1:66">
      <c r="A36" s="1735" t="s">
        <v>673</v>
      </c>
      <c r="B36" s="742">
        <f>B14</f>
        <v>86</v>
      </c>
      <c r="C36" s="742">
        <f t="shared" si="19"/>
        <v>81</v>
      </c>
      <c r="D36" s="742">
        <f t="shared" si="19"/>
        <v>15</v>
      </c>
      <c r="E36" s="742">
        <f t="shared" si="19"/>
        <v>0</v>
      </c>
      <c r="F36" s="742">
        <f>F14</f>
        <v>63</v>
      </c>
      <c r="G36" s="742">
        <f t="shared" si="20"/>
        <v>111</v>
      </c>
      <c r="H36" s="742">
        <f t="shared" si="20"/>
        <v>40</v>
      </c>
      <c r="I36" s="742">
        <f t="shared" si="20"/>
        <v>0</v>
      </c>
      <c r="J36" s="742">
        <f>J14</f>
        <v>74</v>
      </c>
      <c r="K36" s="742">
        <f t="shared" si="21"/>
        <v>206</v>
      </c>
      <c r="L36" s="742">
        <f t="shared" si="21"/>
        <v>107</v>
      </c>
      <c r="M36" s="742">
        <f t="shared" si="21"/>
        <v>0</v>
      </c>
      <c r="N36" s="742">
        <f>N14</f>
        <v>135</v>
      </c>
      <c r="O36" s="742">
        <f t="shared" si="22"/>
        <v>147</v>
      </c>
      <c r="P36" s="742">
        <f t="shared" si="22"/>
        <v>85</v>
      </c>
      <c r="Q36" s="742">
        <f t="shared" si="22"/>
        <v>0</v>
      </c>
      <c r="R36" s="742">
        <f>R14</f>
        <v>135</v>
      </c>
      <c r="S36" s="742">
        <f t="shared" si="23"/>
        <v>135</v>
      </c>
      <c r="T36" s="742">
        <f t="shared" si="23"/>
        <v>37</v>
      </c>
      <c r="U36" s="742">
        <f t="shared" si="23"/>
        <v>0</v>
      </c>
      <c r="V36" s="742">
        <f>V14</f>
        <v>60</v>
      </c>
      <c r="W36" s="742">
        <f t="shared" si="24"/>
        <v>79</v>
      </c>
      <c r="X36" s="742">
        <f t="shared" si="24"/>
        <v>49</v>
      </c>
      <c r="Y36" s="742">
        <f t="shared" si="24"/>
        <v>0</v>
      </c>
      <c r="Z36" s="742">
        <f t="shared" si="25"/>
        <v>42</v>
      </c>
      <c r="AA36" s="742">
        <f t="shared" si="26"/>
        <v>104</v>
      </c>
      <c r="AB36" s="742">
        <f t="shared" si="26"/>
        <v>30</v>
      </c>
      <c r="AC36" s="742">
        <f t="shared" si="26"/>
        <v>1</v>
      </c>
      <c r="AD36" s="742">
        <f t="shared" si="27"/>
        <v>83</v>
      </c>
      <c r="AE36" s="742">
        <f t="shared" si="28"/>
        <v>96</v>
      </c>
      <c r="AF36" s="742">
        <f t="shared" si="28"/>
        <v>73</v>
      </c>
      <c r="AG36" s="742">
        <f t="shared" si="28"/>
        <v>0</v>
      </c>
      <c r="AH36" s="742">
        <f t="shared" si="29"/>
        <v>93</v>
      </c>
      <c r="AI36" s="742">
        <f t="shared" si="30"/>
        <v>180</v>
      </c>
      <c r="AJ36" s="742">
        <f t="shared" si="30"/>
        <v>80</v>
      </c>
      <c r="AK36" s="757">
        <f t="shared" si="30"/>
        <v>0</v>
      </c>
      <c r="AL36" s="742">
        <f t="shared" si="31"/>
        <v>119</v>
      </c>
      <c r="AM36" s="742">
        <f t="shared" si="32"/>
        <v>120</v>
      </c>
      <c r="AN36" s="742">
        <f t="shared" si="32"/>
        <v>67</v>
      </c>
      <c r="AO36" s="757">
        <f t="shared" si="32"/>
        <v>0</v>
      </c>
      <c r="AP36" s="757">
        <f t="shared" si="33"/>
        <v>136</v>
      </c>
      <c r="AQ36" s="757">
        <f t="shared" si="32"/>
        <v>117</v>
      </c>
      <c r="AR36" s="757">
        <f t="shared" si="32"/>
        <v>16</v>
      </c>
      <c r="AS36" s="742">
        <f t="shared" si="32"/>
        <v>0</v>
      </c>
      <c r="AT36" s="742">
        <f t="shared" si="34"/>
        <v>170</v>
      </c>
      <c r="AU36" s="742"/>
      <c r="AV36" s="742"/>
      <c r="AW36" s="742"/>
      <c r="AX36" s="742"/>
      <c r="AY36" s="742"/>
      <c r="AZ36" s="742"/>
      <c r="BA36" s="742"/>
      <c r="BB36" s="742"/>
      <c r="BC36" s="742"/>
      <c r="BD36" s="742"/>
      <c r="BE36" s="742"/>
      <c r="BF36" s="742"/>
      <c r="BG36" s="742"/>
      <c r="BH36" s="742"/>
      <c r="BI36" s="742"/>
      <c r="BJ36" s="742"/>
      <c r="BK36" s="742"/>
      <c r="BL36" s="742"/>
      <c r="BM36" s="742"/>
      <c r="BN36" s="210"/>
    </row>
    <row r="37" spans="1:66">
      <c r="A37" s="1735" t="s">
        <v>674</v>
      </c>
      <c r="B37" s="742">
        <f>B15</f>
        <v>52</v>
      </c>
      <c r="C37" s="742">
        <f t="shared" si="19"/>
        <v>76</v>
      </c>
      <c r="D37" s="742">
        <f t="shared" si="19"/>
        <v>167</v>
      </c>
      <c r="E37" s="742">
        <f t="shared" si="19"/>
        <v>95</v>
      </c>
      <c r="F37" s="742">
        <f>F15</f>
        <v>92</v>
      </c>
      <c r="G37" s="742">
        <f t="shared" si="20"/>
        <v>51</v>
      </c>
      <c r="H37" s="742">
        <f t="shared" si="20"/>
        <v>150</v>
      </c>
      <c r="I37" s="742">
        <f t="shared" si="20"/>
        <v>98</v>
      </c>
      <c r="J37" s="742">
        <f>J15</f>
        <v>12</v>
      </c>
      <c r="K37" s="742">
        <f t="shared" si="21"/>
        <v>53</v>
      </c>
      <c r="L37" s="742">
        <f t="shared" si="21"/>
        <v>96</v>
      </c>
      <c r="M37" s="742">
        <f t="shared" si="21"/>
        <v>113</v>
      </c>
      <c r="N37" s="742">
        <f>N15</f>
        <v>57</v>
      </c>
      <c r="O37" s="742">
        <f t="shared" si="22"/>
        <v>90</v>
      </c>
      <c r="P37" s="742">
        <f t="shared" si="22"/>
        <v>84</v>
      </c>
      <c r="Q37" s="742">
        <f t="shared" si="22"/>
        <v>48</v>
      </c>
      <c r="R37" s="742">
        <f>R15</f>
        <v>68</v>
      </c>
      <c r="S37" s="742">
        <f t="shared" si="23"/>
        <v>79</v>
      </c>
      <c r="T37" s="742">
        <f t="shared" si="23"/>
        <v>71</v>
      </c>
      <c r="U37" s="742">
        <f t="shared" si="23"/>
        <v>46</v>
      </c>
      <c r="V37" s="742">
        <f>V15</f>
        <v>46</v>
      </c>
      <c r="W37" s="742">
        <f t="shared" si="24"/>
        <v>84</v>
      </c>
      <c r="X37" s="742">
        <f t="shared" si="24"/>
        <v>85</v>
      </c>
      <c r="Y37" s="742">
        <f t="shared" si="24"/>
        <v>11</v>
      </c>
      <c r="Z37" s="742">
        <f t="shared" si="25"/>
        <v>71</v>
      </c>
      <c r="AA37" s="742">
        <f t="shared" si="26"/>
        <v>100</v>
      </c>
      <c r="AB37" s="742">
        <f t="shared" si="26"/>
        <v>109</v>
      </c>
      <c r="AC37" s="742">
        <f t="shared" si="26"/>
        <v>0</v>
      </c>
      <c r="AD37" s="742">
        <f t="shared" si="27"/>
        <v>72</v>
      </c>
      <c r="AE37" s="742">
        <f t="shared" si="28"/>
        <v>92</v>
      </c>
      <c r="AF37" s="742">
        <f t="shared" si="28"/>
        <v>120</v>
      </c>
      <c r="AG37" s="742">
        <f t="shared" si="28"/>
        <v>0</v>
      </c>
      <c r="AH37" s="742">
        <f t="shared" si="29"/>
        <v>110</v>
      </c>
      <c r="AI37" s="742">
        <f t="shared" si="30"/>
        <v>129</v>
      </c>
      <c r="AJ37" s="742">
        <f t="shared" si="30"/>
        <v>45</v>
      </c>
      <c r="AK37" s="757">
        <f t="shared" si="30"/>
        <v>0</v>
      </c>
      <c r="AL37" s="742">
        <f t="shared" si="31"/>
        <v>97</v>
      </c>
      <c r="AM37" s="742">
        <f t="shared" si="32"/>
        <v>45</v>
      </c>
      <c r="AN37" s="742">
        <f t="shared" si="32"/>
        <v>-142</v>
      </c>
      <c r="AO37" s="757">
        <f t="shared" si="32"/>
        <v>0</v>
      </c>
      <c r="AP37" s="757">
        <f t="shared" si="33"/>
        <v>0</v>
      </c>
      <c r="AQ37" s="757">
        <f t="shared" si="32"/>
        <v>0</v>
      </c>
      <c r="AR37" s="757">
        <f t="shared" si="32"/>
        <v>0</v>
      </c>
      <c r="AS37" s="742">
        <f t="shared" si="32"/>
        <v>0</v>
      </c>
      <c r="AT37" s="742">
        <f t="shared" si="34"/>
        <v>0</v>
      </c>
      <c r="AU37" s="742"/>
      <c r="AV37" s="742"/>
      <c r="AW37" s="742"/>
      <c r="AX37" s="742"/>
      <c r="AY37" s="742"/>
      <c r="AZ37" s="742"/>
      <c r="BA37" s="742"/>
      <c r="BB37" s="742"/>
      <c r="BC37" s="742"/>
      <c r="BD37" s="742"/>
      <c r="BE37" s="742"/>
      <c r="BF37" s="742"/>
      <c r="BG37" s="742"/>
      <c r="BH37" s="742"/>
      <c r="BI37" s="742"/>
      <c r="BJ37" s="742"/>
      <c r="BK37" s="742"/>
      <c r="BL37" s="742"/>
      <c r="BM37" s="742"/>
      <c r="BN37" s="210"/>
    </row>
    <row r="38" spans="1:66">
      <c r="A38" s="1735" t="s">
        <v>642</v>
      </c>
      <c r="B38" s="742">
        <f>B16</f>
        <v>0</v>
      </c>
      <c r="C38" s="742">
        <f t="shared" si="19"/>
        <v>0</v>
      </c>
      <c r="D38" s="742">
        <f t="shared" si="19"/>
        <v>0</v>
      </c>
      <c r="E38" s="742">
        <f t="shared" si="19"/>
        <v>0</v>
      </c>
      <c r="F38" s="742">
        <f>F16</f>
        <v>0</v>
      </c>
      <c r="G38" s="742">
        <f t="shared" si="20"/>
        <v>0</v>
      </c>
      <c r="H38" s="742">
        <f t="shared" si="20"/>
        <v>0</v>
      </c>
      <c r="I38" s="742">
        <f t="shared" si="20"/>
        <v>0</v>
      </c>
      <c r="J38" s="742">
        <f>J16</f>
        <v>0</v>
      </c>
      <c r="K38" s="742">
        <f t="shared" si="21"/>
        <v>45</v>
      </c>
      <c r="L38" s="742">
        <f t="shared" si="21"/>
        <v>44</v>
      </c>
      <c r="M38" s="742">
        <f t="shared" si="21"/>
        <v>0</v>
      </c>
      <c r="N38" s="742">
        <f>N16</f>
        <v>50</v>
      </c>
      <c r="O38" s="742">
        <f t="shared" si="22"/>
        <v>63</v>
      </c>
      <c r="P38" s="742">
        <f t="shared" si="22"/>
        <v>46</v>
      </c>
      <c r="Q38" s="742">
        <f t="shared" si="22"/>
        <v>0</v>
      </c>
      <c r="R38" s="742">
        <f>R16</f>
        <v>59</v>
      </c>
      <c r="S38" s="742">
        <f t="shared" si="23"/>
        <v>68</v>
      </c>
      <c r="T38" s="742">
        <f t="shared" si="23"/>
        <v>36</v>
      </c>
      <c r="U38" s="742">
        <f t="shared" si="23"/>
        <v>0</v>
      </c>
      <c r="V38" s="742">
        <f>V16</f>
        <v>45</v>
      </c>
      <c r="W38" s="742">
        <f t="shared" si="24"/>
        <v>64</v>
      </c>
      <c r="X38" s="742">
        <f t="shared" si="24"/>
        <v>31</v>
      </c>
      <c r="Y38" s="742">
        <f t="shared" si="24"/>
        <v>0</v>
      </c>
      <c r="Z38" s="742">
        <f t="shared" si="25"/>
        <v>44</v>
      </c>
      <c r="AA38" s="742">
        <f t="shared" si="26"/>
        <v>82</v>
      </c>
      <c r="AB38" s="742">
        <f t="shared" si="26"/>
        <v>50</v>
      </c>
      <c r="AC38" s="742">
        <f t="shared" si="26"/>
        <v>1</v>
      </c>
      <c r="AD38" s="742">
        <f t="shared" si="27"/>
        <v>98</v>
      </c>
      <c r="AE38" s="742">
        <f t="shared" si="28"/>
        <v>183</v>
      </c>
      <c r="AF38" s="742">
        <f t="shared" si="28"/>
        <v>161</v>
      </c>
      <c r="AG38" s="742">
        <f t="shared" si="28"/>
        <v>0</v>
      </c>
      <c r="AH38" s="742">
        <f t="shared" si="29"/>
        <v>195</v>
      </c>
      <c r="AI38" s="742">
        <f t="shared" si="30"/>
        <v>312</v>
      </c>
      <c r="AJ38" s="742">
        <f t="shared" si="30"/>
        <v>213</v>
      </c>
      <c r="AK38" s="757">
        <f t="shared" si="30"/>
        <v>0</v>
      </c>
      <c r="AL38" s="742">
        <f t="shared" si="31"/>
        <v>259</v>
      </c>
      <c r="AM38" s="742">
        <f t="shared" si="32"/>
        <v>277</v>
      </c>
      <c r="AN38" s="742">
        <f t="shared" si="32"/>
        <v>205</v>
      </c>
      <c r="AO38" s="757">
        <f t="shared" si="32"/>
        <v>0</v>
      </c>
      <c r="AP38" s="757">
        <f t="shared" si="33"/>
        <v>241</v>
      </c>
      <c r="AQ38" s="757">
        <f t="shared" si="32"/>
        <v>275</v>
      </c>
      <c r="AR38" s="757">
        <f t="shared" si="32"/>
        <v>170</v>
      </c>
      <c r="AS38" s="742">
        <f t="shared" si="32"/>
        <v>34</v>
      </c>
      <c r="AT38" s="742">
        <f t="shared" si="34"/>
        <v>300</v>
      </c>
      <c r="AU38" s="742"/>
      <c r="AV38" s="742"/>
      <c r="AW38" s="742"/>
      <c r="AX38" s="742"/>
      <c r="AY38" s="742"/>
      <c r="AZ38" s="742"/>
      <c r="BA38" s="742"/>
      <c r="BB38" s="742"/>
      <c r="BC38" s="742"/>
      <c r="BD38" s="742"/>
      <c r="BE38" s="742"/>
      <c r="BF38" s="742"/>
      <c r="BG38" s="742"/>
      <c r="BH38" s="742"/>
      <c r="BI38" s="742"/>
      <c r="BJ38" s="742"/>
      <c r="BK38" s="742"/>
      <c r="BL38" s="742"/>
      <c r="BM38" s="742"/>
      <c r="BN38" s="210"/>
    </row>
    <row r="39" spans="1:66">
      <c r="A39" s="1735" t="s">
        <v>675</v>
      </c>
      <c r="B39" s="757" t="str">
        <f t="shared" ref="B39:X39" si="35">IFERROR(B17-A17,"ND")</f>
        <v>ND</v>
      </c>
      <c r="C39" s="757" t="str">
        <f t="shared" si="35"/>
        <v>ND</v>
      </c>
      <c r="D39" s="757" t="str">
        <f t="shared" si="35"/>
        <v>ND</v>
      </c>
      <c r="E39" s="757" t="str">
        <f t="shared" si="35"/>
        <v>ND</v>
      </c>
      <c r="F39" s="757" t="str">
        <f t="shared" si="35"/>
        <v>ND</v>
      </c>
      <c r="G39" s="757" t="str">
        <f t="shared" si="35"/>
        <v>ND</v>
      </c>
      <c r="H39" s="757" t="str">
        <f t="shared" si="35"/>
        <v>ND</v>
      </c>
      <c r="I39" s="757" t="str">
        <f t="shared" si="35"/>
        <v>ND</v>
      </c>
      <c r="J39" s="757" t="str">
        <f t="shared" si="35"/>
        <v>ND</v>
      </c>
      <c r="K39" s="757" t="str">
        <f t="shared" si="35"/>
        <v>ND</v>
      </c>
      <c r="L39" s="757" t="str">
        <f t="shared" si="35"/>
        <v>ND</v>
      </c>
      <c r="M39" s="757" t="str">
        <f t="shared" si="35"/>
        <v>ND</v>
      </c>
      <c r="N39" s="757" t="str">
        <f t="shared" si="35"/>
        <v>ND</v>
      </c>
      <c r="O39" s="757" t="str">
        <f t="shared" si="35"/>
        <v>ND</v>
      </c>
      <c r="P39" s="757" t="str">
        <f t="shared" si="35"/>
        <v>ND</v>
      </c>
      <c r="Q39" s="757" t="str">
        <f t="shared" si="35"/>
        <v>ND</v>
      </c>
      <c r="R39" s="757" t="str">
        <f t="shared" si="35"/>
        <v>ND</v>
      </c>
      <c r="S39" s="757" t="str">
        <f t="shared" si="35"/>
        <v>ND</v>
      </c>
      <c r="T39" s="757" t="str">
        <f t="shared" si="35"/>
        <v>ND</v>
      </c>
      <c r="U39" s="757" t="str">
        <f t="shared" si="35"/>
        <v>ND</v>
      </c>
      <c r="V39" s="757" t="str">
        <f t="shared" si="35"/>
        <v>ND</v>
      </c>
      <c r="W39" s="757" t="str">
        <f t="shared" si="35"/>
        <v>ND</v>
      </c>
      <c r="X39" s="757" t="str">
        <f t="shared" si="35"/>
        <v>ND</v>
      </c>
      <c r="Y39" s="742">
        <f>Y17-X17</f>
        <v>0</v>
      </c>
      <c r="Z39" s="742">
        <f t="shared" si="25"/>
        <v>357</v>
      </c>
      <c r="AA39" s="742">
        <f t="shared" si="26"/>
        <v>875</v>
      </c>
      <c r="AB39" s="742">
        <f t="shared" si="26"/>
        <v>561</v>
      </c>
      <c r="AC39" s="742">
        <f t="shared" si="26"/>
        <v>0</v>
      </c>
      <c r="AD39" s="742">
        <f t="shared" si="27"/>
        <v>704</v>
      </c>
      <c r="AE39" s="742">
        <f t="shared" si="28"/>
        <v>891</v>
      </c>
      <c r="AF39" s="742">
        <f t="shared" si="28"/>
        <v>541</v>
      </c>
      <c r="AG39" s="742">
        <f t="shared" si="28"/>
        <v>0</v>
      </c>
      <c r="AH39" s="742">
        <f t="shared" si="29"/>
        <v>840</v>
      </c>
      <c r="AI39" s="742">
        <f t="shared" si="30"/>
        <v>1298</v>
      </c>
      <c r="AJ39" s="742">
        <f t="shared" si="30"/>
        <v>512</v>
      </c>
      <c r="AK39" s="757">
        <f t="shared" si="30"/>
        <v>0</v>
      </c>
      <c r="AL39" s="742">
        <f t="shared" si="31"/>
        <v>880</v>
      </c>
      <c r="AM39" s="742">
        <f t="shared" si="32"/>
        <v>1077</v>
      </c>
      <c r="AN39" s="742">
        <f t="shared" si="32"/>
        <v>624</v>
      </c>
      <c r="AO39" s="757">
        <f t="shared" si="32"/>
        <v>0</v>
      </c>
      <c r="AP39" s="757">
        <f t="shared" si="33"/>
        <v>1002</v>
      </c>
      <c r="AQ39" s="757">
        <f t="shared" si="32"/>
        <v>1133</v>
      </c>
      <c r="AR39" s="757">
        <f t="shared" si="32"/>
        <v>377</v>
      </c>
      <c r="AS39" s="742">
        <f t="shared" si="32"/>
        <v>0</v>
      </c>
      <c r="AT39" s="742">
        <f t="shared" si="34"/>
        <v>1092</v>
      </c>
      <c r="AU39" s="742"/>
      <c r="AV39" s="742"/>
      <c r="AW39" s="742"/>
      <c r="AX39" s="742"/>
      <c r="AY39" s="742"/>
      <c r="AZ39" s="742"/>
      <c r="BA39" s="742"/>
      <c r="BB39" s="742"/>
      <c r="BC39" s="742"/>
      <c r="BD39" s="742"/>
      <c r="BE39" s="742"/>
      <c r="BF39" s="742"/>
      <c r="BG39" s="742"/>
      <c r="BH39" s="742"/>
      <c r="BI39" s="742"/>
      <c r="BJ39" s="742"/>
      <c r="BK39" s="742"/>
      <c r="BL39" s="742"/>
      <c r="BM39" s="742"/>
      <c r="BN39" s="210"/>
    </row>
    <row r="40" spans="1:66">
      <c r="A40" s="1735" t="s">
        <v>1066</v>
      </c>
      <c r="B40" s="757" t="str">
        <f>IFERROR(B19-A19,"ND")</f>
        <v>ND</v>
      </c>
      <c r="C40" s="757">
        <f>IFERROR(C19-B19,"ND")</f>
        <v>0</v>
      </c>
      <c r="D40" s="757">
        <f>IFERROR(D19-C19,"ND")</f>
        <v>0</v>
      </c>
      <c r="E40" s="835">
        <v>348</v>
      </c>
      <c r="F40" s="835">
        <v>375</v>
      </c>
      <c r="G40" s="835">
        <v>402</v>
      </c>
      <c r="H40" s="835">
        <v>296</v>
      </c>
      <c r="I40" s="835">
        <v>497</v>
      </c>
      <c r="J40" s="835">
        <v>200</v>
      </c>
      <c r="K40" s="835">
        <v>410</v>
      </c>
      <c r="L40" s="835">
        <v>407</v>
      </c>
      <c r="M40" s="835">
        <v>497</v>
      </c>
      <c r="N40" s="835">
        <v>422</v>
      </c>
      <c r="O40" s="835">
        <v>535</v>
      </c>
      <c r="P40" s="835">
        <v>494</v>
      </c>
      <c r="Q40" s="835">
        <v>455</v>
      </c>
      <c r="R40" s="835">
        <v>423</v>
      </c>
      <c r="S40" s="835">
        <v>478</v>
      </c>
      <c r="T40" s="835">
        <v>523</v>
      </c>
      <c r="U40" s="835">
        <v>355</v>
      </c>
      <c r="V40" s="835">
        <v>371</v>
      </c>
      <c r="W40" s="835">
        <v>439</v>
      </c>
      <c r="X40" s="835">
        <v>427</v>
      </c>
      <c r="Y40" s="819">
        <v>316</v>
      </c>
      <c r="Z40" s="819">
        <v>293</v>
      </c>
      <c r="AA40" s="819">
        <v>589</v>
      </c>
      <c r="AB40" s="819">
        <v>446</v>
      </c>
      <c r="AC40" s="819">
        <v>472</v>
      </c>
      <c r="AD40" s="819">
        <v>565</v>
      </c>
      <c r="AE40" s="819">
        <v>646</v>
      </c>
      <c r="AF40" s="819">
        <v>423</v>
      </c>
      <c r="AG40" s="819">
        <v>506</v>
      </c>
      <c r="AH40" s="819">
        <v>542</v>
      </c>
      <c r="AI40" s="819">
        <v>529</v>
      </c>
      <c r="AJ40" s="819">
        <v>599</v>
      </c>
      <c r="AK40" s="835">
        <v>789</v>
      </c>
      <c r="AL40" s="819">
        <v>442</v>
      </c>
      <c r="AM40" s="819">
        <v>661</v>
      </c>
      <c r="AN40" s="819">
        <v>788</v>
      </c>
      <c r="AO40" s="819">
        <v>739</v>
      </c>
      <c r="AP40" s="819">
        <v>620</v>
      </c>
      <c r="AQ40" s="819">
        <v>667</v>
      </c>
      <c r="AR40" s="819">
        <v>591</v>
      </c>
      <c r="AS40" s="819">
        <v>701</v>
      </c>
      <c r="AT40" s="819">
        <v>641</v>
      </c>
      <c r="AU40" s="742"/>
      <c r="AV40" s="742"/>
      <c r="AW40" s="742"/>
      <c r="AX40" s="742"/>
      <c r="AY40" s="742"/>
      <c r="AZ40" s="742"/>
      <c r="BA40" s="742"/>
      <c r="BB40" s="742"/>
      <c r="BC40" s="742"/>
      <c r="BD40" s="742"/>
      <c r="BE40" s="742"/>
      <c r="BF40" s="742"/>
      <c r="BG40" s="742"/>
      <c r="BH40" s="742"/>
      <c r="BI40" s="742"/>
      <c r="BJ40" s="742"/>
      <c r="BK40" s="742"/>
      <c r="BL40" s="742"/>
      <c r="BM40" s="742"/>
      <c r="BN40" s="210"/>
    </row>
    <row r="41" spans="1:66">
      <c r="A41" s="1732" t="s">
        <v>825</v>
      </c>
      <c r="B41" s="210"/>
      <c r="C41" s="210"/>
      <c r="D41" s="210"/>
      <c r="E41" s="210"/>
      <c r="F41" s="210"/>
      <c r="G41" s="210"/>
      <c r="H41" s="210"/>
      <c r="I41" s="210"/>
      <c r="J41" s="210"/>
      <c r="K41" s="210"/>
      <c r="L41" s="210"/>
      <c r="M41" s="210"/>
      <c r="N41" s="210"/>
      <c r="O41" s="210"/>
      <c r="P41" s="210"/>
      <c r="Q41" s="210"/>
      <c r="R41" s="210"/>
      <c r="S41" s="210"/>
      <c r="T41" s="210"/>
      <c r="U41" s="210"/>
      <c r="V41" s="210"/>
      <c r="W41" s="210"/>
      <c r="X41" s="210"/>
      <c r="Y41" s="210"/>
      <c r="Z41" s="734"/>
      <c r="AA41" s="734"/>
      <c r="AB41" s="734"/>
      <c r="AC41" s="210"/>
      <c r="AD41" s="734"/>
      <c r="AE41" s="734"/>
      <c r="AF41" s="734"/>
      <c r="AG41" s="734"/>
      <c r="AH41" s="734"/>
      <c r="AI41" s="734"/>
      <c r="AJ41" s="734"/>
      <c r="AK41" s="728"/>
      <c r="AL41" s="734"/>
      <c r="AM41" s="734"/>
      <c r="AN41" s="734"/>
      <c r="AO41" s="734"/>
      <c r="AP41" s="734"/>
      <c r="AQ41" s="734"/>
      <c r="AR41" s="734"/>
      <c r="AS41" s="210"/>
      <c r="AT41" s="734"/>
      <c r="AU41" s="734"/>
      <c r="AV41" s="734"/>
      <c r="AW41" s="210"/>
      <c r="AX41" s="734"/>
      <c r="AY41" s="734"/>
      <c r="AZ41" s="734"/>
      <c r="BA41" s="210"/>
      <c r="BB41" s="734"/>
      <c r="BC41" s="734"/>
      <c r="BD41" s="734"/>
      <c r="BE41" s="210"/>
      <c r="BF41" s="734"/>
      <c r="BG41" s="734"/>
      <c r="BH41" s="734"/>
      <c r="BI41" s="210"/>
      <c r="BJ41" s="734"/>
      <c r="BK41" s="734"/>
      <c r="BL41" s="734"/>
      <c r="BM41" s="210"/>
      <c r="BN41" s="210"/>
    </row>
    <row r="42" spans="1:66">
      <c r="A42" s="1739" t="s">
        <v>54</v>
      </c>
      <c r="B42" s="824" t="s">
        <v>963</v>
      </c>
      <c r="C42" s="824" t="s">
        <v>963</v>
      </c>
      <c r="D42" s="824" t="s">
        <v>963</v>
      </c>
      <c r="E42" s="824" t="s">
        <v>963</v>
      </c>
      <c r="F42" s="824" t="s">
        <v>963</v>
      </c>
      <c r="G42" s="824" t="s">
        <v>963</v>
      </c>
      <c r="H42" s="824" t="s">
        <v>963</v>
      </c>
      <c r="I42" s="824" t="s">
        <v>963</v>
      </c>
      <c r="J42" s="824" t="s">
        <v>963</v>
      </c>
      <c r="K42" s="824" t="s">
        <v>963</v>
      </c>
      <c r="L42" s="824" t="s">
        <v>963</v>
      </c>
      <c r="M42" s="824" t="s">
        <v>963</v>
      </c>
      <c r="N42" s="824" t="s">
        <v>963</v>
      </c>
      <c r="O42" s="825">
        <v>0.42</v>
      </c>
      <c r="P42" s="824" t="s">
        <v>963</v>
      </c>
      <c r="Q42" s="824" t="s">
        <v>963</v>
      </c>
      <c r="R42" s="824" t="s">
        <v>963</v>
      </c>
      <c r="S42" s="825">
        <v>0.47</v>
      </c>
      <c r="T42" s="824" t="s">
        <v>963</v>
      </c>
      <c r="U42" s="824" t="s">
        <v>963</v>
      </c>
      <c r="V42" s="824" t="s">
        <v>963</v>
      </c>
      <c r="W42" s="824" t="s">
        <v>963</v>
      </c>
      <c r="X42" s="824" t="s">
        <v>963</v>
      </c>
      <c r="Y42" s="973">
        <f>IF(Y39=0,X20,(Y20*Y$17-X20*X$17)/Y$39)</f>
        <v>0.56000000000000005</v>
      </c>
      <c r="Z42" s="783">
        <f>Z20</f>
        <v>0.56000000000000005</v>
      </c>
      <c r="AA42" s="783">
        <f>IF(AA20=0,Z20,(AA20*AA$17-Z20*Z$17)/AA$39)</f>
        <v>0.56000000000000005</v>
      </c>
      <c r="AB42" s="783">
        <f>IF(AB20=0,AA20,(AB20*AB$17-AA20*AA$17)/AB$39)</f>
        <v>0.59196078431372512</v>
      </c>
      <c r="AC42" s="783">
        <f>IF(AC39=0,AB20,(AC20*AC$17-AB20*AB$17)/AC$39)</f>
        <v>0.56999999999999995</v>
      </c>
      <c r="AD42" s="783">
        <f>AD20</f>
        <v>0.47</v>
      </c>
      <c r="AE42" s="783">
        <f>IF(AE20=0,AD20,(AE20*AE$17-AD20*AD$17)/AE$39)</f>
        <v>0.52370370370370367</v>
      </c>
      <c r="AF42" s="783">
        <f>IF(AF20=0,AE20,(AF20*AF$17-AE20*AE$17)/AF$39)</f>
        <v>0.42103512014787425</v>
      </c>
      <c r="AG42" s="783">
        <f>IF(AG39=0,AF20,(AG20*AG$17-AF20*AF$17)/AG$39)</f>
        <v>0.48</v>
      </c>
      <c r="AH42" s="783">
        <f>AH20</f>
        <v>0.47</v>
      </c>
      <c r="AI42" s="783">
        <f>IF(AI20=0,AH20,(AI20*AI$17-AH20*AH$17)/AI$39)</f>
        <v>0.48647149460708788</v>
      </c>
      <c r="AJ42" s="783">
        <f>IF(AJ20=0,AI20,(AJ20*AJ$17-AI20*AI$17)/AJ$39)</f>
        <v>0.53175781249999998</v>
      </c>
      <c r="AK42" s="826">
        <f>IF(AK39=0,AJ20,(AK20*AK$17-AJ20*AJ$17)/AK$39)</f>
        <v>0.49</v>
      </c>
      <c r="AL42" s="783">
        <f t="shared" ref="AL42:AO43" si="36">AL20</f>
        <v>0.51</v>
      </c>
      <c r="AM42" s="783">
        <f t="shared" si="36"/>
        <v>0.51</v>
      </c>
      <c r="AN42" s="783">
        <f t="shared" si="36"/>
        <v>0.5</v>
      </c>
      <c r="AO42" s="783">
        <f t="shared" si="36"/>
        <v>0.5</v>
      </c>
      <c r="AP42" s="783">
        <f t="shared" ref="AP42:AQ42" si="37">AP20</f>
        <v>0.5</v>
      </c>
      <c r="AQ42" s="783">
        <f t="shared" si="37"/>
        <v>0.54</v>
      </c>
      <c r="AR42" s="783">
        <f t="shared" ref="AR42:AT42" si="38">AR20</f>
        <v>0.54</v>
      </c>
      <c r="AS42" s="783">
        <f t="shared" si="38"/>
        <v>0.54</v>
      </c>
      <c r="AT42" s="783">
        <f t="shared" si="38"/>
        <v>0.48</v>
      </c>
      <c r="AU42" s="783"/>
      <c r="AV42" s="783"/>
      <c r="AW42" s="783"/>
      <c r="AX42" s="783"/>
      <c r="AY42" s="783"/>
      <c r="AZ42" s="783"/>
      <c r="BA42" s="783"/>
      <c r="BB42" s="783"/>
      <c r="BC42" s="783"/>
      <c r="BD42" s="783"/>
      <c r="BE42" s="783"/>
      <c r="BF42" s="783"/>
      <c r="BG42" s="783"/>
      <c r="BH42" s="783"/>
      <c r="BI42" s="783"/>
      <c r="BJ42" s="783"/>
      <c r="BK42" s="783"/>
      <c r="BL42" s="783"/>
      <c r="BM42" s="783"/>
      <c r="BN42" s="327"/>
    </row>
    <row r="43" spans="1:66">
      <c r="A43" s="1733" t="s">
        <v>42</v>
      </c>
      <c r="B43" s="826" t="s">
        <v>963</v>
      </c>
      <c r="C43" s="826" t="s">
        <v>963</v>
      </c>
      <c r="D43" s="826" t="s">
        <v>963</v>
      </c>
      <c r="E43" s="826" t="s">
        <v>963</v>
      </c>
      <c r="F43" s="826" t="s">
        <v>963</v>
      </c>
      <c r="G43" s="826" t="s">
        <v>963</v>
      </c>
      <c r="H43" s="826" t="s">
        <v>963</v>
      </c>
      <c r="I43" s="826" t="s">
        <v>963</v>
      </c>
      <c r="J43" s="826" t="s">
        <v>963</v>
      </c>
      <c r="K43" s="826" t="s">
        <v>963</v>
      </c>
      <c r="L43" s="826" t="s">
        <v>963</v>
      </c>
      <c r="M43" s="826" t="s">
        <v>963</v>
      </c>
      <c r="N43" s="826" t="s">
        <v>963</v>
      </c>
      <c r="O43" s="827">
        <v>0.57999999999999996</v>
      </c>
      <c r="P43" s="826" t="s">
        <v>963</v>
      </c>
      <c r="Q43" s="826" t="s">
        <v>963</v>
      </c>
      <c r="R43" s="826" t="s">
        <v>963</v>
      </c>
      <c r="S43" s="827">
        <v>0.53</v>
      </c>
      <c r="T43" s="826" t="s">
        <v>963</v>
      </c>
      <c r="U43" s="826" t="s">
        <v>963</v>
      </c>
      <c r="V43" s="826" t="s">
        <v>963</v>
      </c>
      <c r="W43" s="826" t="s">
        <v>963</v>
      </c>
      <c r="X43" s="826" t="s">
        <v>963</v>
      </c>
      <c r="Y43" s="783">
        <f>IF(Y39=0,X21,(Y21*Y$17-X21*X$17)/Y$39)</f>
        <v>0.44</v>
      </c>
      <c r="Z43" s="783">
        <f>Z21</f>
        <v>0.44</v>
      </c>
      <c r="AA43" s="783">
        <f>IF(AA21=0,Z21,(AA21*AA$17-Z21*Z$17)/AA$39)</f>
        <v>0.44</v>
      </c>
      <c r="AB43" s="783">
        <f>IF(AB21=0,AA21,(AB21*AB$17-AA21*AA$17)/AB$39)</f>
        <v>0.40803921568627444</v>
      </c>
      <c r="AC43" s="783">
        <f>IF(AC39=0,AB21,(AC21*AC$17-AB21*AB$17)/AC$39)</f>
        <v>0.43</v>
      </c>
      <c r="AD43" s="783">
        <f>AD21</f>
        <v>0.53</v>
      </c>
      <c r="AE43" s="783">
        <f>IF(AE21=0,AD21,(AE21*AE$17-AD21*AD$17)/AE$39)</f>
        <v>0.47629629629629627</v>
      </c>
      <c r="AF43" s="783">
        <f>IF(AF21=0,AE21,(AF21*AF$17-AE21*AE$17)/AF$39)</f>
        <v>0.57896487985212575</v>
      </c>
      <c r="AG43" s="783">
        <f>IF(AG39=0,AF21,(AG21*AG$17-AF21*AF$17)/AG$39)</f>
        <v>0.52</v>
      </c>
      <c r="AH43" s="783">
        <f>AH21</f>
        <v>0.53</v>
      </c>
      <c r="AI43" s="783">
        <f>IF(AI21=0,AH21,(AI21*AI$17-AH21*AH$17)/AI$39)</f>
        <v>0.51352850539291217</v>
      </c>
      <c r="AJ43" s="783">
        <f>IF(AJ21=0,AI21,(AJ21*AJ$17-AI21*AI$17)/AJ$39)</f>
        <v>0.46824218750000002</v>
      </c>
      <c r="AK43" s="826">
        <f>IF(AK39=0,AJ21,(AK21*AK$17-AJ21*AJ$17)/AK$39)</f>
        <v>0.51</v>
      </c>
      <c r="AL43" s="783">
        <f t="shared" si="36"/>
        <v>0.49</v>
      </c>
      <c r="AM43" s="783">
        <f t="shared" si="36"/>
        <v>0.49</v>
      </c>
      <c r="AN43" s="783">
        <f t="shared" si="36"/>
        <v>0.5</v>
      </c>
      <c r="AO43" s="783">
        <f t="shared" si="36"/>
        <v>0.5</v>
      </c>
      <c r="AP43" s="783">
        <f t="shared" ref="AP43:AQ43" si="39">AP21</f>
        <v>0.5</v>
      </c>
      <c r="AQ43" s="783">
        <f t="shared" si="39"/>
        <v>0.46</v>
      </c>
      <c r="AR43" s="783">
        <f t="shared" ref="AR43:AT43" si="40">AR21</f>
        <v>0.46</v>
      </c>
      <c r="AS43" s="783">
        <f t="shared" si="40"/>
        <v>0.46</v>
      </c>
      <c r="AT43" s="783">
        <f t="shared" si="40"/>
        <v>0.52</v>
      </c>
      <c r="AU43" s="783"/>
      <c r="AV43" s="783"/>
      <c r="AW43" s="783"/>
      <c r="AX43" s="783"/>
      <c r="AY43" s="783"/>
      <c r="AZ43" s="783"/>
      <c r="BA43" s="783"/>
      <c r="BB43" s="783"/>
      <c r="BC43" s="783"/>
      <c r="BD43" s="783"/>
      <c r="BE43" s="783"/>
      <c r="BF43" s="783"/>
      <c r="BG43" s="783"/>
      <c r="BH43" s="783"/>
      <c r="BI43" s="783"/>
      <c r="BJ43" s="783"/>
      <c r="BK43" s="783"/>
      <c r="BL43" s="783"/>
      <c r="BM43" s="783"/>
      <c r="BN43" s="210"/>
    </row>
    <row r="44" spans="1:66">
      <c r="A44" s="1732" t="s">
        <v>825</v>
      </c>
      <c r="B44" s="210"/>
      <c r="C44" s="210"/>
      <c r="D44" s="210"/>
      <c r="E44" s="210"/>
      <c r="F44" s="210"/>
      <c r="G44" s="210"/>
      <c r="H44" s="210"/>
      <c r="I44" s="210"/>
      <c r="J44" s="210"/>
      <c r="K44" s="210"/>
      <c r="L44" s="210"/>
      <c r="M44" s="210"/>
      <c r="N44" s="210"/>
      <c r="O44" s="210"/>
      <c r="P44" s="210"/>
      <c r="Q44" s="210"/>
      <c r="R44" s="210"/>
      <c r="S44" s="210"/>
      <c r="T44" s="210"/>
      <c r="U44" s="210"/>
      <c r="V44" s="210"/>
      <c r="W44" s="210"/>
      <c r="X44" s="210"/>
      <c r="Y44" s="210"/>
      <c r="Z44" s="210"/>
      <c r="AA44" s="734"/>
      <c r="AB44" s="795"/>
      <c r="AC44" s="210"/>
      <c r="AD44" s="210"/>
      <c r="AE44" s="734"/>
      <c r="AF44" s="795"/>
      <c r="AG44" s="795"/>
      <c r="AH44" s="210"/>
      <c r="AI44" s="734"/>
      <c r="AJ44" s="734"/>
      <c r="AK44" s="1367"/>
      <c r="AL44" s="210"/>
      <c r="AM44" s="210"/>
      <c r="AN44" s="210"/>
      <c r="AO44" s="210"/>
      <c r="AP44" s="210"/>
      <c r="AQ44" s="210"/>
      <c r="AR44" s="210"/>
      <c r="AS44" s="210"/>
      <c r="AT44" s="210"/>
      <c r="AU44" s="734"/>
      <c r="AV44" s="795"/>
      <c r="AW44" s="210"/>
      <c r="AX44" s="210"/>
      <c r="AY44" s="734"/>
      <c r="AZ44" s="795"/>
      <c r="BA44" s="210"/>
      <c r="BB44" s="210"/>
      <c r="BC44" s="734"/>
      <c r="BD44" s="795"/>
      <c r="BE44" s="210"/>
      <c r="BF44" s="210"/>
      <c r="BG44" s="734"/>
      <c r="BH44" s="795"/>
      <c r="BI44" s="210"/>
      <c r="BJ44" s="210"/>
      <c r="BK44" s="734"/>
      <c r="BL44" s="795"/>
      <c r="BM44" s="210"/>
      <c r="BN44" s="210"/>
    </row>
    <row r="45" spans="1:66">
      <c r="A45" s="1733" t="s">
        <v>826</v>
      </c>
      <c r="B45" s="824" t="s">
        <v>963</v>
      </c>
      <c r="C45" s="824" t="s">
        <v>963</v>
      </c>
      <c r="D45" s="824" t="s">
        <v>963</v>
      </c>
      <c r="E45" s="824" t="s">
        <v>963</v>
      </c>
      <c r="F45" s="824" t="s">
        <v>963</v>
      </c>
      <c r="G45" s="824" t="s">
        <v>963</v>
      </c>
      <c r="H45" s="824" t="s">
        <v>963</v>
      </c>
      <c r="I45" s="824" t="s">
        <v>963</v>
      </c>
      <c r="J45" s="824" t="s">
        <v>963</v>
      </c>
      <c r="K45" s="824" t="s">
        <v>963</v>
      </c>
      <c r="L45" s="824" t="s">
        <v>963</v>
      </c>
      <c r="M45" s="824" t="s">
        <v>963</v>
      </c>
      <c r="N45" s="824" t="s">
        <v>963</v>
      </c>
      <c r="O45" s="824" t="s">
        <v>963</v>
      </c>
      <c r="P45" s="824" t="s">
        <v>963</v>
      </c>
      <c r="Q45" s="824" t="s">
        <v>963</v>
      </c>
      <c r="R45" s="824" t="s">
        <v>963</v>
      </c>
      <c r="S45" s="824" t="s">
        <v>963</v>
      </c>
      <c r="T45" s="824" t="s">
        <v>963</v>
      </c>
      <c r="U45" s="824" t="s">
        <v>963</v>
      </c>
      <c r="V45" s="824" t="s">
        <v>963</v>
      </c>
      <c r="W45" s="824" t="s">
        <v>963</v>
      </c>
      <c r="X45" s="824" t="s">
        <v>963</v>
      </c>
      <c r="Y45" s="783">
        <f>IF(Y39=0,X23,(Y23*Y$17-X23*X$17)/Y$39)</f>
        <v>0.51</v>
      </c>
      <c r="Z45" s="783">
        <f>Z23</f>
        <v>0.56000000000000005</v>
      </c>
      <c r="AA45" s="783">
        <f>IF(AA23=0,Z23,(AA23*AA$17-Z23*Z$17)/AA$39)</f>
        <v>0.54591999999999996</v>
      </c>
      <c r="AB45" s="783">
        <f>IF(AB23=0,AA23,(AB23*AB$17-AA23*AA$17)/AB$39)</f>
        <v>0.7737254901960785</v>
      </c>
      <c r="AC45" s="783">
        <f>IF(AC39=0,AB23,(AC23*AC$17-AB23*AB$17)/AC$39)</f>
        <v>0.62</v>
      </c>
      <c r="AD45" s="783">
        <f>AD23</f>
        <v>0.62</v>
      </c>
      <c r="AE45" s="783">
        <f>IF(AE23=0,AD23,(AE23*AE$17-AD23*AD$17)/AE$39)</f>
        <v>0.62</v>
      </c>
      <c r="AF45" s="783">
        <f>IF(AF23=0,AE23,(AF23*AF$17-AE23*AE$17)/AF$39)</f>
        <v>0.61999999999999988</v>
      </c>
      <c r="AG45" s="783">
        <f>IF(AG39=0,AF23,(AG23*AG$17-AF23*AF$17)/AG$39)</f>
        <v>0.62</v>
      </c>
      <c r="AH45" s="783">
        <f>AH23</f>
        <v>0.65</v>
      </c>
      <c r="AI45" s="783">
        <f>IF(AI23=0,AH23,(AI23*AI$17-AH23*AH$17)/AI$39)</f>
        <v>0.55117103235747289</v>
      </c>
      <c r="AJ45" s="783">
        <f>IF(AJ23=0,AI23,(AJ23*AJ$17-AI23*AI$17)/AJ$39)</f>
        <v>0.43472656250000075</v>
      </c>
      <c r="AK45" s="826">
        <f>IF(AK39=0,AJ23,(AK23*AK$17-AJ23*AJ$17)/AK$39)</f>
        <v>0.56000000000000005</v>
      </c>
      <c r="AL45" s="783">
        <f t="shared" ref="AL45:AO46" si="41">AL23</f>
        <v>0.54</v>
      </c>
      <c r="AM45" s="783">
        <f t="shared" si="41"/>
        <v>0.57999999999999996</v>
      </c>
      <c r="AN45" s="783">
        <f t="shared" si="41"/>
        <v>0.6</v>
      </c>
      <c r="AO45" s="783">
        <f t="shared" si="41"/>
        <v>0.6</v>
      </c>
      <c r="AP45" s="783">
        <f t="shared" ref="AP45:AQ45" si="42">AP23</f>
        <v>0.54</v>
      </c>
      <c r="AQ45" s="783">
        <f t="shared" si="42"/>
        <v>0.56999999999999995</v>
      </c>
      <c r="AR45" s="783">
        <f t="shared" ref="AR45:AT45" si="43">AR23</f>
        <v>0.61</v>
      </c>
      <c r="AS45" s="783">
        <f t="shared" si="43"/>
        <v>0.61</v>
      </c>
      <c r="AT45" s="783">
        <f t="shared" si="43"/>
        <v>0.5</v>
      </c>
      <c r="AU45" s="783"/>
      <c r="AV45" s="783"/>
      <c r="AW45" s="783"/>
      <c r="AX45" s="783"/>
      <c r="AY45" s="783"/>
      <c r="AZ45" s="783"/>
      <c r="BA45" s="783"/>
      <c r="BB45" s="783"/>
      <c r="BC45" s="783"/>
      <c r="BD45" s="783"/>
      <c r="BE45" s="783"/>
      <c r="BF45" s="783"/>
      <c r="BG45" s="783"/>
      <c r="BH45" s="783"/>
      <c r="BI45" s="783"/>
      <c r="BJ45" s="783"/>
      <c r="BK45" s="783"/>
      <c r="BL45" s="783"/>
      <c r="BM45" s="783"/>
      <c r="BN45" s="210"/>
    </row>
    <row r="46" spans="1:66">
      <c r="A46" s="1733" t="s">
        <v>827</v>
      </c>
      <c r="B46" s="826" t="s">
        <v>963</v>
      </c>
      <c r="C46" s="826" t="s">
        <v>963</v>
      </c>
      <c r="D46" s="826" t="s">
        <v>963</v>
      </c>
      <c r="E46" s="826" t="s">
        <v>963</v>
      </c>
      <c r="F46" s="826" t="s">
        <v>963</v>
      </c>
      <c r="G46" s="826" t="s">
        <v>963</v>
      </c>
      <c r="H46" s="826" t="s">
        <v>963</v>
      </c>
      <c r="I46" s="826" t="s">
        <v>963</v>
      </c>
      <c r="J46" s="826" t="s">
        <v>963</v>
      </c>
      <c r="K46" s="826" t="s">
        <v>963</v>
      </c>
      <c r="L46" s="826" t="s">
        <v>963</v>
      </c>
      <c r="M46" s="826" t="s">
        <v>963</v>
      </c>
      <c r="N46" s="826" t="s">
        <v>963</v>
      </c>
      <c r="O46" s="826" t="s">
        <v>963</v>
      </c>
      <c r="P46" s="826" t="s">
        <v>963</v>
      </c>
      <c r="Q46" s="826" t="s">
        <v>963</v>
      </c>
      <c r="R46" s="826" t="s">
        <v>963</v>
      </c>
      <c r="S46" s="826" t="s">
        <v>963</v>
      </c>
      <c r="T46" s="826" t="s">
        <v>963</v>
      </c>
      <c r="U46" s="826" t="s">
        <v>963</v>
      </c>
      <c r="V46" s="826" t="s">
        <v>963</v>
      </c>
      <c r="W46" s="826" t="s">
        <v>963</v>
      </c>
      <c r="X46" s="826" t="s">
        <v>963</v>
      </c>
      <c r="Y46" s="783">
        <f>IF(Y39=0,X24,(Y24*Y$17-X24*X$17)/Y$39)</f>
        <v>0.49</v>
      </c>
      <c r="Z46" s="783">
        <f>Z24</f>
        <v>0.44</v>
      </c>
      <c r="AA46" s="783">
        <f>IF(AA24=0,Z24,(AA24*AA$17-Z24*Z$17)/AA$39)</f>
        <v>0.45407999999999993</v>
      </c>
      <c r="AB46" s="783">
        <f>IF(AB24=0,AA24,(AB24*AB$17-AA24*AA$17)/AB$39)</f>
        <v>0.22627450980392166</v>
      </c>
      <c r="AC46" s="783">
        <f>IF(AC39=0,AB24,(AC24*AC$17-AB24*AB$17)/AC$39)</f>
        <v>0.38</v>
      </c>
      <c r="AD46" s="783">
        <f>AD24</f>
        <v>0.38</v>
      </c>
      <c r="AE46" s="783">
        <f>IF(AE24=0,AD24,(AE24*AE$17-AD24*AD$17)/AE$39)</f>
        <v>0.38000000000000006</v>
      </c>
      <c r="AF46" s="783">
        <f>IF(AF24=0,AE24,(AF24*AF$17-AE24*AE$17)/AF$39)</f>
        <v>0.38000000000000006</v>
      </c>
      <c r="AG46" s="783">
        <f>IF(AG39=0,AF24,(AG24*AG$17-AF24*AF$17)/AG$39)</f>
        <v>0.38</v>
      </c>
      <c r="AH46" s="783">
        <f>AH24</f>
        <v>0.35</v>
      </c>
      <c r="AI46" s="783">
        <f>IF(AI24=0,AH24,(AI24*AI$17-AH24*AH$17)/AI$39)</f>
        <v>0.44882896764252689</v>
      </c>
      <c r="AJ46" s="783">
        <f>IF(AJ24=0,AI24,(AJ24*AJ$17-AI24*AI$17)/AJ$39)</f>
        <v>0.56527343750000014</v>
      </c>
      <c r="AK46" s="826">
        <f>IF(AK39=0,AJ24,(AK24*AK$17-AJ24*AJ$17)/AK$39)</f>
        <v>0.44</v>
      </c>
      <c r="AL46" s="783">
        <f t="shared" si="41"/>
        <v>0.46</v>
      </c>
      <c r="AM46" s="783">
        <f t="shared" si="41"/>
        <v>0.42</v>
      </c>
      <c r="AN46" s="783">
        <f t="shared" si="41"/>
        <v>0.4</v>
      </c>
      <c r="AO46" s="783">
        <f t="shared" si="41"/>
        <v>0.4</v>
      </c>
      <c r="AP46" s="783">
        <f t="shared" ref="AP46:AQ46" si="44">AP24</f>
        <v>0.46</v>
      </c>
      <c r="AQ46" s="783">
        <f t="shared" si="44"/>
        <v>0.43</v>
      </c>
      <c r="AR46" s="783">
        <f t="shared" ref="AR46:AT46" si="45">AR24</f>
        <v>0.39</v>
      </c>
      <c r="AS46" s="783">
        <f t="shared" si="45"/>
        <v>0.39</v>
      </c>
      <c r="AT46" s="783">
        <f t="shared" si="45"/>
        <v>0.5</v>
      </c>
      <c r="AU46" s="783"/>
      <c r="AV46" s="783"/>
      <c r="AW46" s="783"/>
      <c r="AX46" s="783"/>
      <c r="AY46" s="783"/>
      <c r="AZ46" s="783"/>
      <c r="BA46" s="783"/>
      <c r="BB46" s="783"/>
      <c r="BC46" s="783"/>
      <c r="BD46" s="783"/>
      <c r="BE46" s="783"/>
      <c r="BF46" s="783"/>
      <c r="BG46" s="783"/>
      <c r="BH46" s="783"/>
      <c r="BI46" s="783"/>
      <c r="BJ46" s="783"/>
      <c r="BK46" s="783"/>
      <c r="BL46" s="783"/>
      <c r="BM46" s="783"/>
      <c r="BN46" s="210"/>
    </row>
    <row r="47" spans="1:66">
      <c r="A47" s="1735"/>
      <c r="B47" s="808"/>
      <c r="C47" s="808"/>
      <c r="D47" s="808"/>
      <c r="E47" s="808"/>
      <c r="F47" s="808"/>
      <c r="G47" s="808"/>
      <c r="H47" s="808"/>
      <c r="I47" s="808"/>
      <c r="J47" s="808"/>
      <c r="K47" s="808"/>
      <c r="L47" s="808"/>
      <c r="M47" s="808"/>
      <c r="N47" s="808"/>
      <c r="O47" s="808"/>
      <c r="P47" s="808"/>
      <c r="Q47" s="808"/>
      <c r="R47" s="808"/>
      <c r="S47" s="808"/>
      <c r="T47" s="808"/>
      <c r="U47" s="808"/>
      <c r="V47" s="808"/>
      <c r="W47" s="808"/>
      <c r="X47" s="808"/>
      <c r="Y47" s="808">
        <f t="shared" ref="Y47:AO47" si="46">SUM(Y42:Y43,Y45:Y46)-200%</f>
        <v>0</v>
      </c>
      <c r="Z47" s="808">
        <f t="shared" si="46"/>
        <v>0</v>
      </c>
      <c r="AA47" s="808">
        <f t="shared" si="46"/>
        <v>0</v>
      </c>
      <c r="AB47" s="808">
        <f t="shared" si="46"/>
        <v>0</v>
      </c>
      <c r="AC47" s="808">
        <f t="shared" si="46"/>
        <v>0</v>
      </c>
      <c r="AD47" s="808">
        <f t="shared" si="46"/>
        <v>0</v>
      </c>
      <c r="AE47" s="808">
        <f t="shared" si="46"/>
        <v>0</v>
      </c>
      <c r="AF47" s="808">
        <f t="shared" si="46"/>
        <v>0</v>
      </c>
      <c r="AG47" s="808">
        <f t="shared" si="46"/>
        <v>0</v>
      </c>
      <c r="AH47" s="808">
        <f t="shared" si="46"/>
        <v>0</v>
      </c>
      <c r="AI47" s="808">
        <f t="shared" si="46"/>
        <v>0</v>
      </c>
      <c r="AJ47" s="808">
        <f t="shared" si="46"/>
        <v>0</v>
      </c>
      <c r="AK47" s="1368">
        <f t="shared" si="46"/>
        <v>0</v>
      </c>
      <c r="AL47" s="1368">
        <f t="shared" si="46"/>
        <v>0</v>
      </c>
      <c r="AM47" s="1368">
        <f t="shared" si="46"/>
        <v>0</v>
      </c>
      <c r="AN47" s="1368">
        <f t="shared" si="46"/>
        <v>0</v>
      </c>
      <c r="AO47" s="1368">
        <f t="shared" si="46"/>
        <v>0</v>
      </c>
      <c r="AP47" s="1368">
        <f t="shared" ref="AP47:AS47" si="47">SUM(AP42:AP43,AP45:AP46)-200%</f>
        <v>0</v>
      </c>
      <c r="AQ47" s="1368">
        <f t="shared" si="47"/>
        <v>0</v>
      </c>
      <c r="AR47" s="1368">
        <f t="shared" si="47"/>
        <v>0</v>
      </c>
      <c r="AS47" s="1368">
        <f t="shared" si="47"/>
        <v>0</v>
      </c>
      <c r="AT47" s="1368">
        <f t="shared" ref="AT47" si="48">SUM(AT42:AT43,AT45:AT46)-200%</f>
        <v>0</v>
      </c>
      <c r="AU47" s="210"/>
      <c r="AV47" s="210"/>
      <c r="AW47" s="210"/>
      <c r="AX47" s="210"/>
      <c r="AY47" s="210"/>
      <c r="AZ47" s="210"/>
      <c r="BA47" s="210"/>
      <c r="BB47" s="210"/>
      <c r="BC47" s="210"/>
      <c r="BD47" s="210"/>
      <c r="BE47" s="210"/>
      <c r="BF47" s="210"/>
      <c r="BG47" s="210"/>
      <c r="BH47" s="210"/>
      <c r="BI47" s="210"/>
      <c r="BJ47" s="210"/>
      <c r="BK47" s="210"/>
      <c r="BL47" s="210"/>
      <c r="BM47" s="210"/>
      <c r="BN47" s="210"/>
    </row>
    <row r="48" spans="1:66">
      <c r="A48" s="1732" t="s">
        <v>30</v>
      </c>
      <c r="B48" s="210"/>
      <c r="C48" s="210"/>
      <c r="D48" s="210"/>
      <c r="E48" s="210"/>
      <c r="F48" s="210"/>
      <c r="G48" s="210"/>
      <c r="H48" s="210"/>
      <c r="I48" s="210"/>
      <c r="J48" s="210"/>
      <c r="K48" s="210"/>
      <c r="L48" s="210"/>
      <c r="M48" s="210"/>
      <c r="N48" s="210"/>
      <c r="O48" s="210"/>
      <c r="P48" s="210"/>
      <c r="Q48" s="210"/>
      <c r="R48" s="210"/>
      <c r="S48" s="210"/>
      <c r="T48" s="210"/>
      <c r="U48" s="210"/>
      <c r="V48" s="210"/>
      <c r="W48" s="210"/>
      <c r="X48" s="210"/>
      <c r="Y48" s="210"/>
      <c r="Z48" s="734"/>
      <c r="AA48" s="734"/>
      <c r="AB48" s="734"/>
      <c r="AC48" s="210"/>
      <c r="AD48" s="210"/>
      <c r="AE48" s="734"/>
      <c r="AF48" s="734"/>
      <c r="AG48" s="734"/>
      <c r="AH48" s="210"/>
      <c r="AI48" s="734"/>
      <c r="AJ48" s="734"/>
      <c r="AK48" s="728"/>
      <c r="AL48" s="210"/>
      <c r="AM48" s="210"/>
      <c r="AN48" s="210"/>
      <c r="AO48" s="210"/>
      <c r="AP48" s="210"/>
      <c r="AQ48" s="210"/>
      <c r="AR48" s="210"/>
      <c r="AS48" s="210"/>
      <c r="AT48" s="210"/>
      <c r="AU48" s="210"/>
      <c r="AV48" s="210"/>
      <c r="AW48" s="210"/>
      <c r="AX48" s="210"/>
      <c r="AY48" s="210"/>
      <c r="AZ48" s="210"/>
      <c r="BA48" s="210"/>
      <c r="BB48" s="210"/>
      <c r="BC48" s="210"/>
      <c r="BD48" s="210"/>
      <c r="BE48" s="210"/>
      <c r="BF48" s="210"/>
      <c r="BG48" s="210"/>
      <c r="BH48" s="210"/>
      <c r="BI48" s="210"/>
      <c r="BJ48" s="210"/>
      <c r="BK48" s="210"/>
      <c r="BL48" s="210"/>
      <c r="BM48" s="210"/>
      <c r="BN48" s="210"/>
    </row>
    <row r="49" spans="1:66">
      <c r="A49" s="1732" t="s">
        <v>640</v>
      </c>
      <c r="B49" s="800">
        <f t="shared" ref="B49:AT49" si="49">SUM(B50:B51)</f>
        <v>135.20600000000002</v>
      </c>
      <c r="C49" s="800">
        <f t="shared" si="49"/>
        <v>184.16800000000001</v>
      </c>
      <c r="D49" s="800">
        <f t="shared" si="49"/>
        <v>166.79500000000002</v>
      </c>
      <c r="E49" s="800">
        <f t="shared" si="49"/>
        <v>190.173</v>
      </c>
      <c r="F49" s="800">
        <f t="shared" si="49"/>
        <v>163.96799999999999</v>
      </c>
      <c r="G49" s="800">
        <f t="shared" si="49"/>
        <v>172.58199999999999</v>
      </c>
      <c r="H49" s="800">
        <f t="shared" si="49"/>
        <v>110.054</v>
      </c>
      <c r="I49" s="800">
        <f t="shared" si="49"/>
        <v>159.143</v>
      </c>
      <c r="J49" s="800">
        <f t="shared" si="49"/>
        <v>35.57</v>
      </c>
      <c r="K49" s="800">
        <f t="shared" si="49"/>
        <v>109.80499999999999</v>
      </c>
      <c r="L49" s="800">
        <f t="shared" si="49"/>
        <v>139</v>
      </c>
      <c r="M49" s="800">
        <f t="shared" si="49"/>
        <v>133.30000000000001</v>
      </c>
      <c r="N49" s="800">
        <f t="shared" si="49"/>
        <v>172.2</v>
      </c>
      <c r="O49" s="800">
        <f t="shared" si="49"/>
        <v>228.2</v>
      </c>
      <c r="P49" s="800">
        <f t="shared" si="49"/>
        <v>192.6</v>
      </c>
      <c r="Q49" s="800">
        <f t="shared" si="49"/>
        <v>225.7</v>
      </c>
      <c r="R49" s="800">
        <f t="shared" si="49"/>
        <v>217.5</v>
      </c>
      <c r="S49" s="800">
        <f t="shared" si="49"/>
        <v>270</v>
      </c>
      <c r="T49" s="800">
        <f t="shared" si="49"/>
        <v>230.1</v>
      </c>
      <c r="U49" s="800">
        <f t="shared" si="49"/>
        <v>118.5</v>
      </c>
      <c r="V49" s="800">
        <f t="shared" si="49"/>
        <v>219.4</v>
      </c>
      <c r="W49" s="800">
        <f t="shared" si="49"/>
        <v>297.5</v>
      </c>
      <c r="X49" s="800">
        <f t="shared" si="49"/>
        <v>198</v>
      </c>
      <c r="Y49" s="800">
        <f t="shared" si="49"/>
        <v>110.80000000000001</v>
      </c>
      <c r="Z49" s="800">
        <f t="shared" si="49"/>
        <v>136</v>
      </c>
      <c r="AA49" s="800">
        <f t="shared" si="49"/>
        <v>414.2</v>
      </c>
      <c r="AB49" s="800">
        <f t="shared" si="49"/>
        <v>173.9</v>
      </c>
      <c r="AC49" s="800">
        <f t="shared" si="49"/>
        <v>252.3</v>
      </c>
      <c r="AD49" s="800">
        <f t="shared" si="49"/>
        <v>256.80000000000007</v>
      </c>
      <c r="AE49" s="800">
        <f t="shared" si="49"/>
        <v>324.89999999999998</v>
      </c>
      <c r="AF49" s="800">
        <f t="shared" si="49"/>
        <v>185.6</v>
      </c>
      <c r="AG49" s="800">
        <f t="shared" si="49"/>
        <v>223.9</v>
      </c>
      <c r="AH49" s="800">
        <f t="shared" si="49"/>
        <v>233.9</v>
      </c>
      <c r="AI49" s="800">
        <f t="shared" si="49"/>
        <v>287.5</v>
      </c>
      <c r="AJ49" s="800">
        <f t="shared" si="49"/>
        <v>316.8</v>
      </c>
      <c r="AK49" s="832">
        <f t="shared" si="49"/>
        <v>338.9</v>
      </c>
      <c r="AL49" s="832">
        <f t="shared" si="49"/>
        <v>202.8</v>
      </c>
      <c r="AM49" s="832">
        <f t="shared" si="49"/>
        <v>279.3</v>
      </c>
      <c r="AN49" s="832">
        <f t="shared" si="49"/>
        <v>356.3</v>
      </c>
      <c r="AO49" s="832">
        <f t="shared" si="49"/>
        <v>362.59999999999997</v>
      </c>
      <c r="AP49" s="832">
        <f t="shared" si="49"/>
        <v>329.1</v>
      </c>
      <c r="AQ49" s="832">
        <f t="shared" si="49"/>
        <v>327.40000000000003</v>
      </c>
      <c r="AR49" s="832">
        <f t="shared" si="49"/>
        <v>283.40000000000003</v>
      </c>
      <c r="AS49" s="832">
        <f t="shared" si="49"/>
        <v>373.8</v>
      </c>
      <c r="AT49" s="832">
        <f t="shared" si="49"/>
        <v>372</v>
      </c>
      <c r="AU49" s="800"/>
      <c r="AV49" s="800"/>
      <c r="AW49" s="800"/>
      <c r="AX49" s="800"/>
      <c r="AY49" s="800"/>
      <c r="AZ49" s="800"/>
      <c r="BA49" s="800"/>
      <c r="BB49" s="800"/>
      <c r="BC49" s="800"/>
      <c r="BD49" s="800"/>
      <c r="BE49" s="800"/>
      <c r="BF49" s="800"/>
      <c r="BG49" s="800"/>
      <c r="BH49" s="800"/>
      <c r="BI49" s="800"/>
      <c r="BJ49" s="800"/>
      <c r="BK49" s="800"/>
      <c r="BL49" s="800"/>
      <c r="BM49" s="800"/>
      <c r="BN49" s="15"/>
    </row>
    <row r="50" spans="1:66">
      <c r="A50" s="1740" t="s">
        <v>829</v>
      </c>
      <c r="B50" s="805">
        <v>46.075000000000003</v>
      </c>
      <c r="C50" s="805">
        <v>57.281999999999996</v>
      </c>
      <c r="D50" s="805">
        <v>53.377000000000002</v>
      </c>
      <c r="E50" s="805">
        <v>40.262</v>
      </c>
      <c r="F50" s="805">
        <v>43.485999999999997</v>
      </c>
      <c r="G50" s="805">
        <v>45.474000000000004</v>
      </c>
      <c r="H50" s="805">
        <v>57.802</v>
      </c>
      <c r="I50" s="805">
        <v>53.438000000000002</v>
      </c>
      <c r="J50" s="805">
        <v>3.9579999999999997</v>
      </c>
      <c r="K50" s="805">
        <v>16.504999999999999</v>
      </c>
      <c r="L50" s="805">
        <v>14</v>
      </c>
      <c r="M50" s="805">
        <v>12.5</v>
      </c>
      <c r="N50" s="805">
        <v>19.100000000000001</v>
      </c>
      <c r="O50" s="805">
        <v>14.5</v>
      </c>
      <c r="P50" s="805">
        <v>13.899999999999999</v>
      </c>
      <c r="Q50" s="805">
        <v>14.7</v>
      </c>
      <c r="R50" s="805">
        <v>12.7</v>
      </c>
      <c r="S50" s="805">
        <v>13.4</v>
      </c>
      <c r="T50" s="805">
        <v>12.6</v>
      </c>
      <c r="U50" s="805">
        <v>17.8</v>
      </c>
      <c r="V50" s="805">
        <v>12.5</v>
      </c>
      <c r="W50" s="805">
        <v>13.799999999999999</v>
      </c>
      <c r="X50" s="805">
        <v>19.099999999999998</v>
      </c>
      <c r="Y50" s="805">
        <v>15.7</v>
      </c>
      <c r="Z50" s="805">
        <v>10.8</v>
      </c>
      <c r="AA50" s="805">
        <v>16.8</v>
      </c>
      <c r="AB50" s="805">
        <v>19.5</v>
      </c>
      <c r="AC50" s="805">
        <v>19.8</v>
      </c>
      <c r="AD50" s="1094">
        <f>'Annual historicals'!O32-SUM(AE50:AG50)</f>
        <v>15.599999999999994</v>
      </c>
      <c r="AE50" s="805">
        <v>17.5</v>
      </c>
      <c r="AF50" s="805">
        <v>16.899999999999999</v>
      </c>
      <c r="AG50" s="805">
        <v>20.6</v>
      </c>
      <c r="AH50" s="805">
        <v>19.8</v>
      </c>
      <c r="AI50" s="805">
        <v>21.3</v>
      </c>
      <c r="AJ50" s="805">
        <v>28</v>
      </c>
      <c r="AK50" s="1364">
        <v>28</v>
      </c>
      <c r="AL50" s="805">
        <v>25.4</v>
      </c>
      <c r="AM50" s="805">
        <v>23.6</v>
      </c>
      <c r="AN50" s="805">
        <v>23.3</v>
      </c>
      <c r="AO50" s="805">
        <v>24.7</v>
      </c>
      <c r="AP50" s="805">
        <v>24.1</v>
      </c>
      <c r="AQ50" s="805">
        <v>31.3</v>
      </c>
      <c r="AR50" s="805">
        <v>38.6</v>
      </c>
      <c r="AS50" s="805">
        <v>43.7</v>
      </c>
      <c r="AT50" s="805">
        <v>35.6</v>
      </c>
      <c r="AU50" s="794"/>
      <c r="AV50" s="794"/>
      <c r="AW50" s="794"/>
      <c r="AX50" s="794"/>
      <c r="AY50" s="794"/>
      <c r="AZ50" s="794"/>
      <c r="BA50" s="794"/>
      <c r="BB50" s="794"/>
      <c r="BC50" s="794"/>
      <c r="BD50" s="794"/>
      <c r="BE50" s="794"/>
      <c r="BF50" s="794"/>
      <c r="BG50" s="794"/>
      <c r="BH50" s="794"/>
      <c r="BI50" s="794"/>
      <c r="BJ50" s="794"/>
      <c r="BK50" s="794"/>
      <c r="BL50" s="794"/>
      <c r="BM50" s="794"/>
      <c r="BN50" s="210"/>
    </row>
    <row r="51" spans="1:66">
      <c r="A51" s="1740" t="s">
        <v>830</v>
      </c>
      <c r="B51" s="805">
        <v>89.131</v>
      </c>
      <c r="C51" s="805">
        <v>126.886</v>
      </c>
      <c r="D51" s="805">
        <v>113.41800000000001</v>
      </c>
      <c r="E51" s="805">
        <v>149.911</v>
      </c>
      <c r="F51" s="805">
        <v>120.482</v>
      </c>
      <c r="G51" s="805">
        <v>127.108</v>
      </c>
      <c r="H51" s="805">
        <v>52.252000000000002</v>
      </c>
      <c r="I51" s="805">
        <v>105.705</v>
      </c>
      <c r="J51" s="805">
        <v>31.612000000000002</v>
      </c>
      <c r="K51" s="805">
        <v>93.3</v>
      </c>
      <c r="L51" s="805">
        <v>125</v>
      </c>
      <c r="M51" s="805">
        <v>120.8</v>
      </c>
      <c r="N51" s="805">
        <v>153.1</v>
      </c>
      <c r="O51" s="805">
        <v>213.7</v>
      </c>
      <c r="P51" s="805">
        <v>178.7</v>
      </c>
      <c r="Q51" s="805">
        <v>211</v>
      </c>
      <c r="R51" s="805">
        <v>204.8</v>
      </c>
      <c r="S51" s="805">
        <v>256.60000000000002</v>
      </c>
      <c r="T51" s="805">
        <v>217.5</v>
      </c>
      <c r="U51" s="805">
        <v>100.7</v>
      </c>
      <c r="V51" s="805">
        <v>206.9</v>
      </c>
      <c r="W51" s="805">
        <v>283.7</v>
      </c>
      <c r="X51" s="805">
        <v>178.9</v>
      </c>
      <c r="Y51" s="805">
        <v>95.100000000000009</v>
      </c>
      <c r="Z51" s="805">
        <v>125.2</v>
      </c>
      <c r="AA51" s="805">
        <v>397.4</v>
      </c>
      <c r="AB51" s="805">
        <v>154.4</v>
      </c>
      <c r="AC51" s="805">
        <v>232.5</v>
      </c>
      <c r="AD51" s="1094">
        <f>'Annual historicals'!O33-SUM(AE51:AG51)</f>
        <v>241.20000000000005</v>
      </c>
      <c r="AE51" s="805">
        <v>307.39999999999998</v>
      </c>
      <c r="AF51" s="805">
        <v>168.7</v>
      </c>
      <c r="AG51" s="805">
        <v>203.3</v>
      </c>
      <c r="AH51" s="805">
        <v>214.1</v>
      </c>
      <c r="AI51" s="805">
        <v>266.2</v>
      </c>
      <c r="AJ51" s="805">
        <v>288.8</v>
      </c>
      <c r="AK51" s="1364">
        <v>310.89999999999998</v>
      </c>
      <c r="AL51" s="805">
        <v>177.4</v>
      </c>
      <c r="AM51" s="805">
        <v>255.7</v>
      </c>
      <c r="AN51" s="805">
        <v>333</v>
      </c>
      <c r="AO51" s="805">
        <v>337.9</v>
      </c>
      <c r="AP51" s="805">
        <v>305</v>
      </c>
      <c r="AQ51" s="805">
        <v>296.10000000000002</v>
      </c>
      <c r="AR51" s="805">
        <v>244.8</v>
      </c>
      <c r="AS51" s="805">
        <v>330.1</v>
      </c>
      <c r="AT51" s="805">
        <v>336.4</v>
      </c>
      <c r="AU51" s="794"/>
      <c r="AV51" s="794"/>
      <c r="AW51" s="794"/>
      <c r="AX51" s="794"/>
      <c r="AY51" s="794"/>
      <c r="AZ51" s="794"/>
      <c r="BA51" s="794"/>
      <c r="BB51" s="794"/>
      <c r="BC51" s="794"/>
      <c r="BD51" s="794"/>
      <c r="BE51" s="794"/>
      <c r="BF51" s="794"/>
      <c r="BG51" s="794"/>
      <c r="BH51" s="794"/>
      <c r="BI51" s="794"/>
      <c r="BJ51" s="794"/>
      <c r="BK51" s="794"/>
      <c r="BL51" s="794"/>
      <c r="BM51" s="794"/>
      <c r="BN51" s="210"/>
    </row>
    <row r="52" spans="1:66">
      <c r="A52" s="1732" t="s">
        <v>815</v>
      </c>
      <c r="B52" s="800">
        <f t="shared" ref="B52:AT52" si="50">SUM(B53:B54)</f>
        <v>45.544999999999995</v>
      </c>
      <c r="C52" s="800">
        <f t="shared" si="50"/>
        <v>46.251000000000005</v>
      </c>
      <c r="D52" s="800">
        <f t="shared" si="50"/>
        <v>50.286000000000001</v>
      </c>
      <c r="E52" s="800">
        <f t="shared" si="50"/>
        <v>39.805999999999997</v>
      </c>
      <c r="F52" s="800">
        <f t="shared" si="50"/>
        <v>41.66</v>
      </c>
      <c r="G52" s="800">
        <f t="shared" si="50"/>
        <v>61.471999999999994</v>
      </c>
      <c r="H52" s="800">
        <f t="shared" si="50"/>
        <v>52.082000000000001</v>
      </c>
      <c r="I52" s="800">
        <f t="shared" si="50"/>
        <v>59.463999999999999</v>
      </c>
      <c r="J52" s="800">
        <f t="shared" si="50"/>
        <v>48.243000000000002</v>
      </c>
      <c r="K52" s="800">
        <f t="shared" si="50"/>
        <v>97.645999999999987</v>
      </c>
      <c r="L52" s="800">
        <f t="shared" si="50"/>
        <v>89.3</v>
      </c>
      <c r="M52" s="800">
        <f t="shared" si="50"/>
        <v>154.30000000000001</v>
      </c>
      <c r="N52" s="800">
        <f t="shared" si="50"/>
        <v>95.2</v>
      </c>
      <c r="O52" s="800">
        <f t="shared" si="50"/>
        <v>109.5</v>
      </c>
      <c r="P52" s="800">
        <f t="shared" si="50"/>
        <v>111.89999999999999</v>
      </c>
      <c r="Q52" s="800">
        <f t="shared" si="50"/>
        <v>72.3</v>
      </c>
      <c r="R52" s="800">
        <f t="shared" si="50"/>
        <v>70.199999999999989</v>
      </c>
      <c r="S52" s="800">
        <f t="shared" si="50"/>
        <v>59.4</v>
      </c>
      <c r="T52" s="800">
        <f t="shared" si="50"/>
        <v>91.5</v>
      </c>
      <c r="U52" s="800">
        <f t="shared" si="50"/>
        <v>61.3</v>
      </c>
      <c r="V52" s="800">
        <f t="shared" si="50"/>
        <v>47.300000000000004</v>
      </c>
      <c r="W52" s="800">
        <f t="shared" si="50"/>
        <v>42.5</v>
      </c>
      <c r="X52" s="800">
        <f t="shared" si="50"/>
        <v>60.7</v>
      </c>
      <c r="Y52" s="800">
        <f t="shared" si="50"/>
        <v>67.2</v>
      </c>
      <c r="Z52" s="800">
        <f t="shared" si="50"/>
        <v>37.4</v>
      </c>
      <c r="AA52" s="800">
        <f t="shared" si="50"/>
        <v>40.200000000000003</v>
      </c>
      <c r="AB52" s="800">
        <f t="shared" si="50"/>
        <v>49.7</v>
      </c>
      <c r="AC52" s="800">
        <f t="shared" si="50"/>
        <v>53.3</v>
      </c>
      <c r="AD52" s="800">
        <f t="shared" si="50"/>
        <v>47.599999999999994</v>
      </c>
      <c r="AE52" s="800">
        <f t="shared" si="50"/>
        <v>67.400000000000006</v>
      </c>
      <c r="AF52" s="800">
        <f t="shared" si="50"/>
        <v>67.5</v>
      </c>
      <c r="AG52" s="800">
        <f t="shared" si="50"/>
        <v>68.699999999999989</v>
      </c>
      <c r="AH52" s="800">
        <f t="shared" si="50"/>
        <v>42.4</v>
      </c>
      <c r="AI52" s="800">
        <f t="shared" si="50"/>
        <v>67.900000000000006</v>
      </c>
      <c r="AJ52" s="800">
        <f t="shared" si="50"/>
        <v>68.8</v>
      </c>
      <c r="AK52" s="832">
        <f t="shared" si="50"/>
        <v>159.9</v>
      </c>
      <c r="AL52" s="832">
        <f t="shared" si="50"/>
        <v>46.7</v>
      </c>
      <c r="AM52" s="832">
        <f t="shared" si="50"/>
        <v>57.599999999999994</v>
      </c>
      <c r="AN52" s="832">
        <f t="shared" si="50"/>
        <v>114.3</v>
      </c>
      <c r="AO52" s="832">
        <f t="shared" si="50"/>
        <v>94.600000000000009</v>
      </c>
      <c r="AP52" s="832">
        <f t="shared" si="50"/>
        <v>68.5</v>
      </c>
      <c r="AQ52" s="832">
        <f t="shared" si="50"/>
        <v>82</v>
      </c>
      <c r="AR52" s="832">
        <f t="shared" si="50"/>
        <v>75.8</v>
      </c>
      <c r="AS52" s="832">
        <f t="shared" si="50"/>
        <v>52.2</v>
      </c>
      <c r="AT52" s="832">
        <f t="shared" si="50"/>
        <v>50.4</v>
      </c>
      <c r="AU52" s="800"/>
      <c r="AV52" s="800"/>
      <c r="AW52" s="800"/>
      <c r="AX52" s="800"/>
      <c r="AY52" s="800"/>
      <c r="AZ52" s="800"/>
      <c r="BA52" s="800"/>
      <c r="BB52" s="800"/>
      <c r="BC52" s="800"/>
      <c r="BD52" s="800"/>
      <c r="BE52" s="800"/>
      <c r="BF52" s="800"/>
      <c r="BG52" s="800"/>
      <c r="BH52" s="800"/>
      <c r="BI52" s="800"/>
      <c r="BJ52" s="800"/>
      <c r="BK52" s="800"/>
      <c r="BL52" s="800"/>
      <c r="BM52" s="800"/>
      <c r="BN52" s="15"/>
    </row>
    <row r="53" spans="1:66">
      <c r="A53" s="1740" t="s">
        <v>811</v>
      </c>
      <c r="B53" s="805">
        <v>37.607999999999997</v>
      </c>
      <c r="C53" s="805">
        <v>36.949000000000005</v>
      </c>
      <c r="D53" s="805">
        <v>42.625</v>
      </c>
      <c r="E53" s="805">
        <v>35.103999999999999</v>
      </c>
      <c r="F53" s="805">
        <v>31.641999999999999</v>
      </c>
      <c r="G53" s="805">
        <v>48.974999999999994</v>
      </c>
      <c r="H53" s="805">
        <v>49.372</v>
      </c>
      <c r="I53" s="805">
        <v>49.42</v>
      </c>
      <c r="J53" s="805">
        <v>48.243000000000002</v>
      </c>
      <c r="K53" s="805">
        <v>92.694999999999993</v>
      </c>
      <c r="L53" s="805">
        <v>85.3</v>
      </c>
      <c r="M53" s="805">
        <v>142.30000000000001</v>
      </c>
      <c r="N53" s="805">
        <v>82.8</v>
      </c>
      <c r="O53" s="805">
        <v>80.099999999999994</v>
      </c>
      <c r="P53" s="805">
        <v>104.6</v>
      </c>
      <c r="Q53" s="805">
        <v>62.3</v>
      </c>
      <c r="R53" s="805">
        <v>65.099999999999994</v>
      </c>
      <c r="S53" s="805">
        <v>54.199999999999996</v>
      </c>
      <c r="T53" s="805">
        <v>81.5</v>
      </c>
      <c r="U53" s="805">
        <v>55.3</v>
      </c>
      <c r="V53" s="805">
        <v>43.2</v>
      </c>
      <c r="W53" s="805">
        <v>34.4</v>
      </c>
      <c r="X53" s="805">
        <v>44.7</v>
      </c>
      <c r="Y53" s="805">
        <v>55.2</v>
      </c>
      <c r="Z53" s="805">
        <v>32.4</v>
      </c>
      <c r="AA53" s="805">
        <v>30.2</v>
      </c>
      <c r="AB53" s="805">
        <v>44.7</v>
      </c>
      <c r="AC53" s="805">
        <v>41</v>
      </c>
      <c r="AD53" s="1094">
        <f>'Annual historicals'!O35-SUM(AE53:AG53)</f>
        <v>44.5</v>
      </c>
      <c r="AE53" s="805">
        <v>32.200000000000003</v>
      </c>
      <c r="AF53" s="805">
        <v>49.3</v>
      </c>
      <c r="AG53" s="805">
        <v>61.699999999999996</v>
      </c>
      <c r="AH53" s="805">
        <v>42.4</v>
      </c>
      <c r="AI53" s="805">
        <v>49.9</v>
      </c>
      <c r="AJ53" s="805">
        <v>59</v>
      </c>
      <c r="AK53" s="1364">
        <v>139.9</v>
      </c>
      <c r="AL53" s="805">
        <v>46.7</v>
      </c>
      <c r="AM53" s="805">
        <v>29.2</v>
      </c>
      <c r="AN53" s="805">
        <v>99.3</v>
      </c>
      <c r="AO53" s="805">
        <v>85.9</v>
      </c>
      <c r="AP53" s="805">
        <v>60</v>
      </c>
      <c r="AQ53" s="805">
        <v>66.2</v>
      </c>
      <c r="AR53" s="805">
        <v>65.8</v>
      </c>
      <c r="AS53" s="805">
        <v>48.2</v>
      </c>
      <c r="AT53" s="805">
        <v>44.4</v>
      </c>
      <c r="AU53" s="794"/>
      <c r="AV53" s="794"/>
      <c r="AW53" s="794"/>
      <c r="AX53" s="794"/>
      <c r="AY53" s="794"/>
      <c r="AZ53" s="794"/>
      <c r="BA53" s="794"/>
      <c r="BB53" s="794"/>
      <c r="BC53" s="794"/>
      <c r="BD53" s="794"/>
      <c r="BE53" s="794"/>
      <c r="BF53" s="794"/>
      <c r="BG53" s="794"/>
      <c r="BH53" s="794"/>
      <c r="BI53" s="794"/>
      <c r="BJ53" s="794"/>
      <c r="BK53" s="794"/>
      <c r="BL53" s="794"/>
      <c r="BM53" s="794"/>
      <c r="BN53" s="210"/>
    </row>
    <row r="54" spans="1:66">
      <c r="A54" s="1740" t="s">
        <v>812</v>
      </c>
      <c r="B54" s="805">
        <v>7.9370000000000003</v>
      </c>
      <c r="C54" s="805">
        <v>9.3019999999999996</v>
      </c>
      <c r="D54" s="805">
        <v>7.6609999999999996</v>
      </c>
      <c r="E54" s="805">
        <v>4.702</v>
      </c>
      <c r="F54" s="805">
        <v>10.018000000000001</v>
      </c>
      <c r="G54" s="805">
        <v>12.497</v>
      </c>
      <c r="H54" s="805">
        <v>2.71</v>
      </c>
      <c r="I54" s="805">
        <v>10.044</v>
      </c>
      <c r="J54" s="805">
        <v>0</v>
      </c>
      <c r="K54" s="805">
        <v>4.9509999999999996</v>
      </c>
      <c r="L54" s="805">
        <v>4</v>
      </c>
      <c r="M54" s="805">
        <v>12</v>
      </c>
      <c r="N54" s="805">
        <v>12.4</v>
      </c>
      <c r="O54" s="805">
        <v>29.4</v>
      </c>
      <c r="P54" s="805">
        <v>7.3</v>
      </c>
      <c r="Q54" s="805">
        <v>10</v>
      </c>
      <c r="R54" s="805">
        <v>5.0999999999999996</v>
      </c>
      <c r="S54" s="805">
        <v>5.2</v>
      </c>
      <c r="T54" s="805">
        <v>10</v>
      </c>
      <c r="U54" s="805">
        <v>6</v>
      </c>
      <c r="V54" s="805">
        <v>4.0999999999999996</v>
      </c>
      <c r="W54" s="805">
        <v>8.1</v>
      </c>
      <c r="X54" s="805">
        <v>16</v>
      </c>
      <c r="Y54" s="805">
        <v>12</v>
      </c>
      <c r="Z54" s="805">
        <v>5</v>
      </c>
      <c r="AA54" s="805">
        <v>10</v>
      </c>
      <c r="AB54" s="805">
        <v>5</v>
      </c>
      <c r="AC54" s="805">
        <v>12.3</v>
      </c>
      <c r="AD54" s="1094">
        <f>'Annual historicals'!O36-SUM(AE54:AG54)</f>
        <v>3.0999999999999943</v>
      </c>
      <c r="AE54" s="805">
        <v>35.200000000000003</v>
      </c>
      <c r="AF54" s="805">
        <v>18.2</v>
      </c>
      <c r="AG54" s="805">
        <v>7</v>
      </c>
      <c r="AH54" s="805">
        <v>0</v>
      </c>
      <c r="AI54" s="805">
        <v>18</v>
      </c>
      <c r="AJ54" s="805">
        <v>9.8000000000000007</v>
      </c>
      <c r="AK54" s="1364">
        <v>20</v>
      </c>
      <c r="AL54" s="805">
        <v>0</v>
      </c>
      <c r="AM54" s="805">
        <v>28.4</v>
      </c>
      <c r="AN54" s="805">
        <v>15</v>
      </c>
      <c r="AO54" s="805">
        <v>8.6999999999999993</v>
      </c>
      <c r="AP54" s="805">
        <v>8.5</v>
      </c>
      <c r="AQ54" s="805">
        <v>15.8</v>
      </c>
      <c r="AR54" s="805">
        <v>10</v>
      </c>
      <c r="AS54" s="805">
        <v>4</v>
      </c>
      <c r="AT54" s="805">
        <v>6</v>
      </c>
      <c r="AU54" s="794"/>
      <c r="AV54" s="794"/>
      <c r="AW54" s="794"/>
      <c r="AX54" s="794"/>
      <c r="AY54" s="794"/>
      <c r="AZ54" s="794"/>
      <c r="BA54" s="794"/>
      <c r="BB54" s="794"/>
      <c r="BC54" s="794"/>
      <c r="BD54" s="794"/>
      <c r="BE54" s="794"/>
      <c r="BF54" s="794"/>
      <c r="BG54" s="794"/>
      <c r="BH54" s="794"/>
      <c r="BI54" s="794"/>
      <c r="BJ54" s="794"/>
      <c r="BK54" s="794"/>
      <c r="BL54" s="794"/>
      <c r="BM54" s="794"/>
      <c r="BN54" s="210"/>
    </row>
    <row r="55" spans="1:66">
      <c r="A55" s="1741" t="s">
        <v>902</v>
      </c>
      <c r="B55" s="801">
        <f t="shared" ref="B55:AT55" si="51">SUM(B56:B57)</f>
        <v>58.164999999999999</v>
      </c>
      <c r="C55" s="801">
        <f t="shared" si="51"/>
        <v>68.02600000000001</v>
      </c>
      <c r="D55" s="801">
        <f t="shared" si="51"/>
        <v>46.245000000000005</v>
      </c>
      <c r="E55" s="801">
        <f t="shared" si="51"/>
        <v>46.037999999999997</v>
      </c>
      <c r="F55" s="801">
        <f t="shared" si="51"/>
        <v>74.902999999999992</v>
      </c>
      <c r="G55" s="801">
        <f t="shared" si="51"/>
        <v>66.326999999999998</v>
      </c>
      <c r="H55" s="801">
        <f t="shared" si="51"/>
        <v>52.152000000000001</v>
      </c>
      <c r="I55" s="801">
        <f t="shared" si="51"/>
        <v>129.78700000000001</v>
      </c>
      <c r="J55" s="801">
        <f t="shared" si="51"/>
        <v>45.727000000000004</v>
      </c>
      <c r="K55" s="801">
        <f t="shared" si="51"/>
        <v>73.711999999999989</v>
      </c>
      <c r="L55" s="801">
        <f t="shared" si="51"/>
        <v>62.6</v>
      </c>
      <c r="M55" s="801">
        <f t="shared" si="51"/>
        <v>54.3</v>
      </c>
      <c r="N55" s="801">
        <f t="shared" si="51"/>
        <v>45.4</v>
      </c>
      <c r="O55" s="801">
        <f t="shared" si="51"/>
        <v>62.400000000000006</v>
      </c>
      <c r="P55" s="801">
        <f t="shared" si="51"/>
        <v>58.300000000000004</v>
      </c>
      <c r="Q55" s="801">
        <f t="shared" si="51"/>
        <v>54.4</v>
      </c>
      <c r="R55" s="801">
        <f t="shared" si="51"/>
        <v>43</v>
      </c>
      <c r="S55" s="801">
        <f t="shared" si="51"/>
        <v>53.4</v>
      </c>
      <c r="T55" s="801">
        <f t="shared" si="51"/>
        <v>71.7</v>
      </c>
      <c r="U55" s="801">
        <f t="shared" si="51"/>
        <v>73.3</v>
      </c>
      <c r="V55" s="801">
        <f t="shared" si="51"/>
        <v>35.299999999999997</v>
      </c>
      <c r="W55" s="801">
        <f t="shared" si="51"/>
        <v>31.9</v>
      </c>
      <c r="X55" s="801">
        <f t="shared" si="51"/>
        <v>67</v>
      </c>
      <c r="Y55" s="801">
        <f t="shared" si="51"/>
        <v>49.7</v>
      </c>
      <c r="Z55" s="801">
        <f t="shared" si="51"/>
        <v>50.3</v>
      </c>
      <c r="AA55" s="801">
        <f t="shared" si="51"/>
        <v>49.7</v>
      </c>
      <c r="AB55" s="801">
        <f t="shared" si="51"/>
        <v>102.9</v>
      </c>
      <c r="AC55" s="801">
        <f t="shared" si="51"/>
        <v>67.400000000000006</v>
      </c>
      <c r="AD55" s="801">
        <f t="shared" si="51"/>
        <v>123.30000000000001</v>
      </c>
      <c r="AE55" s="801">
        <f t="shared" si="51"/>
        <v>109.6</v>
      </c>
      <c r="AF55" s="801">
        <f t="shared" si="51"/>
        <v>65.8</v>
      </c>
      <c r="AG55" s="801">
        <f t="shared" si="51"/>
        <v>88.7</v>
      </c>
      <c r="AH55" s="801">
        <f t="shared" si="51"/>
        <v>128.9</v>
      </c>
      <c r="AI55" s="801">
        <f t="shared" si="51"/>
        <v>64.900000000000006</v>
      </c>
      <c r="AJ55" s="801">
        <f t="shared" si="51"/>
        <v>86.3</v>
      </c>
      <c r="AK55" s="1369">
        <f t="shared" si="51"/>
        <v>94.4</v>
      </c>
      <c r="AL55" s="1369">
        <f t="shared" si="51"/>
        <v>86</v>
      </c>
      <c r="AM55" s="1369">
        <f t="shared" si="51"/>
        <v>155.19999999999999</v>
      </c>
      <c r="AN55" s="1369">
        <f t="shared" si="51"/>
        <v>126.80000000000001</v>
      </c>
      <c r="AO55" s="1369">
        <f t="shared" si="51"/>
        <v>113.9</v>
      </c>
      <c r="AP55" s="1369">
        <f t="shared" si="51"/>
        <v>91.5</v>
      </c>
      <c r="AQ55" s="1369">
        <f t="shared" si="51"/>
        <v>106.2</v>
      </c>
      <c r="AR55" s="1369">
        <f t="shared" si="51"/>
        <v>95.6</v>
      </c>
      <c r="AS55" s="1369">
        <f t="shared" si="51"/>
        <v>126.69999999999999</v>
      </c>
      <c r="AT55" s="1369">
        <f t="shared" si="51"/>
        <v>94.800000000000011</v>
      </c>
      <c r="AU55" s="801"/>
      <c r="AV55" s="801"/>
      <c r="AW55" s="801"/>
      <c r="AX55" s="801"/>
      <c r="AY55" s="801"/>
      <c r="AZ55" s="801"/>
      <c r="BA55" s="801"/>
      <c r="BB55" s="801"/>
      <c r="BC55" s="801"/>
      <c r="BD55" s="801"/>
      <c r="BE55" s="801"/>
      <c r="BF55" s="801"/>
      <c r="BG55" s="801"/>
      <c r="BH55" s="801"/>
      <c r="BI55" s="801"/>
      <c r="BJ55" s="801"/>
      <c r="BK55" s="801"/>
      <c r="BL55" s="801"/>
      <c r="BM55" s="801"/>
      <c r="BN55" s="802"/>
    </row>
    <row r="56" spans="1:66">
      <c r="A56" s="1740" t="s">
        <v>811</v>
      </c>
      <c r="B56" s="805">
        <v>36.137</v>
      </c>
      <c r="C56" s="805">
        <v>22.948</v>
      </c>
      <c r="D56" s="805">
        <v>30.425000000000001</v>
      </c>
      <c r="E56" s="805">
        <v>37.427</v>
      </c>
      <c r="F56" s="805">
        <v>43.110999999999997</v>
      </c>
      <c r="G56" s="805">
        <v>36.543999999999997</v>
      </c>
      <c r="H56" s="805">
        <v>44.210999999999999</v>
      </c>
      <c r="I56" s="805">
        <v>92.576999999999998</v>
      </c>
      <c r="J56" s="805">
        <v>39.023000000000003</v>
      </c>
      <c r="K56" s="805">
        <v>47.097999999999999</v>
      </c>
      <c r="L56" s="805">
        <v>60.6</v>
      </c>
      <c r="M56" s="805">
        <v>54.3</v>
      </c>
      <c r="N56" s="805">
        <v>40.5</v>
      </c>
      <c r="O56" s="805">
        <v>41.6</v>
      </c>
      <c r="P56" s="805">
        <v>56.300000000000004</v>
      </c>
      <c r="Q56" s="805">
        <v>54.4</v>
      </c>
      <c r="R56" s="805">
        <v>36</v>
      </c>
      <c r="S56" s="805">
        <v>43.4</v>
      </c>
      <c r="T56" s="805">
        <v>62.7</v>
      </c>
      <c r="U56" s="805">
        <v>73.3</v>
      </c>
      <c r="V56" s="805">
        <v>35.299999999999997</v>
      </c>
      <c r="W56" s="805">
        <v>31.9</v>
      </c>
      <c r="X56" s="805">
        <v>59</v>
      </c>
      <c r="Y56" s="805">
        <v>43.2</v>
      </c>
      <c r="Z56" s="805">
        <v>43.8</v>
      </c>
      <c r="AA56" s="805">
        <v>44.7</v>
      </c>
      <c r="AB56" s="805">
        <v>65.7</v>
      </c>
      <c r="AC56" s="805">
        <v>55.300000000000004</v>
      </c>
      <c r="AD56" s="1094">
        <f>'Annual historicals'!O38-SUM(AE56:AG56)</f>
        <v>70.800000000000011</v>
      </c>
      <c r="AE56" s="805">
        <v>55.3</v>
      </c>
      <c r="AF56" s="805">
        <v>63.8</v>
      </c>
      <c r="AG56" s="805">
        <v>88.7</v>
      </c>
      <c r="AH56" s="805">
        <v>86.5</v>
      </c>
      <c r="AI56" s="805">
        <v>64.900000000000006</v>
      </c>
      <c r="AJ56" s="805">
        <v>86.3</v>
      </c>
      <c r="AK56" s="1364">
        <v>94.4</v>
      </c>
      <c r="AL56" s="805">
        <v>86</v>
      </c>
      <c r="AM56" s="805">
        <v>96.5</v>
      </c>
      <c r="AN56" s="805">
        <v>27.6</v>
      </c>
      <c r="AO56" s="805">
        <v>113.9</v>
      </c>
      <c r="AP56" s="805">
        <v>91.5</v>
      </c>
      <c r="AQ56" s="805">
        <v>85.2</v>
      </c>
      <c r="AR56" s="805">
        <v>95.6</v>
      </c>
      <c r="AS56" s="805">
        <v>117.1</v>
      </c>
      <c r="AT56" s="805">
        <v>94.4</v>
      </c>
      <c r="AU56" s="794"/>
      <c r="AV56" s="794"/>
      <c r="AW56" s="794"/>
      <c r="AX56" s="794"/>
      <c r="AY56" s="794"/>
      <c r="AZ56" s="794"/>
      <c r="BA56" s="794"/>
      <c r="BB56" s="794"/>
      <c r="BC56" s="794"/>
      <c r="BD56" s="794"/>
      <c r="BE56" s="794"/>
      <c r="BF56" s="794"/>
      <c r="BG56" s="794"/>
      <c r="BH56" s="794"/>
      <c r="BI56" s="794"/>
      <c r="BJ56" s="794"/>
      <c r="BK56" s="794"/>
      <c r="BL56" s="794"/>
      <c r="BM56" s="794"/>
      <c r="BN56" s="210"/>
    </row>
    <row r="57" spans="1:66">
      <c r="A57" s="1740" t="s">
        <v>812</v>
      </c>
      <c r="B57" s="805">
        <v>22.027999999999999</v>
      </c>
      <c r="C57" s="805">
        <v>45.078000000000003</v>
      </c>
      <c r="D57" s="805">
        <v>15.82</v>
      </c>
      <c r="E57" s="805">
        <v>8.6110000000000007</v>
      </c>
      <c r="F57" s="805">
        <v>31.792000000000002</v>
      </c>
      <c r="G57" s="805">
        <v>29.783000000000001</v>
      </c>
      <c r="H57" s="805">
        <v>7.9409999999999998</v>
      </c>
      <c r="I57" s="805">
        <v>37.21</v>
      </c>
      <c r="J57" s="805">
        <v>6.7039999999999997</v>
      </c>
      <c r="K57" s="805">
        <v>26.613999999999997</v>
      </c>
      <c r="L57" s="805">
        <v>2</v>
      </c>
      <c r="M57" s="805">
        <v>0</v>
      </c>
      <c r="N57" s="805">
        <v>4.9000000000000004</v>
      </c>
      <c r="O57" s="805">
        <v>20.8</v>
      </c>
      <c r="P57" s="805">
        <v>2</v>
      </c>
      <c r="Q57" s="805">
        <v>0</v>
      </c>
      <c r="R57" s="805">
        <v>7</v>
      </c>
      <c r="S57" s="805">
        <v>10</v>
      </c>
      <c r="T57" s="805">
        <v>9</v>
      </c>
      <c r="U57" s="805">
        <v>0</v>
      </c>
      <c r="V57" s="805">
        <v>0</v>
      </c>
      <c r="W57" s="805">
        <v>0</v>
      </c>
      <c r="X57" s="805">
        <v>8</v>
      </c>
      <c r="Y57" s="805">
        <v>6.5</v>
      </c>
      <c r="Z57" s="805">
        <v>6.5</v>
      </c>
      <c r="AA57" s="805">
        <v>5</v>
      </c>
      <c r="AB57" s="805">
        <v>37.200000000000003</v>
      </c>
      <c r="AC57" s="805">
        <v>12.1</v>
      </c>
      <c r="AD57" s="1094">
        <f>'Annual historicals'!O39-SUM(AE57:AG57)</f>
        <v>52.5</v>
      </c>
      <c r="AE57" s="805">
        <v>54.3</v>
      </c>
      <c r="AF57" s="805">
        <v>2</v>
      </c>
      <c r="AG57" s="805">
        <v>0</v>
      </c>
      <c r="AH57" s="805">
        <v>42.4</v>
      </c>
      <c r="AI57" s="805">
        <v>0</v>
      </c>
      <c r="AJ57" s="805">
        <v>0</v>
      </c>
      <c r="AK57" s="1364">
        <v>0</v>
      </c>
      <c r="AL57" s="805">
        <v>0</v>
      </c>
      <c r="AM57" s="805">
        <v>58.7</v>
      </c>
      <c r="AN57" s="805">
        <v>99.2</v>
      </c>
      <c r="AO57" s="805">
        <v>0</v>
      </c>
      <c r="AP57" s="805">
        <v>0</v>
      </c>
      <c r="AQ57" s="805">
        <v>21</v>
      </c>
      <c r="AR57" s="805">
        <v>0</v>
      </c>
      <c r="AS57" s="805">
        <v>9.6</v>
      </c>
      <c r="AT57" s="805">
        <v>0.4</v>
      </c>
      <c r="AU57" s="794"/>
      <c r="AV57" s="794"/>
      <c r="AW57" s="794"/>
      <c r="AX57" s="794"/>
      <c r="AY57" s="794"/>
      <c r="AZ57" s="794"/>
      <c r="BA57" s="794"/>
      <c r="BB57" s="794"/>
      <c r="BC57" s="794"/>
      <c r="BD57" s="794"/>
      <c r="BE57" s="794"/>
      <c r="BF57" s="794"/>
      <c r="BG57" s="794"/>
      <c r="BH57" s="794"/>
      <c r="BI57" s="794"/>
      <c r="BJ57" s="794"/>
      <c r="BK57" s="794"/>
      <c r="BL57" s="794"/>
      <c r="BM57" s="794"/>
      <c r="BN57" s="210"/>
    </row>
    <row r="58" spans="1:66">
      <c r="A58" s="1732" t="s">
        <v>642</v>
      </c>
      <c r="B58" s="828">
        <v>0</v>
      </c>
      <c r="C58" s="828">
        <v>0</v>
      </c>
      <c r="D58" s="828">
        <v>0</v>
      </c>
      <c r="E58" s="828">
        <v>0</v>
      </c>
      <c r="F58" s="828">
        <v>0</v>
      </c>
      <c r="G58" s="828">
        <v>0</v>
      </c>
      <c r="H58" s="828">
        <v>0</v>
      </c>
      <c r="I58" s="828">
        <v>0</v>
      </c>
      <c r="J58" s="828">
        <f>45.062-K58</f>
        <v>5.1409999999999982</v>
      </c>
      <c r="K58" s="828">
        <v>39.920999999999999</v>
      </c>
      <c r="L58" s="828">
        <v>50.13</v>
      </c>
      <c r="M58" s="828">
        <v>10.061</v>
      </c>
      <c r="N58" s="828">
        <f>116.467-O58</f>
        <v>52.364999999999995</v>
      </c>
      <c r="O58" s="828">
        <v>64.102000000000004</v>
      </c>
      <c r="P58" s="828">
        <v>56.65</v>
      </c>
      <c r="Q58" s="828">
        <v>1E-3</v>
      </c>
      <c r="R58" s="829">
        <f>N58*(100%-34.5%)</f>
        <v>34.299074999999995</v>
      </c>
      <c r="S58" s="829">
        <f>184.4-R58-T58-U58</f>
        <v>63.900925000000015</v>
      </c>
      <c r="T58" s="828">
        <v>78.900000000000006</v>
      </c>
      <c r="U58" s="828">
        <v>7.3</v>
      </c>
      <c r="V58" s="828">
        <v>31.8</v>
      </c>
      <c r="W58" s="828">
        <v>84</v>
      </c>
      <c r="X58" s="828">
        <v>78.900000000000006</v>
      </c>
      <c r="Y58" s="828">
        <v>54.7</v>
      </c>
      <c r="Z58" s="828">
        <v>45.5</v>
      </c>
      <c r="AA58" s="828">
        <v>81.2</v>
      </c>
      <c r="AB58" s="828">
        <v>104.1</v>
      </c>
      <c r="AC58" s="828">
        <v>29.9</v>
      </c>
      <c r="AD58" s="1095">
        <f>'Annual historicals'!O40-SUM(AE58:AG58)</f>
        <v>92.800000000000011</v>
      </c>
      <c r="AE58" s="828">
        <v>162.69999999999999</v>
      </c>
      <c r="AF58" s="828">
        <v>181.8</v>
      </c>
      <c r="AG58" s="828">
        <v>8.1999999999999993</v>
      </c>
      <c r="AH58" s="828">
        <v>191.8</v>
      </c>
      <c r="AI58" s="828">
        <v>233.9</v>
      </c>
      <c r="AJ58" s="828">
        <v>212.2</v>
      </c>
      <c r="AK58" s="829">
        <v>1.1000000000000001</v>
      </c>
      <c r="AL58" s="828">
        <v>272</v>
      </c>
      <c r="AM58" s="828">
        <v>307</v>
      </c>
      <c r="AN58" s="828">
        <v>235.2</v>
      </c>
      <c r="AO58" s="828">
        <v>17</v>
      </c>
      <c r="AP58" s="828">
        <v>275.2</v>
      </c>
      <c r="AQ58" s="828">
        <v>285.89999999999998</v>
      </c>
      <c r="AR58" s="828">
        <v>185.5</v>
      </c>
      <c r="AS58" s="828">
        <v>168</v>
      </c>
      <c r="AT58" s="828">
        <v>310.60000000000002</v>
      </c>
      <c r="AU58" s="800"/>
      <c r="AV58" s="800"/>
      <c r="AW58" s="800"/>
      <c r="AX58" s="800"/>
      <c r="AY58" s="800"/>
      <c r="AZ58" s="800"/>
      <c r="BA58" s="800"/>
      <c r="BB58" s="800"/>
      <c r="BC58" s="800"/>
      <c r="BD58" s="800"/>
      <c r="BE58" s="800"/>
      <c r="BF58" s="800"/>
      <c r="BG58" s="800"/>
      <c r="BH58" s="800"/>
      <c r="BI58" s="800"/>
      <c r="BJ58" s="800"/>
      <c r="BK58" s="800"/>
      <c r="BL58" s="800"/>
      <c r="BM58" s="800"/>
      <c r="BN58" s="15"/>
    </row>
    <row r="59" spans="1:66">
      <c r="A59" s="1732" t="s">
        <v>964</v>
      </c>
      <c r="B59" s="828">
        <v>5.9500000000000004E-2</v>
      </c>
      <c r="C59" s="828">
        <v>9.4960000000000003E-2</v>
      </c>
      <c r="D59" s="828">
        <v>0.13389999999999999</v>
      </c>
      <c r="E59" s="828">
        <v>0.11700000000000001</v>
      </c>
      <c r="F59" s="828">
        <v>6.5000000000000002E-2</v>
      </c>
      <c r="G59" s="828">
        <v>7.8E-2</v>
      </c>
      <c r="H59" s="828">
        <v>5.1999999999999998E-2</v>
      </c>
      <c r="I59" s="828">
        <v>0.11700000000000001</v>
      </c>
      <c r="J59" s="828">
        <f>0.13671-K59</f>
        <v>8.2559999999999995E-2</v>
      </c>
      <c r="K59" s="828">
        <v>5.4150000000000004E-2</v>
      </c>
      <c r="L59" s="828">
        <f>0.31379-M59-J59-K59</f>
        <v>8.0880000000000007E-2</v>
      </c>
      <c r="M59" s="828">
        <v>9.6199999999999994E-2</v>
      </c>
      <c r="N59" s="828">
        <f>0.104-O59</f>
        <v>7.8E-2</v>
      </c>
      <c r="O59" s="828">
        <v>2.5999999999999999E-2</v>
      </c>
      <c r="P59" s="829" t="s">
        <v>963</v>
      </c>
      <c r="Q59" s="829" t="s">
        <v>963</v>
      </c>
      <c r="R59" s="829" t="s">
        <v>963</v>
      </c>
      <c r="S59" s="829" t="s">
        <v>963</v>
      </c>
      <c r="T59" s="829" t="s">
        <v>963</v>
      </c>
      <c r="U59" s="829" t="s">
        <v>963</v>
      </c>
      <c r="V59" s="829" t="s">
        <v>963</v>
      </c>
      <c r="W59" s="829" t="s">
        <v>963</v>
      </c>
      <c r="X59" s="829" t="s">
        <v>963</v>
      </c>
      <c r="Y59" s="829" t="s">
        <v>963</v>
      </c>
      <c r="Z59" s="829" t="s">
        <v>963</v>
      </c>
      <c r="AA59" s="829" t="s">
        <v>963</v>
      </c>
      <c r="AB59" s="829" t="s">
        <v>963</v>
      </c>
      <c r="AC59" s="829" t="s">
        <v>963</v>
      </c>
      <c r="AD59" s="829" t="s">
        <v>963</v>
      </c>
      <c r="AE59" s="829" t="s">
        <v>963</v>
      </c>
      <c r="AF59" s="829" t="s">
        <v>963</v>
      </c>
      <c r="AG59" s="829" t="s">
        <v>963</v>
      </c>
      <c r="AH59" s="829" t="s">
        <v>963</v>
      </c>
      <c r="AI59" s="829" t="s">
        <v>963</v>
      </c>
      <c r="AJ59" s="829" t="s">
        <v>963</v>
      </c>
      <c r="AK59" s="829" t="s">
        <v>963</v>
      </c>
      <c r="AL59" s="829" t="s">
        <v>963</v>
      </c>
      <c r="AM59" s="829" t="s">
        <v>963</v>
      </c>
      <c r="AN59" s="829" t="s">
        <v>963</v>
      </c>
      <c r="AO59" s="829" t="s">
        <v>963</v>
      </c>
      <c r="AP59" s="829" t="s">
        <v>963</v>
      </c>
      <c r="AQ59" s="829" t="s">
        <v>963</v>
      </c>
      <c r="AR59" s="829" t="s">
        <v>963</v>
      </c>
      <c r="AS59" s="829" t="s">
        <v>963</v>
      </c>
      <c r="AT59" s="829" t="s">
        <v>963</v>
      </c>
      <c r="AU59" s="800"/>
      <c r="AV59" s="800"/>
      <c r="AW59" s="800"/>
      <c r="AX59" s="800"/>
      <c r="AY59" s="800"/>
      <c r="AZ59" s="800"/>
      <c r="BA59" s="800"/>
      <c r="BB59" s="800"/>
      <c r="BC59" s="800"/>
      <c r="BD59" s="800"/>
      <c r="BE59" s="800"/>
      <c r="BF59" s="800"/>
      <c r="BG59" s="800"/>
      <c r="BH59" s="800"/>
      <c r="BI59" s="800"/>
      <c r="BJ59" s="800"/>
      <c r="BK59" s="800"/>
      <c r="BL59" s="800"/>
      <c r="BM59" s="800"/>
      <c r="BN59" s="15"/>
    </row>
    <row r="60" spans="1:66">
      <c r="A60" s="1735"/>
      <c r="B60" s="830"/>
      <c r="C60" s="830"/>
      <c r="D60" s="830"/>
      <c r="E60" s="210"/>
      <c r="F60" s="830"/>
      <c r="G60" s="830"/>
      <c r="H60" s="830"/>
      <c r="I60" s="210"/>
      <c r="J60" s="830"/>
      <c r="K60" s="830"/>
      <c r="L60" s="830"/>
      <c r="M60" s="210"/>
      <c r="N60" s="210"/>
      <c r="O60" s="831"/>
      <c r="P60" s="830"/>
      <c r="Q60" s="210"/>
      <c r="R60" s="210"/>
      <c r="S60" s="831"/>
      <c r="T60" s="831"/>
      <c r="U60" s="210"/>
      <c r="V60" s="210"/>
      <c r="W60" s="831"/>
      <c r="X60" s="831"/>
      <c r="Y60" s="210"/>
      <c r="Z60" s="210"/>
      <c r="AA60" s="831"/>
      <c r="AB60" s="831"/>
      <c r="AC60" s="210"/>
      <c r="AD60" s="210"/>
      <c r="AE60" s="831"/>
      <c r="AF60" s="831"/>
      <c r="AG60" s="831"/>
      <c r="AH60" s="831"/>
      <c r="AI60" s="831"/>
      <c r="AJ60" s="831"/>
      <c r="AK60" s="1370"/>
      <c r="AL60" s="805"/>
      <c r="AM60" s="805"/>
      <c r="AN60" s="805"/>
      <c r="AO60" s="805"/>
      <c r="AP60" s="805"/>
      <c r="AQ60" s="805"/>
      <c r="AR60" s="210"/>
      <c r="AS60" s="210"/>
      <c r="AT60" s="210"/>
      <c r="AU60" s="210"/>
      <c r="AV60" s="210"/>
      <c r="AW60" s="210"/>
      <c r="AX60" s="210"/>
      <c r="AY60" s="210"/>
      <c r="AZ60" s="210"/>
      <c r="BA60" s="210"/>
      <c r="BB60" s="210"/>
      <c r="BC60" s="210"/>
      <c r="BD60" s="210"/>
      <c r="BE60" s="210"/>
      <c r="BF60" s="210"/>
      <c r="BG60" s="210"/>
      <c r="BH60" s="210"/>
      <c r="BI60" s="210"/>
      <c r="BJ60" s="210"/>
      <c r="BK60" s="210"/>
      <c r="BL60" s="210"/>
      <c r="BM60" s="210"/>
      <c r="BN60" s="210"/>
    </row>
    <row r="61" spans="1:66">
      <c r="A61" s="1732" t="s">
        <v>813</v>
      </c>
      <c r="B61" s="831"/>
      <c r="C61" s="831"/>
      <c r="D61" s="831"/>
      <c r="E61" s="210"/>
      <c r="F61" s="831"/>
      <c r="G61" s="831"/>
      <c r="H61" s="831"/>
      <c r="I61" s="210"/>
      <c r="J61" s="831"/>
      <c r="K61" s="831"/>
      <c r="L61" s="831"/>
      <c r="M61" s="210"/>
      <c r="N61" s="210"/>
      <c r="O61" s="831"/>
      <c r="P61" s="336">
        <f>P58/L58-1</f>
        <v>0.13006183921803305</v>
      </c>
      <c r="Q61" s="210"/>
      <c r="R61" s="210"/>
      <c r="S61" s="831"/>
      <c r="T61" s="831"/>
      <c r="U61" s="210"/>
      <c r="V61" s="210"/>
      <c r="W61" s="831"/>
      <c r="X61" s="831"/>
      <c r="Y61" s="210"/>
      <c r="Z61" s="210"/>
      <c r="AA61" s="831"/>
      <c r="AB61" s="831"/>
      <c r="AC61" s="210"/>
      <c r="AD61" s="210"/>
      <c r="AE61" s="831"/>
      <c r="AF61" s="831"/>
      <c r="AG61" s="831"/>
      <c r="AH61" s="831"/>
      <c r="AI61" s="831"/>
      <c r="AJ61" s="831"/>
      <c r="AK61" s="1370"/>
      <c r="AL61" s="210"/>
      <c r="AM61" s="210"/>
      <c r="AN61" s="210"/>
      <c r="AO61" s="210"/>
      <c r="AP61" s="210"/>
      <c r="AQ61" s="210"/>
      <c r="AR61" s="210"/>
      <c r="AS61" s="210"/>
      <c r="AT61" s="210"/>
      <c r="AU61" s="210"/>
      <c r="AV61" s="210"/>
      <c r="AW61" s="210"/>
      <c r="AX61" s="210"/>
      <c r="AY61" s="210"/>
      <c r="AZ61" s="210"/>
      <c r="BA61" s="210"/>
      <c r="BB61" s="210"/>
      <c r="BC61" s="210"/>
      <c r="BD61" s="210"/>
      <c r="BE61" s="210"/>
      <c r="BF61" s="210"/>
      <c r="BG61" s="210"/>
      <c r="BH61" s="210"/>
      <c r="BI61" s="210"/>
      <c r="BJ61" s="210"/>
      <c r="BK61" s="210"/>
      <c r="BL61" s="210"/>
      <c r="BM61" s="210"/>
      <c r="BN61" s="210"/>
    </row>
    <row r="62" spans="1:66">
      <c r="A62" s="1732" t="s">
        <v>814</v>
      </c>
      <c r="B62" s="800">
        <f t="shared" ref="B62:AO62" si="52">IF(B49=0,0,B74/B49*1000)</f>
        <v>530.86401491058075</v>
      </c>
      <c r="C62" s="800">
        <f t="shared" si="52"/>
        <v>747.76834194865557</v>
      </c>
      <c r="D62" s="800">
        <f t="shared" si="52"/>
        <v>581.33037561077958</v>
      </c>
      <c r="E62" s="800">
        <f t="shared" si="52"/>
        <v>541.71727847801742</v>
      </c>
      <c r="F62" s="800">
        <f t="shared" si="52"/>
        <v>467.79859484777523</v>
      </c>
      <c r="G62" s="800">
        <f t="shared" si="52"/>
        <v>453.39606679723261</v>
      </c>
      <c r="H62" s="800">
        <f t="shared" si="52"/>
        <v>402.51149435731554</v>
      </c>
      <c r="I62" s="800">
        <f t="shared" si="52"/>
        <v>468.74823272151463</v>
      </c>
      <c r="J62" s="800">
        <f t="shared" si="52"/>
        <v>400.9277481023334</v>
      </c>
      <c r="K62" s="800">
        <f t="shared" si="52"/>
        <v>404.64459724056286</v>
      </c>
      <c r="L62" s="800">
        <f t="shared" si="52"/>
        <v>587.89928057553959</v>
      </c>
      <c r="M62" s="800">
        <f t="shared" si="52"/>
        <v>665.3413353338334</v>
      </c>
      <c r="N62" s="800">
        <f t="shared" si="52"/>
        <v>608.66434378629503</v>
      </c>
      <c r="O62" s="800">
        <f t="shared" si="52"/>
        <v>601.74846625766861</v>
      </c>
      <c r="P62" s="800">
        <f t="shared" si="52"/>
        <v>731.32917964693672</v>
      </c>
      <c r="Q62" s="800">
        <f t="shared" si="52"/>
        <v>882.88435976960579</v>
      </c>
      <c r="R62" s="800">
        <f t="shared" si="52"/>
        <v>815.84827586206893</v>
      </c>
      <c r="S62" s="800">
        <f t="shared" si="52"/>
        <v>790.14444444444439</v>
      </c>
      <c r="T62" s="800">
        <f t="shared" si="52"/>
        <v>855.7279443720123</v>
      </c>
      <c r="U62" s="800">
        <f t="shared" si="52"/>
        <v>966.12658227848101</v>
      </c>
      <c r="V62" s="800">
        <f t="shared" si="52"/>
        <v>899.0154968094804</v>
      </c>
      <c r="W62" s="800">
        <f t="shared" si="52"/>
        <v>916.88403361344547</v>
      </c>
      <c r="X62" s="800">
        <f t="shared" si="52"/>
        <v>963.25757575757575</v>
      </c>
      <c r="Y62" s="800">
        <f t="shared" si="52"/>
        <v>956.19133574007208</v>
      </c>
      <c r="Z62" s="800">
        <f t="shared" si="52"/>
        <v>1071.9338235294115</v>
      </c>
      <c r="AA62" s="800">
        <f t="shared" si="52"/>
        <v>983.59005311443741</v>
      </c>
      <c r="AB62" s="800">
        <f t="shared" si="52"/>
        <v>947.60207015526169</v>
      </c>
      <c r="AC62" s="800">
        <f t="shared" si="52"/>
        <v>920.93539437177958</v>
      </c>
      <c r="AD62" s="800">
        <f t="shared" si="52"/>
        <v>892.09112149532689</v>
      </c>
      <c r="AE62" s="800">
        <f t="shared" si="52"/>
        <v>911.24038165589423</v>
      </c>
      <c r="AF62" s="800">
        <f t="shared" si="52"/>
        <v>912.65086206896558</v>
      </c>
      <c r="AG62" s="800">
        <f t="shared" si="52"/>
        <v>847.41402411790989</v>
      </c>
      <c r="AH62" s="800">
        <f t="shared" si="52"/>
        <v>871.58614792646426</v>
      </c>
      <c r="AI62" s="800">
        <f t="shared" si="52"/>
        <v>868.80347826086961</v>
      </c>
      <c r="AJ62" s="800">
        <f t="shared" si="52"/>
        <v>899.80429292929284</v>
      </c>
      <c r="AK62" s="832">
        <f t="shared" si="52"/>
        <v>1022.2514015933906</v>
      </c>
      <c r="AL62" s="832">
        <f t="shared" si="52"/>
        <v>962.20907297830388</v>
      </c>
      <c r="AM62" s="832">
        <f t="shared" si="52"/>
        <v>1038.499820981024</v>
      </c>
      <c r="AN62" s="832">
        <f t="shared" si="52"/>
        <v>1070.2975021049676</v>
      </c>
      <c r="AO62" s="832">
        <f t="shared" si="52"/>
        <v>1081.6050744622175</v>
      </c>
      <c r="AP62" s="832">
        <f t="shared" ref="AP62:AQ62" si="53">IF(AP49=0,0,AP74/AP49*1000)</f>
        <v>1177.1801883925859</v>
      </c>
      <c r="AQ62" s="832">
        <f t="shared" si="53"/>
        <v>1181.0354306658519</v>
      </c>
      <c r="AR62" s="832">
        <f t="shared" ref="AR62:AT62" si="54">IF(AR49=0,0,AR74/AR49*1000)</f>
        <v>1227.6958362738178</v>
      </c>
      <c r="AS62" s="832">
        <f t="shared" si="54"/>
        <v>1398.1273408239701</v>
      </c>
      <c r="AT62" s="803">
        <f t="shared" si="54"/>
        <v>1485.6263440860216</v>
      </c>
      <c r="AU62" s="803"/>
      <c r="AV62" s="803"/>
      <c r="AW62" s="803"/>
      <c r="AX62" s="803"/>
      <c r="AY62" s="803"/>
      <c r="AZ62" s="803"/>
      <c r="BA62" s="803"/>
      <c r="BB62" s="803"/>
      <c r="BC62" s="803"/>
      <c r="BD62" s="803"/>
      <c r="BE62" s="803"/>
      <c r="BF62" s="803"/>
      <c r="BG62" s="803"/>
      <c r="BH62" s="803"/>
      <c r="BI62" s="803"/>
      <c r="BJ62" s="803"/>
      <c r="BK62" s="803"/>
      <c r="BL62" s="803"/>
      <c r="BM62" s="803"/>
      <c r="BN62" s="210"/>
    </row>
    <row r="63" spans="1:66">
      <c r="A63" s="1740" t="s">
        <v>829</v>
      </c>
      <c r="B63" s="794">
        <f t="shared" ref="B63:AO63" si="55">IF(B50=0,0,B75/B50*1000)</f>
        <v>414.3678784590341</v>
      </c>
      <c r="C63" s="794">
        <f t="shared" si="55"/>
        <v>683.18145316155164</v>
      </c>
      <c r="D63" s="794">
        <f t="shared" si="55"/>
        <v>584.05305655994152</v>
      </c>
      <c r="E63" s="794">
        <f t="shared" si="55"/>
        <v>566.04242213501561</v>
      </c>
      <c r="F63" s="794">
        <f t="shared" si="55"/>
        <v>469.94434990571682</v>
      </c>
      <c r="G63" s="794">
        <f t="shared" si="55"/>
        <v>413.53300787263049</v>
      </c>
      <c r="H63" s="794">
        <f t="shared" si="55"/>
        <v>392.07985882841422</v>
      </c>
      <c r="I63" s="794">
        <f t="shared" si="55"/>
        <v>436.58071035592644</v>
      </c>
      <c r="J63" s="794">
        <f t="shared" si="55"/>
        <v>406.77109651339066</v>
      </c>
      <c r="K63" s="794">
        <f t="shared" si="55"/>
        <v>416.17691608603451</v>
      </c>
      <c r="L63" s="794">
        <f t="shared" si="55"/>
        <v>495.78571428571428</v>
      </c>
      <c r="M63" s="794">
        <f t="shared" si="55"/>
        <v>637.20000000000005</v>
      </c>
      <c r="N63" s="794">
        <f t="shared" si="55"/>
        <v>582.77486910994753</v>
      </c>
      <c r="O63" s="794">
        <f t="shared" si="55"/>
        <v>748.62068965517244</v>
      </c>
      <c r="P63" s="794">
        <f t="shared" si="55"/>
        <v>852.30215827338134</v>
      </c>
      <c r="Q63" s="794">
        <f t="shared" si="55"/>
        <v>1010.0680272108845</v>
      </c>
      <c r="R63" s="794">
        <f t="shared" si="55"/>
        <v>767.95275590551182</v>
      </c>
      <c r="S63" s="794">
        <f t="shared" si="55"/>
        <v>717.16417910447763</v>
      </c>
      <c r="T63" s="794">
        <f t="shared" si="55"/>
        <v>1086.2698412698412</v>
      </c>
      <c r="U63" s="794">
        <f t="shared" si="55"/>
        <v>1158.7078651685392</v>
      </c>
      <c r="V63" s="794">
        <f t="shared" si="55"/>
        <v>933.84</v>
      </c>
      <c r="W63" s="794">
        <f t="shared" si="55"/>
        <v>923.47826086956525</v>
      </c>
      <c r="X63" s="794">
        <f t="shared" si="55"/>
        <v>1044.2931937172777</v>
      </c>
      <c r="Y63" s="794">
        <f t="shared" si="55"/>
        <v>1011.7197452229301</v>
      </c>
      <c r="Z63" s="794">
        <f t="shared" si="55"/>
        <v>999.72222222222217</v>
      </c>
      <c r="AA63" s="794">
        <f t="shared" si="55"/>
        <v>938.69047619047603</v>
      </c>
      <c r="AB63" s="794">
        <f t="shared" si="55"/>
        <v>903.84615384615381</v>
      </c>
      <c r="AC63" s="794">
        <f t="shared" si="55"/>
        <v>889.79797979797968</v>
      </c>
      <c r="AD63" s="794">
        <f t="shared" si="55"/>
        <v>834.55128205128233</v>
      </c>
      <c r="AE63" s="794">
        <f t="shared" si="55"/>
        <v>1103.3142857142857</v>
      </c>
      <c r="AF63" s="794">
        <f t="shared" si="55"/>
        <v>854.08284023668648</v>
      </c>
      <c r="AG63" s="794">
        <f t="shared" si="55"/>
        <v>865.77669902912623</v>
      </c>
      <c r="AH63" s="794">
        <f t="shared" si="55"/>
        <v>842.17171717171709</v>
      </c>
      <c r="AI63" s="794">
        <f t="shared" si="55"/>
        <v>793.80281690140851</v>
      </c>
      <c r="AJ63" s="794">
        <f t="shared" si="55"/>
        <v>784.46428571428578</v>
      </c>
      <c r="AK63" s="972">
        <f t="shared" si="55"/>
        <v>846.03571428571433</v>
      </c>
      <c r="AL63" s="972">
        <f t="shared" si="55"/>
        <v>903.97637795275591</v>
      </c>
      <c r="AM63" s="972">
        <f t="shared" si="55"/>
        <v>969.61864406779648</v>
      </c>
      <c r="AN63" s="972">
        <f t="shared" si="55"/>
        <v>1141.4592274678109</v>
      </c>
      <c r="AO63" s="972">
        <f t="shared" si="55"/>
        <v>1205.9109311740892</v>
      </c>
      <c r="AP63" s="972">
        <f t="shared" ref="AP63:AQ63" si="56">IF(AP50=0,0,AP75/AP50*1000)</f>
        <v>1141.0788381742739</v>
      </c>
      <c r="AQ63" s="972">
        <f t="shared" si="56"/>
        <v>1026.8690095846644</v>
      </c>
      <c r="AR63" s="972">
        <f t="shared" ref="AR63:AT63" si="57">IF(AR50=0,0,AR75/AR50*1000)</f>
        <v>1078.704663212435</v>
      </c>
      <c r="AS63" s="972">
        <f t="shared" si="57"/>
        <v>1385.2173913043478</v>
      </c>
      <c r="AT63" s="804">
        <f t="shared" si="57"/>
        <v>1183.0898876404494</v>
      </c>
      <c r="AU63" s="804"/>
      <c r="AV63" s="804"/>
      <c r="AW63" s="804"/>
      <c r="AX63" s="804"/>
      <c r="AY63" s="804"/>
      <c r="AZ63" s="804"/>
      <c r="BA63" s="804"/>
      <c r="BB63" s="804"/>
      <c r="BC63" s="804"/>
      <c r="BD63" s="804"/>
      <c r="BE63" s="804"/>
      <c r="BF63" s="804"/>
      <c r="BG63" s="804"/>
      <c r="BH63" s="804"/>
      <c r="BI63" s="804"/>
      <c r="BJ63" s="804"/>
      <c r="BK63" s="804"/>
      <c r="BL63" s="804"/>
      <c r="BM63" s="804"/>
      <c r="BN63" s="210"/>
    </row>
    <row r="64" spans="1:66">
      <c r="A64" s="1740" t="s">
        <v>830</v>
      </c>
      <c r="B64" s="794">
        <f t="shared" ref="B64:AO64" si="58">IF(B51=0,0,B76/B51*1000)</f>
        <v>591.08503214369853</v>
      </c>
      <c r="C64" s="794">
        <f t="shared" si="58"/>
        <v>776.92574436896109</v>
      </c>
      <c r="D64" s="794">
        <f t="shared" si="58"/>
        <v>580.04902220106146</v>
      </c>
      <c r="E64" s="794">
        <f t="shared" si="58"/>
        <v>535.18420929751653</v>
      </c>
      <c r="F64" s="794">
        <f t="shared" si="58"/>
        <v>467.02411978552817</v>
      </c>
      <c r="G64" s="794">
        <f t="shared" si="58"/>
        <v>467.65742518173522</v>
      </c>
      <c r="H64" s="794">
        <f t="shared" si="58"/>
        <v>414.05113679859147</v>
      </c>
      <c r="I64" s="794">
        <f t="shared" si="58"/>
        <v>485.01016981221323</v>
      </c>
      <c r="J64" s="794">
        <f t="shared" si="58"/>
        <v>400.19612805263819</v>
      </c>
      <c r="K64" s="794">
        <f t="shared" si="58"/>
        <v>402.60450160771711</v>
      </c>
      <c r="L64" s="794">
        <f t="shared" si="58"/>
        <v>598.21600000000001</v>
      </c>
      <c r="M64" s="794">
        <f t="shared" si="58"/>
        <v>668.25331125827813</v>
      </c>
      <c r="N64" s="794">
        <f t="shared" si="58"/>
        <v>611.8941868060092</v>
      </c>
      <c r="O64" s="794">
        <f t="shared" si="58"/>
        <v>591.78287318671039</v>
      </c>
      <c r="P64" s="794">
        <f t="shared" si="58"/>
        <v>721.91941801902635</v>
      </c>
      <c r="Q64" s="794">
        <f t="shared" si="58"/>
        <v>874.02369668246445</v>
      </c>
      <c r="R64" s="794">
        <f t="shared" si="58"/>
        <v>818.81835937499989</v>
      </c>
      <c r="S64" s="794">
        <f t="shared" si="58"/>
        <v>793.95557287607164</v>
      </c>
      <c r="T64" s="794">
        <f t="shared" si="58"/>
        <v>842.37241379310342</v>
      </c>
      <c r="U64" s="794">
        <f t="shared" si="58"/>
        <v>932.08540218470705</v>
      </c>
      <c r="V64" s="794">
        <f t="shared" si="58"/>
        <v>896.91155147414202</v>
      </c>
      <c r="W64" s="794">
        <f t="shared" si="58"/>
        <v>916.5632710609799</v>
      </c>
      <c r="X64" s="794">
        <f t="shared" si="58"/>
        <v>954.60592509781998</v>
      </c>
      <c r="Y64" s="794">
        <f t="shared" si="58"/>
        <v>947.02418506834897</v>
      </c>
      <c r="Z64" s="794">
        <f t="shared" si="58"/>
        <v>1078.1629392971247</v>
      </c>
      <c r="AA64" s="794">
        <f t="shared" si="58"/>
        <v>985.48817312531457</v>
      </c>
      <c r="AB64" s="794">
        <f t="shared" si="58"/>
        <v>953.12823834196888</v>
      </c>
      <c r="AC64" s="794">
        <f t="shared" si="58"/>
        <v>923.58709677419358</v>
      </c>
      <c r="AD64" s="794">
        <f t="shared" si="58"/>
        <v>895.81260364842433</v>
      </c>
      <c r="AE64" s="794">
        <f t="shared" si="58"/>
        <v>900.30579050097606</v>
      </c>
      <c r="AF64" s="794">
        <f t="shared" si="58"/>
        <v>918.51807943094263</v>
      </c>
      <c r="AG64" s="794">
        <f t="shared" si="58"/>
        <v>845.5533694048205</v>
      </c>
      <c r="AH64" s="794">
        <f t="shared" si="58"/>
        <v>874.30639887902851</v>
      </c>
      <c r="AI64" s="794">
        <f t="shared" si="58"/>
        <v>874.80465815176558</v>
      </c>
      <c r="AJ64" s="794">
        <f t="shared" si="58"/>
        <v>910.98684210526312</v>
      </c>
      <c r="AK64" s="972">
        <f t="shared" si="58"/>
        <v>1038.1215825024124</v>
      </c>
      <c r="AL64" s="972">
        <f t="shared" si="58"/>
        <v>970.54678692220978</v>
      </c>
      <c r="AM64" s="972">
        <f t="shared" si="58"/>
        <v>1044.8572545952288</v>
      </c>
      <c r="AN64" s="972">
        <f t="shared" si="58"/>
        <v>1065.3183183183185</v>
      </c>
      <c r="AO64" s="972">
        <f t="shared" si="58"/>
        <v>1072.5184965966264</v>
      </c>
      <c r="AP64" s="972">
        <f t="shared" ref="AP64:AQ64" si="59">IF(AP51=0,0,AP76/AP51*1000)</f>
        <v>1180.032786885246</v>
      </c>
      <c r="AQ64" s="972">
        <f t="shared" si="59"/>
        <v>1197.3319824383652</v>
      </c>
      <c r="AR64" s="972">
        <f t="shared" ref="AR64:AT64" si="60">IF(AR51=0,0,AR76/AR51*1000)</f>
        <v>1251.188725490196</v>
      </c>
      <c r="AS64" s="972">
        <f t="shared" si="60"/>
        <v>1399.8364132081188</v>
      </c>
      <c r="AT64" s="804">
        <f t="shared" si="60"/>
        <v>1517.6426872770512</v>
      </c>
      <c r="AU64" s="804"/>
      <c r="AV64" s="804"/>
      <c r="AW64" s="804"/>
      <c r="AX64" s="804"/>
      <c r="AY64" s="804"/>
      <c r="AZ64" s="804"/>
      <c r="BA64" s="804"/>
      <c r="BB64" s="804"/>
      <c r="BC64" s="804"/>
      <c r="BD64" s="804"/>
      <c r="BE64" s="804"/>
      <c r="BF64" s="804"/>
      <c r="BG64" s="804"/>
      <c r="BH64" s="804"/>
      <c r="BI64" s="804"/>
      <c r="BJ64" s="804"/>
      <c r="BK64" s="804"/>
      <c r="BL64" s="804"/>
      <c r="BM64" s="804"/>
      <c r="BN64" s="210"/>
    </row>
    <row r="65" spans="1:66">
      <c r="A65" s="1732" t="s">
        <v>816</v>
      </c>
      <c r="B65" s="800">
        <f t="shared" ref="B65:AO65" si="61">IF(B52=0,0,B77/B52*1000)</f>
        <v>597.73850038423552</v>
      </c>
      <c r="C65" s="800">
        <f t="shared" si="61"/>
        <v>851.78698838944013</v>
      </c>
      <c r="D65" s="800">
        <f t="shared" si="61"/>
        <v>758.79966591098901</v>
      </c>
      <c r="E65" s="800">
        <f t="shared" si="61"/>
        <v>836.35632819172997</v>
      </c>
      <c r="F65" s="800">
        <f t="shared" si="61"/>
        <v>679.16466634661549</v>
      </c>
      <c r="G65" s="800">
        <f t="shared" si="61"/>
        <v>613.84044768349827</v>
      </c>
      <c r="H65" s="800">
        <f t="shared" si="61"/>
        <v>689.00963864674952</v>
      </c>
      <c r="I65" s="800">
        <f t="shared" si="61"/>
        <v>725.06054083142737</v>
      </c>
      <c r="J65" s="800">
        <f t="shared" si="61"/>
        <v>656.05372800198995</v>
      </c>
      <c r="K65" s="800">
        <f t="shared" si="61"/>
        <v>708.91792802572559</v>
      </c>
      <c r="L65" s="800">
        <f t="shared" si="61"/>
        <v>707.33482642777165</v>
      </c>
      <c r="M65" s="800">
        <f t="shared" si="61"/>
        <v>781.73039533376539</v>
      </c>
      <c r="N65" s="800">
        <f t="shared" si="61"/>
        <v>625.47268907563023</v>
      </c>
      <c r="O65" s="800">
        <f t="shared" si="61"/>
        <v>725.56164383561645</v>
      </c>
      <c r="P65" s="800">
        <f t="shared" si="61"/>
        <v>894.97765862377116</v>
      </c>
      <c r="Q65" s="800">
        <f t="shared" si="61"/>
        <v>1052.4343015214383</v>
      </c>
      <c r="R65" s="800">
        <f t="shared" si="61"/>
        <v>743.27635327635346</v>
      </c>
      <c r="S65" s="800">
        <f t="shared" si="61"/>
        <v>841.54882154882159</v>
      </c>
      <c r="T65" s="800">
        <f t="shared" si="61"/>
        <v>998.61202185792354</v>
      </c>
      <c r="U65" s="800">
        <f t="shared" si="61"/>
        <v>1123.3442088091354</v>
      </c>
      <c r="V65" s="800">
        <f t="shared" si="61"/>
        <v>1097.2304439746299</v>
      </c>
      <c r="W65" s="800">
        <f t="shared" si="61"/>
        <v>1100.3058823529414</v>
      </c>
      <c r="X65" s="800">
        <f t="shared" si="61"/>
        <v>1263.5090609555189</v>
      </c>
      <c r="Y65" s="800">
        <f t="shared" si="61"/>
        <v>1182.8720238095239</v>
      </c>
      <c r="Z65" s="800">
        <f t="shared" si="61"/>
        <v>1183.1283422459894</v>
      </c>
      <c r="AA65" s="800">
        <f t="shared" si="61"/>
        <v>1118.3333333333333</v>
      </c>
      <c r="AB65" s="800">
        <f t="shared" si="61"/>
        <v>1019.2152917505031</v>
      </c>
      <c r="AC65" s="800">
        <f t="shared" si="61"/>
        <v>1178.705440900563</v>
      </c>
      <c r="AD65" s="800">
        <f t="shared" si="61"/>
        <v>1218.760504201681</v>
      </c>
      <c r="AE65" s="800">
        <f t="shared" si="61"/>
        <v>1209.2878338278931</v>
      </c>
      <c r="AF65" s="800">
        <f t="shared" si="61"/>
        <v>1187.674074074074</v>
      </c>
      <c r="AG65" s="800">
        <f t="shared" si="61"/>
        <v>1336.5647743813684</v>
      </c>
      <c r="AH65" s="800">
        <f t="shared" si="61"/>
        <v>1320.6132075471698</v>
      </c>
      <c r="AI65" s="800">
        <f t="shared" si="61"/>
        <v>1194.182621502209</v>
      </c>
      <c r="AJ65" s="800">
        <f t="shared" si="61"/>
        <v>1233.0377906976744</v>
      </c>
      <c r="AK65" s="832">
        <f>IF(AK52=0,0,AK77/AK52*1000)</f>
        <v>1330.9693558474046</v>
      </c>
      <c r="AL65" s="832">
        <f t="shared" si="61"/>
        <v>1278.7366167023554</v>
      </c>
      <c r="AM65" s="832">
        <f t="shared" si="61"/>
        <v>1397.9861111111113</v>
      </c>
      <c r="AN65" s="832">
        <f t="shared" si="61"/>
        <v>1605.1093613298337</v>
      </c>
      <c r="AO65" s="832">
        <f t="shared" si="61"/>
        <v>1883.5306553911203</v>
      </c>
      <c r="AP65" s="832">
        <f t="shared" ref="AP65:AQ65" si="62">IF(AP52=0,0,AP77/AP52*1000)</f>
        <v>1569.226277372263</v>
      </c>
      <c r="AQ65" s="832">
        <f t="shared" si="62"/>
        <v>1636.2804878048782</v>
      </c>
      <c r="AR65" s="832">
        <f t="shared" ref="AR65:AT65" si="63">IF(AR52=0,0,AR77/AR52*1000)</f>
        <v>1898.2453825857522</v>
      </c>
      <c r="AS65" s="832">
        <f t="shared" si="63"/>
        <v>1722.030651340996</v>
      </c>
      <c r="AT65" s="803">
        <f t="shared" si="63"/>
        <v>1527.7579365079366</v>
      </c>
      <c r="AU65" s="803"/>
      <c r="AV65" s="803"/>
      <c r="AW65" s="803"/>
      <c r="AX65" s="803"/>
      <c r="AY65" s="803"/>
      <c r="AZ65" s="803"/>
      <c r="BA65" s="803"/>
      <c r="BB65" s="803"/>
      <c r="BC65" s="803"/>
      <c r="BD65" s="803"/>
      <c r="BE65" s="803"/>
      <c r="BF65" s="803"/>
      <c r="BG65" s="803"/>
      <c r="BH65" s="803"/>
      <c r="BI65" s="803"/>
      <c r="BJ65" s="803"/>
      <c r="BK65" s="803"/>
      <c r="BL65" s="803"/>
      <c r="BM65" s="803"/>
      <c r="BN65" s="210"/>
    </row>
    <row r="66" spans="1:66">
      <c r="A66" s="1740" t="s">
        <v>811</v>
      </c>
      <c r="B66" s="794">
        <f t="shared" ref="B66:AO66" si="64">IF(B53=0,0,B78/B53*1000)</f>
        <v>520.04892576047655</v>
      </c>
      <c r="C66" s="794">
        <f t="shared" si="64"/>
        <v>813.9056537389373</v>
      </c>
      <c r="D66" s="794">
        <f t="shared" si="64"/>
        <v>721.85337243401761</v>
      </c>
      <c r="E66" s="794">
        <f t="shared" si="64"/>
        <v>800.45009115770279</v>
      </c>
      <c r="F66" s="794">
        <f t="shared" si="64"/>
        <v>643.1325453511156</v>
      </c>
      <c r="G66" s="794">
        <f t="shared" si="64"/>
        <v>576.25319040326701</v>
      </c>
      <c r="H66" s="794">
        <f t="shared" si="64"/>
        <v>687.27213805395775</v>
      </c>
      <c r="I66" s="794">
        <f t="shared" si="64"/>
        <v>705.09915014164289</v>
      </c>
      <c r="J66" s="794">
        <f t="shared" si="64"/>
        <v>656.05372800198995</v>
      </c>
      <c r="K66" s="794">
        <f t="shared" si="64"/>
        <v>702.50822590215228</v>
      </c>
      <c r="L66" s="794">
        <f t="shared" si="64"/>
        <v>687.54982415005873</v>
      </c>
      <c r="M66" s="794">
        <f t="shared" si="64"/>
        <v>746.02248770203789</v>
      </c>
      <c r="N66" s="794">
        <f t="shared" si="64"/>
        <v>605.32608695652175</v>
      </c>
      <c r="O66" s="794">
        <f t="shared" si="64"/>
        <v>709.6129837702872</v>
      </c>
      <c r="P66" s="794">
        <f t="shared" si="64"/>
        <v>913.05927342256223</v>
      </c>
      <c r="Q66" s="794">
        <f t="shared" si="64"/>
        <v>1067.8812199036918</v>
      </c>
      <c r="R66" s="794">
        <f t="shared" si="64"/>
        <v>731.45929339477732</v>
      </c>
      <c r="S66" s="794">
        <f t="shared" si="64"/>
        <v>815.77490774907756</v>
      </c>
      <c r="T66" s="794">
        <f t="shared" si="64"/>
        <v>990.94478527607362</v>
      </c>
      <c r="U66" s="794">
        <f t="shared" si="64"/>
        <v>1161.9168173598555</v>
      </c>
      <c r="V66" s="794">
        <f t="shared" si="64"/>
        <v>1160.2314814814813</v>
      </c>
      <c r="W66" s="794">
        <f t="shared" si="64"/>
        <v>1158.779069767442</v>
      </c>
      <c r="X66" s="794">
        <f t="shared" si="64"/>
        <v>1234.7203579418344</v>
      </c>
      <c r="Y66" s="794">
        <f t="shared" si="64"/>
        <v>1130.054347826087</v>
      </c>
      <c r="Z66" s="794">
        <f t="shared" si="64"/>
        <v>1141.6666666666667</v>
      </c>
      <c r="AA66" s="794">
        <f t="shared" si="64"/>
        <v>1049.2715231788079</v>
      </c>
      <c r="AB66" s="794">
        <f t="shared" si="64"/>
        <v>1080.7158836689036</v>
      </c>
      <c r="AC66" s="794">
        <f t="shared" si="64"/>
        <v>1181.4146341463415</v>
      </c>
      <c r="AD66" s="794">
        <f t="shared" si="64"/>
        <v>1229.5505617977528</v>
      </c>
      <c r="AE66" s="794">
        <f t="shared" si="64"/>
        <v>1124.3788819875774</v>
      </c>
      <c r="AF66" s="794">
        <f t="shared" si="64"/>
        <v>1239.9594320486817</v>
      </c>
      <c r="AG66" s="794">
        <f t="shared" si="64"/>
        <v>1345.9805510534845</v>
      </c>
      <c r="AH66" s="794">
        <f t="shared" si="64"/>
        <v>1320.6132075471698</v>
      </c>
      <c r="AI66" s="794">
        <f t="shared" si="64"/>
        <v>1247.2545090180361</v>
      </c>
      <c r="AJ66" s="794">
        <f t="shared" si="64"/>
        <v>1196.542372881356</v>
      </c>
      <c r="AK66" s="972">
        <f t="shared" si="64"/>
        <v>1305.3323802716225</v>
      </c>
      <c r="AL66" s="972">
        <f t="shared" si="64"/>
        <v>1278.7366167023554</v>
      </c>
      <c r="AM66" s="972">
        <f t="shared" si="64"/>
        <v>1228.527397260274</v>
      </c>
      <c r="AN66" s="972">
        <f t="shared" si="64"/>
        <v>1602.1550855991943</v>
      </c>
      <c r="AO66" s="972">
        <f t="shared" si="64"/>
        <v>1876.9615832363211</v>
      </c>
      <c r="AP66" s="972">
        <f t="shared" ref="AP66:AQ66" si="65">IF(AP53=0,0,AP78/AP53*1000)</f>
        <v>1502.0333333333333</v>
      </c>
      <c r="AQ66" s="972">
        <f t="shared" si="65"/>
        <v>1595.8761329305134</v>
      </c>
      <c r="AR66" s="972">
        <f t="shared" ref="AR66:AT66" si="66">IF(AR53=0,0,AR78/AR53*1000)</f>
        <v>1864.2857142857142</v>
      </c>
      <c r="AS66" s="972">
        <f t="shared" si="66"/>
        <v>1704.9999999999998</v>
      </c>
      <c r="AT66" s="804">
        <f t="shared" si="66"/>
        <v>1479.5945945945948</v>
      </c>
      <c r="AU66" s="804"/>
      <c r="AV66" s="804"/>
      <c r="AW66" s="804"/>
      <c r="AX66" s="804"/>
      <c r="AY66" s="804"/>
      <c r="AZ66" s="804"/>
      <c r="BA66" s="804"/>
      <c r="BB66" s="804"/>
      <c r="BC66" s="804"/>
      <c r="BD66" s="804"/>
      <c r="BE66" s="804"/>
      <c r="BF66" s="804"/>
      <c r="BG66" s="804"/>
      <c r="BH66" s="804"/>
      <c r="BI66" s="804"/>
      <c r="BJ66" s="804"/>
      <c r="BK66" s="804"/>
      <c r="BL66" s="804"/>
      <c r="BM66" s="804"/>
      <c r="BN66" s="210"/>
    </row>
    <row r="67" spans="1:66">
      <c r="A67" s="1740" t="s">
        <v>812</v>
      </c>
      <c r="B67" s="794">
        <f t="shared" ref="B67:AO67" si="67">IF(B54=0,0,B79/B54*1000)</f>
        <v>965.85611692075088</v>
      </c>
      <c r="C67" s="794">
        <f t="shared" si="67"/>
        <v>1002.2575790152657</v>
      </c>
      <c r="D67" s="794">
        <f t="shared" si="67"/>
        <v>964.36496540921553</v>
      </c>
      <c r="E67" s="794">
        <f t="shared" si="67"/>
        <v>1104.4236495108464</v>
      </c>
      <c r="F67" s="794">
        <f t="shared" si="67"/>
        <v>792.97264923138346</v>
      </c>
      <c r="G67" s="794">
        <f t="shared" si="67"/>
        <v>761.14267424181799</v>
      </c>
      <c r="H67" s="794">
        <f t="shared" si="67"/>
        <v>720.66420664206646</v>
      </c>
      <c r="I67" s="794">
        <f t="shared" si="67"/>
        <v>823.27757865392266</v>
      </c>
      <c r="J67" s="794">
        <f t="shared" si="67"/>
        <v>0</v>
      </c>
      <c r="K67" s="794">
        <f t="shared" si="67"/>
        <v>828.92344980811959</v>
      </c>
      <c r="L67" s="794">
        <f t="shared" si="67"/>
        <v>1129.25</v>
      </c>
      <c r="M67" s="794">
        <f t="shared" si="67"/>
        <v>1205.1666666666667</v>
      </c>
      <c r="N67" s="794">
        <f t="shared" si="67"/>
        <v>759.99999999999989</v>
      </c>
      <c r="O67" s="794">
        <f t="shared" si="67"/>
        <v>769.01360544217698</v>
      </c>
      <c r="P67" s="794">
        <f t="shared" si="67"/>
        <v>635.89041095890423</v>
      </c>
      <c r="Q67" s="794">
        <f t="shared" si="67"/>
        <v>956.19999999999993</v>
      </c>
      <c r="R67" s="794">
        <f t="shared" si="67"/>
        <v>894.11764705882342</v>
      </c>
      <c r="S67" s="794">
        <f t="shared" si="67"/>
        <v>1110.1923076923076</v>
      </c>
      <c r="T67" s="794">
        <f t="shared" si="67"/>
        <v>1061.1000000000001</v>
      </c>
      <c r="U67" s="794">
        <f t="shared" si="67"/>
        <v>767.83333333333337</v>
      </c>
      <c r="V67" s="794">
        <f t="shared" si="67"/>
        <v>433.41463414634148</v>
      </c>
      <c r="W67" s="794">
        <f t="shared" si="67"/>
        <v>851.9753086419754</v>
      </c>
      <c r="X67" s="794">
        <f t="shared" si="67"/>
        <v>1343.9375</v>
      </c>
      <c r="Y67" s="794">
        <f t="shared" si="67"/>
        <v>1425.8333333333333</v>
      </c>
      <c r="Z67" s="794">
        <f t="shared" si="67"/>
        <v>1451.8</v>
      </c>
      <c r="AA67" s="794">
        <f t="shared" si="67"/>
        <v>1326.8999999999999</v>
      </c>
      <c r="AB67" s="794">
        <f t="shared" si="67"/>
        <v>469.4</v>
      </c>
      <c r="AC67" s="794">
        <f t="shared" si="67"/>
        <v>1169.6747967479675</v>
      </c>
      <c r="AD67" s="794">
        <f t="shared" si="67"/>
        <v>1063.8709677419374</v>
      </c>
      <c r="AE67" s="794">
        <f t="shared" si="67"/>
        <v>1286.9602272727273</v>
      </c>
      <c r="AF67" s="794">
        <f t="shared" si="67"/>
        <v>1046.0439560439561</v>
      </c>
      <c r="AG67" s="794">
        <f t="shared" si="67"/>
        <v>1253.5714285714287</v>
      </c>
      <c r="AH67" s="794">
        <f t="shared" si="67"/>
        <v>0</v>
      </c>
      <c r="AI67" s="794">
        <f t="shared" si="67"/>
        <v>1047.0555555555557</v>
      </c>
      <c r="AJ67" s="794">
        <f t="shared" si="67"/>
        <v>1452.7551020408162</v>
      </c>
      <c r="AK67" s="972">
        <f t="shared" si="67"/>
        <v>1510.3</v>
      </c>
      <c r="AL67" s="972">
        <f t="shared" si="67"/>
        <v>0</v>
      </c>
      <c r="AM67" s="972">
        <f t="shared" si="67"/>
        <v>1572.2183098591552</v>
      </c>
      <c r="AN67" s="972">
        <f t="shared" si="67"/>
        <v>1624.6666666666667</v>
      </c>
      <c r="AO67" s="972">
        <f t="shared" si="67"/>
        <v>1948.3908045977014</v>
      </c>
      <c r="AP67" s="972">
        <f t="shared" ref="AP67:AQ67" si="68">IF(AP54=0,0,AP79/AP54*1000)</f>
        <v>2043.5294117647059</v>
      </c>
      <c r="AQ67" s="972">
        <f t="shared" si="68"/>
        <v>1805.5696202531644</v>
      </c>
      <c r="AR67" s="972">
        <f t="shared" ref="AR67:AT67" si="69">IF(AR54=0,0,AR79/AR54*1000)</f>
        <v>2121.6999999999998</v>
      </c>
      <c r="AS67" s="972">
        <f t="shared" si="69"/>
        <v>1927.25</v>
      </c>
      <c r="AT67" s="804">
        <f t="shared" si="69"/>
        <v>1884.1666666666665</v>
      </c>
      <c r="AU67" s="804"/>
      <c r="AV67" s="804"/>
      <c r="AW67" s="804"/>
      <c r="AX67" s="804"/>
      <c r="AY67" s="804"/>
      <c r="AZ67" s="804"/>
      <c r="BA67" s="804"/>
      <c r="BB67" s="804"/>
      <c r="BC67" s="804"/>
      <c r="BD67" s="804"/>
      <c r="BE67" s="804"/>
      <c r="BF67" s="804"/>
      <c r="BG67" s="804"/>
      <c r="BH67" s="804"/>
      <c r="BI67" s="804"/>
      <c r="BJ67" s="804"/>
      <c r="BK67" s="804"/>
      <c r="BL67" s="804"/>
      <c r="BM67" s="804"/>
      <c r="BN67" s="210"/>
    </row>
    <row r="68" spans="1:66">
      <c r="A68" s="1732" t="s">
        <v>817</v>
      </c>
      <c r="B68" s="800">
        <f t="shared" ref="B68:AO68" si="70">IF(B55=0,0,B80/B55*1000)</f>
        <v>983.8218860139259</v>
      </c>
      <c r="C68" s="800">
        <f t="shared" si="70"/>
        <v>1026.6221738746947</v>
      </c>
      <c r="D68" s="800">
        <f t="shared" si="70"/>
        <v>933.78743647961937</v>
      </c>
      <c r="E68" s="800">
        <f t="shared" si="70"/>
        <v>896.93296841739436</v>
      </c>
      <c r="F68" s="800">
        <f t="shared" si="70"/>
        <v>827.92411518897779</v>
      </c>
      <c r="G68" s="800">
        <f t="shared" si="70"/>
        <v>728.82838059915264</v>
      </c>
      <c r="H68" s="800">
        <f t="shared" si="70"/>
        <v>777.17057830955662</v>
      </c>
      <c r="I68" s="800">
        <f t="shared" si="70"/>
        <v>825.20591430574711</v>
      </c>
      <c r="J68" s="800">
        <f t="shared" si="70"/>
        <v>791.06436022481239</v>
      </c>
      <c r="K68" s="800">
        <f t="shared" si="70"/>
        <v>818.31994790536146</v>
      </c>
      <c r="L68" s="800">
        <f t="shared" si="70"/>
        <v>889.98402555910536</v>
      </c>
      <c r="M68" s="800">
        <f t="shared" si="70"/>
        <v>822.41252302025782</v>
      </c>
      <c r="N68" s="800">
        <f t="shared" si="70"/>
        <v>663.61233480176213</v>
      </c>
      <c r="O68" s="800">
        <f t="shared" si="70"/>
        <v>791.02564102564099</v>
      </c>
      <c r="P68" s="800">
        <f t="shared" si="70"/>
        <v>1054.3567753001714</v>
      </c>
      <c r="Q68" s="800">
        <f t="shared" si="70"/>
        <v>1225.1838235294119</v>
      </c>
      <c r="R68" s="800">
        <f t="shared" si="70"/>
        <v>833.30232558139539</v>
      </c>
      <c r="S68" s="800">
        <f t="shared" si="70"/>
        <v>930.76779026217241</v>
      </c>
      <c r="T68" s="800">
        <f t="shared" si="70"/>
        <v>1137.7963737796372</v>
      </c>
      <c r="U68" s="800">
        <f t="shared" si="70"/>
        <v>1247.9263301500682</v>
      </c>
      <c r="V68" s="800">
        <f t="shared" si="70"/>
        <v>1666.4872521246459</v>
      </c>
      <c r="W68" s="800">
        <f t="shared" si="70"/>
        <v>1308.3385579937303</v>
      </c>
      <c r="X68" s="800">
        <f t="shared" si="70"/>
        <v>1334.8358208955224</v>
      </c>
      <c r="Y68" s="800">
        <f t="shared" si="70"/>
        <v>1211.7907444668008</v>
      </c>
      <c r="Z68" s="800">
        <f t="shared" si="70"/>
        <v>1247.4751491053678</v>
      </c>
      <c r="AA68" s="800">
        <f t="shared" si="70"/>
        <v>1188.3299798792755</v>
      </c>
      <c r="AB68" s="800">
        <f t="shared" si="70"/>
        <v>1285.5976676384839</v>
      </c>
      <c r="AC68" s="800">
        <f t="shared" si="70"/>
        <v>1326.1869436201778</v>
      </c>
      <c r="AD68" s="800">
        <f t="shared" si="70"/>
        <v>1317.6561232765609</v>
      </c>
      <c r="AE68" s="800">
        <f t="shared" si="70"/>
        <v>1334.6624087591242</v>
      </c>
      <c r="AF68" s="800">
        <f t="shared" si="70"/>
        <v>1340.8054711246202</v>
      </c>
      <c r="AG68" s="800">
        <f t="shared" si="70"/>
        <v>1495.5129650507326</v>
      </c>
      <c r="AH68" s="800">
        <f t="shared" si="70"/>
        <v>1476.8425135764157</v>
      </c>
      <c r="AI68" s="800">
        <f t="shared" si="70"/>
        <v>1344.8998459167951</v>
      </c>
      <c r="AJ68" s="800">
        <f t="shared" si="70"/>
        <v>1350.2201622247974</v>
      </c>
      <c r="AK68" s="832">
        <f t="shared" si="70"/>
        <v>1457.0762711864406</v>
      </c>
      <c r="AL68" s="832">
        <f t="shared" si="70"/>
        <v>1391.5465116279072</v>
      </c>
      <c r="AM68" s="832">
        <f t="shared" si="70"/>
        <v>1429.9291237113403</v>
      </c>
      <c r="AN68" s="832">
        <f t="shared" si="70"/>
        <v>1739.6687697160883</v>
      </c>
      <c r="AO68" s="832">
        <f t="shared" si="70"/>
        <v>2085.9262510974536</v>
      </c>
      <c r="AP68" s="832">
        <f t="shared" ref="AP68:AQ68" si="71">IF(AP55=0,0,AP80/AP55*1000)</f>
        <v>1653.4098360655737</v>
      </c>
      <c r="AQ68" s="832">
        <f t="shared" si="71"/>
        <v>1631.2900188323915</v>
      </c>
      <c r="AR68" s="832">
        <f t="shared" ref="AR68:AT68" si="72">IF(AR55=0,0,AR80/AR55*1000)</f>
        <v>2067.1338912133888</v>
      </c>
      <c r="AS68" s="832">
        <f t="shared" si="72"/>
        <v>1904.3725335438044</v>
      </c>
      <c r="AT68" s="803">
        <f t="shared" si="72"/>
        <v>1642.5843881856538</v>
      </c>
      <c r="AU68" s="803"/>
      <c r="AV68" s="803"/>
      <c r="AW68" s="803"/>
      <c r="AX68" s="803"/>
      <c r="AY68" s="803"/>
      <c r="AZ68" s="803"/>
      <c r="BA68" s="803"/>
      <c r="BB68" s="803"/>
      <c r="BC68" s="803"/>
      <c r="BD68" s="803"/>
      <c r="BE68" s="803"/>
      <c r="BF68" s="803"/>
      <c r="BG68" s="803"/>
      <c r="BH68" s="803"/>
      <c r="BI68" s="803"/>
      <c r="BJ68" s="803"/>
      <c r="BK68" s="803"/>
      <c r="BL68" s="803"/>
      <c r="BM68" s="803"/>
      <c r="BN68" s="210"/>
    </row>
    <row r="69" spans="1:66">
      <c r="A69" s="1740" t="s">
        <v>811</v>
      </c>
      <c r="B69" s="794">
        <f t="shared" ref="B69:AO69" si="73">IF(B56=0,0,B81/B56*1000)</f>
        <v>924.67554030495057</v>
      </c>
      <c r="C69" s="794">
        <f t="shared" si="73"/>
        <v>953.28568938469584</v>
      </c>
      <c r="D69" s="794">
        <f t="shared" si="73"/>
        <v>831.19145439605586</v>
      </c>
      <c r="E69" s="794">
        <f t="shared" si="73"/>
        <v>845.459160499105</v>
      </c>
      <c r="F69" s="794">
        <f t="shared" si="73"/>
        <v>840.22639233606276</v>
      </c>
      <c r="G69" s="794">
        <f t="shared" si="73"/>
        <v>667.41462346760068</v>
      </c>
      <c r="H69" s="794">
        <f t="shared" si="73"/>
        <v>771.57268553075028</v>
      </c>
      <c r="I69" s="794">
        <f t="shared" si="73"/>
        <v>787.31218337167991</v>
      </c>
      <c r="J69" s="794">
        <f t="shared" si="73"/>
        <v>785.66486431079102</v>
      </c>
      <c r="K69" s="794">
        <f t="shared" si="73"/>
        <v>837.14807422820502</v>
      </c>
      <c r="L69" s="794">
        <f t="shared" si="73"/>
        <v>874.95049504950498</v>
      </c>
      <c r="M69" s="794">
        <f t="shared" si="73"/>
        <v>822.41252302025782</v>
      </c>
      <c r="N69" s="794">
        <f t="shared" si="73"/>
        <v>653.03703703703707</v>
      </c>
      <c r="O69" s="794">
        <f t="shared" si="73"/>
        <v>800.86538461538476</v>
      </c>
      <c r="P69" s="794">
        <f t="shared" si="73"/>
        <v>1061.6341030195381</v>
      </c>
      <c r="Q69" s="794">
        <f t="shared" si="73"/>
        <v>1225.1838235294119</v>
      </c>
      <c r="R69" s="794">
        <f t="shared" si="73"/>
        <v>796.19444444444446</v>
      </c>
      <c r="S69" s="794">
        <f t="shared" si="73"/>
        <v>920.89861751152068</v>
      </c>
      <c r="T69" s="794">
        <f t="shared" si="73"/>
        <v>1166.2519936204146</v>
      </c>
      <c r="U69" s="794">
        <f t="shared" si="73"/>
        <v>1247.9263301500682</v>
      </c>
      <c r="V69" s="794">
        <f t="shared" si="73"/>
        <v>1666.4872521246459</v>
      </c>
      <c r="W69" s="794">
        <f t="shared" si="73"/>
        <v>1308.3385579937303</v>
      </c>
      <c r="X69" s="794">
        <f t="shared" si="73"/>
        <v>1338.6440677966102</v>
      </c>
      <c r="Y69" s="794">
        <f t="shared" si="73"/>
        <v>1205.7407407407409</v>
      </c>
      <c r="Z69" s="794">
        <f t="shared" si="73"/>
        <v>1245.1369863013699</v>
      </c>
      <c r="AA69" s="794">
        <f t="shared" si="73"/>
        <v>1179.8434004474273</v>
      </c>
      <c r="AB69" s="794">
        <f t="shared" si="73"/>
        <v>1235.3120243531203</v>
      </c>
      <c r="AC69" s="794">
        <f t="shared" si="73"/>
        <v>1324.3037974683543</v>
      </c>
      <c r="AD69" s="794">
        <f t="shared" si="73"/>
        <v>1325.6214689265535</v>
      </c>
      <c r="AE69" s="794">
        <f t="shared" si="73"/>
        <v>1237.757685352622</v>
      </c>
      <c r="AF69" s="794">
        <f t="shared" si="73"/>
        <v>1336.880877742947</v>
      </c>
      <c r="AG69" s="794">
        <f t="shared" si="73"/>
        <v>1495.5129650507326</v>
      </c>
      <c r="AH69" s="794">
        <f t="shared" si="73"/>
        <v>1428.9017341040462</v>
      </c>
      <c r="AI69" s="794">
        <f t="shared" si="73"/>
        <v>1344.8998459167951</v>
      </c>
      <c r="AJ69" s="794">
        <f t="shared" si="73"/>
        <v>1350.2201622247974</v>
      </c>
      <c r="AK69" s="972">
        <f t="shared" si="73"/>
        <v>1457.0762711864406</v>
      </c>
      <c r="AL69" s="972">
        <f t="shared" si="73"/>
        <v>1391.5465116279072</v>
      </c>
      <c r="AM69" s="972">
        <f t="shared" si="73"/>
        <v>1365.0362694300518</v>
      </c>
      <c r="AN69" s="972">
        <f t="shared" si="73"/>
        <v>6384.420289855073</v>
      </c>
      <c r="AO69" s="972">
        <f t="shared" si="73"/>
        <v>2085.9262510974536</v>
      </c>
      <c r="AP69" s="972">
        <f t="shared" ref="AP69:AQ69" si="74">IF(AP56=0,0,AP81/AP56*1000)</f>
        <v>1653.4098360655737</v>
      </c>
      <c r="AQ69" s="972">
        <f t="shared" si="74"/>
        <v>1725.2112676056338</v>
      </c>
      <c r="AR69" s="972">
        <f t="shared" ref="AR69:AT69" si="75">IF(AR56=0,0,AR81/AR56*1000)</f>
        <v>2067.1338912133888</v>
      </c>
      <c r="AS69" s="972">
        <f t="shared" si="75"/>
        <v>1917.4295473953887</v>
      </c>
      <c r="AT69" s="804">
        <f t="shared" si="75"/>
        <v>1642.2033898305083</v>
      </c>
      <c r="AU69" s="804"/>
      <c r="AV69" s="804"/>
      <c r="AW69" s="804"/>
      <c r="AX69" s="804"/>
      <c r="AY69" s="804"/>
      <c r="AZ69" s="804"/>
      <c r="BA69" s="804"/>
      <c r="BB69" s="804"/>
      <c r="BC69" s="804"/>
      <c r="BD69" s="804"/>
      <c r="BE69" s="804"/>
      <c r="BF69" s="804"/>
      <c r="BG69" s="804"/>
      <c r="BH69" s="804"/>
      <c r="BI69" s="804"/>
      <c r="BJ69" s="804"/>
      <c r="BK69" s="804"/>
      <c r="BL69" s="804"/>
      <c r="BM69" s="804"/>
      <c r="BN69" s="210"/>
    </row>
    <row r="70" spans="1:66">
      <c r="A70" s="1740" t="s">
        <v>812</v>
      </c>
      <c r="B70" s="794">
        <f t="shared" ref="B70:AO70" si="76">IF(B57=0,0,B82/B57*1000)</f>
        <v>1080.8516433629927</v>
      </c>
      <c r="C70" s="794">
        <f t="shared" si="76"/>
        <v>1063.9558099294554</v>
      </c>
      <c r="D70" s="794">
        <f t="shared" si="76"/>
        <v>1131.0998735777496</v>
      </c>
      <c r="E70" s="794">
        <f t="shared" si="76"/>
        <v>1120.6596214144697</v>
      </c>
      <c r="F70" s="794">
        <f t="shared" si="76"/>
        <v>811.24182184197275</v>
      </c>
      <c r="G70" s="794">
        <f t="shared" si="76"/>
        <v>804.1835946680992</v>
      </c>
      <c r="H70" s="794">
        <f t="shared" si="76"/>
        <v>808.33648155144192</v>
      </c>
      <c r="I70" s="794">
        <f t="shared" si="76"/>
        <v>919.48400967481859</v>
      </c>
      <c r="J70" s="794">
        <f t="shared" si="76"/>
        <v>822.4940334128878</v>
      </c>
      <c r="K70" s="794">
        <f t="shared" si="76"/>
        <v>785.00037574209068</v>
      </c>
      <c r="L70" s="794">
        <f t="shared" si="76"/>
        <v>1345.5</v>
      </c>
      <c r="M70" s="794">
        <f t="shared" si="76"/>
        <v>0</v>
      </c>
      <c r="N70" s="794">
        <f t="shared" si="76"/>
        <v>751.0204081632653</v>
      </c>
      <c r="O70" s="794">
        <f t="shared" si="76"/>
        <v>771.34615384615381</v>
      </c>
      <c r="P70" s="794">
        <f t="shared" si="76"/>
        <v>849.5</v>
      </c>
      <c r="Q70" s="794">
        <f t="shared" si="76"/>
        <v>0</v>
      </c>
      <c r="R70" s="794">
        <f t="shared" si="76"/>
        <v>1024.1428571428571</v>
      </c>
      <c r="S70" s="794">
        <f t="shared" si="76"/>
        <v>973.6</v>
      </c>
      <c r="T70" s="794">
        <f t="shared" si="76"/>
        <v>939.55555555555543</v>
      </c>
      <c r="U70" s="794">
        <f t="shared" si="76"/>
        <v>0</v>
      </c>
      <c r="V70" s="794">
        <f t="shared" si="76"/>
        <v>0</v>
      </c>
      <c r="W70" s="794">
        <f t="shared" si="76"/>
        <v>0</v>
      </c>
      <c r="X70" s="794">
        <f t="shared" si="76"/>
        <v>1306.75</v>
      </c>
      <c r="Y70" s="794">
        <f t="shared" si="76"/>
        <v>1252</v>
      </c>
      <c r="Z70" s="794">
        <f t="shared" si="76"/>
        <v>1263.2307692307693</v>
      </c>
      <c r="AA70" s="794">
        <f t="shared" si="76"/>
        <v>1264.2</v>
      </c>
      <c r="AB70" s="794">
        <f t="shared" si="76"/>
        <v>1374.4086021505375</v>
      </c>
      <c r="AC70" s="794">
        <f t="shared" si="76"/>
        <v>1334.793388429752</v>
      </c>
      <c r="AD70" s="794">
        <f t="shared" si="76"/>
        <v>1306.9142857142856</v>
      </c>
      <c r="AE70" s="794">
        <f t="shared" si="76"/>
        <v>1433.3517495395949</v>
      </c>
      <c r="AF70" s="794">
        <f t="shared" si="76"/>
        <v>1466</v>
      </c>
      <c r="AG70" s="794">
        <f t="shared" si="76"/>
        <v>0</v>
      </c>
      <c r="AH70" s="794">
        <f t="shared" si="76"/>
        <v>1574.6462264150944</v>
      </c>
      <c r="AI70" s="794">
        <f t="shared" si="76"/>
        <v>0</v>
      </c>
      <c r="AJ70" s="794">
        <f t="shared" si="76"/>
        <v>0</v>
      </c>
      <c r="AK70" s="972">
        <f t="shared" si="76"/>
        <v>0</v>
      </c>
      <c r="AL70" s="972">
        <f t="shared" si="76"/>
        <v>0</v>
      </c>
      <c r="AM70" s="972">
        <f t="shared" si="76"/>
        <v>1536.6098807495741</v>
      </c>
      <c r="AN70" s="972">
        <f t="shared" si="76"/>
        <v>447.37903225806451</v>
      </c>
      <c r="AO70" s="972">
        <f t="shared" si="76"/>
        <v>0</v>
      </c>
      <c r="AP70" s="972">
        <f t="shared" ref="AP70:AQ70" si="77">IF(AP57=0,0,AP82/AP57*1000)</f>
        <v>0</v>
      </c>
      <c r="AQ70" s="972">
        <f t="shared" si="77"/>
        <v>1250.2380952380952</v>
      </c>
      <c r="AR70" s="972">
        <f t="shared" ref="AR70:AT70" si="78">IF(AR57=0,0,AR82/AR57*1000)</f>
        <v>0</v>
      </c>
      <c r="AS70" s="972">
        <f t="shared" si="78"/>
        <v>1745.1041666666667</v>
      </c>
      <c r="AT70" s="804">
        <f t="shared" si="78"/>
        <v>1732.4999999999998</v>
      </c>
      <c r="AU70" s="804"/>
      <c r="AV70" s="804"/>
      <c r="AW70" s="804"/>
      <c r="AX70" s="804"/>
      <c r="AY70" s="804"/>
      <c r="AZ70" s="804"/>
      <c r="BA70" s="804"/>
      <c r="BB70" s="804"/>
      <c r="BC70" s="804"/>
      <c r="BD70" s="804"/>
      <c r="BE70" s="804"/>
      <c r="BF70" s="804"/>
      <c r="BG70" s="804"/>
      <c r="BH70" s="804"/>
      <c r="BI70" s="804"/>
      <c r="BJ70" s="804"/>
      <c r="BK70" s="804"/>
      <c r="BL70" s="804"/>
      <c r="BM70" s="804"/>
      <c r="BN70" s="210"/>
    </row>
    <row r="71" spans="1:66">
      <c r="A71" s="1732" t="s">
        <v>818</v>
      </c>
      <c r="B71" s="800">
        <f t="shared" ref="B71:Q71" si="79">IF(B58=0,0,B83/B58*1000)</f>
        <v>0</v>
      </c>
      <c r="C71" s="800">
        <f t="shared" si="79"/>
        <v>0</v>
      </c>
      <c r="D71" s="800">
        <f t="shared" si="79"/>
        <v>0</v>
      </c>
      <c r="E71" s="800">
        <f t="shared" si="79"/>
        <v>0</v>
      </c>
      <c r="F71" s="800">
        <f t="shared" si="79"/>
        <v>0</v>
      </c>
      <c r="G71" s="800">
        <f t="shared" si="79"/>
        <v>0</v>
      </c>
      <c r="H71" s="800">
        <f t="shared" si="79"/>
        <v>0</v>
      </c>
      <c r="I71" s="800">
        <f t="shared" si="79"/>
        <v>0</v>
      </c>
      <c r="J71" s="800">
        <f t="shared" si="79"/>
        <v>249.17331258510026</v>
      </c>
      <c r="K71" s="800">
        <f t="shared" si="79"/>
        <v>181.70887502818064</v>
      </c>
      <c r="L71" s="800">
        <f t="shared" si="79"/>
        <v>139.97606223818073</v>
      </c>
      <c r="M71" s="800">
        <f t="shared" si="79"/>
        <v>88.758572706490412</v>
      </c>
      <c r="N71" s="800">
        <f t="shared" si="79"/>
        <v>103.77160317005635</v>
      </c>
      <c r="O71" s="800">
        <f t="shared" si="79"/>
        <v>140.4792362172787</v>
      </c>
      <c r="P71" s="800">
        <f t="shared" si="79"/>
        <v>138.7819947043248</v>
      </c>
      <c r="Q71" s="800">
        <f t="shared" si="79"/>
        <v>0</v>
      </c>
      <c r="R71" s="832">
        <f>IF(R58=0,0,IFERROR(R83/R58*1000,"NM"))</f>
        <v>166.73919048837325</v>
      </c>
      <c r="S71" s="832">
        <f>IF(S58=0,0,IFERROR(S83/S58*1000,"NM"))</f>
        <v>165.05238382699463</v>
      </c>
      <c r="T71" s="800">
        <f t="shared" ref="T71:AO71" si="80">IF(T58=0,0,T83/T58*1000)</f>
        <v>87.655259822560197</v>
      </c>
      <c r="U71" s="800">
        <f t="shared" si="80"/>
        <v>104.79452054794521</v>
      </c>
      <c r="V71" s="800">
        <f t="shared" si="80"/>
        <v>126.06918238993711</v>
      </c>
      <c r="W71" s="800">
        <f t="shared" si="80"/>
        <v>121.85714285714286</v>
      </c>
      <c r="X71" s="800">
        <f t="shared" si="80"/>
        <v>110.54499366286437</v>
      </c>
      <c r="Y71" s="800">
        <f t="shared" si="80"/>
        <v>84.57038391224863</v>
      </c>
      <c r="Z71" s="800">
        <f t="shared" si="80"/>
        <v>153.31868131868131</v>
      </c>
      <c r="AA71" s="800">
        <f t="shared" si="80"/>
        <v>160.03694581280786</v>
      </c>
      <c r="AB71" s="800">
        <f t="shared" si="80"/>
        <v>184.4956772334294</v>
      </c>
      <c r="AC71" s="800">
        <f t="shared" si="80"/>
        <v>174.98327759197326</v>
      </c>
      <c r="AD71" s="800">
        <f t="shared" si="80"/>
        <v>95.560344827586206</v>
      </c>
      <c r="AE71" s="800">
        <f t="shared" si="80"/>
        <v>156.75476336816226</v>
      </c>
      <c r="AF71" s="800">
        <f t="shared" si="80"/>
        <v>222.84928492849284</v>
      </c>
      <c r="AG71" s="800">
        <f t="shared" si="80"/>
        <v>291.34146341463412</v>
      </c>
      <c r="AH71" s="800">
        <f t="shared" si="80"/>
        <v>256.89781021897812</v>
      </c>
      <c r="AI71" s="800">
        <f t="shared" si="80"/>
        <v>264.78837109876014</v>
      </c>
      <c r="AJ71" s="800">
        <f t="shared" si="80"/>
        <v>345.63619227144204</v>
      </c>
      <c r="AK71" s="832">
        <f t="shared" si="80"/>
        <v>593.63636363636363</v>
      </c>
      <c r="AL71" s="832">
        <f t="shared" si="80"/>
        <v>249.30882352941174</v>
      </c>
      <c r="AM71" s="832">
        <f t="shared" si="80"/>
        <v>214.34853420195444</v>
      </c>
      <c r="AN71" s="832">
        <f t="shared" si="80"/>
        <v>208.47363945578232</v>
      </c>
      <c r="AO71" s="832">
        <f t="shared" si="80"/>
        <v>171.94117647058823</v>
      </c>
      <c r="AP71" s="832">
        <f t="shared" ref="AP71:AQ71" si="81">IF(AP58=0,0,AP83/AP58*1000)</f>
        <v>158.82994186046511</v>
      </c>
      <c r="AQ71" s="832">
        <f t="shared" si="81"/>
        <v>170.3707590066457</v>
      </c>
      <c r="AR71" s="832">
        <f t="shared" ref="AR71:AT71" si="82">IF(AR58=0,0,AR83/AR58*1000)</f>
        <v>164.67924528301887</v>
      </c>
      <c r="AS71" s="832">
        <f t="shared" si="82"/>
        <v>173.3452380952381</v>
      </c>
      <c r="AT71" s="803">
        <f t="shared" si="82"/>
        <v>213.17450096587251</v>
      </c>
      <c r="AU71" s="803"/>
      <c r="AV71" s="803"/>
      <c r="AW71" s="803"/>
      <c r="AX71" s="803"/>
      <c r="AY71" s="803"/>
      <c r="AZ71" s="803"/>
      <c r="BA71" s="803"/>
      <c r="BB71" s="803"/>
      <c r="BC71" s="803"/>
      <c r="BD71" s="803"/>
      <c r="BE71" s="803"/>
      <c r="BF71" s="803"/>
      <c r="BG71" s="803"/>
      <c r="BH71" s="803"/>
      <c r="BI71" s="803"/>
      <c r="BJ71" s="803"/>
      <c r="BK71" s="803"/>
      <c r="BL71" s="803"/>
      <c r="BM71" s="803"/>
      <c r="BN71" s="15"/>
    </row>
    <row r="72" spans="1:66">
      <c r="A72" s="1735"/>
      <c r="B72" s="210"/>
      <c r="C72" s="210"/>
      <c r="D72" s="210"/>
      <c r="E72" s="210"/>
      <c r="F72" s="210"/>
      <c r="G72" s="210"/>
      <c r="H72" s="210"/>
      <c r="I72" s="210"/>
      <c r="J72" s="210"/>
      <c r="K72" s="210"/>
      <c r="L72" s="210"/>
      <c r="M72" s="210"/>
      <c r="N72" s="210"/>
      <c r="O72" s="210"/>
      <c r="P72" s="210"/>
      <c r="Q72" s="210"/>
      <c r="R72" s="210"/>
      <c r="S72" s="210"/>
      <c r="T72" s="210"/>
      <c r="U72" s="210"/>
      <c r="V72" s="210"/>
      <c r="W72" s="210"/>
      <c r="X72" s="210"/>
      <c r="Y72" s="210"/>
      <c r="Z72" s="734"/>
      <c r="AA72" s="734"/>
      <c r="AB72" s="734"/>
      <c r="AC72" s="210"/>
      <c r="AD72" s="210"/>
      <c r="AE72" s="734"/>
      <c r="AF72" s="734"/>
      <c r="AG72" s="734"/>
      <c r="AH72" s="210"/>
      <c r="AI72" s="734"/>
      <c r="AJ72" s="734"/>
      <c r="AK72" s="728"/>
      <c r="AL72" s="210"/>
      <c r="AM72" s="210"/>
      <c r="AN72" s="210"/>
      <c r="AO72" s="210"/>
      <c r="AP72" s="210"/>
      <c r="AQ72" s="210"/>
      <c r="AR72" s="210"/>
      <c r="AS72" s="210"/>
      <c r="AT72" s="210"/>
      <c r="AU72" s="210"/>
      <c r="AV72" s="210"/>
      <c r="AW72" s="210"/>
      <c r="AX72" s="210"/>
      <c r="AY72" s="210"/>
      <c r="AZ72" s="210"/>
      <c r="BA72" s="210"/>
      <c r="BB72" s="210"/>
      <c r="BC72" s="210"/>
      <c r="BD72" s="210"/>
      <c r="BE72" s="210"/>
      <c r="BF72" s="210"/>
      <c r="BG72" s="210"/>
      <c r="BH72" s="210"/>
      <c r="BI72" s="210"/>
      <c r="BJ72" s="210"/>
      <c r="BK72" s="210"/>
      <c r="BL72" s="210"/>
      <c r="BM72" s="210"/>
      <c r="BN72" s="210"/>
    </row>
    <row r="73" spans="1:66">
      <c r="A73" s="1742" t="s">
        <v>831</v>
      </c>
      <c r="B73" s="1371">
        <f t="shared" ref="B73:AH73" si="83">SUM(B74,B77,B80,B83,B85,B90)</f>
        <v>163.631</v>
      </c>
      <c r="C73" s="1371">
        <f t="shared" si="83"/>
        <v>259.53999999999996</v>
      </c>
      <c r="D73" s="1371">
        <f t="shared" si="83"/>
        <v>187.602</v>
      </c>
      <c r="E73" s="1371">
        <f t="shared" si="83"/>
        <v>183.76700000000002</v>
      </c>
      <c r="F73" s="1371">
        <f t="shared" si="83"/>
        <v>174.56399999999999</v>
      </c>
      <c r="G73" s="1371">
        <f t="shared" si="83"/>
        <v>179.072</v>
      </c>
      <c r="H73" s="1371">
        <f t="shared" si="83"/>
        <v>127.286</v>
      </c>
      <c r="I73" s="1371">
        <f t="shared" si="83"/>
        <v>231.499</v>
      </c>
      <c r="J73" s="1371">
        <f t="shared" si="83"/>
        <v>92.054000000000002</v>
      </c>
      <c r="K73" s="1371">
        <f t="shared" si="83"/>
        <v>194.31399999999999</v>
      </c>
      <c r="L73" s="1371">
        <f t="shared" si="83"/>
        <v>220.81299999999999</v>
      </c>
      <c r="M73" s="1371">
        <f t="shared" si="83"/>
        <v>267.25900000000001</v>
      </c>
      <c r="N73" s="1371">
        <f t="shared" si="83"/>
        <v>217.45600000000002</v>
      </c>
      <c r="O73" s="1371">
        <f t="shared" si="83"/>
        <v>286.29699999999997</v>
      </c>
      <c r="P73" s="1371">
        <f t="shared" si="83"/>
        <v>324.15700000000004</v>
      </c>
      <c r="Q73" s="1371">
        <f t="shared" si="83"/>
        <v>355.37800000000004</v>
      </c>
      <c r="R73" s="1371">
        <f t="shared" si="83"/>
        <v>285.48199999999997</v>
      </c>
      <c r="S73" s="1371">
        <f t="shared" si="83"/>
        <v>338.75</v>
      </c>
      <c r="T73" s="1371">
        <f t="shared" si="83"/>
        <v>390.286</v>
      </c>
      <c r="U73" s="1371">
        <f t="shared" si="83"/>
        <v>280.55799999999999</v>
      </c>
      <c r="V73" s="1371">
        <f t="shared" si="83"/>
        <v>328.94600000000003</v>
      </c>
      <c r="W73" s="1371">
        <f t="shared" si="83"/>
        <v>398.12100000000004</v>
      </c>
      <c r="X73" s="1371">
        <f t="shared" si="83"/>
        <v>380.4369999999999</v>
      </c>
      <c r="Y73" s="1371">
        <f t="shared" si="83"/>
        <v>259.476</v>
      </c>
      <c r="Z73" s="1371">
        <f t="shared" si="83"/>
        <v>290.31199999999995</v>
      </c>
      <c r="AA73" s="1371">
        <f t="shared" si="83"/>
        <v>546.91399999999999</v>
      </c>
      <c r="AB73" s="1371">
        <f t="shared" si="83"/>
        <v>394.916</v>
      </c>
      <c r="AC73" s="1371">
        <f t="shared" si="83"/>
        <v>403.81400000000002</v>
      </c>
      <c r="AD73" s="1371">
        <f t="shared" si="83"/>
        <v>493.74899999999997</v>
      </c>
      <c r="AE73" s="1371">
        <f t="shared" si="83"/>
        <v>614.49400000000003</v>
      </c>
      <c r="AF73" s="1371">
        <f t="shared" si="83"/>
        <v>424.81200000000001</v>
      </c>
      <c r="AG73" s="1371">
        <f t="shared" si="83"/>
        <v>438.12299999999999</v>
      </c>
      <c r="AH73" s="1371">
        <f t="shared" si="83"/>
        <v>504.63400000000001</v>
      </c>
      <c r="AI73" s="1371">
        <f>SUM(AI74,AI77,AI80,AI83,AI85,AI90,AI84)</f>
        <v>525.87099999999998</v>
      </c>
      <c r="AJ73" s="1371">
        <f t="shared" ref="AJ73:AO73" si="84">SUM(AJ74,AJ77,AJ80,AJ83,AJ85,AJ90,AJ84)</f>
        <v>592.90699999999993</v>
      </c>
      <c r="AK73" s="1371">
        <f t="shared" si="84"/>
        <v>696.85500000000002</v>
      </c>
      <c r="AL73" s="1371">
        <f t="shared" si="84"/>
        <v>451.12</v>
      </c>
      <c r="AM73" s="1371">
        <f t="shared" si="84"/>
        <v>660.75600000000009</v>
      </c>
      <c r="AN73" s="1371">
        <f t="shared" si="84"/>
        <v>802.05700000000002</v>
      </c>
      <c r="AO73" s="1371">
        <f t="shared" si="84"/>
        <v>813.44599999999991</v>
      </c>
      <c r="AP73" s="1371">
        <f>SUM(AP74,AP77,AP80,AP83,AP85,AP90,AP84)</f>
        <v>641.4380000000001</v>
      </c>
      <c r="AQ73" s="1371">
        <f>SUM(AQ74,AQ77,AQ80,AQ83,AQ86,AQ90,AQ84)</f>
        <v>724.447</v>
      </c>
      <c r="AR73" s="1371">
        <f t="shared" ref="AR73:AS73" si="85">SUM(AR74,AR77,AR80,AR83,AR86,AR90,AR84)</f>
        <v>736.92499999999995</v>
      </c>
      <c r="AS73" s="1371">
        <f t="shared" si="85"/>
        <v>899.68799999999999</v>
      </c>
      <c r="AT73" s="1371">
        <f>SUM(AT74,AT77,AT80,AT83,AT85,AT90,AT84)</f>
        <v>812.34699999999998</v>
      </c>
      <c r="AU73" s="797"/>
      <c r="AV73" s="797"/>
      <c r="AW73" s="797"/>
      <c r="AX73" s="797"/>
      <c r="AY73" s="797"/>
      <c r="AZ73" s="797"/>
      <c r="BA73" s="797"/>
      <c r="BB73" s="797"/>
      <c r="BC73" s="797"/>
      <c r="BD73" s="797"/>
      <c r="BE73" s="797"/>
      <c r="BF73" s="797"/>
      <c r="BG73" s="797"/>
      <c r="BH73" s="797"/>
      <c r="BI73" s="797"/>
      <c r="BJ73" s="797"/>
      <c r="BK73" s="797"/>
      <c r="BL73" s="797"/>
      <c r="BM73" s="797"/>
      <c r="BN73" s="210"/>
    </row>
    <row r="74" spans="1:66">
      <c r="A74" s="1742" t="s">
        <v>832</v>
      </c>
      <c r="B74" s="796">
        <f t="shared" ref="B74:U74" si="86">+SUM(B75:B76)</f>
        <v>71.775999999999996</v>
      </c>
      <c r="C74" s="796">
        <f t="shared" si="86"/>
        <v>137.715</v>
      </c>
      <c r="D74" s="796">
        <f t="shared" si="86"/>
        <v>96.962999999999994</v>
      </c>
      <c r="E74" s="796">
        <f t="shared" si="86"/>
        <v>103.02000000000001</v>
      </c>
      <c r="F74" s="796">
        <f t="shared" si="86"/>
        <v>76.704000000000008</v>
      </c>
      <c r="G74" s="796">
        <f t="shared" si="86"/>
        <v>78.24799999999999</v>
      </c>
      <c r="H74" s="796">
        <f t="shared" si="86"/>
        <v>44.298000000000002</v>
      </c>
      <c r="I74" s="796">
        <f t="shared" si="86"/>
        <v>74.597999999999999</v>
      </c>
      <c r="J74" s="796">
        <f t="shared" si="86"/>
        <v>14.260999999999999</v>
      </c>
      <c r="K74" s="796">
        <f t="shared" si="86"/>
        <v>44.432000000000002</v>
      </c>
      <c r="L74" s="796">
        <f t="shared" si="86"/>
        <v>81.718000000000004</v>
      </c>
      <c r="M74" s="796">
        <f t="shared" si="86"/>
        <v>88.69</v>
      </c>
      <c r="N74" s="796">
        <f t="shared" si="86"/>
        <v>104.812</v>
      </c>
      <c r="O74" s="796">
        <f t="shared" si="86"/>
        <v>137.31899999999999</v>
      </c>
      <c r="P74" s="796">
        <f t="shared" si="86"/>
        <v>140.85400000000001</v>
      </c>
      <c r="Q74" s="796">
        <f t="shared" si="86"/>
        <v>199.26700000000002</v>
      </c>
      <c r="R74" s="796">
        <f t="shared" si="86"/>
        <v>177.447</v>
      </c>
      <c r="S74" s="796">
        <f t="shared" si="86"/>
        <v>213.339</v>
      </c>
      <c r="T74" s="796">
        <f t="shared" si="86"/>
        <v>196.90300000000002</v>
      </c>
      <c r="U74" s="796">
        <f t="shared" si="86"/>
        <v>114.486</v>
      </c>
      <c r="V74" s="796">
        <f t="shared" ref="V74:AO74" si="87">SUM(V75:V76)</f>
        <v>197.244</v>
      </c>
      <c r="W74" s="796">
        <f t="shared" si="87"/>
        <v>272.77300000000002</v>
      </c>
      <c r="X74" s="796">
        <f t="shared" si="87"/>
        <v>190.72499999999999</v>
      </c>
      <c r="Y74" s="796">
        <f t="shared" si="87"/>
        <v>105.946</v>
      </c>
      <c r="Z74" s="796">
        <f t="shared" si="87"/>
        <v>145.78299999999999</v>
      </c>
      <c r="AA74" s="796">
        <f t="shared" si="87"/>
        <v>407.40299999999996</v>
      </c>
      <c r="AB74" s="796">
        <f t="shared" si="87"/>
        <v>164.78800000000001</v>
      </c>
      <c r="AC74" s="796">
        <f t="shared" si="87"/>
        <v>232.352</v>
      </c>
      <c r="AD74" s="796">
        <f t="shared" si="87"/>
        <v>229.089</v>
      </c>
      <c r="AE74" s="796">
        <f t="shared" si="87"/>
        <v>296.06200000000001</v>
      </c>
      <c r="AF74" s="796">
        <f t="shared" si="87"/>
        <v>169.38800000000001</v>
      </c>
      <c r="AG74" s="796">
        <f t="shared" si="87"/>
        <v>189.73600000000002</v>
      </c>
      <c r="AH74" s="796">
        <f t="shared" si="87"/>
        <v>203.864</v>
      </c>
      <c r="AI74" s="796">
        <f t="shared" si="87"/>
        <v>249.78100000000001</v>
      </c>
      <c r="AJ74" s="796">
        <f t="shared" si="87"/>
        <v>285.05799999999999</v>
      </c>
      <c r="AK74" s="1371">
        <f t="shared" si="87"/>
        <v>346.44100000000003</v>
      </c>
      <c r="AL74" s="1371">
        <f t="shared" si="87"/>
        <v>195.13600000000002</v>
      </c>
      <c r="AM74" s="1371">
        <f t="shared" si="87"/>
        <v>290.053</v>
      </c>
      <c r="AN74" s="1371">
        <f t="shared" si="87"/>
        <v>381.34699999999998</v>
      </c>
      <c r="AO74" s="1371">
        <f t="shared" si="87"/>
        <v>392.19</v>
      </c>
      <c r="AP74" s="1371">
        <f t="shared" ref="AP74:AQ74" si="88">SUM(AP75:AP76)</f>
        <v>387.41</v>
      </c>
      <c r="AQ74" s="1371">
        <f t="shared" si="88"/>
        <v>386.67099999999999</v>
      </c>
      <c r="AR74" s="1371">
        <f t="shared" ref="AR74:AS74" si="89">SUM(AR75:AR76)</f>
        <v>347.92899999999997</v>
      </c>
      <c r="AS74" s="1371">
        <f t="shared" si="89"/>
        <v>522.62</v>
      </c>
      <c r="AT74" s="2294">
        <f t="shared" ref="AT74" si="90">SUM(AT75:AT76)</f>
        <v>552.65300000000002</v>
      </c>
      <c r="AU74" s="796"/>
      <c r="AV74" s="796"/>
      <c r="AW74" s="796"/>
      <c r="AX74" s="796"/>
      <c r="AY74" s="796"/>
      <c r="AZ74" s="796"/>
      <c r="BA74" s="796"/>
      <c r="BB74" s="796"/>
      <c r="BC74" s="796"/>
      <c r="BD74" s="796"/>
      <c r="BE74" s="796"/>
      <c r="BF74" s="796"/>
      <c r="BG74" s="796"/>
      <c r="BH74" s="796"/>
      <c r="BI74" s="796"/>
      <c r="BJ74" s="796"/>
      <c r="BK74" s="796"/>
      <c r="BL74" s="796"/>
      <c r="BM74" s="796"/>
      <c r="BN74" s="15"/>
    </row>
    <row r="75" spans="1:66">
      <c r="A75" s="1743" t="s">
        <v>156</v>
      </c>
      <c r="B75" s="819">
        <v>19.091999999999999</v>
      </c>
      <c r="C75" s="819">
        <v>39.134</v>
      </c>
      <c r="D75" s="819">
        <v>31.175000000000001</v>
      </c>
      <c r="E75" s="819">
        <v>22.79</v>
      </c>
      <c r="F75" s="819">
        <v>20.436</v>
      </c>
      <c r="G75" s="819">
        <v>18.805</v>
      </c>
      <c r="H75" s="819">
        <v>22.663</v>
      </c>
      <c r="I75" s="819">
        <v>23.33</v>
      </c>
      <c r="J75" s="819">
        <v>1.61</v>
      </c>
      <c r="K75" s="819">
        <v>6.8689999999999998</v>
      </c>
      <c r="L75" s="819">
        <v>6.9409999999999998</v>
      </c>
      <c r="M75" s="819">
        <v>7.9649999999999999</v>
      </c>
      <c r="N75" s="819">
        <v>11.131</v>
      </c>
      <c r="O75" s="819">
        <v>10.855</v>
      </c>
      <c r="P75" s="819">
        <v>11.847</v>
      </c>
      <c r="Q75" s="819">
        <v>14.848000000000001</v>
      </c>
      <c r="R75" s="819">
        <v>9.7530000000000001</v>
      </c>
      <c r="S75" s="819">
        <v>9.61</v>
      </c>
      <c r="T75" s="819">
        <v>13.686999999999999</v>
      </c>
      <c r="U75" s="819">
        <v>20.625</v>
      </c>
      <c r="V75" s="819">
        <v>11.673</v>
      </c>
      <c r="W75" s="819">
        <v>12.744</v>
      </c>
      <c r="X75" s="819">
        <v>19.946000000000002</v>
      </c>
      <c r="Y75" s="819">
        <v>15.884</v>
      </c>
      <c r="Z75" s="819">
        <v>10.797000000000001</v>
      </c>
      <c r="AA75" s="819">
        <v>15.77</v>
      </c>
      <c r="AB75" s="819">
        <v>17.625</v>
      </c>
      <c r="AC75" s="819">
        <v>17.617999999999999</v>
      </c>
      <c r="AD75" s="819">
        <v>13.019</v>
      </c>
      <c r="AE75" s="819">
        <v>19.308</v>
      </c>
      <c r="AF75" s="819">
        <v>14.433999999999999</v>
      </c>
      <c r="AG75" s="819">
        <v>17.835000000000001</v>
      </c>
      <c r="AH75" s="819">
        <v>16.675000000000001</v>
      </c>
      <c r="AI75" s="819">
        <v>16.908000000000001</v>
      </c>
      <c r="AJ75" s="819">
        <v>21.965</v>
      </c>
      <c r="AK75" s="835">
        <v>23.689</v>
      </c>
      <c r="AL75" s="819">
        <v>22.960999999999999</v>
      </c>
      <c r="AM75" s="819">
        <v>22.882999999999999</v>
      </c>
      <c r="AN75" s="819">
        <v>26.596</v>
      </c>
      <c r="AO75" s="819">
        <v>29.786000000000001</v>
      </c>
      <c r="AP75" s="819">
        <v>27.5</v>
      </c>
      <c r="AQ75" s="819">
        <v>32.140999999999998</v>
      </c>
      <c r="AR75" s="819">
        <v>41.637999999999998</v>
      </c>
      <c r="AS75" s="819">
        <v>60.533999999999999</v>
      </c>
      <c r="AT75" s="819">
        <v>42.118000000000002</v>
      </c>
      <c r="AU75" s="797"/>
      <c r="AV75" s="797"/>
      <c r="AW75" s="797"/>
      <c r="AX75" s="797"/>
      <c r="AY75" s="797"/>
      <c r="AZ75" s="797"/>
      <c r="BA75" s="797"/>
      <c r="BB75" s="797"/>
      <c r="BC75" s="797"/>
      <c r="BD75" s="797"/>
      <c r="BE75" s="797"/>
      <c r="BF75" s="797"/>
      <c r="BG75" s="797"/>
      <c r="BH75" s="797"/>
      <c r="BI75" s="797"/>
      <c r="BJ75" s="797"/>
      <c r="BK75" s="797"/>
      <c r="BL75" s="797"/>
      <c r="BM75" s="797"/>
      <c r="BN75" s="210"/>
    </row>
    <row r="76" spans="1:66">
      <c r="A76" s="1743" t="s">
        <v>157</v>
      </c>
      <c r="B76" s="819">
        <v>52.683999999999997</v>
      </c>
      <c r="C76" s="819">
        <v>98.581000000000003</v>
      </c>
      <c r="D76" s="819">
        <v>65.787999999999997</v>
      </c>
      <c r="E76" s="819">
        <v>80.23</v>
      </c>
      <c r="F76" s="819">
        <v>56.268000000000001</v>
      </c>
      <c r="G76" s="819">
        <v>59.442999999999998</v>
      </c>
      <c r="H76" s="819">
        <v>21.635000000000002</v>
      </c>
      <c r="I76" s="819">
        <v>51.268000000000001</v>
      </c>
      <c r="J76" s="819">
        <v>12.651</v>
      </c>
      <c r="K76" s="819">
        <v>37.563000000000002</v>
      </c>
      <c r="L76" s="819">
        <v>74.777000000000001</v>
      </c>
      <c r="M76" s="819">
        <v>80.724999999999994</v>
      </c>
      <c r="N76" s="819">
        <v>93.680999999999997</v>
      </c>
      <c r="O76" s="819">
        <v>126.464</v>
      </c>
      <c r="P76" s="819">
        <v>129.00700000000001</v>
      </c>
      <c r="Q76" s="819">
        <v>184.41900000000001</v>
      </c>
      <c r="R76" s="819">
        <v>167.69399999999999</v>
      </c>
      <c r="S76" s="819">
        <v>203.72900000000001</v>
      </c>
      <c r="T76" s="819">
        <v>183.21600000000001</v>
      </c>
      <c r="U76" s="819">
        <v>93.861000000000004</v>
      </c>
      <c r="V76" s="819">
        <v>185.571</v>
      </c>
      <c r="W76" s="819">
        <v>260.029</v>
      </c>
      <c r="X76" s="819">
        <v>170.779</v>
      </c>
      <c r="Y76" s="819">
        <v>90.061999999999998</v>
      </c>
      <c r="Z76" s="819">
        <v>134.98599999999999</v>
      </c>
      <c r="AA76" s="819">
        <v>391.63299999999998</v>
      </c>
      <c r="AB76" s="819">
        <v>147.16300000000001</v>
      </c>
      <c r="AC76" s="819">
        <v>214.73400000000001</v>
      </c>
      <c r="AD76" s="819">
        <v>216.07</v>
      </c>
      <c r="AE76" s="819">
        <v>276.75400000000002</v>
      </c>
      <c r="AF76" s="819">
        <v>154.95400000000001</v>
      </c>
      <c r="AG76" s="819">
        <v>171.90100000000001</v>
      </c>
      <c r="AH76" s="797">
        <f>187.189</f>
        <v>187.18899999999999</v>
      </c>
      <c r="AI76" s="819">
        <v>232.87299999999999</v>
      </c>
      <c r="AJ76" s="819">
        <v>263.09300000000002</v>
      </c>
      <c r="AK76" s="835">
        <v>322.75200000000001</v>
      </c>
      <c r="AL76" s="819">
        <v>172.17500000000001</v>
      </c>
      <c r="AM76" s="819">
        <v>267.17</v>
      </c>
      <c r="AN76" s="819">
        <v>354.75099999999998</v>
      </c>
      <c r="AO76" s="819">
        <v>362.404</v>
      </c>
      <c r="AP76" s="819">
        <v>359.91</v>
      </c>
      <c r="AQ76" s="819">
        <v>354.53</v>
      </c>
      <c r="AR76" s="819">
        <v>306.291</v>
      </c>
      <c r="AS76" s="819">
        <v>462.08600000000001</v>
      </c>
      <c r="AT76" s="819">
        <v>510.53500000000003</v>
      </c>
      <c r="AU76" s="797"/>
      <c r="AV76" s="797"/>
      <c r="AW76" s="797"/>
      <c r="AX76" s="797"/>
      <c r="AY76" s="797"/>
      <c r="AZ76" s="797"/>
      <c r="BA76" s="797"/>
      <c r="BB76" s="797"/>
      <c r="BC76" s="797"/>
      <c r="BD76" s="797"/>
      <c r="BE76" s="797"/>
      <c r="BF76" s="797"/>
      <c r="BG76" s="797"/>
      <c r="BH76" s="797"/>
      <c r="BI76" s="797"/>
      <c r="BJ76" s="797"/>
      <c r="BK76" s="797"/>
      <c r="BL76" s="797"/>
      <c r="BM76" s="797"/>
      <c r="BN76" s="210"/>
    </row>
    <row r="77" spans="1:66">
      <c r="A77" s="1742" t="s">
        <v>919</v>
      </c>
      <c r="B77" s="796">
        <f t="shared" ref="B77:AT77" si="91">SUM(B78:B79)</f>
        <v>27.224</v>
      </c>
      <c r="C77" s="796">
        <f t="shared" si="91"/>
        <v>39.396000000000001</v>
      </c>
      <c r="D77" s="796">
        <f t="shared" si="91"/>
        <v>38.156999999999996</v>
      </c>
      <c r="E77" s="796">
        <f t="shared" si="91"/>
        <v>33.292000000000002</v>
      </c>
      <c r="F77" s="796">
        <f t="shared" si="91"/>
        <v>28.294</v>
      </c>
      <c r="G77" s="796">
        <f t="shared" si="91"/>
        <v>37.734000000000002</v>
      </c>
      <c r="H77" s="796">
        <f t="shared" si="91"/>
        <v>35.885000000000005</v>
      </c>
      <c r="I77" s="796">
        <f t="shared" si="91"/>
        <v>43.114999999999995</v>
      </c>
      <c r="J77" s="796">
        <f t="shared" si="91"/>
        <v>31.65</v>
      </c>
      <c r="K77" s="796">
        <f t="shared" si="91"/>
        <v>69.222999999999999</v>
      </c>
      <c r="L77" s="796">
        <f t="shared" si="91"/>
        <v>63.165000000000006</v>
      </c>
      <c r="M77" s="796">
        <f t="shared" si="91"/>
        <v>120.62100000000001</v>
      </c>
      <c r="N77" s="796">
        <f t="shared" si="91"/>
        <v>59.545000000000002</v>
      </c>
      <c r="O77" s="796">
        <f t="shared" si="91"/>
        <v>79.449000000000012</v>
      </c>
      <c r="P77" s="796">
        <f t="shared" si="91"/>
        <v>100.148</v>
      </c>
      <c r="Q77" s="796">
        <f t="shared" si="91"/>
        <v>76.090999999999994</v>
      </c>
      <c r="R77" s="796">
        <f t="shared" si="91"/>
        <v>52.178000000000004</v>
      </c>
      <c r="S77" s="796">
        <f t="shared" si="91"/>
        <v>49.988</v>
      </c>
      <c r="T77" s="796">
        <f t="shared" si="91"/>
        <v>91.373000000000005</v>
      </c>
      <c r="U77" s="796">
        <f t="shared" si="91"/>
        <v>68.861000000000004</v>
      </c>
      <c r="V77" s="796">
        <f t="shared" si="91"/>
        <v>51.899000000000001</v>
      </c>
      <c r="W77" s="796">
        <f t="shared" si="91"/>
        <v>46.763000000000005</v>
      </c>
      <c r="X77" s="796">
        <f t="shared" si="91"/>
        <v>76.694999999999993</v>
      </c>
      <c r="Y77" s="796">
        <f t="shared" si="91"/>
        <v>79.489000000000004</v>
      </c>
      <c r="Z77" s="796">
        <f t="shared" si="91"/>
        <v>44.249000000000002</v>
      </c>
      <c r="AA77" s="796">
        <f t="shared" si="91"/>
        <v>44.957000000000001</v>
      </c>
      <c r="AB77" s="796">
        <f t="shared" si="91"/>
        <v>50.655000000000001</v>
      </c>
      <c r="AC77" s="796">
        <f t="shared" si="91"/>
        <v>62.825000000000003</v>
      </c>
      <c r="AD77" s="796">
        <f t="shared" si="91"/>
        <v>58.013000000000005</v>
      </c>
      <c r="AE77" s="796">
        <f t="shared" si="91"/>
        <v>81.506</v>
      </c>
      <c r="AF77" s="796">
        <f t="shared" si="91"/>
        <v>80.168000000000006</v>
      </c>
      <c r="AG77" s="796">
        <f t="shared" si="91"/>
        <v>91.822000000000003</v>
      </c>
      <c r="AH77" s="796">
        <f t="shared" si="91"/>
        <v>55.994</v>
      </c>
      <c r="AI77" s="796">
        <f t="shared" si="91"/>
        <v>81.085000000000008</v>
      </c>
      <c r="AJ77" s="796">
        <f t="shared" si="91"/>
        <v>84.832999999999998</v>
      </c>
      <c r="AK77" s="1371">
        <f t="shared" si="91"/>
        <v>212.822</v>
      </c>
      <c r="AL77" s="1371">
        <f t="shared" si="91"/>
        <v>59.716999999999999</v>
      </c>
      <c r="AM77" s="1371">
        <f t="shared" si="91"/>
        <v>80.524000000000001</v>
      </c>
      <c r="AN77" s="1371">
        <f t="shared" si="91"/>
        <v>183.464</v>
      </c>
      <c r="AO77" s="1371">
        <f t="shared" si="91"/>
        <v>178.18199999999999</v>
      </c>
      <c r="AP77" s="1371">
        <f t="shared" si="91"/>
        <v>107.492</v>
      </c>
      <c r="AQ77" s="1371">
        <f t="shared" si="91"/>
        <v>134.17500000000001</v>
      </c>
      <c r="AR77" s="1371">
        <f t="shared" si="91"/>
        <v>143.887</v>
      </c>
      <c r="AS77" s="1371">
        <f t="shared" si="91"/>
        <v>89.89</v>
      </c>
      <c r="AT77" s="2294">
        <f t="shared" si="91"/>
        <v>76.998999999999995</v>
      </c>
      <c r="AU77" s="796"/>
      <c r="AV77" s="796"/>
      <c r="AW77" s="796"/>
      <c r="AX77" s="796"/>
      <c r="AY77" s="796"/>
      <c r="AZ77" s="796"/>
      <c r="BA77" s="796"/>
      <c r="BB77" s="796"/>
      <c r="BC77" s="796"/>
      <c r="BD77" s="796"/>
      <c r="BE77" s="796"/>
      <c r="BF77" s="796"/>
      <c r="BG77" s="796"/>
      <c r="BH77" s="796"/>
      <c r="BI77" s="796"/>
      <c r="BJ77" s="796"/>
      <c r="BK77" s="796"/>
      <c r="BL77" s="796"/>
      <c r="BM77" s="796"/>
      <c r="BN77" s="15"/>
    </row>
    <row r="78" spans="1:66">
      <c r="A78" s="1743" t="s">
        <v>811</v>
      </c>
      <c r="B78" s="819">
        <v>19.558</v>
      </c>
      <c r="C78" s="819">
        <v>30.073</v>
      </c>
      <c r="D78" s="819">
        <v>30.768999999999998</v>
      </c>
      <c r="E78" s="819">
        <v>28.099</v>
      </c>
      <c r="F78" s="819">
        <v>20.350000000000001</v>
      </c>
      <c r="G78" s="819">
        <v>28.222000000000001</v>
      </c>
      <c r="H78" s="819">
        <v>33.932000000000002</v>
      </c>
      <c r="I78" s="819">
        <v>34.845999999999997</v>
      </c>
      <c r="J78" s="819">
        <v>31.65</v>
      </c>
      <c r="K78" s="819">
        <v>65.119</v>
      </c>
      <c r="L78" s="819">
        <v>58.648000000000003</v>
      </c>
      <c r="M78" s="819">
        <v>106.15900000000001</v>
      </c>
      <c r="N78" s="819">
        <v>50.121000000000002</v>
      </c>
      <c r="O78" s="819">
        <v>56.84</v>
      </c>
      <c r="P78" s="819">
        <v>95.506</v>
      </c>
      <c r="Q78" s="819">
        <v>66.528999999999996</v>
      </c>
      <c r="R78" s="797">
        <f>47.618</f>
        <v>47.618000000000002</v>
      </c>
      <c r="S78" s="819">
        <v>44.215000000000003</v>
      </c>
      <c r="T78" s="797">
        <f>80.762</f>
        <v>80.762</v>
      </c>
      <c r="U78" s="797">
        <f>64.254</f>
        <v>64.254000000000005</v>
      </c>
      <c r="V78" s="797">
        <f>50.122</f>
        <v>50.122</v>
      </c>
      <c r="W78" s="797">
        <f>39.862</f>
        <v>39.862000000000002</v>
      </c>
      <c r="X78" s="797">
        <f>55.192</f>
        <v>55.192</v>
      </c>
      <c r="Y78" s="797">
        <f>62.379</f>
        <v>62.378999999999998</v>
      </c>
      <c r="Z78" s="819">
        <v>36.99</v>
      </c>
      <c r="AA78" s="819">
        <v>31.687999999999999</v>
      </c>
      <c r="AB78" s="819">
        <v>48.308</v>
      </c>
      <c r="AC78" s="819">
        <v>48.438000000000002</v>
      </c>
      <c r="AD78" s="819">
        <v>54.715000000000003</v>
      </c>
      <c r="AE78" s="819">
        <v>36.204999999999998</v>
      </c>
      <c r="AF78" s="819">
        <v>61.13</v>
      </c>
      <c r="AG78" s="819">
        <v>83.046999999999997</v>
      </c>
      <c r="AH78" s="819">
        <v>55.994</v>
      </c>
      <c r="AI78" s="819">
        <v>62.238</v>
      </c>
      <c r="AJ78" s="819">
        <v>70.596000000000004</v>
      </c>
      <c r="AK78" s="835">
        <v>182.61600000000001</v>
      </c>
      <c r="AL78" s="819">
        <v>59.716999999999999</v>
      </c>
      <c r="AM78" s="819">
        <v>35.872999999999998</v>
      </c>
      <c r="AN78" s="819">
        <v>159.09399999999999</v>
      </c>
      <c r="AO78" s="819">
        <v>161.23099999999999</v>
      </c>
      <c r="AP78" s="819">
        <v>90.122</v>
      </c>
      <c r="AQ78" s="819">
        <v>105.64700000000001</v>
      </c>
      <c r="AR78" s="819">
        <v>122.67</v>
      </c>
      <c r="AS78" s="819">
        <v>82.180999999999997</v>
      </c>
      <c r="AT78" s="819">
        <v>65.694000000000003</v>
      </c>
      <c r="AU78" s="797"/>
      <c r="AV78" s="797"/>
      <c r="AW78" s="797"/>
      <c r="AX78" s="797"/>
      <c r="AY78" s="797"/>
      <c r="AZ78" s="797"/>
      <c r="BA78" s="797"/>
      <c r="BB78" s="797"/>
      <c r="BC78" s="797"/>
      <c r="BD78" s="797"/>
      <c r="BE78" s="797"/>
      <c r="BF78" s="797"/>
      <c r="BG78" s="797"/>
      <c r="BH78" s="797"/>
      <c r="BI78" s="797"/>
      <c r="BJ78" s="797"/>
      <c r="BK78" s="797"/>
      <c r="BL78" s="797"/>
      <c r="BM78" s="797"/>
      <c r="BN78" s="210"/>
    </row>
    <row r="79" spans="1:66">
      <c r="A79" s="1743" t="s">
        <v>812</v>
      </c>
      <c r="B79" s="819">
        <v>7.6660000000000004</v>
      </c>
      <c r="C79" s="819">
        <v>9.3230000000000004</v>
      </c>
      <c r="D79" s="819">
        <v>7.3879999999999999</v>
      </c>
      <c r="E79" s="819">
        <v>5.1929999999999996</v>
      </c>
      <c r="F79" s="819">
        <v>7.944</v>
      </c>
      <c r="G79" s="819">
        <v>9.5120000000000005</v>
      </c>
      <c r="H79" s="819">
        <v>1.9530000000000001</v>
      </c>
      <c r="I79" s="819">
        <v>8.2690000000000001</v>
      </c>
      <c r="J79" s="819">
        <v>0</v>
      </c>
      <c r="K79" s="819">
        <v>4.1040000000000001</v>
      </c>
      <c r="L79" s="819">
        <v>4.5170000000000003</v>
      </c>
      <c r="M79" s="819">
        <v>14.462</v>
      </c>
      <c r="N79" s="819">
        <v>9.4239999999999995</v>
      </c>
      <c r="O79" s="819">
        <v>22.609000000000002</v>
      </c>
      <c r="P79" s="819">
        <v>4.6420000000000003</v>
      </c>
      <c r="Q79" s="819">
        <v>9.5619999999999994</v>
      </c>
      <c r="R79" s="797">
        <f>4.56</f>
        <v>4.5599999999999996</v>
      </c>
      <c r="S79" s="819">
        <v>5.7729999999999997</v>
      </c>
      <c r="T79" s="797">
        <f>10.611</f>
        <v>10.611000000000001</v>
      </c>
      <c r="U79" s="797">
        <f>4.607</f>
        <v>4.6070000000000002</v>
      </c>
      <c r="V79" s="797">
        <f>1.777</f>
        <v>1.7769999999999999</v>
      </c>
      <c r="W79" s="797">
        <f>6.901</f>
        <v>6.9009999999999998</v>
      </c>
      <c r="X79" s="797">
        <f>21.503</f>
        <v>21.503</v>
      </c>
      <c r="Y79" s="797">
        <f>17.11</f>
        <v>17.11</v>
      </c>
      <c r="Z79" s="819">
        <v>7.2590000000000003</v>
      </c>
      <c r="AA79" s="819">
        <v>13.269</v>
      </c>
      <c r="AB79" s="819">
        <v>2.347</v>
      </c>
      <c r="AC79" s="819">
        <v>14.387</v>
      </c>
      <c r="AD79" s="819">
        <v>3.298</v>
      </c>
      <c r="AE79" s="819">
        <v>45.301000000000002</v>
      </c>
      <c r="AF79" s="819">
        <v>19.038</v>
      </c>
      <c r="AG79" s="819">
        <v>8.7750000000000004</v>
      </c>
      <c r="AH79" s="819">
        <v>0</v>
      </c>
      <c r="AI79" s="819">
        <v>18.847000000000001</v>
      </c>
      <c r="AJ79" s="819">
        <v>14.237</v>
      </c>
      <c r="AK79" s="835">
        <v>30.206</v>
      </c>
      <c r="AL79" s="819">
        <v>0</v>
      </c>
      <c r="AM79" s="819">
        <v>44.651000000000003</v>
      </c>
      <c r="AN79" s="819">
        <v>24.37</v>
      </c>
      <c r="AO79" s="819">
        <v>16.951000000000001</v>
      </c>
      <c r="AP79" s="819">
        <v>17.37</v>
      </c>
      <c r="AQ79" s="819">
        <v>28.527999999999999</v>
      </c>
      <c r="AR79" s="819">
        <v>21.216999999999999</v>
      </c>
      <c r="AS79" s="819">
        <v>7.7089999999999996</v>
      </c>
      <c r="AT79" s="819">
        <v>11.305</v>
      </c>
      <c r="AU79" s="797"/>
      <c r="AV79" s="797"/>
      <c r="AW79" s="797"/>
      <c r="AX79" s="797"/>
      <c r="AY79" s="797"/>
      <c r="AZ79" s="797"/>
      <c r="BA79" s="797"/>
      <c r="BB79" s="797"/>
      <c r="BC79" s="797"/>
      <c r="BD79" s="797"/>
      <c r="BE79" s="797"/>
      <c r="BF79" s="797"/>
      <c r="BG79" s="797"/>
      <c r="BH79" s="797"/>
      <c r="BI79" s="797"/>
      <c r="BJ79" s="797"/>
      <c r="BK79" s="797"/>
      <c r="BL79" s="797"/>
      <c r="BM79" s="797"/>
      <c r="BN79" s="210"/>
    </row>
    <row r="80" spans="1:66">
      <c r="A80" s="1742" t="s">
        <v>920</v>
      </c>
      <c r="B80" s="796">
        <f t="shared" ref="B80:AT80" si="92">SUM(B81:B82)</f>
        <v>57.224000000000004</v>
      </c>
      <c r="C80" s="796">
        <f t="shared" si="92"/>
        <v>69.837000000000003</v>
      </c>
      <c r="D80" s="796">
        <f t="shared" si="92"/>
        <v>43.183</v>
      </c>
      <c r="E80" s="796">
        <f t="shared" si="92"/>
        <v>41.292999999999999</v>
      </c>
      <c r="F80" s="796">
        <f t="shared" si="92"/>
        <v>62.013999999999996</v>
      </c>
      <c r="G80" s="796">
        <f t="shared" si="92"/>
        <v>48.341000000000001</v>
      </c>
      <c r="H80" s="796">
        <f t="shared" si="92"/>
        <v>40.530999999999999</v>
      </c>
      <c r="I80" s="796">
        <f t="shared" si="92"/>
        <v>107.101</v>
      </c>
      <c r="J80" s="796">
        <f t="shared" si="92"/>
        <v>36.173000000000002</v>
      </c>
      <c r="K80" s="796">
        <f t="shared" si="92"/>
        <v>60.319999999999993</v>
      </c>
      <c r="L80" s="796">
        <f t="shared" si="92"/>
        <v>55.713000000000001</v>
      </c>
      <c r="M80" s="796">
        <f t="shared" si="92"/>
        <v>44.656999999999996</v>
      </c>
      <c r="N80" s="796">
        <f t="shared" si="92"/>
        <v>30.128</v>
      </c>
      <c r="O80" s="796">
        <f t="shared" si="92"/>
        <v>49.36</v>
      </c>
      <c r="P80" s="796">
        <f t="shared" si="92"/>
        <v>61.469000000000001</v>
      </c>
      <c r="Q80" s="796">
        <f t="shared" si="92"/>
        <v>66.650000000000006</v>
      </c>
      <c r="R80" s="796">
        <f t="shared" si="92"/>
        <v>35.832000000000001</v>
      </c>
      <c r="S80" s="796">
        <f t="shared" si="92"/>
        <v>49.703000000000003</v>
      </c>
      <c r="T80" s="796">
        <f t="shared" si="92"/>
        <v>81.58</v>
      </c>
      <c r="U80" s="796">
        <f t="shared" si="92"/>
        <v>91.472999999999999</v>
      </c>
      <c r="V80" s="796">
        <f t="shared" si="92"/>
        <v>58.826999999999998</v>
      </c>
      <c r="W80" s="796">
        <f t="shared" si="92"/>
        <v>41.735999999999997</v>
      </c>
      <c r="X80" s="796">
        <f t="shared" si="92"/>
        <v>89.433999999999997</v>
      </c>
      <c r="Y80" s="796">
        <f t="shared" si="92"/>
        <v>60.225999999999999</v>
      </c>
      <c r="Z80" s="796">
        <f t="shared" si="92"/>
        <v>62.747999999999998</v>
      </c>
      <c r="AA80" s="796">
        <f t="shared" si="92"/>
        <v>59.059999999999995</v>
      </c>
      <c r="AB80" s="796">
        <f t="shared" si="92"/>
        <v>132.28800000000001</v>
      </c>
      <c r="AC80" s="796">
        <f t="shared" si="92"/>
        <v>89.384999999999991</v>
      </c>
      <c r="AD80" s="796">
        <f t="shared" si="92"/>
        <v>162.46699999999998</v>
      </c>
      <c r="AE80" s="796">
        <f t="shared" si="92"/>
        <v>146.279</v>
      </c>
      <c r="AF80" s="796">
        <f t="shared" si="92"/>
        <v>88.225000000000009</v>
      </c>
      <c r="AG80" s="796">
        <f t="shared" si="92"/>
        <v>132.65199999999999</v>
      </c>
      <c r="AH80" s="796">
        <f t="shared" si="92"/>
        <v>190.36500000000001</v>
      </c>
      <c r="AI80" s="796">
        <f t="shared" si="92"/>
        <v>87.284000000000006</v>
      </c>
      <c r="AJ80" s="796">
        <f t="shared" si="92"/>
        <v>116.524</v>
      </c>
      <c r="AK80" s="1371">
        <f t="shared" si="92"/>
        <v>137.548</v>
      </c>
      <c r="AL80" s="1371">
        <f t="shared" si="92"/>
        <v>119.673</v>
      </c>
      <c r="AM80" s="1371">
        <f t="shared" si="92"/>
        <v>221.92500000000001</v>
      </c>
      <c r="AN80" s="1371">
        <f t="shared" si="92"/>
        <v>220.59</v>
      </c>
      <c r="AO80" s="1371">
        <f t="shared" si="92"/>
        <v>237.58699999999999</v>
      </c>
      <c r="AP80" s="1371">
        <f t="shared" si="92"/>
        <v>151.28700000000001</v>
      </c>
      <c r="AQ80" s="1371">
        <f t="shared" si="92"/>
        <v>173.24299999999999</v>
      </c>
      <c r="AR80" s="1371">
        <f t="shared" si="92"/>
        <v>197.61799999999999</v>
      </c>
      <c r="AS80" s="1371">
        <f t="shared" si="92"/>
        <v>241.28399999999999</v>
      </c>
      <c r="AT80" s="2294">
        <f t="shared" si="92"/>
        <v>155.71700000000001</v>
      </c>
      <c r="AU80" s="796"/>
      <c r="AV80" s="796"/>
      <c r="AW80" s="796"/>
      <c r="AX80" s="796"/>
      <c r="AY80" s="796"/>
      <c r="AZ80" s="796"/>
      <c r="BA80" s="796"/>
      <c r="BB80" s="796"/>
      <c r="BC80" s="796"/>
      <c r="BD80" s="796"/>
      <c r="BE80" s="796"/>
      <c r="BF80" s="796"/>
      <c r="BG80" s="796"/>
      <c r="BH80" s="796"/>
      <c r="BI80" s="796"/>
      <c r="BJ80" s="796"/>
      <c r="BK80" s="796"/>
      <c r="BL80" s="796"/>
      <c r="BM80" s="796"/>
      <c r="BN80" s="210"/>
    </row>
    <row r="81" spans="1:66">
      <c r="A81" s="1743" t="s">
        <v>811</v>
      </c>
      <c r="B81" s="819">
        <v>33.414999999999999</v>
      </c>
      <c r="C81" s="819">
        <v>21.876000000000001</v>
      </c>
      <c r="D81" s="819">
        <v>25.289000000000001</v>
      </c>
      <c r="E81" s="819">
        <v>31.643000000000001</v>
      </c>
      <c r="F81" s="819">
        <v>36.222999999999999</v>
      </c>
      <c r="G81" s="819">
        <v>24.39</v>
      </c>
      <c r="H81" s="819">
        <v>34.112000000000002</v>
      </c>
      <c r="I81" s="819">
        <v>72.887</v>
      </c>
      <c r="J81" s="819">
        <v>30.658999999999999</v>
      </c>
      <c r="K81" s="819">
        <v>39.427999999999997</v>
      </c>
      <c r="L81" s="819">
        <v>53.021999999999998</v>
      </c>
      <c r="M81" s="819">
        <v>44.656999999999996</v>
      </c>
      <c r="N81" s="819">
        <v>26.448</v>
      </c>
      <c r="O81" s="819">
        <v>33.316000000000003</v>
      </c>
      <c r="P81" s="819">
        <v>59.77</v>
      </c>
      <c r="Q81" s="819">
        <v>66.650000000000006</v>
      </c>
      <c r="R81" s="819">
        <v>28.663</v>
      </c>
      <c r="S81" s="819">
        <v>39.966999999999999</v>
      </c>
      <c r="T81" s="819">
        <v>73.123999999999995</v>
      </c>
      <c r="U81" s="819">
        <v>91.472999999999999</v>
      </c>
      <c r="V81" s="819">
        <v>58.826999999999998</v>
      </c>
      <c r="W81" s="819">
        <v>41.735999999999997</v>
      </c>
      <c r="X81" s="819">
        <v>78.98</v>
      </c>
      <c r="Y81" s="819">
        <v>52.088000000000001</v>
      </c>
      <c r="Z81" s="819">
        <v>54.536999999999999</v>
      </c>
      <c r="AA81" s="819">
        <v>52.738999999999997</v>
      </c>
      <c r="AB81" s="819">
        <v>81.16</v>
      </c>
      <c r="AC81" s="819">
        <v>73.233999999999995</v>
      </c>
      <c r="AD81" s="819">
        <v>93.853999999999999</v>
      </c>
      <c r="AE81" s="819">
        <v>68.447999999999993</v>
      </c>
      <c r="AF81" s="819">
        <v>85.293000000000006</v>
      </c>
      <c r="AG81" s="819">
        <v>132.65199999999999</v>
      </c>
      <c r="AH81" s="819">
        <v>123.6</v>
      </c>
      <c r="AI81" s="819">
        <v>87.284000000000006</v>
      </c>
      <c r="AJ81" s="819">
        <v>116.524</v>
      </c>
      <c r="AK81" s="835">
        <v>137.548</v>
      </c>
      <c r="AL81" s="819">
        <v>119.673</v>
      </c>
      <c r="AM81" s="819">
        <v>131.726</v>
      </c>
      <c r="AN81" s="819">
        <v>176.21</v>
      </c>
      <c r="AO81" s="819">
        <v>237.58699999999999</v>
      </c>
      <c r="AP81" s="819">
        <v>151.28700000000001</v>
      </c>
      <c r="AQ81" s="819">
        <v>146.988</v>
      </c>
      <c r="AR81" s="819">
        <v>197.61799999999999</v>
      </c>
      <c r="AS81" s="819">
        <v>224.53100000000001</v>
      </c>
      <c r="AT81" s="819">
        <v>155.024</v>
      </c>
      <c r="AU81" s="797"/>
      <c r="AV81" s="797"/>
      <c r="AW81" s="797"/>
      <c r="AX81" s="797"/>
      <c r="AY81" s="797"/>
      <c r="AZ81" s="797"/>
      <c r="BA81" s="797"/>
      <c r="BB81" s="797"/>
      <c r="BC81" s="797"/>
      <c r="BD81" s="797"/>
      <c r="BE81" s="797"/>
      <c r="BF81" s="797"/>
      <c r="BG81" s="797"/>
      <c r="BH81" s="797"/>
      <c r="BI81" s="797"/>
      <c r="BJ81" s="797"/>
      <c r="BK81" s="797"/>
      <c r="BL81" s="797"/>
      <c r="BM81" s="797"/>
      <c r="BN81" s="210"/>
    </row>
    <row r="82" spans="1:66">
      <c r="A82" s="1743" t="s">
        <v>812</v>
      </c>
      <c r="B82" s="819">
        <v>23.809000000000001</v>
      </c>
      <c r="C82" s="819">
        <v>47.960999999999999</v>
      </c>
      <c r="D82" s="819">
        <v>17.893999999999998</v>
      </c>
      <c r="E82" s="819">
        <v>9.65</v>
      </c>
      <c r="F82" s="819">
        <v>25.791</v>
      </c>
      <c r="G82" s="819">
        <v>23.951000000000001</v>
      </c>
      <c r="H82" s="819">
        <v>6.4189999999999996</v>
      </c>
      <c r="I82" s="819">
        <v>34.213999999999999</v>
      </c>
      <c r="J82" s="819">
        <v>5.5140000000000002</v>
      </c>
      <c r="K82" s="819">
        <v>20.891999999999999</v>
      </c>
      <c r="L82" s="819">
        <v>2.6909999999999998</v>
      </c>
      <c r="M82" s="819">
        <v>0</v>
      </c>
      <c r="N82" s="819">
        <v>3.68</v>
      </c>
      <c r="O82" s="819">
        <v>16.044</v>
      </c>
      <c r="P82" s="819">
        <v>1.6990000000000001</v>
      </c>
      <c r="Q82" s="819">
        <v>0</v>
      </c>
      <c r="R82" s="819">
        <v>7.1689999999999996</v>
      </c>
      <c r="S82" s="819">
        <v>9.7360000000000007</v>
      </c>
      <c r="T82" s="819">
        <v>8.4559999999999995</v>
      </c>
      <c r="U82" s="819">
        <v>0</v>
      </c>
      <c r="V82" s="819">
        <v>0</v>
      </c>
      <c r="W82" s="819">
        <v>0</v>
      </c>
      <c r="X82" s="819">
        <v>10.454000000000001</v>
      </c>
      <c r="Y82" s="819">
        <v>8.1379999999999999</v>
      </c>
      <c r="Z82" s="819">
        <v>8.2110000000000003</v>
      </c>
      <c r="AA82" s="819">
        <v>6.3209999999999997</v>
      </c>
      <c r="AB82" s="819">
        <v>51.128</v>
      </c>
      <c r="AC82" s="819">
        <v>16.151</v>
      </c>
      <c r="AD82" s="819">
        <v>68.613</v>
      </c>
      <c r="AE82" s="819">
        <v>77.831000000000003</v>
      </c>
      <c r="AF82" s="819">
        <v>2.9319999999999999</v>
      </c>
      <c r="AG82" s="819">
        <v>0</v>
      </c>
      <c r="AH82" s="819">
        <v>66.765000000000001</v>
      </c>
      <c r="AI82" s="819">
        <v>0</v>
      </c>
      <c r="AJ82" s="819">
        <v>0</v>
      </c>
      <c r="AK82" s="835">
        <v>0</v>
      </c>
      <c r="AL82" s="819">
        <v>0</v>
      </c>
      <c r="AM82" s="819">
        <v>90.198999999999998</v>
      </c>
      <c r="AN82" s="819">
        <v>44.38</v>
      </c>
      <c r="AO82" s="819">
        <v>0</v>
      </c>
      <c r="AP82" s="819">
        <v>0</v>
      </c>
      <c r="AQ82" s="819">
        <v>26.254999999999999</v>
      </c>
      <c r="AR82" s="819">
        <v>0</v>
      </c>
      <c r="AS82" s="819">
        <v>16.753</v>
      </c>
      <c r="AT82" s="819">
        <v>0.69299999999999995</v>
      </c>
      <c r="AU82" s="797"/>
      <c r="AV82" s="797"/>
      <c r="AW82" s="797"/>
      <c r="AX82" s="797"/>
      <c r="AY82" s="797"/>
      <c r="AZ82" s="797"/>
      <c r="BA82" s="797"/>
      <c r="BB82" s="797"/>
      <c r="BC82" s="797"/>
      <c r="BD82" s="797"/>
      <c r="BE82" s="797"/>
      <c r="BF82" s="797"/>
      <c r="BG82" s="797"/>
      <c r="BH82" s="797"/>
      <c r="BI82" s="797"/>
      <c r="BJ82" s="797"/>
      <c r="BK82" s="797"/>
      <c r="BL82" s="797"/>
      <c r="BM82" s="797"/>
      <c r="BN82" s="210"/>
    </row>
    <row r="83" spans="1:66">
      <c r="A83" s="1744" t="s">
        <v>921</v>
      </c>
      <c r="B83" s="833">
        <v>0</v>
      </c>
      <c r="C83" s="833">
        <v>0</v>
      </c>
      <c r="D83" s="833">
        <v>0</v>
      </c>
      <c r="E83" s="833">
        <v>0</v>
      </c>
      <c r="F83" s="833">
        <v>0</v>
      </c>
      <c r="G83" s="833">
        <v>0</v>
      </c>
      <c r="H83" s="833">
        <v>0</v>
      </c>
      <c r="I83" s="833">
        <v>0</v>
      </c>
      <c r="J83" s="833">
        <v>1.2809999999999999</v>
      </c>
      <c r="K83" s="833">
        <v>7.2539999999999996</v>
      </c>
      <c r="L83" s="833">
        <v>7.0170000000000003</v>
      </c>
      <c r="M83" s="833">
        <v>0.89300000000000002</v>
      </c>
      <c r="N83" s="833">
        <v>5.4340000000000002</v>
      </c>
      <c r="O83" s="833">
        <v>9.0050000000000008</v>
      </c>
      <c r="P83" s="833">
        <v>7.8620000000000001</v>
      </c>
      <c r="Q83" s="833">
        <v>0</v>
      </c>
      <c r="R83" s="833">
        <v>5.7190000000000003</v>
      </c>
      <c r="S83" s="833">
        <v>10.547000000000001</v>
      </c>
      <c r="T83" s="833">
        <v>6.9160000000000004</v>
      </c>
      <c r="U83" s="833">
        <v>0.76500000000000001</v>
      </c>
      <c r="V83" s="833">
        <v>4.0090000000000003</v>
      </c>
      <c r="W83" s="833">
        <v>10.236000000000001</v>
      </c>
      <c r="X83" s="833">
        <v>8.7219999999999995</v>
      </c>
      <c r="Y83" s="833">
        <v>4.6260000000000003</v>
      </c>
      <c r="Z83" s="833">
        <v>6.976</v>
      </c>
      <c r="AA83" s="833">
        <v>12.994999999999999</v>
      </c>
      <c r="AB83" s="833">
        <v>19.206</v>
      </c>
      <c r="AC83" s="833">
        <v>5.2320000000000002</v>
      </c>
      <c r="AD83" s="833">
        <v>8.8680000000000003</v>
      </c>
      <c r="AE83" s="833">
        <v>25.504000000000001</v>
      </c>
      <c r="AF83" s="833">
        <v>40.514000000000003</v>
      </c>
      <c r="AG83" s="833">
        <v>2.3889999999999998</v>
      </c>
      <c r="AH83" s="833">
        <v>49.273000000000003</v>
      </c>
      <c r="AI83" s="833">
        <v>61.933999999999997</v>
      </c>
      <c r="AJ83" s="833">
        <v>73.343999999999994</v>
      </c>
      <c r="AK83" s="1372">
        <v>0.65300000000000002</v>
      </c>
      <c r="AL83" s="833">
        <v>67.811999999999998</v>
      </c>
      <c r="AM83" s="833">
        <v>65.805000000000007</v>
      </c>
      <c r="AN83" s="833">
        <v>49.033000000000001</v>
      </c>
      <c r="AO83" s="833">
        <v>2.923</v>
      </c>
      <c r="AP83" s="833">
        <v>43.71</v>
      </c>
      <c r="AQ83" s="833">
        <v>48.709000000000003</v>
      </c>
      <c r="AR83" s="833">
        <v>30.547999999999998</v>
      </c>
      <c r="AS83" s="833">
        <v>29.122</v>
      </c>
      <c r="AT83" s="2295">
        <v>66.212000000000003</v>
      </c>
      <c r="AU83" s="796"/>
      <c r="AV83" s="796"/>
      <c r="AW83" s="796"/>
      <c r="AX83" s="796"/>
      <c r="AY83" s="796"/>
      <c r="AZ83" s="796"/>
      <c r="BA83" s="796"/>
      <c r="BB83" s="796"/>
      <c r="BC83" s="796"/>
      <c r="BD83" s="796"/>
      <c r="BE83" s="796"/>
      <c r="BF83" s="796"/>
      <c r="BG83" s="796"/>
      <c r="BH83" s="796"/>
      <c r="BI83" s="796"/>
      <c r="BJ83" s="796"/>
      <c r="BK83" s="796"/>
      <c r="BL83" s="796"/>
      <c r="BM83" s="796"/>
      <c r="BN83" s="210"/>
    </row>
    <row r="84" spans="1:66">
      <c r="A84" s="1744" t="s">
        <v>1501</v>
      </c>
      <c r="B84" s="833"/>
      <c r="C84" s="833"/>
      <c r="D84" s="833"/>
      <c r="E84" s="833"/>
      <c r="F84" s="833"/>
      <c r="G84" s="833"/>
      <c r="H84" s="833"/>
      <c r="I84" s="833"/>
      <c r="J84" s="833"/>
      <c r="K84" s="833"/>
      <c r="L84" s="833"/>
      <c r="M84" s="833"/>
      <c r="N84" s="833"/>
      <c r="O84" s="833"/>
      <c r="P84" s="833"/>
      <c r="Q84" s="833"/>
      <c r="R84" s="833"/>
      <c r="S84" s="833"/>
      <c r="T84" s="833"/>
      <c r="U84" s="833"/>
      <c r="V84" s="833"/>
      <c r="W84" s="833"/>
      <c r="X84" s="833"/>
      <c r="Y84" s="833"/>
      <c r="Z84" s="833"/>
      <c r="AA84" s="833"/>
      <c r="AB84" s="833"/>
      <c r="AC84" s="833"/>
      <c r="AD84" s="833"/>
      <c r="AE84" s="833"/>
      <c r="AF84" s="833"/>
      <c r="AG84" s="833"/>
      <c r="AH84" s="833">
        <v>0</v>
      </c>
      <c r="AI84" s="833">
        <v>18.364000000000001</v>
      </c>
      <c r="AJ84" s="833">
        <v>7.92</v>
      </c>
      <c r="AK84" s="1372">
        <v>5.8579999999999997</v>
      </c>
      <c r="AL84" s="833">
        <v>13.942</v>
      </c>
      <c r="AM84" s="833">
        <v>5.3360000000000003</v>
      </c>
      <c r="AN84" s="833">
        <v>14.574999999999999</v>
      </c>
      <c r="AO84" s="833">
        <v>0.33300000000000002</v>
      </c>
      <c r="AP84" s="833">
        <v>5.077</v>
      </c>
      <c r="AQ84" s="833">
        <v>13.036</v>
      </c>
      <c r="AR84" s="833">
        <v>2.8580000000000001</v>
      </c>
      <c r="AS84" s="833">
        <v>0.32</v>
      </c>
      <c r="AT84" s="2295">
        <v>1.1060000000000001</v>
      </c>
      <c r="AU84" s="796"/>
      <c r="AV84" s="796"/>
      <c r="AW84" s="796"/>
      <c r="AX84" s="796"/>
      <c r="AY84" s="796"/>
      <c r="AZ84" s="796"/>
      <c r="BA84" s="796"/>
      <c r="BB84" s="796"/>
      <c r="BC84" s="796"/>
      <c r="BD84" s="796"/>
      <c r="BE84" s="796"/>
      <c r="BF84" s="796"/>
      <c r="BG84" s="796"/>
      <c r="BH84" s="796"/>
      <c r="BI84" s="796"/>
      <c r="BJ84" s="796"/>
      <c r="BK84" s="796"/>
      <c r="BL84" s="796"/>
      <c r="BM84" s="796"/>
      <c r="BN84" s="210"/>
    </row>
    <row r="85" spans="1:66">
      <c r="A85" s="1742" t="s">
        <v>833</v>
      </c>
      <c r="B85" s="796">
        <f t="shared" ref="B85:AT85" si="93">SUM(B86:B87)</f>
        <v>7.407</v>
      </c>
      <c r="C85" s="796">
        <f t="shared" si="93"/>
        <v>12.591999999999999</v>
      </c>
      <c r="D85" s="796">
        <f t="shared" si="93"/>
        <v>9.2989999999999995</v>
      </c>
      <c r="E85" s="796">
        <f t="shared" si="93"/>
        <v>6.1619999999999999</v>
      </c>
      <c r="F85" s="796">
        <f t="shared" si="93"/>
        <v>7.5519999999999996</v>
      </c>
      <c r="G85" s="796">
        <f t="shared" si="93"/>
        <v>14.749000000000001</v>
      </c>
      <c r="H85" s="796">
        <f t="shared" si="93"/>
        <v>6.5719999999999992</v>
      </c>
      <c r="I85" s="796">
        <f t="shared" si="93"/>
        <v>6.6850000000000005</v>
      </c>
      <c r="J85" s="796">
        <f t="shared" si="93"/>
        <v>8.6890000000000001</v>
      </c>
      <c r="K85" s="796">
        <f t="shared" si="93"/>
        <v>13.085000000000001</v>
      </c>
      <c r="L85" s="796">
        <f t="shared" si="93"/>
        <v>13.2</v>
      </c>
      <c r="M85" s="796">
        <f t="shared" si="93"/>
        <v>12.398</v>
      </c>
      <c r="N85" s="796">
        <f t="shared" si="93"/>
        <v>17.536999999999999</v>
      </c>
      <c r="O85" s="796">
        <f t="shared" si="93"/>
        <v>11.164000000000001</v>
      </c>
      <c r="P85" s="796">
        <f t="shared" si="93"/>
        <v>13.824</v>
      </c>
      <c r="Q85" s="796">
        <f t="shared" si="93"/>
        <v>13.37</v>
      </c>
      <c r="R85" s="796">
        <f t="shared" si="93"/>
        <v>14.306000000000001</v>
      </c>
      <c r="S85" s="796">
        <f t="shared" si="93"/>
        <v>15.173000000000002</v>
      </c>
      <c r="T85" s="796">
        <f t="shared" si="93"/>
        <v>13.513999999999999</v>
      </c>
      <c r="U85" s="796">
        <f t="shared" si="93"/>
        <v>4.9729999999999999</v>
      </c>
      <c r="V85" s="796">
        <f t="shared" si="93"/>
        <v>16.966999999999999</v>
      </c>
      <c r="W85" s="796">
        <f t="shared" si="93"/>
        <v>26.613</v>
      </c>
      <c r="X85" s="796">
        <f t="shared" si="93"/>
        <v>14.861000000000001</v>
      </c>
      <c r="Y85" s="796">
        <f t="shared" si="93"/>
        <v>9.1890000000000001</v>
      </c>
      <c r="Z85" s="796">
        <f t="shared" si="93"/>
        <v>30.555999999999997</v>
      </c>
      <c r="AA85" s="796">
        <f t="shared" si="93"/>
        <v>22.499000000000002</v>
      </c>
      <c r="AB85" s="796">
        <f t="shared" si="93"/>
        <v>27.978999999999999</v>
      </c>
      <c r="AC85" s="796">
        <f t="shared" si="93"/>
        <v>14.02</v>
      </c>
      <c r="AD85" s="796">
        <f t="shared" si="93"/>
        <v>35.312000000000005</v>
      </c>
      <c r="AE85" s="796">
        <f t="shared" si="93"/>
        <v>65.143000000000001</v>
      </c>
      <c r="AF85" s="796">
        <f t="shared" si="93"/>
        <v>46.516999999999996</v>
      </c>
      <c r="AG85" s="796">
        <f t="shared" si="93"/>
        <v>21.524000000000001</v>
      </c>
      <c r="AH85" s="796">
        <f t="shared" si="93"/>
        <v>11.525</v>
      </c>
      <c r="AI85" s="796">
        <f t="shared" si="93"/>
        <v>46.143000000000001</v>
      </c>
      <c r="AJ85" s="796">
        <f t="shared" si="93"/>
        <v>34.43</v>
      </c>
      <c r="AK85" s="2110">
        <f t="shared" si="93"/>
        <v>15.003</v>
      </c>
      <c r="AL85" s="1433">
        <f t="shared" si="93"/>
        <v>20.426000000000002</v>
      </c>
      <c r="AM85" s="1433">
        <f t="shared" si="93"/>
        <v>19.956</v>
      </c>
      <c r="AN85" s="1433">
        <f t="shared" si="93"/>
        <v>3.6640000000000001</v>
      </c>
      <c r="AO85" s="1433">
        <f t="shared" si="93"/>
        <v>6.931</v>
      </c>
      <c r="AP85" s="1433">
        <f t="shared" si="93"/>
        <v>14.45</v>
      </c>
      <c r="AQ85" s="1433">
        <f t="shared" si="93"/>
        <v>23.492999999999999</v>
      </c>
      <c r="AR85" s="1433">
        <f t="shared" si="93"/>
        <v>16.484999999999999</v>
      </c>
      <c r="AS85" s="1433">
        <f t="shared" si="93"/>
        <v>11.034000000000001</v>
      </c>
      <c r="AT85" s="1433">
        <f t="shared" si="93"/>
        <v>15.169</v>
      </c>
      <c r="AU85" s="796"/>
      <c r="AV85" s="796"/>
      <c r="AW85" s="796"/>
      <c r="AX85" s="796"/>
      <c r="AY85" s="796"/>
      <c r="AZ85" s="796"/>
      <c r="BA85" s="796"/>
      <c r="BB85" s="796"/>
      <c r="BC85" s="796"/>
      <c r="BD85" s="796"/>
      <c r="BE85" s="796"/>
      <c r="BF85" s="796"/>
      <c r="BG85" s="796"/>
      <c r="BH85" s="796"/>
      <c r="BI85" s="796"/>
      <c r="BJ85" s="796"/>
      <c r="BK85" s="796"/>
      <c r="BL85" s="796"/>
      <c r="BM85" s="796"/>
      <c r="BN85" s="210"/>
    </row>
    <row r="86" spans="1:66">
      <c r="A86" s="1743" t="s">
        <v>163</v>
      </c>
      <c r="B86" s="819">
        <v>4.7939999999999996</v>
      </c>
      <c r="C86" s="819">
        <v>8.5449999999999999</v>
      </c>
      <c r="D86" s="819">
        <v>3.4969999999999999</v>
      </c>
      <c r="E86" s="819">
        <v>1.2050000000000001</v>
      </c>
      <c r="F86" s="819">
        <v>4.9390000000000001</v>
      </c>
      <c r="G86" s="819">
        <v>11.721</v>
      </c>
      <c r="H86" s="819">
        <v>4.7249999999999996</v>
      </c>
      <c r="I86" s="819">
        <v>2.5859999999999999</v>
      </c>
      <c r="J86" s="819">
        <v>5.8529999999999998</v>
      </c>
      <c r="K86" s="819">
        <v>10.529</v>
      </c>
      <c r="L86" s="819">
        <v>7.9210000000000003</v>
      </c>
      <c r="M86" s="819">
        <v>4.883</v>
      </c>
      <c r="N86" s="819">
        <v>11.842000000000001</v>
      </c>
      <c r="O86" s="819">
        <v>9.5210000000000008</v>
      </c>
      <c r="P86" s="819">
        <v>9.2530000000000001</v>
      </c>
      <c r="Q86" s="819">
        <v>4.2249999999999996</v>
      </c>
      <c r="R86" s="819">
        <v>11.887</v>
      </c>
      <c r="S86" s="819">
        <v>12.851000000000001</v>
      </c>
      <c r="T86" s="819">
        <v>8.3170000000000002</v>
      </c>
      <c r="U86" s="819">
        <v>2.9689999999999999</v>
      </c>
      <c r="V86" s="819">
        <v>11.574</v>
      </c>
      <c r="W86" s="819">
        <v>22.84</v>
      </c>
      <c r="X86" s="819">
        <v>9.9339999999999993</v>
      </c>
      <c r="Y86" s="819">
        <v>5.4660000000000002</v>
      </c>
      <c r="Z86" s="819">
        <v>27.414999999999999</v>
      </c>
      <c r="AA86" s="819">
        <v>16.224</v>
      </c>
      <c r="AB86" s="819">
        <v>15.614000000000001</v>
      </c>
      <c r="AC86" s="819">
        <v>5.3150000000000004</v>
      </c>
      <c r="AD86" s="819">
        <v>32.447000000000003</v>
      </c>
      <c r="AE86" s="819">
        <v>59.128</v>
      </c>
      <c r="AF86" s="819">
        <v>32.61</v>
      </c>
      <c r="AG86" s="819">
        <v>11.728999999999999</v>
      </c>
      <c r="AH86" s="819">
        <v>7.7690000000000001</v>
      </c>
      <c r="AI86" s="819">
        <v>36.003999999999998</v>
      </c>
      <c r="AJ86" s="819">
        <v>25.06</v>
      </c>
      <c r="AK86" s="835">
        <f>5.555</f>
        <v>5.5549999999999997</v>
      </c>
      <c r="AL86" s="819">
        <f>0.006+11.989</f>
        <v>11.995000000000001</v>
      </c>
      <c r="AM86" s="819">
        <f>17.502</f>
        <v>17.501999999999999</v>
      </c>
      <c r="AN86" s="819">
        <f>3.599</f>
        <v>3.5990000000000002</v>
      </c>
      <c r="AO86" s="819">
        <f>6.931</f>
        <v>6.931</v>
      </c>
      <c r="AP86" s="819">
        <v>14.45</v>
      </c>
      <c r="AQ86" s="819">
        <v>23.492999999999999</v>
      </c>
      <c r="AR86" s="819">
        <v>16.484999999999999</v>
      </c>
      <c r="AS86" s="819">
        <v>10.65</v>
      </c>
      <c r="AT86" s="819">
        <v>12.298</v>
      </c>
      <c r="AU86" s="797"/>
      <c r="AV86" s="797"/>
      <c r="AW86" s="797"/>
      <c r="AX86" s="797"/>
      <c r="AY86" s="797"/>
      <c r="AZ86" s="797"/>
      <c r="BA86" s="797"/>
      <c r="BB86" s="797"/>
      <c r="BC86" s="797"/>
      <c r="BD86" s="797"/>
      <c r="BE86" s="797"/>
      <c r="BF86" s="797"/>
      <c r="BG86" s="797"/>
      <c r="BH86" s="797"/>
      <c r="BI86" s="797"/>
      <c r="BJ86" s="797"/>
      <c r="BK86" s="797"/>
      <c r="BL86" s="797"/>
      <c r="BM86" s="797"/>
      <c r="BN86" s="210"/>
    </row>
    <row r="87" spans="1:66">
      <c r="A87" s="1743" t="s">
        <v>164</v>
      </c>
      <c r="B87" s="834">
        <f t="shared" ref="B87:Y87" si="94">SUM(B88:B89)</f>
        <v>2.613</v>
      </c>
      <c r="C87" s="834">
        <f t="shared" si="94"/>
        <v>4.0469999999999997</v>
      </c>
      <c r="D87" s="834">
        <f t="shared" si="94"/>
        <v>5.8019999999999996</v>
      </c>
      <c r="E87" s="834">
        <f t="shared" si="94"/>
        <v>4.9569999999999999</v>
      </c>
      <c r="F87" s="834">
        <f t="shared" si="94"/>
        <v>2.613</v>
      </c>
      <c r="G87" s="834">
        <f t="shared" si="94"/>
        <v>3.028</v>
      </c>
      <c r="H87" s="834">
        <f t="shared" si="94"/>
        <v>1.847</v>
      </c>
      <c r="I87" s="834">
        <f t="shared" si="94"/>
        <v>4.0990000000000002</v>
      </c>
      <c r="J87" s="834">
        <f t="shared" si="94"/>
        <v>2.8359999999999999</v>
      </c>
      <c r="K87" s="834">
        <f t="shared" si="94"/>
        <v>2.556</v>
      </c>
      <c r="L87" s="834">
        <f t="shared" si="94"/>
        <v>5.2789999999999999</v>
      </c>
      <c r="M87" s="834">
        <f t="shared" si="94"/>
        <v>7.5149999999999997</v>
      </c>
      <c r="N87" s="834">
        <f t="shared" si="94"/>
        <v>5.6950000000000003</v>
      </c>
      <c r="O87" s="834">
        <f t="shared" si="94"/>
        <v>1.643</v>
      </c>
      <c r="P87" s="834">
        <f t="shared" si="94"/>
        <v>4.5709999999999997</v>
      </c>
      <c r="Q87" s="834">
        <f t="shared" si="94"/>
        <v>9.1449999999999996</v>
      </c>
      <c r="R87" s="834">
        <f t="shared" si="94"/>
        <v>2.419</v>
      </c>
      <c r="S87" s="834">
        <f t="shared" si="94"/>
        <v>2.3220000000000001</v>
      </c>
      <c r="T87" s="834">
        <f t="shared" si="94"/>
        <v>5.1970000000000001</v>
      </c>
      <c r="U87" s="834">
        <f t="shared" si="94"/>
        <v>2.004</v>
      </c>
      <c r="V87" s="834">
        <f t="shared" si="94"/>
        <v>5.3929999999999998</v>
      </c>
      <c r="W87" s="834">
        <f t="shared" si="94"/>
        <v>3.7730000000000001</v>
      </c>
      <c r="X87" s="834">
        <f t="shared" si="94"/>
        <v>4.9270000000000005</v>
      </c>
      <c r="Y87" s="834">
        <f t="shared" si="94"/>
        <v>3.7229999999999999</v>
      </c>
      <c r="Z87" s="819">
        <v>3.141</v>
      </c>
      <c r="AA87" s="819">
        <v>6.2750000000000004</v>
      </c>
      <c r="AB87" s="819">
        <v>12.365</v>
      </c>
      <c r="AC87" s="819">
        <v>8.7050000000000001</v>
      </c>
      <c r="AD87" s="819">
        <v>2.8650000000000002</v>
      </c>
      <c r="AE87" s="819">
        <v>6.0149999999999997</v>
      </c>
      <c r="AF87" s="819">
        <v>13.907</v>
      </c>
      <c r="AG87" s="819">
        <v>9.7949999999999999</v>
      </c>
      <c r="AH87" s="819">
        <v>3.7559999999999998</v>
      </c>
      <c r="AI87" s="819">
        <v>10.138999999999999</v>
      </c>
      <c r="AJ87" s="819">
        <v>9.3699999999999992</v>
      </c>
      <c r="AK87" s="835">
        <v>9.4480000000000004</v>
      </c>
      <c r="AL87" s="819">
        <v>8.4309999999999992</v>
      </c>
      <c r="AM87" s="819">
        <v>2.4540000000000002</v>
      </c>
      <c r="AN87" s="819">
        <v>6.5000000000000002E-2</v>
      </c>
      <c r="AO87" s="819">
        <v>0</v>
      </c>
      <c r="AP87" s="819">
        <v>0</v>
      </c>
      <c r="AQ87" s="819">
        <v>0</v>
      </c>
      <c r="AR87" s="819">
        <v>0</v>
      </c>
      <c r="AS87" s="819">
        <v>0.38400000000000001</v>
      </c>
      <c r="AT87" s="819">
        <v>2.871</v>
      </c>
      <c r="AU87" s="797"/>
      <c r="AV87" s="797"/>
      <c r="AW87" s="797"/>
      <c r="AX87" s="797"/>
      <c r="AY87" s="797"/>
      <c r="AZ87" s="797"/>
      <c r="BA87" s="797"/>
      <c r="BB87" s="797"/>
      <c r="BC87" s="797"/>
      <c r="BD87" s="797"/>
      <c r="BE87" s="797"/>
      <c r="BF87" s="797"/>
      <c r="BG87" s="797"/>
      <c r="BH87" s="797"/>
      <c r="BI87" s="797"/>
      <c r="BJ87" s="797"/>
      <c r="BK87" s="797"/>
      <c r="BL87" s="797"/>
      <c r="BM87" s="797"/>
      <c r="BN87" s="210"/>
    </row>
    <row r="88" spans="1:66">
      <c r="A88" s="1745" t="s">
        <v>164</v>
      </c>
      <c r="B88" s="819">
        <v>0</v>
      </c>
      <c r="C88" s="819">
        <v>0</v>
      </c>
      <c r="D88" s="819">
        <v>0</v>
      </c>
      <c r="E88" s="819">
        <v>0</v>
      </c>
      <c r="F88" s="819">
        <v>0</v>
      </c>
      <c r="G88" s="819">
        <v>0</v>
      </c>
      <c r="H88" s="819">
        <v>0</v>
      </c>
      <c r="I88" s="819">
        <v>0</v>
      </c>
      <c r="J88" s="819">
        <v>0</v>
      </c>
      <c r="K88" s="819">
        <v>0</v>
      </c>
      <c r="L88" s="819">
        <v>0</v>
      </c>
      <c r="M88" s="819">
        <v>0</v>
      </c>
      <c r="N88" s="819">
        <v>0</v>
      </c>
      <c r="O88" s="819">
        <v>0</v>
      </c>
      <c r="P88" s="819">
        <v>0</v>
      </c>
      <c r="Q88" s="819">
        <v>0</v>
      </c>
      <c r="R88" s="819">
        <v>0</v>
      </c>
      <c r="S88" s="819">
        <v>0</v>
      </c>
      <c r="T88" s="819">
        <v>0</v>
      </c>
      <c r="U88" s="819">
        <v>0</v>
      </c>
      <c r="V88" s="819">
        <v>0</v>
      </c>
      <c r="W88" s="819">
        <v>8.4000000000000005E-2</v>
      </c>
      <c r="X88" s="819">
        <v>0.14699999999999999</v>
      </c>
      <c r="Y88" s="819">
        <v>0.27100000000000002</v>
      </c>
      <c r="Z88" s="835" t="s">
        <v>963</v>
      </c>
      <c r="AA88" s="835" t="s">
        <v>963</v>
      </c>
      <c r="AB88" s="835" t="s">
        <v>963</v>
      </c>
      <c r="AC88" s="835" t="s">
        <v>963</v>
      </c>
      <c r="AD88" s="835" t="s">
        <v>963</v>
      </c>
      <c r="AE88" s="835" t="s">
        <v>963</v>
      </c>
      <c r="AF88" s="835" t="s">
        <v>963</v>
      </c>
      <c r="AG88" s="835" t="s">
        <v>963</v>
      </c>
      <c r="AH88" s="953">
        <f t="shared" ref="AH88:AR88" si="95">AH87-AH89</f>
        <v>0</v>
      </c>
      <c r="AI88" s="953">
        <f t="shared" si="95"/>
        <v>0</v>
      </c>
      <c r="AJ88" s="953">
        <f t="shared" si="95"/>
        <v>0</v>
      </c>
      <c r="AK88" s="835">
        <f t="shared" si="95"/>
        <v>0</v>
      </c>
      <c r="AL88" s="819">
        <f t="shared" si="95"/>
        <v>0</v>
      </c>
      <c r="AM88" s="819">
        <f t="shared" si="95"/>
        <v>0</v>
      </c>
      <c r="AN88" s="819">
        <f t="shared" si="95"/>
        <v>0</v>
      </c>
      <c r="AO88" s="819">
        <f t="shared" si="95"/>
        <v>0</v>
      </c>
      <c r="AP88" s="819">
        <f t="shared" si="95"/>
        <v>0</v>
      </c>
      <c r="AQ88" s="819">
        <f t="shared" si="95"/>
        <v>0</v>
      </c>
      <c r="AR88" s="819">
        <f t="shared" si="95"/>
        <v>0</v>
      </c>
      <c r="AS88" s="819">
        <v>0</v>
      </c>
      <c r="AT88" s="797">
        <v>0</v>
      </c>
      <c r="AU88" s="797"/>
      <c r="AV88" s="797"/>
      <c r="AW88" s="797"/>
      <c r="AX88" s="797"/>
      <c r="AY88" s="797"/>
      <c r="AZ88" s="797"/>
      <c r="BA88" s="797"/>
      <c r="BB88" s="797"/>
      <c r="BC88" s="797"/>
      <c r="BD88" s="797"/>
      <c r="BE88" s="797"/>
      <c r="BF88" s="797"/>
      <c r="BG88" s="797"/>
      <c r="BH88" s="797"/>
      <c r="BI88" s="797"/>
      <c r="BJ88" s="797"/>
      <c r="BK88" s="797"/>
      <c r="BL88" s="797"/>
      <c r="BM88" s="797"/>
      <c r="BN88" s="210"/>
    </row>
    <row r="89" spans="1:66">
      <c r="A89" s="1745" t="s">
        <v>162</v>
      </c>
      <c r="B89" s="819">
        <v>2.613</v>
      </c>
      <c r="C89" s="819">
        <v>4.0469999999999997</v>
      </c>
      <c r="D89" s="819">
        <v>5.8019999999999996</v>
      </c>
      <c r="E89" s="819">
        <v>4.9569999999999999</v>
      </c>
      <c r="F89" s="819">
        <v>2.613</v>
      </c>
      <c r="G89" s="819">
        <v>3.028</v>
      </c>
      <c r="H89" s="819">
        <v>1.847</v>
      </c>
      <c r="I89" s="819">
        <v>4.0990000000000002</v>
      </c>
      <c r="J89" s="819">
        <v>2.8359999999999999</v>
      </c>
      <c r="K89" s="819">
        <v>2.556</v>
      </c>
      <c r="L89" s="819">
        <v>5.2789999999999999</v>
      </c>
      <c r="M89" s="819">
        <v>7.5149999999999997</v>
      </c>
      <c r="N89" s="819">
        <v>5.6950000000000003</v>
      </c>
      <c r="O89" s="819">
        <v>1.643</v>
      </c>
      <c r="P89" s="819">
        <v>4.5709999999999997</v>
      </c>
      <c r="Q89" s="819">
        <v>9.1449999999999996</v>
      </c>
      <c r="R89" s="819">
        <v>2.419</v>
      </c>
      <c r="S89" s="819">
        <v>2.3220000000000001</v>
      </c>
      <c r="T89" s="819">
        <v>5.1970000000000001</v>
      </c>
      <c r="U89" s="819">
        <v>2.004</v>
      </c>
      <c r="V89" s="819">
        <v>5.3929999999999998</v>
      </c>
      <c r="W89" s="819">
        <v>3.6890000000000001</v>
      </c>
      <c r="X89" s="819">
        <v>4.78</v>
      </c>
      <c r="Y89" s="819">
        <v>3.452</v>
      </c>
      <c r="Z89" s="835" t="s">
        <v>963</v>
      </c>
      <c r="AA89" s="835" t="s">
        <v>963</v>
      </c>
      <c r="AB89" s="835" t="s">
        <v>963</v>
      </c>
      <c r="AC89" s="835" t="s">
        <v>963</v>
      </c>
      <c r="AD89" s="835" t="s">
        <v>963</v>
      </c>
      <c r="AE89" s="835" t="s">
        <v>963</v>
      </c>
      <c r="AF89" s="835" t="s">
        <v>963</v>
      </c>
      <c r="AG89" s="835" t="s">
        <v>963</v>
      </c>
      <c r="AH89" s="953">
        <f t="shared" ref="AH89:AO89" si="96">AH87</f>
        <v>3.7559999999999998</v>
      </c>
      <c r="AI89" s="953">
        <f t="shared" si="96"/>
        <v>10.138999999999999</v>
      </c>
      <c r="AJ89" s="953">
        <f t="shared" si="96"/>
        <v>9.3699999999999992</v>
      </c>
      <c r="AK89" s="757">
        <f t="shared" si="96"/>
        <v>9.4480000000000004</v>
      </c>
      <c r="AL89" s="797">
        <f t="shared" si="96"/>
        <v>8.4309999999999992</v>
      </c>
      <c r="AM89" s="797">
        <f t="shared" si="96"/>
        <v>2.4540000000000002</v>
      </c>
      <c r="AN89" s="797">
        <f t="shared" si="96"/>
        <v>6.5000000000000002E-2</v>
      </c>
      <c r="AO89" s="797">
        <f t="shared" si="96"/>
        <v>0</v>
      </c>
      <c r="AP89" s="797">
        <f t="shared" ref="AP89:AQ89" si="97">AP87</f>
        <v>0</v>
      </c>
      <c r="AQ89" s="797">
        <f t="shared" si="97"/>
        <v>0</v>
      </c>
      <c r="AR89" s="797">
        <v>0</v>
      </c>
      <c r="AS89" s="797">
        <v>0</v>
      </c>
      <c r="AT89" s="797">
        <v>0</v>
      </c>
      <c r="AU89" s="797"/>
      <c r="AV89" s="797"/>
      <c r="AW89" s="797"/>
      <c r="AX89" s="797"/>
      <c r="AY89" s="797"/>
      <c r="AZ89" s="797"/>
      <c r="BA89" s="797"/>
      <c r="BB89" s="797"/>
      <c r="BC89" s="797"/>
      <c r="BD89" s="797"/>
      <c r="BE89" s="797"/>
      <c r="BF89" s="797"/>
      <c r="BG89" s="797"/>
      <c r="BH89" s="797"/>
      <c r="BI89" s="797"/>
      <c r="BJ89" s="797"/>
      <c r="BK89" s="797"/>
      <c r="BL89" s="797"/>
      <c r="BM89" s="797"/>
      <c r="BN89" s="210"/>
    </row>
    <row r="90" spans="1:66">
      <c r="A90" s="1742" t="s">
        <v>1196</v>
      </c>
      <c r="B90" s="834">
        <f t="shared" ref="B90:AO90" si="98">-B191</f>
        <v>0</v>
      </c>
      <c r="C90" s="834">
        <f t="shared" si="98"/>
        <v>0</v>
      </c>
      <c r="D90" s="834">
        <f t="shared" si="98"/>
        <v>0</v>
      </c>
      <c r="E90" s="834">
        <f t="shared" si="98"/>
        <v>0</v>
      </c>
      <c r="F90" s="834">
        <f t="shared" si="98"/>
        <v>0</v>
      </c>
      <c r="G90" s="834">
        <f t="shared" si="98"/>
        <v>0</v>
      </c>
      <c r="H90" s="834">
        <f t="shared" si="98"/>
        <v>0</v>
      </c>
      <c r="I90" s="834">
        <f t="shared" si="98"/>
        <v>0</v>
      </c>
      <c r="J90" s="834">
        <f t="shared" si="98"/>
        <v>0</v>
      </c>
      <c r="K90" s="834">
        <f t="shared" si="98"/>
        <v>0</v>
      </c>
      <c r="L90" s="834">
        <f t="shared" si="98"/>
        <v>0</v>
      </c>
      <c r="M90" s="834">
        <f t="shared" si="98"/>
        <v>0</v>
      </c>
      <c r="N90" s="834">
        <f t="shared" si="98"/>
        <v>0</v>
      </c>
      <c r="O90" s="834">
        <f t="shared" si="98"/>
        <v>0</v>
      </c>
      <c r="P90" s="834">
        <f t="shared" si="98"/>
        <v>0</v>
      </c>
      <c r="Q90" s="834">
        <f t="shared" si="98"/>
        <v>0</v>
      </c>
      <c r="R90" s="834">
        <f t="shared" si="98"/>
        <v>0</v>
      </c>
      <c r="S90" s="834">
        <f t="shared" si="98"/>
        <v>0</v>
      </c>
      <c r="T90" s="834">
        <f t="shared" si="98"/>
        <v>0</v>
      </c>
      <c r="U90" s="834">
        <f t="shared" si="98"/>
        <v>0</v>
      </c>
      <c r="V90" s="834">
        <f t="shared" si="98"/>
        <v>0</v>
      </c>
      <c r="W90" s="834">
        <f t="shared" si="98"/>
        <v>0</v>
      </c>
      <c r="X90" s="834">
        <f t="shared" si="98"/>
        <v>0</v>
      </c>
      <c r="Y90" s="834">
        <f t="shared" si="98"/>
        <v>0</v>
      </c>
      <c r="Z90" s="834">
        <f t="shared" si="98"/>
        <v>0</v>
      </c>
      <c r="AA90" s="834">
        <f t="shared" si="98"/>
        <v>0</v>
      </c>
      <c r="AB90" s="834">
        <f t="shared" si="98"/>
        <v>0</v>
      </c>
      <c r="AC90" s="834">
        <f t="shared" si="98"/>
        <v>0</v>
      </c>
      <c r="AD90" s="834">
        <f t="shared" si="98"/>
        <v>0</v>
      </c>
      <c r="AE90" s="834">
        <f t="shared" si="98"/>
        <v>0</v>
      </c>
      <c r="AF90" s="834">
        <f t="shared" si="98"/>
        <v>0</v>
      </c>
      <c r="AG90" s="834">
        <f t="shared" si="98"/>
        <v>0</v>
      </c>
      <c r="AH90" s="834">
        <f t="shared" si="98"/>
        <v>-6.3869999999999996</v>
      </c>
      <c r="AI90" s="834">
        <f t="shared" si="98"/>
        <v>-18.72</v>
      </c>
      <c r="AJ90" s="834">
        <f t="shared" si="98"/>
        <v>-9.202</v>
      </c>
      <c r="AK90" s="834">
        <f t="shared" si="98"/>
        <v>-21.47</v>
      </c>
      <c r="AL90" s="834">
        <f t="shared" si="98"/>
        <v>-25.585999999999999</v>
      </c>
      <c r="AM90" s="834">
        <f t="shared" si="98"/>
        <v>-22.843</v>
      </c>
      <c r="AN90" s="834">
        <f t="shared" si="98"/>
        <v>-50.616</v>
      </c>
      <c r="AO90" s="834">
        <f t="shared" si="98"/>
        <v>-4.7</v>
      </c>
      <c r="AP90" s="834">
        <f t="shared" ref="AP90:AT90" si="99">-AP191</f>
        <v>-67.988</v>
      </c>
      <c r="AQ90" s="834">
        <f t="shared" si="99"/>
        <v>-54.88</v>
      </c>
      <c r="AR90" s="834">
        <f t="shared" si="99"/>
        <v>-2.4</v>
      </c>
      <c r="AS90" s="834">
        <f t="shared" si="99"/>
        <v>5.8019999999999996</v>
      </c>
      <c r="AT90" s="834">
        <f t="shared" si="99"/>
        <v>-55.509</v>
      </c>
      <c r="AU90" s="797"/>
      <c r="AV90" s="797"/>
      <c r="AW90" s="797"/>
      <c r="AX90" s="797"/>
      <c r="AY90" s="797"/>
      <c r="AZ90" s="797"/>
      <c r="BA90" s="797"/>
      <c r="BB90" s="797"/>
      <c r="BC90" s="797"/>
      <c r="BD90" s="797"/>
      <c r="BE90" s="797"/>
      <c r="BF90" s="797"/>
      <c r="BG90" s="797"/>
      <c r="BH90" s="797"/>
      <c r="BI90" s="797"/>
      <c r="BJ90" s="797"/>
      <c r="BK90" s="797"/>
      <c r="BL90" s="797"/>
      <c r="BM90" s="797"/>
      <c r="BN90" s="210"/>
    </row>
    <row r="91" spans="1:66">
      <c r="A91" s="1742"/>
      <c r="B91" s="819"/>
      <c r="C91" s="819"/>
      <c r="D91" s="819"/>
      <c r="E91" s="819"/>
      <c r="F91" s="819"/>
      <c r="G91" s="819"/>
      <c r="H91" s="819"/>
      <c r="I91" s="819"/>
      <c r="J91" s="819"/>
      <c r="K91" s="819"/>
      <c r="L91" s="819"/>
      <c r="M91" s="819"/>
      <c r="N91" s="819"/>
      <c r="O91" s="819"/>
      <c r="P91" s="819"/>
      <c r="Q91" s="819"/>
      <c r="R91" s="819"/>
      <c r="S91" s="819"/>
      <c r="T91" s="819"/>
      <c r="U91" s="819"/>
      <c r="V91" s="819"/>
      <c r="W91" s="819"/>
      <c r="X91" s="819"/>
      <c r="Y91" s="819"/>
      <c r="Z91" s="819"/>
      <c r="AA91" s="819"/>
      <c r="AB91" s="819"/>
      <c r="AC91" s="819"/>
      <c r="AD91" s="819"/>
      <c r="AE91" s="819"/>
      <c r="AF91" s="819"/>
      <c r="AG91" s="819"/>
      <c r="AH91" s="819"/>
      <c r="AI91" s="819"/>
      <c r="AJ91" s="819"/>
      <c r="AK91" s="819"/>
      <c r="AL91" s="797"/>
      <c r="AM91" s="797"/>
      <c r="AN91" s="797"/>
      <c r="AO91" s="797"/>
      <c r="AP91" s="797"/>
      <c r="AQ91" s="797"/>
      <c r="AR91" s="797"/>
      <c r="AS91" s="797"/>
      <c r="AT91" s="797"/>
      <c r="AU91" s="797"/>
      <c r="AV91" s="797"/>
      <c r="AW91" s="797"/>
      <c r="AX91" s="797"/>
      <c r="AY91" s="797"/>
      <c r="AZ91" s="797"/>
      <c r="BA91" s="797"/>
      <c r="BB91" s="797"/>
      <c r="BC91" s="797"/>
      <c r="BD91" s="797"/>
      <c r="BE91" s="797"/>
      <c r="BF91" s="797"/>
      <c r="BG91" s="797"/>
      <c r="BH91" s="797"/>
      <c r="BI91" s="797"/>
      <c r="BJ91" s="797"/>
      <c r="BK91" s="797"/>
      <c r="BL91" s="797"/>
      <c r="BM91" s="797"/>
      <c r="BN91" s="210"/>
    </row>
    <row r="92" spans="1:66">
      <c r="A92" s="1746" t="s">
        <v>1057</v>
      </c>
      <c r="B92" s="806" t="s">
        <v>578</v>
      </c>
      <c r="C92" s="806" t="s">
        <v>580</v>
      </c>
      <c r="D92" s="806" t="s">
        <v>581</v>
      </c>
      <c r="E92" s="806" t="s">
        <v>582</v>
      </c>
      <c r="F92" s="806" t="s">
        <v>583</v>
      </c>
      <c r="G92" s="806" t="s">
        <v>579</v>
      </c>
      <c r="H92" s="806" t="s">
        <v>584</v>
      </c>
      <c r="I92" s="806" t="s">
        <v>585</v>
      </c>
      <c r="J92" s="806" t="s">
        <v>586</v>
      </c>
      <c r="K92" s="806" t="s">
        <v>587</v>
      </c>
      <c r="L92" s="806" t="s">
        <v>588</v>
      </c>
      <c r="M92" s="806" t="s">
        <v>589</v>
      </c>
      <c r="N92" s="806" t="s">
        <v>590</v>
      </c>
      <c r="O92" s="806" t="s">
        <v>591</v>
      </c>
      <c r="P92" s="806" t="s">
        <v>592</v>
      </c>
      <c r="Q92" s="806" t="s">
        <v>593</v>
      </c>
      <c r="R92" s="806" t="s">
        <v>594</v>
      </c>
      <c r="S92" s="806" t="s">
        <v>595</v>
      </c>
      <c r="T92" s="806" t="s">
        <v>517</v>
      </c>
      <c r="U92" s="806" t="s">
        <v>518</v>
      </c>
      <c r="V92" s="806" t="s">
        <v>519</v>
      </c>
      <c r="W92" s="806" t="s">
        <v>520</v>
      </c>
      <c r="X92" s="806" t="s">
        <v>521</v>
      </c>
      <c r="Y92" s="806" t="s">
        <v>522</v>
      </c>
      <c r="Z92" s="806" t="s">
        <v>523</v>
      </c>
      <c r="AA92" s="806" t="s">
        <v>467</v>
      </c>
      <c r="AB92" s="806" t="s">
        <v>524</v>
      </c>
      <c r="AC92" s="806" t="s">
        <v>525</v>
      </c>
      <c r="AD92" s="806" t="s">
        <v>526</v>
      </c>
      <c r="AE92" s="806" t="s">
        <v>446</v>
      </c>
      <c r="AF92" s="806" t="s">
        <v>596</v>
      </c>
      <c r="AG92" s="806" t="s">
        <v>597</v>
      </c>
      <c r="AH92" s="806" t="s">
        <v>650</v>
      </c>
      <c r="AI92" s="806" t="s">
        <v>777</v>
      </c>
      <c r="AJ92" s="806" t="s">
        <v>778</v>
      </c>
      <c r="AK92" s="806" t="s">
        <v>779</v>
      </c>
      <c r="AL92" s="806" t="s">
        <v>780</v>
      </c>
      <c r="AM92" s="806" t="s">
        <v>781</v>
      </c>
      <c r="AN92" s="806" t="s">
        <v>782</v>
      </c>
      <c r="AO92" s="806" t="s">
        <v>783</v>
      </c>
      <c r="AP92" s="806" t="s">
        <v>785</v>
      </c>
      <c r="AQ92" s="806" t="s">
        <v>786</v>
      </c>
      <c r="AR92" s="806" t="s">
        <v>787</v>
      </c>
      <c r="AS92" s="806" t="s">
        <v>788</v>
      </c>
      <c r="AT92" s="806" t="s">
        <v>789</v>
      </c>
      <c r="AU92" s="52"/>
      <c r="AV92" s="52"/>
      <c r="AW92" s="52"/>
      <c r="AX92" s="52"/>
      <c r="AY92" s="52"/>
      <c r="AZ92" s="52"/>
      <c r="BA92" s="52"/>
      <c r="BB92" s="52"/>
      <c r="BC92" s="52"/>
      <c r="BD92" s="52"/>
      <c r="BE92" s="52"/>
      <c r="BF92" s="52"/>
      <c r="BG92" s="52"/>
      <c r="BH92" s="52"/>
      <c r="BI92" s="52"/>
      <c r="BJ92" s="52"/>
      <c r="BK92" s="52"/>
      <c r="BL92" s="52"/>
      <c r="BM92" s="52"/>
      <c r="BN92" s="52"/>
    </row>
    <row r="93" spans="1:66" hidden="1" outlineLevel="1">
      <c r="A93" s="1746"/>
      <c r="B93" s="806" t="s">
        <v>945</v>
      </c>
      <c r="C93" s="806" t="s">
        <v>954</v>
      </c>
      <c r="D93" s="806" t="s">
        <v>928</v>
      </c>
      <c r="E93" s="806" t="s">
        <v>937</v>
      </c>
      <c r="F93" s="806" t="s">
        <v>946</v>
      </c>
      <c r="G93" s="806" t="s">
        <v>955</v>
      </c>
      <c r="H93" s="806" t="s">
        <v>929</v>
      </c>
      <c r="I93" s="806" t="s">
        <v>938</v>
      </c>
      <c r="J93" s="806" t="s">
        <v>947</v>
      </c>
      <c r="K93" s="806" t="s">
        <v>956</v>
      </c>
      <c r="L93" s="806" t="s">
        <v>930</v>
      </c>
      <c r="M93" s="806" t="s">
        <v>939</v>
      </c>
      <c r="N93" s="806" t="s">
        <v>948</v>
      </c>
      <c r="O93" s="806" t="s">
        <v>957</v>
      </c>
      <c r="P93" s="806" t="s">
        <v>931</v>
      </c>
      <c r="Q93" s="806" t="s">
        <v>940</v>
      </c>
      <c r="R93" s="806" t="s">
        <v>949</v>
      </c>
      <c r="S93" s="806" t="s">
        <v>958</v>
      </c>
      <c r="T93" s="806" t="s">
        <v>932</v>
      </c>
      <c r="U93" s="806" t="s">
        <v>941</v>
      </c>
      <c r="V93" s="806" t="s">
        <v>950</v>
      </c>
      <c r="W93" s="806" t="s">
        <v>959</v>
      </c>
      <c r="X93" s="806" t="s">
        <v>933</v>
      </c>
      <c r="Y93" s="806" t="s">
        <v>942</v>
      </c>
      <c r="Z93" s="806" t="s">
        <v>951</v>
      </c>
      <c r="AA93" s="806" t="s">
        <v>960</v>
      </c>
      <c r="AB93" s="806" t="s">
        <v>934</v>
      </c>
      <c r="AC93" s="806" t="s">
        <v>943</v>
      </c>
      <c r="AD93" s="806" t="s">
        <v>952</v>
      </c>
      <c r="AE93" s="806" t="s">
        <v>961</v>
      </c>
      <c r="AF93" s="806" t="s">
        <v>935</v>
      </c>
      <c r="AG93" s="806" t="s">
        <v>944</v>
      </c>
      <c r="AH93" s="806" t="s">
        <v>953</v>
      </c>
      <c r="AI93" s="806" t="s">
        <v>962</v>
      </c>
      <c r="AJ93" s="806" t="s">
        <v>936</v>
      </c>
      <c r="AK93" s="806" t="s">
        <v>1189</v>
      </c>
      <c r="AL93" s="806" t="s">
        <v>1212</v>
      </c>
      <c r="AM93" s="806" t="s">
        <v>1213</v>
      </c>
      <c r="AN93" s="806" t="s">
        <v>1306</v>
      </c>
      <c r="AO93" s="806" t="s">
        <v>1313</v>
      </c>
      <c r="AP93" s="806" t="s">
        <v>1503</v>
      </c>
      <c r="AQ93" s="52"/>
      <c r="AR93" s="1401"/>
      <c r="AS93" s="52"/>
      <c r="AT93" s="52"/>
      <c r="AU93" s="52"/>
      <c r="AV93" s="52"/>
      <c r="AW93" s="52"/>
      <c r="AX93" s="52"/>
      <c r="AY93" s="52"/>
      <c r="AZ93" s="52"/>
      <c r="BA93" s="52"/>
      <c r="BB93" s="52"/>
      <c r="BC93" s="52"/>
      <c r="BD93" s="52"/>
      <c r="BE93" s="52"/>
      <c r="BF93" s="52"/>
      <c r="BG93" s="52"/>
      <c r="BH93" s="52"/>
      <c r="BI93" s="52"/>
      <c r="BJ93" s="52"/>
      <c r="BK93" s="52"/>
      <c r="BL93" s="52"/>
      <c r="BM93" s="52"/>
      <c r="BN93" s="52"/>
    </row>
    <row r="94" spans="1:66" collapsed="1">
      <c r="A94" s="1747" t="s">
        <v>1019</v>
      </c>
      <c r="B94" s="774"/>
      <c r="C94" s="774"/>
      <c r="D94" s="774"/>
      <c r="E94" s="774"/>
      <c r="F94" s="774"/>
      <c r="G94" s="774"/>
      <c r="H94" s="774"/>
      <c r="I94" s="774"/>
      <c r="J94" s="774"/>
      <c r="K94" s="774"/>
      <c r="L94" s="774"/>
      <c r="M94" s="774"/>
      <c r="N94" s="774"/>
      <c r="O94" s="774"/>
      <c r="P94" s="774"/>
      <c r="Q94" s="774"/>
      <c r="R94" s="774"/>
      <c r="S94" s="774"/>
      <c r="T94" s="774"/>
      <c r="U94" s="774"/>
      <c r="V94" s="774"/>
      <c r="W94" s="774"/>
      <c r="X94" s="774"/>
      <c r="Y94" s="774"/>
      <c r="Z94" s="774"/>
      <c r="AA94" s="774"/>
      <c r="AB94" s="774"/>
      <c r="AC94" s="774"/>
      <c r="AD94" s="774"/>
      <c r="AE94" s="774"/>
      <c r="AF94" s="774"/>
      <c r="AG94" s="774"/>
      <c r="AH94" s="1055"/>
      <c r="AI94" s="774"/>
      <c r="AJ94" s="774"/>
      <c r="AK94" s="774"/>
      <c r="AL94" s="1401"/>
      <c r="AM94" s="52"/>
      <c r="AN94" s="1401"/>
      <c r="AO94" s="1401"/>
      <c r="AP94" s="1401"/>
      <c r="AQ94" s="52"/>
      <c r="AR94" s="1401"/>
      <c r="AS94" s="52"/>
      <c r="AT94" s="52"/>
      <c r="AU94" s="52"/>
      <c r="AV94" s="52"/>
      <c r="AW94" s="52"/>
      <c r="AX94" s="52"/>
      <c r="AY94" s="52"/>
      <c r="AZ94" s="52"/>
      <c r="BA94" s="52"/>
      <c r="BB94" s="52"/>
      <c r="BC94" s="52"/>
      <c r="BD94" s="52"/>
      <c r="BE94" s="52"/>
      <c r="BF94" s="52"/>
      <c r="BG94" s="52"/>
      <c r="BH94" s="52"/>
      <c r="BI94" s="52"/>
      <c r="BJ94" s="52"/>
      <c r="BK94" s="52"/>
      <c r="BL94" s="52"/>
      <c r="BM94" s="52"/>
      <c r="BN94" s="52"/>
    </row>
    <row r="95" spans="1:66">
      <c r="A95" s="1748" t="s">
        <v>54</v>
      </c>
      <c r="B95" s="772" t="s">
        <v>972</v>
      </c>
      <c r="C95" s="772" t="s">
        <v>972</v>
      </c>
      <c r="D95" s="772" t="s">
        <v>972</v>
      </c>
      <c r="E95" s="772" t="s">
        <v>972</v>
      </c>
      <c r="F95" s="772" t="s">
        <v>972</v>
      </c>
      <c r="G95" s="772" t="s">
        <v>972</v>
      </c>
      <c r="H95" s="772" t="s">
        <v>972</v>
      </c>
      <c r="I95" s="772" t="s">
        <v>972</v>
      </c>
      <c r="J95" s="772" t="s">
        <v>972</v>
      </c>
      <c r="K95" s="772" t="s">
        <v>972</v>
      </c>
      <c r="L95" s="772" t="s">
        <v>972</v>
      </c>
      <c r="M95" s="772" t="s">
        <v>972</v>
      </c>
      <c r="N95" s="772">
        <v>-54.615000000000002</v>
      </c>
      <c r="O95" s="772">
        <v>-71.576999999999998</v>
      </c>
      <c r="P95" s="772">
        <v>-63.481999999999999</v>
      </c>
      <c r="Q95" s="772">
        <v>-75.573999999999998</v>
      </c>
      <c r="R95" s="772">
        <v>-59.107999999999997</v>
      </c>
      <c r="S95" s="772">
        <v>-76.495000000000005</v>
      </c>
      <c r="T95" s="772">
        <v>-72.418999999999997</v>
      </c>
      <c r="U95" s="772">
        <f>-256.968-T95-S95-R95</f>
        <v>-48.946000000000033</v>
      </c>
      <c r="V95" s="772">
        <v>-86.31</v>
      </c>
      <c r="W95" s="772">
        <v>-200.98599999999999</v>
      </c>
      <c r="X95" s="772">
        <v>-74.040999999999997</v>
      </c>
      <c r="Y95" s="772">
        <v>-51.195999999999998</v>
      </c>
      <c r="Z95" s="772">
        <v>-55.466999999999999</v>
      </c>
      <c r="AA95" s="772">
        <v>-167.74199999999999</v>
      </c>
      <c r="AB95" s="772">
        <v>-63.805</v>
      </c>
      <c r="AC95" s="772">
        <v>-105.16200000000001</v>
      </c>
      <c r="AD95" s="772">
        <v>-97.159000000000006</v>
      </c>
      <c r="AE95" s="772">
        <v>-131.19499999999999</v>
      </c>
      <c r="AF95" s="772">
        <v>-80.103999999999999</v>
      </c>
      <c r="AG95" s="772">
        <v>-105.554</v>
      </c>
      <c r="AH95" s="772">
        <v>-103.88500000000001</v>
      </c>
      <c r="AI95" s="772">
        <v>-110.316</v>
      </c>
      <c r="AJ95" s="772">
        <v>-118.598</v>
      </c>
      <c r="AK95" s="772">
        <v>-134.99100000000001</v>
      </c>
      <c r="AL95" s="772">
        <v>-92.421000000000006</v>
      </c>
      <c r="AM95" s="772">
        <v>-122.553</v>
      </c>
      <c r="AN95" s="772">
        <v>-172.715</v>
      </c>
      <c r="AO95" s="1579">
        <f>-598.045-SUM(AL95:AN95)</f>
        <v>-210.35599999999999</v>
      </c>
      <c r="AP95" s="772">
        <v>-154.67599999999999</v>
      </c>
      <c r="AQ95" s="772">
        <v>-162.12200000000001</v>
      </c>
      <c r="AR95" s="883">
        <v>-163.095</v>
      </c>
      <c r="AS95" s="883">
        <f>-703.122-SUM(AP95:AR95)</f>
        <v>-223.22899999999993</v>
      </c>
      <c r="AT95" s="883">
        <v>-163.06299999999999</v>
      </c>
      <c r="AU95" s="52"/>
      <c r="AV95" s="52"/>
      <c r="AW95" s="52"/>
      <c r="AX95" s="52"/>
      <c r="AY95" s="52"/>
      <c r="AZ95" s="52"/>
      <c r="BA95" s="52"/>
      <c r="BB95" s="52"/>
      <c r="BC95" s="52"/>
      <c r="BD95" s="52"/>
      <c r="BE95" s="52"/>
      <c r="BF95" s="52"/>
      <c r="BG95" s="52"/>
      <c r="BH95" s="52"/>
      <c r="BI95" s="52"/>
      <c r="BJ95" s="52"/>
      <c r="BK95" s="52"/>
      <c r="BL95" s="52"/>
      <c r="BM95" s="52"/>
      <c r="BN95" s="52"/>
    </row>
    <row r="96" spans="1:66">
      <c r="A96" s="1748" t="s">
        <v>42</v>
      </c>
      <c r="B96" s="772" t="s">
        <v>972</v>
      </c>
      <c r="C96" s="772" t="s">
        <v>972</v>
      </c>
      <c r="D96" s="772" t="s">
        <v>972</v>
      </c>
      <c r="E96" s="772" t="s">
        <v>972</v>
      </c>
      <c r="F96" s="772" t="s">
        <v>972</v>
      </c>
      <c r="G96" s="772" t="s">
        <v>972</v>
      </c>
      <c r="H96" s="772" t="s">
        <v>972</v>
      </c>
      <c r="I96" s="772" t="s">
        <v>972</v>
      </c>
      <c r="J96" s="772" t="s">
        <v>972</v>
      </c>
      <c r="K96" s="772" t="s">
        <v>972</v>
      </c>
      <c r="L96" s="772" t="s">
        <v>972</v>
      </c>
      <c r="M96" s="772" t="s">
        <v>972</v>
      </c>
      <c r="N96" s="772">
        <v>-65.554000000000002</v>
      </c>
      <c r="O96" s="772">
        <v>-82.94</v>
      </c>
      <c r="P96" s="772">
        <v>-93.656999999999996</v>
      </c>
      <c r="Q96" s="772">
        <v>-88.091999999999999</v>
      </c>
      <c r="R96" s="772">
        <v>-41.170999999999999</v>
      </c>
      <c r="S96" s="772">
        <v>-43.973999999999997</v>
      </c>
      <c r="T96" s="772">
        <v>-71.762</v>
      </c>
      <c r="U96" s="772">
        <f>-227.815-T96-S96-R96</f>
        <v>-70.908000000000015</v>
      </c>
      <c r="V96" s="772">
        <v>-43.951000000000001</v>
      </c>
      <c r="W96" s="772">
        <v>-91.722999999999999</v>
      </c>
      <c r="X96" s="772">
        <v>-96.507000000000005</v>
      </c>
      <c r="Y96" s="772">
        <v>-92.588999999999999</v>
      </c>
      <c r="Z96" s="772">
        <v>-63.5</v>
      </c>
      <c r="AA96" s="772">
        <v>-58.738</v>
      </c>
      <c r="AB96" s="772">
        <v>-103.274</v>
      </c>
      <c r="AC96" s="772">
        <v>-86.432000000000002</v>
      </c>
      <c r="AD96" s="772">
        <v>-101.105</v>
      </c>
      <c r="AE96" s="772">
        <v>-112.58199999999999</v>
      </c>
      <c r="AF96" s="772">
        <v>-91.536000000000001</v>
      </c>
      <c r="AG96" s="772">
        <v>-127.887</v>
      </c>
      <c r="AH96" s="772">
        <v>-117.461</v>
      </c>
      <c r="AI96" s="772">
        <v>-81.956000000000003</v>
      </c>
      <c r="AJ96" s="772">
        <v>-99.590999999999994</v>
      </c>
      <c r="AK96" s="772">
        <v>-185.74199999999999</v>
      </c>
      <c r="AL96" s="772">
        <v>-91.912000000000006</v>
      </c>
      <c r="AM96" s="772">
        <v>-146.42099999999999</v>
      </c>
      <c r="AN96" s="772">
        <v>-173.45400000000001</v>
      </c>
      <c r="AO96" s="1579">
        <f>-597.029-SUM(AL96:AN96)</f>
        <v>-185.24199999999996</v>
      </c>
      <c r="AP96" s="772">
        <v>-111.95099999999999</v>
      </c>
      <c r="AQ96" s="772">
        <v>-152.291</v>
      </c>
      <c r="AR96" s="883">
        <v>-158.892</v>
      </c>
      <c r="AS96" s="883">
        <f>-602.211-26.87-SUM(AP96:AR96)</f>
        <v>-205.94700000000006</v>
      </c>
      <c r="AT96" s="883">
        <v>-130.34899999999999</v>
      </c>
      <c r="AU96" s="52"/>
      <c r="AV96" s="52"/>
      <c r="AW96" s="52"/>
      <c r="AX96" s="52"/>
      <c r="AY96" s="52"/>
      <c r="AZ96" s="52"/>
      <c r="BA96" s="52"/>
      <c r="BB96" s="52"/>
      <c r="BC96" s="52"/>
      <c r="BD96" s="52"/>
      <c r="BE96" s="52"/>
      <c r="BF96" s="52"/>
      <c r="BG96" s="52"/>
      <c r="BH96" s="52"/>
      <c r="BI96" s="52"/>
      <c r="BJ96" s="52"/>
      <c r="BK96" s="52"/>
      <c r="BL96" s="52"/>
      <c r="BM96" s="52"/>
      <c r="BN96" s="52"/>
    </row>
    <row r="97" spans="1:66">
      <c r="A97" s="1748" t="s">
        <v>46</v>
      </c>
      <c r="B97" s="772" t="s">
        <v>972</v>
      </c>
      <c r="C97" s="772" t="s">
        <v>972</v>
      </c>
      <c r="D97" s="772" t="s">
        <v>972</v>
      </c>
      <c r="E97" s="772" t="s">
        <v>972</v>
      </c>
      <c r="F97" s="772" t="s">
        <v>972</v>
      </c>
      <c r="G97" s="772" t="s">
        <v>972</v>
      </c>
      <c r="H97" s="772" t="s">
        <v>972</v>
      </c>
      <c r="I97" s="772" t="s">
        <v>972</v>
      </c>
      <c r="J97" s="772" t="s">
        <v>972</v>
      </c>
      <c r="K97" s="772" t="s">
        <v>972</v>
      </c>
      <c r="L97" s="772" t="s">
        <v>972</v>
      </c>
      <c r="M97" s="772" t="s">
        <v>972</v>
      </c>
      <c r="N97" s="772">
        <v>-18.28</v>
      </c>
      <c r="O97" s="772">
        <v>-13.878</v>
      </c>
      <c r="P97" s="772">
        <v>-15.010999999999999</v>
      </c>
      <c r="Q97" s="772">
        <v>-10.590999999999999</v>
      </c>
      <c r="R97" s="772">
        <v>-12.718999999999999</v>
      </c>
      <c r="S97" s="772">
        <v>-16.795999999999999</v>
      </c>
      <c r="T97" s="772">
        <v>-13.805999999999999</v>
      </c>
      <c r="U97" s="772">
        <f>-49.156-T97-S97-R97</f>
        <v>-5.8350000000000026</v>
      </c>
      <c r="V97" s="772">
        <v>-19.969000000000001</v>
      </c>
      <c r="W97" s="772">
        <v>-43.874000000000002</v>
      </c>
      <c r="X97" s="772">
        <v>-15.728</v>
      </c>
      <c r="Y97" s="772">
        <v>-9.5939999999999994</v>
      </c>
      <c r="Z97" s="772">
        <v>-27.489000000000001</v>
      </c>
      <c r="AA97" s="772">
        <v>-20.98</v>
      </c>
      <c r="AB97" s="772">
        <v>-24.306000000000001</v>
      </c>
      <c r="AC97" s="772">
        <v>-18.277000000000001</v>
      </c>
      <c r="AD97" s="772">
        <v>-30.859000000000002</v>
      </c>
      <c r="AE97" s="772">
        <v>-64.247</v>
      </c>
      <c r="AF97" s="772">
        <v>-42.972999999999999</v>
      </c>
      <c r="AG97" s="772">
        <v>-11.502000000000001</v>
      </c>
      <c r="AH97" s="772">
        <v>-11.403</v>
      </c>
      <c r="AI97" s="772">
        <v>-23.86</v>
      </c>
      <c r="AJ97" s="772">
        <v>-24.872</v>
      </c>
      <c r="AK97" s="1579">
        <f>-70.711-SUM(AH97:AJ97)</f>
        <v>-10.576000000000001</v>
      </c>
      <c r="AL97" s="1579">
        <f>-207.664-SUM(AL95:AL96)</f>
        <v>-23.33099999999996</v>
      </c>
      <c r="AM97" s="1579">
        <f>-18.006-0.71-11.19</f>
        <v>-29.905999999999999</v>
      </c>
      <c r="AN97" s="1579">
        <f>-373.424-AN96-AN95</f>
        <v>-27.254999999999967</v>
      </c>
      <c r="AO97" s="1579">
        <f>-44.832-6.581-35.301-SUM(AL97:AN97)</f>
        <v>-6.2220000000000653</v>
      </c>
      <c r="AP97" s="1579">
        <f>-26.785-7.29-0.285-7.45</f>
        <v>-41.81</v>
      </c>
      <c r="AQ97" s="772">
        <f>-6.503-2.957-14.748</f>
        <v>-24.207999999999998</v>
      </c>
      <c r="AR97" s="883">
        <v>-15.716999999999999</v>
      </c>
      <c r="AS97" s="883">
        <f>-(46.043+3.473+41.549)-SUM(AP97:AR97)</f>
        <v>-9.3299999999999983</v>
      </c>
      <c r="AT97" s="883">
        <f>-7.289-0.285-7.452</f>
        <v>-15.026</v>
      </c>
      <c r="AU97" s="52"/>
      <c r="AV97" s="52"/>
      <c r="AW97" s="52"/>
      <c r="AX97" s="52"/>
      <c r="AY97" s="52"/>
      <c r="AZ97" s="52"/>
      <c r="BA97" s="52"/>
      <c r="BB97" s="52"/>
      <c r="BC97" s="52"/>
      <c r="BD97" s="52"/>
      <c r="BE97" s="52"/>
      <c r="BF97" s="52"/>
      <c r="BG97" s="52"/>
      <c r="BH97" s="52"/>
      <c r="BI97" s="52"/>
      <c r="BJ97" s="52"/>
      <c r="BK97" s="52"/>
      <c r="BL97" s="52"/>
      <c r="BM97" s="52"/>
      <c r="BN97" s="52"/>
    </row>
    <row r="98" spans="1:66">
      <c r="A98" s="1749"/>
      <c r="B98" s="772"/>
      <c r="C98" s="772"/>
      <c r="D98" s="772"/>
      <c r="E98" s="772"/>
      <c r="F98" s="772"/>
      <c r="G98" s="772"/>
      <c r="H98" s="772"/>
      <c r="I98" s="772"/>
      <c r="J98" s="772"/>
      <c r="K98" s="772"/>
      <c r="L98" s="772"/>
      <c r="M98" s="772"/>
      <c r="N98" s="772"/>
      <c r="O98" s="772"/>
      <c r="P98" s="772"/>
      <c r="Q98" s="772"/>
      <c r="R98" s="772"/>
      <c r="S98" s="772"/>
      <c r="T98" s="772"/>
      <c r="U98" s="772"/>
      <c r="V98" s="772"/>
      <c r="W98" s="772"/>
      <c r="X98" s="772"/>
      <c r="Y98" s="772"/>
      <c r="Z98" s="772"/>
      <c r="AA98" s="772"/>
      <c r="AB98" s="772"/>
      <c r="AC98" s="772"/>
      <c r="AD98" s="772"/>
      <c r="AE98" s="772"/>
      <c r="AF98" s="772"/>
      <c r="AG98" s="772"/>
      <c r="AH98" s="1429"/>
      <c r="AI98" s="1055"/>
      <c r="AJ98" s="1055"/>
      <c r="AK98" s="772"/>
      <c r="AL98" s="1401"/>
      <c r="AM98" s="52"/>
      <c r="AN98" s="1401"/>
      <c r="AO98" s="1401"/>
      <c r="AP98" s="1401"/>
      <c r="AQ98" s="52"/>
      <c r="AR98" s="1401"/>
      <c r="AS98" s="52"/>
      <c r="AT98" s="52"/>
      <c r="AU98" s="52"/>
      <c r="AV98" s="52"/>
      <c r="AW98" s="52"/>
      <c r="AX98" s="52"/>
      <c r="AY98" s="52"/>
      <c r="AZ98" s="52"/>
      <c r="BA98" s="52"/>
      <c r="BB98" s="52"/>
      <c r="BC98" s="52"/>
      <c r="BD98" s="52"/>
      <c r="BE98" s="52"/>
      <c r="BF98" s="52"/>
      <c r="BG98" s="52"/>
      <c r="BH98" s="52"/>
      <c r="BI98" s="52"/>
      <c r="BJ98" s="52"/>
      <c r="BK98" s="52"/>
      <c r="BL98" s="52"/>
      <c r="BM98" s="52"/>
      <c r="BN98" s="52"/>
    </row>
    <row r="99" spans="1:66" hidden="1" outlineLevel="1">
      <c r="A99" s="1746" t="s">
        <v>1059</v>
      </c>
      <c r="B99" s="774">
        <f t="shared" ref="B99:AG99" si="100">SUM(B100:B102)</f>
        <v>0</v>
      </c>
      <c r="C99" s="774">
        <f t="shared" si="100"/>
        <v>0</v>
      </c>
      <c r="D99" s="774">
        <f t="shared" si="100"/>
        <v>0</v>
      </c>
      <c r="E99" s="774">
        <f t="shared" si="100"/>
        <v>0</v>
      </c>
      <c r="F99" s="774">
        <f t="shared" si="100"/>
        <v>0</v>
      </c>
      <c r="G99" s="774">
        <f t="shared" si="100"/>
        <v>0</v>
      </c>
      <c r="H99" s="774">
        <f t="shared" si="100"/>
        <v>0</v>
      </c>
      <c r="I99" s="774">
        <f t="shared" si="100"/>
        <v>0</v>
      </c>
      <c r="J99" s="774">
        <f t="shared" si="100"/>
        <v>0</v>
      </c>
      <c r="K99" s="774">
        <f t="shared" si="100"/>
        <v>0</v>
      </c>
      <c r="L99" s="774">
        <f t="shared" si="100"/>
        <v>0</v>
      </c>
      <c r="M99" s="774">
        <f t="shared" si="100"/>
        <v>0</v>
      </c>
      <c r="N99" s="774">
        <f t="shared" si="100"/>
        <v>-14.476000000000001</v>
      </c>
      <c r="O99" s="774">
        <f t="shared" si="100"/>
        <v>-33.96</v>
      </c>
      <c r="P99" s="774">
        <f t="shared" si="100"/>
        <v>-47.155000000000001</v>
      </c>
      <c r="Q99" s="774">
        <f t="shared" si="100"/>
        <v>-61.453999999999994</v>
      </c>
      <c r="R99" s="774">
        <f t="shared" si="100"/>
        <v>-14.308</v>
      </c>
      <c r="S99" s="774">
        <f t="shared" si="100"/>
        <v>-32.753999999999998</v>
      </c>
      <c r="T99" s="774">
        <f t="shared" si="100"/>
        <v>-50.826999999999998</v>
      </c>
      <c r="U99" s="774">
        <f t="shared" si="100"/>
        <v>-58.205000000000005</v>
      </c>
      <c r="V99" s="774">
        <f t="shared" si="100"/>
        <v>-13.406000000000001</v>
      </c>
      <c r="W99" s="774">
        <f t="shared" si="100"/>
        <v>-32.118000000000002</v>
      </c>
      <c r="X99" s="774">
        <f t="shared" si="100"/>
        <v>-46.236000000000004</v>
      </c>
      <c r="Y99" s="774">
        <f t="shared" si="100"/>
        <v>-53.747999999999998</v>
      </c>
      <c r="Z99" s="774">
        <f t="shared" si="100"/>
        <v>-8.979000000000001</v>
      </c>
      <c r="AA99" s="774">
        <f t="shared" si="100"/>
        <v>-37.171999999999997</v>
      </c>
      <c r="AB99" s="774">
        <f t="shared" si="100"/>
        <v>-54.517000000000003</v>
      </c>
      <c r="AC99" s="774">
        <f t="shared" si="100"/>
        <v>-72.465999999999994</v>
      </c>
      <c r="AD99" s="774">
        <f t="shared" si="100"/>
        <v>-22.881999999999998</v>
      </c>
      <c r="AE99" s="774">
        <f t="shared" si="100"/>
        <v>-56.106999999999999</v>
      </c>
      <c r="AF99" s="774">
        <f t="shared" si="100"/>
        <v>-73.584999999999994</v>
      </c>
      <c r="AG99" s="774">
        <f t="shared" si="100"/>
        <v>-90.328999999999994</v>
      </c>
      <c r="AH99" s="1055"/>
      <c r="AI99" s="774"/>
      <c r="AJ99" s="774"/>
      <c r="AK99" s="774"/>
      <c r="AL99" s="1401"/>
      <c r="AM99" s="52"/>
      <c r="AN99" s="1401"/>
      <c r="AO99" s="1401"/>
      <c r="AP99" s="1401"/>
      <c r="AQ99" s="52"/>
      <c r="AR99" s="1401"/>
      <c r="AS99" s="52"/>
      <c r="AT99" s="52"/>
      <c r="AU99" s="52"/>
      <c r="AV99" s="52"/>
      <c r="AW99" s="52"/>
      <c r="AX99" s="52"/>
      <c r="AY99" s="52"/>
      <c r="AZ99" s="52"/>
      <c r="BA99" s="52"/>
      <c r="BB99" s="52"/>
      <c r="BC99" s="52"/>
      <c r="BD99" s="52"/>
      <c r="BE99" s="52"/>
      <c r="BF99" s="52"/>
      <c r="BG99" s="52"/>
      <c r="BH99" s="52"/>
      <c r="BI99" s="52"/>
      <c r="BJ99" s="52"/>
      <c r="BK99" s="52"/>
      <c r="BL99" s="52"/>
      <c r="BM99" s="52"/>
      <c r="BN99" s="52"/>
    </row>
    <row r="100" spans="1:66" hidden="1" outlineLevel="1">
      <c r="A100" s="1749" t="s">
        <v>1060</v>
      </c>
      <c r="B100" s="772" t="s">
        <v>972</v>
      </c>
      <c r="C100" s="772" t="s">
        <v>972</v>
      </c>
      <c r="D100" s="772" t="s">
        <v>972</v>
      </c>
      <c r="E100" s="772" t="s">
        <v>972</v>
      </c>
      <c r="F100" s="772" t="s">
        <v>972</v>
      </c>
      <c r="G100" s="772" t="s">
        <v>972</v>
      </c>
      <c r="H100" s="772" t="s">
        <v>972</v>
      </c>
      <c r="I100" s="772" t="s">
        <v>972</v>
      </c>
      <c r="J100" s="772" t="s">
        <v>972</v>
      </c>
      <c r="K100" s="772" t="s">
        <v>972</v>
      </c>
      <c r="L100" s="772" t="s">
        <v>972</v>
      </c>
      <c r="M100" s="772" t="s">
        <v>972</v>
      </c>
      <c r="N100" s="772">
        <v>-10.462999999999999</v>
      </c>
      <c r="O100" s="772">
        <v>-23.298999999999999</v>
      </c>
      <c r="P100" s="772">
        <v>-33.72</v>
      </c>
      <c r="Q100" s="772">
        <v>-46.046999999999997</v>
      </c>
      <c r="R100" s="772">
        <v>-11.446</v>
      </c>
      <c r="S100" s="772">
        <v>-26.905999999999999</v>
      </c>
      <c r="T100" s="772">
        <v>-41.826000000000001</v>
      </c>
      <c r="U100" s="772">
        <v>-47.274000000000001</v>
      </c>
      <c r="V100" s="772">
        <v>-12.076000000000001</v>
      </c>
      <c r="W100" s="772">
        <v>-28.544</v>
      </c>
      <c r="X100" s="772">
        <v>-39.185000000000002</v>
      </c>
      <c r="Y100" s="772">
        <v>-43.994999999999997</v>
      </c>
      <c r="Z100" s="772">
        <v>-7.008</v>
      </c>
      <c r="AA100" s="772">
        <v>-32.655000000000001</v>
      </c>
      <c r="AB100" s="772">
        <v>-43.093000000000004</v>
      </c>
      <c r="AC100" s="772">
        <v>-57.265000000000001</v>
      </c>
      <c r="AD100" s="772">
        <v>-15.343</v>
      </c>
      <c r="AE100" s="772">
        <v>-36.470999999999997</v>
      </c>
      <c r="AF100" s="772">
        <v>-48.981999999999999</v>
      </c>
      <c r="AG100" s="772">
        <v>-62.015000000000001</v>
      </c>
      <c r="AH100" s="772"/>
      <c r="AI100" s="772"/>
      <c r="AJ100" s="772"/>
      <c r="AK100" s="772"/>
      <c r="AL100" s="1401"/>
      <c r="AM100" s="52"/>
      <c r="AN100" s="1401"/>
      <c r="AO100" s="1401"/>
      <c r="AP100" s="1401"/>
      <c r="AQ100" s="52"/>
      <c r="AR100" s="1401"/>
      <c r="AS100" s="52"/>
      <c r="AT100" s="52"/>
      <c r="AU100" s="52"/>
      <c r="AV100" s="52"/>
      <c r="AW100" s="52"/>
      <c r="AX100" s="52"/>
      <c r="AY100" s="52"/>
      <c r="AZ100" s="52"/>
      <c r="BA100" s="52"/>
      <c r="BB100" s="52"/>
      <c r="BC100" s="52"/>
      <c r="BD100" s="52"/>
      <c r="BE100" s="52"/>
      <c r="BF100" s="52"/>
      <c r="BG100" s="52"/>
      <c r="BH100" s="52"/>
      <c r="BI100" s="52"/>
      <c r="BJ100" s="52"/>
      <c r="BK100" s="52"/>
      <c r="BL100" s="52"/>
      <c r="BM100" s="52"/>
      <c r="BN100" s="52"/>
    </row>
    <row r="101" spans="1:66" hidden="1" outlineLevel="1">
      <c r="A101" s="1749" t="s">
        <v>1061</v>
      </c>
      <c r="B101" s="772" t="s">
        <v>972</v>
      </c>
      <c r="C101" s="772" t="s">
        <v>972</v>
      </c>
      <c r="D101" s="772" t="s">
        <v>972</v>
      </c>
      <c r="E101" s="772" t="s">
        <v>972</v>
      </c>
      <c r="F101" s="772" t="s">
        <v>972</v>
      </c>
      <c r="G101" s="772" t="s">
        <v>972</v>
      </c>
      <c r="H101" s="772" t="s">
        <v>972</v>
      </c>
      <c r="I101" s="772" t="s">
        <v>972</v>
      </c>
      <c r="J101" s="772" t="s">
        <v>972</v>
      </c>
      <c r="K101" s="772" t="s">
        <v>972</v>
      </c>
      <c r="L101" s="772" t="s">
        <v>972</v>
      </c>
      <c r="M101" s="772" t="s">
        <v>972</v>
      </c>
      <c r="N101" s="772">
        <v>-3.976</v>
      </c>
      <c r="O101" s="772">
        <v>-10.529</v>
      </c>
      <c r="P101" s="772">
        <v>-13.173999999999999</v>
      </c>
      <c r="Q101" s="772">
        <v>-15.086</v>
      </c>
      <c r="R101" s="772">
        <v>-2.7810000000000001</v>
      </c>
      <c r="S101" s="772">
        <v>-5.7439999999999998</v>
      </c>
      <c r="T101" s="772">
        <v>-8.8940000000000001</v>
      </c>
      <c r="U101" s="772">
        <v>-10.776999999999999</v>
      </c>
      <c r="V101" s="772">
        <v>-0.83599999999999997</v>
      </c>
      <c r="W101" s="772">
        <v>-2.3319999999999999</v>
      </c>
      <c r="X101" s="772">
        <v>-4.8360000000000003</v>
      </c>
      <c r="Y101" s="772">
        <v>-6.73</v>
      </c>
      <c r="Z101" s="772">
        <v>-1.19</v>
      </c>
      <c r="AA101" s="772">
        <v>-2.9220000000000002</v>
      </c>
      <c r="AB101" s="772">
        <v>-9.0239999999999991</v>
      </c>
      <c r="AC101" s="772">
        <v>-11.923999999999999</v>
      </c>
      <c r="AD101" s="772">
        <v>-6.6150000000000002</v>
      </c>
      <c r="AE101" s="772">
        <v>-17.788</v>
      </c>
      <c r="AF101" s="772">
        <v>-21.771999999999998</v>
      </c>
      <c r="AG101" s="772">
        <v>-22.943000000000001</v>
      </c>
      <c r="AH101" s="772"/>
      <c r="AI101" s="772"/>
      <c r="AJ101" s="772"/>
      <c r="AK101" s="772"/>
      <c r="AL101" s="1401"/>
      <c r="AM101" s="52"/>
      <c r="AN101" s="1401"/>
      <c r="AO101" s="1401"/>
      <c r="AP101" s="1401"/>
      <c r="AQ101" s="52"/>
      <c r="AR101" s="1401"/>
      <c r="AS101" s="52"/>
      <c r="AT101" s="52"/>
      <c r="AU101" s="52"/>
      <c r="AV101" s="52"/>
      <c r="AW101" s="52"/>
      <c r="AX101" s="52"/>
      <c r="AY101" s="52"/>
      <c r="AZ101" s="52"/>
      <c r="BA101" s="52"/>
      <c r="BB101" s="52"/>
      <c r="BC101" s="52"/>
      <c r="BD101" s="52"/>
      <c r="BE101" s="52"/>
      <c r="BF101" s="52"/>
      <c r="BG101" s="52"/>
      <c r="BH101" s="52"/>
      <c r="BI101" s="52"/>
      <c r="BJ101" s="52"/>
      <c r="BK101" s="52"/>
      <c r="BL101" s="52"/>
      <c r="BM101" s="52"/>
      <c r="BN101" s="52"/>
    </row>
    <row r="102" spans="1:66" hidden="1" outlineLevel="1">
      <c r="A102" s="1749" t="s">
        <v>1062</v>
      </c>
      <c r="B102" s="772" t="s">
        <v>972</v>
      </c>
      <c r="C102" s="772" t="s">
        <v>972</v>
      </c>
      <c r="D102" s="772" t="s">
        <v>972</v>
      </c>
      <c r="E102" s="772" t="s">
        <v>972</v>
      </c>
      <c r="F102" s="772" t="s">
        <v>972</v>
      </c>
      <c r="G102" s="772" t="s">
        <v>972</v>
      </c>
      <c r="H102" s="772" t="s">
        <v>972</v>
      </c>
      <c r="I102" s="772" t="s">
        <v>972</v>
      </c>
      <c r="J102" s="772" t="s">
        <v>972</v>
      </c>
      <c r="K102" s="772" t="s">
        <v>972</v>
      </c>
      <c r="L102" s="772" t="s">
        <v>972</v>
      </c>
      <c r="M102" s="772" t="s">
        <v>972</v>
      </c>
      <c r="N102" s="772">
        <v>-3.6999999999999998E-2</v>
      </c>
      <c r="O102" s="772">
        <v>-0.13200000000000001</v>
      </c>
      <c r="P102" s="772">
        <v>-0.26100000000000001</v>
      </c>
      <c r="Q102" s="772">
        <v>-0.32100000000000001</v>
      </c>
      <c r="R102" s="772">
        <v>-8.1000000000000003E-2</v>
      </c>
      <c r="S102" s="772">
        <v>-0.104</v>
      </c>
      <c r="T102" s="772">
        <v>-0.107</v>
      </c>
      <c r="U102" s="772">
        <v>-0.154</v>
      </c>
      <c r="V102" s="772">
        <v>-0.49399999999999999</v>
      </c>
      <c r="W102" s="772">
        <v>-1.242</v>
      </c>
      <c r="X102" s="772">
        <v>-2.2149999999999999</v>
      </c>
      <c r="Y102" s="772">
        <v>-3.0230000000000001</v>
      </c>
      <c r="Z102" s="772">
        <v>-0.78100000000000003</v>
      </c>
      <c r="AA102" s="772">
        <v>-1.595</v>
      </c>
      <c r="AB102" s="772">
        <v>-2.4</v>
      </c>
      <c r="AC102" s="772">
        <v>-3.2770000000000001</v>
      </c>
      <c r="AD102" s="772">
        <v>-0.92400000000000004</v>
      </c>
      <c r="AE102" s="772">
        <v>-1.8480000000000001</v>
      </c>
      <c r="AF102" s="772">
        <v>-2.831</v>
      </c>
      <c r="AG102" s="772">
        <v>-5.3710000000000004</v>
      </c>
      <c r="AH102" s="1055"/>
      <c r="AI102" s="1055"/>
      <c r="AJ102" s="1055"/>
      <c r="AK102" s="772"/>
      <c r="AL102" s="1401"/>
      <c r="AM102" s="52"/>
      <c r="AN102" s="1401"/>
      <c r="AO102" s="1401"/>
      <c r="AP102" s="1401"/>
      <c r="AQ102" s="52"/>
      <c r="AR102" s="1401"/>
      <c r="AS102" s="52"/>
      <c r="AT102" s="52"/>
      <c r="AU102" s="52"/>
      <c r="AV102" s="52"/>
      <c r="AW102" s="52"/>
      <c r="AX102" s="52"/>
      <c r="AY102" s="52"/>
      <c r="AZ102" s="52"/>
      <c r="BA102" s="52"/>
      <c r="BB102" s="52"/>
      <c r="BC102" s="52"/>
      <c r="BD102" s="52"/>
      <c r="BE102" s="52"/>
      <c r="BF102" s="52"/>
      <c r="BG102" s="52"/>
      <c r="BH102" s="52"/>
      <c r="BI102" s="52"/>
      <c r="BJ102" s="52"/>
      <c r="BK102" s="52"/>
      <c r="BL102" s="52"/>
      <c r="BM102" s="52"/>
      <c r="BN102" s="52"/>
    </row>
    <row r="103" spans="1:66" hidden="1" outlineLevel="1">
      <c r="A103" s="1749"/>
      <c r="B103" s="772"/>
      <c r="C103" s="772"/>
      <c r="D103" s="772"/>
      <c r="E103" s="772"/>
      <c r="F103" s="772"/>
      <c r="G103" s="772"/>
      <c r="H103" s="772"/>
      <c r="I103" s="772"/>
      <c r="J103" s="772"/>
      <c r="K103" s="772"/>
      <c r="L103" s="772"/>
      <c r="M103" s="772"/>
      <c r="N103" s="772"/>
      <c r="O103" s="772"/>
      <c r="P103" s="772"/>
      <c r="Q103" s="772"/>
      <c r="R103" s="772"/>
      <c r="S103" s="772"/>
      <c r="T103" s="772"/>
      <c r="U103" s="772"/>
      <c r="V103" s="772"/>
      <c r="W103" s="772"/>
      <c r="X103" s="772"/>
      <c r="Y103" s="772"/>
      <c r="Z103" s="772"/>
      <c r="AA103" s="772"/>
      <c r="AB103" s="772"/>
      <c r="AC103" s="772"/>
      <c r="AD103" s="772"/>
      <c r="AE103" s="772"/>
      <c r="AF103" s="772"/>
      <c r="AG103" s="772"/>
      <c r="AH103" s="1055"/>
      <c r="AI103" s="1055"/>
      <c r="AJ103" s="1055"/>
      <c r="AK103" s="772"/>
      <c r="AL103" s="1401"/>
      <c r="AM103" s="52"/>
      <c r="AN103" s="1401"/>
      <c r="AO103" s="1401"/>
      <c r="AP103" s="1401"/>
      <c r="AQ103" s="52"/>
      <c r="AR103" s="1401"/>
      <c r="AS103" s="52"/>
      <c r="AT103" s="52"/>
      <c r="AU103" s="52"/>
      <c r="AV103" s="52"/>
      <c r="AW103" s="52"/>
      <c r="AX103" s="52"/>
      <c r="AY103" s="52"/>
      <c r="AZ103" s="52"/>
      <c r="BA103" s="52"/>
      <c r="BB103" s="52"/>
      <c r="BC103" s="52"/>
      <c r="BD103" s="52"/>
      <c r="BE103" s="52"/>
      <c r="BF103" s="52"/>
      <c r="BG103" s="52"/>
      <c r="BH103" s="52"/>
      <c r="BI103" s="52"/>
      <c r="BJ103" s="52"/>
      <c r="BK103" s="52"/>
      <c r="BL103" s="52"/>
      <c r="BM103" s="52"/>
      <c r="BN103" s="52"/>
    </row>
    <row r="104" spans="1:66" hidden="1" outlineLevel="1">
      <c r="A104" s="1746" t="s">
        <v>1073</v>
      </c>
      <c r="B104" s="774">
        <f t="shared" ref="B104:AG104" si="101">SUM(B105:B107)</f>
        <v>0</v>
      </c>
      <c r="C104" s="774">
        <f t="shared" si="101"/>
        <v>0</v>
      </c>
      <c r="D104" s="774">
        <f t="shared" si="101"/>
        <v>0</v>
      </c>
      <c r="E104" s="774">
        <f t="shared" si="101"/>
        <v>0</v>
      </c>
      <c r="F104" s="774">
        <f t="shared" si="101"/>
        <v>0</v>
      </c>
      <c r="G104" s="774">
        <f t="shared" si="101"/>
        <v>0</v>
      </c>
      <c r="H104" s="774">
        <f t="shared" si="101"/>
        <v>0</v>
      </c>
      <c r="I104" s="774">
        <f t="shared" si="101"/>
        <v>0</v>
      </c>
      <c r="J104" s="774">
        <f t="shared" si="101"/>
        <v>0</v>
      </c>
      <c r="K104" s="774">
        <f t="shared" si="101"/>
        <v>0</v>
      </c>
      <c r="L104" s="774">
        <f t="shared" si="101"/>
        <v>0</v>
      </c>
      <c r="M104" s="774">
        <f t="shared" si="101"/>
        <v>0</v>
      </c>
      <c r="N104" s="774">
        <f t="shared" si="101"/>
        <v>-20.088000000000001</v>
      </c>
      <c r="O104" s="774">
        <f t="shared" si="101"/>
        <v>-42.936999999999998</v>
      </c>
      <c r="P104" s="774">
        <f t="shared" si="101"/>
        <v>-61.045000000000002</v>
      </c>
      <c r="Q104" s="774">
        <f t="shared" si="101"/>
        <v>-88.223000000000013</v>
      </c>
      <c r="R104" s="774">
        <f t="shared" si="101"/>
        <v>-19.827000000000002</v>
      </c>
      <c r="S104" s="774">
        <f t="shared" si="101"/>
        <v>-52.283999999999999</v>
      </c>
      <c r="T104" s="774">
        <f t="shared" si="101"/>
        <v>-75.842000000000013</v>
      </c>
      <c r="U104" s="774">
        <f t="shared" si="101"/>
        <v>-94.259</v>
      </c>
      <c r="V104" s="774">
        <f t="shared" si="101"/>
        <v>-22.110999999999997</v>
      </c>
      <c r="W104" s="774">
        <f t="shared" si="101"/>
        <v>-55.210999999999999</v>
      </c>
      <c r="X104" s="774">
        <f t="shared" si="101"/>
        <v>-81.97</v>
      </c>
      <c r="Y104" s="774">
        <f t="shared" si="101"/>
        <v>-107.011</v>
      </c>
      <c r="Z104" s="774">
        <f t="shared" si="101"/>
        <v>-28.279</v>
      </c>
      <c r="AA104" s="774">
        <f t="shared" si="101"/>
        <v>-61.769999999999996</v>
      </c>
      <c r="AB104" s="774">
        <f t="shared" si="101"/>
        <v>-85.5</v>
      </c>
      <c r="AC104" s="774">
        <f t="shared" si="101"/>
        <v>-118.48</v>
      </c>
      <c r="AD104" s="774">
        <f t="shared" si="101"/>
        <v>-30.332000000000001</v>
      </c>
      <c r="AE104" s="774">
        <f t="shared" si="101"/>
        <v>-69.188999999999993</v>
      </c>
      <c r="AF104" s="774">
        <f t="shared" si="101"/>
        <v>-97.54</v>
      </c>
      <c r="AG104" s="774">
        <f t="shared" si="101"/>
        <v>-128.93600000000001</v>
      </c>
      <c r="AH104" s="1055"/>
      <c r="AI104" s="1055"/>
      <c r="AJ104" s="1055"/>
      <c r="AK104" s="774"/>
      <c r="AL104" s="1401"/>
      <c r="AM104" s="52"/>
      <c r="AN104" s="1401"/>
      <c r="AO104" s="1401"/>
      <c r="AP104" s="1401"/>
      <c r="AQ104" s="52"/>
      <c r="AR104" s="1401"/>
      <c r="AS104" s="52"/>
      <c r="AT104" s="52"/>
      <c r="AU104" s="52"/>
      <c r="AV104" s="52"/>
      <c r="AW104" s="52"/>
      <c r="AX104" s="52"/>
      <c r="AY104" s="52"/>
      <c r="AZ104" s="52"/>
      <c r="BA104" s="52"/>
      <c r="BB104" s="52"/>
      <c r="BC104" s="52"/>
      <c r="BD104" s="52"/>
      <c r="BE104" s="52"/>
      <c r="BF104" s="52"/>
      <c r="BG104" s="52"/>
      <c r="BH104" s="52"/>
      <c r="BI104" s="52"/>
      <c r="BJ104" s="52"/>
      <c r="BK104" s="52"/>
      <c r="BL104" s="52"/>
      <c r="BM104" s="52"/>
      <c r="BN104" s="52"/>
    </row>
    <row r="105" spans="1:66" hidden="1" outlineLevel="1">
      <c r="A105" s="1749" t="s">
        <v>1060</v>
      </c>
      <c r="B105" s="772" t="s">
        <v>972</v>
      </c>
      <c r="C105" s="772" t="s">
        <v>972</v>
      </c>
      <c r="D105" s="772" t="s">
        <v>972</v>
      </c>
      <c r="E105" s="772" t="s">
        <v>972</v>
      </c>
      <c r="F105" s="772" t="s">
        <v>972</v>
      </c>
      <c r="G105" s="772" t="s">
        <v>972</v>
      </c>
      <c r="H105" s="772" t="s">
        <v>972</v>
      </c>
      <c r="I105" s="772" t="s">
        <v>972</v>
      </c>
      <c r="J105" s="772" t="s">
        <v>972</v>
      </c>
      <c r="K105" s="772" t="s">
        <v>972</v>
      </c>
      <c r="L105" s="772" t="s">
        <v>972</v>
      </c>
      <c r="M105" s="772" t="s">
        <v>972</v>
      </c>
      <c r="N105" s="772">
        <v>-7.7430000000000003</v>
      </c>
      <c r="O105" s="772">
        <v>-16.97</v>
      </c>
      <c r="P105" s="772">
        <v>-23.56</v>
      </c>
      <c r="Q105" s="772">
        <v>-35.786000000000001</v>
      </c>
      <c r="R105" s="772">
        <v>-9.6310000000000002</v>
      </c>
      <c r="S105" s="772">
        <v>-26.72</v>
      </c>
      <c r="T105" s="772">
        <v>-36.106000000000002</v>
      </c>
      <c r="U105" s="772">
        <v>-41.966000000000001</v>
      </c>
      <c r="V105" s="772">
        <v>-12.337999999999999</v>
      </c>
      <c r="W105" s="772">
        <v>-33.25</v>
      </c>
      <c r="X105" s="772">
        <v>-44.582999999999998</v>
      </c>
      <c r="Y105" s="772">
        <v>-53.719000000000001</v>
      </c>
      <c r="Z105" s="772">
        <v>-12.372999999999999</v>
      </c>
      <c r="AA105" s="772">
        <v>-36.363999999999997</v>
      </c>
      <c r="AB105" s="772">
        <v>-44.011000000000003</v>
      </c>
      <c r="AC105" s="772">
        <v>-60.676000000000002</v>
      </c>
      <c r="AD105" s="772">
        <v>-13.018000000000001</v>
      </c>
      <c r="AE105" s="772">
        <v>-31.393000000000001</v>
      </c>
      <c r="AF105" s="772">
        <v>-43.26</v>
      </c>
      <c r="AG105" s="772">
        <v>-56.417999999999999</v>
      </c>
      <c r="AH105" s="1055"/>
      <c r="AI105" s="1055"/>
      <c r="AJ105" s="1055"/>
      <c r="AK105" s="772"/>
      <c r="AL105" s="1401"/>
      <c r="AM105" s="52"/>
      <c r="AN105" s="1401"/>
      <c r="AO105" s="1401"/>
      <c r="AP105" s="1401"/>
      <c r="AQ105" s="52"/>
      <c r="AR105" s="1401"/>
      <c r="AS105" s="52"/>
      <c r="AT105" s="52"/>
      <c r="AU105" s="52"/>
      <c r="AV105" s="52"/>
      <c r="AW105" s="52"/>
      <c r="AX105" s="52"/>
      <c r="AY105" s="52"/>
      <c r="AZ105" s="52"/>
      <c r="BA105" s="52"/>
      <c r="BB105" s="52"/>
      <c r="BC105" s="52"/>
      <c r="BD105" s="52"/>
      <c r="BE105" s="52"/>
      <c r="BF105" s="52"/>
      <c r="BG105" s="52"/>
      <c r="BH105" s="52"/>
      <c r="BI105" s="52"/>
      <c r="BJ105" s="52"/>
      <c r="BK105" s="52"/>
      <c r="BL105" s="52"/>
      <c r="BM105" s="52"/>
      <c r="BN105" s="52"/>
    </row>
    <row r="106" spans="1:66" hidden="1" outlineLevel="1">
      <c r="A106" s="1749" t="s">
        <v>1061</v>
      </c>
      <c r="B106" s="772" t="s">
        <v>972</v>
      </c>
      <c r="C106" s="772" t="s">
        <v>972</v>
      </c>
      <c r="D106" s="772" t="s">
        <v>972</v>
      </c>
      <c r="E106" s="772" t="s">
        <v>972</v>
      </c>
      <c r="F106" s="772" t="s">
        <v>972</v>
      </c>
      <c r="G106" s="772" t="s">
        <v>972</v>
      </c>
      <c r="H106" s="772" t="s">
        <v>972</v>
      </c>
      <c r="I106" s="772" t="s">
        <v>972</v>
      </c>
      <c r="J106" s="772" t="s">
        <v>972</v>
      </c>
      <c r="K106" s="772" t="s">
        <v>972</v>
      </c>
      <c r="L106" s="772" t="s">
        <v>972</v>
      </c>
      <c r="M106" s="772" t="s">
        <v>972</v>
      </c>
      <c r="N106" s="772">
        <v>-10.336</v>
      </c>
      <c r="O106" s="772">
        <v>-21.672999999999998</v>
      </c>
      <c r="P106" s="772">
        <v>-31.38</v>
      </c>
      <c r="Q106" s="772">
        <v>-43.615000000000002</v>
      </c>
      <c r="R106" s="772">
        <v>-8.2129999999999992</v>
      </c>
      <c r="S106" s="772">
        <v>-20.335999999999999</v>
      </c>
      <c r="T106" s="772">
        <v>-32.152000000000001</v>
      </c>
      <c r="U106" s="772">
        <v>-42.866999999999997</v>
      </c>
      <c r="V106" s="772">
        <v>-7.5620000000000003</v>
      </c>
      <c r="W106" s="772">
        <v>-16.440000000000001</v>
      </c>
      <c r="X106" s="772">
        <v>-29.19</v>
      </c>
      <c r="Y106" s="772">
        <v>-42.591000000000001</v>
      </c>
      <c r="Z106" s="772">
        <v>-13.077999999999999</v>
      </c>
      <c r="AA106" s="772">
        <v>-19.228999999999999</v>
      </c>
      <c r="AB106" s="772">
        <v>-32.939</v>
      </c>
      <c r="AC106" s="772">
        <v>-45.956000000000003</v>
      </c>
      <c r="AD106" s="772">
        <v>-14.281000000000001</v>
      </c>
      <c r="AE106" s="772">
        <v>-30.876999999999999</v>
      </c>
      <c r="AF106" s="772">
        <v>-44.526000000000003</v>
      </c>
      <c r="AG106" s="772">
        <v>-59.624000000000002</v>
      </c>
      <c r="AH106" s="1055"/>
      <c r="AI106" s="1055"/>
      <c r="AJ106" s="1055"/>
      <c r="AK106" s="772"/>
      <c r="AL106" s="1401"/>
      <c r="AM106" s="52"/>
      <c r="AN106" s="1401"/>
      <c r="AO106" s="1401"/>
      <c r="AP106" s="1401"/>
      <c r="AQ106" s="52"/>
      <c r="AR106" s="1401"/>
      <c r="AS106" s="52"/>
      <c r="AT106" s="52"/>
      <c r="AU106" s="52"/>
      <c r="AV106" s="52"/>
      <c r="AW106" s="52"/>
      <c r="AX106" s="52"/>
      <c r="AY106" s="52"/>
      <c r="AZ106" s="52"/>
      <c r="BA106" s="52"/>
      <c r="BB106" s="52"/>
      <c r="BC106" s="52"/>
      <c r="BD106" s="52"/>
      <c r="BE106" s="52"/>
      <c r="BF106" s="52"/>
      <c r="BG106" s="52"/>
      <c r="BH106" s="52"/>
      <c r="BI106" s="52"/>
      <c r="BJ106" s="52"/>
      <c r="BK106" s="52"/>
      <c r="BL106" s="52"/>
      <c r="BM106" s="52"/>
      <c r="BN106" s="52"/>
    </row>
    <row r="107" spans="1:66" hidden="1" outlineLevel="1">
      <c r="A107" s="1749" t="s">
        <v>1062</v>
      </c>
      <c r="B107" s="772" t="s">
        <v>972</v>
      </c>
      <c r="C107" s="772" t="s">
        <v>972</v>
      </c>
      <c r="D107" s="772" t="s">
        <v>972</v>
      </c>
      <c r="E107" s="772" t="s">
        <v>972</v>
      </c>
      <c r="F107" s="772" t="s">
        <v>972</v>
      </c>
      <c r="G107" s="772" t="s">
        <v>972</v>
      </c>
      <c r="H107" s="772" t="s">
        <v>972</v>
      </c>
      <c r="I107" s="772" t="s">
        <v>972</v>
      </c>
      <c r="J107" s="772" t="s">
        <v>972</v>
      </c>
      <c r="K107" s="772" t="s">
        <v>972</v>
      </c>
      <c r="L107" s="772" t="s">
        <v>972</v>
      </c>
      <c r="M107" s="772" t="s">
        <v>972</v>
      </c>
      <c r="N107" s="772">
        <v>-2.0089999999999999</v>
      </c>
      <c r="O107" s="772">
        <v>-4.2939999999999996</v>
      </c>
      <c r="P107" s="772">
        <v>-6.1050000000000004</v>
      </c>
      <c r="Q107" s="772">
        <v>-8.8219999999999992</v>
      </c>
      <c r="R107" s="772">
        <v>-1.9830000000000001</v>
      </c>
      <c r="S107" s="772">
        <v>-5.2279999999999998</v>
      </c>
      <c r="T107" s="772">
        <v>-7.5839999999999996</v>
      </c>
      <c r="U107" s="772">
        <v>-9.4260000000000002</v>
      </c>
      <c r="V107" s="772">
        <v>-2.2109999999999999</v>
      </c>
      <c r="W107" s="772">
        <v>-5.5209999999999999</v>
      </c>
      <c r="X107" s="772">
        <v>-8.1969999999999992</v>
      </c>
      <c r="Y107" s="772">
        <v>-10.701000000000001</v>
      </c>
      <c r="Z107" s="772">
        <v>-2.8279999999999998</v>
      </c>
      <c r="AA107" s="772">
        <v>-6.1769999999999996</v>
      </c>
      <c r="AB107" s="772">
        <v>-8.5500000000000007</v>
      </c>
      <c r="AC107" s="772">
        <v>-11.848000000000001</v>
      </c>
      <c r="AD107" s="772">
        <v>-3.0329999999999999</v>
      </c>
      <c r="AE107" s="772">
        <v>-6.9189999999999996</v>
      </c>
      <c r="AF107" s="772">
        <v>-9.7539999999999996</v>
      </c>
      <c r="AG107" s="772">
        <v>-12.894</v>
      </c>
      <c r="AH107" s="1055"/>
      <c r="AI107" s="1055"/>
      <c r="AJ107" s="1055"/>
      <c r="AK107" s="772"/>
      <c r="AL107" s="1401"/>
      <c r="AM107" s="52"/>
      <c r="AN107" s="1401"/>
      <c r="AO107" s="1401"/>
      <c r="AP107" s="1401"/>
      <c r="AQ107" s="52"/>
      <c r="AR107" s="1401"/>
      <c r="AS107" s="52"/>
      <c r="AT107" s="52"/>
      <c r="AU107" s="52"/>
      <c r="AV107" s="52"/>
      <c r="AW107" s="52"/>
      <c r="AX107" s="52"/>
      <c r="AY107" s="52"/>
      <c r="AZ107" s="52"/>
      <c r="BA107" s="52"/>
      <c r="BB107" s="52"/>
      <c r="BC107" s="52"/>
      <c r="BD107" s="52"/>
      <c r="BE107" s="52"/>
      <c r="BF107" s="52"/>
      <c r="BG107" s="52"/>
      <c r="BH107" s="52"/>
      <c r="BI107" s="52"/>
      <c r="BJ107" s="52"/>
      <c r="BK107" s="52"/>
      <c r="BL107" s="52"/>
      <c r="BM107" s="52"/>
      <c r="BN107" s="52"/>
    </row>
    <row r="108" spans="1:66" hidden="1" outlineLevel="1">
      <c r="A108" s="1749"/>
      <c r="B108" s="772"/>
      <c r="C108" s="772"/>
      <c r="D108" s="772"/>
      <c r="E108" s="772"/>
      <c r="F108" s="772"/>
      <c r="G108" s="772"/>
      <c r="H108" s="772"/>
      <c r="I108" s="772"/>
      <c r="J108" s="772"/>
      <c r="K108" s="772"/>
      <c r="L108" s="772"/>
      <c r="M108" s="772"/>
      <c r="N108" s="772"/>
      <c r="O108" s="772"/>
      <c r="P108" s="772"/>
      <c r="Q108" s="772"/>
      <c r="R108" s="772"/>
      <c r="S108" s="772"/>
      <c r="T108" s="772"/>
      <c r="U108" s="772"/>
      <c r="V108" s="772"/>
      <c r="W108" s="772"/>
      <c r="X108" s="772"/>
      <c r="Y108" s="772"/>
      <c r="Z108" s="772"/>
      <c r="AA108" s="772"/>
      <c r="AB108" s="772"/>
      <c r="AC108" s="772"/>
      <c r="AD108" s="772"/>
      <c r="AE108" s="772"/>
      <c r="AF108" s="772"/>
      <c r="AG108" s="772"/>
      <c r="AH108" s="1055"/>
      <c r="AI108" s="1055"/>
      <c r="AJ108" s="1055"/>
      <c r="AK108" s="772"/>
      <c r="AL108" s="1401"/>
      <c r="AM108" s="52"/>
      <c r="AN108" s="1401"/>
      <c r="AO108" s="1401"/>
      <c r="AP108" s="1401"/>
      <c r="AQ108" s="52"/>
      <c r="AR108" s="1401"/>
      <c r="AS108" s="52"/>
      <c r="AT108" s="52"/>
      <c r="AU108" s="52"/>
      <c r="AV108" s="52"/>
      <c r="AW108" s="52"/>
      <c r="AX108" s="52"/>
      <c r="AY108" s="52"/>
      <c r="AZ108" s="52"/>
      <c r="BA108" s="52"/>
      <c r="BB108" s="52"/>
      <c r="BC108" s="52"/>
      <c r="BD108" s="52"/>
      <c r="BE108" s="52"/>
      <c r="BF108" s="52"/>
      <c r="BG108" s="52"/>
      <c r="BH108" s="52"/>
      <c r="BI108" s="52"/>
      <c r="BJ108" s="52"/>
      <c r="BK108" s="52"/>
      <c r="BL108" s="52"/>
      <c r="BM108" s="52"/>
      <c r="BN108" s="52"/>
    </row>
    <row r="109" spans="1:66" hidden="1" outlineLevel="1">
      <c r="A109" s="1746" t="s">
        <v>1074</v>
      </c>
      <c r="B109" s="774">
        <f t="shared" ref="B109:AG109" si="102">SUM(B110:B112)</f>
        <v>0</v>
      </c>
      <c r="C109" s="774">
        <f t="shared" si="102"/>
        <v>0</v>
      </c>
      <c r="D109" s="774">
        <f t="shared" si="102"/>
        <v>0</v>
      </c>
      <c r="E109" s="774">
        <f t="shared" si="102"/>
        <v>0</v>
      </c>
      <c r="F109" s="774">
        <f t="shared" si="102"/>
        <v>0</v>
      </c>
      <c r="G109" s="774">
        <f t="shared" si="102"/>
        <v>0</v>
      </c>
      <c r="H109" s="774">
        <f t="shared" si="102"/>
        <v>0</v>
      </c>
      <c r="I109" s="774">
        <f t="shared" si="102"/>
        <v>0</v>
      </c>
      <c r="J109" s="774">
        <f t="shared" si="102"/>
        <v>0</v>
      </c>
      <c r="K109" s="774">
        <f t="shared" si="102"/>
        <v>0</v>
      </c>
      <c r="L109" s="774">
        <f t="shared" si="102"/>
        <v>0</v>
      </c>
      <c r="M109" s="774">
        <f t="shared" si="102"/>
        <v>0</v>
      </c>
      <c r="N109" s="774">
        <f t="shared" si="102"/>
        <v>-0.249</v>
      </c>
      <c r="O109" s="774">
        <f t="shared" si="102"/>
        <v>0.68600000000000005</v>
      </c>
      <c r="P109" s="774">
        <f t="shared" si="102"/>
        <v>2.7690000000000001</v>
      </c>
      <c r="Q109" s="774">
        <f t="shared" si="102"/>
        <v>3.3279999999999998</v>
      </c>
      <c r="R109" s="774">
        <f t="shared" si="102"/>
        <v>1.171</v>
      </c>
      <c r="S109" s="774">
        <f t="shared" si="102"/>
        <v>1.502</v>
      </c>
      <c r="T109" s="774">
        <f t="shared" si="102"/>
        <v>2.355</v>
      </c>
      <c r="U109" s="774">
        <f t="shared" si="102"/>
        <v>3.9430000000000001</v>
      </c>
      <c r="V109" s="774">
        <f t="shared" si="102"/>
        <v>3.8929999999999998</v>
      </c>
      <c r="W109" s="774">
        <f t="shared" si="102"/>
        <v>3.2069999999999999</v>
      </c>
      <c r="X109" s="774">
        <f t="shared" si="102"/>
        <v>8.5259999999999998</v>
      </c>
      <c r="Y109" s="774">
        <f t="shared" si="102"/>
        <v>7.1230000000000002</v>
      </c>
      <c r="Z109" s="774">
        <f t="shared" si="102"/>
        <v>1.4790000000000001</v>
      </c>
      <c r="AA109" s="774">
        <f t="shared" si="102"/>
        <v>1.982</v>
      </c>
      <c r="AB109" s="774">
        <f t="shared" si="102"/>
        <v>-1.1399999999999999</v>
      </c>
      <c r="AC109" s="774">
        <f t="shared" si="102"/>
        <v>0.26500000000000001</v>
      </c>
      <c r="AD109" s="774">
        <f t="shared" si="102"/>
        <v>0.22900000000000001</v>
      </c>
      <c r="AE109" s="774">
        <f t="shared" si="102"/>
        <v>5.2910000000000004</v>
      </c>
      <c r="AF109" s="774">
        <f t="shared" si="102"/>
        <v>8.7379999999999995</v>
      </c>
      <c r="AG109" s="774">
        <f t="shared" si="102"/>
        <v>11.393000000000001</v>
      </c>
      <c r="AH109" s="1055"/>
      <c r="AI109" s="1055"/>
      <c r="AJ109" s="1055"/>
      <c r="AK109" s="774"/>
      <c r="AL109" s="1401"/>
      <c r="AM109" s="52"/>
      <c r="AN109" s="1401"/>
      <c r="AO109" s="1401"/>
      <c r="AP109" s="1401"/>
      <c r="AQ109" s="52"/>
      <c r="AR109" s="1401"/>
      <c r="AS109" s="52"/>
      <c r="AT109" s="52"/>
      <c r="AU109" s="52"/>
      <c r="AV109" s="52"/>
      <c r="AW109" s="52"/>
      <c r="AX109" s="52"/>
      <c r="AY109" s="52"/>
      <c r="AZ109" s="52"/>
      <c r="BA109" s="52"/>
      <c r="BB109" s="52"/>
      <c r="BC109" s="52"/>
      <c r="BD109" s="52"/>
      <c r="BE109" s="52"/>
      <c r="BF109" s="52"/>
      <c r="BG109" s="52"/>
      <c r="BH109" s="52"/>
      <c r="BI109" s="52"/>
      <c r="BJ109" s="52"/>
      <c r="BK109" s="52"/>
      <c r="BL109" s="52"/>
      <c r="BM109" s="52"/>
      <c r="BN109" s="52"/>
    </row>
    <row r="110" spans="1:66" hidden="1" outlineLevel="1">
      <c r="A110" s="1749" t="s">
        <v>1060</v>
      </c>
      <c r="B110" s="772" t="s">
        <v>972</v>
      </c>
      <c r="C110" s="772" t="s">
        <v>972</v>
      </c>
      <c r="D110" s="772" t="s">
        <v>972</v>
      </c>
      <c r="E110" s="772" t="s">
        <v>972</v>
      </c>
      <c r="F110" s="772" t="s">
        <v>972</v>
      </c>
      <c r="G110" s="772" t="s">
        <v>972</v>
      </c>
      <c r="H110" s="772" t="s">
        <v>972</v>
      </c>
      <c r="I110" s="772" t="s">
        <v>972</v>
      </c>
      <c r="J110" s="772" t="s">
        <v>972</v>
      </c>
      <c r="K110" s="772" t="s">
        <v>972</v>
      </c>
      <c r="L110" s="772" t="s">
        <v>972</v>
      </c>
      <c r="M110" s="772" t="s">
        <v>972</v>
      </c>
      <c r="N110" s="772">
        <v>0</v>
      </c>
      <c r="O110" s="772">
        <v>0</v>
      </c>
      <c r="P110" s="772">
        <v>0</v>
      </c>
      <c r="Q110" s="772">
        <v>0</v>
      </c>
      <c r="R110" s="772">
        <v>0</v>
      </c>
      <c r="S110" s="772">
        <v>0</v>
      </c>
      <c r="T110" s="772">
        <v>0</v>
      </c>
      <c r="U110" s="772">
        <v>0</v>
      </c>
      <c r="V110" s="772">
        <v>0</v>
      </c>
      <c r="W110" s="772">
        <v>0</v>
      </c>
      <c r="X110" s="772">
        <v>0</v>
      </c>
      <c r="Y110" s="772">
        <v>0</v>
      </c>
      <c r="Z110" s="772">
        <v>0</v>
      </c>
      <c r="AA110" s="772">
        <v>0</v>
      </c>
      <c r="AB110" s="772">
        <v>0</v>
      </c>
      <c r="AC110" s="772">
        <v>0</v>
      </c>
      <c r="AD110" s="772">
        <v>0</v>
      </c>
      <c r="AE110" s="772">
        <v>0</v>
      </c>
      <c r="AF110" s="772">
        <v>0</v>
      </c>
      <c r="AG110" s="772">
        <v>0</v>
      </c>
      <c r="AH110" s="1055"/>
      <c r="AI110" s="1055"/>
      <c r="AJ110" s="1055"/>
      <c r="AK110" s="772"/>
      <c r="AL110" s="1401"/>
      <c r="AM110" s="52"/>
      <c r="AN110" s="1401"/>
      <c r="AO110" s="1401"/>
      <c r="AP110" s="1401"/>
      <c r="AQ110" s="52"/>
      <c r="AR110" s="1401"/>
      <c r="AS110" s="52"/>
      <c r="AT110" s="52"/>
      <c r="AU110" s="52"/>
      <c r="AV110" s="52"/>
      <c r="AW110" s="52"/>
      <c r="AX110" s="52"/>
      <c r="AY110" s="52"/>
      <c r="AZ110" s="52"/>
      <c r="BA110" s="52"/>
      <c r="BB110" s="52"/>
      <c r="BC110" s="52"/>
      <c r="BD110" s="52"/>
      <c r="BE110" s="52"/>
      <c r="BF110" s="52"/>
      <c r="BG110" s="52"/>
      <c r="BH110" s="52"/>
      <c r="BI110" s="52"/>
      <c r="BJ110" s="52"/>
      <c r="BK110" s="52"/>
      <c r="BL110" s="52"/>
      <c r="BM110" s="52"/>
      <c r="BN110" s="52"/>
    </row>
    <row r="111" spans="1:66" hidden="1" outlineLevel="1">
      <c r="A111" s="1749" t="s">
        <v>1061</v>
      </c>
      <c r="B111" s="772" t="s">
        <v>972</v>
      </c>
      <c r="C111" s="772" t="s">
        <v>972</v>
      </c>
      <c r="D111" s="772" t="s">
        <v>972</v>
      </c>
      <c r="E111" s="772" t="s">
        <v>972</v>
      </c>
      <c r="F111" s="772" t="s">
        <v>972</v>
      </c>
      <c r="G111" s="772" t="s">
        <v>972</v>
      </c>
      <c r="H111" s="772" t="s">
        <v>972</v>
      </c>
      <c r="I111" s="772" t="s">
        <v>972</v>
      </c>
      <c r="J111" s="772" t="s">
        <v>972</v>
      </c>
      <c r="K111" s="772" t="s">
        <v>972</v>
      </c>
      <c r="L111" s="772" t="s">
        <v>972</v>
      </c>
      <c r="M111" s="772" t="s">
        <v>972</v>
      </c>
      <c r="N111" s="772">
        <v>0</v>
      </c>
      <c r="O111" s="772">
        <v>0</v>
      </c>
      <c r="P111" s="772">
        <v>0</v>
      </c>
      <c r="Q111" s="772">
        <v>0</v>
      </c>
      <c r="R111" s="772">
        <v>0</v>
      </c>
      <c r="S111" s="772">
        <v>0</v>
      </c>
      <c r="T111" s="772">
        <v>0</v>
      </c>
      <c r="U111" s="772">
        <v>0</v>
      </c>
      <c r="V111" s="772">
        <v>0</v>
      </c>
      <c r="W111" s="772">
        <v>0</v>
      </c>
      <c r="X111" s="772">
        <v>0</v>
      </c>
      <c r="Y111" s="772">
        <v>0</v>
      </c>
      <c r="Z111" s="772">
        <v>0</v>
      </c>
      <c r="AA111" s="772">
        <v>0</v>
      </c>
      <c r="AB111" s="772">
        <v>0</v>
      </c>
      <c r="AC111" s="772">
        <v>0</v>
      </c>
      <c r="AD111" s="772">
        <v>0</v>
      </c>
      <c r="AE111" s="772">
        <v>0</v>
      </c>
      <c r="AF111" s="772">
        <v>0</v>
      </c>
      <c r="AG111" s="772">
        <v>0</v>
      </c>
      <c r="AH111" s="1055"/>
      <c r="AI111" s="1055"/>
      <c r="AJ111" s="1055"/>
      <c r="AK111" s="772"/>
      <c r="AL111" s="1401"/>
      <c r="AM111" s="52"/>
      <c r="AN111" s="1401"/>
      <c r="AO111" s="1401"/>
      <c r="AP111" s="1401"/>
      <c r="AQ111" s="52"/>
      <c r="AR111" s="1401"/>
      <c r="AS111" s="52"/>
      <c r="AT111" s="52"/>
      <c r="AU111" s="52"/>
      <c r="AV111" s="52"/>
      <c r="AW111" s="52"/>
      <c r="AX111" s="52"/>
      <c r="AY111" s="52"/>
      <c r="AZ111" s="52"/>
      <c r="BA111" s="52"/>
      <c r="BB111" s="52"/>
      <c r="BC111" s="52"/>
      <c r="BD111" s="52"/>
      <c r="BE111" s="52"/>
      <c r="BF111" s="52"/>
      <c r="BG111" s="52"/>
      <c r="BH111" s="52"/>
      <c r="BI111" s="52"/>
      <c r="BJ111" s="52"/>
      <c r="BK111" s="52"/>
      <c r="BL111" s="52"/>
      <c r="BM111" s="52"/>
      <c r="BN111" s="52"/>
    </row>
    <row r="112" spans="1:66" hidden="1" outlineLevel="1">
      <c r="A112" s="1749" t="s">
        <v>1062</v>
      </c>
      <c r="B112" s="772" t="s">
        <v>972</v>
      </c>
      <c r="C112" s="772" t="s">
        <v>972</v>
      </c>
      <c r="D112" s="772" t="s">
        <v>972</v>
      </c>
      <c r="E112" s="772" t="s">
        <v>972</v>
      </c>
      <c r="F112" s="772" t="s">
        <v>972</v>
      </c>
      <c r="G112" s="772" t="s">
        <v>972</v>
      </c>
      <c r="H112" s="772" t="s">
        <v>972</v>
      </c>
      <c r="I112" s="772" t="s">
        <v>972</v>
      </c>
      <c r="J112" s="772" t="s">
        <v>972</v>
      </c>
      <c r="K112" s="772" t="s">
        <v>972</v>
      </c>
      <c r="L112" s="772" t="s">
        <v>972</v>
      </c>
      <c r="M112" s="772" t="s">
        <v>972</v>
      </c>
      <c r="N112" s="772">
        <v>-0.249</v>
      </c>
      <c r="O112" s="772">
        <v>0.68600000000000005</v>
      </c>
      <c r="P112" s="772">
        <v>2.7690000000000001</v>
      </c>
      <c r="Q112" s="772">
        <v>3.3279999999999998</v>
      </c>
      <c r="R112" s="772">
        <v>1.171</v>
      </c>
      <c r="S112" s="772">
        <v>1.502</v>
      </c>
      <c r="T112" s="772">
        <v>2.355</v>
      </c>
      <c r="U112" s="772">
        <v>3.9430000000000001</v>
      </c>
      <c r="V112" s="772">
        <v>3.8929999999999998</v>
      </c>
      <c r="W112" s="772">
        <v>3.2069999999999999</v>
      </c>
      <c r="X112" s="772">
        <v>8.5259999999999998</v>
      </c>
      <c r="Y112" s="772">
        <v>7.1230000000000002</v>
      </c>
      <c r="Z112" s="772">
        <v>1.4790000000000001</v>
      </c>
      <c r="AA112" s="772">
        <v>1.982</v>
      </c>
      <c r="AB112" s="772">
        <v>-1.1399999999999999</v>
      </c>
      <c r="AC112" s="772">
        <v>0.26500000000000001</v>
      </c>
      <c r="AD112" s="772">
        <v>0.22900000000000001</v>
      </c>
      <c r="AE112" s="772">
        <v>5.2910000000000004</v>
      </c>
      <c r="AF112" s="772">
        <v>8.7379999999999995</v>
      </c>
      <c r="AG112" s="772">
        <v>11.393000000000001</v>
      </c>
      <c r="AH112" s="1055"/>
      <c r="AI112" s="1055"/>
      <c r="AJ112" s="1055"/>
      <c r="AK112" s="772"/>
      <c r="AL112" s="1401"/>
      <c r="AM112" s="52"/>
      <c r="AN112" s="1401"/>
      <c r="AO112" s="1401"/>
      <c r="AP112" s="1401"/>
      <c r="AQ112" s="52"/>
      <c r="AR112" s="1401"/>
      <c r="AS112" s="52"/>
      <c r="AT112" s="52"/>
      <c r="AU112" s="52"/>
      <c r="AV112" s="52"/>
      <c r="AW112" s="52"/>
      <c r="AX112" s="52"/>
      <c r="AY112" s="52"/>
      <c r="AZ112" s="52"/>
      <c r="BA112" s="52"/>
      <c r="BB112" s="52"/>
      <c r="BC112" s="52"/>
      <c r="BD112" s="52"/>
      <c r="BE112" s="52"/>
      <c r="BF112" s="52"/>
      <c r="BG112" s="52"/>
      <c r="BH112" s="52"/>
      <c r="BI112" s="52"/>
      <c r="BJ112" s="52"/>
      <c r="BK112" s="52"/>
      <c r="BL112" s="52"/>
      <c r="BM112" s="52"/>
      <c r="BN112" s="52"/>
    </row>
    <row r="113" spans="1:66" hidden="1" outlineLevel="1">
      <c r="A113" s="1749"/>
      <c r="B113" s="772"/>
      <c r="C113" s="772"/>
      <c r="D113" s="772"/>
      <c r="E113" s="772"/>
      <c r="F113" s="772"/>
      <c r="G113" s="772"/>
      <c r="H113" s="772"/>
      <c r="I113" s="772"/>
      <c r="J113" s="772"/>
      <c r="K113" s="772"/>
      <c r="L113" s="772"/>
      <c r="M113" s="772"/>
      <c r="N113" s="772"/>
      <c r="O113" s="772"/>
      <c r="P113" s="772"/>
      <c r="Q113" s="772"/>
      <c r="R113" s="772"/>
      <c r="S113" s="772"/>
      <c r="T113" s="772"/>
      <c r="U113" s="772"/>
      <c r="V113" s="772"/>
      <c r="W113" s="772"/>
      <c r="X113" s="772"/>
      <c r="Y113" s="772"/>
      <c r="Z113" s="772"/>
      <c r="AA113" s="772"/>
      <c r="AB113" s="772"/>
      <c r="AC113" s="772"/>
      <c r="AD113" s="772"/>
      <c r="AE113" s="772"/>
      <c r="AF113" s="772"/>
      <c r="AG113" s="772"/>
      <c r="AH113" s="1055"/>
      <c r="AI113" s="1055"/>
      <c r="AJ113" s="1055"/>
      <c r="AK113" s="772"/>
      <c r="AL113" s="1401"/>
      <c r="AM113" s="52"/>
      <c r="AN113" s="1401"/>
      <c r="AO113" s="1401"/>
      <c r="AP113" s="1401"/>
      <c r="AQ113" s="52"/>
      <c r="AR113" s="1401"/>
      <c r="AS113" s="52"/>
      <c r="AT113" s="52"/>
      <c r="AU113" s="52"/>
      <c r="AV113" s="52"/>
      <c r="AW113" s="52"/>
      <c r="AX113" s="52"/>
      <c r="AY113" s="52"/>
      <c r="AZ113" s="52"/>
      <c r="BA113" s="52"/>
      <c r="BB113" s="52"/>
      <c r="BC113" s="52"/>
      <c r="BD113" s="52"/>
      <c r="BE113" s="52"/>
      <c r="BF113" s="52"/>
      <c r="BG113" s="52"/>
      <c r="BH113" s="52"/>
      <c r="BI113" s="52"/>
      <c r="BJ113" s="52"/>
      <c r="BK113" s="52"/>
      <c r="BL113" s="52"/>
      <c r="BM113" s="52"/>
      <c r="BN113" s="52"/>
    </row>
    <row r="114" spans="1:66" hidden="1" outlineLevel="1">
      <c r="A114" s="1746" t="s">
        <v>1075</v>
      </c>
      <c r="B114" s="774">
        <f t="shared" ref="B114:AG114" si="103">SUM(B115:B117)</f>
        <v>0</v>
      </c>
      <c r="C114" s="774">
        <f t="shared" si="103"/>
        <v>0</v>
      </c>
      <c r="D114" s="774">
        <f t="shared" si="103"/>
        <v>0</v>
      </c>
      <c r="E114" s="774">
        <f t="shared" si="103"/>
        <v>0</v>
      </c>
      <c r="F114" s="774">
        <f t="shared" si="103"/>
        <v>0</v>
      </c>
      <c r="G114" s="774">
        <f t="shared" si="103"/>
        <v>0</v>
      </c>
      <c r="H114" s="774">
        <f t="shared" si="103"/>
        <v>0</v>
      </c>
      <c r="I114" s="774">
        <f t="shared" si="103"/>
        <v>0</v>
      </c>
      <c r="J114" s="774">
        <f t="shared" si="103"/>
        <v>0</v>
      </c>
      <c r="K114" s="774">
        <f t="shared" si="103"/>
        <v>0</v>
      </c>
      <c r="L114" s="774">
        <f t="shared" si="103"/>
        <v>0</v>
      </c>
      <c r="M114" s="774">
        <f t="shared" si="103"/>
        <v>0</v>
      </c>
      <c r="N114" s="774">
        <f t="shared" si="103"/>
        <v>44.195</v>
      </c>
      <c r="O114" s="774">
        <f t="shared" si="103"/>
        <v>120.69500000000001</v>
      </c>
      <c r="P114" s="774">
        <f t="shared" si="103"/>
        <v>243.48500000000001</v>
      </c>
      <c r="Q114" s="774">
        <f t="shared" si="103"/>
        <v>452.37500000000006</v>
      </c>
      <c r="R114" s="774">
        <f t="shared" si="103"/>
        <v>139.49199999999999</v>
      </c>
      <c r="S114" s="774">
        <f t="shared" si="103"/>
        <v>290.40599999999995</v>
      </c>
      <c r="T114" s="774">
        <f t="shared" si="103"/>
        <v>481.92500000000001</v>
      </c>
      <c r="U114" s="774">
        <f t="shared" si="103"/>
        <v>612.58499999999992</v>
      </c>
      <c r="V114" s="774">
        <f t="shared" si="103"/>
        <v>147.09300000000002</v>
      </c>
      <c r="W114" s="774">
        <f t="shared" si="103"/>
        <v>306.16500000000002</v>
      </c>
      <c r="X114" s="774">
        <f t="shared" si="103"/>
        <v>464.37000000000006</v>
      </c>
      <c r="Y114" s="774">
        <f t="shared" si="103"/>
        <v>537.11500000000001</v>
      </c>
      <c r="Z114" s="774">
        <f t="shared" si="103"/>
        <v>108.07600000000001</v>
      </c>
      <c r="AA114" s="774">
        <f t="shared" si="103"/>
        <v>346.34799999999996</v>
      </c>
      <c r="AB114" s="774">
        <f t="shared" si="103"/>
        <v>505.68299999999999</v>
      </c>
      <c r="AC114" s="774">
        <f t="shared" si="103"/>
        <v>650.10200000000009</v>
      </c>
      <c r="AD114" s="774">
        <f t="shared" si="103"/>
        <v>211.63899999999998</v>
      </c>
      <c r="AE114" s="774">
        <f t="shared" si="103"/>
        <v>451.089</v>
      </c>
      <c r="AF114" s="774">
        <f t="shared" si="103"/>
        <v>618.90599999999995</v>
      </c>
      <c r="AG114" s="774">
        <f t="shared" si="103"/>
        <v>766.60100000000011</v>
      </c>
      <c r="AH114" s="1055"/>
      <c r="AI114" s="1055"/>
      <c r="AJ114" s="1055"/>
      <c r="AK114" s="774"/>
      <c r="AL114" s="1401"/>
      <c r="AM114" s="52"/>
      <c r="AN114" s="1401"/>
      <c r="AO114" s="1401"/>
      <c r="AP114" s="1401"/>
      <c r="AQ114" s="52"/>
      <c r="AR114" s="1401"/>
      <c r="AS114" s="52"/>
      <c r="AT114" s="52"/>
      <c r="AU114" s="52"/>
      <c r="AV114" s="52"/>
      <c r="AW114" s="52"/>
      <c r="AX114" s="52"/>
      <c r="AY114" s="52"/>
      <c r="AZ114" s="52"/>
      <c r="BA114" s="52"/>
      <c r="BB114" s="52"/>
      <c r="BC114" s="52"/>
      <c r="BD114" s="52"/>
      <c r="BE114" s="52"/>
      <c r="BF114" s="52"/>
      <c r="BG114" s="52"/>
      <c r="BH114" s="52"/>
      <c r="BI114" s="52"/>
      <c r="BJ114" s="52"/>
      <c r="BK114" s="52"/>
      <c r="BL114" s="52"/>
      <c r="BM114" s="52"/>
      <c r="BN114" s="52"/>
    </row>
    <row r="115" spans="1:66" hidden="1" outlineLevel="1">
      <c r="A115" s="1749" t="s">
        <v>1060</v>
      </c>
      <c r="B115" s="772" t="s">
        <v>972</v>
      </c>
      <c r="C115" s="772" t="s">
        <v>972</v>
      </c>
      <c r="D115" s="772" t="s">
        <v>972</v>
      </c>
      <c r="E115" s="772" t="s">
        <v>972</v>
      </c>
      <c r="F115" s="772" t="s">
        <v>972</v>
      </c>
      <c r="G115" s="772" t="s">
        <v>972</v>
      </c>
      <c r="H115" s="772" t="s">
        <v>972</v>
      </c>
      <c r="I115" s="772" t="s">
        <v>972</v>
      </c>
      <c r="J115" s="772" t="s">
        <v>972</v>
      </c>
      <c r="K115" s="772" t="s">
        <v>972</v>
      </c>
      <c r="L115" s="772" t="s">
        <v>972</v>
      </c>
      <c r="M115" s="772" t="s">
        <v>972</v>
      </c>
      <c r="N115" s="772">
        <v>31.99</v>
      </c>
      <c r="O115" s="772">
        <v>75.671000000000006</v>
      </c>
      <c r="P115" s="772">
        <v>136.03200000000001</v>
      </c>
      <c r="Q115" s="772">
        <v>264.78800000000001</v>
      </c>
      <c r="R115" s="772">
        <v>97.262</v>
      </c>
      <c r="S115" s="772">
        <v>201.785</v>
      </c>
      <c r="T115" s="772">
        <v>301.96199999999999</v>
      </c>
      <c r="U115" s="772">
        <v>355.96600000000001</v>
      </c>
      <c r="V115" s="772">
        <v>86.519000000000005</v>
      </c>
      <c r="W115" s="772">
        <v>207.03800000000001</v>
      </c>
      <c r="X115" s="772">
        <v>301.94600000000003</v>
      </c>
      <c r="Y115" s="772">
        <v>342.75</v>
      </c>
      <c r="Z115" s="772">
        <v>70.933000000000007</v>
      </c>
      <c r="AA115" s="772">
        <v>260.95299999999997</v>
      </c>
      <c r="AB115" s="772">
        <v>343.84800000000001</v>
      </c>
      <c r="AC115" s="772">
        <v>439.67700000000002</v>
      </c>
      <c r="AD115" s="772">
        <v>103.57</v>
      </c>
      <c r="AE115" s="772">
        <v>228.929</v>
      </c>
      <c r="AF115" s="772">
        <v>293.83499999999998</v>
      </c>
      <c r="AG115" s="772">
        <v>351.82900000000001</v>
      </c>
      <c r="AH115" s="1055"/>
      <c r="AI115" s="1055"/>
      <c r="AJ115" s="1055"/>
      <c r="AK115" s="772"/>
      <c r="AL115" s="1401"/>
      <c r="AM115" s="52"/>
      <c r="AN115" s="1401"/>
      <c r="AO115" s="1401"/>
      <c r="AP115" s="1401"/>
      <c r="AQ115" s="52"/>
      <c r="AR115" s="1401"/>
      <c r="AS115" s="52"/>
      <c r="AT115" s="52"/>
      <c r="AU115" s="52"/>
      <c r="AV115" s="52"/>
      <c r="AW115" s="52"/>
      <c r="AX115" s="52"/>
      <c r="AY115" s="52"/>
      <c r="AZ115" s="52"/>
      <c r="BA115" s="52"/>
      <c r="BB115" s="52"/>
      <c r="BC115" s="52"/>
      <c r="BD115" s="52"/>
      <c r="BE115" s="52"/>
      <c r="BF115" s="52"/>
      <c r="BG115" s="52"/>
      <c r="BH115" s="52"/>
      <c r="BI115" s="52"/>
      <c r="BJ115" s="52"/>
      <c r="BK115" s="52"/>
      <c r="BL115" s="52"/>
      <c r="BM115" s="52"/>
      <c r="BN115" s="52"/>
    </row>
    <row r="116" spans="1:66" hidden="1" outlineLevel="1">
      <c r="A116" s="1749" t="s">
        <v>1061</v>
      </c>
      <c r="B116" s="772" t="s">
        <v>972</v>
      </c>
      <c r="C116" s="772" t="s">
        <v>972</v>
      </c>
      <c r="D116" s="772" t="s">
        <v>972</v>
      </c>
      <c r="E116" s="772" t="s">
        <v>972</v>
      </c>
      <c r="F116" s="772" t="s">
        <v>972</v>
      </c>
      <c r="G116" s="772" t="s">
        <v>972</v>
      </c>
      <c r="H116" s="772" t="s">
        <v>972</v>
      </c>
      <c r="I116" s="772" t="s">
        <v>972</v>
      </c>
      <c r="J116" s="772" t="s">
        <v>972</v>
      </c>
      <c r="K116" s="772" t="s">
        <v>972</v>
      </c>
      <c r="L116" s="772" t="s">
        <v>972</v>
      </c>
      <c r="M116" s="772" t="s">
        <v>972</v>
      </c>
      <c r="N116" s="772">
        <v>9.8070000000000004</v>
      </c>
      <c r="O116" s="772">
        <v>37.783000000000001</v>
      </c>
      <c r="P116" s="772">
        <v>93.394000000000005</v>
      </c>
      <c r="Q116" s="772">
        <v>172.97</v>
      </c>
      <c r="R116" s="772">
        <v>35.816000000000003</v>
      </c>
      <c r="S116" s="772">
        <v>76.221000000000004</v>
      </c>
      <c r="T116" s="772">
        <v>162.446</v>
      </c>
      <c r="U116" s="772">
        <v>239.49799999999999</v>
      </c>
      <c r="V116" s="772">
        <v>58.377000000000002</v>
      </c>
      <c r="W116" s="772">
        <v>88.730999999999995</v>
      </c>
      <c r="X116" s="772">
        <v>142.92699999999999</v>
      </c>
      <c r="Y116" s="772">
        <v>171.54599999999999</v>
      </c>
      <c r="Z116" s="772">
        <v>29.228999999999999</v>
      </c>
      <c r="AA116" s="772">
        <v>66.625</v>
      </c>
      <c r="AB116" s="772">
        <v>126.479</v>
      </c>
      <c r="AC116" s="772">
        <v>176.023</v>
      </c>
      <c r="AD116" s="772">
        <v>98.480999999999995</v>
      </c>
      <c r="AE116" s="772">
        <v>185.91300000000001</v>
      </c>
      <c r="AF116" s="772">
        <v>245.13900000000001</v>
      </c>
      <c r="AG116" s="772">
        <v>325.45699999999999</v>
      </c>
      <c r="AH116" s="1055"/>
      <c r="AI116" s="1055"/>
      <c r="AJ116" s="1055"/>
      <c r="AK116" s="772"/>
      <c r="AL116" s="1401"/>
      <c r="AM116" s="52"/>
      <c r="AN116" s="1401"/>
      <c r="AO116" s="1401"/>
      <c r="AP116" s="1401"/>
      <c r="AQ116" s="52"/>
      <c r="AR116" s="1401"/>
      <c r="AS116" s="52"/>
      <c r="AT116" s="52"/>
      <c r="AU116" s="52"/>
      <c r="AV116" s="52"/>
      <c r="AW116" s="52"/>
      <c r="AX116" s="52"/>
      <c r="AY116" s="52"/>
      <c r="AZ116" s="52"/>
      <c r="BA116" s="52"/>
      <c r="BB116" s="52"/>
      <c r="BC116" s="52"/>
      <c r="BD116" s="52"/>
      <c r="BE116" s="52"/>
      <c r="BF116" s="52"/>
      <c r="BG116" s="52"/>
      <c r="BH116" s="52"/>
      <c r="BI116" s="52"/>
      <c r="BJ116" s="52"/>
      <c r="BK116" s="52"/>
      <c r="BL116" s="52"/>
      <c r="BM116" s="52"/>
      <c r="BN116" s="52"/>
    </row>
    <row r="117" spans="1:66" hidden="1" outlineLevel="1">
      <c r="A117" s="1749" t="s">
        <v>1062</v>
      </c>
      <c r="B117" s="772" t="s">
        <v>972</v>
      </c>
      <c r="C117" s="772" t="s">
        <v>972</v>
      </c>
      <c r="D117" s="772" t="s">
        <v>972</v>
      </c>
      <c r="E117" s="772" t="s">
        <v>972</v>
      </c>
      <c r="F117" s="772" t="s">
        <v>972</v>
      </c>
      <c r="G117" s="772" t="s">
        <v>972</v>
      </c>
      <c r="H117" s="772" t="s">
        <v>972</v>
      </c>
      <c r="I117" s="772" t="s">
        <v>972</v>
      </c>
      <c r="J117" s="772" t="s">
        <v>972</v>
      </c>
      <c r="K117" s="772" t="s">
        <v>972</v>
      </c>
      <c r="L117" s="772" t="s">
        <v>972</v>
      </c>
      <c r="M117" s="772" t="s">
        <v>972</v>
      </c>
      <c r="N117" s="772">
        <v>2.3980000000000001</v>
      </c>
      <c r="O117" s="772">
        <v>7.2409999999999997</v>
      </c>
      <c r="P117" s="772">
        <v>14.058999999999999</v>
      </c>
      <c r="Q117" s="772">
        <v>14.617000000000001</v>
      </c>
      <c r="R117" s="772">
        <v>6.4139999999999997</v>
      </c>
      <c r="S117" s="772">
        <v>12.4</v>
      </c>
      <c r="T117" s="772">
        <v>17.516999999999999</v>
      </c>
      <c r="U117" s="772">
        <v>17.120999999999999</v>
      </c>
      <c r="V117" s="772">
        <v>2.1970000000000001</v>
      </c>
      <c r="W117" s="772">
        <v>10.396000000000001</v>
      </c>
      <c r="X117" s="772">
        <v>19.497</v>
      </c>
      <c r="Y117" s="772">
        <v>22.818999999999999</v>
      </c>
      <c r="Z117" s="772">
        <v>7.9139999999999997</v>
      </c>
      <c r="AA117" s="772">
        <v>18.77</v>
      </c>
      <c r="AB117" s="772">
        <v>35.356000000000002</v>
      </c>
      <c r="AC117" s="772">
        <v>34.402000000000001</v>
      </c>
      <c r="AD117" s="772">
        <v>9.5879999999999992</v>
      </c>
      <c r="AE117" s="772">
        <v>36.247</v>
      </c>
      <c r="AF117" s="772">
        <v>79.932000000000002</v>
      </c>
      <c r="AG117" s="772">
        <v>89.314999999999998</v>
      </c>
      <c r="AH117" s="1055"/>
      <c r="AI117" s="1055"/>
      <c r="AJ117" s="1055"/>
      <c r="AK117" s="772"/>
      <c r="AL117" s="1401"/>
      <c r="AM117" s="52"/>
      <c r="AN117" s="1401"/>
      <c r="AO117" s="1401"/>
      <c r="AP117" s="1401"/>
      <c r="AQ117" s="52"/>
      <c r="AR117" s="1401"/>
      <c r="AS117" s="52"/>
      <c r="AT117" s="52"/>
      <c r="AU117" s="52"/>
      <c r="AV117" s="52"/>
      <c r="AW117" s="52"/>
      <c r="AX117" s="52"/>
      <c r="AY117" s="52"/>
      <c r="AZ117" s="52"/>
      <c r="BA117" s="52"/>
      <c r="BB117" s="52"/>
      <c r="BC117" s="52"/>
      <c r="BD117" s="52"/>
      <c r="BE117" s="52"/>
      <c r="BF117" s="52"/>
      <c r="BG117" s="52"/>
      <c r="BH117" s="52"/>
      <c r="BI117" s="52"/>
      <c r="BJ117" s="52"/>
      <c r="BK117" s="52"/>
      <c r="BL117" s="52"/>
      <c r="BM117" s="52"/>
      <c r="BN117" s="52"/>
    </row>
    <row r="118" spans="1:66" collapsed="1">
      <c r="A118" s="1746" t="s">
        <v>1190</v>
      </c>
      <c r="B118" s="774">
        <f t="shared" ref="B118:AQ118" si="104">SUM(B119:B121)</f>
        <v>0</v>
      </c>
      <c r="C118" s="774">
        <f t="shared" si="104"/>
        <v>0</v>
      </c>
      <c r="D118" s="774">
        <f t="shared" si="104"/>
        <v>0</v>
      </c>
      <c r="E118" s="774">
        <f t="shared" si="104"/>
        <v>0</v>
      </c>
      <c r="F118" s="774">
        <f t="shared" si="104"/>
        <v>0</v>
      </c>
      <c r="G118" s="774">
        <f t="shared" si="104"/>
        <v>0</v>
      </c>
      <c r="H118" s="774">
        <f t="shared" si="104"/>
        <v>0</v>
      </c>
      <c r="I118" s="774">
        <f t="shared" si="104"/>
        <v>0</v>
      </c>
      <c r="J118" s="774">
        <f t="shared" si="104"/>
        <v>0</v>
      </c>
      <c r="K118" s="774">
        <f t="shared" si="104"/>
        <v>0</v>
      </c>
      <c r="L118" s="774">
        <f t="shared" si="104"/>
        <v>0</v>
      </c>
      <c r="M118" s="774">
        <f t="shared" si="104"/>
        <v>0</v>
      </c>
      <c r="N118" s="774">
        <f t="shared" si="104"/>
        <v>-14.476000000000001</v>
      </c>
      <c r="O118" s="774">
        <f t="shared" si="104"/>
        <v>-19.483999999999998</v>
      </c>
      <c r="P118" s="774">
        <f t="shared" si="104"/>
        <v>-13.194999999999999</v>
      </c>
      <c r="Q118" s="774">
        <f t="shared" si="104"/>
        <v>-14.298999999999999</v>
      </c>
      <c r="R118" s="774">
        <f t="shared" si="104"/>
        <v>-14.308</v>
      </c>
      <c r="S118" s="774">
        <f t="shared" si="104"/>
        <v>-18.445999999999998</v>
      </c>
      <c r="T118" s="774">
        <f t="shared" si="104"/>
        <v>-18.073</v>
      </c>
      <c r="U118" s="774">
        <f t="shared" si="104"/>
        <v>-7.3779999999999992</v>
      </c>
      <c r="V118" s="774">
        <f t="shared" si="104"/>
        <v>-13.406000000000001</v>
      </c>
      <c r="W118" s="774">
        <f t="shared" si="104"/>
        <v>-18.712</v>
      </c>
      <c r="X118" s="774">
        <f t="shared" si="104"/>
        <v>-14.118000000000002</v>
      </c>
      <c r="Y118" s="774">
        <f t="shared" si="104"/>
        <v>-7.5119999999999951</v>
      </c>
      <c r="Z118" s="774">
        <f t="shared" si="104"/>
        <v>-8.979000000000001</v>
      </c>
      <c r="AA118" s="774">
        <f t="shared" si="104"/>
        <v>-28.193000000000001</v>
      </c>
      <c r="AB118" s="774">
        <f t="shared" si="104"/>
        <v>-17.344999999999999</v>
      </c>
      <c r="AC118" s="774">
        <f t="shared" si="104"/>
        <v>-17.948999999999995</v>
      </c>
      <c r="AD118" s="774">
        <f t="shared" si="104"/>
        <v>-22.881999999999998</v>
      </c>
      <c r="AE118" s="774">
        <f t="shared" si="104"/>
        <v>-33.224999999999994</v>
      </c>
      <c r="AF118" s="774">
        <f t="shared" si="104"/>
        <v>-17.478000000000002</v>
      </c>
      <c r="AG118" s="774">
        <f t="shared" si="104"/>
        <v>-16.744000000000003</v>
      </c>
      <c r="AH118" s="774">
        <f t="shared" si="104"/>
        <v>-19.768999999999998</v>
      </c>
      <c r="AI118" s="774">
        <f t="shared" si="104"/>
        <v>-23.202999999999999</v>
      </c>
      <c r="AJ118" s="774">
        <f t="shared" si="104"/>
        <v>-23.195999999999998</v>
      </c>
      <c r="AK118" s="1578">
        <f t="shared" si="104"/>
        <v>-28.04999999999999</v>
      </c>
      <c r="AL118" s="774">
        <f t="shared" si="104"/>
        <v>-14.655999999999999</v>
      </c>
      <c r="AM118" s="774">
        <f t="shared" si="104"/>
        <v>-27.9</v>
      </c>
      <c r="AN118" s="774">
        <f t="shared" si="104"/>
        <v>-32.923000000000002</v>
      </c>
      <c r="AO118" s="774">
        <f t="shared" si="104"/>
        <v>-33.664999999999999</v>
      </c>
      <c r="AP118" s="774">
        <f t="shared" si="104"/>
        <v>-27.131</v>
      </c>
      <c r="AQ118" s="774">
        <f t="shared" si="104"/>
        <v>-29.852</v>
      </c>
      <c r="AR118" s="881">
        <v>-21.078999999999997</v>
      </c>
      <c r="AS118" s="1018">
        <f t="shared" ref="AS118:AT118" si="105">SUM(AS119:AS121)</f>
        <v>-28.75800000000001</v>
      </c>
      <c r="AT118" s="1018">
        <f t="shared" si="105"/>
        <v>-27.130999999999997</v>
      </c>
      <c r="AU118" s="1018"/>
      <c r="AV118" s="1018"/>
      <c r="AW118" s="1018"/>
      <c r="AX118" s="1018"/>
      <c r="AY118" s="1018"/>
      <c r="AZ118" s="1018"/>
      <c r="BA118" s="1018"/>
      <c r="BB118" s="1018"/>
      <c r="BC118" s="1018"/>
      <c r="BD118" s="1018"/>
      <c r="BE118" s="1018"/>
      <c r="BF118" s="1018"/>
      <c r="BG118" s="1018"/>
      <c r="BH118" s="1018"/>
      <c r="BI118" s="1018"/>
      <c r="BJ118" s="1018"/>
      <c r="BK118" s="1018"/>
      <c r="BL118" s="1018"/>
      <c r="BM118" s="1018"/>
      <c r="BN118" s="1018"/>
    </row>
    <row r="119" spans="1:66">
      <c r="A119" s="1749" t="s">
        <v>54</v>
      </c>
      <c r="B119" s="772" t="s">
        <v>972</v>
      </c>
      <c r="C119" s="772" t="s">
        <v>972</v>
      </c>
      <c r="D119" s="772" t="s">
        <v>972</v>
      </c>
      <c r="E119" s="772" t="s">
        <v>972</v>
      </c>
      <c r="F119" s="772" t="s">
        <v>972</v>
      </c>
      <c r="G119" s="772" t="s">
        <v>972</v>
      </c>
      <c r="H119" s="772" t="s">
        <v>972</v>
      </c>
      <c r="I119" s="772" t="s">
        <v>972</v>
      </c>
      <c r="J119" s="772" t="s">
        <v>972</v>
      </c>
      <c r="K119" s="772" t="s">
        <v>972</v>
      </c>
      <c r="L119" s="772" t="s">
        <v>972</v>
      </c>
      <c r="M119" s="772" t="s">
        <v>972</v>
      </c>
      <c r="N119" s="776">
        <f>N100</f>
        <v>-10.462999999999999</v>
      </c>
      <c r="O119" s="776">
        <f t="shared" ref="O119:Q121" si="106">O100-N100</f>
        <v>-12.836</v>
      </c>
      <c r="P119" s="776">
        <f t="shared" si="106"/>
        <v>-10.420999999999999</v>
      </c>
      <c r="Q119" s="776">
        <f t="shared" si="106"/>
        <v>-12.326999999999998</v>
      </c>
      <c r="R119" s="776">
        <f>R100</f>
        <v>-11.446</v>
      </c>
      <c r="S119" s="776">
        <f t="shared" ref="S119:U121" si="107">S100-R100</f>
        <v>-15.459999999999999</v>
      </c>
      <c r="T119" s="776">
        <f t="shared" si="107"/>
        <v>-14.920000000000002</v>
      </c>
      <c r="U119" s="776">
        <f t="shared" si="107"/>
        <v>-5.4480000000000004</v>
      </c>
      <c r="V119" s="776">
        <f>V100</f>
        <v>-12.076000000000001</v>
      </c>
      <c r="W119" s="776">
        <f t="shared" ref="W119:Y121" si="108">W100-V100</f>
        <v>-16.468</v>
      </c>
      <c r="X119" s="776">
        <f t="shared" si="108"/>
        <v>-10.641000000000002</v>
      </c>
      <c r="Y119" s="776">
        <f t="shared" si="108"/>
        <v>-4.8099999999999952</v>
      </c>
      <c r="Z119" s="776">
        <f>Z100</f>
        <v>-7.008</v>
      </c>
      <c r="AA119" s="776">
        <f t="shared" ref="AA119:AC121" si="109">AA100-Z100</f>
        <v>-25.647000000000002</v>
      </c>
      <c r="AB119" s="776">
        <f t="shared" si="109"/>
        <v>-10.438000000000002</v>
      </c>
      <c r="AC119" s="776">
        <f t="shared" si="109"/>
        <v>-14.171999999999997</v>
      </c>
      <c r="AD119" s="776">
        <f>AD100</f>
        <v>-15.343</v>
      </c>
      <c r="AE119" s="776">
        <f t="shared" ref="AE119:AG121" si="110">AE100-AD100</f>
        <v>-21.127999999999997</v>
      </c>
      <c r="AF119" s="776">
        <f t="shared" si="110"/>
        <v>-12.511000000000003</v>
      </c>
      <c r="AG119" s="776">
        <f t="shared" si="110"/>
        <v>-13.033000000000001</v>
      </c>
      <c r="AH119" s="772">
        <v>-13.784000000000001</v>
      </c>
      <c r="AI119" s="772">
        <v>-18.812000000000001</v>
      </c>
      <c r="AJ119" s="772">
        <v>-20.071999999999999</v>
      </c>
      <c r="AK119" s="1579">
        <f>-76.154-SUM(AH119:AJ119)</f>
        <v>-23.48599999999999</v>
      </c>
      <c r="AL119" s="883">
        <v>-11.651999999999999</v>
      </c>
      <c r="AM119" s="883">
        <v>-16.081</v>
      </c>
      <c r="AN119" s="883">
        <v>-22.859000000000002</v>
      </c>
      <c r="AO119" s="1580">
        <f>-78.984-SUM(AL119:AN119)</f>
        <v>-28.391999999999996</v>
      </c>
      <c r="AP119" s="883">
        <v>-21.581</v>
      </c>
      <c r="AQ119" s="883">
        <v>-23.808</v>
      </c>
      <c r="AR119" s="883">
        <v>-17.507999999999999</v>
      </c>
      <c r="AS119" s="883">
        <f>-86.766-SUM(AP119:AR119)</f>
        <v>-23.869000000000014</v>
      </c>
      <c r="AT119" s="1019">
        <v>-21.581</v>
      </c>
      <c r="AU119" s="1019"/>
      <c r="AV119" s="1019"/>
      <c r="AW119" s="1019"/>
      <c r="AX119" s="1019"/>
      <c r="AY119" s="1019"/>
      <c r="AZ119" s="1019"/>
      <c r="BA119" s="1019"/>
      <c r="BB119" s="1019"/>
      <c r="BC119" s="1019"/>
      <c r="BD119" s="1019"/>
      <c r="BE119" s="1019"/>
      <c r="BF119" s="1019"/>
      <c r="BG119" s="1019"/>
      <c r="BH119" s="1019"/>
      <c r="BI119" s="1019"/>
      <c r="BJ119" s="1019"/>
      <c r="BK119" s="1019"/>
      <c r="BL119" s="1019"/>
      <c r="BM119" s="1019"/>
      <c r="BN119" s="1019"/>
    </row>
    <row r="120" spans="1:66">
      <c r="A120" s="1749" t="s">
        <v>42</v>
      </c>
      <c r="B120" s="772" t="s">
        <v>972</v>
      </c>
      <c r="C120" s="772" t="s">
        <v>972</v>
      </c>
      <c r="D120" s="772" t="s">
        <v>972</v>
      </c>
      <c r="E120" s="772" t="s">
        <v>972</v>
      </c>
      <c r="F120" s="772" t="s">
        <v>972</v>
      </c>
      <c r="G120" s="772" t="s">
        <v>972</v>
      </c>
      <c r="H120" s="772" t="s">
        <v>972</v>
      </c>
      <c r="I120" s="772" t="s">
        <v>972</v>
      </c>
      <c r="J120" s="772" t="s">
        <v>972</v>
      </c>
      <c r="K120" s="772" t="s">
        <v>972</v>
      </c>
      <c r="L120" s="772" t="s">
        <v>972</v>
      </c>
      <c r="M120" s="772" t="s">
        <v>972</v>
      </c>
      <c r="N120" s="776">
        <f>N101</f>
        <v>-3.976</v>
      </c>
      <c r="O120" s="776">
        <f t="shared" si="106"/>
        <v>-6.5529999999999999</v>
      </c>
      <c r="P120" s="776">
        <f t="shared" si="106"/>
        <v>-2.6449999999999996</v>
      </c>
      <c r="Q120" s="776">
        <f t="shared" si="106"/>
        <v>-1.9120000000000008</v>
      </c>
      <c r="R120" s="776">
        <f>R101</f>
        <v>-2.7810000000000001</v>
      </c>
      <c r="S120" s="776">
        <f t="shared" si="107"/>
        <v>-2.9629999999999996</v>
      </c>
      <c r="T120" s="776">
        <f t="shared" si="107"/>
        <v>-3.1500000000000004</v>
      </c>
      <c r="U120" s="776">
        <f t="shared" si="107"/>
        <v>-1.8829999999999991</v>
      </c>
      <c r="V120" s="776">
        <f>V101</f>
        <v>-0.83599999999999997</v>
      </c>
      <c r="W120" s="776">
        <f t="shared" si="108"/>
        <v>-1.496</v>
      </c>
      <c r="X120" s="776">
        <f t="shared" si="108"/>
        <v>-2.5040000000000004</v>
      </c>
      <c r="Y120" s="776">
        <f t="shared" si="108"/>
        <v>-1.8940000000000001</v>
      </c>
      <c r="Z120" s="776">
        <f>Z101</f>
        <v>-1.19</v>
      </c>
      <c r="AA120" s="776">
        <f t="shared" si="109"/>
        <v>-1.7320000000000002</v>
      </c>
      <c r="AB120" s="776">
        <f t="shared" si="109"/>
        <v>-6.1019999999999985</v>
      </c>
      <c r="AC120" s="776">
        <f t="shared" si="109"/>
        <v>-2.9000000000000004</v>
      </c>
      <c r="AD120" s="776">
        <f>AD101</f>
        <v>-6.6150000000000002</v>
      </c>
      <c r="AE120" s="776">
        <f t="shared" si="110"/>
        <v>-11.173</v>
      </c>
      <c r="AF120" s="776">
        <f t="shared" si="110"/>
        <v>-3.9839999999999982</v>
      </c>
      <c r="AG120" s="776">
        <f t="shared" si="110"/>
        <v>-1.1710000000000029</v>
      </c>
      <c r="AH120" s="772">
        <v>-4.7590000000000003</v>
      </c>
      <c r="AI120" s="772">
        <v>-2.8969999999999998</v>
      </c>
      <c r="AJ120" s="772">
        <v>-1.5669999999999999</v>
      </c>
      <c r="AK120" s="1579">
        <f>-12.297-SUM(AH120:AJ120)</f>
        <v>-3.0739999999999998</v>
      </c>
      <c r="AL120" s="883">
        <v>-1.39</v>
      </c>
      <c r="AM120" s="883">
        <v>-10.31</v>
      </c>
      <c r="AN120" s="883">
        <v>-8.7129999999999992</v>
      </c>
      <c r="AO120" s="1580">
        <f>-24.277-SUM(AL120:AN120)</f>
        <v>-3.8640000000000008</v>
      </c>
      <c r="AP120" s="883">
        <v>-1.9610000000000001</v>
      </c>
      <c r="AQ120" s="883">
        <v>-4.6310000000000002</v>
      </c>
      <c r="AR120" s="883">
        <v>-1.5780000000000001</v>
      </c>
      <c r="AS120" s="883">
        <f>-10.672-2.16-SUM(AP120:AR120)</f>
        <v>-4.6620000000000008</v>
      </c>
      <c r="AT120" s="1019">
        <v>-4.1210000000000004</v>
      </c>
      <c r="AU120" s="1019"/>
      <c r="AV120" s="1019"/>
      <c r="AW120" s="1019"/>
      <c r="AX120" s="1019"/>
      <c r="AY120" s="1019"/>
      <c r="AZ120" s="1019"/>
      <c r="BA120" s="1019"/>
      <c r="BB120" s="1019"/>
      <c r="BC120" s="1019"/>
      <c r="BD120" s="1019"/>
      <c r="BE120" s="1019"/>
      <c r="BF120" s="1019"/>
      <c r="BG120" s="1019"/>
      <c r="BH120" s="1019"/>
      <c r="BI120" s="1019"/>
      <c r="BJ120" s="1019"/>
      <c r="BK120" s="1019"/>
      <c r="BL120" s="1019"/>
      <c r="BM120" s="1019"/>
      <c r="BN120" s="1019"/>
    </row>
    <row r="121" spans="1:66">
      <c r="A121" s="1749" t="s">
        <v>1083</v>
      </c>
      <c r="B121" s="772" t="s">
        <v>972</v>
      </c>
      <c r="C121" s="772" t="s">
        <v>972</v>
      </c>
      <c r="D121" s="772" t="s">
        <v>972</v>
      </c>
      <c r="E121" s="772" t="s">
        <v>972</v>
      </c>
      <c r="F121" s="772" t="s">
        <v>972</v>
      </c>
      <c r="G121" s="772" t="s">
        <v>972</v>
      </c>
      <c r="H121" s="772" t="s">
        <v>972</v>
      </c>
      <c r="I121" s="772" t="s">
        <v>972</v>
      </c>
      <c r="J121" s="772" t="s">
        <v>972</v>
      </c>
      <c r="K121" s="772" t="s">
        <v>972</v>
      </c>
      <c r="L121" s="772" t="s">
        <v>972</v>
      </c>
      <c r="M121" s="772" t="s">
        <v>972</v>
      </c>
      <c r="N121" s="776">
        <f>N102</f>
        <v>-3.6999999999999998E-2</v>
      </c>
      <c r="O121" s="776">
        <f t="shared" si="106"/>
        <v>-9.5000000000000001E-2</v>
      </c>
      <c r="P121" s="776">
        <f t="shared" si="106"/>
        <v>-0.129</v>
      </c>
      <c r="Q121" s="776">
        <f t="shared" si="106"/>
        <v>-0.06</v>
      </c>
      <c r="R121" s="776">
        <f>R102</f>
        <v>-8.1000000000000003E-2</v>
      </c>
      <c r="S121" s="776">
        <f t="shared" si="107"/>
        <v>-2.2999999999999993E-2</v>
      </c>
      <c r="T121" s="776">
        <f t="shared" si="107"/>
        <v>-3.0000000000000027E-3</v>
      </c>
      <c r="U121" s="776">
        <f t="shared" si="107"/>
        <v>-4.7E-2</v>
      </c>
      <c r="V121" s="776">
        <f>V102</f>
        <v>-0.49399999999999999</v>
      </c>
      <c r="W121" s="776">
        <f t="shared" si="108"/>
        <v>-0.748</v>
      </c>
      <c r="X121" s="776">
        <f t="shared" si="108"/>
        <v>-0.97299999999999986</v>
      </c>
      <c r="Y121" s="776">
        <f t="shared" si="108"/>
        <v>-0.80800000000000027</v>
      </c>
      <c r="Z121" s="776">
        <f>Z102</f>
        <v>-0.78100000000000003</v>
      </c>
      <c r="AA121" s="776">
        <f t="shared" si="109"/>
        <v>-0.81399999999999995</v>
      </c>
      <c r="AB121" s="776">
        <f t="shared" si="109"/>
        <v>-0.80499999999999994</v>
      </c>
      <c r="AC121" s="776">
        <f t="shared" si="109"/>
        <v>-0.87700000000000022</v>
      </c>
      <c r="AD121" s="776">
        <f>AD102</f>
        <v>-0.92400000000000004</v>
      </c>
      <c r="AE121" s="776">
        <f t="shared" si="110"/>
        <v>-0.92400000000000004</v>
      </c>
      <c r="AF121" s="776">
        <f t="shared" si="110"/>
        <v>-0.98299999999999987</v>
      </c>
      <c r="AG121" s="776">
        <f t="shared" si="110"/>
        <v>-2.5400000000000005</v>
      </c>
      <c r="AH121" s="772">
        <v>-1.226</v>
      </c>
      <c r="AI121" s="772">
        <v>-1.494</v>
      </c>
      <c r="AJ121" s="772">
        <v>-1.5569999999999999</v>
      </c>
      <c r="AK121" s="1579">
        <f>-5.767-SUM(AH121:AJ121)</f>
        <v>-1.4900000000000011</v>
      </c>
      <c r="AL121" s="883">
        <f>-(1.589+0+0.025)</f>
        <v>-1.6139999999999999</v>
      </c>
      <c r="AM121" s="883">
        <f>-1.465-0.044</f>
        <v>-1.5090000000000001</v>
      </c>
      <c r="AN121" s="883">
        <f>-1.351</f>
        <v>-1.351</v>
      </c>
      <c r="AO121" s="1580">
        <f>-5.806-0.077-SUM(AL121:AN121)</f>
        <v>-1.4089999999999998</v>
      </c>
      <c r="AP121" s="883">
        <f>-2.16-1.429</f>
        <v>-3.5890000000000004</v>
      </c>
      <c r="AQ121" s="883">
        <v>-1.413</v>
      </c>
      <c r="AR121" s="883">
        <v>-1.9929999999999999</v>
      </c>
      <c r="AS121" s="883">
        <f>-6.978-0.244-SUM(AP121:AR121)</f>
        <v>-0.22699999999999854</v>
      </c>
      <c r="AT121" s="1019">
        <v>-1.429</v>
      </c>
      <c r="AU121" s="1019"/>
      <c r="AV121" s="1019"/>
      <c r="AW121" s="1019"/>
      <c r="AX121" s="1019"/>
      <c r="AY121" s="1019"/>
      <c r="AZ121" s="1019"/>
      <c r="BA121" s="1019"/>
      <c r="BB121" s="1019"/>
      <c r="BC121" s="1019"/>
      <c r="BD121" s="1019"/>
      <c r="BE121" s="1019"/>
      <c r="BF121" s="1019"/>
      <c r="BG121" s="1019"/>
      <c r="BH121" s="1019"/>
      <c r="BI121" s="1019"/>
      <c r="BJ121" s="1019"/>
      <c r="BK121" s="1019"/>
      <c r="BL121" s="1019"/>
      <c r="BM121" s="1019"/>
      <c r="BN121" s="1019"/>
    </row>
    <row r="122" spans="1:66">
      <c r="A122" s="1736"/>
      <c r="B122" s="195"/>
      <c r="C122" s="195"/>
      <c r="D122" s="195"/>
      <c r="E122" s="195"/>
      <c r="F122" s="195"/>
      <c r="G122" s="1052"/>
      <c r="H122" s="1052"/>
      <c r="I122" s="1053"/>
      <c r="J122" s="1053"/>
      <c r="K122" s="1053"/>
      <c r="L122" s="1053"/>
      <c r="M122" s="1053"/>
      <c r="N122" s="772"/>
      <c r="O122" s="772"/>
      <c r="P122" s="772"/>
      <c r="Q122" s="772"/>
      <c r="R122" s="772"/>
      <c r="S122" s="772"/>
      <c r="T122" s="772"/>
      <c r="U122" s="772"/>
      <c r="V122" s="772"/>
      <c r="W122" s="772"/>
      <c r="X122" s="772"/>
      <c r="Y122" s="772"/>
      <c r="Z122" s="772"/>
      <c r="AA122" s="772"/>
      <c r="AB122" s="772"/>
      <c r="AC122" s="772"/>
      <c r="AD122" s="772"/>
      <c r="AE122" s="772"/>
      <c r="AF122" s="772"/>
      <c r="AG122" s="772"/>
      <c r="AH122" s="772"/>
      <c r="AI122" s="772"/>
      <c r="AJ122" s="772"/>
      <c r="AK122" s="1579"/>
      <c r="AL122" s="1019"/>
      <c r="AM122" s="1019"/>
      <c r="AN122" s="1019"/>
      <c r="AO122" s="1581"/>
      <c r="AP122" s="1581"/>
      <c r="AQ122" s="1581"/>
      <c r="AR122" s="1581"/>
      <c r="AS122" s="883"/>
      <c r="AT122" s="1019"/>
      <c r="AU122" s="1019"/>
      <c r="AV122" s="1019"/>
      <c r="AW122" s="1019"/>
      <c r="AX122" s="1019"/>
      <c r="AY122" s="1019"/>
      <c r="AZ122" s="1019"/>
      <c r="BA122" s="1019"/>
      <c r="BB122" s="1019"/>
      <c r="BC122" s="1019"/>
      <c r="BD122" s="1019"/>
      <c r="BE122" s="1019"/>
      <c r="BF122" s="1019"/>
      <c r="BG122" s="1019"/>
      <c r="BH122" s="1019"/>
      <c r="BI122" s="1019"/>
      <c r="BJ122" s="1019"/>
      <c r="BK122" s="1019"/>
      <c r="BL122" s="1019"/>
      <c r="BM122" s="1019"/>
      <c r="BN122" s="1019"/>
    </row>
    <row r="123" spans="1:66">
      <c r="A123" s="1746" t="s">
        <v>1063</v>
      </c>
      <c r="B123" s="774">
        <f t="shared" ref="B123:AO123" si="111">SUM(B124:B126)</f>
        <v>0</v>
      </c>
      <c r="C123" s="774">
        <f t="shared" si="111"/>
        <v>0</v>
      </c>
      <c r="D123" s="774">
        <f t="shared" si="111"/>
        <v>0</v>
      </c>
      <c r="E123" s="774">
        <f t="shared" si="111"/>
        <v>0</v>
      </c>
      <c r="F123" s="774">
        <f t="shared" si="111"/>
        <v>0</v>
      </c>
      <c r="G123" s="774">
        <f t="shared" si="111"/>
        <v>0</v>
      </c>
      <c r="H123" s="774">
        <f t="shared" si="111"/>
        <v>0</v>
      </c>
      <c r="I123" s="774">
        <f t="shared" si="111"/>
        <v>0</v>
      </c>
      <c r="J123" s="774">
        <f t="shared" si="111"/>
        <v>0</v>
      </c>
      <c r="K123" s="774">
        <f t="shared" si="111"/>
        <v>0</v>
      </c>
      <c r="L123" s="774">
        <f t="shared" si="111"/>
        <v>0</v>
      </c>
      <c r="M123" s="774">
        <f t="shared" si="111"/>
        <v>0</v>
      </c>
      <c r="N123" s="774">
        <f t="shared" si="111"/>
        <v>-20.088000000000001</v>
      </c>
      <c r="O123" s="774">
        <f t="shared" si="111"/>
        <v>-22.848999999999997</v>
      </c>
      <c r="P123" s="774">
        <f t="shared" si="111"/>
        <v>-18.108000000000001</v>
      </c>
      <c r="Q123" s="774">
        <f t="shared" si="111"/>
        <v>-27.178000000000004</v>
      </c>
      <c r="R123" s="774">
        <f t="shared" si="111"/>
        <v>-19.827000000000002</v>
      </c>
      <c r="S123" s="774">
        <f t="shared" si="111"/>
        <v>-32.456999999999994</v>
      </c>
      <c r="T123" s="774">
        <f t="shared" si="111"/>
        <v>-23.558000000000007</v>
      </c>
      <c r="U123" s="774">
        <f t="shared" si="111"/>
        <v>-18.416999999999994</v>
      </c>
      <c r="V123" s="774">
        <f t="shared" si="111"/>
        <v>-22.110999999999997</v>
      </c>
      <c r="W123" s="774">
        <f t="shared" si="111"/>
        <v>-33.1</v>
      </c>
      <c r="X123" s="774">
        <f t="shared" si="111"/>
        <v>-26.758999999999997</v>
      </c>
      <c r="Y123" s="774">
        <f t="shared" si="111"/>
        <v>-25.041000000000004</v>
      </c>
      <c r="Z123" s="774">
        <f t="shared" si="111"/>
        <v>-28.279</v>
      </c>
      <c r="AA123" s="774">
        <f t="shared" si="111"/>
        <v>-33.491</v>
      </c>
      <c r="AB123" s="774">
        <f t="shared" si="111"/>
        <v>-23.730000000000008</v>
      </c>
      <c r="AC123" s="774">
        <f t="shared" si="111"/>
        <v>-32.980000000000004</v>
      </c>
      <c r="AD123" s="774">
        <f t="shared" si="111"/>
        <v>-30.332000000000001</v>
      </c>
      <c r="AE123" s="774">
        <f t="shared" si="111"/>
        <v>-38.856000000000002</v>
      </c>
      <c r="AF123" s="774">
        <f t="shared" si="111"/>
        <v>-28.35</v>
      </c>
      <c r="AG123" s="774">
        <f t="shared" si="111"/>
        <v>-31.396000000000001</v>
      </c>
      <c r="AH123" s="774">
        <f t="shared" si="111"/>
        <v>-32.92</v>
      </c>
      <c r="AI123" s="774">
        <f t="shared" si="111"/>
        <v>-33.771999999999998</v>
      </c>
      <c r="AJ123" s="774">
        <f t="shared" si="111"/>
        <v>-40.228999999999999</v>
      </c>
      <c r="AK123" s="1578">
        <f t="shared" si="111"/>
        <v>-42.872999999999998</v>
      </c>
      <c r="AL123" s="774">
        <f t="shared" si="111"/>
        <v>-30.822000000000003</v>
      </c>
      <c r="AM123" s="774">
        <f t="shared" si="111"/>
        <v>-38.384</v>
      </c>
      <c r="AN123" s="774">
        <f t="shared" si="111"/>
        <v>-34.945999999999998</v>
      </c>
      <c r="AO123" s="1578">
        <f t="shared" si="111"/>
        <v>-41.061</v>
      </c>
      <c r="AP123" s="774">
        <f t="shared" ref="AP123:AQ123" si="112">SUM(AP124:AP126)</f>
        <v>-40.207999999999998</v>
      </c>
      <c r="AQ123" s="774">
        <f t="shared" si="112"/>
        <v>-42.486000000000004</v>
      </c>
      <c r="AR123" s="881">
        <v>-38.769999999999996</v>
      </c>
      <c r="AS123" s="1018">
        <f t="shared" ref="AS123:AT123" si="113">SUM(AS124:AS126)</f>
        <v>-31.421999999999993</v>
      </c>
      <c r="AT123" s="1018">
        <f t="shared" si="113"/>
        <v>-40.209000000000003</v>
      </c>
      <c r="AU123" s="1018"/>
      <c r="AV123" s="1018"/>
      <c r="AW123" s="1018"/>
      <c r="AX123" s="1018"/>
      <c r="AY123" s="1018"/>
      <c r="AZ123" s="1018"/>
      <c r="BA123" s="1018"/>
      <c r="BB123" s="1018"/>
      <c r="BC123" s="1018"/>
      <c r="BD123" s="1018"/>
      <c r="BE123" s="1018"/>
      <c r="BF123" s="1018"/>
      <c r="BG123" s="1018"/>
      <c r="BH123" s="1018"/>
      <c r="BI123" s="1018"/>
      <c r="BJ123" s="1018"/>
      <c r="BK123" s="1018"/>
      <c r="BL123" s="1018"/>
      <c r="BM123" s="1018"/>
      <c r="BN123" s="1018"/>
    </row>
    <row r="124" spans="1:66">
      <c r="A124" s="1749" t="s">
        <v>54</v>
      </c>
      <c r="B124" s="772" t="s">
        <v>972</v>
      </c>
      <c r="C124" s="772" t="s">
        <v>972</v>
      </c>
      <c r="D124" s="772" t="s">
        <v>972</v>
      </c>
      <c r="E124" s="772" t="s">
        <v>972</v>
      </c>
      <c r="F124" s="772" t="s">
        <v>972</v>
      </c>
      <c r="G124" s="772" t="s">
        <v>972</v>
      </c>
      <c r="H124" s="772" t="s">
        <v>972</v>
      </c>
      <c r="I124" s="772" t="s">
        <v>972</v>
      </c>
      <c r="J124" s="772" t="s">
        <v>972</v>
      </c>
      <c r="K124" s="772" t="s">
        <v>972</v>
      </c>
      <c r="L124" s="772" t="s">
        <v>972</v>
      </c>
      <c r="M124" s="772" t="s">
        <v>972</v>
      </c>
      <c r="N124" s="776">
        <f>N105</f>
        <v>-7.7430000000000003</v>
      </c>
      <c r="O124" s="776">
        <f t="shared" ref="O124:Q126" si="114">O105-N105</f>
        <v>-9.2269999999999985</v>
      </c>
      <c r="P124" s="776">
        <f t="shared" si="114"/>
        <v>-6.59</v>
      </c>
      <c r="Q124" s="776">
        <f t="shared" si="114"/>
        <v>-12.226000000000003</v>
      </c>
      <c r="R124" s="776">
        <f>R105</f>
        <v>-9.6310000000000002</v>
      </c>
      <c r="S124" s="776">
        <f t="shared" ref="S124:U126" si="115">S105-R105</f>
        <v>-17.088999999999999</v>
      </c>
      <c r="T124" s="776">
        <f t="shared" si="115"/>
        <v>-9.3860000000000028</v>
      </c>
      <c r="U124" s="776">
        <f t="shared" si="115"/>
        <v>-5.8599999999999994</v>
      </c>
      <c r="V124" s="776">
        <f>V105</f>
        <v>-12.337999999999999</v>
      </c>
      <c r="W124" s="776">
        <f t="shared" ref="W124:Y126" si="116">W105-V105</f>
        <v>-20.911999999999999</v>
      </c>
      <c r="X124" s="776">
        <f t="shared" si="116"/>
        <v>-11.332999999999998</v>
      </c>
      <c r="Y124" s="776">
        <f t="shared" si="116"/>
        <v>-9.1360000000000028</v>
      </c>
      <c r="Z124" s="776">
        <f>Z105</f>
        <v>-12.372999999999999</v>
      </c>
      <c r="AA124" s="776">
        <f t="shared" ref="AA124:AC126" si="117">AA105-Z105</f>
        <v>-23.991</v>
      </c>
      <c r="AB124" s="776">
        <f t="shared" si="117"/>
        <v>-7.6470000000000056</v>
      </c>
      <c r="AC124" s="776">
        <f t="shared" si="117"/>
        <v>-16.664999999999999</v>
      </c>
      <c r="AD124" s="772">
        <v>-13.018000000000001</v>
      </c>
      <c r="AE124" s="772">
        <v>-18.465</v>
      </c>
      <c r="AF124" s="772">
        <v>-11.744999999999999</v>
      </c>
      <c r="AG124" s="772">
        <f>AG105-AF105</f>
        <v>-13.158000000000001</v>
      </c>
      <c r="AH124" s="772">
        <v>-13.414</v>
      </c>
      <c r="AI124" s="772">
        <v>-17.327999999999999</v>
      </c>
      <c r="AJ124" s="772">
        <v>-20.100000000000001</v>
      </c>
      <c r="AK124" s="1579">
        <f>-67.714-SUM(AH124:AJ124)</f>
        <v>-16.872</v>
      </c>
      <c r="AL124" s="883">
        <v>-12.157</v>
      </c>
      <c r="AM124" s="883">
        <v>-14.455</v>
      </c>
      <c r="AN124" s="883">
        <v>-14.769</v>
      </c>
      <c r="AO124" s="1580">
        <f>-61.481-SUM(AL124:AN124)</f>
        <v>-20.100000000000001</v>
      </c>
      <c r="AP124" s="883">
        <v>-20.283000000000001</v>
      </c>
      <c r="AQ124" s="883">
        <v>-19.199000000000002</v>
      </c>
      <c r="AR124" s="883">
        <v>-17.408000000000001</v>
      </c>
      <c r="AS124" s="883">
        <f>-72.63-SUM(AP124:AR124)</f>
        <v>-15.739999999999995</v>
      </c>
      <c r="AT124" s="1019">
        <v>-19.466000000000001</v>
      </c>
      <c r="AU124" s="1019"/>
      <c r="AV124" s="1019"/>
      <c r="AW124" s="1019"/>
      <c r="AX124" s="1019"/>
      <c r="AY124" s="1019"/>
      <c r="AZ124" s="1019"/>
      <c r="BA124" s="1019"/>
      <c r="BB124" s="1019"/>
      <c r="BC124" s="1019"/>
      <c r="BD124" s="1019"/>
      <c r="BE124" s="1019"/>
      <c r="BF124" s="1019"/>
      <c r="BG124" s="1019"/>
      <c r="BH124" s="1019"/>
      <c r="BI124" s="1019"/>
      <c r="BJ124" s="1019"/>
      <c r="BK124" s="1019"/>
      <c r="BL124" s="1019"/>
      <c r="BM124" s="1019"/>
      <c r="BN124" s="1019"/>
    </row>
    <row r="125" spans="1:66">
      <c r="A125" s="1749" t="s">
        <v>42</v>
      </c>
      <c r="B125" s="772" t="s">
        <v>972</v>
      </c>
      <c r="C125" s="772" t="s">
        <v>972</v>
      </c>
      <c r="D125" s="772" t="s">
        <v>972</v>
      </c>
      <c r="E125" s="772" t="s">
        <v>972</v>
      </c>
      <c r="F125" s="772" t="s">
        <v>972</v>
      </c>
      <c r="G125" s="772" t="s">
        <v>972</v>
      </c>
      <c r="H125" s="772" t="s">
        <v>972</v>
      </c>
      <c r="I125" s="772" t="s">
        <v>972</v>
      </c>
      <c r="J125" s="772" t="s">
        <v>972</v>
      </c>
      <c r="K125" s="772" t="s">
        <v>972</v>
      </c>
      <c r="L125" s="772" t="s">
        <v>972</v>
      </c>
      <c r="M125" s="772" t="s">
        <v>972</v>
      </c>
      <c r="N125" s="776">
        <f>N106</f>
        <v>-10.336</v>
      </c>
      <c r="O125" s="776">
        <f t="shared" si="114"/>
        <v>-11.336999999999998</v>
      </c>
      <c r="P125" s="776">
        <f t="shared" si="114"/>
        <v>-9.7070000000000007</v>
      </c>
      <c r="Q125" s="776">
        <f t="shared" si="114"/>
        <v>-12.235000000000003</v>
      </c>
      <c r="R125" s="776">
        <f>R106</f>
        <v>-8.2129999999999992</v>
      </c>
      <c r="S125" s="776">
        <f t="shared" si="115"/>
        <v>-12.122999999999999</v>
      </c>
      <c r="T125" s="776">
        <f t="shared" si="115"/>
        <v>-11.816000000000003</v>
      </c>
      <c r="U125" s="776">
        <f t="shared" si="115"/>
        <v>-10.714999999999996</v>
      </c>
      <c r="V125" s="776">
        <f>V106</f>
        <v>-7.5620000000000003</v>
      </c>
      <c r="W125" s="776">
        <f t="shared" si="116"/>
        <v>-8.8780000000000001</v>
      </c>
      <c r="X125" s="776">
        <f t="shared" si="116"/>
        <v>-12.75</v>
      </c>
      <c r="Y125" s="776">
        <f t="shared" si="116"/>
        <v>-13.401</v>
      </c>
      <c r="Z125" s="776">
        <f>Z106</f>
        <v>-13.077999999999999</v>
      </c>
      <c r="AA125" s="776">
        <f t="shared" si="117"/>
        <v>-6.1509999999999998</v>
      </c>
      <c r="AB125" s="776">
        <f t="shared" si="117"/>
        <v>-13.71</v>
      </c>
      <c r="AC125" s="776">
        <f t="shared" si="117"/>
        <v>-13.017000000000003</v>
      </c>
      <c r="AD125" s="772">
        <v>-14.281000000000001</v>
      </c>
      <c r="AE125" s="772">
        <v>-16.504999999999999</v>
      </c>
      <c r="AF125" s="772">
        <v>-13.77</v>
      </c>
      <c r="AG125" s="772">
        <f>AG106-AF106</f>
        <v>-15.097999999999999</v>
      </c>
      <c r="AH125" s="772">
        <v>-16.213999999999999</v>
      </c>
      <c r="AI125" s="772">
        <v>-13.067</v>
      </c>
      <c r="AJ125" s="772">
        <v>-16.106000000000002</v>
      </c>
      <c r="AK125" s="1579">
        <f>-67.101-SUM(AH125:AJ125)</f>
        <v>-21.713999999999999</v>
      </c>
      <c r="AL125" s="883">
        <v>-13.122999999999999</v>
      </c>
      <c r="AM125" s="883">
        <v>-18.231999999999999</v>
      </c>
      <c r="AN125" s="883">
        <v>-16.404</v>
      </c>
      <c r="AO125" s="1580">
        <f>-67.033-SUM(AL125:AN125)</f>
        <v>-19.274000000000001</v>
      </c>
      <c r="AP125" s="883">
        <v>-14.68</v>
      </c>
      <c r="AQ125" s="883">
        <v>-18.141999999999999</v>
      </c>
      <c r="AR125" s="883">
        <v>-17.27</v>
      </c>
      <c r="AS125" s="883">
        <f>-62.586-SUM(AP125:AR125)</f>
        <v>-12.494</v>
      </c>
      <c r="AT125" s="1019">
        <v>-15.561</v>
      </c>
      <c r="AU125" s="1019"/>
      <c r="AV125" s="1019"/>
      <c r="AW125" s="1019"/>
      <c r="AX125" s="1019"/>
      <c r="AY125" s="1019"/>
      <c r="AZ125" s="1019"/>
      <c r="BA125" s="1019"/>
      <c r="BB125" s="1019"/>
      <c r="BC125" s="1019"/>
      <c r="BD125" s="1019"/>
      <c r="BE125" s="1019"/>
      <c r="BF125" s="1019"/>
      <c r="BG125" s="1019"/>
      <c r="BH125" s="1019"/>
      <c r="BI125" s="1019"/>
      <c r="BJ125" s="1019"/>
      <c r="BK125" s="1019"/>
      <c r="BL125" s="1019"/>
      <c r="BM125" s="1019"/>
      <c r="BN125" s="1019"/>
    </row>
    <row r="126" spans="1:66">
      <c r="A126" s="1749" t="s">
        <v>1083</v>
      </c>
      <c r="B126" s="772" t="s">
        <v>972</v>
      </c>
      <c r="C126" s="772" t="s">
        <v>972</v>
      </c>
      <c r="D126" s="772" t="s">
        <v>972</v>
      </c>
      <c r="E126" s="772" t="s">
        <v>972</v>
      </c>
      <c r="F126" s="772" t="s">
        <v>972</v>
      </c>
      <c r="G126" s="772" t="s">
        <v>972</v>
      </c>
      <c r="H126" s="772" t="s">
        <v>972</v>
      </c>
      <c r="I126" s="772" t="s">
        <v>972</v>
      </c>
      <c r="J126" s="772" t="s">
        <v>972</v>
      </c>
      <c r="K126" s="772" t="s">
        <v>972</v>
      </c>
      <c r="L126" s="772" t="s">
        <v>972</v>
      </c>
      <c r="M126" s="772" t="s">
        <v>972</v>
      </c>
      <c r="N126" s="776">
        <f>N107</f>
        <v>-2.0089999999999999</v>
      </c>
      <c r="O126" s="776">
        <f t="shared" si="114"/>
        <v>-2.2849999999999997</v>
      </c>
      <c r="P126" s="776">
        <f t="shared" si="114"/>
        <v>-1.8110000000000008</v>
      </c>
      <c r="Q126" s="776">
        <f t="shared" si="114"/>
        <v>-2.7169999999999987</v>
      </c>
      <c r="R126" s="776">
        <f>R107</f>
        <v>-1.9830000000000001</v>
      </c>
      <c r="S126" s="776">
        <f t="shared" si="115"/>
        <v>-3.2449999999999997</v>
      </c>
      <c r="T126" s="776">
        <f t="shared" si="115"/>
        <v>-2.3559999999999999</v>
      </c>
      <c r="U126" s="776">
        <f t="shared" si="115"/>
        <v>-1.8420000000000005</v>
      </c>
      <c r="V126" s="776">
        <f>V107</f>
        <v>-2.2109999999999999</v>
      </c>
      <c r="W126" s="776">
        <f t="shared" si="116"/>
        <v>-3.31</v>
      </c>
      <c r="X126" s="776">
        <f t="shared" si="116"/>
        <v>-2.6759999999999993</v>
      </c>
      <c r="Y126" s="776">
        <f t="shared" si="116"/>
        <v>-2.5040000000000013</v>
      </c>
      <c r="Z126" s="776">
        <f>Z107</f>
        <v>-2.8279999999999998</v>
      </c>
      <c r="AA126" s="776">
        <f t="shared" si="117"/>
        <v>-3.3489999999999998</v>
      </c>
      <c r="AB126" s="776">
        <f t="shared" si="117"/>
        <v>-2.3730000000000011</v>
      </c>
      <c r="AC126" s="776">
        <f t="shared" si="117"/>
        <v>-3.298</v>
      </c>
      <c r="AD126" s="772">
        <v>-3.0329999999999999</v>
      </c>
      <c r="AE126" s="772">
        <v>-3.8860000000000001</v>
      </c>
      <c r="AF126" s="772">
        <v>-2.835</v>
      </c>
      <c r="AG126" s="772">
        <f>AG107-AF107</f>
        <v>-3.1400000000000006</v>
      </c>
      <c r="AH126" s="772">
        <v>-3.2919999999999998</v>
      </c>
      <c r="AI126" s="772">
        <v>-3.3769999999999998</v>
      </c>
      <c r="AJ126" s="772">
        <v>-4.0229999999999997</v>
      </c>
      <c r="AK126" s="1579">
        <f>-14.979-SUM(AH126:AJ126)</f>
        <v>-4.286999999999999</v>
      </c>
      <c r="AL126" s="883">
        <f>-(4.409+1.133+0)</f>
        <v>-5.5419999999999998</v>
      </c>
      <c r="AM126" s="883">
        <f>-(4.297+1.4+0)</f>
        <v>-5.6969999999999992</v>
      </c>
      <c r="AN126" s="883">
        <f>-2.637-1.136</f>
        <v>-3.7729999999999997</v>
      </c>
      <c r="AO126" s="1580">
        <f>-11.51-5.189-SUM(AL126:AN126)</f>
        <v>-1.6869999999999994</v>
      </c>
      <c r="AP126" s="883">
        <f>-4.396-0.849</f>
        <v>-5.2450000000000001</v>
      </c>
      <c r="AQ126" s="883">
        <f>-4.534-0.611</f>
        <v>-5.1449999999999996</v>
      </c>
      <c r="AR126" s="883">
        <v>-4.0919999999999996</v>
      </c>
      <c r="AS126" s="883">
        <f>-14.11-3.56-SUM(AP126:AR126)</f>
        <v>-3.1879999999999988</v>
      </c>
      <c r="AT126" s="1019">
        <f>-4.404-0.778</f>
        <v>-5.1820000000000004</v>
      </c>
      <c r="AU126" s="1019"/>
      <c r="AV126" s="1019"/>
      <c r="AW126" s="1019"/>
      <c r="AX126" s="1019"/>
      <c r="AY126" s="1019"/>
      <c r="AZ126" s="1019"/>
      <c r="BA126" s="1019"/>
      <c r="BB126" s="1019"/>
      <c r="BC126" s="1019"/>
      <c r="BD126" s="1019"/>
      <c r="BE126" s="1019"/>
      <c r="BF126" s="1019"/>
      <c r="BG126" s="1019"/>
      <c r="BH126" s="1019"/>
      <c r="BI126" s="1019"/>
      <c r="BJ126" s="1019"/>
      <c r="BK126" s="1019"/>
      <c r="BL126" s="1019"/>
      <c r="BM126" s="1019"/>
      <c r="BN126" s="1019"/>
    </row>
    <row r="127" spans="1:66">
      <c r="A127" s="1736"/>
      <c r="B127" s="195"/>
      <c r="C127" s="195"/>
      <c r="D127" s="195"/>
      <c r="E127" s="195"/>
      <c r="F127" s="195"/>
      <c r="G127" s="1052"/>
      <c r="H127" s="1052"/>
      <c r="I127" s="1052"/>
      <c r="J127" s="1052"/>
      <c r="K127" s="1052"/>
      <c r="L127" s="1052"/>
      <c r="M127" s="1052"/>
      <c r="N127" s="776"/>
      <c r="O127" s="776"/>
      <c r="P127" s="776"/>
      <c r="Q127" s="776"/>
      <c r="R127" s="776"/>
      <c r="S127" s="776"/>
      <c r="T127" s="776"/>
      <c r="U127" s="776"/>
      <c r="V127" s="776"/>
      <c r="W127" s="776"/>
      <c r="X127" s="776"/>
      <c r="Y127" s="776"/>
      <c r="Z127" s="772"/>
      <c r="AA127" s="772"/>
      <c r="AB127" s="772"/>
      <c r="AC127" s="772"/>
      <c r="AD127" s="772"/>
      <c r="AE127" s="772"/>
      <c r="AF127" s="772"/>
      <c r="AG127" s="772"/>
      <c r="AH127" s="772"/>
      <c r="AI127" s="772"/>
      <c r="AJ127" s="772"/>
      <c r="AK127" s="1579"/>
      <c r="AL127" s="1019"/>
      <c r="AM127" s="1019"/>
      <c r="AN127" s="1019"/>
      <c r="AO127" s="1581"/>
      <c r="AP127" s="1019"/>
      <c r="AQ127" s="1019"/>
      <c r="AR127" s="1019"/>
      <c r="AS127" s="1019"/>
      <c r="AT127" s="1019"/>
      <c r="AU127" s="1019"/>
      <c r="AV127" s="1019"/>
      <c r="AW127" s="1019"/>
      <c r="AX127" s="1019"/>
      <c r="AY127" s="1019"/>
      <c r="AZ127" s="1019"/>
      <c r="BA127" s="1019"/>
      <c r="BB127" s="1019"/>
      <c r="BC127" s="1019"/>
      <c r="BD127" s="1019"/>
      <c r="BE127" s="1019"/>
      <c r="BF127" s="1019"/>
      <c r="BG127" s="1019"/>
      <c r="BH127" s="1019"/>
      <c r="BI127" s="1019"/>
      <c r="BJ127" s="1019"/>
      <c r="BK127" s="1019"/>
      <c r="BL127" s="1019"/>
      <c r="BM127" s="1019"/>
      <c r="BN127" s="1019"/>
    </row>
    <row r="128" spans="1:66">
      <c r="A128" s="1746" t="s">
        <v>1076</v>
      </c>
      <c r="B128" s="774">
        <f t="shared" ref="B128:AO128" si="118">SUM(B129:B131)</f>
        <v>0</v>
      </c>
      <c r="C128" s="774">
        <f t="shared" si="118"/>
        <v>0</v>
      </c>
      <c r="D128" s="774">
        <f t="shared" si="118"/>
        <v>0</v>
      </c>
      <c r="E128" s="774">
        <f t="shared" si="118"/>
        <v>0</v>
      </c>
      <c r="F128" s="774">
        <f t="shared" si="118"/>
        <v>0</v>
      </c>
      <c r="G128" s="774">
        <f t="shared" si="118"/>
        <v>0</v>
      </c>
      <c r="H128" s="774">
        <f t="shared" si="118"/>
        <v>0</v>
      </c>
      <c r="I128" s="774">
        <f t="shared" si="118"/>
        <v>0</v>
      </c>
      <c r="J128" s="774">
        <f t="shared" si="118"/>
        <v>0</v>
      </c>
      <c r="K128" s="774">
        <f t="shared" si="118"/>
        <v>0</v>
      </c>
      <c r="L128" s="774">
        <f t="shared" si="118"/>
        <v>0</v>
      </c>
      <c r="M128" s="774">
        <f t="shared" si="118"/>
        <v>0</v>
      </c>
      <c r="N128" s="774">
        <f t="shared" si="118"/>
        <v>-0.249</v>
      </c>
      <c r="O128" s="774">
        <f t="shared" si="118"/>
        <v>0.93500000000000005</v>
      </c>
      <c r="P128" s="774">
        <f t="shared" si="118"/>
        <v>2.0830000000000002</v>
      </c>
      <c r="Q128" s="774">
        <f t="shared" si="118"/>
        <v>0.55899999999999972</v>
      </c>
      <c r="R128" s="774">
        <f t="shared" si="118"/>
        <v>1.171</v>
      </c>
      <c r="S128" s="774">
        <f t="shared" si="118"/>
        <v>0.33099999999999996</v>
      </c>
      <c r="T128" s="774">
        <f t="shared" si="118"/>
        <v>0.85299999999999998</v>
      </c>
      <c r="U128" s="774">
        <f t="shared" si="118"/>
        <v>1.5880000000000001</v>
      </c>
      <c r="V128" s="774">
        <f t="shared" si="118"/>
        <v>3.8929999999999998</v>
      </c>
      <c r="W128" s="774">
        <f t="shared" si="118"/>
        <v>-0.68599999999999994</v>
      </c>
      <c r="X128" s="774">
        <f t="shared" si="118"/>
        <v>5.319</v>
      </c>
      <c r="Y128" s="774">
        <f t="shared" si="118"/>
        <v>-1.4029999999999996</v>
      </c>
      <c r="Z128" s="774">
        <f t="shared" si="118"/>
        <v>1.4790000000000001</v>
      </c>
      <c r="AA128" s="774">
        <f t="shared" si="118"/>
        <v>0.50299999999999989</v>
      </c>
      <c r="AB128" s="774">
        <f t="shared" si="118"/>
        <v>-3.1219999999999999</v>
      </c>
      <c r="AC128" s="774">
        <f t="shared" si="118"/>
        <v>1.4049999999999998</v>
      </c>
      <c r="AD128" s="774">
        <f t="shared" si="118"/>
        <v>0.22900000000000001</v>
      </c>
      <c r="AE128" s="774">
        <f t="shared" si="118"/>
        <v>4.28</v>
      </c>
      <c r="AF128" s="774">
        <f t="shared" si="118"/>
        <v>4.0549999999999997</v>
      </c>
      <c r="AG128" s="774">
        <f t="shared" si="118"/>
        <v>2.6550000000000011</v>
      </c>
      <c r="AH128" s="774">
        <f t="shared" si="118"/>
        <v>1.464</v>
      </c>
      <c r="AI128" s="774">
        <f t="shared" si="118"/>
        <v>3.7970000000000002</v>
      </c>
      <c r="AJ128" s="774">
        <f t="shared" si="118"/>
        <v>-2.1000000000000001E-2</v>
      </c>
      <c r="AK128" s="1578">
        <f t="shared" si="118"/>
        <v>3.8490000000000002</v>
      </c>
      <c r="AL128" s="774">
        <f t="shared" si="118"/>
        <v>-1.54</v>
      </c>
      <c r="AM128" s="774">
        <f t="shared" si="118"/>
        <v>0.46800000000000003</v>
      </c>
      <c r="AN128" s="774">
        <f t="shared" si="118"/>
        <v>0.53</v>
      </c>
      <c r="AO128" s="1578">
        <f t="shared" si="118"/>
        <v>6.8049999999999997</v>
      </c>
      <c r="AP128" s="774">
        <f t="shared" ref="AP128:AQ128" si="119">SUM(AP129:AP131)</f>
        <v>0.10199999999999999</v>
      </c>
      <c r="AQ128" s="774">
        <f t="shared" si="119"/>
        <v>0.42099999999999999</v>
      </c>
      <c r="AR128" s="881">
        <v>0.23599999999999999</v>
      </c>
      <c r="AS128" s="1018">
        <f t="shared" ref="AS128:AT128" si="120">SUM(AS129:AS131)</f>
        <v>4.9509999999999996</v>
      </c>
      <c r="AT128" s="1018">
        <f t="shared" si="120"/>
        <v>0.10199999999999999</v>
      </c>
      <c r="AU128" s="1018"/>
      <c r="AV128" s="1018"/>
      <c r="AW128" s="1018"/>
      <c r="AX128" s="1018"/>
      <c r="AY128" s="1018"/>
      <c r="AZ128" s="1018"/>
      <c r="BA128" s="1018"/>
      <c r="BB128" s="1018"/>
      <c r="BC128" s="1018"/>
      <c r="BD128" s="1018"/>
      <c r="BE128" s="1018"/>
      <c r="BF128" s="1018"/>
      <c r="BG128" s="1018"/>
      <c r="BH128" s="1018"/>
      <c r="BI128" s="1018"/>
      <c r="BJ128" s="1018"/>
      <c r="BK128" s="1018"/>
      <c r="BL128" s="1018"/>
      <c r="BM128" s="1018"/>
      <c r="BN128" s="1018"/>
    </row>
    <row r="129" spans="1:66">
      <c r="A129" s="1749" t="s">
        <v>54</v>
      </c>
      <c r="B129" s="772" t="s">
        <v>972</v>
      </c>
      <c r="C129" s="772" t="s">
        <v>972</v>
      </c>
      <c r="D129" s="772" t="s">
        <v>972</v>
      </c>
      <c r="E129" s="772" t="s">
        <v>972</v>
      </c>
      <c r="F129" s="772" t="s">
        <v>972</v>
      </c>
      <c r="G129" s="772" t="s">
        <v>972</v>
      </c>
      <c r="H129" s="772" t="s">
        <v>972</v>
      </c>
      <c r="I129" s="772" t="s">
        <v>972</v>
      </c>
      <c r="J129" s="772" t="s">
        <v>972</v>
      </c>
      <c r="K129" s="772" t="s">
        <v>972</v>
      </c>
      <c r="L129" s="772" t="s">
        <v>972</v>
      </c>
      <c r="M129" s="772" t="s">
        <v>972</v>
      </c>
      <c r="N129" s="776">
        <f>N110</f>
        <v>0</v>
      </c>
      <c r="O129" s="776">
        <f t="shared" ref="O129:Q131" si="121">O110-N110</f>
        <v>0</v>
      </c>
      <c r="P129" s="776">
        <f t="shared" si="121"/>
        <v>0</v>
      </c>
      <c r="Q129" s="776">
        <f t="shared" si="121"/>
        <v>0</v>
      </c>
      <c r="R129" s="776">
        <f>R110</f>
        <v>0</v>
      </c>
      <c r="S129" s="776">
        <f t="shared" ref="S129:U131" si="122">S110-R110</f>
        <v>0</v>
      </c>
      <c r="T129" s="776">
        <f t="shared" si="122"/>
        <v>0</v>
      </c>
      <c r="U129" s="776">
        <f t="shared" si="122"/>
        <v>0</v>
      </c>
      <c r="V129" s="776">
        <f>V110</f>
        <v>0</v>
      </c>
      <c r="W129" s="776">
        <f t="shared" ref="W129:Y131" si="123">W110-V110</f>
        <v>0</v>
      </c>
      <c r="X129" s="776">
        <f t="shared" si="123"/>
        <v>0</v>
      </c>
      <c r="Y129" s="776">
        <f t="shared" si="123"/>
        <v>0</v>
      </c>
      <c r="Z129" s="776">
        <f>Z110</f>
        <v>0</v>
      </c>
      <c r="AA129" s="776">
        <f t="shared" ref="AA129:AC131" si="124">AA110-Z110</f>
        <v>0</v>
      </c>
      <c r="AB129" s="776">
        <f t="shared" si="124"/>
        <v>0</v>
      </c>
      <c r="AC129" s="776">
        <f t="shared" si="124"/>
        <v>0</v>
      </c>
      <c r="AD129" s="772">
        <v>0</v>
      </c>
      <c r="AE129" s="772">
        <v>0</v>
      </c>
      <c r="AF129" s="772">
        <v>0</v>
      </c>
      <c r="AG129" s="772">
        <f>AG110-AF110</f>
        <v>0</v>
      </c>
      <c r="AH129" s="772">
        <v>0</v>
      </c>
      <c r="AI129" s="772">
        <v>0</v>
      </c>
      <c r="AJ129" s="772">
        <v>0</v>
      </c>
      <c r="AK129" s="1579">
        <v>0</v>
      </c>
      <c r="AL129" s="1019">
        <v>0</v>
      </c>
      <c r="AM129" s="1019">
        <v>0</v>
      </c>
      <c r="AN129" s="1019">
        <v>0</v>
      </c>
      <c r="AO129" s="1019">
        <v>0</v>
      </c>
      <c r="AP129" s="1019">
        <v>0</v>
      </c>
      <c r="AQ129" s="1019">
        <v>0</v>
      </c>
      <c r="AR129" s="1019">
        <v>0</v>
      </c>
      <c r="AS129" s="1019">
        <v>0</v>
      </c>
      <c r="AT129" s="1019">
        <v>0</v>
      </c>
      <c r="AU129" s="1019"/>
      <c r="AV129" s="1019"/>
      <c r="AW129" s="1019"/>
      <c r="AX129" s="1019"/>
      <c r="AY129" s="1019"/>
      <c r="AZ129" s="1019"/>
      <c r="BA129" s="1019"/>
      <c r="BB129" s="1019"/>
      <c r="BC129" s="1019"/>
      <c r="BD129" s="1019"/>
      <c r="BE129" s="1019"/>
      <c r="BF129" s="1019"/>
      <c r="BG129" s="1019"/>
      <c r="BH129" s="1019"/>
      <c r="BI129" s="1019"/>
      <c r="BJ129" s="1019"/>
      <c r="BK129" s="1019"/>
      <c r="BL129" s="1019"/>
      <c r="BM129" s="1019"/>
      <c r="BN129" s="1019"/>
    </row>
    <row r="130" spans="1:66">
      <c r="A130" s="1749" t="s">
        <v>42</v>
      </c>
      <c r="B130" s="772" t="s">
        <v>972</v>
      </c>
      <c r="C130" s="772" t="s">
        <v>972</v>
      </c>
      <c r="D130" s="772" t="s">
        <v>972</v>
      </c>
      <c r="E130" s="772" t="s">
        <v>972</v>
      </c>
      <c r="F130" s="772" t="s">
        <v>972</v>
      </c>
      <c r="G130" s="772" t="s">
        <v>972</v>
      </c>
      <c r="H130" s="772" t="s">
        <v>972</v>
      </c>
      <c r="I130" s="772" t="s">
        <v>972</v>
      </c>
      <c r="J130" s="772" t="s">
        <v>972</v>
      </c>
      <c r="K130" s="772" t="s">
        <v>972</v>
      </c>
      <c r="L130" s="772" t="s">
        <v>972</v>
      </c>
      <c r="M130" s="772" t="s">
        <v>972</v>
      </c>
      <c r="N130" s="776">
        <f>N111</f>
        <v>0</v>
      </c>
      <c r="O130" s="776">
        <f t="shared" si="121"/>
        <v>0</v>
      </c>
      <c r="P130" s="776">
        <f t="shared" si="121"/>
        <v>0</v>
      </c>
      <c r="Q130" s="776">
        <f t="shared" si="121"/>
        <v>0</v>
      </c>
      <c r="R130" s="776">
        <f>R111</f>
        <v>0</v>
      </c>
      <c r="S130" s="776">
        <f t="shared" si="122"/>
        <v>0</v>
      </c>
      <c r="T130" s="776">
        <f t="shared" si="122"/>
        <v>0</v>
      </c>
      <c r="U130" s="776">
        <f t="shared" si="122"/>
        <v>0</v>
      </c>
      <c r="V130" s="776">
        <f>V111</f>
        <v>0</v>
      </c>
      <c r="W130" s="776">
        <f t="shared" si="123"/>
        <v>0</v>
      </c>
      <c r="X130" s="776">
        <f t="shared" si="123"/>
        <v>0</v>
      </c>
      <c r="Y130" s="776">
        <f t="shared" si="123"/>
        <v>0</v>
      </c>
      <c r="Z130" s="776">
        <f>Z111</f>
        <v>0</v>
      </c>
      <c r="AA130" s="776">
        <f t="shared" si="124"/>
        <v>0</v>
      </c>
      <c r="AB130" s="776">
        <f t="shared" si="124"/>
        <v>0</v>
      </c>
      <c r="AC130" s="776">
        <f t="shared" si="124"/>
        <v>0</v>
      </c>
      <c r="AD130" s="772">
        <v>0</v>
      </c>
      <c r="AE130" s="772">
        <v>0</v>
      </c>
      <c r="AF130" s="772">
        <v>0</v>
      </c>
      <c r="AG130" s="772">
        <f>AG111-AF111</f>
        <v>0</v>
      </c>
      <c r="AH130" s="772">
        <v>0</v>
      </c>
      <c r="AI130" s="772">
        <v>0</v>
      </c>
      <c r="AJ130" s="772">
        <v>0</v>
      </c>
      <c r="AK130" s="1579">
        <v>0</v>
      </c>
      <c r="AL130" s="1019">
        <v>0</v>
      </c>
      <c r="AM130" s="1019">
        <v>0</v>
      </c>
      <c r="AN130" s="1019">
        <v>0</v>
      </c>
      <c r="AO130" s="1019">
        <v>0</v>
      </c>
      <c r="AP130" s="1019">
        <v>0</v>
      </c>
      <c r="AQ130" s="1019">
        <v>0</v>
      </c>
      <c r="AR130" s="1019">
        <v>0</v>
      </c>
      <c r="AS130" s="1019">
        <v>0</v>
      </c>
      <c r="AT130" s="1019">
        <v>0</v>
      </c>
      <c r="AU130" s="1019"/>
      <c r="AV130" s="1019"/>
      <c r="AW130" s="1019"/>
      <c r="AX130" s="1019"/>
      <c r="AY130" s="1019"/>
      <c r="AZ130" s="1019"/>
      <c r="BA130" s="1019"/>
      <c r="BB130" s="1019"/>
      <c r="BC130" s="1019"/>
      <c r="BD130" s="1019"/>
      <c r="BE130" s="1019"/>
      <c r="BF130" s="1019"/>
      <c r="BG130" s="1019"/>
      <c r="BH130" s="1019"/>
      <c r="BI130" s="1019"/>
      <c r="BJ130" s="1019"/>
      <c r="BK130" s="1019"/>
      <c r="BL130" s="1019"/>
      <c r="BM130" s="1019"/>
      <c r="BN130" s="1019"/>
    </row>
    <row r="131" spans="1:66">
      <c r="A131" s="1749" t="s">
        <v>1083</v>
      </c>
      <c r="B131" s="772" t="s">
        <v>972</v>
      </c>
      <c r="C131" s="772" t="s">
        <v>972</v>
      </c>
      <c r="D131" s="772" t="s">
        <v>972</v>
      </c>
      <c r="E131" s="772" t="s">
        <v>972</v>
      </c>
      <c r="F131" s="772" t="s">
        <v>972</v>
      </c>
      <c r="G131" s="772" t="s">
        <v>972</v>
      </c>
      <c r="H131" s="772" t="s">
        <v>972</v>
      </c>
      <c r="I131" s="772" t="s">
        <v>972</v>
      </c>
      <c r="J131" s="772" t="s">
        <v>972</v>
      </c>
      <c r="K131" s="772" t="s">
        <v>972</v>
      </c>
      <c r="L131" s="772" t="s">
        <v>972</v>
      </c>
      <c r="M131" s="772" t="s">
        <v>972</v>
      </c>
      <c r="N131" s="776">
        <f>N112</f>
        <v>-0.249</v>
      </c>
      <c r="O131" s="776">
        <f t="shared" si="121"/>
        <v>0.93500000000000005</v>
      </c>
      <c r="P131" s="776">
        <f t="shared" si="121"/>
        <v>2.0830000000000002</v>
      </c>
      <c r="Q131" s="776">
        <f t="shared" si="121"/>
        <v>0.55899999999999972</v>
      </c>
      <c r="R131" s="776">
        <f>R112</f>
        <v>1.171</v>
      </c>
      <c r="S131" s="776">
        <f t="shared" si="122"/>
        <v>0.33099999999999996</v>
      </c>
      <c r="T131" s="776">
        <f t="shared" si="122"/>
        <v>0.85299999999999998</v>
      </c>
      <c r="U131" s="776">
        <f t="shared" si="122"/>
        <v>1.5880000000000001</v>
      </c>
      <c r="V131" s="776">
        <f>V112</f>
        <v>3.8929999999999998</v>
      </c>
      <c r="W131" s="776">
        <f t="shared" si="123"/>
        <v>-0.68599999999999994</v>
      </c>
      <c r="X131" s="776">
        <f t="shared" si="123"/>
        <v>5.319</v>
      </c>
      <c r="Y131" s="776">
        <f t="shared" si="123"/>
        <v>-1.4029999999999996</v>
      </c>
      <c r="Z131" s="776">
        <f>Z112</f>
        <v>1.4790000000000001</v>
      </c>
      <c r="AA131" s="776">
        <f t="shared" si="124"/>
        <v>0.50299999999999989</v>
      </c>
      <c r="AB131" s="776">
        <f t="shared" si="124"/>
        <v>-3.1219999999999999</v>
      </c>
      <c r="AC131" s="776">
        <f t="shared" si="124"/>
        <v>1.4049999999999998</v>
      </c>
      <c r="AD131" s="772">
        <v>0.22900000000000001</v>
      </c>
      <c r="AE131" s="772">
        <v>4.28</v>
      </c>
      <c r="AF131" s="772">
        <v>4.0549999999999997</v>
      </c>
      <c r="AG131" s="772">
        <f>AG112-AF112</f>
        <v>2.6550000000000011</v>
      </c>
      <c r="AH131" s="772">
        <v>1.464</v>
      </c>
      <c r="AI131" s="772">
        <v>3.7970000000000002</v>
      </c>
      <c r="AJ131" s="772">
        <v>-2.1000000000000001E-2</v>
      </c>
      <c r="AK131" s="1579">
        <f>9.089-SUM(AH131:AJ131)</f>
        <v>3.8490000000000002</v>
      </c>
      <c r="AL131" s="883">
        <v>-1.54</v>
      </c>
      <c r="AM131" s="883">
        <v>0.46800000000000003</v>
      </c>
      <c r="AN131" s="883">
        <v>0.53</v>
      </c>
      <c r="AO131" s="1579">
        <f>6.263-SUM(AL131:AN131)</f>
        <v>6.8049999999999997</v>
      </c>
      <c r="AP131" s="1430">
        <v>0.10199999999999999</v>
      </c>
      <c r="AQ131" s="1430">
        <v>0.42099999999999999</v>
      </c>
      <c r="AR131" s="1430">
        <v>0.23599999999999999</v>
      </c>
      <c r="AS131" s="1019">
        <f>5.71-SUM(AP131:AR131)</f>
        <v>4.9509999999999996</v>
      </c>
      <c r="AT131" s="1019">
        <v>0.10199999999999999</v>
      </c>
      <c r="AU131" s="1019"/>
      <c r="AV131" s="1019"/>
      <c r="AW131" s="1019"/>
      <c r="AX131" s="1019"/>
      <c r="AY131" s="1019"/>
      <c r="AZ131" s="1019"/>
      <c r="BA131" s="1019"/>
      <c r="BB131" s="1019"/>
      <c r="BC131" s="1019"/>
      <c r="BD131" s="1019"/>
      <c r="BE131" s="1019"/>
      <c r="BF131" s="1019"/>
      <c r="BG131" s="1019"/>
      <c r="BH131" s="1019"/>
      <c r="BI131" s="1019"/>
      <c r="BJ131" s="1019"/>
      <c r="BK131" s="1019"/>
      <c r="BL131" s="1019"/>
      <c r="BM131" s="1019"/>
      <c r="BN131" s="1019"/>
    </row>
    <row r="132" spans="1:66">
      <c r="A132" s="1750"/>
      <c r="B132" s="772"/>
      <c r="C132" s="772"/>
      <c r="D132" s="772"/>
      <c r="E132" s="772"/>
      <c r="F132" s="772"/>
      <c r="G132" s="772"/>
      <c r="H132" s="772"/>
      <c r="I132" s="772"/>
      <c r="J132" s="772"/>
      <c r="K132" s="772"/>
      <c r="L132" s="772"/>
      <c r="M132" s="772"/>
      <c r="N132" s="772"/>
      <c r="O132" s="772"/>
      <c r="P132" s="772"/>
      <c r="Q132" s="772"/>
      <c r="R132" s="772"/>
      <c r="S132" s="772"/>
      <c r="T132" s="772"/>
      <c r="U132" s="772"/>
      <c r="V132" s="772"/>
      <c r="W132" s="772"/>
      <c r="X132" s="772"/>
      <c r="Y132" s="772"/>
      <c r="Z132" s="772"/>
      <c r="AA132" s="772"/>
      <c r="AB132" s="772"/>
      <c r="AC132" s="772"/>
      <c r="AD132" s="772"/>
      <c r="AE132" s="772"/>
      <c r="AF132" s="772"/>
      <c r="AG132" s="772"/>
      <c r="AH132" s="772"/>
      <c r="AI132" s="772"/>
      <c r="AJ132" s="772"/>
      <c r="AK132" s="1579"/>
      <c r="AL132" s="1019"/>
      <c r="AM132" s="1019"/>
      <c r="AN132" s="1019"/>
      <c r="AO132" s="1581"/>
      <c r="AP132" s="1019"/>
      <c r="AQ132" s="1019"/>
      <c r="AR132" s="1019"/>
      <c r="AS132" s="1019"/>
      <c r="AT132" s="1019"/>
      <c r="AU132" s="1019"/>
      <c r="AV132" s="1019"/>
      <c r="AW132" s="1019"/>
      <c r="AX132" s="1019"/>
      <c r="AY132" s="1019"/>
      <c r="AZ132" s="1019"/>
      <c r="BA132" s="1019"/>
      <c r="BB132" s="1019"/>
      <c r="BC132" s="1019"/>
      <c r="BD132" s="1019"/>
      <c r="BE132" s="1019"/>
      <c r="BF132" s="1019"/>
      <c r="BG132" s="1019"/>
      <c r="BH132" s="1019"/>
      <c r="BI132" s="1019"/>
      <c r="BJ132" s="1019"/>
      <c r="BK132" s="1019"/>
      <c r="BL132" s="1019"/>
      <c r="BM132" s="1019"/>
      <c r="BN132" s="1019"/>
    </row>
    <row r="133" spans="1:66">
      <c r="A133" s="1751" t="s">
        <v>1053</v>
      </c>
      <c r="B133" s="774">
        <f t="shared" ref="B133:AO133" si="125">SUM(B134:B136)</f>
        <v>0</v>
      </c>
      <c r="C133" s="774">
        <f t="shared" si="125"/>
        <v>0</v>
      </c>
      <c r="D133" s="774">
        <f t="shared" si="125"/>
        <v>0</v>
      </c>
      <c r="E133" s="774">
        <f t="shared" si="125"/>
        <v>0</v>
      </c>
      <c r="F133" s="774">
        <f t="shared" si="125"/>
        <v>0</v>
      </c>
      <c r="G133" s="774">
        <f t="shared" si="125"/>
        <v>0</v>
      </c>
      <c r="H133" s="774">
        <f t="shared" si="125"/>
        <v>0</v>
      </c>
      <c r="I133" s="774">
        <f t="shared" si="125"/>
        <v>0</v>
      </c>
      <c r="J133" s="774">
        <f t="shared" si="125"/>
        <v>0</v>
      </c>
      <c r="K133" s="774">
        <f t="shared" si="125"/>
        <v>0</v>
      </c>
      <c r="L133" s="774">
        <f t="shared" si="125"/>
        <v>0</v>
      </c>
      <c r="M133" s="774">
        <f t="shared" si="125"/>
        <v>0</v>
      </c>
      <c r="N133" s="774">
        <f t="shared" si="125"/>
        <v>44.195</v>
      </c>
      <c r="O133" s="774">
        <f t="shared" si="125"/>
        <v>76.500000000000014</v>
      </c>
      <c r="P133" s="774">
        <f t="shared" si="125"/>
        <v>122.79</v>
      </c>
      <c r="Q133" s="774">
        <f t="shared" si="125"/>
        <v>208.89</v>
      </c>
      <c r="R133" s="774">
        <f t="shared" si="125"/>
        <v>139.49199999999999</v>
      </c>
      <c r="S133" s="774">
        <f t="shared" si="125"/>
        <v>150.91399999999999</v>
      </c>
      <c r="T133" s="774">
        <f t="shared" si="125"/>
        <v>191.51899999999998</v>
      </c>
      <c r="U133" s="774">
        <f t="shared" si="125"/>
        <v>130.66000000000003</v>
      </c>
      <c r="V133" s="774">
        <f t="shared" si="125"/>
        <v>147.09300000000002</v>
      </c>
      <c r="W133" s="774">
        <f t="shared" si="125"/>
        <v>159.072</v>
      </c>
      <c r="X133" s="774">
        <f t="shared" si="125"/>
        <v>158.20500000000001</v>
      </c>
      <c r="Y133" s="774">
        <f t="shared" si="125"/>
        <v>72.744999999999976</v>
      </c>
      <c r="Z133" s="774">
        <f t="shared" si="125"/>
        <v>108.07600000000001</v>
      </c>
      <c r="AA133" s="774">
        <f t="shared" si="125"/>
        <v>238.27199999999999</v>
      </c>
      <c r="AB133" s="774">
        <f t="shared" si="125"/>
        <v>159.33500000000004</v>
      </c>
      <c r="AC133" s="774">
        <f t="shared" si="125"/>
        <v>144.41899999999998</v>
      </c>
      <c r="AD133" s="774">
        <f t="shared" si="125"/>
        <v>211.63899999999998</v>
      </c>
      <c r="AE133" s="774">
        <f t="shared" si="125"/>
        <v>238.66800000000001</v>
      </c>
      <c r="AF133" s="774">
        <f t="shared" si="125"/>
        <v>168.42599999999999</v>
      </c>
      <c r="AG133" s="774">
        <f t="shared" si="125"/>
        <v>147.69499999999999</v>
      </c>
      <c r="AH133" s="774">
        <f t="shared" si="125"/>
        <v>227.04599999999999</v>
      </c>
      <c r="AI133" s="774">
        <f t="shared" si="125"/>
        <v>256.91800000000001</v>
      </c>
      <c r="AJ133" s="774">
        <f t="shared" si="125"/>
        <v>287.68299999999999</v>
      </c>
      <c r="AK133" s="1578">
        <f t="shared" si="125"/>
        <v>319.94600000000003</v>
      </c>
      <c r="AL133" s="1435">
        <f t="shared" si="125"/>
        <v>225.10400000000001</v>
      </c>
      <c r="AM133" s="1435">
        <f t="shared" si="125"/>
        <v>318.90199999999999</v>
      </c>
      <c r="AN133" s="1435">
        <f t="shared" si="125"/>
        <v>411.90899999999999</v>
      </c>
      <c r="AO133" s="1582">
        <f t="shared" si="125"/>
        <v>345.32500000000005</v>
      </c>
      <c r="AP133" s="1435">
        <f t="shared" ref="AP133:AQ133" si="126">SUM(AP134:AP136)</f>
        <v>333.75</v>
      </c>
      <c r="AQ133" s="1435">
        <f t="shared" si="126"/>
        <v>368.70400000000006</v>
      </c>
      <c r="AR133" s="2178">
        <v>342.00799999999998</v>
      </c>
      <c r="AS133" s="1018">
        <f t="shared" ref="AS133:AT133" si="127">SUM(AS134:AS136)</f>
        <v>400.6219999999999</v>
      </c>
      <c r="AT133" s="1018">
        <f t="shared" si="127"/>
        <v>475.34199999999998</v>
      </c>
      <c r="AU133" s="1018"/>
      <c r="AV133" s="1018"/>
      <c r="AW133" s="1018"/>
      <c r="AX133" s="1018"/>
      <c r="AY133" s="1018"/>
      <c r="AZ133" s="1018"/>
      <c r="BA133" s="1018"/>
      <c r="BB133" s="1018"/>
      <c r="BC133" s="1018"/>
      <c r="BD133" s="1018"/>
      <c r="BE133" s="1018"/>
      <c r="BF133" s="1018"/>
      <c r="BG133" s="1018"/>
      <c r="BH133" s="1018"/>
      <c r="BI133" s="1018"/>
      <c r="BJ133" s="1018"/>
      <c r="BK133" s="1018"/>
      <c r="BL133" s="1018"/>
      <c r="BM133" s="1018"/>
      <c r="BN133" s="1018"/>
    </row>
    <row r="134" spans="1:66">
      <c r="A134" s="1749" t="s">
        <v>54</v>
      </c>
      <c r="B134" s="772" t="s">
        <v>972</v>
      </c>
      <c r="C134" s="772" t="s">
        <v>972</v>
      </c>
      <c r="D134" s="772" t="s">
        <v>972</v>
      </c>
      <c r="E134" s="772" t="s">
        <v>972</v>
      </c>
      <c r="F134" s="772" t="s">
        <v>972</v>
      </c>
      <c r="G134" s="772" t="s">
        <v>972</v>
      </c>
      <c r="H134" s="772" t="s">
        <v>972</v>
      </c>
      <c r="I134" s="772" t="s">
        <v>972</v>
      </c>
      <c r="J134" s="772" t="s">
        <v>972</v>
      </c>
      <c r="K134" s="772" t="s">
        <v>972</v>
      </c>
      <c r="L134" s="772" t="s">
        <v>972</v>
      </c>
      <c r="M134" s="772" t="s">
        <v>972</v>
      </c>
      <c r="N134" s="776">
        <f>N115</f>
        <v>31.99</v>
      </c>
      <c r="O134" s="776">
        <f t="shared" ref="O134:Q136" si="128">O115-N115</f>
        <v>43.681000000000012</v>
      </c>
      <c r="P134" s="776">
        <f t="shared" si="128"/>
        <v>60.361000000000004</v>
      </c>
      <c r="Q134" s="776">
        <f t="shared" si="128"/>
        <v>128.756</v>
      </c>
      <c r="R134" s="776">
        <f>R115</f>
        <v>97.262</v>
      </c>
      <c r="S134" s="776">
        <f t="shared" ref="S134:U136" si="129">S115-R115</f>
        <v>104.523</v>
      </c>
      <c r="T134" s="776">
        <f t="shared" si="129"/>
        <v>100.17699999999999</v>
      </c>
      <c r="U134" s="776">
        <f t="shared" si="129"/>
        <v>54.004000000000019</v>
      </c>
      <c r="V134" s="776">
        <f>V115</f>
        <v>86.519000000000005</v>
      </c>
      <c r="W134" s="776">
        <f t="shared" ref="W134:Y136" si="130">W115-V115</f>
        <v>120.51900000000001</v>
      </c>
      <c r="X134" s="776">
        <f t="shared" si="130"/>
        <v>94.908000000000015</v>
      </c>
      <c r="Y134" s="776">
        <f t="shared" si="130"/>
        <v>40.803999999999974</v>
      </c>
      <c r="Z134" s="776">
        <f>Z115</f>
        <v>70.933000000000007</v>
      </c>
      <c r="AA134" s="776">
        <f t="shared" ref="AA134:AC136" si="131">AA115-Z115</f>
        <v>190.01999999999998</v>
      </c>
      <c r="AB134" s="776">
        <f t="shared" si="131"/>
        <v>82.895000000000039</v>
      </c>
      <c r="AC134" s="776">
        <f t="shared" si="131"/>
        <v>95.829000000000008</v>
      </c>
      <c r="AD134" s="772">
        <v>103.57</v>
      </c>
      <c r="AE134" s="772">
        <v>125.27200000000001</v>
      </c>
      <c r="AF134" s="772">
        <v>65.028000000000006</v>
      </c>
      <c r="AG134" s="772">
        <f>AG115-AF115</f>
        <v>57.994000000000028</v>
      </c>
      <c r="AH134" s="772">
        <v>72.78</v>
      </c>
      <c r="AI134" s="772">
        <v>103.325</v>
      </c>
      <c r="AJ134" s="772">
        <v>126.288</v>
      </c>
      <c r="AK134" s="1579">
        <f>479.647-SUM(AH134:AJ134)</f>
        <v>177.25399999999996</v>
      </c>
      <c r="AL134" s="1430">
        <v>78.905000000000001</v>
      </c>
      <c r="AM134" s="1430">
        <v>136.964</v>
      </c>
      <c r="AN134" s="1430">
        <v>171.00399999999999</v>
      </c>
      <c r="AO134" s="1594">
        <f>520.219-SUM(AL134:AN134)</f>
        <v>133.34600000000006</v>
      </c>
      <c r="AP134" s="1430">
        <v>190.87</v>
      </c>
      <c r="AQ134" s="1430">
        <v>181.542</v>
      </c>
      <c r="AR134" s="1430">
        <v>149.91800000000001</v>
      </c>
      <c r="AS134" s="1019">
        <f>782.112-SUM(AP134:AR134)</f>
        <v>259.78199999999993</v>
      </c>
      <c r="AT134" s="1019">
        <v>319.07499999999999</v>
      </c>
      <c r="AU134" s="1019"/>
      <c r="AV134" s="1019"/>
      <c r="AW134" s="1019"/>
      <c r="AX134" s="1019"/>
      <c r="AY134" s="1019"/>
      <c r="AZ134" s="1019"/>
      <c r="BA134" s="1019"/>
      <c r="BB134" s="1019"/>
      <c r="BC134" s="1019"/>
      <c r="BD134" s="1019"/>
      <c r="BE134" s="1019"/>
      <c r="BF134" s="1019"/>
      <c r="BG134" s="1019"/>
      <c r="BH134" s="1019"/>
      <c r="BI134" s="1019"/>
      <c r="BJ134" s="1019"/>
      <c r="BK134" s="1019"/>
      <c r="BL134" s="1019"/>
      <c r="BM134" s="1019"/>
      <c r="BN134" s="1019"/>
    </row>
    <row r="135" spans="1:66">
      <c r="A135" s="1749" t="s">
        <v>42</v>
      </c>
      <c r="B135" s="772" t="s">
        <v>972</v>
      </c>
      <c r="C135" s="772" t="s">
        <v>972</v>
      </c>
      <c r="D135" s="772" t="s">
        <v>972</v>
      </c>
      <c r="E135" s="772" t="s">
        <v>972</v>
      </c>
      <c r="F135" s="772" t="s">
        <v>972</v>
      </c>
      <c r="G135" s="772" t="s">
        <v>972</v>
      </c>
      <c r="H135" s="772" t="s">
        <v>972</v>
      </c>
      <c r="I135" s="772" t="s">
        <v>972</v>
      </c>
      <c r="J135" s="772" t="s">
        <v>972</v>
      </c>
      <c r="K135" s="772" t="s">
        <v>972</v>
      </c>
      <c r="L135" s="772" t="s">
        <v>972</v>
      </c>
      <c r="M135" s="772" t="s">
        <v>972</v>
      </c>
      <c r="N135" s="776">
        <f>N116</f>
        <v>9.8070000000000004</v>
      </c>
      <c r="O135" s="776">
        <f t="shared" si="128"/>
        <v>27.975999999999999</v>
      </c>
      <c r="P135" s="776">
        <f t="shared" si="128"/>
        <v>55.611000000000004</v>
      </c>
      <c r="Q135" s="776">
        <f t="shared" si="128"/>
        <v>79.575999999999993</v>
      </c>
      <c r="R135" s="776">
        <f>R116</f>
        <v>35.816000000000003</v>
      </c>
      <c r="S135" s="776">
        <f t="shared" si="129"/>
        <v>40.405000000000001</v>
      </c>
      <c r="T135" s="776">
        <f t="shared" si="129"/>
        <v>86.224999999999994</v>
      </c>
      <c r="U135" s="776">
        <f t="shared" si="129"/>
        <v>77.051999999999992</v>
      </c>
      <c r="V135" s="776">
        <f>V116</f>
        <v>58.377000000000002</v>
      </c>
      <c r="W135" s="776">
        <f t="shared" si="130"/>
        <v>30.353999999999992</v>
      </c>
      <c r="X135" s="776">
        <f t="shared" si="130"/>
        <v>54.195999999999998</v>
      </c>
      <c r="Y135" s="776">
        <f t="shared" si="130"/>
        <v>28.619</v>
      </c>
      <c r="Z135" s="776">
        <f>Z116</f>
        <v>29.228999999999999</v>
      </c>
      <c r="AA135" s="776">
        <f t="shared" si="131"/>
        <v>37.396000000000001</v>
      </c>
      <c r="AB135" s="776">
        <f t="shared" si="131"/>
        <v>59.853999999999999</v>
      </c>
      <c r="AC135" s="776">
        <f t="shared" si="131"/>
        <v>49.543999999999997</v>
      </c>
      <c r="AD135" s="772">
        <v>98.480999999999995</v>
      </c>
      <c r="AE135" s="772">
        <v>87.522000000000006</v>
      </c>
      <c r="AF135" s="772">
        <v>59.103999999999999</v>
      </c>
      <c r="AG135" s="772">
        <f>AG116-AF116</f>
        <v>80.317999999999984</v>
      </c>
      <c r="AH135" s="772">
        <v>107.92400000000001</v>
      </c>
      <c r="AI135" s="772">
        <v>70.450999999999993</v>
      </c>
      <c r="AJ135" s="772">
        <v>84.093999999999994</v>
      </c>
      <c r="AK135" s="1579">
        <f>394.398-SUM(AH135:AJ135)</f>
        <v>131.92900000000003</v>
      </c>
      <c r="AL135" s="1430">
        <v>72.965000000000003</v>
      </c>
      <c r="AM135" s="1430">
        <v>127.485</v>
      </c>
      <c r="AN135" s="1430">
        <v>205.483</v>
      </c>
      <c r="AO135" s="1594">
        <f>613.322-SUM(AL135:AN135)</f>
        <v>207.38900000000001</v>
      </c>
      <c r="AP135" s="1430">
        <v>104.67400000000001</v>
      </c>
      <c r="AQ135" s="1430">
        <v>132.26900000000001</v>
      </c>
      <c r="AR135" s="1430">
        <v>163.76499999999999</v>
      </c>
      <c r="AS135" s="1019">
        <f>537.894-3.517-SUM(AP135:AR135)</f>
        <v>133.66899999999998</v>
      </c>
      <c r="AT135" s="1019">
        <v>96.673000000000002</v>
      </c>
      <c r="AU135" s="1019"/>
      <c r="AV135" s="1019"/>
      <c r="AW135" s="1019"/>
      <c r="AX135" s="1019"/>
      <c r="AY135" s="1019"/>
      <c r="AZ135" s="1019"/>
      <c r="BA135" s="1019"/>
      <c r="BB135" s="1019"/>
      <c r="BC135" s="1019"/>
      <c r="BD135" s="1019"/>
      <c r="BE135" s="1019"/>
      <c r="BF135" s="1019"/>
      <c r="BG135" s="1019"/>
      <c r="BH135" s="1019"/>
      <c r="BI135" s="1019"/>
      <c r="BJ135" s="1019"/>
      <c r="BK135" s="1019"/>
      <c r="BL135" s="1019"/>
      <c r="BM135" s="1019"/>
      <c r="BN135" s="1019"/>
    </row>
    <row r="136" spans="1:66">
      <c r="A136" s="1749" t="s">
        <v>1083</v>
      </c>
      <c r="B136" s="772" t="s">
        <v>972</v>
      </c>
      <c r="C136" s="772" t="s">
        <v>972</v>
      </c>
      <c r="D136" s="772" t="s">
        <v>972</v>
      </c>
      <c r="E136" s="772" t="s">
        <v>972</v>
      </c>
      <c r="F136" s="772" t="s">
        <v>972</v>
      </c>
      <c r="G136" s="772" t="s">
        <v>972</v>
      </c>
      <c r="H136" s="772" t="s">
        <v>972</v>
      </c>
      <c r="I136" s="772" t="s">
        <v>972</v>
      </c>
      <c r="J136" s="772" t="s">
        <v>972</v>
      </c>
      <c r="K136" s="772" t="s">
        <v>972</v>
      </c>
      <c r="L136" s="772" t="s">
        <v>972</v>
      </c>
      <c r="M136" s="772" t="s">
        <v>972</v>
      </c>
      <c r="N136" s="776">
        <f>N117</f>
        <v>2.3980000000000001</v>
      </c>
      <c r="O136" s="776">
        <f t="shared" si="128"/>
        <v>4.843</v>
      </c>
      <c r="P136" s="776">
        <f t="shared" si="128"/>
        <v>6.8179999999999996</v>
      </c>
      <c r="Q136" s="776">
        <f t="shared" si="128"/>
        <v>0.55800000000000161</v>
      </c>
      <c r="R136" s="776">
        <f>R117</f>
        <v>6.4139999999999997</v>
      </c>
      <c r="S136" s="776">
        <f t="shared" si="129"/>
        <v>5.9860000000000007</v>
      </c>
      <c r="T136" s="776">
        <f t="shared" si="129"/>
        <v>5.1169999999999991</v>
      </c>
      <c r="U136" s="776">
        <f t="shared" si="129"/>
        <v>-0.3960000000000008</v>
      </c>
      <c r="V136" s="776">
        <f>V117</f>
        <v>2.1970000000000001</v>
      </c>
      <c r="W136" s="776">
        <f t="shared" si="130"/>
        <v>8.1990000000000016</v>
      </c>
      <c r="X136" s="776">
        <f t="shared" si="130"/>
        <v>9.1009999999999991</v>
      </c>
      <c r="Y136" s="776">
        <f t="shared" si="130"/>
        <v>3.3219999999999992</v>
      </c>
      <c r="Z136" s="776">
        <f>Z117</f>
        <v>7.9139999999999997</v>
      </c>
      <c r="AA136" s="776">
        <f t="shared" si="131"/>
        <v>10.856</v>
      </c>
      <c r="AB136" s="776">
        <f t="shared" si="131"/>
        <v>16.586000000000002</v>
      </c>
      <c r="AC136" s="776">
        <f t="shared" si="131"/>
        <v>-0.95400000000000063</v>
      </c>
      <c r="AD136" s="772">
        <v>9.5879999999999992</v>
      </c>
      <c r="AE136" s="772">
        <v>25.873999999999999</v>
      </c>
      <c r="AF136" s="772">
        <v>44.293999999999997</v>
      </c>
      <c r="AG136" s="772">
        <f>AG117-AF117</f>
        <v>9.3829999999999956</v>
      </c>
      <c r="AH136" s="772">
        <v>46.341999999999999</v>
      </c>
      <c r="AI136" s="772">
        <v>83.141999999999996</v>
      </c>
      <c r="AJ136" s="772">
        <v>77.301000000000002</v>
      </c>
      <c r="AK136" s="1579">
        <f>158.659+23.27+35.619-SUM(AH136:AJ136)</f>
        <v>10.763000000000034</v>
      </c>
      <c r="AL136" s="1430">
        <f>49.46+10.03+13.744</f>
        <v>73.234000000000009</v>
      </c>
      <c r="AM136" s="1430">
        <f>42.036+3.227+9.19</f>
        <v>54.452999999999996</v>
      </c>
      <c r="AN136" s="1430">
        <f>30.732-0.629+5.319</f>
        <v>35.421999999999997</v>
      </c>
      <c r="AO136" s="1594">
        <f>123.425+11.44+32.834-SUM(AL136:AN136)</f>
        <v>4.5900000000000034</v>
      </c>
      <c r="AP136" s="1430">
        <f>-3.433+30.595+3.943+7.101</f>
        <v>38.206000000000003</v>
      </c>
      <c r="AQ136" s="1430">
        <f>36.259+9.468+9.166</f>
        <v>54.893000000000001</v>
      </c>
      <c r="AR136" s="1430">
        <v>28.325000000000003</v>
      </c>
      <c r="AS136" s="1019">
        <f>84.958+14.256+29.381-SUM(AP136:AR136)</f>
        <v>7.1709999999999923</v>
      </c>
      <c r="AT136" s="1019">
        <f>50.751+0.239+8.604</f>
        <v>59.593999999999994</v>
      </c>
      <c r="AU136" s="1019"/>
      <c r="AV136" s="1019"/>
      <c r="AW136" s="1019"/>
      <c r="AX136" s="1019"/>
      <c r="AY136" s="1019"/>
      <c r="AZ136" s="1019"/>
      <c r="BA136" s="1019"/>
      <c r="BB136" s="1019"/>
      <c r="BC136" s="1019"/>
      <c r="BD136" s="1019"/>
      <c r="BE136" s="1019"/>
      <c r="BF136" s="1019"/>
      <c r="BG136" s="1019"/>
      <c r="BH136" s="1019"/>
      <c r="BI136" s="1019"/>
      <c r="BJ136" s="1019"/>
      <c r="BK136" s="1019"/>
      <c r="BL136" s="1019"/>
      <c r="BM136" s="1019"/>
      <c r="BN136" s="1019"/>
    </row>
    <row r="137" spans="1:66">
      <c r="A137" s="1736"/>
      <c r="B137" s="52"/>
      <c r="C137" s="52"/>
      <c r="D137" s="52"/>
      <c r="E137" s="52"/>
      <c r="F137" s="52"/>
      <c r="G137" s="52"/>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260"/>
      <c r="AL137" s="1401"/>
      <c r="AM137" s="52"/>
      <c r="AN137" s="1401"/>
      <c r="AO137" s="1401"/>
      <c r="AP137" s="1401"/>
      <c r="AQ137" s="1401"/>
      <c r="AR137" s="1401"/>
      <c r="AS137" s="52"/>
      <c r="AT137" s="52"/>
      <c r="AU137" s="52"/>
      <c r="AV137" s="52"/>
      <c r="AW137" s="52"/>
      <c r="AX137" s="52"/>
      <c r="AY137" s="52"/>
      <c r="AZ137" s="52"/>
      <c r="BA137" s="52"/>
      <c r="BB137" s="52"/>
      <c r="BC137" s="52"/>
      <c r="BD137" s="52"/>
      <c r="BE137" s="52"/>
      <c r="BF137" s="52"/>
      <c r="BG137" s="52"/>
      <c r="BH137" s="52"/>
      <c r="BI137" s="52"/>
      <c r="BJ137" s="52"/>
      <c r="BK137" s="52"/>
      <c r="BL137" s="52"/>
      <c r="BM137" s="52"/>
      <c r="BN137" s="52"/>
    </row>
    <row r="138" spans="1:66">
      <c r="A138" s="1752" t="s">
        <v>1054</v>
      </c>
      <c r="B138" s="390"/>
      <c r="C138" s="390"/>
      <c r="D138" s="390"/>
      <c r="E138" s="390"/>
      <c r="F138" s="202"/>
      <c r="G138" s="390"/>
      <c r="H138" s="390"/>
      <c r="I138" s="390"/>
      <c r="J138" s="202"/>
      <c r="K138" s="390"/>
      <c r="L138" s="202"/>
      <c r="M138" s="202"/>
      <c r="N138" s="202"/>
      <c r="O138" s="390"/>
      <c r="P138" s="202"/>
      <c r="Q138" s="202"/>
      <c r="R138" s="202"/>
      <c r="S138" s="202"/>
      <c r="T138" s="202"/>
      <c r="U138" s="202"/>
      <c r="V138" s="202"/>
      <c r="W138" s="202"/>
      <c r="X138" s="202"/>
      <c r="Y138" s="202"/>
      <c r="Z138" s="476"/>
      <c r="AA138" s="202"/>
      <c r="AB138" s="774">
        <f>SUM(AB139:AB141)</f>
        <v>161.054</v>
      </c>
      <c r="AC138" s="774">
        <f>AC133</f>
        <v>144.41899999999998</v>
      </c>
      <c r="AD138" s="774">
        <f t="shared" ref="AD138:AO138" si="132">SUM(AD139:AD141)</f>
        <v>211.63900000000001</v>
      </c>
      <c r="AE138" s="774">
        <f t="shared" si="132"/>
        <v>238.84300000000002</v>
      </c>
      <c r="AF138" s="774">
        <f t="shared" si="132"/>
        <v>168.42600000000002</v>
      </c>
      <c r="AG138" s="774">
        <f t="shared" si="132"/>
        <v>147.69300000000004</v>
      </c>
      <c r="AH138" s="774">
        <f t="shared" si="132"/>
        <v>227.15399999999997</v>
      </c>
      <c r="AI138" s="774">
        <f t="shared" si="132"/>
        <v>250.202</v>
      </c>
      <c r="AJ138" s="774">
        <f t="shared" si="132"/>
        <v>287.68299999999999</v>
      </c>
      <c r="AK138" s="774">
        <f t="shared" si="132"/>
        <v>326.55399999999997</v>
      </c>
      <c r="AL138" s="774">
        <f t="shared" si="132"/>
        <v>225.10400000000001</v>
      </c>
      <c r="AM138" s="774">
        <f t="shared" si="132"/>
        <v>318.90199999999999</v>
      </c>
      <c r="AN138" s="774">
        <f t="shared" si="132"/>
        <v>411.90900000000005</v>
      </c>
      <c r="AO138" s="774">
        <f t="shared" si="132"/>
        <v>345.32599999999985</v>
      </c>
      <c r="AP138" s="774">
        <f t="shared" ref="AP138" si="133">SUM(AP139:AP141)</f>
        <v>333.75100000000003</v>
      </c>
      <c r="AQ138" s="774">
        <f>+AQ133</f>
        <v>368.70400000000006</v>
      </c>
      <c r="AR138" s="774">
        <f t="shared" ref="AR138" si="134">+AR133</f>
        <v>342.00799999999998</v>
      </c>
      <c r="AS138" s="774">
        <f>+AS133</f>
        <v>400.6219999999999</v>
      </c>
      <c r="AT138" s="774">
        <f>+AT133</f>
        <v>475.34199999999998</v>
      </c>
      <c r="AU138" s="202"/>
      <c r="AV138" s="202"/>
      <c r="AW138" s="202"/>
      <c r="AX138" s="202"/>
      <c r="AY138" s="202"/>
      <c r="AZ138" s="202"/>
      <c r="BA138" s="202"/>
      <c r="BB138" s="202"/>
      <c r="BC138" s="202"/>
      <c r="BD138" s="202"/>
      <c r="BE138" s="106"/>
      <c r="BF138" s="106"/>
      <c r="BG138" s="106"/>
      <c r="BH138" s="106"/>
      <c r="BI138" s="106"/>
      <c r="BJ138" s="106"/>
      <c r="BK138" s="106"/>
      <c r="BL138" s="106"/>
      <c r="BM138" s="106"/>
      <c r="BN138" s="106"/>
    </row>
    <row r="139" spans="1:66">
      <c r="A139" s="1753" t="s">
        <v>1051</v>
      </c>
      <c r="B139" s="772" t="s">
        <v>972</v>
      </c>
      <c r="C139" s="772" t="s">
        <v>972</v>
      </c>
      <c r="D139" s="772" t="s">
        <v>972</v>
      </c>
      <c r="E139" s="772" t="s">
        <v>972</v>
      </c>
      <c r="F139" s="772" t="s">
        <v>972</v>
      </c>
      <c r="G139" s="772" t="s">
        <v>972</v>
      </c>
      <c r="H139" s="772" t="s">
        <v>972</v>
      </c>
      <c r="I139" s="772" t="s">
        <v>972</v>
      </c>
      <c r="J139" s="772" t="s">
        <v>972</v>
      </c>
      <c r="K139" s="772" t="s">
        <v>972</v>
      </c>
      <c r="L139" s="772" t="s">
        <v>972</v>
      </c>
      <c r="M139" s="772" t="s">
        <v>972</v>
      </c>
      <c r="N139" s="772" t="s">
        <v>972</v>
      </c>
      <c r="O139" s="772" t="s">
        <v>972</v>
      </c>
      <c r="P139" s="772" t="s">
        <v>972</v>
      </c>
      <c r="Q139" s="772" t="s">
        <v>972</v>
      </c>
      <c r="R139" s="772" t="s">
        <v>972</v>
      </c>
      <c r="S139" s="772" t="s">
        <v>972</v>
      </c>
      <c r="T139" s="772" t="s">
        <v>972</v>
      </c>
      <c r="U139" s="772" t="s">
        <v>972</v>
      </c>
      <c r="V139" s="772" t="s">
        <v>972</v>
      </c>
      <c r="W139" s="772" t="s">
        <v>972</v>
      </c>
      <c r="X139" s="772" t="s">
        <v>972</v>
      </c>
      <c r="Y139" s="772" t="s">
        <v>972</v>
      </c>
      <c r="Z139" s="772" t="s">
        <v>972</v>
      </c>
      <c r="AA139" s="772" t="s">
        <v>972</v>
      </c>
      <c r="AB139" s="772">
        <v>142.756</v>
      </c>
      <c r="AC139" s="772">
        <f>615.7-470.327</f>
        <v>145.37300000000005</v>
      </c>
      <c r="AD139" s="772">
        <v>202.05099999999999</v>
      </c>
      <c r="AE139" s="772">
        <v>212.792</v>
      </c>
      <c r="AF139" s="772">
        <v>124.13200000000001</v>
      </c>
      <c r="AG139" s="772">
        <f>677.286-SUM(AD139:AF139)</f>
        <v>138.31100000000004</v>
      </c>
      <c r="AH139" s="772">
        <f>354.479-AI139</f>
        <v>180.70299999999997</v>
      </c>
      <c r="AI139" s="772">
        <v>173.77600000000001</v>
      </c>
      <c r="AJ139" s="772">
        <v>210.38200000000001</v>
      </c>
      <c r="AK139" s="1579">
        <f>875.795-SUM(AH139:AJ139)</f>
        <v>310.93399999999997</v>
      </c>
      <c r="AL139" s="678">
        <v>151.87100000000001</v>
      </c>
      <c r="AM139" s="678">
        <v>264.44900000000001</v>
      </c>
      <c r="AN139" s="678">
        <v>376.48700000000002</v>
      </c>
      <c r="AO139" s="1579">
        <f>1133.542-SUM(AL139:AN139)</f>
        <v>340.7349999999999</v>
      </c>
      <c r="AP139" s="678">
        <v>295.54399999999998</v>
      </c>
      <c r="AQ139" s="933">
        <f t="shared" ref="AQ139:AR141" si="135">+(AP139/AP$138)*AQ$138</f>
        <v>326.4956658586791</v>
      </c>
      <c r="AR139" s="933">
        <f t="shared" si="135"/>
        <v>302.85575879023583</v>
      </c>
      <c r="AS139" s="933">
        <f t="shared" ref="AS139:AT139" si="136">+(AR139/AR$138)*AS$138</f>
        <v>354.75977111079806</v>
      </c>
      <c r="AT139" s="933">
        <f t="shared" si="136"/>
        <v>420.92600785615622</v>
      </c>
      <c r="AU139" s="202"/>
      <c r="AV139" s="202"/>
      <c r="AW139" s="202"/>
      <c r="AX139" s="202"/>
      <c r="AY139" s="202"/>
      <c r="AZ139" s="202"/>
      <c r="BA139" s="202"/>
      <c r="BB139" s="202"/>
      <c r="BC139" s="202"/>
      <c r="BD139" s="202"/>
      <c r="BE139" s="106"/>
      <c r="BF139" s="106"/>
      <c r="BG139" s="106"/>
      <c r="BH139" s="106"/>
      <c r="BI139" s="106"/>
      <c r="BJ139" s="106"/>
      <c r="BK139" s="106"/>
      <c r="BL139" s="106"/>
      <c r="BM139" s="106"/>
      <c r="BN139" s="106"/>
    </row>
    <row r="140" spans="1:66">
      <c r="A140" s="1753" t="s">
        <v>1052</v>
      </c>
      <c r="B140" s="772" t="s">
        <v>972</v>
      </c>
      <c r="C140" s="772" t="s">
        <v>972</v>
      </c>
      <c r="D140" s="772" t="s">
        <v>972</v>
      </c>
      <c r="E140" s="772" t="s">
        <v>972</v>
      </c>
      <c r="F140" s="772" t="s">
        <v>972</v>
      </c>
      <c r="G140" s="772" t="s">
        <v>972</v>
      </c>
      <c r="H140" s="772" t="s">
        <v>972</v>
      </c>
      <c r="I140" s="772" t="s">
        <v>972</v>
      </c>
      <c r="J140" s="772" t="s">
        <v>972</v>
      </c>
      <c r="K140" s="772" t="s">
        <v>972</v>
      </c>
      <c r="L140" s="772" t="s">
        <v>972</v>
      </c>
      <c r="M140" s="772" t="s">
        <v>972</v>
      </c>
      <c r="N140" s="772" t="s">
        <v>972</v>
      </c>
      <c r="O140" s="772" t="s">
        <v>972</v>
      </c>
      <c r="P140" s="772" t="s">
        <v>972</v>
      </c>
      <c r="Q140" s="772" t="s">
        <v>972</v>
      </c>
      <c r="R140" s="772" t="s">
        <v>972</v>
      </c>
      <c r="S140" s="772" t="s">
        <v>972</v>
      </c>
      <c r="T140" s="772" t="s">
        <v>972</v>
      </c>
      <c r="U140" s="772" t="s">
        <v>972</v>
      </c>
      <c r="V140" s="772" t="s">
        <v>972</v>
      </c>
      <c r="W140" s="772" t="s">
        <v>972</v>
      </c>
      <c r="X140" s="772" t="s">
        <v>972</v>
      </c>
      <c r="Y140" s="772" t="s">
        <v>972</v>
      </c>
      <c r="Z140" s="772" t="s">
        <v>972</v>
      </c>
      <c r="AA140" s="772" t="s">
        <v>972</v>
      </c>
      <c r="AB140" s="772">
        <v>12.416</v>
      </c>
      <c r="AC140" s="772">
        <f>26.98-27.844</f>
        <v>-0.86400000000000077</v>
      </c>
      <c r="AD140" s="772">
        <v>7.6219999999999999</v>
      </c>
      <c r="AE140" s="772">
        <f>63.673-AF140-AD140</f>
        <v>20.378</v>
      </c>
      <c r="AF140" s="772">
        <v>35.673000000000002</v>
      </c>
      <c r="AG140" s="772">
        <f>65.593-SUM(AD140:AF140)</f>
        <v>1.9200000000000017</v>
      </c>
      <c r="AH140" s="772">
        <v>45.134999999999998</v>
      </c>
      <c r="AI140" s="772">
        <f>156.1-AJ140-AH140</f>
        <v>39.550999999999995</v>
      </c>
      <c r="AJ140" s="772">
        <v>71.414000000000001</v>
      </c>
      <c r="AK140" s="1579">
        <f>174.951-SUM(AH140:AJ140)</f>
        <v>18.850999999999999</v>
      </c>
      <c r="AL140" s="678">
        <v>49.46</v>
      </c>
      <c r="AM140" s="678">
        <v>42.036000000000001</v>
      </c>
      <c r="AN140" s="678">
        <v>30.733000000000001</v>
      </c>
      <c r="AO140" s="1579">
        <f>123.425-SUM(AL140:AN140)</f>
        <v>1.1959999999999837</v>
      </c>
      <c r="AP140" s="678">
        <v>30.594999999999999</v>
      </c>
      <c r="AQ140" s="933">
        <f t="shared" si="135"/>
        <v>33.799146309673979</v>
      </c>
      <c r="AR140" s="933">
        <f t="shared" si="135"/>
        <v>31.351920323834229</v>
      </c>
      <c r="AS140" s="933">
        <f t="shared" ref="AS140:AT140" si="137">+(AR140/AR$138)*AS$138</f>
        <v>36.725073752587988</v>
      </c>
      <c r="AT140" s="933">
        <f t="shared" si="137"/>
        <v>43.57466641298452</v>
      </c>
      <c r="AU140" s="202"/>
      <c r="AV140" s="202"/>
      <c r="AW140" s="202"/>
      <c r="AX140" s="202"/>
      <c r="AY140" s="202"/>
      <c r="AZ140" s="202"/>
      <c r="BA140" s="202"/>
      <c r="BB140" s="202"/>
      <c r="BC140" s="202"/>
      <c r="BD140" s="202"/>
      <c r="BE140" s="106"/>
      <c r="BF140" s="106"/>
      <c r="BG140" s="106"/>
      <c r="BH140" s="106"/>
      <c r="BI140" s="106"/>
      <c r="BJ140" s="106"/>
      <c r="BK140" s="106"/>
      <c r="BL140" s="106"/>
      <c r="BM140" s="106"/>
      <c r="BN140" s="106"/>
    </row>
    <row r="141" spans="1:66">
      <c r="A141" s="1753" t="s">
        <v>1191</v>
      </c>
      <c r="B141" s="772" t="s">
        <v>972</v>
      </c>
      <c r="C141" s="772" t="s">
        <v>972</v>
      </c>
      <c r="D141" s="772" t="s">
        <v>972</v>
      </c>
      <c r="E141" s="772" t="s">
        <v>972</v>
      </c>
      <c r="F141" s="772" t="s">
        <v>972</v>
      </c>
      <c r="G141" s="772" t="s">
        <v>972</v>
      </c>
      <c r="H141" s="772" t="s">
        <v>972</v>
      </c>
      <c r="I141" s="772" t="s">
        <v>972</v>
      </c>
      <c r="J141" s="772" t="s">
        <v>972</v>
      </c>
      <c r="K141" s="772" t="s">
        <v>972</v>
      </c>
      <c r="L141" s="772" t="s">
        <v>972</v>
      </c>
      <c r="M141" s="772" t="s">
        <v>972</v>
      </c>
      <c r="N141" s="772" t="s">
        <v>972</v>
      </c>
      <c r="O141" s="772" t="s">
        <v>972</v>
      </c>
      <c r="P141" s="772" t="s">
        <v>972</v>
      </c>
      <c r="Q141" s="772" t="s">
        <v>972</v>
      </c>
      <c r="R141" s="772" t="s">
        <v>972</v>
      </c>
      <c r="S141" s="772" t="s">
        <v>972</v>
      </c>
      <c r="T141" s="772" t="s">
        <v>972</v>
      </c>
      <c r="U141" s="772" t="s">
        <v>972</v>
      </c>
      <c r="V141" s="772" t="s">
        <v>972</v>
      </c>
      <c r="W141" s="772" t="s">
        <v>972</v>
      </c>
      <c r="X141" s="772" t="s">
        <v>972</v>
      </c>
      <c r="Y141" s="772" t="s">
        <v>972</v>
      </c>
      <c r="Z141" s="772" t="s">
        <v>972</v>
      </c>
      <c r="AA141" s="772" t="s">
        <v>972</v>
      </c>
      <c r="AB141" s="772">
        <v>5.8819999999999997</v>
      </c>
      <c r="AC141" s="772">
        <f>7.422-7.511</f>
        <v>-8.9000000000000412E-2</v>
      </c>
      <c r="AD141" s="772">
        <v>1.966</v>
      </c>
      <c r="AE141" s="772">
        <f>16.26-AF141-AD141</f>
        <v>5.6730000000000009</v>
      </c>
      <c r="AF141" s="772">
        <v>8.6210000000000004</v>
      </c>
      <c r="AG141" s="772">
        <f>23.722-SUM(AD141:AF141)</f>
        <v>7.4619999999999997</v>
      </c>
      <c r="AH141" s="772">
        <v>1.3159999999999989</v>
      </c>
      <c r="AI141" s="772">
        <f>28.802+15.276-AH141-AJ141</f>
        <v>36.875</v>
      </c>
      <c r="AJ141" s="772">
        <v>5.8869999999999996</v>
      </c>
      <c r="AK141" s="1579">
        <f>25.752+15.095-SUM(AH141:AJ141)</f>
        <v>-3.2310000000000016</v>
      </c>
      <c r="AL141" s="678">
        <f>10.03+13.743</f>
        <v>23.773</v>
      </c>
      <c r="AM141" s="678">
        <f>3.227+9.19</f>
        <v>12.417</v>
      </c>
      <c r="AN141" s="678">
        <f>5.318-0.629</f>
        <v>4.6890000000000001</v>
      </c>
      <c r="AO141" s="1579">
        <f>11.44+32.834-SUM(AL141:AN141)</f>
        <v>3.3950000000000031</v>
      </c>
      <c r="AP141" s="678">
        <f>3.943+3.669</f>
        <v>7.6120000000000001</v>
      </c>
      <c r="AQ141" s="933">
        <f t="shared" si="135"/>
        <v>8.4091878316469462</v>
      </c>
      <c r="AR141" s="933">
        <f t="shared" si="135"/>
        <v>7.8003208859299287</v>
      </c>
      <c r="AS141" s="933">
        <f t="shared" ref="AS141:AT141" si="138">+(AR141/AR$138)*AS$138</f>
        <v>9.1371551366138188</v>
      </c>
      <c r="AT141" s="933">
        <f t="shared" si="138"/>
        <v>10.841325730859232</v>
      </c>
      <c r="AU141" s="202"/>
      <c r="AV141" s="202"/>
      <c r="AW141" s="202"/>
      <c r="AX141" s="202"/>
      <c r="AY141" s="202"/>
      <c r="AZ141" s="202"/>
      <c r="BA141" s="202"/>
      <c r="BB141" s="202"/>
      <c r="BC141" s="202"/>
      <c r="BD141" s="202"/>
      <c r="BE141" s="106"/>
      <c r="BF141" s="106"/>
      <c r="BG141" s="106"/>
      <c r="BH141" s="106"/>
      <c r="BI141" s="106"/>
      <c r="BJ141" s="106"/>
      <c r="BK141" s="106"/>
      <c r="BL141" s="106"/>
      <c r="BM141" s="106"/>
      <c r="BN141" s="106"/>
    </row>
    <row r="142" spans="1:66">
      <c r="A142" s="1753"/>
      <c r="B142" s="772"/>
      <c r="C142" s="772"/>
      <c r="D142" s="772"/>
      <c r="E142" s="772"/>
      <c r="F142" s="772"/>
      <c r="G142" s="772"/>
      <c r="H142" s="772"/>
      <c r="I142" s="772"/>
      <c r="J142" s="772"/>
      <c r="K142" s="772"/>
      <c r="L142" s="772"/>
      <c r="M142" s="772"/>
      <c r="N142" s="772"/>
      <c r="O142" s="772"/>
      <c r="P142" s="772"/>
      <c r="Q142" s="772"/>
      <c r="R142" s="772"/>
      <c r="S142" s="772"/>
      <c r="T142" s="772"/>
      <c r="U142" s="772"/>
      <c r="V142" s="772"/>
      <c r="W142" s="772"/>
      <c r="X142" s="772"/>
      <c r="Y142" s="772"/>
      <c r="Z142" s="772"/>
      <c r="AA142" s="772"/>
      <c r="AB142" s="772"/>
      <c r="AC142" s="772"/>
      <c r="AD142" s="772"/>
      <c r="AE142" s="772"/>
      <c r="AF142" s="772"/>
      <c r="AG142" s="772"/>
      <c r="AH142" s="772"/>
      <c r="AI142" s="772"/>
      <c r="AJ142" s="772"/>
      <c r="AK142" s="1579"/>
      <c r="AL142" s="678"/>
      <c r="AM142" s="678"/>
      <c r="AN142" s="678"/>
      <c r="AO142" s="1579"/>
      <c r="AP142" s="678"/>
      <c r="AQ142" s="678"/>
      <c r="AR142" s="1426"/>
      <c r="AS142" s="202"/>
      <c r="AT142" s="202"/>
      <c r="AU142" s="202"/>
      <c r="AV142" s="202"/>
      <c r="AW142" s="202"/>
      <c r="AX142" s="202"/>
      <c r="AY142" s="202"/>
      <c r="AZ142" s="202"/>
      <c r="BA142" s="202"/>
      <c r="BB142" s="202"/>
      <c r="BC142" s="202"/>
      <c r="BD142" s="202"/>
      <c r="BE142" s="106"/>
      <c r="BF142" s="106"/>
      <c r="BG142" s="106"/>
      <c r="BH142" s="106"/>
      <c r="BI142" s="106"/>
      <c r="BJ142" s="106"/>
      <c r="BK142" s="106"/>
      <c r="BL142" s="106"/>
      <c r="BM142" s="106"/>
      <c r="BN142" s="106"/>
    </row>
    <row r="143" spans="1:66">
      <c r="A143" s="1754" t="s">
        <v>918</v>
      </c>
      <c r="B143" s="772"/>
      <c r="C143" s="772"/>
      <c r="D143" s="772"/>
      <c r="E143" s="772"/>
      <c r="F143" s="772"/>
      <c r="G143" s="772"/>
      <c r="H143" s="772"/>
      <c r="I143" s="772"/>
      <c r="J143" s="772"/>
      <c r="K143" s="772"/>
      <c r="L143" s="772"/>
      <c r="M143" s="772"/>
      <c r="N143" s="772"/>
      <c r="O143" s="772"/>
      <c r="P143" s="772"/>
      <c r="Q143" s="772"/>
      <c r="R143" s="772"/>
      <c r="S143" s="772"/>
      <c r="T143" s="772"/>
      <c r="U143" s="772"/>
      <c r="V143" s="772"/>
      <c r="W143" s="772"/>
      <c r="X143" s="772"/>
      <c r="Y143" s="772"/>
      <c r="Z143" s="772"/>
      <c r="AA143" s="772"/>
      <c r="AB143" s="772"/>
      <c r="AC143" s="772"/>
      <c r="AD143" s="772"/>
      <c r="AE143" s="772"/>
      <c r="AF143" s="772"/>
      <c r="AG143" s="772"/>
      <c r="AH143" s="772"/>
      <c r="AI143" s="772"/>
      <c r="AJ143" s="772"/>
      <c r="AK143" s="1579"/>
      <c r="AL143" s="678"/>
      <c r="AM143" s="678"/>
      <c r="AN143" s="678"/>
      <c r="AO143" s="1579"/>
      <c r="AP143" s="678"/>
      <c r="AQ143" s="678"/>
      <c r="AR143" s="1426"/>
      <c r="AS143" s="202"/>
      <c r="AT143" s="202"/>
      <c r="AU143" s="202"/>
      <c r="AV143" s="202"/>
      <c r="AW143" s="202"/>
      <c r="AX143" s="202"/>
      <c r="AY143" s="202"/>
      <c r="AZ143" s="202"/>
      <c r="BA143" s="202"/>
      <c r="BB143" s="202"/>
      <c r="BC143" s="202"/>
      <c r="BD143" s="202"/>
      <c r="BE143" s="106"/>
      <c r="BF143" s="106"/>
      <c r="BG143" s="106"/>
      <c r="BH143" s="106"/>
      <c r="BI143" s="106"/>
      <c r="BJ143" s="106"/>
      <c r="BK143" s="106"/>
      <c r="BL143" s="106"/>
      <c r="BM143" s="106"/>
      <c r="BN143" s="106"/>
    </row>
    <row r="144" spans="1:66">
      <c r="A144" s="1755" t="s">
        <v>814</v>
      </c>
      <c r="B144" s="1389"/>
      <c r="C144" s="1389"/>
      <c r="D144" s="1389"/>
      <c r="E144" s="1389"/>
      <c r="F144" s="1389" t="s">
        <v>972</v>
      </c>
      <c r="G144" s="1389" t="s">
        <v>972</v>
      </c>
      <c r="H144" s="1389" t="s">
        <v>972</v>
      </c>
      <c r="I144" s="1389" t="s">
        <v>972</v>
      </c>
      <c r="J144" s="1389" t="s">
        <v>972</v>
      </c>
      <c r="K144" s="1389" t="s">
        <v>972</v>
      </c>
      <c r="L144" s="1389" t="s">
        <v>972</v>
      </c>
      <c r="M144" s="1389" t="s">
        <v>972</v>
      </c>
      <c r="N144" s="1389" t="s">
        <v>972</v>
      </c>
      <c r="O144" s="1389" t="s">
        <v>972</v>
      </c>
      <c r="P144" s="1389" t="s">
        <v>972</v>
      </c>
      <c r="Q144" s="1389" t="s">
        <v>972</v>
      </c>
      <c r="R144" s="1389" t="s">
        <v>972</v>
      </c>
      <c r="S144" s="1389" t="s">
        <v>972</v>
      </c>
      <c r="T144" s="1389" t="s">
        <v>972</v>
      </c>
      <c r="U144" s="1389" t="s">
        <v>972</v>
      </c>
      <c r="V144" s="1390">
        <v>-393.5</v>
      </c>
      <c r="W144" s="1389" t="s">
        <v>972</v>
      </c>
      <c r="X144" s="1390">
        <v>-374.1</v>
      </c>
      <c r="Y144" s="1390">
        <v>-462.1</v>
      </c>
      <c r="Z144" s="1390">
        <v>-408</v>
      </c>
      <c r="AA144" s="1390">
        <v>-405</v>
      </c>
      <c r="AB144" s="1390">
        <v>-367</v>
      </c>
      <c r="AC144" s="1390">
        <v>-416.9</v>
      </c>
      <c r="AD144" s="1390">
        <v>-378.5</v>
      </c>
      <c r="AE144" s="1390">
        <v>-403.8</v>
      </c>
      <c r="AF144" s="1390">
        <v>-431.5</v>
      </c>
      <c r="AG144" s="1390">
        <v>-471.4</v>
      </c>
      <c r="AH144" s="1390">
        <v>-444.2</v>
      </c>
      <c r="AI144" s="1390">
        <v>-383.7</v>
      </c>
      <c r="AJ144" s="1390">
        <v>-374.4</v>
      </c>
      <c r="AK144" s="678">
        <v>-398.3</v>
      </c>
      <c r="AL144" s="485">
        <v>-398.3</v>
      </c>
      <c r="AM144" s="485">
        <v>-438.8</v>
      </c>
      <c r="AN144" s="485">
        <v>-485</v>
      </c>
      <c r="AO144" s="485">
        <v>-581.29999999999995</v>
      </c>
      <c r="AP144" s="485">
        <v>-470</v>
      </c>
      <c r="AQ144" s="485">
        <v>-495.1</v>
      </c>
      <c r="AR144" s="819">
        <v>-575.5</v>
      </c>
      <c r="AS144" s="819">
        <v>-597.1</v>
      </c>
      <c r="AT144" s="819">
        <v>-501.5</v>
      </c>
      <c r="AU144" s="202"/>
      <c r="AV144" s="202"/>
      <c r="AW144" s="202"/>
      <c r="AX144" s="202"/>
      <c r="AY144" s="202"/>
      <c r="AZ144" s="202"/>
      <c r="BA144" s="202"/>
      <c r="BB144" s="202"/>
      <c r="BC144" s="202"/>
      <c r="BD144" s="202"/>
      <c r="BE144" s="106"/>
      <c r="BF144" s="106"/>
      <c r="BG144" s="106"/>
      <c r="BH144" s="106"/>
      <c r="BI144" s="106"/>
      <c r="BJ144" s="106"/>
      <c r="BK144" s="106"/>
      <c r="BL144" s="106"/>
      <c r="BM144" s="106"/>
      <c r="BN144" s="106"/>
    </row>
    <row r="145" spans="1:66">
      <c r="A145" s="1755" t="s">
        <v>893</v>
      </c>
      <c r="B145" s="1389"/>
      <c r="C145" s="1389"/>
      <c r="D145" s="1389"/>
      <c r="E145" s="1389"/>
      <c r="F145" s="1389" t="s">
        <v>972</v>
      </c>
      <c r="G145" s="1389" t="s">
        <v>972</v>
      </c>
      <c r="H145" s="1389" t="s">
        <v>972</v>
      </c>
      <c r="I145" s="1389" t="s">
        <v>972</v>
      </c>
      <c r="J145" s="1389" t="s">
        <v>972</v>
      </c>
      <c r="K145" s="1389" t="s">
        <v>972</v>
      </c>
      <c r="L145" s="1389" t="s">
        <v>972</v>
      </c>
      <c r="M145" s="1389" t="s">
        <v>972</v>
      </c>
      <c r="N145" s="1389" t="s">
        <v>972</v>
      </c>
      <c r="O145" s="1389" t="s">
        <v>972</v>
      </c>
      <c r="P145" s="1389" t="s">
        <v>972</v>
      </c>
      <c r="Q145" s="1389" t="s">
        <v>972</v>
      </c>
      <c r="R145" s="1389" t="s">
        <v>972</v>
      </c>
      <c r="S145" s="1389" t="s">
        <v>972</v>
      </c>
      <c r="T145" s="1389" t="s">
        <v>972</v>
      </c>
      <c r="U145" s="1389" t="s">
        <v>972</v>
      </c>
      <c r="V145" s="1390">
        <v>-532.5</v>
      </c>
      <c r="W145" s="1389" t="s">
        <v>972</v>
      </c>
      <c r="X145" s="1390">
        <v>-756.2</v>
      </c>
      <c r="Y145" s="1390">
        <v>-792</v>
      </c>
      <c r="Z145" s="1390">
        <v>-724</v>
      </c>
      <c r="AA145" s="1390">
        <v>-653.1</v>
      </c>
      <c r="AB145" s="1390">
        <v>-677</v>
      </c>
      <c r="AC145" s="1390">
        <v>-716.3</v>
      </c>
      <c r="AD145" s="1390">
        <v>-591.70000000000005</v>
      </c>
      <c r="AE145" s="1390">
        <v>-636.20000000000005</v>
      </c>
      <c r="AF145" s="1390">
        <v>-686.6</v>
      </c>
      <c r="AG145" s="1390">
        <v>-812.3</v>
      </c>
      <c r="AH145" s="1390">
        <v>-685.7</v>
      </c>
      <c r="AI145" s="1390">
        <v>-617.20000000000005</v>
      </c>
      <c r="AJ145" s="1390">
        <v>-642.29999999999995</v>
      </c>
      <c r="AK145" s="678">
        <v>-730.6</v>
      </c>
      <c r="AL145" s="485">
        <v>-730.6</v>
      </c>
      <c r="AM145" s="485">
        <v>-688.1</v>
      </c>
      <c r="AN145" s="485">
        <v>-719</v>
      </c>
      <c r="AO145" s="485">
        <v>-776.6</v>
      </c>
      <c r="AP145" s="485">
        <v>-771.6</v>
      </c>
      <c r="AQ145" s="485">
        <v>-809.1</v>
      </c>
      <c r="AR145" s="819">
        <v>-928.9</v>
      </c>
      <c r="AS145" s="819">
        <v>-999.2</v>
      </c>
      <c r="AT145" s="819">
        <v>-827.4</v>
      </c>
      <c r="AU145" s="52"/>
      <c r="AV145" s="52"/>
      <c r="AW145" s="52"/>
      <c r="AX145" s="52"/>
      <c r="AY145" s="52"/>
      <c r="AZ145" s="52"/>
      <c r="BA145" s="52"/>
      <c r="BB145" s="52"/>
      <c r="BC145" s="52"/>
      <c r="BD145" s="52"/>
      <c r="BE145" s="52"/>
      <c r="BF145" s="52"/>
      <c r="BG145" s="52"/>
      <c r="BH145" s="52"/>
      <c r="BI145" s="52"/>
      <c r="BJ145" s="52"/>
      <c r="BK145" s="52"/>
      <c r="BL145" s="52"/>
      <c r="BM145" s="52"/>
      <c r="BN145" s="52"/>
    </row>
    <row r="146" spans="1:66">
      <c r="A146" s="1755"/>
      <c r="B146" s="1401"/>
      <c r="C146" s="1401"/>
      <c r="D146" s="1401"/>
      <c r="E146" s="1401"/>
      <c r="F146" s="1401"/>
      <c r="G146" s="1401"/>
      <c r="H146" s="1401"/>
      <c r="I146" s="1401"/>
      <c r="J146" s="1401"/>
      <c r="K146" s="1401"/>
      <c r="L146" s="1401"/>
      <c r="M146" s="1401"/>
      <c r="N146" s="1401"/>
      <c r="O146" s="1401"/>
      <c r="P146" s="1401"/>
      <c r="Q146" s="1401"/>
      <c r="R146" s="1401"/>
      <c r="S146" s="1401"/>
      <c r="T146" s="1401"/>
      <c r="U146" s="1401"/>
      <c r="V146" s="1401"/>
      <c r="W146" s="1401"/>
      <c r="X146" s="1401"/>
      <c r="Y146" s="1401"/>
      <c r="Z146" s="1401"/>
      <c r="AA146" s="1401"/>
      <c r="AB146" s="1401"/>
      <c r="AC146" s="1401"/>
      <c r="AD146" s="1401"/>
      <c r="AE146" s="1401"/>
      <c r="AF146" s="1401"/>
      <c r="AG146" s="1401"/>
      <c r="AH146" s="1401"/>
      <c r="AI146" s="1401"/>
      <c r="AJ146" s="1401"/>
      <c r="AK146" s="260"/>
      <c r="AL146" s="1401"/>
      <c r="AM146" s="1401"/>
      <c r="AN146" s="1401"/>
      <c r="AO146" s="1401"/>
      <c r="AP146" s="1401"/>
      <c r="AQ146" s="1401"/>
      <c r="AR146" s="1401"/>
      <c r="AS146" s="1401"/>
      <c r="AT146" s="1401"/>
      <c r="AU146" s="1401"/>
      <c r="AV146" s="1401"/>
      <c r="AW146" s="1401"/>
      <c r="AX146" s="1401"/>
      <c r="AY146" s="1401"/>
      <c r="AZ146" s="1401"/>
      <c r="BA146" s="1401"/>
      <c r="BB146" s="1401"/>
      <c r="BC146" s="1401"/>
      <c r="BD146" s="1401"/>
      <c r="BE146" s="1401"/>
      <c r="BF146" s="1401"/>
      <c r="BG146" s="1401"/>
      <c r="BH146" s="1401"/>
      <c r="BI146" s="1401"/>
      <c r="BJ146" s="1401"/>
      <c r="BK146" s="1401"/>
      <c r="BL146" s="1401"/>
      <c r="BM146" s="1401"/>
      <c r="BN146" s="1401"/>
    </row>
    <row r="147" spans="1:66">
      <c r="A147" s="1756" t="s">
        <v>638</v>
      </c>
      <c r="B147" s="631">
        <v>38898</v>
      </c>
      <c r="C147" s="631">
        <v>38990</v>
      </c>
      <c r="D147" s="631">
        <v>39082</v>
      </c>
      <c r="E147" s="631">
        <v>39172</v>
      </c>
      <c r="F147" s="631">
        <v>39263</v>
      </c>
      <c r="G147" s="631">
        <v>39355</v>
      </c>
      <c r="H147" s="631">
        <v>39447</v>
      </c>
      <c r="I147" s="631">
        <v>39538</v>
      </c>
      <c r="J147" s="631">
        <v>39629</v>
      </c>
      <c r="K147" s="631">
        <v>39721</v>
      </c>
      <c r="L147" s="631">
        <v>39813</v>
      </c>
      <c r="M147" s="631">
        <v>39903</v>
      </c>
      <c r="N147" s="631">
        <v>39994</v>
      </c>
      <c r="O147" s="631">
        <v>40086</v>
      </c>
      <c r="P147" s="631">
        <v>40178</v>
      </c>
      <c r="Q147" s="631">
        <v>40268</v>
      </c>
      <c r="R147" s="631">
        <v>40359</v>
      </c>
      <c r="S147" s="631">
        <v>40451</v>
      </c>
      <c r="T147" s="631">
        <v>40543</v>
      </c>
      <c r="U147" s="631">
        <v>40633</v>
      </c>
      <c r="V147" s="631">
        <v>40724</v>
      </c>
      <c r="W147" s="631">
        <v>40816</v>
      </c>
      <c r="X147" s="631">
        <v>40908</v>
      </c>
      <c r="Y147" s="631">
        <v>40999</v>
      </c>
      <c r="Z147" s="631">
        <v>41090</v>
      </c>
      <c r="AA147" s="631">
        <v>41182</v>
      </c>
      <c r="AB147" s="631">
        <v>41274</v>
      </c>
      <c r="AC147" s="631">
        <v>41364</v>
      </c>
      <c r="AD147" s="631">
        <v>41455</v>
      </c>
      <c r="AE147" s="631">
        <v>41547</v>
      </c>
      <c r="AF147" s="631">
        <v>41639</v>
      </c>
      <c r="AG147" s="631">
        <v>41729</v>
      </c>
      <c r="AH147" s="631">
        <v>41820</v>
      </c>
      <c r="AI147" s="631">
        <v>41912</v>
      </c>
      <c r="AJ147" s="631">
        <v>42004</v>
      </c>
      <c r="AK147" s="631">
        <v>42094</v>
      </c>
      <c r="AL147" s="631">
        <v>42185</v>
      </c>
      <c r="AM147" s="631">
        <v>42277</v>
      </c>
      <c r="AN147" s="631">
        <v>42369</v>
      </c>
      <c r="AO147" s="631">
        <v>42460</v>
      </c>
      <c r="AP147" s="631">
        <v>42551</v>
      </c>
      <c r="AQ147" s="631">
        <v>42643</v>
      </c>
      <c r="AR147" s="631">
        <v>42735</v>
      </c>
      <c r="AS147" s="631">
        <v>42825</v>
      </c>
      <c r="AT147" s="631">
        <v>42916</v>
      </c>
      <c r="AU147" s="607">
        <v>43008</v>
      </c>
      <c r="AV147" s="607">
        <v>43100</v>
      </c>
      <c r="AW147" s="607">
        <v>43190</v>
      </c>
      <c r="AX147" s="607">
        <v>43281</v>
      </c>
      <c r="AY147" s="607">
        <v>43373</v>
      </c>
      <c r="AZ147" s="607">
        <v>43465</v>
      </c>
      <c r="BA147" s="607">
        <v>43555</v>
      </c>
      <c r="BB147" s="607"/>
      <c r="BC147" s="607"/>
      <c r="BD147" s="607"/>
      <c r="BE147" s="607"/>
      <c r="BF147" s="607"/>
      <c r="BG147" s="607"/>
      <c r="BH147" s="607"/>
      <c r="BI147" s="607"/>
      <c r="BJ147" s="607"/>
      <c r="BK147" s="607"/>
      <c r="BL147" s="607"/>
      <c r="BM147" s="618"/>
      <c r="BN147" s="52"/>
    </row>
    <row r="148" spans="1:66">
      <c r="A148" s="1751" t="s">
        <v>166</v>
      </c>
      <c r="B148" s="812">
        <v>218.71</v>
      </c>
      <c r="C148" s="812">
        <v>280.84399999999999</v>
      </c>
      <c r="D148" s="812">
        <v>205.83799999999999</v>
      </c>
      <c r="E148" s="812">
        <v>201.43299999999999</v>
      </c>
      <c r="F148" s="812">
        <v>189.80500000000001</v>
      </c>
      <c r="G148" s="812">
        <v>195.21899999999999</v>
      </c>
      <c r="H148" s="812">
        <v>145.16399999999999</v>
      </c>
      <c r="I148" s="812">
        <v>257.23599999999999</v>
      </c>
      <c r="J148" s="812">
        <v>103.41</v>
      </c>
      <c r="K148" s="812">
        <v>217.268</v>
      </c>
      <c r="L148" s="812">
        <v>246.76599999999999</v>
      </c>
      <c r="M148" s="812">
        <v>300.185</v>
      </c>
      <c r="N148" s="812">
        <v>241.26499999999999</v>
      </c>
      <c r="O148" s="812">
        <v>308.15199999999999</v>
      </c>
      <c r="P148" s="812">
        <v>353.399</v>
      </c>
      <c r="Q148" s="1066">
        <v>379.33300000000003</v>
      </c>
      <c r="R148" s="812">
        <v>304.16399999999999</v>
      </c>
      <c r="S148" s="812">
        <v>357.35399999999998</v>
      </c>
      <c r="T148" s="812">
        <v>417.64499999999998</v>
      </c>
      <c r="U148" s="812">
        <v>305.2</v>
      </c>
      <c r="V148" s="812">
        <v>348.47</v>
      </c>
      <c r="W148" s="812">
        <v>416.73899999999998</v>
      </c>
      <c r="X148" s="812">
        <v>402.35599999999999</v>
      </c>
      <c r="Y148" s="812">
        <v>279.70100000000002</v>
      </c>
      <c r="Z148" s="812">
        <v>307.87200000000001</v>
      </c>
      <c r="AA148" s="681">
        <v>564.05399999999997</v>
      </c>
      <c r="AB148" s="681">
        <v>416.351</v>
      </c>
      <c r="AC148" s="681">
        <v>420.28899999999999</v>
      </c>
      <c r="AD148" s="681">
        <v>512.27700000000004</v>
      </c>
      <c r="AE148" s="681">
        <v>631.75900000000001</v>
      </c>
      <c r="AF148" s="681">
        <v>444.44499999999999</v>
      </c>
      <c r="AG148" s="681">
        <v>459.19400000000002</v>
      </c>
      <c r="AH148" s="681">
        <v>522.49300000000005</v>
      </c>
      <c r="AI148" s="681">
        <v>529.85599999999999</v>
      </c>
      <c r="AJ148" s="681">
        <v>608.12099999999998</v>
      </c>
      <c r="AK148" s="1374">
        <v>738.27</v>
      </c>
      <c r="AL148" s="681">
        <v>472.04399999999998</v>
      </c>
      <c r="AM148" s="681">
        <v>680.53399999999999</v>
      </c>
      <c r="AN148" s="681">
        <v>840.99599999999998</v>
      </c>
      <c r="AO148" s="681">
        <v>844.08900000000006</v>
      </c>
      <c r="AP148" s="681">
        <v>667.88900000000001</v>
      </c>
      <c r="AQ148" s="681">
        <v>754.53800000000001</v>
      </c>
      <c r="AR148" s="833">
        <v>766.66300000000001</v>
      </c>
      <c r="AS148" s="833">
        <v>941.06700000000001</v>
      </c>
      <c r="AT148" s="833">
        <v>932.529</v>
      </c>
      <c r="AU148" s="475"/>
      <c r="AV148" s="475"/>
      <c r="AW148" s="475"/>
      <c r="AX148" s="475"/>
      <c r="AY148" s="475"/>
      <c r="AZ148" s="475"/>
      <c r="BA148" s="475"/>
      <c r="BB148" s="54"/>
      <c r="BC148" s="52"/>
      <c r="BD148" s="52"/>
      <c r="BE148" s="52"/>
      <c r="BF148" s="52"/>
      <c r="BG148" s="52"/>
      <c r="BH148" s="52"/>
      <c r="BI148" s="52"/>
      <c r="BJ148" s="52"/>
      <c r="BK148" s="52"/>
      <c r="BL148" s="52"/>
      <c r="BM148" s="52"/>
      <c r="BN148" s="52"/>
    </row>
    <row r="149" spans="1:66">
      <c r="A149" s="1736"/>
      <c r="B149" s="327"/>
      <c r="C149" s="327"/>
      <c r="D149" s="327"/>
      <c r="E149" s="327"/>
      <c r="F149" s="327"/>
      <c r="G149" s="327"/>
      <c r="H149" s="327"/>
      <c r="I149" s="327"/>
      <c r="J149" s="327"/>
      <c r="K149" s="327"/>
      <c r="L149" s="327"/>
      <c r="M149" s="327"/>
      <c r="N149" s="327"/>
      <c r="O149" s="327"/>
      <c r="P149" s="327"/>
      <c r="Q149" s="958"/>
      <c r="R149" s="327"/>
      <c r="S149" s="327"/>
      <c r="T149" s="327"/>
      <c r="U149" s="327"/>
      <c r="V149" s="327"/>
      <c r="W149" s="327"/>
      <c r="X149" s="327"/>
      <c r="Y149" s="327"/>
      <c r="Z149" s="327"/>
      <c r="AA149" s="327"/>
      <c r="AB149" s="327"/>
      <c r="AC149" s="327"/>
      <c r="AD149" s="327"/>
      <c r="AE149" s="327"/>
      <c r="AF149" s="327"/>
      <c r="AG149" s="327"/>
      <c r="AH149" s="327"/>
      <c r="AI149" s="327"/>
      <c r="AJ149" s="327"/>
      <c r="AK149" s="890"/>
      <c r="AL149" s="327"/>
      <c r="AM149" s="327"/>
      <c r="AN149" s="327"/>
      <c r="AO149" s="327"/>
      <c r="AP149" s="327"/>
      <c r="AQ149" s="327"/>
      <c r="AR149" s="742"/>
      <c r="AS149" s="742"/>
      <c r="AT149" s="742"/>
      <c r="AU149" s="327"/>
      <c r="AV149" s="327"/>
      <c r="AW149" s="327"/>
      <c r="AX149" s="327"/>
      <c r="AY149" s="327"/>
      <c r="AZ149" s="327"/>
      <c r="BA149" s="327"/>
      <c r="BB149" s="54"/>
      <c r="BC149" s="52"/>
      <c r="BD149" s="52"/>
      <c r="BE149" s="52"/>
      <c r="BF149" s="52"/>
      <c r="BG149" s="52"/>
      <c r="BH149" s="52"/>
      <c r="BI149" s="52"/>
      <c r="BJ149" s="52"/>
      <c r="BK149" s="52"/>
      <c r="BL149" s="52"/>
      <c r="BM149" s="52"/>
      <c r="BN149" s="52"/>
    </row>
    <row r="150" spans="1:66">
      <c r="A150" s="1736" t="s">
        <v>149</v>
      </c>
      <c r="B150" s="484">
        <v>-23.08</v>
      </c>
      <c r="C150" s="484">
        <v>-21.303000000000001</v>
      </c>
      <c r="D150" s="484">
        <v>-18.236999999999998</v>
      </c>
      <c r="E150" s="484">
        <v>-17.667999999999999</v>
      </c>
      <c r="F150" s="484">
        <v>-15.242000000000001</v>
      </c>
      <c r="G150" s="484">
        <v>-16.148</v>
      </c>
      <c r="H150" s="484">
        <v>-17.878</v>
      </c>
      <c r="I150" s="484">
        <v>-25.736000000000001</v>
      </c>
      <c r="J150" s="484">
        <v>-11.353999999999999</v>
      </c>
      <c r="K150" s="484">
        <v>-22.954999999999998</v>
      </c>
      <c r="L150" s="484">
        <v>-25.95</v>
      </c>
      <c r="M150" s="484">
        <v>-32.927</v>
      </c>
      <c r="N150" s="484">
        <v>-23.81</v>
      </c>
      <c r="O150" s="484">
        <v>-21.855</v>
      </c>
      <c r="P150" s="484">
        <v>-29.242000000000001</v>
      </c>
      <c r="Q150" s="680">
        <v>-23.956</v>
      </c>
      <c r="R150" s="484">
        <v>-18.713000000000001</v>
      </c>
      <c r="S150" s="484">
        <v>-18.602</v>
      </c>
      <c r="T150" s="484">
        <v>-27.36</v>
      </c>
      <c r="U150" s="484">
        <v>-24.66</v>
      </c>
      <c r="V150" s="484">
        <v>-19.521999999999998</v>
      </c>
      <c r="W150" s="484">
        <v>-18.617000000000001</v>
      </c>
      <c r="X150" s="484">
        <v>-21.908000000000001</v>
      </c>
      <c r="Y150" s="484">
        <v>-20.228999999999999</v>
      </c>
      <c r="Z150" s="484">
        <v>-17.559000000000001</v>
      </c>
      <c r="AA150" s="485">
        <v>-17.140999999999998</v>
      </c>
      <c r="AB150" s="485">
        <v>-21.434999999999999</v>
      </c>
      <c r="AC150" s="485">
        <v>-16.475999999999999</v>
      </c>
      <c r="AD150" s="485">
        <v>-18.015999999999998</v>
      </c>
      <c r="AE150" s="485">
        <v>-17.265000000000001</v>
      </c>
      <c r="AF150" s="485">
        <v>-19.632999999999999</v>
      </c>
      <c r="AG150" s="485">
        <v>-21.071000000000002</v>
      </c>
      <c r="AH150" s="485">
        <v>-17.859000000000002</v>
      </c>
      <c r="AI150" s="485">
        <v>-22.349</v>
      </c>
      <c r="AJ150" s="485">
        <v>-23.134</v>
      </c>
      <c r="AK150" s="822">
        <v>-41.415999999999997</v>
      </c>
      <c r="AL150" s="485">
        <v>-20.923999999999999</v>
      </c>
      <c r="AM150" s="485">
        <v>-19.777999999999999</v>
      </c>
      <c r="AN150" s="485">
        <v>-38.939</v>
      </c>
      <c r="AO150" s="485">
        <v>-30.603999999999999</v>
      </c>
      <c r="AP150" s="485">
        <v>-26.451000000000001</v>
      </c>
      <c r="AQ150" s="485">
        <v>-30.091000000000001</v>
      </c>
      <c r="AR150" s="819">
        <v>-29.739000000000001</v>
      </c>
      <c r="AS150" s="819">
        <v>-40.994999999999997</v>
      </c>
      <c r="AT150" s="819">
        <v>-120.182</v>
      </c>
      <c r="AU150" s="327"/>
      <c r="AV150" s="327"/>
      <c r="AW150" s="327"/>
      <c r="AX150" s="327"/>
      <c r="AY150" s="327"/>
      <c r="AZ150" s="327"/>
      <c r="BA150" s="327"/>
      <c r="BB150" s="54"/>
      <c r="BC150" s="1401"/>
      <c r="BD150" s="1401"/>
      <c r="BE150" s="1401"/>
      <c r="BF150" s="1401"/>
      <c r="BG150" s="1401"/>
      <c r="BH150" s="1401"/>
      <c r="BI150" s="1401"/>
      <c r="BJ150" s="1401"/>
      <c r="BK150" s="1401"/>
      <c r="BL150" s="1401"/>
      <c r="BM150" s="1401"/>
      <c r="BN150" s="1401"/>
    </row>
    <row r="151" spans="1:66">
      <c r="A151" s="1757"/>
      <c r="B151" s="327"/>
      <c r="C151" s="327"/>
      <c r="D151" s="327"/>
      <c r="E151" s="327"/>
      <c r="F151" s="327"/>
      <c r="G151" s="327"/>
      <c r="H151" s="327"/>
      <c r="I151" s="327"/>
      <c r="J151" s="327"/>
      <c r="K151" s="327"/>
      <c r="L151" s="327"/>
      <c r="M151" s="327"/>
      <c r="N151" s="327"/>
      <c r="O151" s="327"/>
      <c r="P151" s="327"/>
      <c r="Q151" s="958"/>
      <c r="R151" s="327"/>
      <c r="S151" s="327"/>
      <c r="T151" s="327"/>
      <c r="U151" s="327"/>
      <c r="V151" s="327"/>
      <c r="W151" s="327"/>
      <c r="X151" s="327"/>
      <c r="Y151" s="327"/>
      <c r="Z151" s="327"/>
      <c r="AA151" s="327"/>
      <c r="AB151" s="327"/>
      <c r="AC151" s="327"/>
      <c r="AD151" s="327"/>
      <c r="AE151" s="327"/>
      <c r="AF151" s="327"/>
      <c r="AG151" s="327"/>
      <c r="AH151" s="327"/>
      <c r="AI151" s="327"/>
      <c r="AJ151" s="327"/>
      <c r="AK151" s="890"/>
      <c r="AL151" s="327"/>
      <c r="AM151" s="327"/>
      <c r="AN151" s="327"/>
      <c r="AO151" s="327"/>
      <c r="AP151" s="327"/>
      <c r="AQ151" s="327"/>
      <c r="AR151" s="742"/>
      <c r="AS151" s="742"/>
      <c r="AT151" s="742"/>
      <c r="AU151" s="327"/>
      <c r="AV151" s="327"/>
      <c r="AW151" s="327"/>
      <c r="AX151" s="327"/>
      <c r="AY151" s="327"/>
      <c r="AZ151" s="327"/>
      <c r="BA151" s="327"/>
      <c r="BB151" s="54"/>
      <c r="BC151" s="52"/>
      <c r="BD151" s="52"/>
      <c r="BE151" s="52"/>
      <c r="BF151" s="52"/>
      <c r="BG151" s="52"/>
      <c r="BH151" s="52"/>
      <c r="BI151" s="52"/>
      <c r="BJ151" s="52"/>
      <c r="BK151" s="52"/>
      <c r="BL151" s="52"/>
      <c r="BM151" s="52"/>
      <c r="BN151" s="52"/>
    </row>
    <row r="152" spans="1:66">
      <c r="A152" s="1758" t="s">
        <v>167</v>
      </c>
      <c r="B152" s="377">
        <f t="shared" ref="B152:AG152" si="139">B148+B150</f>
        <v>195.63</v>
      </c>
      <c r="C152" s="377">
        <f t="shared" si="139"/>
        <v>259.541</v>
      </c>
      <c r="D152" s="377">
        <f t="shared" si="139"/>
        <v>187.601</v>
      </c>
      <c r="E152" s="377">
        <f t="shared" si="139"/>
        <v>183.76499999999999</v>
      </c>
      <c r="F152" s="377">
        <f t="shared" si="139"/>
        <v>174.56300000000002</v>
      </c>
      <c r="G152" s="377">
        <f t="shared" si="139"/>
        <v>179.071</v>
      </c>
      <c r="H152" s="377">
        <f t="shared" si="139"/>
        <v>127.28599999999999</v>
      </c>
      <c r="I152" s="377">
        <f t="shared" si="139"/>
        <v>231.5</v>
      </c>
      <c r="J152" s="377">
        <f t="shared" si="139"/>
        <v>92.055999999999997</v>
      </c>
      <c r="K152" s="377">
        <f t="shared" si="139"/>
        <v>194.31299999999999</v>
      </c>
      <c r="L152" s="377">
        <f t="shared" si="139"/>
        <v>220.816</v>
      </c>
      <c r="M152" s="377">
        <f t="shared" si="139"/>
        <v>267.25799999999998</v>
      </c>
      <c r="N152" s="377">
        <f t="shared" si="139"/>
        <v>217.45499999999998</v>
      </c>
      <c r="O152" s="377">
        <f t="shared" si="139"/>
        <v>286.29699999999997</v>
      </c>
      <c r="P152" s="377">
        <f t="shared" si="139"/>
        <v>324.15699999999998</v>
      </c>
      <c r="Q152" s="1096">
        <f t="shared" si="139"/>
        <v>355.37700000000001</v>
      </c>
      <c r="R152" s="377">
        <f t="shared" si="139"/>
        <v>285.45099999999996</v>
      </c>
      <c r="S152" s="377">
        <f t="shared" si="139"/>
        <v>338.75200000000001</v>
      </c>
      <c r="T152" s="377">
        <f t="shared" si="139"/>
        <v>390.28499999999997</v>
      </c>
      <c r="U152" s="377">
        <f t="shared" si="139"/>
        <v>280.53999999999996</v>
      </c>
      <c r="V152" s="377">
        <f t="shared" si="139"/>
        <v>328.94800000000004</v>
      </c>
      <c r="W152" s="377">
        <f t="shared" si="139"/>
        <v>398.12199999999996</v>
      </c>
      <c r="X152" s="377">
        <f t="shared" si="139"/>
        <v>380.44799999999998</v>
      </c>
      <c r="Y152" s="377">
        <f t="shared" si="139"/>
        <v>259.47200000000004</v>
      </c>
      <c r="Z152" s="377">
        <f t="shared" si="139"/>
        <v>290.31299999999999</v>
      </c>
      <c r="AA152" s="377">
        <f t="shared" si="139"/>
        <v>546.91300000000001</v>
      </c>
      <c r="AB152" s="377">
        <f t="shared" si="139"/>
        <v>394.916</v>
      </c>
      <c r="AC152" s="377">
        <f t="shared" si="139"/>
        <v>403.81299999999999</v>
      </c>
      <c r="AD152" s="377">
        <f t="shared" si="139"/>
        <v>494.26100000000002</v>
      </c>
      <c r="AE152" s="377">
        <f t="shared" si="139"/>
        <v>614.49400000000003</v>
      </c>
      <c r="AF152" s="377">
        <f t="shared" si="139"/>
        <v>424.81200000000001</v>
      </c>
      <c r="AG152" s="377">
        <f t="shared" si="139"/>
        <v>438.12299999999999</v>
      </c>
      <c r="AH152" s="377">
        <f t="shared" ref="AH152:BA152" si="140">AH148+AH150</f>
        <v>504.63400000000007</v>
      </c>
      <c r="AI152" s="377">
        <f t="shared" si="140"/>
        <v>507.50700000000001</v>
      </c>
      <c r="AJ152" s="377">
        <f t="shared" si="140"/>
        <v>584.98699999999997</v>
      </c>
      <c r="AK152" s="1375">
        <f t="shared" si="140"/>
        <v>696.85400000000004</v>
      </c>
      <c r="AL152" s="377">
        <f t="shared" si="140"/>
        <v>451.12</v>
      </c>
      <c r="AM152" s="377">
        <f t="shared" si="140"/>
        <v>660.75599999999997</v>
      </c>
      <c r="AN152" s="377">
        <f t="shared" si="140"/>
        <v>802.05700000000002</v>
      </c>
      <c r="AO152" s="377">
        <f t="shared" si="140"/>
        <v>813.48500000000001</v>
      </c>
      <c r="AP152" s="377">
        <f t="shared" si="140"/>
        <v>641.43799999999999</v>
      </c>
      <c r="AQ152" s="377">
        <f t="shared" si="140"/>
        <v>724.447</v>
      </c>
      <c r="AR152" s="2179">
        <v>736.92399999999998</v>
      </c>
      <c r="AS152" s="2179">
        <f t="shared" si="140"/>
        <v>900.072</v>
      </c>
      <c r="AT152" s="2179">
        <f t="shared" si="140"/>
        <v>812.34699999999998</v>
      </c>
      <c r="AU152" s="377">
        <f t="shared" si="140"/>
        <v>0</v>
      </c>
      <c r="AV152" s="377">
        <f t="shared" si="140"/>
        <v>0</v>
      </c>
      <c r="AW152" s="377">
        <f t="shared" si="140"/>
        <v>0</v>
      </c>
      <c r="AX152" s="377">
        <f t="shared" si="140"/>
        <v>0</v>
      </c>
      <c r="AY152" s="377">
        <f t="shared" si="140"/>
        <v>0</v>
      </c>
      <c r="AZ152" s="377">
        <f t="shared" si="140"/>
        <v>0</v>
      </c>
      <c r="BA152" s="377">
        <f t="shared" si="140"/>
        <v>0</v>
      </c>
      <c r="BB152" s="54"/>
      <c r="BC152" s="52"/>
      <c r="BD152" s="52"/>
      <c r="BE152" s="52"/>
      <c r="BF152" s="52"/>
      <c r="BG152" s="52"/>
      <c r="BH152" s="52"/>
      <c r="BI152" s="52"/>
      <c r="BJ152" s="52"/>
      <c r="BK152" s="52"/>
      <c r="BL152" s="52"/>
      <c r="BM152" s="52"/>
      <c r="BN152" s="52"/>
    </row>
    <row r="153" spans="1:66">
      <c r="A153" s="1764" t="s">
        <v>1419</v>
      </c>
      <c r="B153" s="809">
        <f t="shared" ref="B153:AO153" si="141">B152-B73</f>
        <v>31.998999999999995</v>
      </c>
      <c r="C153" s="809">
        <f t="shared" si="141"/>
        <v>1.0000000000331966E-3</v>
      </c>
      <c r="D153" s="809">
        <f t="shared" si="141"/>
        <v>-1.0000000000047748E-3</v>
      </c>
      <c r="E153" s="809">
        <f t="shared" si="141"/>
        <v>-2.0000000000379714E-3</v>
      </c>
      <c r="F153" s="809">
        <f t="shared" si="141"/>
        <v>-9.9999999997635314E-4</v>
      </c>
      <c r="G153" s="809">
        <f t="shared" si="141"/>
        <v>-1.0000000000047748E-3</v>
      </c>
      <c r="H153" s="809">
        <f t="shared" si="141"/>
        <v>0</v>
      </c>
      <c r="I153" s="809">
        <f t="shared" si="141"/>
        <v>1.0000000000047748E-3</v>
      </c>
      <c r="J153" s="809">
        <f t="shared" si="141"/>
        <v>1.9999999999953388E-3</v>
      </c>
      <c r="K153" s="809">
        <f t="shared" si="141"/>
        <v>-1.0000000000047748E-3</v>
      </c>
      <c r="L153" s="809">
        <f t="shared" si="141"/>
        <v>3.0000000000143245E-3</v>
      </c>
      <c r="M153" s="809">
        <f t="shared" si="141"/>
        <v>-1.0000000000331966E-3</v>
      </c>
      <c r="N153" s="809">
        <f t="shared" si="141"/>
        <v>-1.0000000000331966E-3</v>
      </c>
      <c r="O153" s="809">
        <f t="shared" si="141"/>
        <v>0</v>
      </c>
      <c r="P153" s="809">
        <f t="shared" si="141"/>
        <v>0</v>
      </c>
      <c r="Q153" s="809">
        <f t="shared" si="141"/>
        <v>-1.0000000000331966E-3</v>
      </c>
      <c r="R153" s="810">
        <f t="shared" si="141"/>
        <v>-3.1000000000005912E-2</v>
      </c>
      <c r="S153" s="810">
        <f t="shared" si="141"/>
        <v>2.0000000000095497E-3</v>
      </c>
      <c r="T153" s="810">
        <f t="shared" si="141"/>
        <v>-1.0000000000331966E-3</v>
      </c>
      <c r="U153" s="810">
        <f t="shared" si="141"/>
        <v>-1.8000000000029104E-2</v>
      </c>
      <c r="V153" s="810">
        <f t="shared" si="141"/>
        <v>2.0000000000095497E-3</v>
      </c>
      <c r="W153" s="810">
        <f t="shared" si="141"/>
        <v>9.9999999991950972E-4</v>
      </c>
      <c r="X153" s="810">
        <f t="shared" si="141"/>
        <v>1.1000000000080945E-2</v>
      </c>
      <c r="Y153" s="810">
        <f t="shared" si="141"/>
        <v>-3.999999999962256E-3</v>
      </c>
      <c r="Z153" s="810">
        <f t="shared" si="141"/>
        <v>1.0000000000331966E-3</v>
      </c>
      <c r="AA153" s="810">
        <f t="shared" si="141"/>
        <v>-9.9999999997635314E-4</v>
      </c>
      <c r="AB153" s="810">
        <f t="shared" si="141"/>
        <v>0</v>
      </c>
      <c r="AC153" s="810">
        <f t="shared" si="141"/>
        <v>-1.0000000000331966E-3</v>
      </c>
      <c r="AD153" s="810">
        <f t="shared" si="141"/>
        <v>0.5120000000000573</v>
      </c>
      <c r="AE153" s="810">
        <f t="shared" si="141"/>
        <v>0</v>
      </c>
      <c r="AF153" s="810">
        <f t="shared" si="141"/>
        <v>0</v>
      </c>
      <c r="AG153" s="810">
        <f t="shared" si="141"/>
        <v>0</v>
      </c>
      <c r="AH153" s="809">
        <f t="shared" si="141"/>
        <v>0</v>
      </c>
      <c r="AI153" s="809">
        <f>AI152-AI73</f>
        <v>-18.363999999999976</v>
      </c>
      <c r="AJ153" s="809">
        <f t="shared" si="141"/>
        <v>-7.9199999999999591</v>
      </c>
      <c r="AK153" s="1373">
        <f>AK152-AK73</f>
        <v>-9.9999999997635314E-4</v>
      </c>
      <c r="AL153" s="1400">
        <f t="shared" si="141"/>
        <v>0</v>
      </c>
      <c r="AM153" s="1400">
        <f t="shared" si="141"/>
        <v>0</v>
      </c>
      <c r="AN153" s="1400">
        <f t="shared" si="141"/>
        <v>0</v>
      </c>
      <c r="AO153" s="1400">
        <f t="shared" si="141"/>
        <v>3.9000000000100954E-2</v>
      </c>
      <c r="AP153" s="1400">
        <f>AP152-AP73</f>
        <v>0</v>
      </c>
      <c r="AQ153" s="1400">
        <f>AQ152-AQ73</f>
        <v>0</v>
      </c>
      <c r="AR153" s="1400">
        <f t="shared" ref="AR153" si="142">AR152-AR73</f>
        <v>-9.9999999997635314E-4</v>
      </c>
      <c r="AS153" s="1400">
        <f>AS152-AS73</f>
        <v>0.38400000000001455</v>
      </c>
      <c r="AT153" s="1400">
        <f>AT152-AT73</f>
        <v>0</v>
      </c>
      <c r="AU153" s="809"/>
      <c r="AV153" s="809"/>
      <c r="AW153" s="809"/>
      <c r="AX153" s="809"/>
      <c r="AY153" s="809"/>
      <c r="AZ153" s="809"/>
      <c r="BA153" s="809"/>
      <c r="BB153" s="809"/>
      <c r="BC153" s="809"/>
      <c r="BD153" s="809"/>
      <c r="BE153" s="809"/>
      <c r="BF153" s="809"/>
      <c r="BG153" s="809"/>
      <c r="BH153" s="809"/>
      <c r="BI153" s="809"/>
      <c r="BJ153" s="809"/>
      <c r="BK153" s="809"/>
      <c r="BL153" s="809"/>
      <c r="BM153" s="809"/>
      <c r="BN153" s="811"/>
    </row>
    <row r="154" spans="1:66">
      <c r="A154" s="1751" t="s">
        <v>904</v>
      </c>
      <c r="B154" s="812">
        <v>-124.57899999999999</v>
      </c>
      <c r="C154" s="812">
        <v>-169.21100000000001</v>
      </c>
      <c r="D154" s="812">
        <v>-142.1</v>
      </c>
      <c r="E154" s="812">
        <v>-135.53899999999999</v>
      </c>
      <c r="F154" s="812">
        <v>-158.42599999999999</v>
      </c>
      <c r="G154" s="812">
        <v>-165.392</v>
      </c>
      <c r="H154" s="812">
        <v>-114.45099999999999</v>
      </c>
      <c r="I154" s="812">
        <v>-185.31399999999999</v>
      </c>
      <c r="J154" s="812">
        <v>-93.391999999999996</v>
      </c>
      <c r="K154" s="812">
        <v>-155.202</v>
      </c>
      <c r="L154" s="812">
        <v>-168.642</v>
      </c>
      <c r="M154" s="812">
        <v>-219.80500000000001</v>
      </c>
      <c r="N154" s="812">
        <v>-191.81399999999999</v>
      </c>
      <c r="O154" s="812">
        <v>-222.86099999999999</v>
      </c>
      <c r="P154" s="812">
        <v>-240.779</v>
      </c>
      <c r="Q154" s="812">
        <v>-249.315</v>
      </c>
      <c r="R154" s="812">
        <v>-206.017</v>
      </c>
      <c r="S154" s="812">
        <v>-220.792</v>
      </c>
      <c r="T154" s="812">
        <v>-264.58</v>
      </c>
      <c r="U154" s="812">
        <v>-204.3</v>
      </c>
      <c r="V154" s="812">
        <v>-232.00899999999999</v>
      </c>
      <c r="W154" s="812">
        <v>-244.65</v>
      </c>
      <c r="X154" s="812">
        <v>-282.82499999999999</v>
      </c>
      <c r="Y154" s="812">
        <v>-230.95400000000001</v>
      </c>
      <c r="Z154" s="812">
        <v>-218.16900000000001</v>
      </c>
      <c r="AA154" s="681">
        <v>-387.04599999999999</v>
      </c>
      <c r="AB154" s="681">
        <v>-312.88200000000001</v>
      </c>
      <c r="AC154" s="681">
        <v>-315.59800000000001</v>
      </c>
      <c r="AD154" s="681">
        <v>-372.24200000000002</v>
      </c>
      <c r="AE154" s="681">
        <v>-432.9</v>
      </c>
      <c r="AF154" s="681">
        <v>-317.08999999999997</v>
      </c>
      <c r="AG154" s="681">
        <v>-318.98599999999999</v>
      </c>
      <c r="AH154" s="681">
        <v>-352.89100000000002</v>
      </c>
      <c r="AI154" s="681">
        <v>-344.69099999999997</v>
      </c>
      <c r="AJ154" s="681">
        <v>-406.54399999999998</v>
      </c>
      <c r="AK154" s="1374">
        <v>-538.92999999999995</v>
      </c>
      <c r="AL154" s="681">
        <v>-332.553</v>
      </c>
      <c r="AM154" s="681">
        <v>-461.94400000000002</v>
      </c>
      <c r="AN154" s="681">
        <v>-574.25099999999998</v>
      </c>
      <c r="AO154" s="681">
        <v>-592.63300000000004</v>
      </c>
      <c r="AP154" s="681">
        <v>-451.42899999999997</v>
      </c>
      <c r="AQ154" s="681">
        <v>-510.43099999999998</v>
      </c>
      <c r="AR154" s="833">
        <v>-540.47</v>
      </c>
      <c r="AS154" s="833">
        <v>-671.70299999999997</v>
      </c>
      <c r="AT154" s="833">
        <v>-536.99699999999996</v>
      </c>
      <c r="AU154" s="475"/>
      <c r="AV154" s="475"/>
      <c r="AW154" s="475"/>
      <c r="AX154" s="475"/>
      <c r="AY154" s="475"/>
      <c r="AZ154" s="475"/>
      <c r="BA154" s="475"/>
      <c r="BB154" s="54"/>
      <c r="BC154" s="52"/>
      <c r="BD154" s="52"/>
      <c r="BE154" s="52"/>
      <c r="BF154" s="52"/>
      <c r="BG154" s="52"/>
      <c r="BH154" s="52"/>
      <c r="BI154" s="52"/>
      <c r="BJ154" s="52"/>
      <c r="BK154" s="52"/>
      <c r="BL154" s="52"/>
      <c r="BM154" s="52"/>
      <c r="BN154" s="52"/>
    </row>
    <row r="155" spans="1:66">
      <c r="A155" s="1736"/>
      <c r="B155" s="327"/>
      <c r="C155" s="327"/>
      <c r="D155" s="327"/>
      <c r="E155" s="327"/>
      <c r="F155" s="327"/>
      <c r="G155" s="327"/>
      <c r="H155" s="327"/>
      <c r="I155" s="327"/>
      <c r="J155" s="327"/>
      <c r="K155" s="327"/>
      <c r="L155" s="327"/>
      <c r="M155" s="327"/>
      <c r="N155" s="327"/>
      <c r="O155" s="327"/>
      <c r="P155" s="327"/>
      <c r="Q155" s="958"/>
      <c r="R155" s="327"/>
      <c r="S155" s="327"/>
      <c r="T155" s="327"/>
      <c r="U155" s="327"/>
      <c r="V155" s="327"/>
      <c r="W155" s="327"/>
      <c r="X155" s="327"/>
      <c r="Y155" s="327"/>
      <c r="Z155" s="327"/>
      <c r="AA155" s="327"/>
      <c r="AB155" s="327"/>
      <c r="AC155" s="327"/>
      <c r="AD155" s="327"/>
      <c r="AE155" s="327"/>
      <c r="AF155" s="327"/>
      <c r="AG155" s="327"/>
      <c r="AH155" s="327"/>
      <c r="AI155" s="327"/>
      <c r="AJ155" s="327"/>
      <c r="AK155" s="890"/>
      <c r="AL155" s="327"/>
      <c r="AM155" s="327"/>
      <c r="AN155" s="327"/>
      <c r="AO155" s="327"/>
      <c r="AP155" s="327"/>
      <c r="AQ155" s="327"/>
      <c r="AR155" s="742"/>
      <c r="AS155" s="742"/>
      <c r="AT155" s="742"/>
      <c r="AU155" s="327"/>
      <c r="AV155" s="327"/>
      <c r="AW155" s="327"/>
      <c r="AX155" s="327"/>
      <c r="AY155" s="327"/>
      <c r="AZ155" s="327"/>
      <c r="BA155" s="327"/>
      <c r="BB155" s="54"/>
      <c r="BC155" s="52"/>
      <c r="BD155" s="52"/>
      <c r="BE155" s="52"/>
      <c r="BF155" s="52"/>
      <c r="BG155" s="52"/>
      <c r="BH155" s="52"/>
      <c r="BI155" s="52"/>
      <c r="BJ155" s="52"/>
      <c r="BK155" s="52"/>
      <c r="BL155" s="52"/>
      <c r="BM155" s="52"/>
      <c r="BN155" s="52"/>
    </row>
    <row r="156" spans="1:66">
      <c r="A156" s="1736" t="s">
        <v>168</v>
      </c>
      <c r="B156" s="195">
        <f t="shared" ref="B156:AG156" si="143">SUM(B157:B158)</f>
        <v>-27.901</v>
      </c>
      <c r="C156" s="195">
        <f t="shared" si="143"/>
        <v>-38.959000000000003</v>
      </c>
      <c r="D156" s="195">
        <f t="shared" si="143"/>
        <v>-34.856999999999999</v>
      </c>
      <c r="E156" s="195">
        <f t="shared" si="143"/>
        <v>-28.044</v>
      </c>
      <c r="F156" s="195">
        <f t="shared" si="143"/>
        <v>-36.563000000000002</v>
      </c>
      <c r="G156" s="195">
        <f t="shared" si="143"/>
        <v>-36.884999999999998</v>
      </c>
      <c r="H156" s="195">
        <f t="shared" si="143"/>
        <v>-26.439</v>
      </c>
      <c r="I156" s="195">
        <f t="shared" si="143"/>
        <v>-33.96</v>
      </c>
      <c r="J156" s="195">
        <f t="shared" si="143"/>
        <v>-25.344000000000001</v>
      </c>
      <c r="K156" s="195">
        <f t="shared" si="143"/>
        <v>-42.347999999999999</v>
      </c>
      <c r="L156" s="195">
        <f t="shared" si="143"/>
        <v>-31.823999999999998</v>
      </c>
      <c r="M156" s="195">
        <f t="shared" si="143"/>
        <v>-35.638999999999996</v>
      </c>
      <c r="N156" s="195">
        <f t="shared" si="143"/>
        <v>-36</v>
      </c>
      <c r="O156" s="195">
        <f t="shared" si="143"/>
        <v>-43.323999999999998</v>
      </c>
      <c r="P156" s="195">
        <f t="shared" si="143"/>
        <v>-31.918999999999997</v>
      </c>
      <c r="Q156" s="195">
        <f t="shared" si="143"/>
        <v>-43.148000000000003</v>
      </c>
      <c r="R156" s="195">
        <f t="shared" si="143"/>
        <v>-35.733000000000004</v>
      </c>
      <c r="S156" s="195">
        <f t="shared" si="143"/>
        <v>-52.78</v>
      </c>
      <c r="T156" s="195">
        <f t="shared" si="143"/>
        <v>-43.521000000000001</v>
      </c>
      <c r="U156" s="195">
        <f t="shared" si="143"/>
        <v>-27.292000000000002</v>
      </c>
      <c r="V156" s="195">
        <f t="shared" si="143"/>
        <v>-36.987000000000002</v>
      </c>
      <c r="W156" s="195">
        <f t="shared" si="143"/>
        <v>-53.132999999999996</v>
      </c>
      <c r="X156" s="195">
        <f t="shared" si="143"/>
        <v>-42.396999999999998</v>
      </c>
      <c r="Y156" s="195">
        <f t="shared" si="143"/>
        <v>-39.561999999999998</v>
      </c>
      <c r="Z156" s="195">
        <f t="shared" si="143"/>
        <v>-38.997</v>
      </c>
      <c r="AA156" s="195">
        <f t="shared" si="143"/>
        <v>-63.878999999999998</v>
      </c>
      <c r="AB156" s="195">
        <f t="shared" si="143"/>
        <v>-43.802999999999997</v>
      </c>
      <c r="AC156" s="195">
        <f t="shared" si="143"/>
        <v>-53.347999999999999</v>
      </c>
      <c r="AD156" s="195">
        <f t="shared" si="143"/>
        <v>-55.304000000000002</v>
      </c>
      <c r="AE156" s="195">
        <f t="shared" si="143"/>
        <v>-73.64500000000001</v>
      </c>
      <c r="AF156" s="195">
        <f t="shared" si="143"/>
        <v>-49.156000000000006</v>
      </c>
      <c r="AG156" s="195">
        <f t="shared" si="143"/>
        <v>-50.274000000000001</v>
      </c>
      <c r="AH156" s="195">
        <f t="shared" ref="AH156:BA156" si="144">SUM(AH157:AH158)</f>
        <v>-55.22</v>
      </c>
      <c r="AI156" s="195">
        <f t="shared" si="144"/>
        <v>-58.677999999999997</v>
      </c>
      <c r="AJ156" s="195">
        <f t="shared" si="144"/>
        <v>-70.905000000000001</v>
      </c>
      <c r="AK156" s="1376">
        <f t="shared" si="144"/>
        <v>-73.081999999999994</v>
      </c>
      <c r="AL156" s="195">
        <f t="shared" si="144"/>
        <v>-48.082000000000001</v>
      </c>
      <c r="AM156" s="195">
        <f t="shared" si="144"/>
        <v>-69.11099999999999</v>
      </c>
      <c r="AN156" s="195">
        <f t="shared" si="144"/>
        <v>-70.622</v>
      </c>
      <c r="AO156" s="195">
        <f t="shared" si="144"/>
        <v>-77.312999999999988</v>
      </c>
      <c r="AP156" s="195">
        <f t="shared" si="144"/>
        <v>-70.075000000000003</v>
      </c>
      <c r="AQ156" s="2173">
        <f t="shared" si="144"/>
        <v>-75.33</v>
      </c>
      <c r="AR156" s="2173">
        <f t="shared" si="144"/>
        <v>-62.72</v>
      </c>
      <c r="AS156" s="2173">
        <f t="shared" si="144"/>
        <v>-62.933999999999997</v>
      </c>
      <c r="AT156" s="2173">
        <f t="shared" si="144"/>
        <v>-74.587999999999994</v>
      </c>
      <c r="AU156" s="195">
        <f t="shared" si="144"/>
        <v>0</v>
      </c>
      <c r="AV156" s="195">
        <f t="shared" si="144"/>
        <v>0</v>
      </c>
      <c r="AW156" s="195">
        <f t="shared" si="144"/>
        <v>0</v>
      </c>
      <c r="AX156" s="195">
        <f t="shared" si="144"/>
        <v>0</v>
      </c>
      <c r="AY156" s="195">
        <f t="shared" si="144"/>
        <v>0</v>
      </c>
      <c r="AZ156" s="195">
        <f t="shared" si="144"/>
        <v>0</v>
      </c>
      <c r="BA156" s="195">
        <f t="shared" si="144"/>
        <v>0</v>
      </c>
      <c r="BB156" s="54"/>
      <c r="BC156" s="52"/>
      <c r="BD156" s="52"/>
      <c r="BE156" s="52"/>
      <c r="BF156" s="52"/>
      <c r="BG156" s="52"/>
      <c r="BH156" s="52"/>
      <c r="BI156" s="52"/>
      <c r="BJ156" s="52"/>
      <c r="BK156" s="52"/>
      <c r="BL156" s="52"/>
      <c r="BM156" s="52"/>
      <c r="BN156" s="52"/>
    </row>
    <row r="157" spans="1:66">
      <c r="A157" s="1757" t="s">
        <v>169</v>
      </c>
      <c r="B157" s="484">
        <v>-9.3949999999999996</v>
      </c>
      <c r="C157" s="484">
        <v>-18.834</v>
      </c>
      <c r="D157" s="484">
        <v>-13.651999999999999</v>
      </c>
      <c r="E157" s="484">
        <v>-12.968</v>
      </c>
      <c r="F157" s="484">
        <v>-13.904</v>
      </c>
      <c r="G157" s="484">
        <v>-12.289</v>
      </c>
      <c r="H157" s="484">
        <v>-4.9489999999999998</v>
      </c>
      <c r="I157" s="484">
        <v>-11.481999999999999</v>
      </c>
      <c r="J157" s="484">
        <v>-2.87</v>
      </c>
      <c r="K157" s="484">
        <v>-11.409000000000001</v>
      </c>
      <c r="L157" s="484">
        <v>-10.706</v>
      </c>
      <c r="M157" s="484">
        <v>-9.9939999999999998</v>
      </c>
      <c r="N157" s="484">
        <v>-14.475</v>
      </c>
      <c r="O157" s="484">
        <v>-19.484000000000002</v>
      </c>
      <c r="P157" s="484">
        <v>-13.196</v>
      </c>
      <c r="Q157" s="484">
        <v>-14.298</v>
      </c>
      <c r="R157" s="484">
        <v>-14.308</v>
      </c>
      <c r="S157" s="484">
        <v>-18.446000000000002</v>
      </c>
      <c r="T157" s="484">
        <v>-18.071999999999999</v>
      </c>
      <c r="U157" s="484">
        <v>-7.37</v>
      </c>
      <c r="V157" s="484">
        <v>-13.406000000000001</v>
      </c>
      <c r="W157" s="484">
        <v>-18.710999999999999</v>
      </c>
      <c r="X157" s="484">
        <v>-14.119</v>
      </c>
      <c r="Y157" s="484">
        <v>-7.5119999999999996</v>
      </c>
      <c r="Z157" s="484">
        <v>-8.9779999999999998</v>
      </c>
      <c r="AA157" s="485">
        <v>-28.195</v>
      </c>
      <c r="AB157" s="485">
        <v>-17.344999999999999</v>
      </c>
      <c r="AC157" s="485">
        <v>-17.948</v>
      </c>
      <c r="AD157" s="485">
        <v>-22.882000000000001</v>
      </c>
      <c r="AE157" s="485">
        <v>-33.225000000000001</v>
      </c>
      <c r="AF157" s="485">
        <v>-17.478000000000002</v>
      </c>
      <c r="AG157" s="485">
        <v>-16.744</v>
      </c>
      <c r="AH157" s="485">
        <v>-19.77</v>
      </c>
      <c r="AI157" s="485">
        <v>-23.202999999999999</v>
      </c>
      <c r="AJ157" s="485">
        <v>-23.195</v>
      </c>
      <c r="AK157" s="822">
        <v>-28.05</v>
      </c>
      <c r="AL157" s="485">
        <v>-14.656000000000001</v>
      </c>
      <c r="AM157" s="485">
        <v>-27.9</v>
      </c>
      <c r="AN157" s="485">
        <v>-32.923000000000002</v>
      </c>
      <c r="AO157" s="485">
        <v>-33.665999999999997</v>
      </c>
      <c r="AP157" s="485">
        <v>-27.132000000000001</v>
      </c>
      <c r="AQ157" s="485">
        <v>-29.850999999999999</v>
      </c>
      <c r="AR157" s="819">
        <v>-21.079000000000001</v>
      </c>
      <c r="AS157" s="819">
        <v>-28.757999999999999</v>
      </c>
      <c r="AT157" s="819">
        <v>-29.013999999999999</v>
      </c>
      <c r="AU157" s="327"/>
      <c r="AV157" s="327"/>
      <c r="AW157" s="327"/>
      <c r="AX157" s="327"/>
      <c r="AY157" s="327"/>
      <c r="AZ157" s="327"/>
      <c r="BA157" s="327"/>
      <c r="BB157" s="54"/>
      <c r="BC157" s="52"/>
      <c r="BD157" s="52"/>
      <c r="BE157" s="52"/>
      <c r="BF157" s="52"/>
      <c r="BG157" s="52"/>
      <c r="BH157" s="52"/>
      <c r="BI157" s="52"/>
      <c r="BJ157" s="52"/>
      <c r="BK157" s="52"/>
      <c r="BL157" s="52"/>
      <c r="BM157" s="52"/>
      <c r="BN157" s="52"/>
    </row>
    <row r="158" spans="1:66">
      <c r="A158" s="1757" t="s">
        <v>170</v>
      </c>
      <c r="B158" s="484">
        <f>-18.506</f>
        <v>-18.506</v>
      </c>
      <c r="C158" s="484">
        <f>-20.125</f>
        <v>-20.125</v>
      </c>
      <c r="D158" s="484">
        <f>-21.205</f>
        <v>-21.204999999999998</v>
      </c>
      <c r="E158" s="484">
        <f>-15.076</f>
        <v>-15.076000000000001</v>
      </c>
      <c r="F158" s="484">
        <f>-22.659</f>
        <v>-22.658999999999999</v>
      </c>
      <c r="G158" s="484">
        <f>-24.596</f>
        <v>-24.596</v>
      </c>
      <c r="H158" s="484">
        <f>-21.49</f>
        <v>-21.49</v>
      </c>
      <c r="I158" s="484">
        <f>-22.478</f>
        <v>-22.478000000000002</v>
      </c>
      <c r="J158" s="484">
        <f>-22.474</f>
        <v>-22.474</v>
      </c>
      <c r="K158" s="484">
        <f>-30.939</f>
        <v>-30.939</v>
      </c>
      <c r="L158" s="484">
        <f>-21.118</f>
        <v>-21.117999999999999</v>
      </c>
      <c r="M158" s="484">
        <f>-25.645</f>
        <v>-25.645</v>
      </c>
      <c r="N158" s="484">
        <f>-21.525</f>
        <v>-21.524999999999999</v>
      </c>
      <c r="O158" s="484">
        <f>-23.84</f>
        <v>-23.84</v>
      </c>
      <c r="P158" s="484">
        <f>-18.723</f>
        <v>-18.722999999999999</v>
      </c>
      <c r="Q158" s="484">
        <f>-23.963-4.887</f>
        <v>-28.85</v>
      </c>
      <c r="R158" s="484">
        <f>-21.425</f>
        <v>-21.425000000000001</v>
      </c>
      <c r="S158" s="484">
        <f>-34.334</f>
        <v>-34.334000000000003</v>
      </c>
      <c r="T158" s="484">
        <f>-25.449</f>
        <v>-25.449000000000002</v>
      </c>
      <c r="U158" s="484">
        <f>-19.922</f>
        <v>-19.922000000000001</v>
      </c>
      <c r="V158" s="484">
        <f>-23.581</f>
        <v>-23.581</v>
      </c>
      <c r="W158" s="484">
        <f>-34.422</f>
        <v>-34.421999999999997</v>
      </c>
      <c r="X158" s="484">
        <f>-28.278</f>
        <v>-28.277999999999999</v>
      </c>
      <c r="Y158" s="484">
        <f>-32.05</f>
        <v>-32.049999999999997</v>
      </c>
      <c r="Z158" s="484">
        <f>-30.019</f>
        <v>-30.018999999999998</v>
      </c>
      <c r="AA158" s="485">
        <f>-35.684</f>
        <v>-35.683999999999997</v>
      </c>
      <c r="AB158" s="485">
        <f>-26.458</f>
        <v>-26.457999999999998</v>
      </c>
      <c r="AC158" s="485">
        <f>-35.4</f>
        <v>-35.4</v>
      </c>
      <c r="AD158" s="485">
        <f>-32.422</f>
        <v>-32.421999999999997</v>
      </c>
      <c r="AE158" s="485">
        <f>-40.42</f>
        <v>-40.42</v>
      </c>
      <c r="AF158" s="485">
        <f>-31.678</f>
        <v>-31.678000000000001</v>
      </c>
      <c r="AG158" s="485">
        <f>-33.53</f>
        <v>-33.53</v>
      </c>
      <c r="AH158" s="485">
        <f>-35.45</f>
        <v>-35.450000000000003</v>
      </c>
      <c r="AI158" s="485">
        <f>-35.475</f>
        <v>-35.475000000000001</v>
      </c>
      <c r="AJ158" s="485">
        <v>-47.71</v>
      </c>
      <c r="AK158" s="822">
        <v>-45.031999999999996</v>
      </c>
      <c r="AL158" s="485">
        <v>-33.426000000000002</v>
      </c>
      <c r="AM158" s="485">
        <v>-41.210999999999999</v>
      </c>
      <c r="AN158" s="485">
        <v>-37.698999999999998</v>
      </c>
      <c r="AO158" s="485">
        <v>-43.646999999999998</v>
      </c>
      <c r="AP158" s="485">
        <v>-42.942999999999998</v>
      </c>
      <c r="AQ158" s="485">
        <v>-45.478999999999999</v>
      </c>
      <c r="AR158" s="819">
        <v>-41.640999999999998</v>
      </c>
      <c r="AS158" s="819">
        <v>-34.176000000000002</v>
      </c>
      <c r="AT158" s="819">
        <v>-45.573999999999998</v>
      </c>
      <c r="AU158" s="327"/>
      <c r="AV158" s="327"/>
      <c r="AW158" s="327"/>
      <c r="AX158" s="327"/>
      <c r="AY158" s="327"/>
      <c r="AZ158" s="327"/>
      <c r="BA158" s="327"/>
      <c r="BB158" s="54"/>
      <c r="BC158" s="52"/>
      <c r="BD158" s="52"/>
      <c r="BE158" s="52"/>
      <c r="BF158" s="52"/>
      <c r="BG158" s="52"/>
      <c r="BH158" s="52"/>
      <c r="BI158" s="52"/>
      <c r="BJ158" s="52"/>
      <c r="BK158" s="52"/>
      <c r="BL158" s="52"/>
      <c r="BM158" s="52"/>
      <c r="BN158" s="52"/>
    </row>
    <row r="159" spans="1:66">
      <c r="A159" s="1759" t="s">
        <v>175</v>
      </c>
      <c r="B159" s="484">
        <v>-1.663</v>
      </c>
      <c r="C159" s="484">
        <v>-1.766</v>
      </c>
      <c r="D159" s="484">
        <v>-2.3439999999999999</v>
      </c>
      <c r="E159" s="484">
        <v>-1.9019999999999999</v>
      </c>
      <c r="F159" s="484">
        <v>-1.903</v>
      </c>
      <c r="G159" s="484">
        <v>-2.6789999999999998</v>
      </c>
      <c r="H159" s="484">
        <v>-1.7949999999999999</v>
      </c>
      <c r="I159" s="484">
        <v>-1.7949999999999999</v>
      </c>
      <c r="J159" s="484">
        <v>-1.7949999999999999</v>
      </c>
      <c r="K159" s="484">
        <v>-3.117</v>
      </c>
      <c r="L159" s="484">
        <v>-1.766</v>
      </c>
      <c r="M159" s="484">
        <v>-1.794</v>
      </c>
      <c r="N159" s="484">
        <v>-1.869</v>
      </c>
      <c r="O159" s="484">
        <v>-1.903</v>
      </c>
      <c r="P159" s="484">
        <v>-1.903</v>
      </c>
      <c r="Q159" s="484">
        <v>0</v>
      </c>
      <c r="R159" s="484">
        <v>0</v>
      </c>
      <c r="S159" s="484">
        <v>0</v>
      </c>
      <c r="T159" s="484">
        <v>0</v>
      </c>
      <c r="U159" s="484">
        <v>0</v>
      </c>
      <c r="V159" s="484">
        <v>0</v>
      </c>
      <c r="W159" s="484">
        <v>-2.7829999999999999</v>
      </c>
      <c r="X159" s="484">
        <v>2.3650000000000002</v>
      </c>
      <c r="Y159" s="484">
        <v>-3.3000000000000002E-2</v>
      </c>
      <c r="Z159" s="484">
        <v>-1.9490000000000001</v>
      </c>
      <c r="AA159" s="485">
        <v>-1.23</v>
      </c>
      <c r="AB159" s="485">
        <v>-2.0150000000000001</v>
      </c>
      <c r="AC159" s="485">
        <v>1.579</v>
      </c>
      <c r="AD159" s="485">
        <v>0.18</v>
      </c>
      <c r="AE159" s="485">
        <v>0.65400000000000003</v>
      </c>
      <c r="AF159" s="485">
        <v>-0.03</v>
      </c>
      <c r="AG159" s="485">
        <v>5.6000000000000001E-2</v>
      </c>
      <c r="AH159" s="485">
        <v>0.51300000000000001</v>
      </c>
      <c r="AI159" s="485">
        <v>0.1</v>
      </c>
      <c r="AJ159" s="485">
        <v>-2.1999999999999999E-2</v>
      </c>
      <c r="AK159" s="822">
        <v>-4.5999999999999999E-2</v>
      </c>
      <c r="AL159" s="485">
        <v>2.4E-2</v>
      </c>
      <c r="AM159" s="485">
        <v>0.16600000000000001</v>
      </c>
      <c r="AN159" s="485">
        <v>-0.17100000000000001</v>
      </c>
      <c r="AO159" s="485">
        <v>0.437</v>
      </c>
      <c r="AP159" s="485">
        <v>0.17399999999999999</v>
      </c>
      <c r="AQ159" s="485">
        <v>0.32900000000000001</v>
      </c>
      <c r="AR159" s="819">
        <v>0.46600000000000003</v>
      </c>
      <c r="AS159" s="819">
        <v>-0.34300000000000003</v>
      </c>
      <c r="AT159" s="819">
        <v>9.4E-2</v>
      </c>
      <c r="AU159" s="327"/>
      <c r="AV159" s="327"/>
      <c r="AW159" s="327"/>
      <c r="AX159" s="327"/>
      <c r="AY159" s="327"/>
      <c r="AZ159" s="327"/>
      <c r="BA159" s="327"/>
      <c r="BB159" s="54"/>
      <c r="BC159" s="52"/>
      <c r="BD159" s="52"/>
      <c r="BE159" s="52"/>
      <c r="BF159" s="52"/>
      <c r="BG159" s="52"/>
      <c r="BH159" s="52"/>
      <c r="BI159" s="52"/>
      <c r="BJ159" s="52"/>
      <c r="BK159" s="52"/>
      <c r="BL159" s="52"/>
      <c r="BM159" s="52"/>
      <c r="BN159" s="52"/>
    </row>
    <row r="160" spans="1:66">
      <c r="A160" s="1759" t="s">
        <v>821</v>
      </c>
      <c r="B160" s="484">
        <v>-2E-3</v>
      </c>
      <c r="C160" s="484">
        <v>3.4000000000000002E-2</v>
      </c>
      <c r="D160" s="484">
        <v>12.664999999999999</v>
      </c>
      <c r="E160" s="484">
        <v>-14.224</v>
      </c>
      <c r="F160" s="484">
        <v>-0.16900000000000001</v>
      </c>
      <c r="G160" s="484">
        <v>-17.777000000000001</v>
      </c>
      <c r="H160" s="484">
        <v>9.6669999999999998</v>
      </c>
      <c r="I160" s="484">
        <v>-1.38</v>
      </c>
      <c r="J160" s="484">
        <v>1.7000000000000001E-2</v>
      </c>
      <c r="K160" s="484">
        <v>-4.0000000000000001E-3</v>
      </c>
      <c r="L160" s="484">
        <v>19.826000000000001</v>
      </c>
      <c r="M160" s="484">
        <v>27.059000000000001</v>
      </c>
      <c r="N160" s="484">
        <v>-0.69299999999999995</v>
      </c>
      <c r="O160" s="484">
        <v>2.0369999999999999</v>
      </c>
      <c r="P160" s="484">
        <v>3.1779999999999999</v>
      </c>
      <c r="Q160" s="484">
        <v>1.333</v>
      </c>
      <c r="R160" s="484">
        <v>2.5270000000000001</v>
      </c>
      <c r="S160" s="484">
        <v>-0.22500000000000001</v>
      </c>
      <c r="T160" s="484">
        <v>14.606</v>
      </c>
      <c r="U160" s="484">
        <v>-21.152000000000001</v>
      </c>
      <c r="V160" s="484">
        <v>0.88800000000000001</v>
      </c>
      <c r="W160" s="484">
        <v>0.35299999999999998</v>
      </c>
      <c r="X160" s="484">
        <v>24.937999999999999</v>
      </c>
      <c r="Y160" s="484">
        <v>0.80700000000000005</v>
      </c>
      <c r="Z160" s="484">
        <v>0.78100000000000003</v>
      </c>
      <c r="AA160" s="485">
        <v>0.438</v>
      </c>
      <c r="AB160" s="485">
        <v>1.2250000000000001</v>
      </c>
      <c r="AC160" s="485">
        <v>-2.2519999999999998</v>
      </c>
      <c r="AD160" s="485">
        <v>-1.079</v>
      </c>
      <c r="AE160" s="485">
        <v>6.6829999999999998</v>
      </c>
      <c r="AF160" s="485">
        <v>2.794</v>
      </c>
      <c r="AG160" s="485">
        <v>-8.4329999999999998</v>
      </c>
      <c r="AH160" s="485">
        <v>1.3149999999999999</v>
      </c>
      <c r="AI160" s="485">
        <v>75.984999999999999</v>
      </c>
      <c r="AJ160" s="485">
        <v>7.16</v>
      </c>
      <c r="AK160" s="822">
        <v>23.46</v>
      </c>
      <c r="AL160" s="485">
        <v>1.5509999999999999</v>
      </c>
      <c r="AM160" s="485">
        <v>3.0289999999999999</v>
      </c>
      <c r="AN160" s="485">
        <v>0.29899999999999999</v>
      </c>
      <c r="AO160" s="485">
        <v>5.8479999999999999</v>
      </c>
      <c r="AP160" s="485">
        <v>0.61599999999999999</v>
      </c>
      <c r="AQ160" s="485">
        <v>1.97</v>
      </c>
      <c r="AR160" s="819">
        <v>-7.5999999999999998E-2</v>
      </c>
      <c r="AS160" s="819">
        <v>145.56100000000001</v>
      </c>
      <c r="AT160" s="819">
        <v>-0.35899999999999999</v>
      </c>
      <c r="AU160" s="327"/>
      <c r="AV160" s="327"/>
      <c r="AW160" s="327"/>
      <c r="AX160" s="327"/>
      <c r="AY160" s="327"/>
      <c r="AZ160" s="327"/>
      <c r="BA160" s="327"/>
      <c r="BB160" s="54"/>
      <c r="BC160" s="52"/>
      <c r="BD160" s="52"/>
      <c r="BE160" s="52"/>
      <c r="BF160" s="52"/>
      <c r="BG160" s="52"/>
      <c r="BH160" s="52"/>
      <c r="BI160" s="52"/>
      <c r="BJ160" s="52"/>
      <c r="BK160" s="52"/>
      <c r="BL160" s="52"/>
      <c r="BM160" s="52"/>
      <c r="BN160" s="52"/>
    </row>
    <row r="161" spans="1:66">
      <c r="A161" s="1736"/>
      <c r="B161" s="336"/>
      <c r="C161" s="336"/>
      <c r="D161" s="336"/>
      <c r="E161" s="336"/>
      <c r="F161" s="336"/>
      <c r="G161" s="336"/>
      <c r="H161" s="336"/>
      <c r="I161" s="336"/>
      <c r="J161" s="336"/>
      <c r="K161" s="336"/>
      <c r="L161" s="336"/>
      <c r="M161" s="336"/>
      <c r="N161" s="336"/>
      <c r="O161" s="336"/>
      <c r="P161" s="336"/>
      <c r="Q161" s="1097"/>
      <c r="R161" s="336"/>
      <c r="S161" s="336"/>
      <c r="T161" s="336"/>
      <c r="U161" s="336"/>
      <c r="V161" s="336"/>
      <c r="W161" s="336"/>
      <c r="X161" s="336"/>
      <c r="Y161" s="336"/>
      <c r="Z161" s="336"/>
      <c r="AA161" s="336"/>
      <c r="AB161" s="336"/>
      <c r="AC161" s="336"/>
      <c r="AD161" s="336"/>
      <c r="AE161" s="336"/>
      <c r="AF161" s="327"/>
      <c r="AG161" s="327"/>
      <c r="AH161" s="327"/>
      <c r="AI161" s="327"/>
      <c r="AJ161" s="327"/>
      <c r="AK161" s="890"/>
      <c r="AL161" s="336"/>
      <c r="AM161" s="336"/>
      <c r="AN161" s="336"/>
      <c r="AO161" s="336"/>
      <c r="AP161" s="336"/>
      <c r="AQ161" s="336"/>
      <c r="AR161" s="876"/>
      <c r="AS161" s="876"/>
      <c r="AT161" s="876"/>
      <c r="AU161" s="336"/>
      <c r="AV161" s="336"/>
      <c r="AW161" s="336"/>
      <c r="AX161" s="336"/>
      <c r="AY161" s="336"/>
      <c r="AZ161" s="336"/>
      <c r="BA161" s="336"/>
      <c r="BB161" s="54"/>
      <c r="BC161" s="52"/>
      <c r="BD161" s="52"/>
      <c r="BE161" s="52"/>
      <c r="BF161" s="52"/>
      <c r="BG161" s="52"/>
      <c r="BH161" s="52"/>
      <c r="BI161" s="52"/>
      <c r="BJ161" s="52"/>
      <c r="BK161" s="52"/>
      <c r="BL161" s="52"/>
      <c r="BM161" s="52"/>
      <c r="BN161" s="52"/>
    </row>
    <row r="162" spans="1:66">
      <c r="A162" s="1758" t="s">
        <v>219</v>
      </c>
      <c r="B162" s="377">
        <f t="shared" ref="B162:Q162" si="145">B152+B154+B156-B164+B159+B160</f>
        <v>78.361000000000018</v>
      </c>
      <c r="C162" s="377">
        <f t="shared" si="145"/>
        <v>83.033999999999992</v>
      </c>
      <c r="D162" s="377">
        <f t="shared" si="145"/>
        <v>55.612000000000002</v>
      </c>
      <c r="E162" s="377">
        <f t="shared" si="145"/>
        <v>39.228999999999999</v>
      </c>
      <c r="F162" s="377">
        <f t="shared" si="145"/>
        <v>27.026000000000028</v>
      </c>
      <c r="G162" s="377">
        <f t="shared" si="145"/>
        <v>5.1490000000000045</v>
      </c>
      <c r="H162" s="377">
        <f t="shared" si="145"/>
        <v>27.181999999999995</v>
      </c>
      <c r="I162" s="377">
        <f t="shared" si="145"/>
        <v>69.016000000000005</v>
      </c>
      <c r="J162" s="377">
        <f t="shared" si="145"/>
        <v>4.6989999999999972</v>
      </c>
      <c r="K162" s="377">
        <f t="shared" si="145"/>
        <v>42.400999999999996</v>
      </c>
      <c r="L162" s="377">
        <f t="shared" si="145"/>
        <v>94.778999999999996</v>
      </c>
      <c r="M162" s="377">
        <f t="shared" si="145"/>
        <v>101.29999999999998</v>
      </c>
      <c r="N162" s="377">
        <f t="shared" si="145"/>
        <v>41.838999999999992</v>
      </c>
      <c r="O162" s="377">
        <f t="shared" si="145"/>
        <v>85.920999999999978</v>
      </c>
      <c r="P162" s="377">
        <f t="shared" si="145"/>
        <v>124.77999999999999</v>
      </c>
      <c r="Q162" s="377">
        <f t="shared" si="145"/>
        <v>148.78200000000001</v>
      </c>
      <c r="R162" s="377">
        <f t="shared" ref="R162:BA162" si="146">R152+R154+R156-R164+R159+R160</f>
        <v>127.43999999999997</v>
      </c>
      <c r="S162" s="377">
        <f t="shared" si="146"/>
        <v>145.49100000000001</v>
      </c>
      <c r="T162" s="377">
        <f t="shared" si="146"/>
        <v>193.81699999999998</v>
      </c>
      <c r="U162" s="377">
        <f t="shared" si="146"/>
        <v>99.375999999999948</v>
      </c>
      <c r="V162" s="377">
        <f t="shared" si="146"/>
        <v>147.10900000000007</v>
      </c>
      <c r="W162" s="377">
        <f t="shared" si="146"/>
        <v>185.75399999999999</v>
      </c>
      <c r="X162" s="377">
        <f t="shared" si="146"/>
        <v>179.34899999999999</v>
      </c>
      <c r="Y162" s="377">
        <f t="shared" si="146"/>
        <v>70.42300000000003</v>
      </c>
      <c r="Z162" s="377">
        <f t="shared" si="146"/>
        <v>119.39299999999999</v>
      </c>
      <c r="AA162" s="377">
        <f t="shared" si="146"/>
        <v>232.78800000000001</v>
      </c>
      <c r="AB162" s="377">
        <f t="shared" si="146"/>
        <v>156.49500000000003</v>
      </c>
      <c r="AC162" s="377">
        <f t="shared" si="146"/>
        <v>143.08399999999997</v>
      </c>
      <c r="AD162" s="377">
        <f t="shared" si="146"/>
        <v>212.91400000000002</v>
      </c>
      <c r="AE162" s="377">
        <f t="shared" si="146"/>
        <v>238.49600000000004</v>
      </c>
      <c r="AF162" s="377">
        <f t="shared" si="146"/>
        <v>163.36400000000003</v>
      </c>
      <c r="AG162" s="377">
        <f t="shared" si="146"/>
        <v>136.429</v>
      </c>
      <c r="AH162" s="377">
        <f t="shared" si="146"/>
        <v>224.23700000000005</v>
      </c>
      <c r="AI162" s="377">
        <f t="shared" si="146"/>
        <v>308.75700000000001</v>
      </c>
      <c r="AJ162" s="377">
        <f t="shared" si="146"/>
        <v>278.77200000000005</v>
      </c>
      <c r="AK162" s="1375">
        <f t="shared" si="146"/>
        <v>288.76900000000012</v>
      </c>
      <c r="AL162" s="377">
        <f t="shared" si="146"/>
        <v>196.154</v>
      </c>
      <c r="AM162" s="377">
        <f t="shared" si="146"/>
        <v>339.14699999999993</v>
      </c>
      <c r="AN162" s="377">
        <f t="shared" si="146"/>
        <v>352.04400000000004</v>
      </c>
      <c r="AO162" s="377">
        <f t="shared" si="146"/>
        <v>348.50799999999998</v>
      </c>
      <c r="AP162" s="377">
        <f t="shared" si="146"/>
        <v>277.77199999999999</v>
      </c>
      <c r="AQ162" s="377">
        <f t="shared" si="146"/>
        <v>317.26700000000011</v>
      </c>
      <c r="AR162" s="2179">
        <v>319.94599999999991</v>
      </c>
      <c r="AS162" s="2179">
        <f t="shared" si="146"/>
        <v>529.41200000000003</v>
      </c>
      <c r="AT162" s="2179">
        <f>AT152+AT154+AT156-AT164+AT159+AT160</f>
        <v>402.64400000000001</v>
      </c>
      <c r="AU162" s="377">
        <f t="shared" si="146"/>
        <v>0</v>
      </c>
      <c r="AV162" s="377">
        <f t="shared" si="146"/>
        <v>0</v>
      </c>
      <c r="AW162" s="377">
        <f t="shared" si="146"/>
        <v>0</v>
      </c>
      <c r="AX162" s="377">
        <f t="shared" si="146"/>
        <v>0</v>
      </c>
      <c r="AY162" s="377">
        <f t="shared" si="146"/>
        <v>0</v>
      </c>
      <c r="AZ162" s="377">
        <f t="shared" si="146"/>
        <v>0</v>
      </c>
      <c r="BA162" s="377">
        <f t="shared" si="146"/>
        <v>0</v>
      </c>
      <c r="BB162" s="54"/>
      <c r="BC162" s="52"/>
      <c r="BD162" s="52"/>
      <c r="BE162" s="52"/>
      <c r="BF162" s="52"/>
      <c r="BG162" s="52"/>
      <c r="BH162" s="52"/>
      <c r="BI162" s="52"/>
      <c r="BJ162" s="52"/>
      <c r="BK162" s="52"/>
      <c r="BL162" s="52"/>
      <c r="BM162" s="52"/>
      <c r="BN162" s="52"/>
    </row>
    <row r="163" spans="1:66">
      <c r="A163" s="1736"/>
      <c r="B163" s="327"/>
      <c r="C163" s="327"/>
      <c r="D163" s="327"/>
      <c r="E163" s="327"/>
      <c r="F163" s="327"/>
      <c r="G163" s="327"/>
      <c r="H163" s="327"/>
      <c r="I163" s="327"/>
      <c r="J163" s="327"/>
      <c r="K163" s="327"/>
      <c r="L163" s="327"/>
      <c r="M163" s="327"/>
      <c r="N163" s="327"/>
      <c r="O163" s="327"/>
      <c r="P163" s="327"/>
      <c r="Q163" s="958"/>
      <c r="R163" s="327"/>
      <c r="S163" s="327"/>
      <c r="T163" s="327"/>
      <c r="U163" s="327"/>
      <c r="V163" s="327"/>
      <c r="W163" s="327"/>
      <c r="X163" s="327"/>
      <c r="Y163" s="327"/>
      <c r="Z163" s="327"/>
      <c r="AA163" s="327"/>
      <c r="AB163" s="327"/>
      <c r="AC163" s="327"/>
      <c r="AD163" s="327"/>
      <c r="AE163" s="327"/>
      <c r="AF163" s="327"/>
      <c r="AG163" s="327"/>
      <c r="AH163" s="327"/>
      <c r="AI163" s="327"/>
      <c r="AJ163" s="327"/>
      <c r="AK163" s="890"/>
      <c r="AL163" s="327"/>
      <c r="AM163" s="327"/>
      <c r="AN163" s="327"/>
      <c r="AO163" s="327"/>
      <c r="AP163" s="327"/>
      <c r="AQ163" s="327"/>
      <c r="AR163" s="742"/>
      <c r="AS163" s="327"/>
      <c r="AT163" s="327"/>
      <c r="AU163" s="327"/>
      <c r="AV163" s="327"/>
      <c r="AW163" s="327"/>
      <c r="AX163" s="327"/>
      <c r="AY163" s="327"/>
      <c r="AZ163" s="327"/>
      <c r="BA163" s="327"/>
      <c r="BB163" s="54"/>
      <c r="BC163" s="52"/>
      <c r="BD163" s="52"/>
      <c r="BE163" s="52"/>
      <c r="BF163" s="52"/>
      <c r="BG163" s="52"/>
      <c r="BH163" s="52"/>
      <c r="BI163" s="52"/>
      <c r="BJ163" s="52"/>
      <c r="BK163" s="52"/>
      <c r="BL163" s="52"/>
      <c r="BM163" s="52"/>
      <c r="BN163" s="52"/>
    </row>
    <row r="164" spans="1:66">
      <c r="A164" s="1736" t="s">
        <v>171</v>
      </c>
      <c r="B164" s="484">
        <v>-36.875999999999998</v>
      </c>
      <c r="C164" s="484">
        <v>-33.395000000000003</v>
      </c>
      <c r="D164" s="484">
        <v>-34.646999999999998</v>
      </c>
      <c r="E164" s="484">
        <v>-35.173000000000002</v>
      </c>
      <c r="F164" s="484">
        <v>-49.524000000000001</v>
      </c>
      <c r="G164" s="484">
        <v>-48.811</v>
      </c>
      <c r="H164" s="484">
        <v>-32.914000000000001</v>
      </c>
      <c r="I164" s="484">
        <v>-59.965000000000003</v>
      </c>
      <c r="J164" s="484">
        <v>-33.156999999999996</v>
      </c>
      <c r="K164" s="484">
        <v>-48.759</v>
      </c>
      <c r="L164" s="484">
        <v>-56.369</v>
      </c>
      <c r="M164" s="484">
        <v>-64.221000000000004</v>
      </c>
      <c r="N164" s="484">
        <v>-54.76</v>
      </c>
      <c r="O164" s="195">
        <f>-65.675</f>
        <v>-65.674999999999997</v>
      </c>
      <c r="P164" s="484">
        <v>-72.046000000000006</v>
      </c>
      <c r="Q164" s="484">
        <v>-84.534999999999997</v>
      </c>
      <c r="R164" s="484">
        <v>-81.212000000000003</v>
      </c>
      <c r="S164" s="484">
        <v>-80.536000000000001</v>
      </c>
      <c r="T164" s="484">
        <v>-97.027000000000001</v>
      </c>
      <c r="U164" s="484">
        <v>-71.58</v>
      </c>
      <c r="V164" s="195">
        <f>-39.018-47.251</f>
        <v>-86.269000000000005</v>
      </c>
      <c r="W164" s="484">
        <v>-87.844999999999999</v>
      </c>
      <c r="X164" s="484">
        <v>-96.82</v>
      </c>
      <c r="Y164" s="484">
        <v>-80.692999999999998</v>
      </c>
      <c r="Z164" s="484">
        <v>-87.414000000000001</v>
      </c>
      <c r="AA164" s="327">
        <f>(-104.035-120.971)-Z164</f>
        <v>-137.59199999999998</v>
      </c>
      <c r="AB164" s="327">
        <f>(-157.406-186.654)-AA164-Z164</f>
        <v>-119.05400000000002</v>
      </c>
      <c r="AC164" s="485">
        <v>-108.89</v>
      </c>
      <c r="AD164" s="485">
        <v>-147.09800000000001</v>
      </c>
      <c r="AE164" s="485">
        <v>-123.21</v>
      </c>
      <c r="AF164" s="485">
        <v>-102.03400000000001</v>
      </c>
      <c r="AG164" s="485">
        <f>-75.943</f>
        <v>-75.942999999999998</v>
      </c>
      <c r="AH164" s="485">
        <v>-125.886</v>
      </c>
      <c r="AI164" s="485">
        <v>-128.53399999999999</v>
      </c>
      <c r="AJ164" s="485">
        <v>-164.096</v>
      </c>
      <c r="AK164" s="822">
        <v>-180.51300000000001</v>
      </c>
      <c r="AL164" s="485">
        <v>-124.09399999999999</v>
      </c>
      <c r="AM164" s="485">
        <f>-165.753-40.498</f>
        <v>-206.25099999999998</v>
      </c>
      <c r="AN164" s="485">
        <f>-210.288+15.556</f>
        <v>-194.732</v>
      </c>
      <c r="AO164" s="485">
        <v>-198.684</v>
      </c>
      <c r="AP164" s="485">
        <v>-157.048</v>
      </c>
      <c r="AQ164" s="485">
        <v>-176.28200000000001</v>
      </c>
      <c r="AR164" s="819">
        <v>-185.822</v>
      </c>
      <c r="AS164" s="819">
        <v>-218.75899999999999</v>
      </c>
      <c r="AT164" s="819">
        <v>-202.14699999999999</v>
      </c>
      <c r="AU164" s="327"/>
      <c r="AV164" s="327"/>
      <c r="AW164" s="327"/>
      <c r="AX164" s="327"/>
      <c r="AY164" s="327"/>
      <c r="AZ164" s="327"/>
      <c r="BA164" s="327"/>
      <c r="BB164" s="54"/>
      <c r="BC164" s="52"/>
      <c r="BD164" s="52"/>
      <c r="BE164" s="52"/>
      <c r="BF164" s="52"/>
      <c r="BG164" s="52"/>
      <c r="BH164" s="52"/>
      <c r="BI164" s="52"/>
      <c r="BJ164" s="52"/>
      <c r="BK164" s="52"/>
      <c r="BL164" s="52"/>
      <c r="BM164" s="52"/>
      <c r="BN164" s="52"/>
    </row>
    <row r="165" spans="1:66">
      <c r="A165" s="1736"/>
      <c r="B165" s="327"/>
      <c r="C165" s="327"/>
      <c r="D165" s="327"/>
      <c r="E165" s="327"/>
      <c r="F165" s="327"/>
      <c r="G165" s="327"/>
      <c r="H165" s="327"/>
      <c r="I165" s="327"/>
      <c r="J165" s="327"/>
      <c r="K165" s="327"/>
      <c r="L165" s="327"/>
      <c r="M165" s="327"/>
      <c r="N165" s="327"/>
      <c r="O165" s="327"/>
      <c r="P165" s="327"/>
      <c r="Q165" s="958"/>
      <c r="R165" s="327"/>
      <c r="S165" s="327"/>
      <c r="T165" s="327"/>
      <c r="U165" s="327"/>
      <c r="V165" s="327"/>
      <c r="W165" s="327"/>
      <c r="X165" s="327"/>
      <c r="Y165" s="327"/>
      <c r="Z165" s="327"/>
      <c r="AA165" s="327"/>
      <c r="AB165" s="327"/>
      <c r="AC165" s="327"/>
      <c r="AD165" s="327"/>
      <c r="AE165" s="327"/>
      <c r="AF165" s="327"/>
      <c r="AG165" s="327"/>
      <c r="AH165" s="327"/>
      <c r="AI165" s="327"/>
      <c r="AJ165" s="327"/>
      <c r="AK165" s="890"/>
      <c r="AL165" s="327"/>
      <c r="AM165" s="327"/>
      <c r="AN165" s="327"/>
      <c r="AO165" s="327"/>
      <c r="AP165" s="327"/>
      <c r="AQ165" s="327"/>
      <c r="AR165" s="742"/>
      <c r="AS165" s="327"/>
      <c r="AT165" s="327"/>
      <c r="AU165" s="327"/>
      <c r="AV165" s="327"/>
      <c r="AW165" s="327"/>
      <c r="AX165" s="327"/>
      <c r="AY165" s="327"/>
      <c r="AZ165" s="327"/>
      <c r="BA165" s="327"/>
      <c r="BB165" s="54"/>
      <c r="BC165" s="52"/>
      <c r="BD165" s="52"/>
      <c r="BE165" s="52"/>
      <c r="BF165" s="52"/>
      <c r="BG165" s="52"/>
      <c r="BH165" s="52"/>
      <c r="BI165" s="52"/>
      <c r="BJ165" s="52"/>
      <c r="BK165" s="52"/>
      <c r="BL165" s="52"/>
      <c r="BM165" s="52"/>
      <c r="BN165" s="52"/>
    </row>
    <row r="166" spans="1:66">
      <c r="A166" s="1758" t="s">
        <v>220</v>
      </c>
      <c r="B166" s="377">
        <f t="shared" ref="B166:P166" si="147">B162+B164</f>
        <v>41.485000000000021</v>
      </c>
      <c r="C166" s="377">
        <f t="shared" si="147"/>
        <v>49.638999999999989</v>
      </c>
      <c r="D166" s="377">
        <f t="shared" si="147"/>
        <v>20.965000000000003</v>
      </c>
      <c r="E166" s="377">
        <f t="shared" si="147"/>
        <v>4.0559999999999974</v>
      </c>
      <c r="F166" s="377">
        <f t="shared" si="147"/>
        <v>-22.497999999999973</v>
      </c>
      <c r="G166" s="377">
        <f t="shared" si="147"/>
        <v>-43.661999999999992</v>
      </c>
      <c r="H166" s="377">
        <f t="shared" si="147"/>
        <v>-5.7320000000000064</v>
      </c>
      <c r="I166" s="377">
        <f t="shared" si="147"/>
        <v>9.0510000000000019</v>
      </c>
      <c r="J166" s="377">
        <f t="shared" si="147"/>
        <v>-28.457999999999998</v>
      </c>
      <c r="K166" s="377">
        <f t="shared" si="147"/>
        <v>-6.3580000000000041</v>
      </c>
      <c r="L166" s="377">
        <f t="shared" si="147"/>
        <v>38.409999999999997</v>
      </c>
      <c r="M166" s="377">
        <f t="shared" si="147"/>
        <v>37.078999999999979</v>
      </c>
      <c r="N166" s="377">
        <f t="shared" si="147"/>
        <v>-12.921000000000006</v>
      </c>
      <c r="O166" s="377">
        <f t="shared" si="147"/>
        <v>20.245999999999981</v>
      </c>
      <c r="P166" s="377">
        <f t="shared" si="147"/>
        <v>52.73399999999998</v>
      </c>
      <c r="Q166" s="1096">
        <v>69.087999999999994</v>
      </c>
      <c r="R166" s="377">
        <f t="shared" ref="R166:BA166" si="148">R162+R164</f>
        <v>46.227999999999966</v>
      </c>
      <c r="S166" s="377">
        <f t="shared" si="148"/>
        <v>64.955000000000013</v>
      </c>
      <c r="T166" s="377">
        <f t="shared" si="148"/>
        <v>96.789999999999978</v>
      </c>
      <c r="U166" s="377">
        <f t="shared" si="148"/>
        <v>27.79599999999995</v>
      </c>
      <c r="V166" s="377">
        <f t="shared" si="148"/>
        <v>60.84000000000006</v>
      </c>
      <c r="W166" s="377">
        <f t="shared" si="148"/>
        <v>97.908999999999992</v>
      </c>
      <c r="X166" s="377">
        <f t="shared" si="148"/>
        <v>82.528999999999996</v>
      </c>
      <c r="Y166" s="377">
        <f t="shared" si="148"/>
        <v>-10.269999999999968</v>
      </c>
      <c r="Z166" s="377">
        <f t="shared" si="148"/>
        <v>31.978999999999985</v>
      </c>
      <c r="AA166" s="377">
        <f t="shared" si="148"/>
        <v>95.196000000000026</v>
      </c>
      <c r="AB166" s="377">
        <f t="shared" si="148"/>
        <v>37.441000000000017</v>
      </c>
      <c r="AC166" s="377">
        <f t="shared" si="148"/>
        <v>34.193999999999974</v>
      </c>
      <c r="AD166" s="377">
        <f t="shared" si="148"/>
        <v>65.816000000000003</v>
      </c>
      <c r="AE166" s="377">
        <f t="shared" si="148"/>
        <v>115.28600000000004</v>
      </c>
      <c r="AF166" s="377">
        <f t="shared" si="148"/>
        <v>61.330000000000027</v>
      </c>
      <c r="AG166" s="377">
        <f t="shared" si="148"/>
        <v>60.486000000000004</v>
      </c>
      <c r="AH166" s="377">
        <f t="shared" si="148"/>
        <v>98.351000000000056</v>
      </c>
      <c r="AI166" s="377">
        <f t="shared" si="148"/>
        <v>180.22300000000001</v>
      </c>
      <c r="AJ166" s="377">
        <f t="shared" si="148"/>
        <v>114.67600000000004</v>
      </c>
      <c r="AK166" s="1375">
        <f t="shared" si="148"/>
        <v>108.25600000000011</v>
      </c>
      <c r="AL166" s="377">
        <f t="shared" si="148"/>
        <v>72.06</v>
      </c>
      <c r="AM166" s="377">
        <f t="shared" si="148"/>
        <v>132.89599999999996</v>
      </c>
      <c r="AN166" s="377">
        <f t="shared" si="148"/>
        <v>157.31200000000004</v>
      </c>
      <c r="AO166" s="377">
        <f t="shared" si="148"/>
        <v>149.82399999999998</v>
      </c>
      <c r="AP166" s="377">
        <f t="shared" si="148"/>
        <v>120.72399999999999</v>
      </c>
      <c r="AQ166" s="377">
        <f t="shared" si="148"/>
        <v>140.9850000000001</v>
      </c>
      <c r="AR166" s="2179">
        <v>134.12399999999991</v>
      </c>
      <c r="AS166" s="377">
        <f t="shared" si="148"/>
        <v>310.65300000000002</v>
      </c>
      <c r="AT166" s="377">
        <f t="shared" si="148"/>
        <v>200.49700000000001</v>
      </c>
      <c r="AU166" s="377">
        <f t="shared" si="148"/>
        <v>0</v>
      </c>
      <c r="AV166" s="377">
        <f t="shared" si="148"/>
        <v>0</v>
      </c>
      <c r="AW166" s="377">
        <f t="shared" si="148"/>
        <v>0</v>
      </c>
      <c r="AX166" s="377">
        <f t="shared" si="148"/>
        <v>0</v>
      </c>
      <c r="AY166" s="377">
        <f t="shared" si="148"/>
        <v>0</v>
      </c>
      <c r="AZ166" s="377">
        <f t="shared" si="148"/>
        <v>0</v>
      </c>
      <c r="BA166" s="377">
        <f t="shared" si="148"/>
        <v>0</v>
      </c>
      <c r="BB166" s="54"/>
      <c r="BC166" s="52"/>
      <c r="BD166" s="52"/>
      <c r="BE166" s="52"/>
      <c r="BF166" s="52"/>
      <c r="BG166" s="52"/>
      <c r="BH166" s="52"/>
      <c r="BI166" s="52"/>
      <c r="BJ166" s="52"/>
      <c r="BK166" s="52"/>
      <c r="BL166" s="52"/>
      <c r="BM166" s="52"/>
      <c r="BN166" s="52"/>
    </row>
    <row r="167" spans="1:66">
      <c r="A167" s="1736"/>
      <c r="B167" s="327"/>
      <c r="C167" s="327"/>
      <c r="D167" s="327"/>
      <c r="E167" s="327"/>
      <c r="F167" s="327"/>
      <c r="G167" s="327"/>
      <c r="H167" s="327"/>
      <c r="I167" s="327"/>
      <c r="J167" s="327"/>
      <c r="K167" s="327"/>
      <c r="L167" s="327"/>
      <c r="M167" s="327"/>
      <c r="N167" s="327"/>
      <c r="O167" s="327"/>
      <c r="P167" s="327"/>
      <c r="Q167" s="958"/>
      <c r="R167" s="327"/>
      <c r="S167" s="327"/>
      <c r="T167" s="327"/>
      <c r="U167" s="327"/>
      <c r="V167" s="327"/>
      <c r="W167" s="327"/>
      <c r="X167" s="327"/>
      <c r="Y167" s="327"/>
      <c r="Z167" s="327"/>
      <c r="AA167" s="327"/>
      <c r="AB167" s="327"/>
      <c r="AC167" s="327"/>
      <c r="AD167" s="327"/>
      <c r="AE167" s="327"/>
      <c r="AF167" s="327"/>
      <c r="AG167" s="327"/>
      <c r="AH167" s="327"/>
      <c r="AI167" s="327"/>
      <c r="AJ167" s="327"/>
      <c r="AK167" s="890"/>
      <c r="AL167" s="327"/>
      <c r="AM167" s="327"/>
      <c r="AN167" s="327"/>
      <c r="AO167" s="327"/>
      <c r="AP167" s="327"/>
      <c r="AQ167" s="327"/>
      <c r="AR167" s="742"/>
      <c r="AS167" s="327"/>
      <c r="AT167" s="327"/>
      <c r="AU167" s="327"/>
      <c r="AV167" s="327"/>
      <c r="AW167" s="327"/>
      <c r="AX167" s="327"/>
      <c r="AY167" s="327"/>
      <c r="AZ167" s="327"/>
      <c r="BA167" s="327"/>
      <c r="BB167" s="54"/>
      <c r="BC167" s="52"/>
      <c r="BD167" s="52"/>
      <c r="BE167" s="52"/>
      <c r="BF167" s="52"/>
      <c r="BG167" s="52"/>
      <c r="BH167" s="52"/>
      <c r="BI167" s="52"/>
      <c r="BJ167" s="52"/>
      <c r="BK167" s="52"/>
      <c r="BL167" s="52"/>
      <c r="BM167" s="52"/>
      <c r="BN167" s="52"/>
    </row>
    <row r="168" spans="1:66">
      <c r="A168" s="1736" t="s">
        <v>172</v>
      </c>
      <c r="B168" s="195">
        <f t="shared" ref="B168:AG168" si="149">+B169+B170+B171</f>
        <v>-7.4109999999999996</v>
      </c>
      <c r="C168" s="195">
        <f t="shared" si="149"/>
        <v>-4.171000000000002</v>
      </c>
      <c r="D168" s="195">
        <f t="shared" si="149"/>
        <v>-9.6280000000000001</v>
      </c>
      <c r="E168" s="195">
        <f t="shared" si="149"/>
        <v>-4.899</v>
      </c>
      <c r="F168" s="195">
        <f t="shared" si="149"/>
        <v>4.859</v>
      </c>
      <c r="G168" s="195">
        <f t="shared" si="149"/>
        <v>-4.623000000000002</v>
      </c>
      <c r="H168" s="195">
        <f t="shared" si="149"/>
        <v>-1.3359999999999994</v>
      </c>
      <c r="I168" s="195">
        <f t="shared" si="149"/>
        <v>-7.8480000000000008</v>
      </c>
      <c r="J168" s="195">
        <f t="shared" si="149"/>
        <v>-11.151</v>
      </c>
      <c r="K168" s="195">
        <f t="shared" si="149"/>
        <v>-58.7</v>
      </c>
      <c r="L168" s="195">
        <f t="shared" si="149"/>
        <v>-90.793000000000006</v>
      </c>
      <c r="M168" s="195">
        <f t="shared" si="149"/>
        <v>-11.845000000000002</v>
      </c>
      <c r="N168" s="195">
        <f t="shared" si="149"/>
        <v>57.105999999999995</v>
      </c>
      <c r="O168" s="195">
        <f t="shared" si="149"/>
        <v>12.990000000000006</v>
      </c>
      <c r="P168" s="195">
        <f t="shared" si="149"/>
        <v>-34.736000000000004</v>
      </c>
      <c r="Q168" s="680">
        <f t="shared" si="149"/>
        <v>-18.643000000000001</v>
      </c>
      <c r="R168" s="195">
        <f t="shared" si="149"/>
        <v>-18.956999999999997</v>
      </c>
      <c r="S168" s="195">
        <f t="shared" si="149"/>
        <v>-2.1389999999999993</v>
      </c>
      <c r="T168" s="195">
        <f t="shared" si="149"/>
        <v>-11.411</v>
      </c>
      <c r="U168" s="195">
        <f t="shared" si="149"/>
        <v>-6.1679999999999993</v>
      </c>
      <c r="V168" s="195">
        <f t="shared" si="149"/>
        <v>-9.14</v>
      </c>
      <c r="W168" s="195">
        <f t="shared" si="149"/>
        <v>-25.478999999999996</v>
      </c>
      <c r="X168" s="195">
        <f t="shared" si="149"/>
        <v>-16.436999999999998</v>
      </c>
      <c r="Y168" s="195">
        <f t="shared" si="149"/>
        <v>-13.748999999999999</v>
      </c>
      <c r="Z168" s="195">
        <f t="shared" si="149"/>
        <v>-29.029999999999998</v>
      </c>
      <c r="AA168" s="195">
        <f t="shared" si="149"/>
        <v>-23.323</v>
      </c>
      <c r="AB168" s="195">
        <f t="shared" si="149"/>
        <v>-33.836999999999996</v>
      </c>
      <c r="AC168" s="195">
        <f t="shared" si="149"/>
        <v>-14.460999999999999</v>
      </c>
      <c r="AD168" s="195">
        <f t="shared" si="149"/>
        <v>-16.747000000000003</v>
      </c>
      <c r="AE168" s="195">
        <f t="shared" si="149"/>
        <v>-27.649999999999995</v>
      </c>
      <c r="AF168" s="195">
        <f t="shared" si="149"/>
        <v>-22.089000000000002</v>
      </c>
      <c r="AG168" s="195">
        <f t="shared" si="149"/>
        <v>-40.711000000000006</v>
      </c>
      <c r="AH168" s="195">
        <f t="shared" ref="AH168:BA168" si="150">+AH169+AH170+AH171</f>
        <v>-26.470000000000002</v>
      </c>
      <c r="AI168" s="195">
        <f t="shared" si="150"/>
        <v>-40.310999999999993</v>
      </c>
      <c r="AJ168" s="195">
        <f t="shared" si="150"/>
        <v>-67.39200000000001</v>
      </c>
      <c r="AK168" s="1376">
        <f t="shared" si="150"/>
        <v>-46.948</v>
      </c>
      <c r="AL168" s="195">
        <f t="shared" si="150"/>
        <v>-58.569999999999993</v>
      </c>
      <c r="AM168" s="195">
        <f t="shared" si="150"/>
        <v>-119.414</v>
      </c>
      <c r="AN168" s="195">
        <f t="shared" si="150"/>
        <v>-76.103999999999999</v>
      </c>
      <c r="AO168" s="195">
        <f t="shared" si="150"/>
        <v>-66.143999999999991</v>
      </c>
      <c r="AP168" s="195">
        <f t="shared" si="150"/>
        <v>-74.171999999999997</v>
      </c>
      <c r="AQ168" s="195">
        <f t="shared" si="150"/>
        <v>-57.442999999999998</v>
      </c>
      <c r="AR168" s="195">
        <f t="shared" si="150"/>
        <v>-67.329000000000008</v>
      </c>
      <c r="AS168" s="195">
        <f t="shared" si="150"/>
        <v>-61.969999999999992</v>
      </c>
      <c r="AT168" s="195">
        <f t="shared" si="150"/>
        <v>-39.617999999999995</v>
      </c>
      <c r="AU168" s="474">
        <f t="shared" si="150"/>
        <v>0</v>
      </c>
      <c r="AV168" s="474">
        <f t="shared" si="150"/>
        <v>0</v>
      </c>
      <c r="AW168" s="474">
        <f t="shared" si="150"/>
        <v>0</v>
      </c>
      <c r="AX168" s="474">
        <f t="shared" si="150"/>
        <v>0</v>
      </c>
      <c r="AY168" s="474">
        <f t="shared" si="150"/>
        <v>0</v>
      </c>
      <c r="AZ168" s="474">
        <f t="shared" si="150"/>
        <v>0</v>
      </c>
      <c r="BA168" s="474">
        <f t="shared" si="150"/>
        <v>0</v>
      </c>
      <c r="BB168" s="54"/>
      <c r="BC168" s="52"/>
      <c r="BD168" s="52"/>
      <c r="BE168" s="52"/>
      <c r="BF168" s="52"/>
      <c r="BG168" s="52"/>
      <c r="BH168" s="52"/>
      <c r="BI168" s="52"/>
      <c r="BJ168" s="52"/>
      <c r="BK168" s="52"/>
      <c r="BL168" s="52"/>
      <c r="BM168" s="52"/>
      <c r="BN168" s="52"/>
    </row>
    <row r="169" spans="1:66">
      <c r="A169" s="1760" t="s">
        <v>173</v>
      </c>
      <c r="B169" s="484">
        <v>24.166</v>
      </c>
      <c r="C169" s="484">
        <v>17.184999999999999</v>
      </c>
      <c r="D169" s="484">
        <v>11.119</v>
      </c>
      <c r="E169" s="484">
        <v>15.977</v>
      </c>
      <c r="F169" s="484">
        <v>25.681000000000001</v>
      </c>
      <c r="G169" s="484">
        <v>16.376999999999999</v>
      </c>
      <c r="H169" s="484">
        <v>20.34</v>
      </c>
      <c r="I169" s="484">
        <v>16.279</v>
      </c>
      <c r="J169" s="484">
        <v>4.0519999999999996</v>
      </c>
      <c r="K169" s="484">
        <v>17.943999999999999</v>
      </c>
      <c r="L169" s="484">
        <v>13.459</v>
      </c>
      <c r="M169" s="195">
        <f>16.976</f>
        <v>16.975999999999999</v>
      </c>
      <c r="N169" s="195">
        <f>23.598</f>
        <v>23.597999999999999</v>
      </c>
      <c r="O169" s="195">
        <f>17.087</f>
        <v>17.087</v>
      </c>
      <c r="P169" s="195">
        <f>12.111</f>
        <v>12.111000000000001</v>
      </c>
      <c r="Q169" s="680">
        <v>51.832999999999998</v>
      </c>
      <c r="R169" s="484">
        <v>3.6720000000000002</v>
      </c>
      <c r="S169" s="195">
        <f>7.715</f>
        <v>7.7149999999999999</v>
      </c>
      <c r="T169" s="195">
        <f>11.03</f>
        <v>11.03</v>
      </c>
      <c r="U169" s="195">
        <f>17.05</f>
        <v>17.05</v>
      </c>
      <c r="V169" s="195">
        <f>13.35</f>
        <v>13.35</v>
      </c>
      <c r="W169" s="484">
        <v>27.103000000000002</v>
      </c>
      <c r="X169" s="484">
        <v>18.166</v>
      </c>
      <c r="Y169" s="195">
        <f>17.073</f>
        <v>17.073</v>
      </c>
      <c r="Z169" s="484">
        <v>25.135000000000002</v>
      </c>
      <c r="AA169" s="485">
        <v>29.582999999999998</v>
      </c>
      <c r="AB169" s="485">
        <v>28.16</v>
      </c>
      <c r="AC169" s="485">
        <v>8.4049999999999994</v>
      </c>
      <c r="AD169" s="327">
        <f>9.584</f>
        <v>9.5839999999999996</v>
      </c>
      <c r="AE169" s="485">
        <v>9.0239999999999991</v>
      </c>
      <c r="AF169" s="485">
        <v>10.170999999999999</v>
      </c>
      <c r="AG169" s="485">
        <v>14.984999999999999</v>
      </c>
      <c r="AH169" s="485">
        <v>16.126999999999999</v>
      </c>
      <c r="AI169" s="485">
        <v>26.972000000000001</v>
      </c>
      <c r="AJ169" s="485">
        <v>26.643000000000001</v>
      </c>
      <c r="AK169" s="822">
        <v>27.803999999999998</v>
      </c>
      <c r="AL169" s="485">
        <v>36.47</v>
      </c>
      <c r="AM169" s="485">
        <v>26.434000000000001</v>
      </c>
      <c r="AN169" s="485">
        <v>27.085999999999999</v>
      </c>
      <c r="AO169" s="485">
        <v>30.234999999999999</v>
      </c>
      <c r="AP169" s="485">
        <v>36.89</v>
      </c>
      <c r="AQ169" s="485">
        <v>33.872999999999998</v>
      </c>
      <c r="AR169" s="819">
        <v>30.809000000000001</v>
      </c>
      <c r="AS169" s="819">
        <v>30.981000000000002</v>
      </c>
      <c r="AT169" s="819">
        <v>44.817</v>
      </c>
      <c r="AU169" s="327"/>
      <c r="AV169" s="327"/>
      <c r="AW169" s="327"/>
      <c r="AX169" s="327"/>
      <c r="AY169" s="327"/>
      <c r="AZ169" s="327"/>
      <c r="BA169" s="327"/>
      <c r="BB169" s="54"/>
      <c r="BC169" s="52"/>
      <c r="BD169" s="52"/>
      <c r="BE169" s="52"/>
      <c r="BF169" s="52"/>
      <c r="BG169" s="52"/>
      <c r="BH169" s="52"/>
      <c r="BI169" s="52"/>
      <c r="BJ169" s="52"/>
      <c r="BK169" s="52"/>
      <c r="BL169" s="52"/>
      <c r="BM169" s="52"/>
      <c r="BN169" s="52"/>
    </row>
    <row r="170" spans="1:66">
      <c r="A170" s="1760" t="s">
        <v>174</v>
      </c>
      <c r="B170" s="484">
        <f>-29.288</f>
        <v>-29.288</v>
      </c>
      <c r="C170" s="484">
        <f>-21.326</f>
        <v>-21.326000000000001</v>
      </c>
      <c r="D170" s="484">
        <f>-20.212</f>
        <v>-20.212</v>
      </c>
      <c r="E170" s="484">
        <f>-20.288</f>
        <v>-20.288</v>
      </c>
      <c r="F170" s="484">
        <f>-21.295</f>
        <v>-21.295000000000002</v>
      </c>
      <c r="G170" s="484">
        <f>-20.623</f>
        <v>-20.623000000000001</v>
      </c>
      <c r="H170" s="484">
        <f>-21.886</f>
        <v>-21.885999999999999</v>
      </c>
      <c r="I170" s="484">
        <v>-24.28</v>
      </c>
      <c r="J170" s="484">
        <f>-16.494</f>
        <v>-16.494</v>
      </c>
      <c r="K170" s="484">
        <f>-49.43</f>
        <v>-49.43</v>
      </c>
      <c r="L170" s="484">
        <f>-56.776</f>
        <v>-56.776000000000003</v>
      </c>
      <c r="M170" s="484">
        <f>-32.048</f>
        <v>-32.048000000000002</v>
      </c>
      <c r="N170" s="484">
        <f>-20.453</f>
        <v>-20.452999999999999</v>
      </c>
      <c r="O170" s="484">
        <f>-36.242</f>
        <v>-36.241999999999997</v>
      </c>
      <c r="P170" s="484">
        <f>-53.325-9.579</f>
        <v>-62.904000000000003</v>
      </c>
      <c r="Q170" s="680">
        <v>-61.189</v>
      </c>
      <c r="R170" s="484">
        <f>-19.842</f>
        <v>-19.841999999999999</v>
      </c>
      <c r="S170" s="484">
        <f>-30.963</f>
        <v>-30.963000000000001</v>
      </c>
      <c r="T170" s="484">
        <v>-26.02</v>
      </c>
      <c r="U170" s="484">
        <v>-24.782</v>
      </c>
      <c r="V170" s="484">
        <v>-24.064</v>
      </c>
      <c r="W170" s="484">
        <f>-39.553</f>
        <v>-39.552999999999997</v>
      </c>
      <c r="X170" s="484">
        <f>-21.98</f>
        <v>-21.98</v>
      </c>
      <c r="Y170" s="484">
        <f>-32.577</f>
        <v>-32.576999999999998</v>
      </c>
      <c r="Z170" s="484">
        <f>-36.927</f>
        <v>-36.927</v>
      </c>
      <c r="AA170" s="485">
        <f>-50.608</f>
        <v>-50.607999999999997</v>
      </c>
      <c r="AB170" s="485">
        <f>-59.788</f>
        <v>-59.787999999999997</v>
      </c>
      <c r="AC170" s="485">
        <f>-28.842</f>
        <v>-28.841999999999999</v>
      </c>
      <c r="AD170" s="485">
        <f>-36.819</f>
        <v>-36.819000000000003</v>
      </c>
      <c r="AE170" s="485">
        <v>-39.802999999999997</v>
      </c>
      <c r="AF170" s="485">
        <v>-39.734000000000002</v>
      </c>
      <c r="AG170" s="485">
        <v>-42.094000000000001</v>
      </c>
      <c r="AH170" s="485">
        <v>-41.64</v>
      </c>
      <c r="AI170" s="485">
        <v>-73.721999999999994</v>
      </c>
      <c r="AJ170" s="485">
        <v>-78.248000000000005</v>
      </c>
      <c r="AK170" s="822">
        <v>-72.495000000000005</v>
      </c>
      <c r="AL170" s="485">
        <v>-75.272999999999996</v>
      </c>
      <c r="AM170" s="485">
        <v>-72.352999999999994</v>
      </c>
      <c r="AN170" s="485">
        <v>-85.32</v>
      </c>
      <c r="AO170" s="485">
        <v>-78.325999999999993</v>
      </c>
      <c r="AP170" s="485">
        <v>-76.846999999999994</v>
      </c>
      <c r="AQ170" s="485">
        <v>-86.971999999999994</v>
      </c>
      <c r="AR170" s="819">
        <v>-91.927000000000007</v>
      </c>
      <c r="AS170" s="819">
        <v>-87.822999999999993</v>
      </c>
      <c r="AT170" s="819">
        <v>-95.293999999999997</v>
      </c>
      <c r="AU170" s="327"/>
      <c r="AV170" s="327"/>
      <c r="AW170" s="327"/>
      <c r="AX170" s="327"/>
      <c r="AY170" s="327"/>
      <c r="AZ170" s="327"/>
      <c r="BA170" s="327"/>
      <c r="BB170" s="54"/>
      <c r="BC170" s="52"/>
      <c r="BD170" s="52"/>
      <c r="BE170" s="52"/>
      <c r="BF170" s="52"/>
      <c r="BG170" s="52"/>
      <c r="BH170" s="52"/>
      <c r="BI170" s="52"/>
      <c r="BJ170" s="52"/>
      <c r="BK170" s="52"/>
      <c r="BL170" s="52"/>
      <c r="BM170" s="52"/>
      <c r="BN170" s="52"/>
    </row>
    <row r="171" spans="1:66">
      <c r="A171" s="1760" t="s">
        <v>808</v>
      </c>
      <c r="B171" s="484">
        <f>12.516-14.805</f>
        <v>-2.2889999999999997</v>
      </c>
      <c r="C171" s="484">
        <f>2.206-2.236</f>
        <v>-3.0000000000000249E-2</v>
      </c>
      <c r="D171" s="484">
        <f>1.536-2.071</f>
        <v>-0.53500000000000014</v>
      </c>
      <c r="E171" s="484">
        <f>1.869-2.457</f>
        <v>-0.58799999999999986</v>
      </c>
      <c r="F171" s="484">
        <f>2.511-2.038</f>
        <v>0.47300000000000031</v>
      </c>
      <c r="G171" s="484">
        <f>4.651-5.028</f>
        <v>-0.37699999999999978</v>
      </c>
      <c r="H171" s="484">
        <f>0.998-0.788</f>
        <v>0.20999999999999996</v>
      </c>
      <c r="I171" s="485">
        <f>1.214-1.061</f>
        <v>0.15300000000000002</v>
      </c>
      <c r="J171" s="484">
        <f>1.951-0.66</f>
        <v>1.2909999999999999</v>
      </c>
      <c r="K171" s="484">
        <f>6.095-33.309</f>
        <v>-27.213999999999999</v>
      </c>
      <c r="L171" s="484">
        <f>17.28-64.756</f>
        <v>-47.475999999999999</v>
      </c>
      <c r="M171" s="484">
        <v>3.2269999999999999</v>
      </c>
      <c r="N171" s="485">
        <v>53.960999999999999</v>
      </c>
      <c r="O171" s="485">
        <v>32.145000000000003</v>
      </c>
      <c r="P171" s="485">
        <v>16.056999999999999</v>
      </c>
      <c r="Q171" s="680">
        <v>-9.2870000000000008</v>
      </c>
      <c r="R171" s="484">
        <v>-2.7869999999999999</v>
      </c>
      <c r="S171" s="485">
        <v>21.109000000000002</v>
      </c>
      <c r="T171" s="485">
        <v>3.5790000000000002</v>
      </c>
      <c r="U171" s="485">
        <v>1.5640000000000001</v>
      </c>
      <c r="V171" s="485">
        <v>1.5740000000000001</v>
      </c>
      <c r="W171" s="485">
        <v>-13.029</v>
      </c>
      <c r="X171" s="485">
        <v>-12.622999999999999</v>
      </c>
      <c r="Y171" s="485">
        <v>1.7549999999999999</v>
      </c>
      <c r="Z171" s="485">
        <f>-17.238</f>
        <v>-17.238</v>
      </c>
      <c r="AA171" s="485">
        <f>-2.298</f>
        <v>-2.298</v>
      </c>
      <c r="AB171" s="485">
        <v>-2.2090000000000001</v>
      </c>
      <c r="AC171" s="485">
        <f>2.526+3.45</f>
        <v>5.976</v>
      </c>
      <c r="AD171" s="485">
        <f>16.378-5.89</f>
        <v>10.488</v>
      </c>
      <c r="AE171" s="485">
        <f>2.306+0.823</f>
        <v>3.129</v>
      </c>
      <c r="AF171" s="485">
        <f>5.15+2.324</f>
        <v>7.4740000000000002</v>
      </c>
      <c r="AG171" s="485">
        <f>3.187-16.789</f>
        <v>-13.602000000000002</v>
      </c>
      <c r="AH171" s="485">
        <f>1.877-2.834</f>
        <v>-0.95700000000000007</v>
      </c>
      <c r="AI171" s="485">
        <f>-6.125+12.564</f>
        <v>6.4390000000000001</v>
      </c>
      <c r="AJ171" s="485">
        <f>-24.236+8.449</f>
        <v>-15.787000000000001</v>
      </c>
      <c r="AK171" s="822">
        <f>5.082-7.339</f>
        <v>-2.2570000000000006</v>
      </c>
      <c r="AL171" s="485">
        <v>-19.766999999999999</v>
      </c>
      <c r="AM171" s="485">
        <f>-121.985+48.49</f>
        <v>-73.495000000000005</v>
      </c>
      <c r="AN171" s="485">
        <f>4.416-22.286</f>
        <v>-17.87</v>
      </c>
      <c r="AO171" s="485">
        <f>30.407-48.46</f>
        <v>-18.053000000000001</v>
      </c>
      <c r="AP171" s="485">
        <f>16.452-50.667</f>
        <v>-34.215000000000003</v>
      </c>
      <c r="AQ171" s="485">
        <f>-5.233+0.889</f>
        <v>-4.3439999999999994</v>
      </c>
      <c r="AR171" s="819">
        <v>-6.2110000000000003</v>
      </c>
      <c r="AS171" s="819">
        <f>5.36-10.488</f>
        <v>-5.1279999999999992</v>
      </c>
      <c r="AT171" s="819">
        <f>2.519+8.34</f>
        <v>10.859</v>
      </c>
      <c r="AU171" s="327"/>
      <c r="AV171" s="327"/>
      <c r="AW171" s="327"/>
      <c r="AX171" s="327"/>
      <c r="AY171" s="327"/>
      <c r="AZ171" s="327"/>
      <c r="BA171" s="327"/>
      <c r="BB171" s="54"/>
      <c r="BC171" s="52"/>
      <c r="BD171" s="52"/>
      <c r="BE171" s="52"/>
      <c r="BF171" s="52"/>
      <c r="BG171" s="52"/>
      <c r="BH171" s="52"/>
      <c r="BI171" s="52"/>
      <c r="BJ171" s="52"/>
      <c r="BK171" s="52"/>
      <c r="BL171" s="52"/>
      <c r="BM171" s="52"/>
      <c r="BN171" s="52"/>
    </row>
    <row r="172" spans="1:66">
      <c r="A172" s="1736"/>
      <c r="B172" s="327"/>
      <c r="C172" s="327"/>
      <c r="D172" s="327"/>
      <c r="E172" s="327"/>
      <c r="F172" s="327"/>
      <c r="G172" s="327"/>
      <c r="H172" s="327"/>
      <c r="I172" s="327"/>
      <c r="J172" s="327"/>
      <c r="K172" s="327"/>
      <c r="L172" s="327"/>
      <c r="M172" s="327"/>
      <c r="N172" s="327"/>
      <c r="O172" s="327"/>
      <c r="P172" s="327"/>
      <c r="Q172" s="958"/>
      <c r="R172" s="327"/>
      <c r="S172" s="327"/>
      <c r="T172" s="327"/>
      <c r="U172" s="327"/>
      <c r="V172" s="327"/>
      <c r="W172" s="327"/>
      <c r="X172" s="327"/>
      <c r="Y172" s="327"/>
      <c r="Z172" s="327"/>
      <c r="AA172" s="327"/>
      <c r="AB172" s="327"/>
      <c r="AC172" s="327"/>
      <c r="AD172" s="327"/>
      <c r="AE172" s="327"/>
      <c r="AF172" s="327"/>
      <c r="AG172" s="327"/>
      <c r="AH172" s="327"/>
      <c r="AI172" s="327"/>
      <c r="AJ172" s="327"/>
      <c r="AK172" s="890"/>
      <c r="AL172" s="327"/>
      <c r="AM172" s="327"/>
      <c r="AN172" s="327"/>
      <c r="AO172" s="327"/>
      <c r="AP172" s="327"/>
      <c r="AQ172" s="327"/>
      <c r="AR172" s="742"/>
      <c r="AS172" s="742"/>
      <c r="AT172" s="742"/>
      <c r="AU172" s="327"/>
      <c r="AV172" s="327"/>
      <c r="AW172" s="327"/>
      <c r="AX172" s="327"/>
      <c r="AY172" s="327"/>
      <c r="AZ172" s="327"/>
      <c r="BA172" s="327"/>
      <c r="BB172" s="54"/>
      <c r="BC172" s="52"/>
      <c r="BD172" s="52"/>
      <c r="BE172" s="52"/>
      <c r="BF172" s="52"/>
      <c r="BG172" s="52"/>
      <c r="BH172" s="52"/>
      <c r="BI172" s="52"/>
      <c r="BJ172" s="52"/>
      <c r="BK172" s="52"/>
      <c r="BL172" s="52"/>
      <c r="BM172" s="52"/>
      <c r="BN172" s="52"/>
    </row>
    <row r="173" spans="1:66">
      <c r="A173" s="1736" t="s">
        <v>83</v>
      </c>
      <c r="B173" s="680">
        <f t="shared" ref="B173:G173" si="151">SUM(B174:B175)</f>
        <v>-2.5390000000000001</v>
      </c>
      <c r="C173" s="680">
        <f t="shared" si="151"/>
        <v>1.0740000000000001</v>
      </c>
      <c r="D173" s="680">
        <f t="shared" si="151"/>
        <v>11.324999999999999</v>
      </c>
      <c r="E173" s="680">
        <f t="shared" si="151"/>
        <v>0.92700000000000005</v>
      </c>
      <c r="F173" s="680">
        <f t="shared" si="151"/>
        <v>0.41799999999999998</v>
      </c>
      <c r="G173" s="680">
        <f t="shared" si="151"/>
        <v>0.1</v>
      </c>
      <c r="H173" s="195"/>
      <c r="I173" s="195"/>
      <c r="J173" s="195"/>
      <c r="K173" s="195"/>
      <c r="L173" s="484">
        <v>0</v>
      </c>
      <c r="M173" s="195">
        <f t="shared" ref="M173:BA173" si="152">SUM(M174:M175)</f>
        <v>0</v>
      </c>
      <c r="N173" s="195">
        <f t="shared" si="152"/>
        <v>0</v>
      </c>
      <c r="O173" s="195">
        <f t="shared" si="152"/>
        <v>0</v>
      </c>
      <c r="P173" s="195">
        <f t="shared" si="152"/>
        <v>0</v>
      </c>
      <c r="Q173" s="680">
        <f t="shared" si="152"/>
        <v>0</v>
      </c>
      <c r="R173" s="195">
        <f t="shared" si="152"/>
        <v>0</v>
      </c>
      <c r="S173" s="195">
        <f t="shared" si="152"/>
        <v>0</v>
      </c>
      <c r="T173" s="195">
        <f t="shared" si="152"/>
        <v>0</v>
      </c>
      <c r="U173" s="195">
        <f t="shared" si="152"/>
        <v>0</v>
      </c>
      <c r="V173" s="195">
        <f t="shared" si="152"/>
        <v>0</v>
      </c>
      <c r="W173" s="195">
        <f t="shared" si="152"/>
        <v>0</v>
      </c>
      <c r="X173" s="195">
        <f t="shared" si="152"/>
        <v>0</v>
      </c>
      <c r="Y173" s="195">
        <f t="shared" si="152"/>
        <v>0</v>
      </c>
      <c r="Z173" s="195">
        <f t="shared" si="152"/>
        <v>0</v>
      </c>
      <c r="AA173" s="195">
        <f t="shared" si="152"/>
        <v>0</v>
      </c>
      <c r="AB173" s="195">
        <f t="shared" si="152"/>
        <v>0</v>
      </c>
      <c r="AC173" s="195">
        <f t="shared" si="152"/>
        <v>0</v>
      </c>
      <c r="AD173" s="195">
        <f t="shared" si="152"/>
        <v>0</v>
      </c>
      <c r="AE173" s="195">
        <f t="shared" si="152"/>
        <v>0</v>
      </c>
      <c r="AF173" s="195">
        <f t="shared" si="152"/>
        <v>0</v>
      </c>
      <c r="AG173" s="195">
        <f t="shared" si="152"/>
        <v>0</v>
      </c>
      <c r="AH173" s="195">
        <f t="shared" si="152"/>
        <v>0</v>
      </c>
      <c r="AI173" s="195">
        <f t="shared" si="152"/>
        <v>0</v>
      </c>
      <c r="AJ173" s="195">
        <f t="shared" si="152"/>
        <v>0</v>
      </c>
      <c r="AK173" s="1376">
        <f t="shared" si="152"/>
        <v>0</v>
      </c>
      <c r="AL173" s="195">
        <f t="shared" si="152"/>
        <v>0</v>
      </c>
      <c r="AM173" s="195">
        <f t="shared" si="152"/>
        <v>0</v>
      </c>
      <c r="AN173" s="195">
        <f t="shared" si="152"/>
        <v>0</v>
      </c>
      <c r="AO173" s="195">
        <f t="shared" si="152"/>
        <v>0</v>
      </c>
      <c r="AP173" s="195">
        <f t="shared" si="152"/>
        <v>0</v>
      </c>
      <c r="AQ173" s="195">
        <f t="shared" si="152"/>
        <v>0</v>
      </c>
      <c r="AR173" s="2180">
        <v>0</v>
      </c>
      <c r="AS173" s="2180">
        <f t="shared" si="152"/>
        <v>0</v>
      </c>
      <c r="AT173" s="2180">
        <f t="shared" si="152"/>
        <v>0</v>
      </c>
      <c r="AU173" s="195">
        <f t="shared" si="152"/>
        <v>0</v>
      </c>
      <c r="AV173" s="195">
        <f t="shared" si="152"/>
        <v>0</v>
      </c>
      <c r="AW173" s="195">
        <f t="shared" si="152"/>
        <v>0</v>
      </c>
      <c r="AX173" s="195">
        <f t="shared" si="152"/>
        <v>0</v>
      </c>
      <c r="AY173" s="195">
        <f t="shared" si="152"/>
        <v>0</v>
      </c>
      <c r="AZ173" s="195">
        <f t="shared" si="152"/>
        <v>0</v>
      </c>
      <c r="BA173" s="195">
        <f t="shared" si="152"/>
        <v>0</v>
      </c>
      <c r="BB173" s="54"/>
      <c r="BC173" s="52"/>
      <c r="BD173" s="52"/>
      <c r="BE173" s="52"/>
      <c r="BF173" s="52"/>
      <c r="BG173" s="52"/>
      <c r="BH173" s="52"/>
      <c r="BI173" s="52"/>
      <c r="BJ173" s="52"/>
      <c r="BK173" s="52"/>
      <c r="BL173" s="52"/>
      <c r="BM173" s="52"/>
      <c r="BN173" s="52"/>
    </row>
    <row r="174" spans="1:66">
      <c r="A174" s="1757" t="s">
        <v>295</v>
      </c>
      <c r="B174" s="484">
        <v>-2.5390000000000001</v>
      </c>
      <c r="C174" s="484">
        <v>1.0740000000000001</v>
      </c>
      <c r="D174" s="484">
        <v>11.324999999999999</v>
      </c>
      <c r="E174" s="484">
        <v>0.92700000000000005</v>
      </c>
      <c r="F174" s="484">
        <v>0.41799999999999998</v>
      </c>
      <c r="G174" s="484">
        <v>0.1</v>
      </c>
      <c r="H174" s="327"/>
      <c r="I174" s="327"/>
      <c r="J174" s="327"/>
      <c r="K174" s="327"/>
      <c r="L174" s="327"/>
      <c r="M174" s="327"/>
      <c r="N174" s="327"/>
      <c r="O174" s="327"/>
      <c r="P174" s="327"/>
      <c r="Q174" s="958"/>
      <c r="R174" s="327"/>
      <c r="S174" s="327"/>
      <c r="T174" s="327"/>
      <c r="U174" s="327"/>
      <c r="V174" s="327"/>
      <c r="W174" s="327"/>
      <c r="X174" s="327"/>
      <c r="Y174" s="327"/>
      <c r="Z174" s="327"/>
      <c r="AA174" s="327"/>
      <c r="AB174" s="327"/>
      <c r="AC174" s="327"/>
      <c r="AD174" s="327"/>
      <c r="AE174" s="327"/>
      <c r="AF174" s="327"/>
      <c r="AG174" s="327"/>
      <c r="AH174" s="327"/>
      <c r="AI174" s="327"/>
      <c r="AJ174" s="327"/>
      <c r="AK174" s="890"/>
      <c r="AL174" s="327"/>
      <c r="AM174" s="327"/>
      <c r="AN174" s="327"/>
      <c r="AO174" s="327"/>
      <c r="AP174" s="327"/>
      <c r="AQ174" s="327"/>
      <c r="AR174" s="742"/>
      <c r="AS174" s="742"/>
      <c r="AT174" s="742"/>
      <c r="AU174" s="327"/>
      <c r="AV174" s="327"/>
      <c r="AW174" s="327"/>
      <c r="AX174" s="327"/>
      <c r="AY174" s="327"/>
      <c r="AZ174" s="327"/>
      <c r="BA174" s="327"/>
      <c r="BB174" s="54"/>
      <c r="BC174" s="52"/>
      <c r="BD174" s="52"/>
      <c r="BE174" s="52"/>
      <c r="BF174" s="52"/>
      <c r="BG174" s="52"/>
      <c r="BH174" s="52"/>
      <c r="BI174" s="52"/>
      <c r="BJ174" s="52"/>
      <c r="BK174" s="52"/>
      <c r="BL174" s="52"/>
      <c r="BM174" s="52"/>
      <c r="BN174" s="52"/>
    </row>
    <row r="175" spans="1:66">
      <c r="A175" s="1757" t="s">
        <v>176</v>
      </c>
      <c r="B175" s="851">
        <v>0</v>
      </c>
      <c r="C175" s="851">
        <v>0</v>
      </c>
      <c r="D175" s="851">
        <v>0</v>
      </c>
      <c r="E175" s="851">
        <v>0</v>
      </c>
      <c r="F175" s="851">
        <v>0</v>
      </c>
      <c r="G175" s="851">
        <v>0</v>
      </c>
      <c r="H175" s="327"/>
      <c r="I175" s="327"/>
      <c r="J175" s="327"/>
      <c r="K175" s="327"/>
      <c r="L175" s="327"/>
      <c r="M175" s="327"/>
      <c r="N175" s="327"/>
      <c r="O175" s="327"/>
      <c r="P175" s="327"/>
      <c r="Q175" s="958"/>
      <c r="R175" s="327"/>
      <c r="S175" s="327"/>
      <c r="T175" s="327"/>
      <c r="U175" s="327"/>
      <c r="V175" s="327"/>
      <c r="W175" s="327"/>
      <c r="X175" s="327"/>
      <c r="Y175" s="327"/>
      <c r="Z175" s="327"/>
      <c r="AA175" s="327"/>
      <c r="AB175" s="327"/>
      <c r="AC175" s="327"/>
      <c r="AD175" s="327"/>
      <c r="AE175" s="327"/>
      <c r="AF175" s="327"/>
      <c r="AG175" s="327"/>
      <c r="AH175" s="327"/>
      <c r="AI175" s="327"/>
      <c r="AJ175" s="327"/>
      <c r="AK175" s="890"/>
      <c r="AL175" s="327"/>
      <c r="AM175" s="327"/>
      <c r="AN175" s="327"/>
      <c r="AO175" s="327"/>
      <c r="AP175" s="327"/>
      <c r="AQ175" s="327"/>
      <c r="AR175" s="742"/>
      <c r="AS175" s="742"/>
      <c r="AT175" s="742"/>
      <c r="AU175" s="327"/>
      <c r="AV175" s="327"/>
      <c r="AW175" s="327"/>
      <c r="AX175" s="327"/>
      <c r="AY175" s="327"/>
      <c r="AZ175" s="327"/>
      <c r="BA175" s="327"/>
      <c r="BB175" s="54"/>
      <c r="BC175" s="52"/>
      <c r="BD175" s="52"/>
      <c r="BE175" s="52"/>
      <c r="BF175" s="52"/>
      <c r="BG175" s="52"/>
      <c r="BH175" s="52"/>
      <c r="BI175" s="52"/>
      <c r="BJ175" s="52"/>
      <c r="BK175" s="52"/>
      <c r="BL175" s="52"/>
      <c r="BM175" s="52"/>
      <c r="BN175" s="52"/>
    </row>
    <row r="176" spans="1:66">
      <c r="A176" s="1751" t="s">
        <v>400</v>
      </c>
      <c r="B176" s="425">
        <f t="shared" ref="B176:AG176" si="153">B166+B168+B173</f>
        <v>31.535000000000018</v>
      </c>
      <c r="C176" s="425">
        <f t="shared" si="153"/>
        <v>46.541999999999987</v>
      </c>
      <c r="D176" s="425">
        <f t="shared" si="153"/>
        <v>22.662000000000003</v>
      </c>
      <c r="E176" s="425">
        <f t="shared" si="153"/>
        <v>8.399999999999741E-2</v>
      </c>
      <c r="F176" s="425">
        <f t="shared" si="153"/>
        <v>-17.220999999999975</v>
      </c>
      <c r="G176" s="425">
        <f t="shared" si="153"/>
        <v>-48.184999999999995</v>
      </c>
      <c r="H176" s="425">
        <f t="shared" si="153"/>
        <v>-7.0680000000000058</v>
      </c>
      <c r="I176" s="425">
        <f t="shared" si="153"/>
        <v>1.2030000000000012</v>
      </c>
      <c r="J176" s="425">
        <f t="shared" si="153"/>
        <v>-39.608999999999995</v>
      </c>
      <c r="K176" s="425">
        <f t="shared" si="153"/>
        <v>-65.058000000000007</v>
      </c>
      <c r="L176" s="425">
        <f t="shared" si="153"/>
        <v>-52.38300000000001</v>
      </c>
      <c r="M176" s="425">
        <f t="shared" si="153"/>
        <v>25.233999999999977</v>
      </c>
      <c r="N176" s="425">
        <f t="shared" si="153"/>
        <v>44.184999999999988</v>
      </c>
      <c r="O176" s="425">
        <f t="shared" si="153"/>
        <v>33.23599999999999</v>
      </c>
      <c r="P176" s="425">
        <f t="shared" si="153"/>
        <v>17.997999999999976</v>
      </c>
      <c r="Q176" s="1066">
        <f t="shared" si="153"/>
        <v>50.444999999999993</v>
      </c>
      <c r="R176" s="425">
        <f t="shared" si="153"/>
        <v>27.270999999999969</v>
      </c>
      <c r="S176" s="425">
        <f t="shared" si="153"/>
        <v>62.816000000000017</v>
      </c>
      <c r="T176" s="425">
        <f t="shared" si="153"/>
        <v>85.378999999999976</v>
      </c>
      <c r="U176" s="425">
        <f t="shared" si="153"/>
        <v>21.62799999999995</v>
      </c>
      <c r="V176" s="425">
        <f t="shared" si="153"/>
        <v>51.70000000000006</v>
      </c>
      <c r="W176" s="425">
        <f t="shared" si="153"/>
        <v>72.429999999999993</v>
      </c>
      <c r="X176" s="425">
        <f t="shared" si="153"/>
        <v>66.091999999999999</v>
      </c>
      <c r="Y176" s="425">
        <f t="shared" si="153"/>
        <v>-24.018999999999966</v>
      </c>
      <c r="Z176" s="425">
        <f t="shared" si="153"/>
        <v>2.9489999999999874</v>
      </c>
      <c r="AA176" s="425">
        <f t="shared" si="153"/>
        <v>71.873000000000019</v>
      </c>
      <c r="AB176" s="425">
        <f t="shared" si="153"/>
        <v>3.6040000000000205</v>
      </c>
      <c r="AC176" s="425">
        <f t="shared" si="153"/>
        <v>19.732999999999976</v>
      </c>
      <c r="AD176" s="425">
        <f t="shared" si="153"/>
        <v>49.069000000000003</v>
      </c>
      <c r="AE176" s="425">
        <f t="shared" si="153"/>
        <v>87.636000000000053</v>
      </c>
      <c r="AF176" s="425">
        <f t="shared" si="153"/>
        <v>39.241000000000028</v>
      </c>
      <c r="AG176" s="425">
        <f t="shared" si="153"/>
        <v>19.774999999999999</v>
      </c>
      <c r="AH176" s="1431">
        <f t="shared" ref="AH176:BA176" si="154">AH166+AH168+AH173</f>
        <v>71.881000000000057</v>
      </c>
      <c r="AI176" s="425">
        <f t="shared" si="154"/>
        <v>139.91200000000003</v>
      </c>
      <c r="AJ176" s="425">
        <f t="shared" si="154"/>
        <v>47.284000000000034</v>
      </c>
      <c r="AK176" s="1377">
        <f t="shared" si="154"/>
        <v>61.308000000000114</v>
      </c>
      <c r="AL176" s="425">
        <f t="shared" si="154"/>
        <v>13.490000000000009</v>
      </c>
      <c r="AM176" s="425">
        <f t="shared" si="154"/>
        <v>13.481999999999957</v>
      </c>
      <c r="AN176" s="425">
        <f t="shared" si="154"/>
        <v>81.208000000000041</v>
      </c>
      <c r="AO176" s="425">
        <f t="shared" si="154"/>
        <v>83.679999999999993</v>
      </c>
      <c r="AP176" s="425">
        <f t="shared" si="154"/>
        <v>46.551999999999992</v>
      </c>
      <c r="AQ176" s="425">
        <f t="shared" si="154"/>
        <v>83.542000000000101</v>
      </c>
      <c r="AR176" s="862">
        <v>66.794999999999902</v>
      </c>
      <c r="AS176" s="862">
        <f t="shared" si="154"/>
        <v>248.68300000000002</v>
      </c>
      <c r="AT176" s="862">
        <f t="shared" si="154"/>
        <v>160.87900000000002</v>
      </c>
      <c r="AU176" s="425">
        <f t="shared" si="154"/>
        <v>0</v>
      </c>
      <c r="AV176" s="425">
        <f t="shared" si="154"/>
        <v>0</v>
      </c>
      <c r="AW176" s="425">
        <f t="shared" si="154"/>
        <v>0</v>
      </c>
      <c r="AX176" s="425">
        <f t="shared" si="154"/>
        <v>0</v>
      </c>
      <c r="AY176" s="425">
        <f t="shared" si="154"/>
        <v>0</v>
      </c>
      <c r="AZ176" s="425">
        <f t="shared" si="154"/>
        <v>0</v>
      </c>
      <c r="BA176" s="425">
        <f t="shared" si="154"/>
        <v>0</v>
      </c>
      <c r="BB176" s="54"/>
      <c r="BC176" s="52"/>
      <c r="BD176" s="52"/>
      <c r="BE176" s="52"/>
      <c r="BF176" s="52"/>
      <c r="BG176" s="52"/>
      <c r="BH176" s="52"/>
      <c r="BI176" s="52"/>
      <c r="BJ176" s="52"/>
      <c r="BK176" s="52"/>
      <c r="BL176" s="52"/>
      <c r="BM176" s="52"/>
      <c r="BN176" s="52"/>
    </row>
    <row r="177" spans="1:66">
      <c r="A177" s="1736"/>
      <c r="B177" s="327"/>
      <c r="C177" s="327"/>
      <c r="D177" s="327"/>
      <c r="E177" s="327"/>
      <c r="F177" s="327"/>
      <c r="G177" s="327"/>
      <c r="H177" s="327"/>
      <c r="I177" s="327"/>
      <c r="J177" s="327"/>
      <c r="K177" s="327"/>
      <c r="L177" s="327"/>
      <c r="M177" s="327"/>
      <c r="N177" s="327"/>
      <c r="O177" s="327"/>
      <c r="P177" s="327"/>
      <c r="Q177" s="958"/>
      <c r="R177" s="327"/>
      <c r="S177" s="327"/>
      <c r="T177" s="327"/>
      <c r="U177" s="327"/>
      <c r="V177" s="327"/>
      <c r="W177" s="327"/>
      <c r="X177" s="327"/>
      <c r="Y177" s="327"/>
      <c r="Z177" s="327"/>
      <c r="AA177" s="327"/>
      <c r="AB177" s="327"/>
      <c r="AC177" s="327"/>
      <c r="AD177" s="327"/>
      <c r="AE177" s="327"/>
      <c r="AF177" s="327"/>
      <c r="AG177" s="327"/>
      <c r="AH177" s="327"/>
      <c r="AI177" s="327"/>
      <c r="AJ177" s="327"/>
      <c r="AK177" s="890"/>
      <c r="AL177" s="327"/>
      <c r="AM177" s="327"/>
      <c r="AN177" s="327"/>
      <c r="AO177" s="327"/>
      <c r="AP177" s="327"/>
      <c r="AQ177" s="327"/>
      <c r="AR177" s="742"/>
      <c r="AS177" s="742"/>
      <c r="AT177" s="742"/>
      <c r="AU177" s="327"/>
      <c r="AV177" s="327"/>
      <c r="AW177" s="327"/>
      <c r="AX177" s="327"/>
      <c r="AY177" s="327"/>
      <c r="AZ177" s="327"/>
      <c r="BA177" s="327"/>
      <c r="BB177" s="54"/>
      <c r="BC177" s="52"/>
      <c r="BD177" s="52"/>
      <c r="BE177" s="52"/>
      <c r="BF177" s="52"/>
      <c r="BG177" s="52"/>
      <c r="BH177" s="52"/>
      <c r="BI177" s="52"/>
      <c r="BJ177" s="52"/>
      <c r="BK177" s="52"/>
      <c r="BL177" s="52"/>
      <c r="BM177" s="52"/>
      <c r="BN177" s="52"/>
    </row>
    <row r="178" spans="1:66">
      <c r="A178" s="1736" t="s">
        <v>177</v>
      </c>
      <c r="B178" s="484">
        <v>-8.5410000000000004</v>
      </c>
      <c r="C178" s="484">
        <v>-16.789000000000001</v>
      </c>
      <c r="D178" s="484">
        <v>-5.5330000000000004</v>
      </c>
      <c r="E178" s="484">
        <v>-4.8819999999999997</v>
      </c>
      <c r="F178" s="484">
        <v>0</v>
      </c>
      <c r="G178" s="484">
        <v>0</v>
      </c>
      <c r="H178" s="484">
        <v>-1.6879999999999999</v>
      </c>
      <c r="I178" s="484">
        <v>-0.91300000000000003</v>
      </c>
      <c r="J178" s="484">
        <v>0</v>
      </c>
      <c r="K178" s="484">
        <v>0</v>
      </c>
      <c r="L178" s="484">
        <v>-0.95399999999999996</v>
      </c>
      <c r="M178" s="484">
        <v>0</v>
      </c>
      <c r="N178" s="484">
        <v>-1.64</v>
      </c>
      <c r="O178" s="484">
        <v>-6.7910000000000004</v>
      </c>
      <c r="P178" s="484">
        <v>-0.26</v>
      </c>
      <c r="Q178" s="680">
        <v>-12.388</v>
      </c>
      <c r="R178" s="484">
        <v>-12.574</v>
      </c>
      <c r="S178" s="484">
        <v>-21.201000000000001</v>
      </c>
      <c r="T178" s="484">
        <v>-18.210999999999999</v>
      </c>
      <c r="U178" s="484">
        <v>-7.51</v>
      </c>
      <c r="V178" s="484">
        <v>-11.972</v>
      </c>
      <c r="W178" s="484">
        <v>-4.8460000000000001</v>
      </c>
      <c r="X178" s="484">
        <v>0.626</v>
      </c>
      <c r="Y178" s="484">
        <v>-0.14099999999999999</v>
      </c>
      <c r="Z178" s="484">
        <v>-0.48899999999999999</v>
      </c>
      <c r="AA178" s="485">
        <v>-11.6</v>
      </c>
      <c r="AB178" s="485">
        <v>2.4809999999999999</v>
      </c>
      <c r="AC178" s="485">
        <v>7.3819999999999997</v>
      </c>
      <c r="AD178" s="485">
        <v>-2.74</v>
      </c>
      <c r="AE178" s="485">
        <v>-14.657</v>
      </c>
      <c r="AF178" s="485">
        <v>11.233000000000001</v>
      </c>
      <c r="AG178" s="485">
        <v>-4.1230000000000002</v>
      </c>
      <c r="AH178" s="485">
        <v>-16.411000000000001</v>
      </c>
      <c r="AI178" s="485">
        <v>9.7319999999999993</v>
      </c>
      <c r="AJ178" s="485">
        <v>-4.4249999999999998</v>
      </c>
      <c r="AK178" s="822">
        <v>-13.282999999999999</v>
      </c>
      <c r="AL178" s="485">
        <v>8.2710000000000008</v>
      </c>
      <c r="AM178" s="485">
        <v>-0.39100000000000001</v>
      </c>
      <c r="AN178" s="485">
        <v>-29.442</v>
      </c>
      <c r="AO178" s="485">
        <v>-13.823</v>
      </c>
      <c r="AP178" s="485">
        <v>-7.9160000000000004</v>
      </c>
      <c r="AQ178" s="485">
        <v>-8.734</v>
      </c>
      <c r="AR178" s="819">
        <v>-10.657999999999999</v>
      </c>
      <c r="AS178" s="819">
        <v>-2.085</v>
      </c>
      <c r="AT178" s="819">
        <v>-20.905000000000001</v>
      </c>
      <c r="AU178" s="327"/>
      <c r="AV178" s="327"/>
      <c r="AW178" s="327"/>
      <c r="AX178" s="327"/>
      <c r="AY178" s="327"/>
      <c r="AZ178" s="327"/>
      <c r="BA178" s="327"/>
      <c r="BB178" s="54"/>
      <c r="BC178" s="52"/>
      <c r="BD178" s="52"/>
      <c r="BE178" s="52"/>
      <c r="BF178" s="52"/>
      <c r="BG178" s="52"/>
      <c r="BH178" s="52"/>
      <c r="BI178" s="52"/>
      <c r="BJ178" s="52"/>
      <c r="BK178" s="52"/>
      <c r="BL178" s="52"/>
      <c r="BM178" s="52"/>
      <c r="BN178" s="52"/>
    </row>
    <row r="179" spans="1:66">
      <c r="A179" s="1736" t="s">
        <v>178</v>
      </c>
      <c r="B179" s="484">
        <v>-4.2450000000000001</v>
      </c>
      <c r="C179" s="484">
        <v>0.98899999999999999</v>
      </c>
      <c r="D179" s="484">
        <v>-1.476</v>
      </c>
      <c r="E179" s="484">
        <v>4.18</v>
      </c>
      <c r="F179" s="484">
        <v>5.6289999999999996</v>
      </c>
      <c r="G179" s="484">
        <v>16.045000000000002</v>
      </c>
      <c r="H179" s="484">
        <v>2.9790000000000001</v>
      </c>
      <c r="I179" s="484">
        <v>0.42499999999999999</v>
      </c>
      <c r="J179" s="484">
        <v>13.379</v>
      </c>
      <c r="K179" s="484">
        <v>20.623999999999999</v>
      </c>
      <c r="L179" s="484">
        <v>13.191000000000001</v>
      </c>
      <c r="M179" s="484">
        <v>7.3159999999999998</v>
      </c>
      <c r="N179" s="484">
        <v>-11.943</v>
      </c>
      <c r="O179" s="484">
        <v>-5.1210000000000004</v>
      </c>
      <c r="P179" s="484">
        <v>5.718</v>
      </c>
      <c r="Q179" s="680">
        <v>-7.44</v>
      </c>
      <c r="R179" s="484">
        <v>4.375</v>
      </c>
      <c r="S179" s="484">
        <v>6.0999999999999999E-2</v>
      </c>
      <c r="T179" s="484">
        <v>2.4969999999999999</v>
      </c>
      <c r="U179" s="484">
        <v>-2.2400000000000002</v>
      </c>
      <c r="V179" s="484">
        <v>-1.764</v>
      </c>
      <c r="W179" s="484">
        <v>-18.917000000000002</v>
      </c>
      <c r="X179" s="484">
        <v>-11.262</v>
      </c>
      <c r="Y179" s="484">
        <v>8.6839999999999993</v>
      </c>
      <c r="Z179" s="484">
        <v>-8.2000000000000003E-2</v>
      </c>
      <c r="AA179" s="327">
        <f>-9.75</f>
        <v>-9.75</v>
      </c>
      <c r="AB179" s="485">
        <v>1.2250000000000001</v>
      </c>
      <c r="AC179" s="485">
        <v>-14.375999999999999</v>
      </c>
      <c r="AD179" s="485">
        <v>-11.6</v>
      </c>
      <c r="AE179" s="485">
        <v>-12.092000000000001</v>
      </c>
      <c r="AF179" s="485">
        <v>-17.515999999999998</v>
      </c>
      <c r="AG179" s="485">
        <v>-9.2240000000000002</v>
      </c>
      <c r="AH179" s="485">
        <v>5.2560000000000002</v>
      </c>
      <c r="AI179" s="485">
        <v>-33.131999999999998</v>
      </c>
      <c r="AJ179" s="485">
        <v>11.65</v>
      </c>
      <c r="AK179" s="822">
        <v>8.5449999999999999</v>
      </c>
      <c r="AL179" s="485">
        <v>11.311999999999999</v>
      </c>
      <c r="AM179" s="485">
        <v>7.9630000000000001</v>
      </c>
      <c r="AN179" s="485">
        <v>24.254000000000001</v>
      </c>
      <c r="AO179" s="485">
        <v>-0.53100000000000003</v>
      </c>
      <c r="AP179" s="485">
        <v>1.0329999999999999</v>
      </c>
      <c r="AQ179" s="485">
        <v>-5.8949999999999996</v>
      </c>
      <c r="AR179" s="819">
        <v>-0.27300000000000002</v>
      </c>
      <c r="AS179" s="819">
        <v>-127.157</v>
      </c>
      <c r="AT179" s="819">
        <v>-23.100999999999999</v>
      </c>
      <c r="AU179" s="327"/>
      <c r="AV179" s="327"/>
      <c r="AW179" s="327"/>
      <c r="AX179" s="327"/>
      <c r="AY179" s="327"/>
      <c r="AZ179" s="327"/>
      <c r="BA179" s="327"/>
      <c r="BB179" s="54"/>
      <c r="BC179" s="52"/>
      <c r="BD179" s="52"/>
      <c r="BE179" s="52"/>
      <c r="BF179" s="52"/>
      <c r="BG179" s="52"/>
      <c r="BH179" s="52"/>
      <c r="BI179" s="52"/>
      <c r="BJ179" s="52"/>
      <c r="BK179" s="52"/>
      <c r="BL179" s="52"/>
      <c r="BM179" s="52"/>
      <c r="BN179" s="52"/>
    </row>
    <row r="180" spans="1:66">
      <c r="A180" s="1736" t="s">
        <v>376</v>
      </c>
      <c r="B180" s="484">
        <v>0</v>
      </c>
      <c r="C180" s="484">
        <v>0</v>
      </c>
      <c r="D180" s="484">
        <v>0</v>
      </c>
      <c r="E180" s="484">
        <v>0</v>
      </c>
      <c r="F180" s="484">
        <v>0</v>
      </c>
      <c r="G180" s="484">
        <v>0</v>
      </c>
      <c r="H180" s="484">
        <v>0</v>
      </c>
      <c r="I180" s="484">
        <v>0</v>
      </c>
      <c r="J180" s="484">
        <v>0</v>
      </c>
      <c r="K180" s="484">
        <v>2.0059999999999998</v>
      </c>
      <c r="L180" s="484">
        <v>3.7850000000000001</v>
      </c>
      <c r="M180" s="484">
        <v>0.60399999999999998</v>
      </c>
      <c r="N180" s="484">
        <v>-1.6950000000000001</v>
      </c>
      <c r="O180" s="484">
        <v>-1.075</v>
      </c>
      <c r="P180" s="484">
        <v>-0.316</v>
      </c>
      <c r="Q180" s="680">
        <v>0</v>
      </c>
      <c r="R180" s="484">
        <v>0</v>
      </c>
      <c r="S180" s="484">
        <v>0</v>
      </c>
      <c r="T180" s="484">
        <v>0</v>
      </c>
      <c r="U180" s="485">
        <v>0</v>
      </c>
      <c r="V180" s="485">
        <v>0</v>
      </c>
      <c r="W180" s="485">
        <v>0</v>
      </c>
      <c r="X180" s="485">
        <v>0</v>
      </c>
      <c r="Y180" s="485">
        <v>0</v>
      </c>
      <c r="Z180" s="485">
        <v>0</v>
      </c>
      <c r="AA180" s="485">
        <v>0</v>
      </c>
      <c r="AB180" s="485">
        <v>0</v>
      </c>
      <c r="AC180" s="485">
        <v>0</v>
      </c>
      <c r="AD180" s="485">
        <v>0</v>
      </c>
      <c r="AE180" s="485">
        <v>0</v>
      </c>
      <c r="AF180" s="485">
        <v>0</v>
      </c>
      <c r="AG180" s="485">
        <v>0</v>
      </c>
      <c r="AH180" s="485">
        <v>0</v>
      </c>
      <c r="AI180" s="485">
        <v>-1.29</v>
      </c>
      <c r="AJ180" s="485">
        <v>-0.96899999999999997</v>
      </c>
      <c r="AK180" s="822">
        <v>0</v>
      </c>
      <c r="AL180" s="485">
        <v>0</v>
      </c>
      <c r="AM180" s="485">
        <v>0</v>
      </c>
      <c r="AN180" s="485">
        <v>0</v>
      </c>
      <c r="AO180" s="485">
        <v>0</v>
      </c>
      <c r="AP180" s="485">
        <v>0</v>
      </c>
      <c r="AQ180" s="485">
        <v>0</v>
      </c>
      <c r="AR180" s="819">
        <v>0</v>
      </c>
      <c r="AS180" s="819">
        <v>0</v>
      </c>
      <c r="AT180" s="819"/>
      <c r="AU180" s="327"/>
      <c r="AV180" s="327"/>
      <c r="AW180" s="327"/>
      <c r="AX180" s="327"/>
      <c r="AY180" s="327"/>
      <c r="AZ180" s="327"/>
      <c r="BA180" s="327"/>
      <c r="BB180" s="54"/>
      <c r="BC180" s="52"/>
      <c r="BD180" s="52"/>
      <c r="BE180" s="52"/>
      <c r="BF180" s="52"/>
      <c r="BG180" s="52"/>
      <c r="BH180" s="52"/>
      <c r="BI180" s="52"/>
      <c r="BJ180" s="52"/>
      <c r="BK180" s="52"/>
      <c r="BL180" s="52"/>
      <c r="BM180" s="52"/>
      <c r="BN180" s="52"/>
    </row>
    <row r="181" spans="1:66">
      <c r="A181" s="1736"/>
      <c r="B181" s="327"/>
      <c r="C181" s="327"/>
      <c r="D181" s="327"/>
      <c r="E181" s="327"/>
      <c r="F181" s="327"/>
      <c r="G181" s="327"/>
      <c r="H181" s="327"/>
      <c r="I181" s="327"/>
      <c r="J181" s="327"/>
      <c r="K181" s="327"/>
      <c r="L181" s="327"/>
      <c r="M181" s="327"/>
      <c r="N181" s="327"/>
      <c r="O181" s="327"/>
      <c r="P181" s="327"/>
      <c r="Q181" s="958"/>
      <c r="R181" s="327"/>
      <c r="S181" s="327"/>
      <c r="T181" s="327"/>
      <c r="U181" s="327"/>
      <c r="V181" s="327"/>
      <c r="W181" s="327"/>
      <c r="X181" s="327"/>
      <c r="Y181" s="327"/>
      <c r="Z181" s="327"/>
      <c r="AA181" s="327"/>
      <c r="AB181" s="327"/>
      <c r="AC181" s="327"/>
      <c r="AD181" s="327"/>
      <c r="AE181" s="327"/>
      <c r="AF181" s="327"/>
      <c r="AG181" s="327"/>
      <c r="AH181" s="327"/>
      <c r="AI181" s="327"/>
      <c r="AJ181" s="327"/>
      <c r="AK181" s="890"/>
      <c r="AL181" s="327"/>
      <c r="AM181" s="327"/>
      <c r="AN181" s="327"/>
      <c r="AO181" s="327"/>
      <c r="AP181" s="327"/>
      <c r="AQ181" s="327"/>
      <c r="AR181" s="742"/>
      <c r="AS181" s="742"/>
      <c r="AT181" s="742"/>
      <c r="AU181" s="327"/>
      <c r="AV181" s="327"/>
      <c r="AW181" s="327"/>
      <c r="AX181" s="327"/>
      <c r="AY181" s="327"/>
      <c r="AZ181" s="327"/>
      <c r="BA181" s="327"/>
      <c r="BB181" s="54"/>
      <c r="BC181" s="52"/>
      <c r="BD181" s="52"/>
      <c r="BE181" s="52"/>
      <c r="BF181" s="52"/>
      <c r="BG181" s="52"/>
      <c r="BH181" s="52"/>
      <c r="BI181" s="52"/>
      <c r="BJ181" s="52"/>
      <c r="BK181" s="52"/>
      <c r="BL181" s="52"/>
      <c r="BM181" s="52"/>
      <c r="BN181" s="52"/>
    </row>
    <row r="182" spans="1:66">
      <c r="A182" s="1758" t="s">
        <v>402</v>
      </c>
      <c r="B182" s="354">
        <f t="shared" ref="B182:AG182" si="155">SUM(B176:B180)</f>
        <v>18.749000000000017</v>
      </c>
      <c r="C182" s="354">
        <f t="shared" si="155"/>
        <v>30.741999999999987</v>
      </c>
      <c r="D182" s="354">
        <f t="shared" si="155"/>
        <v>15.653000000000002</v>
      </c>
      <c r="E182" s="354">
        <f t="shared" si="155"/>
        <v>-0.6180000000000021</v>
      </c>
      <c r="F182" s="354">
        <f t="shared" si="155"/>
        <v>-11.591999999999976</v>
      </c>
      <c r="G182" s="354">
        <f t="shared" si="155"/>
        <v>-32.139999999999993</v>
      </c>
      <c r="H182" s="354">
        <f t="shared" si="155"/>
        <v>-5.7770000000000055</v>
      </c>
      <c r="I182" s="354">
        <f t="shared" si="155"/>
        <v>0.71500000000000119</v>
      </c>
      <c r="J182" s="354">
        <f t="shared" si="155"/>
        <v>-26.229999999999997</v>
      </c>
      <c r="K182" s="354">
        <f t="shared" si="155"/>
        <v>-42.428000000000011</v>
      </c>
      <c r="L182" s="354">
        <f t="shared" si="155"/>
        <v>-36.361000000000004</v>
      </c>
      <c r="M182" s="354">
        <f t="shared" si="155"/>
        <v>33.153999999999975</v>
      </c>
      <c r="N182" s="354">
        <f t="shared" si="155"/>
        <v>28.906999999999989</v>
      </c>
      <c r="O182" s="354">
        <f t="shared" si="155"/>
        <v>20.248999999999992</v>
      </c>
      <c r="P182" s="354">
        <f t="shared" si="155"/>
        <v>23.139999999999976</v>
      </c>
      <c r="Q182" s="1098">
        <f t="shared" si="155"/>
        <v>30.616999999999994</v>
      </c>
      <c r="R182" s="354">
        <f t="shared" si="155"/>
        <v>19.071999999999967</v>
      </c>
      <c r="S182" s="354">
        <f t="shared" si="155"/>
        <v>41.676000000000016</v>
      </c>
      <c r="T182" s="354">
        <f t="shared" si="155"/>
        <v>69.664999999999978</v>
      </c>
      <c r="U182" s="354">
        <f t="shared" si="155"/>
        <v>11.87799999999995</v>
      </c>
      <c r="V182" s="354">
        <f t="shared" si="155"/>
        <v>37.964000000000055</v>
      </c>
      <c r="W182" s="354">
        <f t="shared" si="155"/>
        <v>48.666999999999987</v>
      </c>
      <c r="X182" s="354">
        <f t="shared" si="155"/>
        <v>55.456000000000003</v>
      </c>
      <c r="Y182" s="354">
        <f t="shared" si="155"/>
        <v>-15.475999999999965</v>
      </c>
      <c r="Z182" s="354">
        <f t="shared" si="155"/>
        <v>2.3779999999999877</v>
      </c>
      <c r="AA182" s="354">
        <f t="shared" si="155"/>
        <v>50.523000000000017</v>
      </c>
      <c r="AB182" s="354">
        <f t="shared" si="155"/>
        <v>7.31000000000002</v>
      </c>
      <c r="AC182" s="354">
        <f t="shared" si="155"/>
        <v>12.738999999999974</v>
      </c>
      <c r="AD182" s="354">
        <f t="shared" si="155"/>
        <v>34.728999999999999</v>
      </c>
      <c r="AE182" s="354">
        <f t="shared" si="155"/>
        <v>60.887000000000057</v>
      </c>
      <c r="AF182" s="354">
        <f t="shared" si="155"/>
        <v>32.958000000000034</v>
      </c>
      <c r="AG182" s="354">
        <f t="shared" si="155"/>
        <v>6.4279999999999973</v>
      </c>
      <c r="AH182" s="354">
        <f t="shared" ref="AH182:BA182" si="156">SUM(AH176:AH180)</f>
        <v>60.726000000000056</v>
      </c>
      <c r="AI182" s="354">
        <f t="shared" si="156"/>
        <v>115.22200000000002</v>
      </c>
      <c r="AJ182" s="354">
        <f t="shared" si="156"/>
        <v>53.540000000000035</v>
      </c>
      <c r="AK182" s="1378">
        <f t="shared" si="156"/>
        <v>56.570000000000114</v>
      </c>
      <c r="AL182" s="1464">
        <f t="shared" si="156"/>
        <v>33.073000000000008</v>
      </c>
      <c r="AM182" s="1464">
        <f t="shared" si="156"/>
        <v>21.053999999999956</v>
      </c>
      <c r="AN182" s="1464">
        <f t="shared" si="156"/>
        <v>76.020000000000039</v>
      </c>
      <c r="AO182" s="1464">
        <f t="shared" si="156"/>
        <v>69.325999999999993</v>
      </c>
      <c r="AP182" s="1464">
        <f t="shared" si="156"/>
        <v>39.668999999999997</v>
      </c>
      <c r="AQ182" s="1464">
        <f t="shared" si="156"/>
        <v>68.91300000000011</v>
      </c>
      <c r="AR182" s="2181">
        <v>55.863999999999898</v>
      </c>
      <c r="AS182" s="2181">
        <f t="shared" si="156"/>
        <v>119.44100000000002</v>
      </c>
      <c r="AT182" s="2181">
        <f t="shared" si="156"/>
        <v>116.87300000000002</v>
      </c>
      <c r="AU182" s="369">
        <f t="shared" si="156"/>
        <v>0</v>
      </c>
      <c r="AV182" s="369">
        <f t="shared" si="156"/>
        <v>0</v>
      </c>
      <c r="AW182" s="369">
        <f t="shared" si="156"/>
        <v>0</v>
      </c>
      <c r="AX182" s="369">
        <f t="shared" si="156"/>
        <v>0</v>
      </c>
      <c r="AY182" s="369">
        <f t="shared" si="156"/>
        <v>0</v>
      </c>
      <c r="AZ182" s="369">
        <f t="shared" si="156"/>
        <v>0</v>
      </c>
      <c r="BA182" s="369">
        <f t="shared" si="156"/>
        <v>0</v>
      </c>
      <c r="BB182" s="52"/>
      <c r="BC182" s="52"/>
      <c r="BD182" s="52"/>
      <c r="BE182" s="52"/>
      <c r="BF182" s="52"/>
      <c r="BG182" s="52"/>
      <c r="BH182" s="52"/>
      <c r="BI182" s="52"/>
      <c r="BJ182" s="52"/>
      <c r="BK182" s="52"/>
      <c r="BL182" s="52"/>
      <c r="BM182" s="52"/>
      <c r="BN182" s="52"/>
    </row>
    <row r="183" spans="1:66">
      <c r="A183" s="1736"/>
      <c r="B183" s="483"/>
      <c r="C183" s="483"/>
      <c r="D183" s="483"/>
      <c r="E183" s="483"/>
      <c r="F183" s="483"/>
      <c r="G183" s="483"/>
      <c r="H183" s="483"/>
      <c r="I183" s="483"/>
      <c r="J183" s="483"/>
      <c r="K183" s="483"/>
      <c r="L183" s="483"/>
      <c r="M183" s="483"/>
      <c r="N183" s="483"/>
      <c r="O183" s="483"/>
      <c r="P183" s="483"/>
      <c r="Q183" s="1099"/>
      <c r="R183" s="483"/>
      <c r="S183" s="483"/>
      <c r="T183" s="483"/>
      <c r="U183" s="483"/>
      <c r="V183" s="483"/>
      <c r="W183" s="483"/>
      <c r="X183" s="483"/>
      <c r="Y183" s="483"/>
      <c r="Z183" s="483"/>
      <c r="AA183" s="483"/>
      <c r="AB183" s="483"/>
      <c r="AC183" s="483"/>
      <c r="AD183" s="483"/>
      <c r="AE183" s="483"/>
      <c r="AF183" s="394"/>
      <c r="AG183" s="394"/>
      <c r="AH183" s="394"/>
      <c r="AI183" s="394"/>
      <c r="AJ183" s="394"/>
      <c r="AK183" s="1379"/>
      <c r="AL183" s="483"/>
      <c r="AM183" s="483"/>
      <c r="AN183" s="483"/>
      <c r="AO183" s="483"/>
      <c r="AP183" s="483"/>
      <c r="AQ183" s="483"/>
      <c r="AR183" s="2182"/>
      <c r="AS183" s="2182"/>
      <c r="AT183" s="2182"/>
      <c r="AU183" s="483"/>
      <c r="AV183" s="483"/>
      <c r="AW183" s="483"/>
      <c r="AX183" s="483"/>
      <c r="AY183" s="483"/>
      <c r="AZ183" s="483"/>
      <c r="BA183" s="483"/>
      <c r="BB183" s="52"/>
      <c r="BC183" s="52"/>
      <c r="BD183" s="52"/>
      <c r="BE183" s="52"/>
      <c r="BF183" s="52"/>
      <c r="BG183" s="52"/>
      <c r="BH183" s="52"/>
      <c r="BI183" s="52"/>
      <c r="BJ183" s="52"/>
      <c r="BK183" s="52"/>
      <c r="BL183" s="52"/>
      <c r="BM183" s="52"/>
      <c r="BN183" s="52"/>
    </row>
    <row r="184" spans="1:66">
      <c r="A184" s="1758" t="s">
        <v>416</v>
      </c>
      <c r="B184" s="838">
        <v>101.17100000000001</v>
      </c>
      <c r="C184" s="838">
        <v>87.436999999999998</v>
      </c>
      <c r="D184" s="838">
        <v>44.695</v>
      </c>
      <c r="E184" s="838">
        <v>56.302</v>
      </c>
      <c r="F184" s="838">
        <v>31.251000000000001</v>
      </c>
      <c r="G184" s="838">
        <v>23.786999999999999</v>
      </c>
      <c r="H184" s="838">
        <v>22.843</v>
      </c>
      <c r="I184" s="838">
        <v>54.725999999999999</v>
      </c>
      <c r="J184" s="838">
        <v>13.382999999999999</v>
      </c>
      <c r="K184" s="838">
        <v>34.973999999999997</v>
      </c>
      <c r="L184" s="838">
        <v>64.412000000000006</v>
      </c>
      <c r="M184" s="838">
        <v>77.022999999999996</v>
      </c>
      <c r="N184" s="813">
        <v>44.195</v>
      </c>
      <c r="O184" s="813">
        <v>76.501999999999995</v>
      </c>
      <c r="P184" s="813">
        <v>122.78700000000001</v>
      </c>
      <c r="Q184" s="1100">
        <f>452.373-SUM(N184:P184)</f>
        <v>208.88899999999998</v>
      </c>
      <c r="R184" s="813">
        <v>139.49</v>
      </c>
      <c r="S184" s="813">
        <v>150.91499999999999</v>
      </c>
      <c r="T184" s="813">
        <v>191.52199999999999</v>
      </c>
      <c r="U184" s="813">
        <v>130.655</v>
      </c>
      <c r="V184" s="813">
        <v>147.09399999999999</v>
      </c>
      <c r="W184" s="813">
        <v>163.07499999999999</v>
      </c>
      <c r="X184" s="813">
        <v>154.21299999999999</v>
      </c>
      <c r="Y184" s="813">
        <v>68.637</v>
      </c>
      <c r="Z184" s="813">
        <v>108.07599999999999</v>
      </c>
      <c r="AA184" s="813">
        <v>238.27099999999999</v>
      </c>
      <c r="AB184" s="813">
        <v>161.054</v>
      </c>
      <c r="AC184" s="813">
        <v>144.41999999999999</v>
      </c>
      <c r="AD184" s="813">
        <v>211.63900000000001</v>
      </c>
      <c r="AE184" s="813">
        <v>238.66900000000001</v>
      </c>
      <c r="AF184" s="682">
        <v>168.42599999999999</v>
      </c>
      <c r="AG184" s="682">
        <v>147.506</v>
      </c>
      <c r="AH184" s="682">
        <v>227.04599999999999</v>
      </c>
      <c r="AI184" s="682">
        <v>256.91800000000001</v>
      </c>
      <c r="AJ184" s="682">
        <v>287.68299999999999</v>
      </c>
      <c r="AK184" s="1380">
        <v>319.87799999999999</v>
      </c>
      <c r="AL184" s="682">
        <v>225.10400000000001</v>
      </c>
      <c r="AM184" s="682">
        <v>318.90300000000002</v>
      </c>
      <c r="AN184" s="682">
        <v>411.90899999999999</v>
      </c>
      <c r="AO184" s="2176">
        <v>346.29700000000003</v>
      </c>
      <c r="AP184" s="2176">
        <v>333.755</v>
      </c>
      <c r="AQ184" s="2176">
        <v>368.70400000000001</v>
      </c>
      <c r="AR184" s="2183">
        <v>341.63799999999998</v>
      </c>
      <c r="AS184" s="2183">
        <v>400.99099999999999</v>
      </c>
      <c r="AT184" s="2183">
        <v>475.34</v>
      </c>
      <c r="AU184" s="354"/>
      <c r="AV184" s="354"/>
      <c r="AW184" s="354"/>
      <c r="AX184" s="354"/>
      <c r="AY184" s="354"/>
      <c r="AZ184" s="354"/>
      <c r="BA184" s="354"/>
      <c r="BB184" s="52"/>
      <c r="BC184" s="52"/>
      <c r="BD184" s="52"/>
      <c r="BE184" s="52"/>
      <c r="BF184" s="52"/>
      <c r="BG184" s="52"/>
      <c r="BH184" s="52"/>
      <c r="BI184" s="52"/>
      <c r="BJ184" s="52"/>
      <c r="BK184" s="52"/>
      <c r="BL184" s="52"/>
      <c r="BM184" s="52"/>
      <c r="BN184" s="52"/>
    </row>
    <row r="185" spans="1:66">
      <c r="A185" s="1765" t="s">
        <v>1419</v>
      </c>
      <c r="B185" s="394"/>
      <c r="C185" s="394"/>
      <c r="D185" s="394"/>
      <c r="E185" s="394"/>
      <c r="F185" s="394"/>
      <c r="G185" s="394"/>
      <c r="H185" s="394"/>
      <c r="I185" s="394"/>
      <c r="J185" s="394"/>
      <c r="K185" s="394"/>
      <c r="L185" s="394"/>
      <c r="M185" s="394"/>
      <c r="N185" s="394">
        <f t="shared" ref="N185:AR185" si="157">N133-N184</f>
        <v>0</v>
      </c>
      <c r="O185" s="394">
        <f t="shared" si="157"/>
        <v>-1.999999999981128E-3</v>
      </c>
      <c r="P185" s="394">
        <f t="shared" si="157"/>
        <v>3.0000000000001137E-3</v>
      </c>
      <c r="Q185" s="394">
        <f t="shared" si="157"/>
        <v>1.0000000000047748E-3</v>
      </c>
      <c r="R185" s="394">
        <f t="shared" si="157"/>
        <v>1.999999999981128E-3</v>
      </c>
      <c r="S185" s="394">
        <f t="shared" si="157"/>
        <v>-1.0000000000047748E-3</v>
      </c>
      <c r="T185" s="394">
        <f t="shared" si="157"/>
        <v>-3.0000000000143245E-3</v>
      </c>
      <c r="U185" s="394">
        <f t="shared" si="157"/>
        <v>5.0000000000238742E-3</v>
      </c>
      <c r="V185" s="394">
        <f t="shared" si="157"/>
        <v>-9.9999999997635314E-4</v>
      </c>
      <c r="W185" s="394">
        <f t="shared" si="157"/>
        <v>-4.0029999999999859</v>
      </c>
      <c r="X185" s="394">
        <f t="shared" si="157"/>
        <v>3.9920000000000186</v>
      </c>
      <c r="Y185" s="394">
        <f t="shared" si="157"/>
        <v>4.1079999999999757</v>
      </c>
      <c r="Z185" s="394">
        <f t="shared" si="157"/>
        <v>0</v>
      </c>
      <c r="AA185" s="394">
        <f t="shared" si="157"/>
        <v>1.0000000000047748E-3</v>
      </c>
      <c r="AB185" s="394">
        <f t="shared" si="157"/>
        <v>-1.7189999999999657</v>
      </c>
      <c r="AC185" s="394">
        <f t="shared" si="157"/>
        <v>-1.0000000000047748E-3</v>
      </c>
      <c r="AD185" s="394">
        <f t="shared" si="157"/>
        <v>0</v>
      </c>
      <c r="AE185" s="394">
        <f t="shared" si="157"/>
        <v>-1.0000000000047748E-3</v>
      </c>
      <c r="AF185" s="394">
        <f t="shared" si="157"/>
        <v>0</v>
      </c>
      <c r="AG185" s="394">
        <f t="shared" si="157"/>
        <v>0.18899999999999295</v>
      </c>
      <c r="AH185" s="394">
        <f t="shared" si="157"/>
        <v>0</v>
      </c>
      <c r="AI185" s="394">
        <f t="shared" si="157"/>
        <v>0</v>
      </c>
      <c r="AJ185" s="394">
        <f t="shared" si="157"/>
        <v>0</v>
      </c>
      <c r="AK185" s="1379">
        <f t="shared" si="157"/>
        <v>6.8000000000040473E-2</v>
      </c>
      <c r="AL185" s="1434">
        <f t="shared" si="157"/>
        <v>0</v>
      </c>
      <c r="AM185" s="1434">
        <f t="shared" si="157"/>
        <v>-1.0000000000331966E-3</v>
      </c>
      <c r="AN185" s="1434">
        <f t="shared" si="157"/>
        <v>0</v>
      </c>
      <c r="AO185" s="1639">
        <f t="shared" si="157"/>
        <v>-0.97199999999997999</v>
      </c>
      <c r="AP185" s="1639">
        <f>AP133-AP184</f>
        <v>-4.9999999999954525E-3</v>
      </c>
      <c r="AQ185" s="1639">
        <f t="shared" si="157"/>
        <v>0</v>
      </c>
      <c r="AR185" s="1639">
        <f t="shared" si="157"/>
        <v>0.37000000000000455</v>
      </c>
      <c r="AS185" s="1639">
        <f>AS133-AS184</f>
        <v>-0.36900000000008504</v>
      </c>
      <c r="AT185" s="1639">
        <f>AT133-AT184</f>
        <v>2.0000000000095497E-3</v>
      </c>
      <c r="AU185" s="1434"/>
      <c r="AV185" s="1434"/>
      <c r="AW185" s="1434"/>
      <c r="AX185" s="1434"/>
      <c r="AY185" s="1434"/>
      <c r="AZ185" s="1434"/>
      <c r="BA185" s="1434"/>
      <c r="BB185" s="1434"/>
      <c r="BC185" s="1434"/>
      <c r="BD185" s="1434"/>
      <c r="BE185" s="1434"/>
      <c r="BF185" s="1434"/>
      <c r="BG185" s="1434"/>
      <c r="BH185" s="1434"/>
      <c r="BI185" s="1434"/>
      <c r="BJ185" s="1434"/>
      <c r="BK185" s="1434"/>
      <c r="BL185" s="1434"/>
      <c r="BM185" s="106"/>
      <c r="BN185" s="106"/>
    </row>
    <row r="186" spans="1:66">
      <c r="A186" s="1732" t="s">
        <v>676</v>
      </c>
      <c r="B186" s="602">
        <v>78.36</v>
      </c>
      <c r="C186" s="602">
        <v>83.033000000000001</v>
      </c>
      <c r="D186" s="602">
        <v>55.610999999999997</v>
      </c>
      <c r="E186" s="602">
        <v>39.228000000000002</v>
      </c>
      <c r="F186" s="602">
        <v>27.026</v>
      </c>
      <c r="G186" s="602">
        <v>5.149</v>
      </c>
      <c r="H186" s="602">
        <v>27.181999999999999</v>
      </c>
      <c r="I186" s="602">
        <v>69.016000000000005</v>
      </c>
      <c r="J186" s="602">
        <v>4.6989999999999998</v>
      </c>
      <c r="K186" s="602">
        <v>42.401000000000003</v>
      </c>
      <c r="L186" s="602">
        <v>94.778999999999996</v>
      </c>
      <c r="M186" s="602">
        <v>101.3</v>
      </c>
      <c r="N186" s="602">
        <v>41.838999999999999</v>
      </c>
      <c r="O186" s="602">
        <v>85.921000000000006</v>
      </c>
      <c r="P186" s="602">
        <v>124.78</v>
      </c>
      <c r="Q186" s="680">
        <f>463.056-SUM(N186:P186)</f>
        <v>210.51599999999996</v>
      </c>
      <c r="R186" s="602">
        <v>127.441</v>
      </c>
      <c r="S186" s="602">
        <v>145.49100000000001</v>
      </c>
      <c r="T186" s="602">
        <v>193.81700000000001</v>
      </c>
      <c r="U186" s="602">
        <v>99.376999999999995</v>
      </c>
      <c r="V186" s="602">
        <v>147.10900000000001</v>
      </c>
      <c r="W186" s="602">
        <v>188.53700000000001</v>
      </c>
      <c r="X186" s="602">
        <v>177.15799999999999</v>
      </c>
      <c r="Y186" s="602">
        <v>70.423000000000002</v>
      </c>
      <c r="Z186" s="602">
        <v>119.393</v>
      </c>
      <c r="AA186" s="602">
        <v>232.78800000000001</v>
      </c>
      <c r="AB186" s="602">
        <v>156.495</v>
      </c>
      <c r="AC186" s="602">
        <v>143.084</v>
      </c>
      <c r="AD186" s="602">
        <v>212.4</v>
      </c>
      <c r="AE186" s="602">
        <v>238.49600000000001</v>
      </c>
      <c r="AF186" s="602">
        <v>163.364</v>
      </c>
      <c r="AG186" s="602">
        <v>136.429</v>
      </c>
      <c r="AH186" s="602">
        <v>224.23699999999999</v>
      </c>
      <c r="AI186" s="602">
        <v>308.75700000000001</v>
      </c>
      <c r="AJ186" s="602">
        <v>278.77199999999999</v>
      </c>
      <c r="AK186" s="1381">
        <v>288.76900000000001</v>
      </c>
      <c r="AL186" s="1381">
        <v>196.154</v>
      </c>
      <c r="AM186" s="1381">
        <v>339.14699999999999</v>
      </c>
      <c r="AN186" s="1381">
        <v>352.04399999999998</v>
      </c>
      <c r="AO186" s="1381">
        <v>348.14400000000001</v>
      </c>
      <c r="AP186" s="1381">
        <v>277.77199999999999</v>
      </c>
      <c r="AQ186" s="1381">
        <v>317.267</v>
      </c>
      <c r="AR186" s="861">
        <v>319.92599999999999</v>
      </c>
      <c r="AS186" s="861">
        <v>529.41200000000003</v>
      </c>
      <c r="AT186" s="861">
        <v>402.64400000000001</v>
      </c>
      <c r="AU186" s="52"/>
      <c r="AV186" s="52"/>
      <c r="AW186" s="52"/>
      <c r="AX186" s="52"/>
      <c r="AY186" s="52"/>
      <c r="AZ186" s="52"/>
      <c r="BA186" s="52"/>
      <c r="BB186" s="52"/>
      <c r="BC186" s="52"/>
      <c r="BD186" s="52"/>
      <c r="BE186" s="52"/>
      <c r="BF186" s="52"/>
      <c r="BG186" s="52"/>
      <c r="BH186" s="52"/>
      <c r="BI186" s="52"/>
      <c r="BJ186" s="52"/>
      <c r="BK186" s="52"/>
      <c r="BL186" s="52"/>
      <c r="BM186" s="52"/>
      <c r="BN186" s="52"/>
    </row>
    <row r="187" spans="1:66">
      <c r="A187" s="1733" t="s">
        <v>679</v>
      </c>
      <c r="B187" s="602">
        <v>0</v>
      </c>
      <c r="C187" s="602">
        <v>0</v>
      </c>
      <c r="D187" s="602">
        <v>0</v>
      </c>
      <c r="E187" s="602">
        <v>0</v>
      </c>
      <c r="F187" s="602">
        <v>0</v>
      </c>
      <c r="G187" s="602">
        <v>0</v>
      </c>
      <c r="H187" s="602">
        <v>0</v>
      </c>
      <c r="I187" s="602">
        <v>0</v>
      </c>
      <c r="J187" s="602">
        <v>0</v>
      </c>
      <c r="K187" s="602">
        <v>0</v>
      </c>
      <c r="L187" s="602">
        <v>0</v>
      </c>
      <c r="M187" s="602">
        <v>0</v>
      </c>
      <c r="N187" s="602">
        <v>0</v>
      </c>
      <c r="O187" s="602">
        <v>0</v>
      </c>
      <c r="P187" s="602">
        <v>0</v>
      </c>
      <c r="Q187" s="602">
        <v>0</v>
      </c>
      <c r="R187" s="602">
        <v>0</v>
      </c>
      <c r="S187" s="602">
        <v>0</v>
      </c>
      <c r="T187" s="602">
        <v>0</v>
      </c>
      <c r="U187" s="602">
        <v>0</v>
      </c>
      <c r="V187" s="602">
        <v>0</v>
      </c>
      <c r="W187" s="602">
        <v>0</v>
      </c>
      <c r="X187" s="602">
        <v>0</v>
      </c>
      <c r="Y187" s="602">
        <v>3.3000000000000002E-2</v>
      </c>
      <c r="Z187" s="602">
        <v>1.9490000000000001</v>
      </c>
      <c r="AA187" s="602">
        <v>1.23</v>
      </c>
      <c r="AB187" s="602">
        <v>2.0150000000000001</v>
      </c>
      <c r="AC187" s="602">
        <v>-1.579</v>
      </c>
      <c r="AD187" s="602">
        <v>1.079</v>
      </c>
      <c r="AE187" s="602">
        <v>-0.65400000000000003</v>
      </c>
      <c r="AF187" s="602">
        <v>0.03</v>
      </c>
      <c r="AG187" s="602">
        <v>-5.6000000000000001E-2</v>
      </c>
      <c r="AH187" s="602">
        <v>-0.51300000000000001</v>
      </c>
      <c r="AI187" s="602">
        <v>-0.1</v>
      </c>
      <c r="AJ187" s="602">
        <v>2.1999999999999999E-2</v>
      </c>
      <c r="AK187" s="1381">
        <v>4.5999999999999999E-2</v>
      </c>
      <c r="AL187" s="1381">
        <v>-2.4E-2</v>
      </c>
      <c r="AM187" s="1381">
        <v>-0.16600000000000001</v>
      </c>
      <c r="AN187" s="1381">
        <v>0.17100000000000001</v>
      </c>
      <c r="AO187" s="1381">
        <v>-0.437</v>
      </c>
      <c r="AP187" s="1381">
        <v>-0.17399999999999999</v>
      </c>
      <c r="AQ187" s="1381">
        <v>-0.32900000000000001</v>
      </c>
      <c r="AR187" s="861">
        <v>-0.44600000000000001</v>
      </c>
      <c r="AS187" s="861">
        <v>0.34300000000000003</v>
      </c>
      <c r="AT187" s="861">
        <v>-9.4E-2</v>
      </c>
      <c r="AU187" s="52"/>
      <c r="AV187" s="52"/>
      <c r="AW187" s="52"/>
      <c r="AX187" s="52"/>
      <c r="AY187" s="52"/>
      <c r="AZ187" s="52"/>
      <c r="BA187" s="52"/>
      <c r="BB187" s="52"/>
      <c r="BC187" s="52"/>
      <c r="BD187" s="52"/>
      <c r="BE187" s="52"/>
      <c r="BF187" s="52"/>
      <c r="BG187" s="52"/>
      <c r="BH187" s="52"/>
      <c r="BI187" s="52"/>
      <c r="BJ187" s="52"/>
      <c r="BK187" s="52"/>
      <c r="BL187" s="52"/>
      <c r="BM187" s="52"/>
      <c r="BN187" s="52"/>
    </row>
    <row r="188" spans="1:66">
      <c r="A188" s="1733" t="s">
        <v>677</v>
      </c>
      <c r="B188" s="602">
        <v>0</v>
      </c>
      <c r="C188" s="602">
        <v>0</v>
      </c>
      <c r="D188" s="602">
        <v>-12.137</v>
      </c>
      <c r="E188" s="602">
        <v>14.471</v>
      </c>
      <c r="F188" s="602">
        <v>0</v>
      </c>
      <c r="G188" s="602">
        <v>17.606999999999999</v>
      </c>
      <c r="H188" s="602">
        <v>-7.0069999999999997</v>
      </c>
      <c r="I188" s="602">
        <v>1.069</v>
      </c>
      <c r="J188" s="602">
        <v>-2.2130000000000001</v>
      </c>
      <c r="K188" s="602">
        <v>-3.1509999999999998</v>
      </c>
      <c r="L188" s="602">
        <v>-25.564</v>
      </c>
      <c r="M188" s="602">
        <v>-27.31</v>
      </c>
      <c r="N188" s="602">
        <v>0.36599999999999999</v>
      </c>
      <c r="O188" s="602">
        <v>-1.1160000000000001</v>
      </c>
      <c r="P188" s="602">
        <v>-1.9930000000000001</v>
      </c>
      <c r="Q188" s="602">
        <v>-0.84799999999999998</v>
      </c>
      <c r="R188" s="602">
        <v>-1.37</v>
      </c>
      <c r="S188" s="602">
        <v>0.54800000000000004</v>
      </c>
      <c r="T188" s="602">
        <v>-13.552</v>
      </c>
      <c r="U188" s="602">
        <v>22.728999999999999</v>
      </c>
      <c r="V188" s="602">
        <v>-0.81</v>
      </c>
      <c r="W188" s="602">
        <v>2.7629999999999999</v>
      </c>
      <c r="X188" s="602">
        <v>-23.420999999999999</v>
      </c>
      <c r="Y188" s="602">
        <v>1.0920000000000001</v>
      </c>
      <c r="Z188" s="602">
        <v>0.438</v>
      </c>
      <c r="AA188" s="602">
        <v>6.3E-2</v>
      </c>
      <c r="AB188" s="602">
        <v>-1.2250000000000001</v>
      </c>
      <c r="AC188" s="602">
        <v>2.2519999999999998</v>
      </c>
      <c r="AD188" s="602">
        <v>2.4E-2</v>
      </c>
      <c r="AE188" s="199">
        <f>-2.423</f>
        <v>-2.423</v>
      </c>
      <c r="AF188" s="602">
        <v>1.2809999999999999</v>
      </c>
      <c r="AG188" s="602">
        <v>10.9</v>
      </c>
      <c r="AH188" s="602">
        <v>0.14899999999999999</v>
      </c>
      <c r="AI188" s="602">
        <v>-72.186999999999998</v>
      </c>
      <c r="AJ188" s="602">
        <v>-1.9810000000000001</v>
      </c>
      <c r="AK188" s="1381">
        <v>-19.751000000000001</v>
      </c>
      <c r="AL188" s="1381">
        <v>-1.0999999999999999E-2</v>
      </c>
      <c r="AM188" s="1381">
        <v>-2.5609999999999999</v>
      </c>
      <c r="AN188" s="1381">
        <v>0.23100000000000001</v>
      </c>
      <c r="AO188" s="1381">
        <v>-0.78600000000000003</v>
      </c>
      <c r="AP188" s="1381">
        <v>-0.51400000000000001</v>
      </c>
      <c r="AQ188" s="1381">
        <v>-1.548</v>
      </c>
      <c r="AR188" s="861">
        <v>0.31</v>
      </c>
      <c r="AS188" s="861">
        <v>-140.60900000000001</v>
      </c>
      <c r="AT188" s="861">
        <v>1.742</v>
      </c>
      <c r="AU188" s="52"/>
      <c r="AV188" s="52"/>
      <c r="AW188" s="52"/>
      <c r="AX188" s="52"/>
      <c r="AY188" s="52"/>
      <c r="AZ188" s="52"/>
      <c r="BA188" s="52"/>
      <c r="BB188" s="52"/>
      <c r="BC188" s="52"/>
      <c r="BD188" s="52"/>
      <c r="BE188" s="52"/>
      <c r="BF188" s="52"/>
      <c r="BG188" s="52"/>
      <c r="BH188" s="52"/>
      <c r="BI188" s="52"/>
      <c r="BJ188" s="52"/>
      <c r="BK188" s="52"/>
      <c r="BL188" s="52"/>
      <c r="BM188" s="52"/>
      <c r="BN188" s="52"/>
    </row>
    <row r="189" spans="1:66">
      <c r="A189" s="1733" t="s">
        <v>678</v>
      </c>
      <c r="B189" s="602">
        <v>0</v>
      </c>
      <c r="C189" s="602">
        <v>0</v>
      </c>
      <c r="D189" s="602">
        <v>0</v>
      </c>
      <c r="E189" s="602">
        <v>0</v>
      </c>
      <c r="F189" s="602">
        <v>0</v>
      </c>
      <c r="G189" s="602">
        <v>0</v>
      </c>
      <c r="H189" s="602">
        <v>0</v>
      </c>
      <c r="I189" s="602">
        <v>0</v>
      </c>
      <c r="J189" s="602">
        <v>10.897</v>
      </c>
      <c r="K189" s="602">
        <v>-4.2750000000000004</v>
      </c>
      <c r="L189" s="602">
        <v>-4.8040000000000003</v>
      </c>
      <c r="M189" s="602">
        <v>3.0329999999999999</v>
      </c>
      <c r="N189" s="602">
        <v>1.99</v>
      </c>
      <c r="O189" s="602">
        <v>-8.3030000000000008</v>
      </c>
      <c r="P189" s="602">
        <v>0</v>
      </c>
      <c r="Q189" s="602">
        <v>-7.5419999999999998</v>
      </c>
      <c r="R189" s="602">
        <v>7.9720000000000004</v>
      </c>
      <c r="S189" s="602">
        <v>9.1319999999999997</v>
      </c>
      <c r="T189" s="602">
        <v>10.247999999999999</v>
      </c>
      <c r="U189" s="602">
        <v>6.9459999999999997</v>
      </c>
      <c r="V189" s="602">
        <v>0.79500000000000004</v>
      </c>
      <c r="W189" s="602">
        <v>-28.225999999999999</v>
      </c>
      <c r="X189" s="602">
        <v>-0.80100000000000005</v>
      </c>
      <c r="Y189" s="602">
        <v>-3.746</v>
      </c>
      <c r="Z189" s="602">
        <v>-13.458</v>
      </c>
      <c r="AA189" s="602">
        <v>4.2720000000000002</v>
      </c>
      <c r="AB189" s="602">
        <v>2.3639999999999999</v>
      </c>
      <c r="AC189" s="602">
        <v>2.0680000000000001</v>
      </c>
      <c r="AD189" s="602">
        <v>-1.8640000000000001</v>
      </c>
      <c r="AE189" s="602">
        <v>3.2490000000000001</v>
      </c>
      <c r="AF189" s="602">
        <v>3.75</v>
      </c>
      <c r="AG189" s="602">
        <v>0.23300000000000001</v>
      </c>
      <c r="AH189" s="602">
        <v>-3.214</v>
      </c>
      <c r="AI189" s="602">
        <v>1.728</v>
      </c>
      <c r="AJ189" s="602">
        <v>1.6679999999999999</v>
      </c>
      <c r="AK189" s="1381">
        <v>29.343</v>
      </c>
      <c r="AL189" s="1381">
        <v>3.399</v>
      </c>
      <c r="AM189" s="1381">
        <v>-40.36</v>
      </c>
      <c r="AN189" s="1381">
        <v>8.8469999999999995</v>
      </c>
      <c r="AO189" s="1381">
        <v>-5.2850000000000001</v>
      </c>
      <c r="AP189" s="1381">
        <v>-11.321999999999999</v>
      </c>
      <c r="AQ189" s="1381">
        <v>-1.5660000000000001</v>
      </c>
      <c r="AR189" s="861">
        <v>19.448</v>
      </c>
      <c r="AS189" s="861">
        <v>17.646999999999998</v>
      </c>
      <c r="AT189" s="861">
        <v>15.539</v>
      </c>
      <c r="AU189" s="52"/>
      <c r="AV189" s="52"/>
      <c r="AW189" s="52"/>
      <c r="AX189" s="52"/>
      <c r="AY189" s="52"/>
      <c r="AZ189" s="52"/>
      <c r="BA189" s="52"/>
      <c r="BB189" s="52"/>
      <c r="BC189" s="52"/>
      <c r="BD189" s="52"/>
      <c r="BE189" s="52"/>
      <c r="BF189" s="52"/>
      <c r="BG189" s="52"/>
      <c r="BH189" s="52"/>
      <c r="BI189" s="52"/>
      <c r="BJ189" s="52"/>
      <c r="BK189" s="52"/>
      <c r="BL189" s="52"/>
      <c r="BM189" s="52"/>
      <c r="BN189" s="52"/>
    </row>
    <row r="190" spans="1:66">
      <c r="A190" s="1733" t="s">
        <v>834</v>
      </c>
      <c r="B190" s="602">
        <v>22.811</v>
      </c>
      <c r="C190" s="199">
        <f>1.172+3.233</f>
        <v>4.4050000000000002</v>
      </c>
      <c r="D190" s="199">
        <f>-1.172+2.392</f>
        <v>1.22</v>
      </c>
      <c r="E190" s="602">
        <v>2.6019999999999999</v>
      </c>
      <c r="F190" s="199">
        <f>3.527+0.698</f>
        <v>4.2249999999999996</v>
      </c>
      <c r="G190" s="602">
        <v>1.0309999999999999</v>
      </c>
      <c r="H190" s="602">
        <v>2.6680000000000001</v>
      </c>
      <c r="I190" s="199">
        <f>-7.473-7.886</f>
        <v>-15.359</v>
      </c>
      <c r="J190" s="602">
        <v>0</v>
      </c>
      <c r="K190" s="602">
        <v>0</v>
      </c>
      <c r="L190" s="602">
        <v>0</v>
      </c>
      <c r="M190" s="602">
        <v>0</v>
      </c>
      <c r="N190" s="602">
        <v>0</v>
      </c>
      <c r="O190" s="602">
        <v>0</v>
      </c>
      <c r="P190" s="602">
        <v>0</v>
      </c>
      <c r="Q190" s="602">
        <v>0</v>
      </c>
      <c r="R190" s="602">
        <v>5.4470000000000001</v>
      </c>
      <c r="S190" s="602">
        <v>-4.2560000000000002</v>
      </c>
      <c r="T190" s="602">
        <v>1.0089999999999999</v>
      </c>
      <c r="U190" s="602">
        <v>1.603</v>
      </c>
      <c r="V190" s="199"/>
      <c r="W190" s="602">
        <v>0</v>
      </c>
      <c r="X190" s="602">
        <v>1.2769999999999999</v>
      </c>
      <c r="Y190" s="602">
        <v>0.83499999999999996</v>
      </c>
      <c r="Z190" s="602">
        <v>-0.246</v>
      </c>
      <c r="AA190" s="602">
        <v>-8.1000000000000003E-2</v>
      </c>
      <c r="AB190" s="602">
        <v>1.405</v>
      </c>
      <c r="AC190" s="602">
        <v>-1.405</v>
      </c>
      <c r="AD190" s="602">
        <v>0</v>
      </c>
      <c r="AE190" s="602">
        <v>0</v>
      </c>
      <c r="AF190" s="602">
        <v>0</v>
      </c>
      <c r="AG190" s="602">
        <v>0</v>
      </c>
      <c r="AH190" s="602">
        <v>0</v>
      </c>
      <c r="AI190" s="602">
        <v>0</v>
      </c>
      <c r="AJ190" s="602">
        <v>0</v>
      </c>
      <c r="AK190" s="602">
        <v>0</v>
      </c>
      <c r="AL190" s="602">
        <v>0</v>
      </c>
      <c r="AM190" s="602">
        <v>0</v>
      </c>
      <c r="AN190" s="602">
        <v>0</v>
      </c>
      <c r="AO190" s="602">
        <v>0</v>
      </c>
      <c r="AP190" s="602">
        <v>0</v>
      </c>
      <c r="AQ190" s="602">
        <v>0</v>
      </c>
      <c r="AR190" s="859">
        <v>0</v>
      </c>
      <c r="AS190" s="859">
        <v>0</v>
      </c>
      <c r="AT190" s="859">
        <v>0</v>
      </c>
      <c r="AU190" s="52"/>
      <c r="AV190" s="52"/>
      <c r="AW190" s="52"/>
      <c r="AX190" s="52"/>
      <c r="AY190" s="52"/>
      <c r="AZ190" s="52"/>
      <c r="BA190" s="52"/>
      <c r="BB190" s="52"/>
      <c r="BC190" s="52"/>
      <c r="BD190" s="52"/>
      <c r="BE190" s="52"/>
      <c r="BF190" s="52"/>
      <c r="BG190" s="52"/>
      <c r="BH190" s="52"/>
      <c r="BI190" s="52"/>
      <c r="BJ190" s="52"/>
      <c r="BK190" s="52"/>
      <c r="BL190" s="52"/>
      <c r="BM190" s="52"/>
      <c r="BN190" s="52"/>
    </row>
    <row r="191" spans="1:66">
      <c r="A191" s="1733" t="s">
        <v>1196</v>
      </c>
      <c r="B191" s="602">
        <v>0</v>
      </c>
      <c r="C191" s="602">
        <v>0</v>
      </c>
      <c r="D191" s="602">
        <v>0</v>
      </c>
      <c r="E191" s="602">
        <v>0</v>
      </c>
      <c r="F191" s="602">
        <v>0</v>
      </c>
      <c r="G191" s="602">
        <v>0</v>
      </c>
      <c r="H191" s="602">
        <v>0</v>
      </c>
      <c r="I191" s="602">
        <v>0</v>
      </c>
      <c r="J191" s="602">
        <v>0</v>
      </c>
      <c r="K191" s="602">
        <v>0</v>
      </c>
      <c r="L191" s="602">
        <v>0</v>
      </c>
      <c r="M191" s="602">
        <v>0</v>
      </c>
      <c r="N191" s="602">
        <v>0</v>
      </c>
      <c r="O191" s="602">
        <v>0</v>
      </c>
      <c r="P191" s="602">
        <v>0</v>
      </c>
      <c r="Q191" s="602">
        <v>0</v>
      </c>
      <c r="R191" s="602">
        <v>0</v>
      </c>
      <c r="S191" s="602">
        <v>0</v>
      </c>
      <c r="T191" s="602">
        <v>0</v>
      </c>
      <c r="U191" s="1575">
        <v>0</v>
      </c>
      <c r="V191" s="1575">
        <v>0</v>
      </c>
      <c r="W191" s="1575">
        <v>0</v>
      </c>
      <c r="X191" s="1575">
        <v>0</v>
      </c>
      <c r="Y191" s="1575">
        <v>0</v>
      </c>
      <c r="Z191" s="1575">
        <v>0</v>
      </c>
      <c r="AA191" s="1575">
        <v>0</v>
      </c>
      <c r="AB191" s="1575">
        <v>0</v>
      </c>
      <c r="AC191" s="1575">
        <v>0</v>
      </c>
      <c r="AD191" s="1575">
        <v>0</v>
      </c>
      <c r="AE191" s="1575">
        <v>0</v>
      </c>
      <c r="AF191" s="1575">
        <v>0</v>
      </c>
      <c r="AG191" s="1575">
        <v>0</v>
      </c>
      <c r="AH191" s="1575">
        <v>6.3869999999999996</v>
      </c>
      <c r="AI191" s="1575">
        <v>18.72</v>
      </c>
      <c r="AJ191" s="1575">
        <v>9.202</v>
      </c>
      <c r="AK191" s="1576">
        <v>21.47</v>
      </c>
      <c r="AL191" s="1576">
        <v>25.585999999999999</v>
      </c>
      <c r="AM191" s="1576">
        <v>22.843</v>
      </c>
      <c r="AN191" s="1576">
        <v>50.616</v>
      </c>
      <c r="AO191" s="1576">
        <v>4.7</v>
      </c>
      <c r="AP191" s="1576">
        <v>67.988</v>
      </c>
      <c r="AQ191" s="1576">
        <v>54.88</v>
      </c>
      <c r="AR191" s="2184">
        <v>2.4</v>
      </c>
      <c r="AS191" s="2184">
        <v>-5.8019999999999996</v>
      </c>
      <c r="AT191" s="2184">
        <v>55.509</v>
      </c>
      <c r="AU191" s="731"/>
      <c r="AV191" s="731"/>
      <c r="AW191" s="731"/>
      <c r="AX191" s="731"/>
      <c r="AY191" s="731"/>
      <c r="AZ191" s="731"/>
      <c r="BA191" s="731"/>
      <c r="BB191" s="731"/>
      <c r="BC191" s="731"/>
      <c r="BD191" s="731"/>
      <c r="BE191" s="731"/>
      <c r="BF191" s="731"/>
      <c r="BG191" s="731"/>
      <c r="BH191" s="731"/>
      <c r="BI191" s="731"/>
      <c r="BJ191" s="731"/>
      <c r="BK191" s="731"/>
      <c r="BL191" s="731"/>
      <c r="BM191" s="731"/>
      <c r="BN191" s="52"/>
    </row>
    <row r="192" spans="1:66">
      <c r="A192" s="1857" t="s">
        <v>1419</v>
      </c>
      <c r="B192" s="686">
        <f t="shared" ref="B192:AT192" si="158">ROUND(ABS(B184-B186-SUM(B187:B191)),0)</f>
        <v>0</v>
      </c>
      <c r="C192" s="686">
        <f t="shared" si="158"/>
        <v>0</v>
      </c>
      <c r="D192" s="686">
        <f t="shared" si="158"/>
        <v>0</v>
      </c>
      <c r="E192" s="686">
        <f t="shared" si="158"/>
        <v>0</v>
      </c>
      <c r="F192" s="686">
        <f t="shared" si="158"/>
        <v>0</v>
      </c>
      <c r="G192" s="686">
        <f t="shared" si="158"/>
        <v>0</v>
      </c>
      <c r="H192" s="686">
        <f t="shared" si="158"/>
        <v>0</v>
      </c>
      <c r="I192" s="686">
        <f t="shared" si="158"/>
        <v>0</v>
      </c>
      <c r="J192" s="685">
        <f t="shared" si="158"/>
        <v>0</v>
      </c>
      <c r="K192" s="685">
        <f t="shared" si="158"/>
        <v>0</v>
      </c>
      <c r="L192" s="685">
        <f t="shared" si="158"/>
        <v>0</v>
      </c>
      <c r="M192" s="685">
        <f t="shared" si="158"/>
        <v>0</v>
      </c>
      <c r="N192" s="685">
        <f t="shared" si="158"/>
        <v>0</v>
      </c>
      <c r="O192" s="685">
        <f t="shared" si="158"/>
        <v>0</v>
      </c>
      <c r="P192" s="685">
        <f t="shared" si="158"/>
        <v>0</v>
      </c>
      <c r="Q192" s="685">
        <f t="shared" si="158"/>
        <v>7</v>
      </c>
      <c r="R192" s="685">
        <f t="shared" si="158"/>
        <v>0</v>
      </c>
      <c r="S192" s="685">
        <f t="shared" si="158"/>
        <v>0</v>
      </c>
      <c r="T192" s="685">
        <f t="shared" si="158"/>
        <v>0</v>
      </c>
      <c r="U192" s="1518">
        <f t="shared" si="158"/>
        <v>0</v>
      </c>
      <c r="V192" s="1518">
        <f t="shared" si="158"/>
        <v>0</v>
      </c>
      <c r="W192" s="1518">
        <f t="shared" si="158"/>
        <v>0</v>
      </c>
      <c r="X192" s="1518">
        <f t="shared" si="158"/>
        <v>0</v>
      </c>
      <c r="Y192" s="1518">
        <f t="shared" si="158"/>
        <v>0</v>
      </c>
      <c r="Z192" s="1518">
        <f t="shared" si="158"/>
        <v>0</v>
      </c>
      <c r="AA192" s="1518">
        <f t="shared" si="158"/>
        <v>0</v>
      </c>
      <c r="AB192" s="1518">
        <f t="shared" si="158"/>
        <v>0</v>
      </c>
      <c r="AC192" s="1518">
        <f t="shared" si="158"/>
        <v>0</v>
      </c>
      <c r="AD192" s="1518">
        <f t="shared" si="158"/>
        <v>0</v>
      </c>
      <c r="AE192" s="1518">
        <f t="shared" si="158"/>
        <v>0</v>
      </c>
      <c r="AF192" s="1518">
        <f t="shared" si="158"/>
        <v>0</v>
      </c>
      <c r="AG192" s="1518">
        <f t="shared" si="158"/>
        <v>0</v>
      </c>
      <c r="AH192" s="1518">
        <f t="shared" si="158"/>
        <v>0</v>
      </c>
      <c r="AI192" s="1518">
        <f t="shared" si="158"/>
        <v>0</v>
      </c>
      <c r="AJ192" s="1518">
        <f t="shared" si="158"/>
        <v>0</v>
      </c>
      <c r="AK192" s="1577">
        <f t="shared" si="158"/>
        <v>0</v>
      </c>
      <c r="AL192" s="1518">
        <f>ROUND(ABS(AL184-AL186-SUM(AL187:AL191)),0)</f>
        <v>0</v>
      </c>
      <c r="AM192" s="1518">
        <f t="shared" si="158"/>
        <v>0</v>
      </c>
      <c r="AN192" s="1518">
        <f t="shared" si="158"/>
        <v>0</v>
      </c>
      <c r="AO192" s="1518">
        <f t="shared" si="158"/>
        <v>0</v>
      </c>
      <c r="AP192" s="1518">
        <f t="shared" si="158"/>
        <v>0</v>
      </c>
      <c r="AQ192" s="1518">
        <f t="shared" si="158"/>
        <v>0</v>
      </c>
      <c r="AR192" s="1518">
        <f t="shared" si="158"/>
        <v>0</v>
      </c>
      <c r="AS192" s="1518">
        <f t="shared" si="158"/>
        <v>0</v>
      </c>
      <c r="AT192" s="1518">
        <f t="shared" si="158"/>
        <v>0</v>
      </c>
      <c r="AU192" s="731"/>
      <c r="AV192" s="731"/>
      <c r="AW192" s="731"/>
      <c r="AX192" s="731"/>
      <c r="AY192" s="731"/>
      <c r="AZ192" s="731"/>
      <c r="BA192" s="731"/>
      <c r="BB192" s="731"/>
      <c r="BC192" s="731"/>
      <c r="BD192" s="731"/>
      <c r="BE192" s="731"/>
      <c r="BF192" s="731"/>
      <c r="BG192" s="731"/>
      <c r="BH192" s="731"/>
      <c r="BI192" s="731"/>
      <c r="BJ192" s="731"/>
      <c r="BK192" s="731"/>
      <c r="BL192" s="731"/>
      <c r="BM192" s="731"/>
      <c r="BN192" s="52"/>
    </row>
    <row r="193" spans="1:66">
      <c r="A193" s="1756" t="s">
        <v>1397</v>
      </c>
      <c r="B193" s="631">
        <v>38898</v>
      </c>
      <c r="C193" s="631">
        <v>38990</v>
      </c>
      <c r="D193" s="631">
        <v>39082</v>
      </c>
      <c r="E193" s="631">
        <v>39172</v>
      </c>
      <c r="F193" s="631">
        <v>39263</v>
      </c>
      <c r="G193" s="631">
        <v>39355</v>
      </c>
      <c r="H193" s="631">
        <v>39447</v>
      </c>
      <c r="I193" s="631">
        <v>39538</v>
      </c>
      <c r="J193" s="631">
        <v>39629</v>
      </c>
      <c r="K193" s="631">
        <v>39721</v>
      </c>
      <c r="L193" s="631">
        <v>39813</v>
      </c>
      <c r="M193" s="631">
        <v>39903</v>
      </c>
      <c r="N193" s="631">
        <v>39994</v>
      </c>
      <c r="O193" s="631">
        <v>40086</v>
      </c>
      <c r="P193" s="631">
        <v>40178</v>
      </c>
      <c r="Q193" s="631">
        <v>40268</v>
      </c>
      <c r="R193" s="631">
        <v>40359</v>
      </c>
      <c r="S193" s="631">
        <v>40451</v>
      </c>
      <c r="T193" s="631">
        <v>40543</v>
      </c>
      <c r="U193" s="631">
        <v>40633</v>
      </c>
      <c r="V193" s="631">
        <v>40724</v>
      </c>
      <c r="W193" s="631">
        <v>40816</v>
      </c>
      <c r="X193" s="631">
        <v>40908</v>
      </c>
      <c r="Y193" s="631">
        <v>40999</v>
      </c>
      <c r="Z193" s="631">
        <v>41090</v>
      </c>
      <c r="AA193" s="631">
        <v>41182</v>
      </c>
      <c r="AB193" s="631">
        <v>41274</v>
      </c>
      <c r="AC193" s="631">
        <v>41364</v>
      </c>
      <c r="AD193" s="631">
        <v>41455</v>
      </c>
      <c r="AE193" s="631">
        <v>41547</v>
      </c>
      <c r="AF193" s="631">
        <v>41639</v>
      </c>
      <c r="AG193" s="631">
        <v>41729</v>
      </c>
      <c r="AH193" s="631">
        <v>41820</v>
      </c>
      <c r="AI193" s="631">
        <v>41912</v>
      </c>
      <c r="AJ193" s="631">
        <v>42004</v>
      </c>
      <c r="AK193" s="631">
        <v>42094</v>
      </c>
      <c r="AL193" s="631">
        <v>42185</v>
      </c>
      <c r="AM193" s="631">
        <v>42277</v>
      </c>
      <c r="AN193" s="631">
        <v>42369</v>
      </c>
      <c r="AO193" s="631">
        <v>42460</v>
      </c>
      <c r="AP193" s="631">
        <v>42551</v>
      </c>
      <c r="AQ193" s="631">
        <v>42643</v>
      </c>
      <c r="AR193" s="631">
        <v>42735</v>
      </c>
      <c r="AS193" s="631">
        <v>42825</v>
      </c>
      <c r="AT193" s="631">
        <v>42916</v>
      </c>
      <c r="AU193" s="607">
        <v>43008</v>
      </c>
      <c r="AV193" s="607">
        <v>43100</v>
      </c>
      <c r="AW193" s="607">
        <v>43190</v>
      </c>
      <c r="AX193" s="607">
        <v>43281</v>
      </c>
      <c r="AY193" s="607">
        <v>43373</v>
      </c>
      <c r="AZ193" s="607">
        <v>43465</v>
      </c>
      <c r="BA193" s="607">
        <v>43555</v>
      </c>
      <c r="BB193" s="607"/>
      <c r="BC193" s="607"/>
      <c r="BD193" s="607"/>
      <c r="BE193" s="607"/>
      <c r="BF193" s="607"/>
      <c r="BG193" s="607"/>
      <c r="BH193" s="607"/>
      <c r="BI193" s="607"/>
      <c r="BJ193" s="607"/>
      <c r="BK193" s="607"/>
      <c r="BL193" s="607"/>
      <c r="BM193" s="618"/>
      <c r="BN193" s="52"/>
    </row>
    <row r="194" spans="1:66">
      <c r="A194" s="1736" t="s">
        <v>403</v>
      </c>
      <c r="B194" s="195">
        <f t="shared" ref="B194:AG194" si="159">SUM(B195:B200)</f>
        <v>171.05700000000002</v>
      </c>
      <c r="C194" s="195">
        <f t="shared" si="159"/>
        <v>511.029</v>
      </c>
      <c r="D194" s="195">
        <f t="shared" si="159"/>
        <v>393.47699999999998</v>
      </c>
      <c r="E194" s="195">
        <f t="shared" si="159"/>
        <v>601.43100000000004</v>
      </c>
      <c r="F194" s="195">
        <f t="shared" si="159"/>
        <v>562.00099999999998</v>
      </c>
      <c r="G194" s="195">
        <f t="shared" si="159"/>
        <v>597.51900000000001</v>
      </c>
      <c r="H194" s="195">
        <f t="shared" si="159"/>
        <v>554.01400000000001</v>
      </c>
      <c r="I194" s="195">
        <f t="shared" si="159"/>
        <v>397.74</v>
      </c>
      <c r="J194" s="195">
        <f t="shared" si="159"/>
        <v>411.358</v>
      </c>
      <c r="K194" s="195">
        <f t="shared" si="159"/>
        <v>745.20900000000006</v>
      </c>
      <c r="L194" s="195">
        <f t="shared" si="159"/>
        <v>711.899</v>
      </c>
      <c r="M194" s="195">
        <f t="shared" si="159"/>
        <v>601.99299999999994</v>
      </c>
      <c r="N194" s="195">
        <f t="shared" si="159"/>
        <v>580.09799999999996</v>
      </c>
      <c r="O194" s="195">
        <f t="shared" si="159"/>
        <v>706.74600000000009</v>
      </c>
      <c r="P194" s="195">
        <f t="shared" si="159"/>
        <v>745.92000000000007</v>
      </c>
      <c r="Q194" s="195">
        <f t="shared" si="159"/>
        <v>413.59500000000003</v>
      </c>
      <c r="R194" s="195">
        <f t="shared" si="159"/>
        <v>737.18099999999993</v>
      </c>
      <c r="S194" s="195">
        <f t="shared" si="159"/>
        <v>911.48599999999999</v>
      </c>
      <c r="T194" s="195">
        <f t="shared" si="159"/>
        <v>835.77300000000014</v>
      </c>
      <c r="U194" s="195">
        <f t="shared" si="159"/>
        <v>664.59020799999996</v>
      </c>
      <c r="V194" s="195">
        <f t="shared" si="159"/>
        <v>861.49030400000004</v>
      </c>
      <c r="W194" s="195">
        <f t="shared" si="159"/>
        <v>1056.6689799999999</v>
      </c>
      <c r="X194" s="195">
        <f t="shared" si="159"/>
        <v>1257.1606120000001</v>
      </c>
      <c r="Y194" s="195">
        <f t="shared" si="159"/>
        <v>944.21537599999999</v>
      </c>
      <c r="Z194" s="195">
        <f t="shared" si="159"/>
        <v>1473.4173079999998</v>
      </c>
      <c r="AA194" s="195">
        <f t="shared" si="159"/>
        <v>1624.032956</v>
      </c>
      <c r="AB194" s="195">
        <f t="shared" si="159"/>
        <v>1594.9801159999997</v>
      </c>
      <c r="AC194" s="195">
        <f t="shared" si="159"/>
        <v>1386.0115999999998</v>
      </c>
      <c r="AD194" s="195">
        <f t="shared" si="159"/>
        <v>1441.3331439999999</v>
      </c>
      <c r="AE194" s="195">
        <f t="shared" si="159"/>
        <v>1602.58448</v>
      </c>
      <c r="AF194" s="195">
        <f t="shared" si="159"/>
        <v>1598.6388960000002</v>
      </c>
      <c r="AG194" s="195">
        <f t="shared" si="159"/>
        <v>1459.649392</v>
      </c>
      <c r="AH194" s="195">
        <f t="shared" ref="AH194:BA194" si="160">SUM(AH195:AH200)</f>
        <v>1942.7250119999999</v>
      </c>
      <c r="AI194" s="195">
        <f t="shared" si="160"/>
        <v>2209.136352</v>
      </c>
      <c r="AJ194" s="195">
        <f t="shared" si="160"/>
        <v>2304.5081319999999</v>
      </c>
      <c r="AK194" s="1376">
        <f t="shared" si="160"/>
        <v>2418.3426519999998</v>
      </c>
      <c r="AL194" s="195">
        <f t="shared" si="160"/>
        <v>2609.4667519999998</v>
      </c>
      <c r="AM194" s="195">
        <f t="shared" si="160"/>
        <v>2753.8140360000002</v>
      </c>
      <c r="AN194" s="195">
        <f t="shared" si="160"/>
        <v>2538.6699079999999</v>
      </c>
      <c r="AO194" s="195">
        <f t="shared" si="160"/>
        <v>2394.7669999999998</v>
      </c>
      <c r="AP194" s="195">
        <f t="shared" si="160"/>
        <v>2285.33</v>
      </c>
      <c r="AQ194" s="195">
        <f t="shared" si="160"/>
        <v>2741.2939999999999</v>
      </c>
      <c r="AR194" s="2180">
        <v>2688.2089999999998</v>
      </c>
      <c r="AS194" s="2180">
        <f t="shared" si="160"/>
        <v>2482.9960000000001</v>
      </c>
      <c r="AT194" s="2180">
        <f t="shared" si="160"/>
        <v>3098.88</v>
      </c>
      <c r="AU194" s="195"/>
      <c r="AV194" s="195">
        <f t="shared" si="160"/>
        <v>0</v>
      </c>
      <c r="AW194" s="195">
        <f t="shared" si="160"/>
        <v>0</v>
      </c>
      <c r="AX194" s="195">
        <f t="shared" si="160"/>
        <v>0</v>
      </c>
      <c r="AY194" s="195">
        <f t="shared" si="160"/>
        <v>0</v>
      </c>
      <c r="AZ194" s="195">
        <f t="shared" si="160"/>
        <v>0</v>
      </c>
      <c r="BA194" s="195">
        <f t="shared" si="160"/>
        <v>0</v>
      </c>
      <c r="BB194" s="52"/>
      <c r="BC194" s="52"/>
      <c r="BD194" s="52"/>
      <c r="BE194" s="52"/>
      <c r="BF194" s="52"/>
      <c r="BG194" s="52"/>
      <c r="BH194" s="52"/>
      <c r="BI194" s="52"/>
      <c r="BJ194" s="52"/>
      <c r="BK194" s="52"/>
      <c r="BL194" s="52"/>
      <c r="BM194" s="52"/>
      <c r="BN194" s="52"/>
    </row>
    <row r="195" spans="1:66">
      <c r="A195" s="1757" t="s">
        <v>425</v>
      </c>
      <c r="B195" s="860">
        <v>30.719000000000001</v>
      </c>
      <c r="C195" s="860">
        <v>70.356999999999999</v>
      </c>
      <c r="D195" s="860">
        <v>63.993000000000002</v>
      </c>
      <c r="E195" s="860">
        <f>296.407+70.557</f>
        <v>366.964</v>
      </c>
      <c r="F195" s="860">
        <v>253.96899999999999</v>
      </c>
      <c r="G195" s="860">
        <v>185.99199999999999</v>
      </c>
      <c r="H195" s="860">
        <v>148.696</v>
      </c>
      <c r="I195" s="860">
        <v>72.534000000000006</v>
      </c>
      <c r="J195" s="860">
        <v>57.177</v>
      </c>
      <c r="K195" s="860">
        <v>228.23500000000001</v>
      </c>
      <c r="L195" s="860">
        <v>150.578</v>
      </c>
      <c r="M195" s="860">
        <f>190.063+6.11</f>
        <v>196.173</v>
      </c>
      <c r="N195" s="860">
        <f>112.108+13.062</f>
        <v>125.17</v>
      </c>
      <c r="O195" s="860">
        <f>119.135+16.969</f>
        <v>136.10400000000001</v>
      </c>
      <c r="P195" s="860">
        <f>138.61+11.446</f>
        <v>150.05600000000001</v>
      </c>
      <c r="Q195" s="860">
        <f>130.634+58.404</f>
        <v>189.03799999999998</v>
      </c>
      <c r="R195" s="860">
        <f>210.723+37.793</f>
        <v>248.51600000000002</v>
      </c>
      <c r="S195" s="860">
        <f>216.386+16.562</f>
        <v>232.94800000000001</v>
      </c>
      <c r="T195" s="860">
        <v>249.655</v>
      </c>
      <c r="U195" s="860">
        <v>222.21899999999999</v>
      </c>
      <c r="V195" s="860">
        <f>323.884+15.191</f>
        <v>339.07499999999999</v>
      </c>
      <c r="W195" s="860">
        <v>274.62599999999998</v>
      </c>
      <c r="X195" s="860">
        <v>464.10199999999998</v>
      </c>
      <c r="Y195" s="860">
        <v>410.56700000000001</v>
      </c>
      <c r="Z195" s="860">
        <v>793.06399999999996</v>
      </c>
      <c r="AA195" s="819">
        <v>711.33600000000001</v>
      </c>
      <c r="AB195" s="819">
        <v>574.01300000000003</v>
      </c>
      <c r="AC195" s="819">
        <v>634.29</v>
      </c>
      <c r="AD195" s="819">
        <v>576.85699999999997</v>
      </c>
      <c r="AE195" s="819">
        <v>578.923</v>
      </c>
      <c r="AF195" s="819">
        <v>533.58799999999997</v>
      </c>
      <c r="AG195" s="819">
        <v>670.74099999999999</v>
      </c>
      <c r="AH195" s="819">
        <v>873.36300000000006</v>
      </c>
      <c r="AI195" s="819">
        <v>651.46299999999997</v>
      </c>
      <c r="AJ195" s="819">
        <v>647.70399999999995</v>
      </c>
      <c r="AK195" s="835">
        <v>1126.5170000000001</v>
      </c>
      <c r="AL195" s="485">
        <v>1073.1369999999999</v>
      </c>
      <c r="AM195" s="485">
        <v>627.95399999999995</v>
      </c>
      <c r="AN195" s="485">
        <v>346.53199999999998</v>
      </c>
      <c r="AO195" s="485">
        <v>267.315</v>
      </c>
      <c r="AP195" s="485">
        <v>173.494</v>
      </c>
      <c r="AQ195" s="485">
        <v>215.148</v>
      </c>
      <c r="AR195" s="819">
        <v>231.17699999999999</v>
      </c>
      <c r="AS195" s="819">
        <v>143.00200000000001</v>
      </c>
      <c r="AT195" s="819">
        <v>80.525999999999996</v>
      </c>
      <c r="AU195" s="327"/>
      <c r="AV195" s="327"/>
      <c r="AW195" s="327"/>
      <c r="AX195" s="327"/>
      <c r="AY195" s="327"/>
      <c r="AZ195" s="327"/>
      <c r="BA195" s="327"/>
      <c r="BB195" s="52"/>
      <c r="BC195" s="52"/>
      <c r="BD195" s="52"/>
      <c r="BE195" s="52"/>
      <c r="BF195" s="52"/>
      <c r="BG195" s="52"/>
      <c r="BH195" s="52"/>
      <c r="BI195" s="52"/>
      <c r="BJ195" s="52"/>
      <c r="BK195" s="52"/>
      <c r="BL195" s="52"/>
      <c r="BM195" s="52"/>
      <c r="BN195" s="198"/>
    </row>
    <row r="196" spans="1:66">
      <c r="A196" s="1757" t="s">
        <v>1314</v>
      </c>
      <c r="B196" s="860"/>
      <c r="C196" s="860"/>
      <c r="D196" s="860"/>
      <c r="E196" s="860"/>
      <c r="F196" s="860"/>
      <c r="G196" s="860"/>
      <c r="H196" s="860"/>
      <c r="I196" s="860"/>
      <c r="J196" s="860"/>
      <c r="K196" s="860"/>
      <c r="L196" s="860"/>
      <c r="M196" s="860"/>
      <c r="N196" s="860"/>
      <c r="O196" s="860"/>
      <c r="P196" s="860"/>
      <c r="Q196" s="860"/>
      <c r="R196" s="860"/>
      <c r="S196" s="860"/>
      <c r="T196" s="860"/>
      <c r="U196" s="860"/>
      <c r="V196" s="860"/>
      <c r="W196" s="860"/>
      <c r="X196" s="860"/>
      <c r="Y196" s="860"/>
      <c r="Z196" s="860"/>
      <c r="AA196" s="819"/>
      <c r="AB196" s="819"/>
      <c r="AC196" s="819"/>
      <c r="AD196" s="819"/>
      <c r="AE196" s="819"/>
      <c r="AF196" s="819"/>
      <c r="AG196" s="819"/>
      <c r="AH196" s="819"/>
      <c r="AI196" s="819"/>
      <c r="AJ196" s="819"/>
      <c r="AK196" s="835"/>
      <c r="AL196" s="485"/>
      <c r="AM196" s="485">
        <v>284.45100000000002</v>
      </c>
      <c r="AN196" s="485">
        <v>409.34300000000002</v>
      </c>
      <c r="AO196" s="485">
        <v>839.12699999999995</v>
      </c>
      <c r="AP196" s="485">
        <v>442.72</v>
      </c>
      <c r="AQ196" s="485">
        <v>698.93799999999999</v>
      </c>
      <c r="AR196" s="819">
        <v>648.72799999999995</v>
      </c>
      <c r="AS196" s="819">
        <v>1029.1130000000001</v>
      </c>
      <c r="AT196" s="819">
        <v>1260.2629999999999</v>
      </c>
      <c r="AU196" s="327"/>
      <c r="AV196" s="327"/>
      <c r="AW196" s="327"/>
      <c r="AX196" s="327"/>
      <c r="AY196" s="327"/>
      <c r="AZ196" s="327"/>
      <c r="BA196" s="327"/>
      <c r="BB196" s="1401"/>
      <c r="BC196" s="1401"/>
      <c r="BD196" s="1401"/>
      <c r="BE196" s="1401"/>
      <c r="BF196" s="1401"/>
      <c r="BG196" s="1401"/>
      <c r="BH196" s="1401"/>
      <c r="BI196" s="1401"/>
      <c r="BJ196" s="1401"/>
      <c r="BK196" s="1401"/>
      <c r="BL196" s="1401"/>
      <c r="BM196" s="1401"/>
      <c r="BN196" s="198"/>
    </row>
    <row r="197" spans="1:66">
      <c r="A197" s="1757" t="s">
        <v>426</v>
      </c>
      <c r="B197" s="860">
        <v>25.184000000000001</v>
      </c>
      <c r="C197" s="860">
        <v>54.017000000000003</v>
      </c>
      <c r="D197" s="860">
        <v>42.670999999999999</v>
      </c>
      <c r="E197" s="860">
        <v>22.707999999999998</v>
      </c>
      <c r="F197" s="860">
        <v>41.273000000000003</v>
      </c>
      <c r="G197" s="860">
        <v>34.21</v>
      </c>
      <c r="H197" s="860">
        <v>26.902000000000001</v>
      </c>
      <c r="I197" s="860">
        <v>94.224999999999994</v>
      </c>
      <c r="J197" s="860">
        <v>41.875999999999998</v>
      </c>
      <c r="K197" s="860">
        <v>48.982999999999997</v>
      </c>
      <c r="L197" s="860">
        <v>35.475999999999999</v>
      </c>
      <c r="M197" s="860">
        <v>45.543999999999997</v>
      </c>
      <c r="N197" s="860">
        <v>27.882999999999999</v>
      </c>
      <c r="O197" s="860">
        <v>71.97</v>
      </c>
      <c r="P197" s="860">
        <v>62.804000000000002</v>
      </c>
      <c r="Q197" s="860">
        <v>41.628</v>
      </c>
      <c r="R197" s="860">
        <v>59.459000000000003</v>
      </c>
      <c r="S197" s="860">
        <v>72.236000000000004</v>
      </c>
      <c r="T197" s="860">
        <v>77.081999999999994</v>
      </c>
      <c r="U197" s="860">
        <v>59.673000000000002</v>
      </c>
      <c r="V197" s="860">
        <v>55.308999999999997</v>
      </c>
      <c r="W197" s="860">
        <v>62.49</v>
      </c>
      <c r="X197" s="860">
        <v>63.686</v>
      </c>
      <c r="Y197" s="860">
        <v>38.399000000000001</v>
      </c>
      <c r="Z197" s="860">
        <v>64.602000000000004</v>
      </c>
      <c r="AA197" s="819">
        <v>128.899</v>
      </c>
      <c r="AB197" s="819">
        <v>117.80500000000001</v>
      </c>
      <c r="AC197" s="819">
        <v>62.667000000000002</v>
      </c>
      <c r="AD197" s="819">
        <v>115.60299999999999</v>
      </c>
      <c r="AE197" s="819">
        <v>163.821</v>
      </c>
      <c r="AF197" s="819">
        <v>154.02600000000001</v>
      </c>
      <c r="AG197" s="819">
        <v>95.051000000000002</v>
      </c>
      <c r="AH197" s="819">
        <v>172.19300000000001</v>
      </c>
      <c r="AI197" s="819">
        <v>170.078</v>
      </c>
      <c r="AJ197" s="819">
        <v>231.72200000000001</v>
      </c>
      <c r="AK197" s="835">
        <v>168.03100000000001</v>
      </c>
      <c r="AL197" s="485">
        <v>155.40199999999999</v>
      </c>
      <c r="AM197" s="485">
        <v>218.637</v>
      </c>
      <c r="AN197" s="485">
        <v>249.09399999999999</v>
      </c>
      <c r="AO197" s="485">
        <v>116.965</v>
      </c>
      <c r="AP197" s="485">
        <v>160.38</v>
      </c>
      <c r="AQ197" s="485">
        <v>144.90899999999999</v>
      </c>
      <c r="AR197" s="819">
        <v>249.25700000000001</v>
      </c>
      <c r="AS197" s="819">
        <v>169.12899999999999</v>
      </c>
      <c r="AT197" s="819">
        <v>303.72300000000001</v>
      </c>
      <c r="AU197" s="327"/>
      <c r="AV197" s="327"/>
      <c r="AW197" s="327"/>
      <c r="AX197" s="327"/>
      <c r="AY197" s="327"/>
      <c r="AZ197" s="327"/>
      <c r="BA197" s="327"/>
      <c r="BB197" s="52"/>
      <c r="BC197" s="52"/>
      <c r="BD197" s="52"/>
      <c r="BE197" s="52"/>
      <c r="BF197" s="52"/>
      <c r="BG197" s="52"/>
      <c r="BH197" s="52"/>
      <c r="BI197" s="52"/>
      <c r="BJ197" s="52"/>
      <c r="BK197" s="52"/>
      <c r="BL197" s="52"/>
      <c r="BM197" s="52"/>
      <c r="BN197" s="52"/>
    </row>
    <row r="198" spans="1:66">
      <c r="A198" s="1757" t="s">
        <v>406</v>
      </c>
      <c r="B198" s="860">
        <v>98.257999999999996</v>
      </c>
      <c r="C198" s="860">
        <v>355.16500000000002</v>
      </c>
      <c r="D198" s="860">
        <v>251.108</v>
      </c>
      <c r="E198" s="860">
        <v>168.89</v>
      </c>
      <c r="F198" s="860">
        <v>215.65700000000001</v>
      </c>
      <c r="G198" s="860">
        <v>316.80399999999997</v>
      </c>
      <c r="H198" s="860">
        <v>313.15100000000001</v>
      </c>
      <c r="I198" s="860">
        <v>173.625</v>
      </c>
      <c r="J198" s="860">
        <v>261.125</v>
      </c>
      <c r="K198" s="860">
        <v>405.11200000000002</v>
      </c>
      <c r="L198" s="860">
        <v>467.77600000000001</v>
      </c>
      <c r="M198" s="860">
        <v>296.404</v>
      </c>
      <c r="N198" s="860">
        <v>353.05</v>
      </c>
      <c r="O198" s="860">
        <v>430.43</v>
      </c>
      <c r="P198" s="860">
        <v>447.58100000000002</v>
      </c>
      <c r="Q198" s="860">
        <v>105.069</v>
      </c>
      <c r="R198" s="860">
        <v>340.30599999999998</v>
      </c>
      <c r="S198" s="860">
        <v>510.65699999999998</v>
      </c>
      <c r="T198" s="860">
        <v>456.43400000000003</v>
      </c>
      <c r="U198" s="860">
        <v>139.10599999999999</v>
      </c>
      <c r="V198" s="860">
        <v>216.392</v>
      </c>
      <c r="W198" s="860">
        <v>443.851</v>
      </c>
      <c r="X198" s="860">
        <v>384.00599999999997</v>
      </c>
      <c r="Y198" s="860">
        <v>137.375</v>
      </c>
      <c r="Z198" s="860">
        <v>199.28899999999999</v>
      </c>
      <c r="AA198" s="819">
        <v>390.80200000000002</v>
      </c>
      <c r="AB198" s="819">
        <v>478.63</v>
      </c>
      <c r="AC198" s="819">
        <v>148.661</v>
      </c>
      <c r="AD198" s="819">
        <v>205.24700000000001</v>
      </c>
      <c r="AE198" s="819">
        <v>374.17399999999998</v>
      </c>
      <c r="AF198" s="819">
        <v>422.709</v>
      </c>
      <c r="AG198" s="819">
        <v>145.02799999999999</v>
      </c>
      <c r="AH198" s="819">
        <v>328.06200000000001</v>
      </c>
      <c r="AI198" s="819">
        <v>740.68399999999997</v>
      </c>
      <c r="AJ198" s="819">
        <v>690.79200000000003</v>
      </c>
      <c r="AK198" s="835">
        <v>212.97499999999999</v>
      </c>
      <c r="AL198" s="485">
        <v>550.15899999999999</v>
      </c>
      <c r="AM198" s="485">
        <v>797.13900000000001</v>
      </c>
      <c r="AN198" s="485">
        <v>759.49900000000002</v>
      </c>
      <c r="AO198" s="485">
        <v>270.35199999999998</v>
      </c>
      <c r="AP198" s="485">
        <v>556.52700000000004</v>
      </c>
      <c r="AQ198" s="485">
        <v>889.82399999999996</v>
      </c>
      <c r="AR198" s="819">
        <v>784.94600000000003</v>
      </c>
      <c r="AS198" s="819">
        <v>256.57400000000001</v>
      </c>
      <c r="AT198" s="819">
        <v>590.60400000000004</v>
      </c>
      <c r="AU198" s="327"/>
      <c r="AV198" s="327"/>
      <c r="AW198" s="327"/>
      <c r="AX198" s="327"/>
      <c r="AY198" s="327"/>
      <c r="AZ198" s="327"/>
      <c r="BA198" s="327"/>
      <c r="BB198" s="52"/>
      <c r="BC198" s="52"/>
      <c r="BD198" s="52"/>
      <c r="BE198" s="52"/>
      <c r="BF198" s="52"/>
      <c r="BG198" s="52"/>
      <c r="BH198" s="52"/>
      <c r="BI198" s="52"/>
      <c r="BJ198" s="52"/>
      <c r="BK198" s="52"/>
      <c r="BL198" s="52"/>
      <c r="BM198" s="52"/>
      <c r="BN198" s="52"/>
    </row>
    <row r="199" spans="1:66">
      <c r="A199" s="1757" t="s">
        <v>92</v>
      </c>
      <c r="B199" s="860">
        <v>16.896000000000001</v>
      </c>
      <c r="C199" s="860">
        <v>31.49</v>
      </c>
      <c r="D199" s="860">
        <v>35.686999999999998</v>
      </c>
      <c r="E199" s="860">
        <f>21.219+21.65</f>
        <v>42.869</v>
      </c>
      <c r="F199" s="860">
        <v>51.101999999999997</v>
      </c>
      <c r="G199" s="860">
        <v>60.512999999999998</v>
      </c>
      <c r="H199" s="860">
        <v>65.265000000000001</v>
      </c>
      <c r="I199" s="860">
        <f>42.006+15.35</f>
        <v>57.356000000000002</v>
      </c>
      <c r="J199" s="860">
        <v>51.18</v>
      </c>
      <c r="K199" s="860">
        <v>62.878999999999998</v>
      </c>
      <c r="L199" s="860">
        <v>58.069000000000003</v>
      </c>
      <c r="M199" s="860">
        <f>52.972+10.9</f>
        <v>63.872</v>
      </c>
      <c r="N199" s="860">
        <f>10.518+63.477</f>
        <v>73.995000000000005</v>
      </c>
      <c r="O199" s="860">
        <v>11.359</v>
      </c>
      <c r="P199" s="860">
        <v>10.537000000000001</v>
      </c>
      <c r="Q199" s="860">
        <v>6.0860000000000003</v>
      </c>
      <c r="R199" s="860">
        <v>11.579000000000001</v>
      </c>
      <c r="S199" s="860">
        <v>13.789</v>
      </c>
      <c r="T199" s="860">
        <v>8.2870000000000008</v>
      </c>
      <c r="U199" s="860">
        <f>5.967+5.692</f>
        <v>11.658999999999999</v>
      </c>
      <c r="V199" s="860">
        <f>30.525+5.71</f>
        <v>36.234999999999999</v>
      </c>
      <c r="W199" s="860">
        <v>5.8010000000000002</v>
      </c>
      <c r="X199" s="860">
        <f>31.444+12.993</f>
        <v>44.436999999999998</v>
      </c>
      <c r="Y199" s="860">
        <f>5.551+11.063</f>
        <v>16.614000000000001</v>
      </c>
      <c r="Z199" s="860">
        <f>50.204+12.385</f>
        <v>62.588999999999999</v>
      </c>
      <c r="AA199" s="819">
        <f>22.952+9.593</f>
        <v>32.545000000000002</v>
      </c>
      <c r="AB199" s="819">
        <f>42.592+13.131</f>
        <v>55.722999999999999</v>
      </c>
      <c r="AC199" s="819">
        <v>84.998000000000005</v>
      </c>
      <c r="AD199" s="819">
        <v>85.873999999999995</v>
      </c>
      <c r="AE199" s="819">
        <v>21.672999999999998</v>
      </c>
      <c r="AF199" s="819">
        <v>20.228000000000002</v>
      </c>
      <c r="AG199" s="819">
        <v>37.466999999999999</v>
      </c>
      <c r="AH199" s="819">
        <v>30.155000000000001</v>
      </c>
      <c r="AI199" s="819">
        <v>25.247</v>
      </c>
      <c r="AJ199" s="819">
        <v>20.696000000000002</v>
      </c>
      <c r="AK199" s="835">
        <v>68.718000000000004</v>
      </c>
      <c r="AL199" s="485">
        <v>83.635999999999996</v>
      </c>
      <c r="AM199" s="485">
        <v>94.132999999999996</v>
      </c>
      <c r="AN199" s="485">
        <v>89.763000000000005</v>
      </c>
      <c r="AO199" s="485">
        <v>119.78100000000001</v>
      </c>
      <c r="AP199" s="485">
        <v>121.256</v>
      </c>
      <c r="AQ199" s="485">
        <v>123.762</v>
      </c>
      <c r="AR199" s="819">
        <v>7.9000000000000001E-2</v>
      </c>
      <c r="AS199" s="819">
        <v>11.231999999999999</v>
      </c>
      <c r="AT199" s="819">
        <v>4.8849999999999998</v>
      </c>
      <c r="AU199" s="327"/>
      <c r="AV199" s="327"/>
      <c r="AW199" s="327"/>
      <c r="AX199" s="327"/>
      <c r="AY199" s="327"/>
      <c r="AZ199" s="327"/>
      <c r="BA199" s="327"/>
      <c r="BB199" s="52"/>
      <c r="BC199" s="52"/>
      <c r="BD199" s="52"/>
      <c r="BE199" s="52"/>
      <c r="BF199" s="52"/>
      <c r="BG199" s="52"/>
      <c r="BH199" s="52"/>
      <c r="BI199" s="52"/>
      <c r="BJ199" s="52"/>
      <c r="BK199" s="52"/>
      <c r="BL199" s="52"/>
      <c r="BM199" s="52"/>
      <c r="BN199" s="52"/>
    </row>
    <row r="200" spans="1:66">
      <c r="A200" s="1757" t="s">
        <v>93</v>
      </c>
      <c r="B200" s="860">
        <v>0</v>
      </c>
      <c r="C200" s="860">
        <v>0</v>
      </c>
      <c r="D200" s="860">
        <v>1.7999999999999999E-2</v>
      </c>
      <c r="E200" s="860">
        <v>0</v>
      </c>
      <c r="F200" s="860">
        <v>0</v>
      </c>
      <c r="G200" s="860">
        <v>0</v>
      </c>
      <c r="H200" s="860">
        <v>0</v>
      </c>
      <c r="I200" s="860">
        <v>0</v>
      </c>
      <c r="J200" s="860">
        <v>0</v>
      </c>
      <c r="K200" s="860">
        <v>0</v>
      </c>
      <c r="L200" s="860">
        <v>0</v>
      </c>
      <c r="M200" s="860">
        <v>0</v>
      </c>
      <c r="N200" s="860">
        <v>0</v>
      </c>
      <c r="O200" s="860">
        <v>56.883000000000003</v>
      </c>
      <c r="P200" s="860">
        <v>74.941999999999993</v>
      </c>
      <c r="Q200" s="860">
        <f>59.748+12.026</f>
        <v>71.774000000000001</v>
      </c>
      <c r="R200" s="860">
        <v>77.320999999999998</v>
      </c>
      <c r="S200" s="860">
        <v>81.855999999999995</v>
      </c>
      <c r="T200" s="860">
        <v>44.314999999999998</v>
      </c>
      <c r="U200" s="860">
        <f>33.52+5.037+U208*44.4%</f>
        <v>231.93320799999998</v>
      </c>
      <c r="V200" s="860">
        <f>16.87+V208*44.4%</f>
        <v>214.47930399999998</v>
      </c>
      <c r="W200" s="860">
        <f>11.454+9.323+41.201+W208*44.4%</f>
        <v>269.90098</v>
      </c>
      <c r="X200" s="860">
        <f>38.508+18.833+X208*44.4%</f>
        <v>300.92961200000002</v>
      </c>
      <c r="Y200" s="860">
        <f>39.701+20.55+Y208*44.4%</f>
        <v>341.26037599999995</v>
      </c>
      <c r="Z200" s="860">
        <f>36.703+22.218+Z208*44.4%</f>
        <v>353.87330800000001</v>
      </c>
      <c r="AA200" s="819">
        <f>51.747+19.727+AA208*44.4%</f>
        <v>360.45095600000002</v>
      </c>
      <c r="AB200" s="819">
        <f>49.231+27.986+AB208*44.4%</f>
        <v>368.80911600000002</v>
      </c>
      <c r="AC200" s="819">
        <f>36.655+7.61+57.085+AC208*44.4%</f>
        <v>455.39559999999994</v>
      </c>
      <c r="AD200" s="819">
        <f>71.538+33.093+12.495+AD208*44.4%</f>
        <v>457.75214400000004</v>
      </c>
      <c r="AE200" s="819">
        <f>88.958+25.666+0.102+14.083+AE208*44.4%</f>
        <v>463.99347999999998</v>
      </c>
      <c r="AF200" s="819">
        <f>77.286+38.004+13.811+AF208*44.4%</f>
        <v>468.087896</v>
      </c>
      <c r="AG200" s="819">
        <f>79.339+37.349+0.42+10.919+AG208*44.4%</f>
        <v>511.362392</v>
      </c>
      <c r="AH200" s="819">
        <f>112.637+36.544+0.443+18.156+AH208*44.4%</f>
        <v>538.95201199999997</v>
      </c>
      <c r="AI200" s="819">
        <f>107.206+56.335+27.573+AI208*44.4%</f>
        <v>621.66435200000001</v>
      </c>
      <c r="AJ200" s="819">
        <f>1858.642+AJ208*44.4%-SUM(AJ195:AJ199)</f>
        <v>713.59413200000017</v>
      </c>
      <c r="AK200" s="835">
        <f>1922.491+AK208*44.4%-SUM(AK195:AK199)</f>
        <v>842.10165199999983</v>
      </c>
      <c r="AL200" s="485">
        <f>2123.261+AL208*44.4%-SUM(AL195:AL199)</f>
        <v>747.13275199999998</v>
      </c>
      <c r="AM200" s="485">
        <f>2265.117+AM208*44.4%-SUM(AM195:AM199)</f>
        <v>731.50003600000014</v>
      </c>
      <c r="AN200" s="485">
        <f>2050.955+AN208*44.4%-SUM(AN195:AN199)</f>
        <v>684.43890799999986</v>
      </c>
      <c r="AO200" s="835">
        <f>2394.767-SUM(AO195:AO199)</f>
        <v>781.22699999999986</v>
      </c>
      <c r="AP200" s="835">
        <f>2285.33-SUM(AP195:AP199)</f>
        <v>830.95299999999975</v>
      </c>
      <c r="AQ200" s="835">
        <f>2741.294-SUM(AQ195:AQ199)</f>
        <v>668.71299999999974</v>
      </c>
      <c r="AR200" s="835">
        <v>774.02199999999971</v>
      </c>
      <c r="AS200" s="835">
        <f>2482.996-SUM(AS195:AS199)</f>
        <v>873.94600000000014</v>
      </c>
      <c r="AT200" s="835">
        <f>3098.88-SUM(AT195:AT199)</f>
        <v>858.87899999999991</v>
      </c>
      <c r="AU200" s="327"/>
      <c r="AV200" s="327"/>
      <c r="AW200" s="327"/>
      <c r="AX200" s="327"/>
      <c r="AY200" s="327"/>
      <c r="AZ200" s="327"/>
      <c r="BA200" s="327"/>
      <c r="BB200" s="52"/>
      <c r="BC200" s="52"/>
      <c r="BD200" s="52"/>
      <c r="BE200" s="52"/>
      <c r="BF200" s="52"/>
      <c r="BG200" s="52"/>
      <c r="BH200" s="52"/>
      <c r="BI200" s="52"/>
      <c r="BJ200" s="52"/>
      <c r="BK200" s="52"/>
      <c r="BL200" s="52"/>
      <c r="BM200" s="52"/>
      <c r="BN200" s="52"/>
    </row>
    <row r="201" spans="1:66">
      <c r="A201" s="1735"/>
      <c r="B201" s="327"/>
      <c r="C201" s="327"/>
      <c r="D201" s="327"/>
      <c r="E201" s="327"/>
      <c r="F201" s="327"/>
      <c r="G201" s="327"/>
      <c r="H201" s="327"/>
      <c r="I201" s="327"/>
      <c r="J201" s="327"/>
      <c r="K201" s="327"/>
      <c r="L201" s="327"/>
      <c r="M201" s="327"/>
      <c r="N201" s="327"/>
      <c r="O201" s="327"/>
      <c r="P201" s="327"/>
      <c r="Q201" s="327"/>
      <c r="R201" s="327"/>
      <c r="S201" s="327"/>
      <c r="T201" s="327"/>
      <c r="U201" s="327"/>
      <c r="V201" s="327"/>
      <c r="W201" s="327"/>
      <c r="X201" s="327"/>
      <c r="Y201" s="327"/>
      <c r="Z201" s="327"/>
      <c r="AA201" s="327"/>
      <c r="AB201" s="327"/>
      <c r="AC201" s="327"/>
      <c r="AD201" s="327"/>
      <c r="AE201" s="327"/>
      <c r="AF201" s="327"/>
      <c r="AG201" s="327"/>
      <c r="AH201" s="327"/>
      <c r="AI201" s="327"/>
      <c r="AJ201" s="327"/>
      <c r="AK201" s="890"/>
      <c r="AL201" s="327"/>
      <c r="AM201" s="327"/>
      <c r="AN201" s="327"/>
      <c r="AO201" s="327"/>
      <c r="AP201" s="327"/>
      <c r="AQ201" s="327"/>
      <c r="AR201" s="742"/>
      <c r="AS201" s="742"/>
      <c r="AT201" s="327"/>
      <c r="AU201" s="327"/>
      <c r="AV201" s="327"/>
      <c r="AW201" s="327"/>
      <c r="AX201" s="327"/>
      <c r="AY201" s="327"/>
      <c r="AZ201" s="327"/>
      <c r="BA201" s="327"/>
      <c r="BB201" s="52"/>
      <c r="BC201" s="52"/>
      <c r="BD201" s="52"/>
      <c r="BE201" s="52"/>
      <c r="BF201" s="52"/>
      <c r="BG201" s="52"/>
      <c r="BH201" s="52"/>
      <c r="BI201" s="52"/>
      <c r="BJ201" s="52"/>
      <c r="BK201" s="52"/>
      <c r="BL201" s="52"/>
      <c r="BM201" s="52"/>
      <c r="BN201" s="52"/>
    </row>
    <row r="202" spans="1:66">
      <c r="A202" s="1734" t="s">
        <v>96</v>
      </c>
      <c r="B202" s="195">
        <f t="shared" ref="B202:AG202" si="161">SUM(B203:B205)</f>
        <v>37.786999999999999</v>
      </c>
      <c r="C202" s="195">
        <f t="shared" si="161"/>
        <v>77.716999999999999</v>
      </c>
      <c r="D202" s="195">
        <f t="shared" si="161"/>
        <v>77.784999999999997</v>
      </c>
      <c r="E202" s="195">
        <f t="shared" si="161"/>
        <v>94.786000000000001</v>
      </c>
      <c r="F202" s="195">
        <f t="shared" si="161"/>
        <v>94.23</v>
      </c>
      <c r="G202" s="195">
        <f t="shared" si="161"/>
        <v>98.944999999999993</v>
      </c>
      <c r="H202" s="195">
        <f t="shared" si="161"/>
        <v>164.22300000000001</v>
      </c>
      <c r="I202" s="195">
        <f t="shared" si="161"/>
        <v>152.416</v>
      </c>
      <c r="J202" s="195">
        <f t="shared" si="161"/>
        <v>160.12700000000001</v>
      </c>
      <c r="K202" s="195">
        <f t="shared" si="161"/>
        <v>175.58399999999997</v>
      </c>
      <c r="L202" s="195">
        <f t="shared" si="161"/>
        <v>235.36500000000001</v>
      </c>
      <c r="M202" s="195">
        <f t="shared" si="161"/>
        <v>226.90600000000001</v>
      </c>
      <c r="N202" s="195">
        <f t="shared" si="161"/>
        <v>193.999</v>
      </c>
      <c r="O202" s="195">
        <f t="shared" si="161"/>
        <v>193.01700000000002</v>
      </c>
      <c r="P202" s="195">
        <f t="shared" si="161"/>
        <v>159.41</v>
      </c>
      <c r="Q202" s="195">
        <f t="shared" si="161"/>
        <v>231.97</v>
      </c>
      <c r="R202" s="195">
        <f t="shared" si="161"/>
        <v>152.18999999999997</v>
      </c>
      <c r="S202" s="195">
        <f t="shared" si="161"/>
        <v>152.41600000000003</v>
      </c>
      <c r="T202" s="195">
        <f t="shared" si="161"/>
        <v>152.608</v>
      </c>
      <c r="U202" s="195">
        <f t="shared" si="161"/>
        <v>133.42499999999998</v>
      </c>
      <c r="V202" s="195">
        <f t="shared" si="161"/>
        <v>207.31400000000002</v>
      </c>
      <c r="W202" s="195">
        <f t="shared" si="161"/>
        <v>209.75899999999999</v>
      </c>
      <c r="X202" s="195">
        <f t="shared" si="161"/>
        <v>132.73200000000003</v>
      </c>
      <c r="Y202" s="195">
        <f t="shared" si="161"/>
        <v>169.11799999999999</v>
      </c>
      <c r="Z202" s="195">
        <f t="shared" si="161"/>
        <v>213.78899999999999</v>
      </c>
      <c r="AA202" s="195">
        <f t="shared" si="161"/>
        <v>221.303</v>
      </c>
      <c r="AB202" s="195">
        <f t="shared" si="161"/>
        <v>198.15000000000003</v>
      </c>
      <c r="AC202" s="195">
        <f t="shared" si="161"/>
        <v>209.41500000000002</v>
      </c>
      <c r="AD202" s="195">
        <f t="shared" si="161"/>
        <v>245.03909999999999</v>
      </c>
      <c r="AE202" s="195">
        <f t="shared" si="161"/>
        <v>210.47799999999998</v>
      </c>
      <c r="AF202" s="195">
        <f t="shared" si="161"/>
        <v>242.65899999999999</v>
      </c>
      <c r="AG202" s="195">
        <f t="shared" si="161"/>
        <v>241.04600000000002</v>
      </c>
      <c r="AH202" s="195">
        <f t="shared" ref="AH202:BA202" si="162">SUM(AH203:AH205)</f>
        <v>227.51499999999999</v>
      </c>
      <c r="AI202" s="195">
        <f t="shared" si="162"/>
        <v>254.506</v>
      </c>
      <c r="AJ202" s="195">
        <f t="shared" si="162"/>
        <v>277.09899999999999</v>
      </c>
      <c r="AK202" s="1376">
        <f t="shared" si="162"/>
        <v>261.40499999999997</v>
      </c>
      <c r="AL202" s="195">
        <f t="shared" si="162"/>
        <v>277.91399999999999</v>
      </c>
      <c r="AM202" s="195">
        <f t="shared" si="162"/>
        <v>248.357</v>
      </c>
      <c r="AN202" s="195">
        <f t="shared" si="162"/>
        <v>261.88099999999997</v>
      </c>
      <c r="AO202" s="195">
        <f t="shared" si="162"/>
        <v>353.09300000000002</v>
      </c>
      <c r="AP202" s="195">
        <f t="shared" si="162"/>
        <v>332.86799999999999</v>
      </c>
      <c r="AQ202" s="195">
        <f t="shared" si="162"/>
        <v>318.85599999999999</v>
      </c>
      <c r="AR202" s="2180">
        <f t="shared" si="162"/>
        <v>413.44499999999999</v>
      </c>
      <c r="AS202" s="2180">
        <f t="shared" si="162"/>
        <v>413.50900000000001</v>
      </c>
      <c r="AT202" s="2180">
        <f t="shared" si="162"/>
        <v>433.22899999999998</v>
      </c>
      <c r="AU202" s="195">
        <f t="shared" si="162"/>
        <v>0</v>
      </c>
      <c r="AV202" s="195">
        <f t="shared" si="162"/>
        <v>0</v>
      </c>
      <c r="AW202" s="195">
        <f t="shared" si="162"/>
        <v>0</v>
      </c>
      <c r="AX202" s="195">
        <f t="shared" si="162"/>
        <v>0</v>
      </c>
      <c r="AY202" s="195">
        <f t="shared" si="162"/>
        <v>0</v>
      </c>
      <c r="AZ202" s="195">
        <f t="shared" si="162"/>
        <v>0</v>
      </c>
      <c r="BA202" s="195">
        <f t="shared" si="162"/>
        <v>0</v>
      </c>
      <c r="BB202" s="52"/>
      <c r="BC202" s="52"/>
      <c r="BD202" s="52"/>
      <c r="BE202" s="52"/>
      <c r="BF202" s="52"/>
      <c r="BG202" s="52"/>
      <c r="BH202" s="52"/>
      <c r="BI202" s="52"/>
      <c r="BJ202" s="52"/>
      <c r="BK202" s="52"/>
      <c r="BL202" s="52"/>
      <c r="BM202" s="52"/>
      <c r="BN202" s="52"/>
    </row>
    <row r="203" spans="1:66">
      <c r="A203" s="1733" t="s">
        <v>427</v>
      </c>
      <c r="B203" s="860">
        <v>0</v>
      </c>
      <c r="C203" s="860">
        <v>0</v>
      </c>
      <c r="D203" s="860">
        <v>0</v>
      </c>
      <c r="E203" s="860">
        <v>0</v>
      </c>
      <c r="F203" s="860">
        <v>0</v>
      </c>
      <c r="G203" s="860">
        <v>0</v>
      </c>
      <c r="H203" s="860">
        <v>0</v>
      </c>
      <c r="I203" s="860">
        <v>0</v>
      </c>
      <c r="J203" s="860">
        <v>0</v>
      </c>
      <c r="K203" s="860">
        <v>0</v>
      </c>
      <c r="L203" s="860">
        <v>23.036999999999999</v>
      </c>
      <c r="M203" s="860">
        <v>24.091999999999999</v>
      </c>
      <c r="N203" s="860">
        <v>3.911</v>
      </c>
      <c r="O203" s="860">
        <v>3.948</v>
      </c>
      <c r="P203" s="860">
        <v>3.948</v>
      </c>
      <c r="Q203" s="860">
        <v>4.0199999999999996</v>
      </c>
      <c r="R203" s="860">
        <v>4.0590000000000002</v>
      </c>
      <c r="S203" s="860">
        <v>4.1040000000000001</v>
      </c>
      <c r="T203" s="860">
        <v>4.149</v>
      </c>
      <c r="U203" s="860">
        <v>9.9390000000000001</v>
      </c>
      <c r="V203" s="860">
        <v>6.056</v>
      </c>
      <c r="W203" s="860">
        <v>6.9020000000000001</v>
      </c>
      <c r="X203" s="860">
        <v>8.1539999999999999</v>
      </c>
      <c r="Y203" s="860">
        <v>1.7370000000000001</v>
      </c>
      <c r="Z203" s="860">
        <v>1.3979999999999999</v>
      </c>
      <c r="AA203" s="819">
        <v>1.6830000000000001</v>
      </c>
      <c r="AB203" s="819">
        <v>1.3979999999999999</v>
      </c>
      <c r="AC203" s="819"/>
      <c r="AD203" s="819"/>
      <c r="AE203" s="819"/>
      <c r="AF203" s="819"/>
      <c r="AG203" s="819"/>
      <c r="AH203" s="819"/>
      <c r="AI203" s="819"/>
      <c r="AJ203" s="819">
        <f>(4967+1784)/1000</f>
        <v>6.7510000000000003</v>
      </c>
      <c r="AK203" s="835"/>
      <c r="AL203" s="327"/>
      <c r="AM203" s="327"/>
      <c r="AN203" s="327"/>
      <c r="AO203" s="327"/>
      <c r="AP203" s="327"/>
      <c r="AQ203" s="327"/>
      <c r="AR203" s="742"/>
      <c r="AS203" s="742"/>
      <c r="AT203" s="327"/>
      <c r="AU203" s="327"/>
      <c r="AV203" s="327"/>
      <c r="AW203" s="327"/>
      <c r="AX203" s="327"/>
      <c r="AY203" s="327"/>
      <c r="AZ203" s="327"/>
      <c r="BA203" s="327"/>
      <c r="BB203" s="52"/>
      <c r="BC203" s="52"/>
      <c r="BD203" s="52"/>
      <c r="BE203" s="52"/>
      <c r="BF203" s="52"/>
      <c r="BG203" s="52"/>
      <c r="BH203" s="52"/>
      <c r="BI203" s="52"/>
      <c r="BJ203" s="52"/>
      <c r="BK203" s="52"/>
      <c r="BL203" s="52"/>
      <c r="BM203" s="52"/>
      <c r="BN203" s="52"/>
    </row>
    <row r="204" spans="1:66">
      <c r="A204" s="1733" t="s">
        <v>94</v>
      </c>
      <c r="B204" s="860">
        <v>37.786999999999999</v>
      </c>
      <c r="C204" s="860">
        <v>77.716999999999999</v>
      </c>
      <c r="D204" s="860">
        <v>77.69</v>
      </c>
      <c r="E204" s="860">
        <f>0.018+83.488+11.28</f>
        <v>94.786000000000001</v>
      </c>
      <c r="F204" s="860">
        <v>94.23</v>
      </c>
      <c r="G204" s="860">
        <v>98.944999999999993</v>
      </c>
      <c r="H204" s="860">
        <v>164.22300000000001</v>
      </c>
      <c r="I204" s="860">
        <f>0.208+95.397+25.162</f>
        <v>120.767</v>
      </c>
      <c r="J204" s="860">
        <v>131.25200000000001</v>
      </c>
      <c r="K204" s="860">
        <v>149.00299999999999</v>
      </c>
      <c r="L204" s="860">
        <v>196.21100000000001</v>
      </c>
      <c r="M204" s="860">
        <v>0</v>
      </c>
      <c r="N204" s="860">
        <v>0</v>
      </c>
      <c r="O204" s="860">
        <v>0</v>
      </c>
      <c r="P204" s="860">
        <v>0</v>
      </c>
      <c r="Q204" s="860">
        <v>0</v>
      </c>
      <c r="R204" s="860">
        <v>0</v>
      </c>
      <c r="S204" s="860">
        <v>0</v>
      </c>
      <c r="T204" s="860">
        <v>0</v>
      </c>
      <c r="U204" s="819"/>
      <c r="V204" s="819"/>
      <c r="W204" s="819"/>
      <c r="X204" s="819"/>
      <c r="Y204" s="819"/>
      <c r="Z204" s="819"/>
      <c r="AA204" s="819"/>
      <c r="AB204" s="819"/>
      <c r="AC204" s="819"/>
      <c r="AD204" s="819"/>
      <c r="AE204" s="819"/>
      <c r="AF204" s="819"/>
      <c r="AG204" s="819"/>
      <c r="AH204" s="819"/>
      <c r="AI204" s="819"/>
      <c r="AJ204" s="819">
        <v>55.293999999999997</v>
      </c>
      <c r="AK204" s="835"/>
      <c r="AL204" s="327"/>
      <c r="AM204" s="327"/>
      <c r="AN204" s="327"/>
      <c r="AO204" s="327"/>
      <c r="AP204" s="327"/>
      <c r="AQ204" s="327"/>
      <c r="AR204" s="742"/>
      <c r="AS204" s="742"/>
      <c r="AT204" s="327"/>
      <c r="AU204" s="327"/>
      <c r="AV204" s="327"/>
      <c r="AW204" s="327"/>
      <c r="AX204" s="327"/>
      <c r="AY204" s="327"/>
      <c r="AZ204" s="327"/>
      <c r="BA204" s="327"/>
      <c r="BB204" s="52"/>
      <c r="BC204" s="52"/>
      <c r="BD204" s="52"/>
      <c r="BE204" s="52"/>
      <c r="BF204" s="52"/>
      <c r="BG204" s="52"/>
      <c r="BH204" s="52"/>
      <c r="BI204" s="52"/>
      <c r="BJ204" s="52"/>
      <c r="BK204" s="52"/>
      <c r="BL204" s="52"/>
      <c r="BM204" s="52"/>
      <c r="BN204" s="52"/>
    </row>
    <row r="205" spans="1:66">
      <c r="A205" s="1733" t="s">
        <v>95</v>
      </c>
      <c r="B205" s="860">
        <v>0</v>
      </c>
      <c r="C205" s="860">
        <v>0</v>
      </c>
      <c r="D205" s="860">
        <v>9.5000000000000001E-2</v>
      </c>
      <c r="E205" s="860">
        <v>0</v>
      </c>
      <c r="F205" s="860">
        <v>0</v>
      </c>
      <c r="G205" s="860">
        <v>0</v>
      </c>
      <c r="H205" s="860">
        <v>0</v>
      </c>
      <c r="I205" s="860">
        <v>31.649000000000001</v>
      </c>
      <c r="J205" s="860">
        <v>28.875</v>
      </c>
      <c r="K205" s="860">
        <v>26.581</v>
      </c>
      <c r="L205" s="860">
        <v>16.117000000000001</v>
      </c>
      <c r="M205" s="860">
        <f>130.973+67.578+0.839+3.424</f>
        <v>202.81400000000002</v>
      </c>
      <c r="N205" s="860">
        <f>0.422+119.408+66.787+0.402+3.069</f>
        <v>190.08799999999999</v>
      </c>
      <c r="O205" s="860">
        <f>0.294+0.405+116.632+70.849+0.889</f>
        <v>189.06900000000002</v>
      </c>
      <c r="P205" s="860">
        <f>0.152+0.39+111.582+43.108+0.23</f>
        <v>155.46199999999999</v>
      </c>
      <c r="Q205" s="860">
        <f>0.211+148.038+47.39+28.58+3.731</f>
        <v>227.95</v>
      </c>
      <c r="R205" s="860">
        <f>0.499+110.28+37.164+0.188</f>
        <v>148.13099999999997</v>
      </c>
      <c r="S205" s="860">
        <f>0.391+112.254+35.471+0.196</f>
        <v>148.31200000000001</v>
      </c>
      <c r="T205" s="860">
        <f>0.554+112.159+34.132+1.614</f>
        <v>148.459</v>
      </c>
      <c r="U205" s="860">
        <f>2.848+0.033+43.917+37.22+32.367+7.101</f>
        <v>123.48599999999999</v>
      </c>
      <c r="V205" s="860">
        <f>0.777+121.405+37.859+33.531+7.686</f>
        <v>201.25800000000001</v>
      </c>
      <c r="W205" s="860">
        <f>4.022+120.216+36.299+40.65+1.67</f>
        <v>202.857</v>
      </c>
      <c r="X205" s="860">
        <f>2.539+35.105+38.744+42.954+5.236</f>
        <v>124.57800000000002</v>
      </c>
      <c r="Y205" s="860">
        <f>6.541+26.877+3.788+38.227+46.581+44.972+0.395</f>
        <v>167.381</v>
      </c>
      <c r="Z205" s="860">
        <f>6.679+62.098+0.002+41.867+56.101+45.249+0.395</f>
        <v>212.39099999999999</v>
      </c>
      <c r="AA205" s="819">
        <f>6.879+57.012+0.002+44.137+63.447+47.748+0.395</f>
        <v>219.62</v>
      </c>
      <c r="AB205" s="819">
        <f>7.43+34.354+0.011+46.971+66.76+40.831+0.395</f>
        <v>196.75200000000004</v>
      </c>
      <c r="AC205" s="819">
        <f>9.037+56.785+1.398+67.438+38.769+0.395+0.001+35.592</f>
        <v>209.41500000000002</v>
      </c>
      <c r="AD205" s="819">
        <f>9.554+73.445+0.0011+53.323+1.398+70.444+36.411+0.463</f>
        <v>245.03909999999999</v>
      </c>
      <c r="AE205" s="819">
        <f>10.235+43.992+0.011+49.242+1.404+71.381+33.75+0.463</f>
        <v>210.47799999999998</v>
      </c>
      <c r="AF205" s="819">
        <v>242.65899999999999</v>
      </c>
      <c r="AG205" s="819">
        <f>9.187+0.011+1.592+50.235+48.867+1.546+94.808+34.479+0.321</f>
        <v>241.04600000000002</v>
      </c>
      <c r="AH205" s="819">
        <f>9.654+57.785+0.012+48.658+1.088+1.56+74.012+34.402+0.344</f>
        <v>227.51499999999999</v>
      </c>
      <c r="AI205" s="819">
        <v>254.506</v>
      </c>
      <c r="AJ205" s="819">
        <f>277.099-SUM(AJ203:AJ204)</f>
        <v>215.054</v>
      </c>
      <c r="AK205" s="835">
        <v>261.40499999999997</v>
      </c>
      <c r="AL205" s="835">
        <v>277.91399999999999</v>
      </c>
      <c r="AM205" s="835">
        <v>248.357</v>
      </c>
      <c r="AN205" s="835">
        <v>261.88099999999997</v>
      </c>
      <c r="AO205" s="835">
        <v>353.09300000000002</v>
      </c>
      <c r="AP205" s="835">
        <v>332.86799999999999</v>
      </c>
      <c r="AQ205" s="835">
        <v>318.85599999999999</v>
      </c>
      <c r="AR205" s="835">
        <v>413.44499999999999</v>
      </c>
      <c r="AS205" s="835">
        <v>413.50900000000001</v>
      </c>
      <c r="AT205" s="835">
        <v>433.22899999999998</v>
      </c>
      <c r="AU205" s="327"/>
      <c r="AV205" s="327"/>
      <c r="AW205" s="327"/>
      <c r="AX205" s="327"/>
      <c r="AY205" s="327"/>
      <c r="AZ205" s="327"/>
      <c r="BA205" s="327"/>
      <c r="BB205" s="52"/>
      <c r="BC205" s="52"/>
      <c r="BD205" s="52"/>
      <c r="BE205" s="52"/>
      <c r="BF205" s="52"/>
      <c r="BG205" s="52"/>
      <c r="BH205" s="52"/>
      <c r="BI205" s="52"/>
      <c r="BJ205" s="52"/>
      <c r="BK205" s="52"/>
      <c r="BL205" s="52"/>
      <c r="BM205" s="52"/>
      <c r="BN205" s="52"/>
    </row>
    <row r="206" spans="1:66">
      <c r="A206" s="1735"/>
      <c r="B206" s="327"/>
      <c r="C206" s="327"/>
      <c r="D206" s="327"/>
      <c r="E206" s="327"/>
      <c r="F206" s="327"/>
      <c r="G206" s="327"/>
      <c r="H206" s="327"/>
      <c r="I206" s="327"/>
      <c r="J206" s="327"/>
      <c r="K206" s="327"/>
      <c r="L206" s="327"/>
      <c r="M206" s="327"/>
      <c r="N206" s="327"/>
      <c r="O206" s="327"/>
      <c r="P206" s="327"/>
      <c r="Q206" s="327"/>
      <c r="R206" s="327"/>
      <c r="S206" s="327"/>
      <c r="T206" s="327"/>
      <c r="U206" s="327"/>
      <c r="V206" s="327"/>
      <c r="W206" s="327"/>
      <c r="X206" s="327"/>
      <c r="Y206" s="327"/>
      <c r="Z206" s="327"/>
      <c r="AA206" s="327"/>
      <c r="AB206" s="327"/>
      <c r="AC206" s="327"/>
      <c r="AD206" s="327"/>
      <c r="AE206" s="327"/>
      <c r="AF206" s="327"/>
      <c r="AG206" s="327"/>
      <c r="AH206" s="327"/>
      <c r="AI206" s="327"/>
      <c r="AJ206" s="327"/>
      <c r="AK206" s="890"/>
      <c r="AL206" s="327"/>
      <c r="AM206" s="327"/>
      <c r="AN206" s="327"/>
      <c r="AO206" s="327"/>
      <c r="AP206" s="327"/>
      <c r="AQ206" s="327"/>
      <c r="AR206" s="742"/>
      <c r="AS206" s="742"/>
      <c r="AT206" s="327"/>
      <c r="AU206" s="327"/>
      <c r="AV206" s="327"/>
      <c r="AW206" s="327"/>
      <c r="AX206" s="327"/>
      <c r="AY206" s="327"/>
      <c r="AZ206" s="327"/>
      <c r="BA206" s="327"/>
      <c r="BB206" s="52"/>
      <c r="BC206" s="52"/>
      <c r="BD206" s="52"/>
      <c r="BE206" s="52"/>
      <c r="BF206" s="52"/>
      <c r="BG206" s="52"/>
      <c r="BH206" s="52"/>
      <c r="BI206" s="52"/>
      <c r="BJ206" s="52"/>
      <c r="BK206" s="52"/>
      <c r="BL206" s="52"/>
      <c r="BM206" s="52"/>
      <c r="BN206" s="52"/>
    </row>
    <row r="207" spans="1:66">
      <c r="A207" s="1734" t="s">
        <v>97</v>
      </c>
      <c r="B207" s="195">
        <f t="shared" ref="B207:AG207" si="163">SUM(B209:B212)</f>
        <v>482.98199999999997</v>
      </c>
      <c r="C207" s="195">
        <f t="shared" si="163"/>
        <v>1216.8990000000001</v>
      </c>
      <c r="D207" s="195">
        <f t="shared" si="163"/>
        <v>1302.5940000000001</v>
      </c>
      <c r="E207" s="195">
        <f t="shared" si="163"/>
        <v>1946.7090000000001</v>
      </c>
      <c r="F207" s="195">
        <f t="shared" si="163"/>
        <v>2099.9380000000001</v>
      </c>
      <c r="G207" s="195">
        <f t="shared" si="163"/>
        <v>2138.6109999999999</v>
      </c>
      <c r="H207" s="195">
        <f t="shared" si="163"/>
        <v>2196.8889999999997</v>
      </c>
      <c r="I207" s="195">
        <f t="shared" si="163"/>
        <v>2366.4669999999996</v>
      </c>
      <c r="J207" s="195">
        <f t="shared" si="163"/>
        <v>2472.951</v>
      </c>
      <c r="K207" s="195">
        <f t="shared" si="163"/>
        <v>2470.0520000000001</v>
      </c>
      <c r="L207" s="195">
        <f t="shared" si="163"/>
        <v>2442.5630000000006</v>
      </c>
      <c r="M207" s="195">
        <f t="shared" si="163"/>
        <v>2565.7930000000001</v>
      </c>
      <c r="N207" s="195">
        <f t="shared" si="163"/>
        <v>2565.0839999999998</v>
      </c>
      <c r="O207" s="195">
        <f t="shared" si="163"/>
        <v>2526.047</v>
      </c>
      <c r="P207" s="195">
        <f t="shared" si="163"/>
        <v>2511.0059999999999</v>
      </c>
      <c r="Q207" s="195">
        <f t="shared" si="163"/>
        <v>3541.8780000000002</v>
      </c>
      <c r="R207" s="195">
        <f t="shared" si="163"/>
        <v>2578.7269999999999</v>
      </c>
      <c r="S207" s="195">
        <f t="shared" si="163"/>
        <v>2552.107</v>
      </c>
      <c r="T207" s="195">
        <f t="shared" si="163"/>
        <v>2296.6990000000001</v>
      </c>
      <c r="U207" s="195">
        <f t="shared" si="163"/>
        <v>3143.6427920000001</v>
      </c>
      <c r="V207" s="195">
        <f t="shared" si="163"/>
        <v>3142.4956960000004</v>
      </c>
      <c r="W207" s="195">
        <f t="shared" si="163"/>
        <v>3143.3220200000005</v>
      </c>
      <c r="X207" s="195">
        <f t="shared" si="163"/>
        <v>3444.5223880000003</v>
      </c>
      <c r="Y207" s="195">
        <f t="shared" si="163"/>
        <v>3673.8336239999999</v>
      </c>
      <c r="Z207" s="195">
        <f t="shared" si="163"/>
        <v>3705.7726919999996</v>
      </c>
      <c r="AA207" s="195">
        <f t="shared" si="163"/>
        <v>3668.3570439999999</v>
      </c>
      <c r="AB207" s="195">
        <f t="shared" si="163"/>
        <v>3656.2278840000004</v>
      </c>
      <c r="AC207" s="195">
        <f t="shared" si="163"/>
        <v>4037.6743999999999</v>
      </c>
      <c r="AD207" s="195">
        <f t="shared" si="163"/>
        <v>3990.0758559999999</v>
      </c>
      <c r="AE207" s="195">
        <f t="shared" si="163"/>
        <v>3938.7945199999999</v>
      </c>
      <c r="AF207" s="195">
        <f t="shared" si="163"/>
        <v>3932.7251040000001</v>
      </c>
      <c r="AG207" s="195">
        <f t="shared" si="163"/>
        <v>4125.2556080000004</v>
      </c>
      <c r="AH207" s="195">
        <f t="shared" ref="AH207:BA207" si="164">SUM(AH209:AH212)</f>
        <v>4095.8389880000004</v>
      </c>
      <c r="AI207" s="195">
        <f t="shared" si="164"/>
        <v>4549.7236480000001</v>
      </c>
      <c r="AJ207" s="195">
        <f t="shared" si="164"/>
        <v>4668.9568680000002</v>
      </c>
      <c r="AK207" s="1376">
        <f t="shared" si="164"/>
        <v>4939.2843480000001</v>
      </c>
      <c r="AL207" s="195">
        <f t="shared" si="164"/>
        <v>4873.2502480000003</v>
      </c>
      <c r="AM207" s="195">
        <f t="shared" si="164"/>
        <v>4794.6409640000002</v>
      </c>
      <c r="AN207" s="195">
        <f t="shared" si="164"/>
        <v>4784.7100920000003</v>
      </c>
      <c r="AO207" s="195">
        <f t="shared" si="164"/>
        <v>5007.7300000000005</v>
      </c>
      <c r="AP207" s="195">
        <f t="shared" si="164"/>
        <v>4935.7170000000006</v>
      </c>
      <c r="AQ207" s="195">
        <f t="shared" si="164"/>
        <v>4865.3460000000005</v>
      </c>
      <c r="AR207" s="2180">
        <f t="shared" si="164"/>
        <v>4930.1899999999996</v>
      </c>
      <c r="AS207" s="2180">
        <f t="shared" si="164"/>
        <v>5795.02</v>
      </c>
      <c r="AT207" s="2180">
        <f t="shared" si="164"/>
        <v>5643.4530000000004</v>
      </c>
      <c r="AU207" s="195">
        <f t="shared" si="164"/>
        <v>0</v>
      </c>
      <c r="AV207" s="195">
        <f t="shared" si="164"/>
        <v>0</v>
      </c>
      <c r="AW207" s="195">
        <f t="shared" si="164"/>
        <v>0</v>
      </c>
      <c r="AX207" s="195">
        <f t="shared" si="164"/>
        <v>0</v>
      </c>
      <c r="AY207" s="195">
        <f t="shared" si="164"/>
        <v>0</v>
      </c>
      <c r="AZ207" s="195">
        <f t="shared" si="164"/>
        <v>0</v>
      </c>
      <c r="BA207" s="195">
        <f t="shared" si="164"/>
        <v>0</v>
      </c>
      <c r="BB207" s="52"/>
      <c r="BC207" s="52"/>
      <c r="BD207" s="52"/>
      <c r="BE207" s="52"/>
      <c r="BF207" s="52"/>
      <c r="BG207" s="52"/>
      <c r="BH207" s="52"/>
      <c r="BI207" s="52"/>
      <c r="BJ207" s="52"/>
      <c r="BK207" s="52"/>
      <c r="BL207" s="52"/>
      <c r="BM207" s="52"/>
      <c r="BN207" s="52"/>
    </row>
    <row r="208" spans="1:66">
      <c r="A208" s="1733" t="s">
        <v>678</v>
      </c>
      <c r="B208" s="195"/>
      <c r="C208" s="195"/>
      <c r="D208" s="195"/>
      <c r="E208" s="195"/>
      <c r="F208" s="195"/>
      <c r="G208" s="195"/>
      <c r="H208" s="195"/>
      <c r="I208" s="195"/>
      <c r="J208" s="195"/>
      <c r="K208" s="195"/>
      <c r="L208" s="195"/>
      <c r="M208" s="195"/>
      <c r="N208" s="195"/>
      <c r="O208" s="195"/>
      <c r="P208" s="195"/>
      <c r="Q208" s="2400">
        <v>461.952</v>
      </c>
      <c r="R208" s="2400"/>
      <c r="S208" s="2400"/>
      <c r="T208" s="2400"/>
      <c r="U208" s="2400">
        <v>435.53199999999998</v>
      </c>
      <c r="V208" s="2400">
        <v>445.06599999999997</v>
      </c>
      <c r="W208" s="2400">
        <v>468.29500000000002</v>
      </c>
      <c r="X208" s="2400">
        <v>548.62300000000005</v>
      </c>
      <c r="Y208" s="2400">
        <f>632.904</f>
        <v>632.904</v>
      </c>
      <c r="Z208" s="2400">
        <v>664.30700000000002</v>
      </c>
      <c r="AA208" s="2400">
        <v>650.84900000000005</v>
      </c>
      <c r="AB208" s="2400">
        <v>656.73900000000003</v>
      </c>
      <c r="AC208" s="2400">
        <v>797.4</v>
      </c>
      <c r="AD208" s="2400">
        <v>767.17600000000004</v>
      </c>
      <c r="AE208" s="2400">
        <v>754.92</v>
      </c>
      <c r="AF208" s="2400">
        <v>763.48400000000004</v>
      </c>
      <c r="AG208" s="2400">
        <v>863.36800000000005</v>
      </c>
      <c r="AH208" s="2400">
        <v>835.97299999999996</v>
      </c>
      <c r="AI208" s="2400">
        <v>969.70799999999997</v>
      </c>
      <c r="AJ208" s="2400">
        <v>1004.203</v>
      </c>
      <c r="AK208" s="2401">
        <v>1116.7829999999999</v>
      </c>
      <c r="AL208" s="2400">
        <v>1095.058</v>
      </c>
      <c r="AM208" s="2400">
        <v>1100.6690000000001</v>
      </c>
      <c r="AN208" s="2400">
        <v>1098.4570000000001</v>
      </c>
      <c r="AO208" s="195"/>
      <c r="AP208" s="195"/>
      <c r="AQ208" s="195"/>
      <c r="AR208" s="2180"/>
      <c r="AS208" s="2180"/>
      <c r="AT208" s="2180"/>
      <c r="AU208" s="84"/>
      <c r="AV208" s="84"/>
      <c r="AW208" s="195"/>
      <c r="AX208" s="195"/>
      <c r="AY208" s="195"/>
      <c r="AZ208" s="195"/>
      <c r="BA208" s="195"/>
      <c r="BB208" s="1401"/>
      <c r="BC208" s="1401"/>
      <c r="BD208" s="1401"/>
      <c r="BE208" s="1401"/>
      <c r="BF208" s="1401"/>
      <c r="BG208" s="1401"/>
      <c r="BH208" s="1401"/>
      <c r="BI208" s="1401"/>
      <c r="BJ208" s="1401"/>
      <c r="BK208" s="1401"/>
      <c r="BL208" s="1401"/>
      <c r="BM208" s="1401"/>
      <c r="BN208" s="1401"/>
    </row>
    <row r="209" spans="1:66">
      <c r="A209" s="1733" t="s">
        <v>835</v>
      </c>
      <c r="B209" s="860">
        <v>0.06</v>
      </c>
      <c r="C209" s="860">
        <v>0.14399999999999999</v>
      </c>
      <c r="D209" s="860">
        <v>0.14199999999999999</v>
      </c>
      <c r="E209" s="860">
        <v>0.14199999999999999</v>
      </c>
      <c r="F209" s="860">
        <v>50.872</v>
      </c>
      <c r="G209" s="860">
        <v>49.101999999999997</v>
      </c>
      <c r="H209" s="860">
        <v>38.628999999999998</v>
      </c>
      <c r="I209" s="860">
        <v>0.16700000000000001</v>
      </c>
      <c r="J209" s="860">
        <v>3.5470000000000002</v>
      </c>
      <c r="K209" s="860">
        <v>3.5470000000000002</v>
      </c>
      <c r="L209" s="860">
        <v>3.5470000000000002</v>
      </c>
      <c r="M209" s="860">
        <v>3.4820000000000002</v>
      </c>
      <c r="N209" s="860">
        <v>3.54</v>
      </c>
      <c r="O209" s="860">
        <v>3.54</v>
      </c>
      <c r="P209" s="860">
        <v>3.54</v>
      </c>
      <c r="Q209" s="860">
        <v>461.952</v>
      </c>
      <c r="R209" s="860">
        <v>3.54</v>
      </c>
      <c r="S209" s="860">
        <f>3.54</f>
        <v>3.54</v>
      </c>
      <c r="T209" s="860">
        <v>3.54</v>
      </c>
      <c r="U209" s="860">
        <v>0</v>
      </c>
      <c r="V209" s="860">
        <v>0</v>
      </c>
      <c r="W209" s="860">
        <f>2.532</f>
        <v>2.532</v>
      </c>
      <c r="X209" s="860">
        <f>2.873</f>
        <v>2.8730000000000002</v>
      </c>
      <c r="Y209" s="860">
        <v>8.2620000000000005</v>
      </c>
      <c r="Z209" s="860">
        <f>12.138</f>
        <v>12.138</v>
      </c>
      <c r="AA209" s="819">
        <f>12.518</f>
        <v>12.518000000000001</v>
      </c>
      <c r="AB209" s="819">
        <f>12.143</f>
        <v>12.143000000000001</v>
      </c>
      <c r="AC209" s="819">
        <f>11.488</f>
        <v>11.488</v>
      </c>
      <c r="AD209" s="819">
        <f>10.409</f>
        <v>10.409000000000001</v>
      </c>
      <c r="AE209" s="819">
        <f>10.564</f>
        <v>10.564</v>
      </c>
      <c r="AF209" s="819">
        <f>10.534</f>
        <v>10.534000000000001</v>
      </c>
      <c r="AG209" s="819">
        <f>10.589</f>
        <v>10.589</v>
      </c>
      <c r="AH209" s="819">
        <f>22.804</f>
        <v>22.803999999999998</v>
      </c>
      <c r="AI209" s="819">
        <f>20.79</f>
        <v>20.79</v>
      </c>
      <c r="AJ209" s="819">
        <f>(20948)/1000</f>
        <v>20.948</v>
      </c>
      <c r="AK209" s="835">
        <f>20.902</f>
        <v>20.902000000000001</v>
      </c>
      <c r="AL209" s="485">
        <f>20.94</f>
        <v>20.94</v>
      </c>
      <c r="AM209" s="485">
        <f>21.106</f>
        <v>21.106000000000002</v>
      </c>
      <c r="AN209" s="485">
        <f>20.935</f>
        <v>20.934999999999999</v>
      </c>
      <c r="AO209" s="485">
        <v>25.629000000000001</v>
      </c>
      <c r="AP209" s="485">
        <v>25.895</v>
      </c>
      <c r="AQ209" s="485">
        <v>26.233000000000001</v>
      </c>
      <c r="AR209" s="819">
        <v>26.669</v>
      </c>
      <c r="AS209" s="819">
        <v>31.184000000000001</v>
      </c>
      <c r="AT209" s="819">
        <v>31.277999999999999</v>
      </c>
      <c r="AU209" s="327"/>
      <c r="AV209" s="327"/>
      <c r="AW209" s="327"/>
      <c r="AX209" s="327"/>
      <c r="AY209" s="327"/>
      <c r="AZ209" s="327"/>
      <c r="BA209" s="327"/>
      <c r="BB209" s="52"/>
      <c r="BC209" s="52"/>
      <c r="BD209" s="52"/>
      <c r="BE209" s="52"/>
      <c r="BF209" s="52"/>
      <c r="BG209" s="52"/>
      <c r="BH209" s="52"/>
      <c r="BI209" s="52"/>
      <c r="BJ209" s="52"/>
      <c r="BK209" s="52"/>
      <c r="BL209" s="52"/>
      <c r="BM209" s="52"/>
      <c r="BN209" s="52"/>
    </row>
    <row r="210" spans="1:66">
      <c r="A210" s="1733" t="s">
        <v>428</v>
      </c>
      <c r="B210" s="860">
        <v>482.51299999999998</v>
      </c>
      <c r="C210" s="860">
        <v>1214.3030000000001</v>
      </c>
      <c r="D210" s="860">
        <v>1297.836</v>
      </c>
      <c r="E210" s="860">
        <v>1938.9169999999999</v>
      </c>
      <c r="F210" s="860">
        <v>2037.7929999999999</v>
      </c>
      <c r="G210" s="860">
        <v>2072.2130000000002</v>
      </c>
      <c r="H210" s="860">
        <v>2132.1109999999999</v>
      </c>
      <c r="I210" s="860">
        <v>2292.1579999999999</v>
      </c>
      <c r="J210" s="860">
        <v>2394.8110000000001</v>
      </c>
      <c r="K210" s="860">
        <v>2384.5709999999999</v>
      </c>
      <c r="L210" s="860">
        <v>2358.8000000000002</v>
      </c>
      <c r="M210" s="860">
        <f>2481.605</f>
        <v>2481.605</v>
      </c>
      <c r="N210" s="860">
        <v>2481.7139999999999</v>
      </c>
      <c r="O210" s="860">
        <v>2443.5210000000002</v>
      </c>
      <c r="P210" s="860">
        <v>2429.328</v>
      </c>
      <c r="Q210" s="860">
        <v>3042.759</v>
      </c>
      <c r="R210" s="860">
        <v>2499.1909999999998</v>
      </c>
      <c r="S210" s="860">
        <v>2473.913</v>
      </c>
      <c r="T210" s="860">
        <v>2234.6280000000002</v>
      </c>
      <c r="U210" s="860">
        <f>2864.761+U208*55.6%</f>
        <v>3106.916792</v>
      </c>
      <c r="V210" s="860">
        <f>2858.492+V208*55.6%</f>
        <v>3105.9486960000004</v>
      </c>
      <c r="W210" s="860">
        <f>2842.6+W208*55.6%</f>
        <v>3102.9720200000002</v>
      </c>
      <c r="X210" s="860">
        <f>3052.817+X208*55.6%</f>
        <v>3357.851388</v>
      </c>
      <c r="Y210" s="860">
        <f>3244.267+Y208*55.6%</f>
        <v>3596.1616239999998</v>
      </c>
      <c r="Z210" s="860">
        <f>3255.374+Z208*55.6%</f>
        <v>3624.7286919999997</v>
      </c>
      <c r="AA210" s="819">
        <f>3206.017+AA208*55.6%</f>
        <v>3567.889044</v>
      </c>
      <c r="AB210" s="819">
        <f>3192.411+AB208*55.6%</f>
        <v>3557.5578840000003</v>
      </c>
      <c r="AC210" s="819">
        <f>3339.886+AC208*55.6%</f>
        <v>3783.2404000000001</v>
      </c>
      <c r="AD210" s="819">
        <f>3311.624+AD208*55.6%</f>
        <v>3738.1738559999999</v>
      </c>
      <c r="AE210" s="819">
        <f>3268.49+AE208*55.6%</f>
        <v>3688.22552</v>
      </c>
      <c r="AF210" s="819">
        <f>3296.092+AF208*55.6%</f>
        <v>3720.5891040000001</v>
      </c>
      <c r="AG210" s="819">
        <f>3432.148+AG208*55.6%</f>
        <v>3912.1806080000001</v>
      </c>
      <c r="AH210" s="819">
        <f>3417.273+AH208*55.6%</f>
        <v>3882.0739880000001</v>
      </c>
      <c r="AI210" s="819">
        <f>3478.812+AI208*55.6%</f>
        <v>4017.9696479999998</v>
      </c>
      <c r="AJ210" s="819">
        <f>3601.284+AJ208*55.6%</f>
        <v>4159.620868</v>
      </c>
      <c r="AK210" s="835">
        <f>3796.775+AK208*55.6%</f>
        <v>4417.7063479999997</v>
      </c>
      <c r="AL210" s="485">
        <f>3748.697+AL208*55.6%</f>
        <v>4357.5492480000003</v>
      </c>
      <c r="AM210" s="485">
        <f>3670.044+AM208*55.6%</f>
        <v>4282.0159640000002</v>
      </c>
      <c r="AN210" s="485">
        <f>3664.659+AN208*55.6%</f>
        <v>4275.4010920000001</v>
      </c>
      <c r="AO210" s="485">
        <v>4492.4620000000004</v>
      </c>
      <c r="AP210" s="485">
        <v>4426.0079999999998</v>
      </c>
      <c r="AQ210" s="485">
        <v>4362.6779999999999</v>
      </c>
      <c r="AR210" s="819">
        <v>4429.7280000000001</v>
      </c>
      <c r="AS210" s="819">
        <v>5289.8940000000002</v>
      </c>
      <c r="AT210" s="819">
        <v>5143.7690000000002</v>
      </c>
      <c r="AU210" s="327"/>
      <c r="AV210" s="327"/>
      <c r="AW210" s="327"/>
      <c r="AX210" s="327"/>
      <c r="AY210" s="327"/>
      <c r="AZ210" s="327"/>
      <c r="BA210" s="327"/>
      <c r="BB210" s="52"/>
      <c r="BC210" s="52"/>
      <c r="BD210" s="52"/>
      <c r="BE210" s="52"/>
      <c r="BF210" s="52"/>
      <c r="BG210" s="52"/>
      <c r="BH210" s="52"/>
      <c r="BI210" s="52"/>
      <c r="BJ210" s="52"/>
      <c r="BK210" s="52"/>
      <c r="BL210" s="52"/>
      <c r="BM210" s="52"/>
      <c r="BN210" s="52"/>
    </row>
    <row r="211" spans="1:66">
      <c r="A211" s="1733" t="s">
        <v>836</v>
      </c>
      <c r="B211" s="860">
        <v>0</v>
      </c>
      <c r="C211" s="860">
        <v>0</v>
      </c>
      <c r="D211" s="860">
        <v>0</v>
      </c>
      <c r="E211" s="860">
        <v>0</v>
      </c>
      <c r="F211" s="860">
        <v>0</v>
      </c>
      <c r="G211" s="860">
        <v>0</v>
      </c>
      <c r="H211" s="860">
        <v>0</v>
      </c>
      <c r="I211" s="860">
        <v>39.006</v>
      </c>
      <c r="J211" s="860">
        <v>37.890999999999998</v>
      </c>
      <c r="K211" s="860">
        <v>36.997999999999998</v>
      </c>
      <c r="L211" s="860">
        <v>35.762</v>
      </c>
      <c r="M211" s="860">
        <v>37.887</v>
      </c>
      <c r="N211" s="860">
        <v>40.706000000000003</v>
      </c>
      <c r="O211" s="860">
        <v>40.521999999999998</v>
      </c>
      <c r="P211" s="860">
        <v>40.335000000000001</v>
      </c>
      <c r="Q211" s="860">
        <v>37.167000000000002</v>
      </c>
      <c r="R211" s="860">
        <v>36.984000000000002</v>
      </c>
      <c r="S211" s="860">
        <v>36.805999999999997</v>
      </c>
      <c r="T211" s="860">
        <v>36.137999999999998</v>
      </c>
      <c r="U211" s="860">
        <v>36.725999999999999</v>
      </c>
      <c r="V211" s="860">
        <v>36.546999999999997</v>
      </c>
      <c r="W211" s="860">
        <v>37.817999999999998</v>
      </c>
      <c r="X211" s="860">
        <v>83.798000000000002</v>
      </c>
      <c r="Y211" s="860">
        <v>69.41</v>
      </c>
      <c r="Z211" s="860">
        <v>68.906000000000006</v>
      </c>
      <c r="AA211" s="819">
        <v>87.95</v>
      </c>
      <c r="AB211" s="819">
        <v>86.527000000000001</v>
      </c>
      <c r="AC211" s="819">
        <v>242.946</v>
      </c>
      <c r="AD211" s="819">
        <v>241.49299999999999</v>
      </c>
      <c r="AE211" s="819">
        <v>240.005</v>
      </c>
      <c r="AF211" s="819">
        <v>201.602</v>
      </c>
      <c r="AG211" s="819">
        <v>202.48599999999999</v>
      </c>
      <c r="AH211" s="819">
        <v>190.96100000000001</v>
      </c>
      <c r="AI211" s="819">
        <v>510.964</v>
      </c>
      <c r="AJ211" s="819">
        <v>488.38799999999998</v>
      </c>
      <c r="AK211" s="835">
        <v>500.67599999999999</v>
      </c>
      <c r="AL211" s="485">
        <v>494.76100000000002</v>
      </c>
      <c r="AM211" s="485">
        <v>491.51900000000001</v>
      </c>
      <c r="AN211" s="485">
        <v>488.37400000000002</v>
      </c>
      <c r="AO211" s="485">
        <v>489.63900000000001</v>
      </c>
      <c r="AP211" s="485">
        <v>483.81400000000002</v>
      </c>
      <c r="AQ211" s="485">
        <v>476.435</v>
      </c>
      <c r="AR211" s="819">
        <v>473.79300000000001</v>
      </c>
      <c r="AS211" s="819">
        <v>473.94200000000001</v>
      </c>
      <c r="AT211" s="819">
        <v>468.40600000000001</v>
      </c>
      <c r="AU211" s="327"/>
      <c r="AV211" s="327"/>
      <c r="AW211" s="327"/>
      <c r="AX211" s="327"/>
      <c r="AY211" s="327"/>
      <c r="AZ211" s="327"/>
      <c r="BA211" s="327"/>
      <c r="BB211" s="52"/>
      <c r="BC211" s="52"/>
      <c r="BD211" s="52"/>
      <c r="BE211" s="52"/>
      <c r="BF211" s="52"/>
      <c r="BG211" s="52"/>
      <c r="BH211" s="52"/>
      <c r="BI211" s="52"/>
      <c r="BJ211" s="52"/>
      <c r="BK211" s="52"/>
      <c r="BL211" s="52"/>
      <c r="BM211" s="52"/>
      <c r="BN211" s="52"/>
    </row>
    <row r="212" spans="1:66">
      <c r="A212" s="1733" t="s">
        <v>100</v>
      </c>
      <c r="B212" s="860">
        <v>0.40899999999999997</v>
      </c>
      <c r="C212" s="860">
        <v>2.452</v>
      </c>
      <c r="D212" s="860">
        <v>4.6159999999999997</v>
      </c>
      <c r="E212" s="860">
        <v>7.65</v>
      </c>
      <c r="F212" s="860">
        <v>11.273</v>
      </c>
      <c r="G212" s="860">
        <v>17.295999999999999</v>
      </c>
      <c r="H212" s="860">
        <v>26.149000000000001</v>
      </c>
      <c r="I212" s="860">
        <v>35.136000000000003</v>
      </c>
      <c r="J212" s="860">
        <v>36.701999999999998</v>
      </c>
      <c r="K212" s="860">
        <v>44.936</v>
      </c>
      <c r="L212" s="860">
        <v>44.454000000000001</v>
      </c>
      <c r="M212" s="860">
        <v>42.819000000000003</v>
      </c>
      <c r="N212" s="860">
        <v>39.124000000000002</v>
      </c>
      <c r="O212" s="860">
        <v>38.463999999999999</v>
      </c>
      <c r="P212" s="860">
        <v>37.802999999999997</v>
      </c>
      <c r="Q212" s="860">
        <v>0</v>
      </c>
      <c r="R212" s="860">
        <v>39.012</v>
      </c>
      <c r="S212" s="860">
        <v>37.847999999999999</v>
      </c>
      <c r="T212" s="860">
        <v>22.393000000000001</v>
      </c>
      <c r="U212" s="819"/>
      <c r="V212" s="819"/>
      <c r="W212" s="819"/>
      <c r="X212" s="819"/>
      <c r="Y212" s="819"/>
      <c r="Z212" s="819"/>
      <c r="AA212" s="819"/>
      <c r="AB212" s="819"/>
      <c r="AC212" s="819"/>
      <c r="AD212" s="819"/>
      <c r="AE212" s="819"/>
      <c r="AF212" s="819"/>
      <c r="AG212" s="819"/>
      <c r="AH212" s="819"/>
      <c r="AI212" s="819"/>
      <c r="AJ212" s="819"/>
      <c r="AK212" s="835"/>
      <c r="AL212" s="327"/>
      <c r="AM212" s="327"/>
      <c r="AN212" s="327"/>
      <c r="AO212" s="327"/>
      <c r="AP212" s="327"/>
      <c r="AQ212" s="327"/>
      <c r="AR212" s="742"/>
      <c r="AS212" s="742"/>
      <c r="AT212" s="327"/>
      <c r="AU212" s="327"/>
      <c r="AV212" s="327"/>
      <c r="AW212" s="327"/>
      <c r="AX212" s="327"/>
      <c r="AY212" s="327"/>
      <c r="AZ212" s="327"/>
      <c r="BA212" s="327"/>
      <c r="BB212" s="52"/>
      <c r="BC212" s="52"/>
      <c r="BD212" s="52"/>
      <c r="BE212" s="52"/>
      <c r="BF212" s="52"/>
      <c r="BG212" s="52"/>
      <c r="BH212" s="52"/>
      <c r="BI212" s="52"/>
      <c r="BJ212" s="52"/>
      <c r="BK212" s="52"/>
      <c r="BL212" s="52"/>
      <c r="BM212" s="52"/>
      <c r="BN212" s="52"/>
    </row>
    <row r="213" spans="1:66">
      <c r="A213" s="1735"/>
      <c r="B213" s="327"/>
      <c r="C213" s="327"/>
      <c r="D213" s="327"/>
      <c r="E213" s="327"/>
      <c r="F213" s="327"/>
      <c r="G213" s="327"/>
      <c r="H213" s="327"/>
      <c r="I213" s="327"/>
      <c r="J213" s="327"/>
      <c r="K213" s="327"/>
      <c r="L213" s="327"/>
      <c r="M213" s="327"/>
      <c r="N213" s="327"/>
      <c r="O213" s="327"/>
      <c r="P213" s="327"/>
      <c r="Q213" s="327"/>
      <c r="R213" s="327"/>
      <c r="S213" s="327"/>
      <c r="T213" s="327"/>
      <c r="U213" s="327"/>
      <c r="V213" s="327"/>
      <c r="W213" s="327"/>
      <c r="X213" s="327"/>
      <c r="Y213" s="327"/>
      <c r="Z213" s="327"/>
      <c r="AA213" s="327"/>
      <c r="AB213" s="327"/>
      <c r="AC213" s="327"/>
      <c r="AD213" s="327"/>
      <c r="AE213" s="327"/>
      <c r="AF213" s="327"/>
      <c r="AG213" s="327"/>
      <c r="AH213" s="327"/>
      <c r="AI213" s="327"/>
      <c r="AJ213" s="327"/>
      <c r="AK213" s="890"/>
      <c r="AL213" s="327"/>
      <c r="AM213" s="327"/>
      <c r="AN213" s="327"/>
      <c r="AO213" s="327"/>
      <c r="AP213" s="327"/>
      <c r="AQ213" s="327"/>
      <c r="AR213" s="742"/>
      <c r="AS213" s="742"/>
      <c r="AT213" s="327"/>
      <c r="AU213" s="327"/>
      <c r="AV213" s="327"/>
      <c r="AW213" s="327"/>
      <c r="AX213" s="327"/>
      <c r="AY213" s="327"/>
      <c r="AZ213" s="327"/>
      <c r="BA213" s="327"/>
      <c r="BB213" s="52"/>
      <c r="BC213" s="52"/>
      <c r="BD213" s="52"/>
      <c r="BE213" s="52"/>
      <c r="BF213" s="52"/>
      <c r="BG213" s="52"/>
      <c r="BH213" s="52"/>
      <c r="BI213" s="52"/>
      <c r="BJ213" s="52"/>
      <c r="BK213" s="52"/>
      <c r="BL213" s="52"/>
      <c r="BM213" s="52"/>
      <c r="BN213" s="52"/>
    </row>
    <row r="214" spans="1:66">
      <c r="A214" s="1761" t="s">
        <v>146</v>
      </c>
      <c r="B214" s="377">
        <f t="shared" ref="B214:AG214" si="165">B194+B202+B207</f>
        <v>691.82600000000002</v>
      </c>
      <c r="C214" s="377">
        <f t="shared" si="165"/>
        <v>1805.645</v>
      </c>
      <c r="D214" s="377">
        <f t="shared" si="165"/>
        <v>1773.856</v>
      </c>
      <c r="E214" s="377">
        <f t="shared" si="165"/>
        <v>2642.9260000000004</v>
      </c>
      <c r="F214" s="377">
        <f t="shared" si="165"/>
        <v>2756.1689999999999</v>
      </c>
      <c r="G214" s="377">
        <f t="shared" si="165"/>
        <v>2835.0749999999998</v>
      </c>
      <c r="H214" s="377">
        <f t="shared" si="165"/>
        <v>2915.1259999999997</v>
      </c>
      <c r="I214" s="377">
        <f t="shared" si="165"/>
        <v>2916.6229999999996</v>
      </c>
      <c r="J214" s="377">
        <f t="shared" si="165"/>
        <v>3044.4360000000001</v>
      </c>
      <c r="K214" s="377">
        <f t="shared" si="165"/>
        <v>3390.8450000000003</v>
      </c>
      <c r="L214" s="377">
        <f t="shared" si="165"/>
        <v>3389.8270000000007</v>
      </c>
      <c r="M214" s="377">
        <f t="shared" si="165"/>
        <v>3394.692</v>
      </c>
      <c r="N214" s="377">
        <f t="shared" si="165"/>
        <v>3339.1809999999996</v>
      </c>
      <c r="O214" s="377">
        <f t="shared" si="165"/>
        <v>3425.8100000000004</v>
      </c>
      <c r="P214" s="377">
        <f t="shared" si="165"/>
        <v>3416.3359999999998</v>
      </c>
      <c r="Q214" s="377">
        <f t="shared" si="165"/>
        <v>4187.4430000000002</v>
      </c>
      <c r="R214" s="377">
        <f t="shared" si="165"/>
        <v>3468.098</v>
      </c>
      <c r="S214" s="377">
        <f t="shared" si="165"/>
        <v>3616.009</v>
      </c>
      <c r="T214" s="377">
        <f t="shared" si="165"/>
        <v>3285.08</v>
      </c>
      <c r="U214" s="377">
        <f t="shared" si="165"/>
        <v>3941.6579999999999</v>
      </c>
      <c r="V214" s="377">
        <f t="shared" si="165"/>
        <v>4211.3</v>
      </c>
      <c r="W214" s="377">
        <f t="shared" si="165"/>
        <v>4409.75</v>
      </c>
      <c r="X214" s="377">
        <f t="shared" si="165"/>
        <v>4834.4150000000009</v>
      </c>
      <c r="Y214" s="377">
        <f t="shared" si="165"/>
        <v>4787.1669999999995</v>
      </c>
      <c r="Z214" s="377">
        <f t="shared" si="165"/>
        <v>5392.9789999999994</v>
      </c>
      <c r="AA214" s="377">
        <f t="shared" si="165"/>
        <v>5513.6929999999993</v>
      </c>
      <c r="AB214" s="377">
        <f t="shared" si="165"/>
        <v>5449.3580000000002</v>
      </c>
      <c r="AC214" s="377">
        <f t="shared" si="165"/>
        <v>5633.1009999999997</v>
      </c>
      <c r="AD214" s="377">
        <f t="shared" si="165"/>
        <v>5676.4480999999996</v>
      </c>
      <c r="AE214" s="377">
        <f t="shared" si="165"/>
        <v>5751.857</v>
      </c>
      <c r="AF214" s="377">
        <f t="shared" si="165"/>
        <v>5774.0230000000001</v>
      </c>
      <c r="AG214" s="377">
        <f t="shared" si="165"/>
        <v>5825.9510000000009</v>
      </c>
      <c r="AH214" s="377">
        <f t="shared" ref="AH214:BA214" si="166">AH194+AH202+AH207</f>
        <v>6266.0789999999997</v>
      </c>
      <c r="AI214" s="377">
        <f t="shared" si="166"/>
        <v>7013.366</v>
      </c>
      <c r="AJ214" s="377">
        <f t="shared" si="166"/>
        <v>7250.5640000000003</v>
      </c>
      <c r="AK214" s="1375">
        <f t="shared" si="166"/>
        <v>7619.0320000000002</v>
      </c>
      <c r="AL214" s="377">
        <f t="shared" si="166"/>
        <v>7760.6310000000003</v>
      </c>
      <c r="AM214" s="377">
        <f t="shared" si="166"/>
        <v>7796.8119999999999</v>
      </c>
      <c r="AN214" s="377">
        <f t="shared" si="166"/>
        <v>7585.2610000000004</v>
      </c>
      <c r="AO214" s="377">
        <f t="shared" si="166"/>
        <v>7755.59</v>
      </c>
      <c r="AP214" s="377">
        <f t="shared" si="166"/>
        <v>7553.9150000000009</v>
      </c>
      <c r="AQ214" s="377">
        <f t="shared" si="166"/>
        <v>7925.4960000000001</v>
      </c>
      <c r="AR214" s="2179">
        <v>8031.8439999999991</v>
      </c>
      <c r="AS214" s="2179">
        <f t="shared" si="166"/>
        <v>8691.5250000000015</v>
      </c>
      <c r="AT214" s="377">
        <f t="shared" si="166"/>
        <v>9175.5619999999999</v>
      </c>
      <c r="AU214" s="377">
        <f t="shared" si="166"/>
        <v>0</v>
      </c>
      <c r="AV214" s="377">
        <f t="shared" si="166"/>
        <v>0</v>
      </c>
      <c r="AW214" s="377">
        <f t="shared" si="166"/>
        <v>0</v>
      </c>
      <c r="AX214" s="377">
        <f t="shared" si="166"/>
        <v>0</v>
      </c>
      <c r="AY214" s="377">
        <f t="shared" si="166"/>
        <v>0</v>
      </c>
      <c r="AZ214" s="377">
        <f t="shared" si="166"/>
        <v>0</v>
      </c>
      <c r="BA214" s="377">
        <f t="shared" si="166"/>
        <v>0</v>
      </c>
      <c r="BB214" s="52"/>
      <c r="BC214" s="52"/>
      <c r="BD214" s="52"/>
      <c r="BE214" s="52"/>
      <c r="BF214" s="52"/>
      <c r="BG214" s="52"/>
      <c r="BH214" s="52"/>
      <c r="BI214" s="52"/>
      <c r="BJ214" s="52"/>
      <c r="BK214" s="52"/>
      <c r="BL214" s="52"/>
      <c r="BM214" s="52"/>
      <c r="BN214" s="52"/>
    </row>
    <row r="215" spans="1:66">
      <c r="A215" s="1735"/>
      <c r="B215" s="327"/>
      <c r="C215" s="327"/>
      <c r="D215" s="327"/>
      <c r="E215" s="327"/>
      <c r="F215" s="327"/>
      <c r="G215" s="327"/>
      <c r="H215" s="327"/>
      <c r="I215" s="327"/>
      <c r="J215" s="327"/>
      <c r="K215" s="327"/>
      <c r="L215" s="327"/>
      <c r="M215" s="327"/>
      <c r="N215" s="327"/>
      <c r="O215" s="327"/>
      <c r="P215" s="327"/>
      <c r="Q215" s="327"/>
      <c r="R215" s="327"/>
      <c r="S215" s="327"/>
      <c r="T215" s="327"/>
      <c r="U215" s="327"/>
      <c r="V215" s="327"/>
      <c r="W215" s="191"/>
      <c r="X215" s="327"/>
      <c r="Y215" s="327"/>
      <c r="Z215" s="327"/>
      <c r="AA215" s="327"/>
      <c r="AB215" s="327"/>
      <c r="AC215" s="327"/>
      <c r="AD215" s="327"/>
      <c r="AE215" s="327"/>
      <c r="AF215" s="327"/>
      <c r="AG215" s="327"/>
      <c r="AH215" s="327"/>
      <c r="AI215" s="327"/>
      <c r="AJ215" s="327"/>
      <c r="AK215" s="890"/>
      <c r="AL215" s="327"/>
      <c r="AM215" s="327"/>
      <c r="AN215" s="327"/>
      <c r="AO215" s="327"/>
      <c r="AP215" s="327"/>
      <c r="AQ215" s="327"/>
      <c r="AR215" s="742"/>
      <c r="AS215" s="742"/>
      <c r="AT215" s="327"/>
      <c r="AU215" s="327"/>
      <c r="AV215" s="327"/>
      <c r="AW215" s="327"/>
      <c r="AX215" s="327"/>
      <c r="AY215" s="327"/>
      <c r="AZ215" s="327"/>
      <c r="BA215" s="327"/>
      <c r="BB215" s="52"/>
      <c r="BC215" s="52"/>
      <c r="BD215" s="52"/>
      <c r="BE215" s="52"/>
      <c r="BF215" s="52"/>
      <c r="BG215" s="52"/>
      <c r="BH215" s="52"/>
      <c r="BI215" s="52"/>
      <c r="BJ215" s="52"/>
      <c r="BK215" s="52"/>
      <c r="BL215" s="52"/>
      <c r="BM215" s="52"/>
      <c r="BN215" s="52"/>
    </row>
    <row r="216" spans="1:66">
      <c r="A216" s="1735" t="s">
        <v>245</v>
      </c>
      <c r="B216" s="195">
        <f t="shared" ref="B216:AG216" si="167">SUM(B217:B223)</f>
        <v>110.313</v>
      </c>
      <c r="C216" s="195">
        <f t="shared" si="167"/>
        <v>237.74199999999999</v>
      </c>
      <c r="D216" s="195">
        <f t="shared" si="167"/>
        <v>172.21799999999999</v>
      </c>
      <c r="E216" s="195">
        <f t="shared" si="167"/>
        <v>217.85599999999999</v>
      </c>
      <c r="F216" s="195">
        <f t="shared" si="167"/>
        <v>282.29300000000001</v>
      </c>
      <c r="G216" s="195">
        <f t="shared" si="167"/>
        <v>294.63200000000001</v>
      </c>
      <c r="H216" s="195">
        <f t="shared" si="167"/>
        <v>331.72899999999998</v>
      </c>
      <c r="I216" s="195">
        <f t="shared" si="167"/>
        <v>312.81300000000005</v>
      </c>
      <c r="J216" s="195">
        <f t="shared" si="167"/>
        <v>488.00900000000001</v>
      </c>
      <c r="K216" s="195">
        <f t="shared" si="167"/>
        <v>530.33600000000001</v>
      </c>
      <c r="L216" s="195">
        <f t="shared" si="167"/>
        <v>554.673</v>
      </c>
      <c r="M216" s="195">
        <f t="shared" si="167"/>
        <v>559.50800000000004</v>
      </c>
      <c r="N216" s="195">
        <f t="shared" si="167"/>
        <v>544.68299999999999</v>
      </c>
      <c r="O216" s="195">
        <f t="shared" si="167"/>
        <v>649.27499999999998</v>
      </c>
      <c r="P216" s="195">
        <f t="shared" si="167"/>
        <v>670.76900000000001</v>
      </c>
      <c r="Q216" s="195">
        <f t="shared" si="167"/>
        <v>481.21399999999994</v>
      </c>
      <c r="R216" s="195">
        <f t="shared" si="167"/>
        <v>553.78100000000006</v>
      </c>
      <c r="S216" s="195">
        <f t="shared" si="167"/>
        <v>687.00700000000018</v>
      </c>
      <c r="T216" s="195">
        <f t="shared" si="167"/>
        <v>491.23600000000005</v>
      </c>
      <c r="U216" s="195">
        <f t="shared" si="167"/>
        <v>340.858</v>
      </c>
      <c r="V216" s="195">
        <f t="shared" si="167"/>
        <v>383.995</v>
      </c>
      <c r="W216" s="195">
        <f t="shared" si="167"/>
        <v>557.57299999999998</v>
      </c>
      <c r="X216" s="195">
        <f t="shared" si="167"/>
        <v>627.89100000000008</v>
      </c>
      <c r="Y216" s="195">
        <f t="shared" si="167"/>
        <v>517.35300000000007</v>
      </c>
      <c r="Z216" s="195">
        <f t="shared" si="167"/>
        <v>716.68200000000002</v>
      </c>
      <c r="AA216" s="195">
        <f t="shared" si="167"/>
        <v>785.42299999999989</v>
      </c>
      <c r="AB216" s="195">
        <f t="shared" si="167"/>
        <v>762.87</v>
      </c>
      <c r="AC216" s="195">
        <f t="shared" si="167"/>
        <v>663.94600000000003</v>
      </c>
      <c r="AD216" s="195">
        <f t="shared" si="167"/>
        <v>847.95</v>
      </c>
      <c r="AE216" s="195">
        <f t="shared" si="167"/>
        <v>985.02700000000004</v>
      </c>
      <c r="AF216" s="195">
        <f t="shared" si="167"/>
        <v>1036.0150000000001</v>
      </c>
      <c r="AG216" s="195">
        <f t="shared" si="167"/>
        <v>901.3309999999999</v>
      </c>
      <c r="AH216" s="195">
        <f t="shared" ref="AH216:BA216" si="168">SUM(AH217:AH223)</f>
        <v>1002.559</v>
      </c>
      <c r="AI216" s="195">
        <f t="shared" si="168"/>
        <v>1555.4929999999999</v>
      </c>
      <c r="AJ216" s="195">
        <f t="shared" si="168"/>
        <v>1384.817</v>
      </c>
      <c r="AK216" s="1376">
        <f t="shared" si="168"/>
        <v>1565.4359999999999</v>
      </c>
      <c r="AL216" s="195">
        <f t="shared" si="168"/>
        <v>1397.751</v>
      </c>
      <c r="AM216" s="195">
        <f t="shared" si="168"/>
        <v>1624.2719999999999</v>
      </c>
      <c r="AN216" s="195">
        <f t="shared" si="168"/>
        <v>1426.3209999999999</v>
      </c>
      <c r="AO216" s="195">
        <f t="shared" si="168"/>
        <v>1370.258</v>
      </c>
      <c r="AP216" s="195">
        <f t="shared" si="168"/>
        <v>1916.547</v>
      </c>
      <c r="AQ216" s="195">
        <f t="shared" si="168"/>
        <v>1728.8489999999999</v>
      </c>
      <c r="AR216" s="2180">
        <v>1581.9</v>
      </c>
      <c r="AS216" s="2180">
        <f t="shared" si="168"/>
        <v>1989.633</v>
      </c>
      <c r="AT216" s="2180">
        <f t="shared" si="168"/>
        <v>1713.598</v>
      </c>
      <c r="AU216" s="195">
        <f t="shared" si="168"/>
        <v>0</v>
      </c>
      <c r="AV216" s="195">
        <f t="shared" si="168"/>
        <v>0</v>
      </c>
      <c r="AW216" s="195">
        <f t="shared" si="168"/>
        <v>0</v>
      </c>
      <c r="AX216" s="195">
        <f t="shared" si="168"/>
        <v>0</v>
      </c>
      <c r="AY216" s="195">
        <f t="shared" si="168"/>
        <v>0</v>
      </c>
      <c r="AZ216" s="195">
        <f t="shared" si="168"/>
        <v>0</v>
      </c>
      <c r="BA216" s="195">
        <f t="shared" si="168"/>
        <v>0</v>
      </c>
      <c r="BB216" s="52"/>
      <c r="BC216" s="52"/>
      <c r="BD216" s="52"/>
      <c r="BE216" s="52"/>
      <c r="BF216" s="52"/>
      <c r="BG216" s="52"/>
      <c r="BH216" s="52"/>
      <c r="BI216" s="52"/>
      <c r="BJ216" s="52"/>
      <c r="BK216" s="52"/>
      <c r="BL216" s="52"/>
      <c r="BM216" s="52"/>
      <c r="BN216" s="52"/>
    </row>
    <row r="217" spans="1:66">
      <c r="A217" s="1733" t="s">
        <v>101</v>
      </c>
      <c r="B217" s="484">
        <v>49.929000000000002</v>
      </c>
      <c r="C217" s="484">
        <v>102.059</v>
      </c>
      <c r="D217" s="484">
        <v>100.12</v>
      </c>
      <c r="E217" s="484">
        <v>110.148</v>
      </c>
      <c r="F217" s="484">
        <v>110.267</v>
      </c>
      <c r="G217" s="484">
        <v>119.828</v>
      </c>
      <c r="H217" s="484">
        <v>151.99199999999999</v>
      </c>
      <c r="I217" s="484">
        <v>144.761</v>
      </c>
      <c r="J217" s="484">
        <v>358.32499999999999</v>
      </c>
      <c r="K217" s="484">
        <v>365.59800000000001</v>
      </c>
      <c r="L217" s="484">
        <v>420.21100000000001</v>
      </c>
      <c r="M217" s="484">
        <f>401.115+6.269</f>
        <v>407.38400000000001</v>
      </c>
      <c r="N217" s="484">
        <f>366.348+2.112</f>
        <v>368.46000000000004</v>
      </c>
      <c r="O217" s="484">
        <v>464.92200000000003</v>
      </c>
      <c r="P217" s="484">
        <f>465.291+25.727</f>
        <v>491.01799999999997</v>
      </c>
      <c r="Q217" s="484">
        <f>326.746</f>
        <v>326.74599999999998</v>
      </c>
      <c r="R217" s="484">
        <f>364.433+1.16</f>
        <v>365.59300000000002</v>
      </c>
      <c r="S217" s="484">
        <f>419.192+12.766</f>
        <v>431.95800000000003</v>
      </c>
      <c r="T217" s="484">
        <f>219.435+51.389</f>
        <v>270.82400000000001</v>
      </c>
      <c r="U217" s="484">
        <f>140.98+25.91</f>
        <v>166.89</v>
      </c>
      <c r="V217" s="484">
        <f>153.826+15.467</f>
        <v>169.29300000000001</v>
      </c>
      <c r="W217" s="484">
        <v>233.01300000000001</v>
      </c>
      <c r="X217" s="484">
        <f>308.46+32.73</f>
        <v>341.19</v>
      </c>
      <c r="Y217" s="484">
        <f>247.504+14.269</f>
        <v>261.77299999999997</v>
      </c>
      <c r="Z217" s="484">
        <f>357.83+66.666</f>
        <v>424.49599999999998</v>
      </c>
      <c r="AA217" s="485">
        <f>375.341+46.686</f>
        <v>422.02699999999999</v>
      </c>
      <c r="AB217" s="485">
        <f>444.385+23.954</f>
        <v>468.339</v>
      </c>
      <c r="AC217" s="485">
        <v>363.529</v>
      </c>
      <c r="AD217" s="485">
        <v>405.46800000000002</v>
      </c>
      <c r="AE217" s="485">
        <v>515.29499999999996</v>
      </c>
      <c r="AF217" s="485">
        <v>665.95399999999995</v>
      </c>
      <c r="AG217" s="485">
        <v>592.29399999999998</v>
      </c>
      <c r="AH217" s="485">
        <v>606.41</v>
      </c>
      <c r="AI217" s="485">
        <v>1080.7570000000001</v>
      </c>
      <c r="AJ217" s="485">
        <v>1011.942</v>
      </c>
      <c r="AK217" s="822">
        <v>978.82799999999997</v>
      </c>
      <c r="AL217" s="485">
        <v>834.68899999999996</v>
      </c>
      <c r="AM217" s="485">
        <v>956.17899999999997</v>
      </c>
      <c r="AN217" s="485">
        <v>856.24</v>
      </c>
      <c r="AO217" s="485">
        <v>776.53200000000004</v>
      </c>
      <c r="AP217" s="485">
        <v>1185.0329999999999</v>
      </c>
      <c r="AQ217" s="485">
        <v>1053.971</v>
      </c>
      <c r="AR217" s="819">
        <v>1038.7428</v>
      </c>
      <c r="AS217" s="819">
        <v>1499.6489999999999</v>
      </c>
      <c r="AT217" s="819">
        <v>1115.54</v>
      </c>
      <c r="AU217" s="327"/>
      <c r="AV217" s="327"/>
      <c r="AW217" s="327"/>
      <c r="AX217" s="327"/>
      <c r="AY217" s="327"/>
      <c r="AZ217" s="327"/>
      <c r="BA217" s="327"/>
      <c r="BB217" s="52"/>
      <c r="BC217" s="52"/>
      <c r="BD217" s="52"/>
      <c r="BE217" s="52"/>
      <c r="BF217" s="52"/>
      <c r="BG217" s="52"/>
      <c r="BH217" s="52"/>
      <c r="BI217" s="52"/>
      <c r="BJ217" s="52"/>
      <c r="BK217" s="52"/>
      <c r="BL217" s="52"/>
      <c r="BM217" s="52"/>
      <c r="BN217" s="52"/>
    </row>
    <row r="218" spans="1:66">
      <c r="A218" s="1733" t="s">
        <v>102</v>
      </c>
      <c r="B218" s="484">
        <v>29.925000000000001</v>
      </c>
      <c r="C218" s="484">
        <v>71.373999999999995</v>
      </c>
      <c r="D218" s="484">
        <v>49.872999999999998</v>
      </c>
      <c r="E218" s="484">
        <v>57.701000000000001</v>
      </c>
      <c r="F218" s="484">
        <v>111.166</v>
      </c>
      <c r="G218" s="484">
        <v>128.44800000000001</v>
      </c>
      <c r="H218" s="484">
        <v>150.46799999999999</v>
      </c>
      <c r="I218" s="484">
        <v>133.15100000000001</v>
      </c>
      <c r="J218" s="484">
        <v>80.41</v>
      </c>
      <c r="K218" s="484">
        <v>97.385999999999996</v>
      </c>
      <c r="L218" s="484">
        <v>90.543999999999997</v>
      </c>
      <c r="M218" s="484">
        <f>76.15+2.203</f>
        <v>78.353000000000009</v>
      </c>
      <c r="N218" s="484">
        <f>88.628+2.203</f>
        <v>90.831000000000003</v>
      </c>
      <c r="O218" s="484">
        <v>104.47499999999999</v>
      </c>
      <c r="P218" s="484">
        <v>109.211</v>
      </c>
      <c r="Q218" s="484">
        <f>74.172+2.203</f>
        <v>76.375</v>
      </c>
      <c r="R218" s="484">
        <f>96.947+2.203</f>
        <v>99.15</v>
      </c>
      <c r="S218" s="484">
        <f>135.874+2.203</f>
        <v>138.077</v>
      </c>
      <c r="T218" s="484">
        <f>131.681+2.203</f>
        <v>133.88400000000001</v>
      </c>
      <c r="U218" s="484">
        <f>61.096+2.203</f>
        <v>63.298999999999999</v>
      </c>
      <c r="V218" s="484">
        <f>104.13+2.203</f>
        <v>106.333</v>
      </c>
      <c r="W218" s="484">
        <f>168.054+2.203</f>
        <v>170.25700000000001</v>
      </c>
      <c r="X218" s="484">
        <f>122.309+2.42</f>
        <v>124.729</v>
      </c>
      <c r="Y218" s="484">
        <f>76.655+2.356</f>
        <v>79.010999999999996</v>
      </c>
      <c r="Z218" s="484">
        <f>101.989+2.302</f>
        <v>104.29100000000001</v>
      </c>
      <c r="AA218" s="485">
        <f>170.808+2.331</f>
        <v>173.13899999999998</v>
      </c>
      <c r="AB218" s="485">
        <f>146.575+2.292</f>
        <v>148.86699999999999</v>
      </c>
      <c r="AC218" s="485">
        <v>98.234999999999999</v>
      </c>
      <c r="AD218" s="485">
        <v>130.571</v>
      </c>
      <c r="AE218" s="485">
        <v>187.70400000000001</v>
      </c>
      <c r="AF218" s="485">
        <v>166.047</v>
      </c>
      <c r="AG218" s="485">
        <v>90.602000000000004</v>
      </c>
      <c r="AH218" s="485">
        <v>149.02799999999999</v>
      </c>
      <c r="AI218" s="485">
        <v>223.256</v>
      </c>
      <c r="AJ218" s="485">
        <f>(149662+2300)/1000</f>
        <v>151.96199999999999</v>
      </c>
      <c r="AK218" s="822">
        <v>115.727</v>
      </c>
      <c r="AL218" s="485">
        <v>176.12100000000001</v>
      </c>
      <c r="AM218" s="485">
        <v>189.797</v>
      </c>
      <c r="AN218" s="485">
        <v>191.78200000000001</v>
      </c>
      <c r="AO218" s="485">
        <v>137.71100000000001</v>
      </c>
      <c r="AP218" s="485">
        <v>186.65799999999999</v>
      </c>
      <c r="AQ218" s="485">
        <v>265.904</v>
      </c>
      <c r="AR218" s="819">
        <v>208.661</v>
      </c>
      <c r="AS218" s="819">
        <v>138.93899999999999</v>
      </c>
      <c r="AT218" s="819">
        <v>224.49799999999999</v>
      </c>
      <c r="AU218" s="327"/>
      <c r="AV218" s="327"/>
      <c r="AW218" s="327"/>
      <c r="AX218" s="327"/>
      <c r="AY218" s="327"/>
      <c r="AZ218" s="327"/>
      <c r="BA218" s="327"/>
      <c r="BB218" s="52"/>
      <c r="BC218" s="52"/>
      <c r="BD218" s="52"/>
      <c r="BE218" s="52"/>
      <c r="BF218" s="52"/>
      <c r="BG218" s="52"/>
      <c r="BH218" s="52"/>
      <c r="BI218" s="52"/>
      <c r="BJ218" s="52"/>
      <c r="BK218" s="52"/>
      <c r="BL218" s="52"/>
      <c r="BM218" s="52"/>
      <c r="BN218" s="52"/>
    </row>
    <row r="219" spans="1:66">
      <c r="A219" s="1733" t="s">
        <v>103</v>
      </c>
      <c r="B219" s="484">
        <v>4.4770000000000003</v>
      </c>
      <c r="C219" s="484">
        <v>5.9710000000000001</v>
      </c>
      <c r="D219" s="484">
        <v>5.0469999999999997</v>
      </c>
      <c r="E219" s="484">
        <v>6.883</v>
      </c>
      <c r="F219" s="484">
        <v>7.1539999999999999</v>
      </c>
      <c r="G219" s="484">
        <v>8.3550000000000004</v>
      </c>
      <c r="H219" s="484">
        <v>6.5229999999999997</v>
      </c>
      <c r="I219" s="484">
        <v>9.9700000000000006</v>
      </c>
      <c r="J219" s="484">
        <v>9.1519999999999992</v>
      </c>
      <c r="K219" s="484">
        <v>9.6289999999999996</v>
      </c>
      <c r="L219" s="484">
        <v>9.1029999999999998</v>
      </c>
      <c r="M219" s="484">
        <v>9.7040000000000006</v>
      </c>
      <c r="N219" s="484">
        <v>12.061999999999999</v>
      </c>
      <c r="O219" s="484">
        <v>12.260999999999999</v>
      </c>
      <c r="P219" s="484">
        <v>12.364000000000001</v>
      </c>
      <c r="Q219" s="484">
        <v>16.602</v>
      </c>
      <c r="R219" s="484">
        <v>14.747</v>
      </c>
      <c r="S219" s="484">
        <v>27.561</v>
      </c>
      <c r="T219" s="484">
        <v>19.652000000000001</v>
      </c>
      <c r="U219" s="484">
        <f>20.343+44</f>
        <v>64.343000000000004</v>
      </c>
      <c r="V219" s="484">
        <f>1.672+12.544+1.594</f>
        <v>15.81</v>
      </c>
      <c r="W219" s="484">
        <f>15.475+0.556+7.87</f>
        <v>23.901</v>
      </c>
      <c r="X219" s="484">
        <v>14.074999999999999</v>
      </c>
      <c r="Y219" s="484">
        <v>12.199</v>
      </c>
      <c r="Z219" s="484">
        <v>12.513999999999999</v>
      </c>
      <c r="AA219" s="485">
        <v>15.37</v>
      </c>
      <c r="AB219" s="485">
        <f>13.515</f>
        <v>13.515000000000001</v>
      </c>
      <c r="AC219" s="485">
        <v>12.484999999999999</v>
      </c>
      <c r="AD219" s="485">
        <v>12.907999999999999</v>
      </c>
      <c r="AE219" s="485">
        <v>14.691000000000001</v>
      </c>
      <c r="AF219" s="485">
        <v>15.965999999999999</v>
      </c>
      <c r="AG219" s="485">
        <v>13.749000000000001</v>
      </c>
      <c r="AH219" s="485">
        <v>14.471</v>
      </c>
      <c r="AI219" s="485">
        <v>19.382999999999999</v>
      </c>
      <c r="AJ219" s="485">
        <v>11.967000000000001</v>
      </c>
      <c r="AK219" s="822">
        <v>14.531000000000001</v>
      </c>
      <c r="AL219" s="485">
        <v>15.038</v>
      </c>
      <c r="AM219" s="485">
        <v>18.995000000000001</v>
      </c>
      <c r="AN219" s="485">
        <v>17.611999999999998</v>
      </c>
      <c r="AO219" s="485">
        <v>19.614999999999998</v>
      </c>
      <c r="AP219" s="485">
        <v>16.477</v>
      </c>
      <c r="AQ219" s="485">
        <v>11.164</v>
      </c>
      <c r="AR219" s="819">
        <v>15.59</v>
      </c>
      <c r="AS219" s="819">
        <v>20.481000000000002</v>
      </c>
      <c r="AT219" s="819">
        <v>20.404</v>
      </c>
      <c r="AU219" s="327"/>
      <c r="AV219" s="327"/>
      <c r="AW219" s="327"/>
      <c r="AX219" s="327"/>
      <c r="AY219" s="327"/>
      <c r="AZ219" s="327"/>
      <c r="BA219" s="327"/>
      <c r="BB219" s="52"/>
      <c r="BC219" s="52"/>
      <c r="BD219" s="52"/>
      <c r="BE219" s="52"/>
      <c r="BF219" s="52"/>
      <c r="BG219" s="52"/>
      <c r="BH219" s="52"/>
      <c r="BI219" s="52"/>
      <c r="BJ219" s="52"/>
      <c r="BK219" s="52"/>
      <c r="BL219" s="52"/>
      <c r="BM219" s="52"/>
      <c r="BN219" s="52"/>
    </row>
    <row r="220" spans="1:66">
      <c r="A220" s="1733" t="s">
        <v>104</v>
      </c>
      <c r="B220" s="484">
        <v>6.7290000000000001</v>
      </c>
      <c r="C220" s="484">
        <v>11.1</v>
      </c>
      <c r="D220" s="484">
        <v>0</v>
      </c>
      <c r="E220" s="484">
        <v>0</v>
      </c>
      <c r="F220" s="484">
        <v>0</v>
      </c>
      <c r="G220" s="484">
        <v>0</v>
      </c>
      <c r="H220" s="484">
        <v>0</v>
      </c>
      <c r="I220" s="484">
        <v>0</v>
      </c>
      <c r="J220" s="484">
        <v>0</v>
      </c>
      <c r="K220" s="484">
        <v>17.276</v>
      </c>
      <c r="L220" s="484">
        <v>0</v>
      </c>
      <c r="M220" s="484">
        <v>0</v>
      </c>
      <c r="N220" s="484">
        <v>0</v>
      </c>
      <c r="O220" s="484">
        <v>0</v>
      </c>
      <c r="P220" s="484">
        <v>0</v>
      </c>
      <c r="Q220" s="484">
        <v>0</v>
      </c>
      <c r="R220" s="484">
        <v>0</v>
      </c>
      <c r="S220" s="484">
        <v>0</v>
      </c>
      <c r="T220" s="484">
        <v>0</v>
      </c>
      <c r="U220" s="484">
        <v>14.475</v>
      </c>
      <c r="V220" s="484">
        <v>5.2690000000000001</v>
      </c>
      <c r="W220" s="484">
        <v>2.9239999999999999</v>
      </c>
      <c r="X220" s="484">
        <v>11.05</v>
      </c>
      <c r="Y220" s="484">
        <v>8.4179999999999993</v>
      </c>
      <c r="Z220" s="484">
        <v>0.95099999999999996</v>
      </c>
      <c r="AA220" s="485">
        <v>1.0369999999999999</v>
      </c>
      <c r="AB220" s="485">
        <v>3.6579999999999999</v>
      </c>
      <c r="AC220" s="485">
        <v>3.3410000000000002</v>
      </c>
      <c r="AD220" s="485">
        <v>7.7</v>
      </c>
      <c r="AE220" s="485">
        <v>1.92</v>
      </c>
      <c r="AF220" s="485">
        <v>3.8730000000000002</v>
      </c>
      <c r="AG220" s="485">
        <v>3.1429999999999998</v>
      </c>
      <c r="AH220" s="485">
        <v>7.6840000000000002</v>
      </c>
      <c r="AI220" s="485">
        <v>5.1349999999999998</v>
      </c>
      <c r="AJ220" s="485">
        <v>2.9510000000000001</v>
      </c>
      <c r="AK220" s="822">
        <v>4.3209999999999997</v>
      </c>
      <c r="AL220" s="485">
        <v>4.9000000000000004</v>
      </c>
      <c r="AM220" s="485">
        <v>4.4980000000000002</v>
      </c>
      <c r="AN220" s="485">
        <v>13.430999999999999</v>
      </c>
      <c r="AO220" s="485">
        <v>1.6060000000000001</v>
      </c>
      <c r="AP220" s="485">
        <v>13.331</v>
      </c>
      <c r="AQ220" s="485">
        <v>16.408000000000001</v>
      </c>
      <c r="AR220" s="819">
        <v>1.2669999999999999</v>
      </c>
      <c r="AS220" s="819">
        <v>4.1740000000000004</v>
      </c>
      <c r="AT220" s="819">
        <v>2.9140000000000001</v>
      </c>
      <c r="AU220" s="327"/>
      <c r="AV220" s="327"/>
      <c r="AW220" s="327"/>
      <c r="AX220" s="327"/>
      <c r="AY220" s="327"/>
      <c r="AZ220" s="327"/>
      <c r="BA220" s="327"/>
      <c r="BB220" s="52"/>
      <c r="BC220" s="52"/>
      <c r="BD220" s="52"/>
      <c r="BE220" s="52"/>
      <c r="BF220" s="52"/>
      <c r="BG220" s="52"/>
      <c r="BH220" s="52"/>
      <c r="BI220" s="52"/>
      <c r="BJ220" s="52"/>
      <c r="BK220" s="52"/>
      <c r="BL220" s="52"/>
      <c r="BM220" s="52"/>
      <c r="BN220" s="52"/>
    </row>
    <row r="221" spans="1:66">
      <c r="A221" s="1733" t="s">
        <v>246</v>
      </c>
      <c r="B221" s="484">
        <v>1.2529999999999999</v>
      </c>
      <c r="C221" s="484">
        <v>14.893000000000001</v>
      </c>
      <c r="D221" s="484">
        <v>0</v>
      </c>
      <c r="E221" s="484">
        <v>20</v>
      </c>
      <c r="F221" s="484">
        <v>20</v>
      </c>
      <c r="G221" s="484">
        <v>1E-3</v>
      </c>
      <c r="H221" s="484">
        <v>1E-3</v>
      </c>
      <c r="I221" s="484">
        <v>0</v>
      </c>
      <c r="J221" s="484">
        <v>0</v>
      </c>
      <c r="K221" s="484">
        <v>0</v>
      </c>
      <c r="L221" s="484">
        <v>0</v>
      </c>
      <c r="M221" s="484">
        <v>0</v>
      </c>
      <c r="N221" s="484">
        <v>0</v>
      </c>
      <c r="O221" s="484">
        <v>0</v>
      </c>
      <c r="P221" s="484">
        <v>0</v>
      </c>
      <c r="Q221" s="484">
        <v>0</v>
      </c>
      <c r="R221" s="484">
        <v>0</v>
      </c>
      <c r="S221" s="484">
        <v>0</v>
      </c>
      <c r="T221" s="484">
        <v>0</v>
      </c>
      <c r="U221" s="484">
        <v>9.18</v>
      </c>
      <c r="V221" s="484">
        <v>9.18</v>
      </c>
      <c r="W221" s="484"/>
      <c r="X221" s="484">
        <v>0</v>
      </c>
      <c r="Y221" s="484">
        <v>30.07</v>
      </c>
      <c r="Z221" s="484">
        <v>30.07</v>
      </c>
      <c r="AA221" s="485">
        <v>0</v>
      </c>
      <c r="AB221" s="485">
        <v>0</v>
      </c>
      <c r="AC221" s="485">
        <v>17.326000000000001</v>
      </c>
      <c r="AD221" s="485">
        <v>17.326000000000001</v>
      </c>
      <c r="AE221" s="485">
        <v>0</v>
      </c>
      <c r="AF221" s="485">
        <v>0</v>
      </c>
      <c r="AG221" s="485">
        <v>32.482999999999997</v>
      </c>
      <c r="AH221" s="485"/>
      <c r="AI221" s="485"/>
      <c r="AJ221" s="485">
        <v>0</v>
      </c>
      <c r="AK221" s="822">
        <v>67.938999999999993</v>
      </c>
      <c r="AL221" s="485">
        <v>67.938999999999993</v>
      </c>
      <c r="AM221" s="485">
        <v>1E-3</v>
      </c>
      <c r="AN221" s="485">
        <v>0.01</v>
      </c>
      <c r="AO221" s="485">
        <v>53.164000000000001</v>
      </c>
      <c r="AP221" s="485">
        <v>55.384999999999998</v>
      </c>
      <c r="AQ221" s="485">
        <v>1E-3</v>
      </c>
      <c r="AR221" s="819">
        <v>1E-3</v>
      </c>
      <c r="AS221" s="819">
        <v>74.242999999999995</v>
      </c>
      <c r="AT221" s="819">
        <v>74.242999999999995</v>
      </c>
      <c r="AU221" s="327"/>
      <c r="AV221" s="327"/>
      <c r="AW221" s="327"/>
      <c r="AX221" s="327"/>
      <c r="AY221" s="327"/>
      <c r="AZ221" s="327"/>
      <c r="BA221" s="327"/>
      <c r="BB221" s="52"/>
      <c r="BC221" s="52"/>
      <c r="BD221" s="52"/>
      <c r="BE221" s="52"/>
      <c r="BF221" s="52"/>
      <c r="BG221" s="52"/>
      <c r="BH221" s="52"/>
      <c r="BI221" s="52"/>
      <c r="BJ221" s="52"/>
      <c r="BK221" s="52"/>
      <c r="BL221" s="52"/>
      <c r="BM221" s="52"/>
      <c r="BN221" s="52"/>
    </row>
    <row r="222" spans="1:66">
      <c r="A222" s="1733" t="s">
        <v>105</v>
      </c>
      <c r="B222" s="484">
        <v>18</v>
      </c>
      <c r="C222" s="484">
        <v>32.344999999999999</v>
      </c>
      <c r="D222" s="484">
        <v>17.178000000000001</v>
      </c>
      <c r="E222" s="484">
        <v>23.123999999999999</v>
      </c>
      <c r="F222" s="484">
        <v>33.706000000000003</v>
      </c>
      <c r="G222" s="484">
        <v>38</v>
      </c>
      <c r="H222" s="484">
        <v>22.745000000000001</v>
      </c>
      <c r="I222" s="484">
        <v>24.931000000000001</v>
      </c>
      <c r="J222" s="484">
        <v>40.122</v>
      </c>
      <c r="K222" s="484">
        <v>40.447000000000003</v>
      </c>
      <c r="L222" s="484">
        <v>34.814999999999998</v>
      </c>
      <c r="M222" s="484">
        <f>34.932+25.858</f>
        <v>60.790000000000006</v>
      </c>
      <c r="N222" s="484">
        <f>47.958+22.471</f>
        <v>70.429000000000002</v>
      </c>
      <c r="O222" s="484">
        <f>46.536+18.878</f>
        <v>65.414000000000001</v>
      </c>
      <c r="P222" s="484">
        <f>35.815+20.054</f>
        <v>55.869</v>
      </c>
      <c r="Q222" s="484">
        <f>41.546+13.353+6.469</f>
        <v>61.368000000000002</v>
      </c>
      <c r="R222" s="484">
        <f>54.233+13.468+6.469</f>
        <v>74.169999999999987</v>
      </c>
      <c r="S222" s="484">
        <f>47.209+42.113</f>
        <v>89.322000000000003</v>
      </c>
      <c r="T222" s="484">
        <f>37.654+29.023</f>
        <v>66.677000000000007</v>
      </c>
      <c r="U222" s="484">
        <f>0.829+0.705</f>
        <v>1.5339999999999998</v>
      </c>
      <c r="V222" s="484">
        <v>63.085999999999999</v>
      </c>
      <c r="W222" s="484">
        <v>53.698</v>
      </c>
      <c r="X222" s="484">
        <f>41.228+18.549</f>
        <v>59.777000000000001</v>
      </c>
      <c r="Y222" s="484">
        <f>57.297+10.215+57.906</f>
        <v>125.41800000000001</v>
      </c>
      <c r="Z222" s="484">
        <f>70.035+59.499+14.238</f>
        <v>143.77199999999999</v>
      </c>
      <c r="AA222" s="485">
        <f>65.417+61.154+38.879</f>
        <v>165.45</v>
      </c>
      <c r="AB222" s="485">
        <f>47.672+60.319+15.216</f>
        <v>123.20699999999999</v>
      </c>
      <c r="AC222" s="485">
        <f>15.149+2.263+0.484+0.398+71.808+12.405+66.523</f>
        <v>169.03</v>
      </c>
      <c r="AD222" s="485">
        <f>92.259+2.234+86.614+1.27+0.398+73.686+17.516</f>
        <v>273.97700000000003</v>
      </c>
      <c r="AE222" s="485">
        <f>67.953+2.234+85.067+10.888+75.672+23.603</f>
        <v>265.41699999999997</v>
      </c>
      <c r="AF222" s="485">
        <f>74.23+2.234+0.995+10.473+21.277+74.966</f>
        <v>184.17500000000001</v>
      </c>
      <c r="AG222" s="485">
        <f>63.814+2.234+0.891+10.725+15.676+75.72</f>
        <v>169.06</v>
      </c>
      <c r="AH222" s="485">
        <f>45.935+2.238+102.429+9.284+32.505+16.166+16.409</f>
        <v>224.96599999999998</v>
      </c>
      <c r="AI222" s="485">
        <f>1555.493-SUM(AI217:AI221)</f>
        <v>226.96199999999976</v>
      </c>
      <c r="AJ222" s="485">
        <f>1384.817-SUM(AJ217:AJ221)</f>
        <v>205.99499999999989</v>
      </c>
      <c r="AK222" s="822">
        <f>1565.436-SUM(AK217:AK221)</f>
        <v>384.08999999999992</v>
      </c>
      <c r="AL222" s="485">
        <f>1397.751-SUM(AL217:AL221)</f>
        <v>299.06399999999985</v>
      </c>
      <c r="AM222" s="485">
        <f>1624.272-SUM(AM217:AM221)</f>
        <v>454.80200000000013</v>
      </c>
      <c r="AN222" s="485">
        <f>1426.321-SUM(AN217:AN221)</f>
        <v>347.24599999999987</v>
      </c>
      <c r="AO222" s="822">
        <f>1370.258-SUM(AO217:AO221)</f>
        <v>381.63</v>
      </c>
      <c r="AP222" s="822">
        <f>1916.547-SUM(AP217:AP221)</f>
        <v>459.66300000000024</v>
      </c>
      <c r="AQ222" s="822">
        <f>1728.849-SUM(AQ217:AQ221)</f>
        <v>381.40100000000007</v>
      </c>
      <c r="AR222" s="835">
        <v>317.6382000000001</v>
      </c>
      <c r="AS222" s="835">
        <f>1989.633-SUM(AS217:AS221)</f>
        <v>252.14700000000016</v>
      </c>
      <c r="AT222" s="835">
        <f>1713.598-SUM(AT217:AT221)</f>
        <v>275.99900000000002</v>
      </c>
      <c r="AU222" s="327"/>
      <c r="AV222" s="327"/>
      <c r="AW222" s="327"/>
      <c r="AX222" s="327"/>
      <c r="AY222" s="327"/>
      <c r="AZ222" s="327"/>
      <c r="BA222" s="327"/>
      <c r="BB222" s="52"/>
      <c r="BC222" s="52"/>
      <c r="BD222" s="52"/>
      <c r="BE222" s="52"/>
      <c r="BF222" s="52"/>
      <c r="BG222" s="52"/>
      <c r="BH222" s="52"/>
      <c r="BI222" s="52"/>
      <c r="BJ222" s="52"/>
      <c r="BK222" s="52"/>
      <c r="BL222" s="52"/>
      <c r="BM222" s="52"/>
      <c r="BN222" s="52"/>
    </row>
    <row r="223" spans="1:66">
      <c r="A223" s="1733" t="s">
        <v>106</v>
      </c>
      <c r="B223" s="484">
        <v>0</v>
      </c>
      <c r="C223" s="484">
        <v>0</v>
      </c>
      <c r="D223" s="484">
        <v>0</v>
      </c>
      <c r="E223" s="484">
        <v>0</v>
      </c>
      <c r="F223" s="484">
        <v>0</v>
      </c>
      <c r="G223" s="484">
        <v>0</v>
      </c>
      <c r="H223" s="484">
        <v>0</v>
      </c>
      <c r="I223" s="484">
        <v>0</v>
      </c>
      <c r="J223" s="484">
        <v>0</v>
      </c>
      <c r="K223" s="484">
        <v>0</v>
      </c>
      <c r="L223" s="484">
        <v>0</v>
      </c>
      <c r="M223" s="484">
        <v>3.2770000000000001</v>
      </c>
      <c r="N223" s="484">
        <v>2.9009999999999998</v>
      </c>
      <c r="O223" s="484">
        <v>2.2029999999999998</v>
      </c>
      <c r="P223" s="484">
        <f>2.203+0.104</f>
        <v>2.3069999999999999</v>
      </c>
      <c r="Q223" s="484">
        <f>0.123</f>
        <v>0.123</v>
      </c>
      <c r="R223" s="484">
        <v>0.121</v>
      </c>
      <c r="S223" s="484">
        <v>8.8999999999999996E-2</v>
      </c>
      <c r="T223" s="484">
        <v>0.19900000000000001</v>
      </c>
      <c r="U223" s="484">
        <v>21.137</v>
      </c>
      <c r="V223" s="484">
        <v>15.023999999999999</v>
      </c>
      <c r="W223" s="484">
        <f>61.308+12.472</f>
        <v>73.78</v>
      </c>
      <c r="X223" s="484">
        <f>0.636+20.078+56.356</f>
        <v>77.069999999999993</v>
      </c>
      <c r="Y223" s="484">
        <f>0.24+0.224</f>
        <v>0.46399999999999997</v>
      </c>
      <c r="Z223" s="484">
        <f>0.586+0.002</f>
        <v>0.58799999999999997</v>
      </c>
      <c r="AA223" s="485">
        <v>8.4</v>
      </c>
      <c r="AB223" s="485">
        <f>1.071+4.213</f>
        <v>5.2839999999999998</v>
      </c>
      <c r="AC223" s="485"/>
      <c r="AD223" s="485"/>
      <c r="AE223" s="485"/>
      <c r="AF223" s="485"/>
      <c r="AG223" s="485"/>
      <c r="AH223" s="485"/>
      <c r="AI223" s="485"/>
      <c r="AJ223" s="485"/>
      <c r="AK223" s="822"/>
      <c r="AL223" s="327"/>
      <c r="AM223" s="327"/>
      <c r="AN223" s="327"/>
      <c r="AO223" s="327"/>
      <c r="AP223" s="327"/>
      <c r="AQ223" s="327"/>
      <c r="AR223" s="742"/>
      <c r="AS223" s="742"/>
      <c r="AT223" s="327"/>
      <c r="AU223" s="327"/>
      <c r="AV223" s="327"/>
      <c r="AW223" s="327"/>
      <c r="AX223" s="327"/>
      <c r="AY223" s="327"/>
      <c r="AZ223" s="327"/>
      <c r="BA223" s="327"/>
      <c r="BB223" s="52"/>
      <c r="BC223" s="52"/>
      <c r="BD223" s="52"/>
      <c r="BE223" s="52"/>
      <c r="BF223" s="52"/>
      <c r="BG223" s="52"/>
      <c r="BH223" s="52"/>
      <c r="BI223" s="52"/>
      <c r="BJ223" s="52"/>
      <c r="BK223" s="52"/>
      <c r="BL223" s="52"/>
      <c r="BM223" s="52"/>
      <c r="BN223" s="52"/>
    </row>
    <row r="224" spans="1:66">
      <c r="A224" s="1735"/>
      <c r="B224" s="327"/>
      <c r="C224" s="327"/>
      <c r="D224" s="327"/>
      <c r="E224" s="327"/>
      <c r="F224" s="327"/>
      <c r="G224" s="327"/>
      <c r="H224" s="327"/>
      <c r="I224" s="327"/>
      <c r="J224" s="327"/>
      <c r="K224" s="327"/>
      <c r="L224" s="327"/>
      <c r="M224" s="327"/>
      <c r="N224" s="327"/>
      <c r="O224" s="327"/>
      <c r="P224" s="327"/>
      <c r="Q224" s="327"/>
      <c r="R224" s="327"/>
      <c r="S224" s="327"/>
      <c r="T224" s="327"/>
      <c r="U224" s="327"/>
      <c r="V224" s="327"/>
      <c r="W224" s="327"/>
      <c r="X224" s="327"/>
      <c r="Y224" s="327"/>
      <c r="Z224" s="327"/>
      <c r="AA224" s="327"/>
      <c r="AB224" s="327"/>
      <c r="AC224" s="327"/>
      <c r="AD224" s="327"/>
      <c r="AE224" s="327"/>
      <c r="AF224" s="327"/>
      <c r="AG224" s="327"/>
      <c r="AH224" s="327"/>
      <c r="AI224" s="327"/>
      <c r="AJ224" s="327"/>
      <c r="AK224" s="890"/>
      <c r="AL224" s="327"/>
      <c r="AM224" s="327"/>
      <c r="AN224" s="327"/>
      <c r="AO224" s="327"/>
      <c r="AP224" s="327"/>
      <c r="AQ224" s="327"/>
      <c r="AR224" s="742"/>
      <c r="AS224" s="742"/>
      <c r="AT224" s="327"/>
      <c r="AU224" s="327"/>
      <c r="AV224" s="327"/>
      <c r="AW224" s="327"/>
      <c r="AX224" s="327"/>
      <c r="AY224" s="327"/>
      <c r="AZ224" s="327"/>
      <c r="BA224" s="327"/>
      <c r="BB224" s="52"/>
      <c r="BC224" s="52"/>
      <c r="BD224" s="52"/>
      <c r="BE224" s="52"/>
      <c r="BF224" s="52"/>
      <c r="BG224" s="52"/>
      <c r="BH224" s="52"/>
      <c r="BI224" s="52"/>
      <c r="BJ224" s="52"/>
      <c r="BK224" s="52"/>
      <c r="BL224" s="52"/>
      <c r="BM224" s="52"/>
      <c r="BN224" s="52"/>
    </row>
    <row r="225" spans="1:66">
      <c r="A225" s="1735" t="s">
        <v>429</v>
      </c>
      <c r="B225" s="195">
        <f t="shared" ref="B225:AG225" si="169">SUM(B226:B228)</f>
        <v>210.23099999999999</v>
      </c>
      <c r="C225" s="195">
        <f t="shared" si="169"/>
        <v>586.971</v>
      </c>
      <c r="D225" s="195">
        <f t="shared" si="169"/>
        <v>602.11599999999999</v>
      </c>
      <c r="E225" s="195">
        <f t="shared" si="169"/>
        <v>745.97899999999993</v>
      </c>
      <c r="F225" s="195">
        <f t="shared" si="169"/>
        <v>805.21399999999994</v>
      </c>
      <c r="G225" s="195">
        <f t="shared" si="169"/>
        <v>903.83200000000011</v>
      </c>
      <c r="H225" s="195">
        <f t="shared" si="169"/>
        <v>953.52499999999998</v>
      </c>
      <c r="I225" s="195">
        <f t="shared" si="169"/>
        <v>971.61799999999994</v>
      </c>
      <c r="J225" s="195">
        <f t="shared" si="169"/>
        <v>926.0809999999999</v>
      </c>
      <c r="K225" s="195">
        <f t="shared" si="169"/>
        <v>1255.8290000000002</v>
      </c>
      <c r="L225" s="195">
        <f t="shared" si="169"/>
        <v>1274.182</v>
      </c>
      <c r="M225" s="195">
        <f t="shared" si="169"/>
        <v>1241.74</v>
      </c>
      <c r="N225" s="195">
        <f t="shared" si="169"/>
        <v>1170.452</v>
      </c>
      <c r="O225" s="195">
        <f t="shared" si="169"/>
        <v>1131.165</v>
      </c>
      <c r="P225" s="195">
        <f t="shared" si="169"/>
        <v>1116.403</v>
      </c>
      <c r="Q225" s="195">
        <f t="shared" si="169"/>
        <v>1796.838</v>
      </c>
      <c r="R225" s="195">
        <f t="shared" si="169"/>
        <v>1204.82</v>
      </c>
      <c r="S225" s="195">
        <f t="shared" si="169"/>
        <v>1222.5720000000001</v>
      </c>
      <c r="T225" s="195">
        <f t="shared" si="169"/>
        <v>1093.8929999999998</v>
      </c>
      <c r="U225" s="195">
        <f t="shared" si="169"/>
        <v>1647.3119999999999</v>
      </c>
      <c r="V225" s="195">
        <f t="shared" si="169"/>
        <v>1822.547</v>
      </c>
      <c r="W225" s="195">
        <f t="shared" si="169"/>
        <v>1863.1100000000001</v>
      </c>
      <c r="X225" s="195">
        <f t="shared" si="169"/>
        <v>2149.8380000000002</v>
      </c>
      <c r="Y225" s="195">
        <f t="shared" si="169"/>
        <v>2245.136</v>
      </c>
      <c r="Z225" s="195">
        <f t="shared" si="169"/>
        <v>2688.605</v>
      </c>
      <c r="AA225" s="195">
        <f t="shared" si="169"/>
        <v>2694.605</v>
      </c>
      <c r="AB225" s="195">
        <f t="shared" si="169"/>
        <v>2624.0219999999999</v>
      </c>
      <c r="AC225" s="195">
        <f t="shared" si="169"/>
        <v>2868.547</v>
      </c>
      <c r="AD225" s="195">
        <f t="shared" si="169"/>
        <v>2789.877</v>
      </c>
      <c r="AE225" s="195">
        <f t="shared" si="169"/>
        <v>2691.4110000000001</v>
      </c>
      <c r="AF225" s="195">
        <f t="shared" si="169"/>
        <v>2658.8240000000001</v>
      </c>
      <c r="AG225" s="195">
        <f t="shared" si="169"/>
        <v>2848.6680000000001</v>
      </c>
      <c r="AH225" s="195">
        <f t="shared" ref="AH225:BA225" si="170">SUM(AH226:AH228)</f>
        <v>3085.1659999999997</v>
      </c>
      <c r="AI225" s="195">
        <f t="shared" si="170"/>
        <v>3220.2139999999999</v>
      </c>
      <c r="AJ225" s="195">
        <f t="shared" si="170"/>
        <v>3619.0619999999999</v>
      </c>
      <c r="AK225" s="1376">
        <f t="shared" si="170"/>
        <v>3437.511</v>
      </c>
      <c r="AL225" s="195">
        <f t="shared" si="170"/>
        <v>3646.078</v>
      </c>
      <c r="AM225" s="195">
        <f t="shared" si="170"/>
        <v>3727.3919999999998</v>
      </c>
      <c r="AN225" s="195">
        <f t="shared" si="170"/>
        <v>3673.145</v>
      </c>
      <c r="AO225" s="195">
        <f t="shared" si="170"/>
        <v>3738.7350000000001</v>
      </c>
      <c r="AP225" s="195">
        <f t="shared" si="170"/>
        <v>2834.57</v>
      </c>
      <c r="AQ225" s="195">
        <f t="shared" si="170"/>
        <v>3338.9409999999998</v>
      </c>
      <c r="AR225" s="195">
        <f t="shared" si="170"/>
        <v>3429.067</v>
      </c>
      <c r="AS225" s="195">
        <f t="shared" si="170"/>
        <v>3298.5720000000001</v>
      </c>
      <c r="AT225" s="195">
        <f t="shared" si="170"/>
        <v>4247.3540000000003</v>
      </c>
      <c r="AU225" s="195">
        <f t="shared" si="170"/>
        <v>0</v>
      </c>
      <c r="AV225" s="195">
        <f t="shared" si="170"/>
        <v>0</v>
      </c>
      <c r="AW225" s="195">
        <f t="shared" si="170"/>
        <v>0</v>
      </c>
      <c r="AX225" s="195">
        <f t="shared" si="170"/>
        <v>0</v>
      </c>
      <c r="AY225" s="195">
        <f t="shared" si="170"/>
        <v>0</v>
      </c>
      <c r="AZ225" s="195">
        <f t="shared" si="170"/>
        <v>0</v>
      </c>
      <c r="BA225" s="195">
        <f t="shared" si="170"/>
        <v>0</v>
      </c>
      <c r="BB225" s="52"/>
      <c r="BC225" s="52"/>
      <c r="BD225" s="52"/>
      <c r="BE225" s="52"/>
      <c r="BF225" s="52"/>
      <c r="BG225" s="52"/>
      <c r="BH225" s="52"/>
      <c r="BI225" s="52"/>
      <c r="BJ225" s="52"/>
      <c r="BK225" s="52"/>
      <c r="BL225" s="52"/>
      <c r="BM225" s="52"/>
      <c r="BN225" s="52"/>
    </row>
    <row r="226" spans="1:66">
      <c r="A226" s="1733" t="s">
        <v>101</v>
      </c>
      <c r="B226" s="484">
        <v>77.158000000000001</v>
      </c>
      <c r="C226" s="484">
        <v>194.11500000000001</v>
      </c>
      <c r="D226" s="484">
        <v>199.27799999999999</v>
      </c>
      <c r="E226" s="484">
        <v>212.655</v>
      </c>
      <c r="F226" s="484">
        <v>271.65100000000001</v>
      </c>
      <c r="G226" s="484">
        <v>356.59800000000001</v>
      </c>
      <c r="H226" s="484">
        <v>418.00599999999997</v>
      </c>
      <c r="I226" s="484">
        <v>446.58300000000003</v>
      </c>
      <c r="J226" s="484">
        <v>389.29599999999999</v>
      </c>
      <c r="K226" s="484">
        <v>717.00300000000004</v>
      </c>
      <c r="L226" s="484">
        <v>740.30600000000004</v>
      </c>
      <c r="M226" s="484">
        <v>730.48599999999999</v>
      </c>
      <c r="N226" s="484">
        <v>679.447</v>
      </c>
      <c r="O226" s="484">
        <v>636.03499999999997</v>
      </c>
      <c r="P226" s="484">
        <v>626.32500000000005</v>
      </c>
      <c r="Q226" s="484">
        <v>628.39300000000003</v>
      </c>
      <c r="R226" s="484">
        <v>689.51</v>
      </c>
      <c r="S226" s="484">
        <v>727.87699999999995</v>
      </c>
      <c r="T226" s="484">
        <v>609.08399999999995</v>
      </c>
      <c r="U226" s="484">
        <v>570.71100000000001</v>
      </c>
      <c r="V226" s="484">
        <f>666.282</f>
        <v>666.28200000000004</v>
      </c>
      <c r="W226" s="484">
        <v>707.85400000000004</v>
      </c>
      <c r="X226" s="484">
        <v>958.01900000000001</v>
      </c>
      <c r="Y226" s="484">
        <v>984.86500000000001</v>
      </c>
      <c r="Z226" s="484">
        <v>1437.192</v>
      </c>
      <c r="AA226" s="485">
        <v>1429.9770000000001</v>
      </c>
      <c r="AB226" s="485">
        <v>1423.123</v>
      </c>
      <c r="AC226" s="485">
        <v>1618.3969999999999</v>
      </c>
      <c r="AD226" s="485">
        <v>1583.461</v>
      </c>
      <c r="AE226" s="485">
        <v>1485.627</v>
      </c>
      <c r="AF226" s="485">
        <v>1450.5060000000001</v>
      </c>
      <c r="AG226" s="485">
        <v>1616.9280000000001</v>
      </c>
      <c r="AH226" s="485">
        <v>1835.261</v>
      </c>
      <c r="AI226" s="485">
        <v>1869.2360000000001</v>
      </c>
      <c r="AJ226" s="485">
        <v>2228.723</v>
      </c>
      <c r="AK226" s="822">
        <v>2634.7730000000001</v>
      </c>
      <c r="AL226" s="822">
        <v>2828.4090000000001</v>
      </c>
      <c r="AM226" s="822">
        <v>3110.201</v>
      </c>
      <c r="AN226" s="822">
        <v>3091.4180000000001</v>
      </c>
      <c r="AO226" s="822">
        <v>3048.9479999999999</v>
      </c>
      <c r="AP226" s="822">
        <v>2117.614</v>
      </c>
      <c r="AQ226" s="822">
        <v>2642.7159999999999</v>
      </c>
      <c r="AR226" s="835">
        <v>2685.8</v>
      </c>
      <c r="AS226" s="835">
        <v>2219.5940000000001</v>
      </c>
      <c r="AT226" s="835">
        <v>2873.1010000000001</v>
      </c>
      <c r="AU226" s="327"/>
      <c r="AV226" s="327"/>
      <c r="AW226" s="327"/>
      <c r="AX226" s="327"/>
      <c r="AY226" s="327"/>
      <c r="AZ226" s="327"/>
      <c r="BA226" s="327"/>
      <c r="BB226" s="52"/>
      <c r="BC226" s="52"/>
      <c r="BD226" s="52"/>
      <c r="BE226" s="52"/>
      <c r="BF226" s="52"/>
      <c r="BG226" s="52"/>
      <c r="BH226" s="52"/>
      <c r="BI226" s="52"/>
      <c r="BJ226" s="52"/>
      <c r="BK226" s="52"/>
      <c r="BL226" s="52"/>
      <c r="BM226" s="52"/>
      <c r="BN226" s="52"/>
    </row>
    <row r="227" spans="1:66">
      <c r="A227" s="1733" t="s">
        <v>107</v>
      </c>
      <c r="B227" s="484">
        <v>133.07300000000001</v>
      </c>
      <c r="C227" s="484">
        <v>392.85599999999999</v>
      </c>
      <c r="D227" s="484">
        <v>402.83800000000002</v>
      </c>
      <c r="E227" s="484">
        <v>533.32399999999996</v>
      </c>
      <c r="F227" s="484">
        <v>533.56299999999999</v>
      </c>
      <c r="G227" s="484">
        <v>547.23400000000004</v>
      </c>
      <c r="H227" s="484">
        <v>535.51900000000001</v>
      </c>
      <c r="I227" s="484">
        <v>525.03499999999997</v>
      </c>
      <c r="J227" s="484">
        <v>536.78499999999997</v>
      </c>
      <c r="K227" s="484">
        <v>538.82600000000002</v>
      </c>
      <c r="L227" s="484">
        <v>533.87599999999998</v>
      </c>
      <c r="M227" s="484">
        <f>216.369+8.963+74.127+3.318</f>
        <v>302.77699999999999</v>
      </c>
      <c r="N227" s="484">
        <f>194.796+8.834+75.452+3.068</f>
        <v>282.14999999999998</v>
      </c>
      <c r="O227" s="484">
        <f>193.989+3.444</f>
        <v>197.43299999999999</v>
      </c>
      <c r="P227" s="484">
        <f>193.935+15.286</f>
        <v>209.221</v>
      </c>
      <c r="Q227" s="484">
        <f>194.042+47.213+67.889+15.539</f>
        <v>324.68299999999999</v>
      </c>
      <c r="R227" s="484">
        <f>194.164+47.476+38.856+15.706</f>
        <v>296.202</v>
      </c>
      <c r="S227" s="484">
        <f>194.205+48.261+34.949+14.754</f>
        <v>292.16900000000004</v>
      </c>
      <c r="T227" s="484">
        <f>194.394+52.779+30.357+11.049</f>
        <v>288.57899999999995</v>
      </c>
      <c r="U227" s="484">
        <f>207.645+55.833+74.284+10.471</f>
        <v>348.233</v>
      </c>
      <c r="V227" s="484">
        <f>55.666+70.919+9.57+205.294</f>
        <v>341.44900000000001</v>
      </c>
      <c r="W227" s="484">
        <f>207.531+55.282+70.876+11.297</f>
        <v>344.98599999999999</v>
      </c>
      <c r="X227" s="484">
        <f>224.241+63.061+74.644+7.34</f>
        <v>369.286</v>
      </c>
      <c r="Y227" s="484">
        <f>222.007+57.873+74.259+6.819</f>
        <v>360.95800000000003</v>
      </c>
      <c r="Z227" s="484">
        <f>221.724+57.078+74.458+7.736</f>
        <v>360.99599999999998</v>
      </c>
      <c r="AA227" s="485">
        <f>217.052+55.922+77.835+7.878</f>
        <v>358.68699999999995</v>
      </c>
      <c r="AB227" s="485">
        <f>215.975+54.777+66.508+3.73</f>
        <v>340.99</v>
      </c>
      <c r="AC227" s="485">
        <v>215.47800000000001</v>
      </c>
      <c r="AD227" s="485">
        <v>215.12700000000001</v>
      </c>
      <c r="AE227" s="485">
        <v>215.02099999999999</v>
      </c>
      <c r="AF227" s="485">
        <v>220.30500000000001</v>
      </c>
      <c r="AG227" s="485">
        <v>230.25399999999999</v>
      </c>
      <c r="AH227" s="485">
        <v>232.749</v>
      </c>
      <c r="AI227" s="485">
        <v>283.27300000000002</v>
      </c>
      <c r="AJ227" s="485">
        <f>(290880+484)/1000</f>
        <v>291.36399999999998</v>
      </c>
      <c r="AK227" s="822">
        <v>292.94499999999999</v>
      </c>
      <c r="AL227" s="822">
        <v>293.17500000000001</v>
      </c>
      <c r="AM227" s="822">
        <v>247.31200000000001</v>
      </c>
      <c r="AN227" s="822">
        <v>247.55600000000001</v>
      </c>
      <c r="AO227" s="822">
        <v>247.86199999999999</v>
      </c>
      <c r="AP227" s="822">
        <v>247.93899999999999</v>
      </c>
      <c r="AQ227" s="822">
        <v>248.81200000000001</v>
      </c>
      <c r="AR227" s="835">
        <v>149.435</v>
      </c>
      <c r="AS227" s="835">
        <v>248.36</v>
      </c>
      <c r="AT227" s="835">
        <v>246.73699999999999</v>
      </c>
      <c r="AU227" s="327"/>
      <c r="AV227" s="327"/>
      <c r="AW227" s="327"/>
      <c r="AX227" s="327"/>
      <c r="AY227" s="327"/>
      <c r="AZ227" s="327"/>
      <c r="BA227" s="327"/>
      <c r="BB227" s="52"/>
      <c r="BC227" s="52"/>
      <c r="BD227" s="52"/>
      <c r="BE227" s="52"/>
      <c r="BF227" s="52"/>
      <c r="BG227" s="52"/>
      <c r="BH227" s="52"/>
      <c r="BI227" s="52"/>
      <c r="BJ227" s="52"/>
      <c r="BK227" s="52"/>
      <c r="BL227" s="52"/>
      <c r="BM227" s="52"/>
      <c r="BN227" s="52"/>
    </row>
    <row r="228" spans="1:66">
      <c r="A228" s="1733" t="s">
        <v>108</v>
      </c>
      <c r="B228" s="484">
        <v>0</v>
      </c>
      <c r="C228" s="484">
        <v>0</v>
      </c>
      <c r="D228" s="484">
        <v>0</v>
      </c>
      <c r="E228" s="484">
        <v>0</v>
      </c>
      <c r="F228" s="484">
        <v>0</v>
      </c>
      <c r="G228" s="484">
        <v>0</v>
      </c>
      <c r="H228" s="484">
        <v>0</v>
      </c>
      <c r="I228" s="484">
        <v>0</v>
      </c>
      <c r="J228" s="484">
        <v>0</v>
      </c>
      <c r="K228" s="484">
        <v>0</v>
      </c>
      <c r="L228" s="484">
        <v>0</v>
      </c>
      <c r="M228" s="484">
        <v>208.477</v>
      </c>
      <c r="N228" s="484">
        <v>208.85499999999999</v>
      </c>
      <c r="O228" s="484">
        <f>8.677+211.2+77.82</f>
        <v>297.697</v>
      </c>
      <c r="P228" s="484">
        <f>46.303+200.908+33.646</f>
        <v>280.85699999999997</v>
      </c>
      <c r="Q228" s="484">
        <v>843.76199999999994</v>
      </c>
      <c r="R228" s="484">
        <v>219.108</v>
      </c>
      <c r="S228" s="484">
        <v>202.52600000000001</v>
      </c>
      <c r="T228" s="484">
        <v>196.23</v>
      </c>
      <c r="U228" s="484">
        <v>728.36800000000005</v>
      </c>
      <c r="V228" s="484">
        <v>814.81600000000003</v>
      </c>
      <c r="W228" s="484">
        <v>810.27</v>
      </c>
      <c r="X228" s="484">
        <f>768.452+54.081</f>
        <v>822.53300000000002</v>
      </c>
      <c r="Y228" s="484">
        <f>55.569+23.543+820.201</f>
        <v>899.31299999999999</v>
      </c>
      <c r="Z228" s="484">
        <f>57.098+29.063+804.256</f>
        <v>890.41699999999992</v>
      </c>
      <c r="AA228" s="484">
        <f>816.851+58.686+30.404</f>
        <v>905.94100000000003</v>
      </c>
      <c r="AB228" s="484">
        <f>829.027+30.882</f>
        <v>859.90899999999999</v>
      </c>
      <c r="AC228" s="484">
        <f>55.758+867.891+66.331+9.849+30.931+3.912</f>
        <v>1034.672</v>
      </c>
      <c r="AD228" s="484">
        <f>55.073+826.242+64.556+10.022+30.996+4.4</f>
        <v>991.28899999999999</v>
      </c>
      <c r="AE228" s="484">
        <f>54.152+827.73+62.694+10.237+31.096+4.854</f>
        <v>990.76300000000003</v>
      </c>
      <c r="AF228" s="484">
        <f>53.636+828.863+61.195+10.473+31.153+2.693</f>
        <v>988.01300000000003</v>
      </c>
      <c r="AG228" s="484">
        <f>53.452+854.33+62.048+31.22+0.436</f>
        <v>1001.4860000000001</v>
      </c>
      <c r="AH228" s="484">
        <f>53.396+862.559+64.326+5.172+31.267+0.436</f>
        <v>1017.1560000000001</v>
      </c>
      <c r="AI228" s="484">
        <f>3220.214-SUM(AI226:AI227)</f>
        <v>1067.7049999999999</v>
      </c>
      <c r="AJ228" s="484">
        <f>3619.062-SUM(AJ226:AJ227)</f>
        <v>1098.9749999999999</v>
      </c>
      <c r="AK228" s="851">
        <f>3437.511-SUM(AK226:AK227)</f>
        <v>509.79299999999967</v>
      </c>
      <c r="AL228" s="822">
        <f>3646.078-SUM(AL226:AL227)</f>
        <v>524.49399999999969</v>
      </c>
      <c r="AM228" s="822">
        <f>3727.392-SUM(AM226:AM227)</f>
        <v>369.87899999999991</v>
      </c>
      <c r="AN228" s="822">
        <f>3673.145-SUM(AN226:AN227)</f>
        <v>334.17099999999982</v>
      </c>
      <c r="AO228" s="822">
        <f>3738.735-SUM(AO226:AO227)</f>
        <v>441.92500000000018</v>
      </c>
      <c r="AP228" s="822">
        <f>2834.57-SUM(AP226:AP227)</f>
        <v>469.01700000000028</v>
      </c>
      <c r="AQ228" s="822">
        <f>3338.941-SUM(AQ226:AQ227)</f>
        <v>447.41300000000001</v>
      </c>
      <c r="AR228" s="835">
        <v>593.83199999999988</v>
      </c>
      <c r="AS228" s="835">
        <f>3298.572-SUM(AS226:AS227)</f>
        <v>830.61799999999994</v>
      </c>
      <c r="AT228" s="835">
        <f>4247.354-SUM(AT226:AT227)</f>
        <v>1127.5160000000001</v>
      </c>
      <c r="AU228" s="204">
        <v>0</v>
      </c>
      <c r="AV228" s="204">
        <v>0</v>
      </c>
      <c r="AW228" s="204">
        <v>0</v>
      </c>
      <c r="AX228" s="204">
        <v>0</v>
      </c>
      <c r="AY228" s="204">
        <v>0</v>
      </c>
      <c r="AZ228" s="204">
        <v>0</v>
      </c>
      <c r="BA228" s="204">
        <v>0</v>
      </c>
      <c r="BB228" s="52"/>
      <c r="BC228" s="52"/>
      <c r="BD228" s="52"/>
      <c r="BE228" s="52"/>
      <c r="BF228" s="52"/>
      <c r="BG228" s="52"/>
      <c r="BH228" s="52"/>
      <c r="BI228" s="52"/>
      <c r="BJ228" s="52"/>
      <c r="BK228" s="52"/>
      <c r="BL228" s="52"/>
      <c r="BM228" s="52"/>
      <c r="BN228" s="52"/>
    </row>
    <row r="229" spans="1:66">
      <c r="A229" s="1735" t="s">
        <v>376</v>
      </c>
      <c r="B229" s="484">
        <v>0</v>
      </c>
      <c r="C229" s="484">
        <v>0</v>
      </c>
      <c r="D229" s="484">
        <v>0</v>
      </c>
      <c r="E229" s="484">
        <v>7.6109999999999998</v>
      </c>
      <c r="F229" s="484">
        <v>7.6109999999999998</v>
      </c>
      <c r="G229" s="484">
        <v>7.6109999999999998</v>
      </c>
      <c r="H229" s="484">
        <v>7.6109999999999998</v>
      </c>
      <c r="I229" s="484">
        <v>7.6109999999999998</v>
      </c>
      <c r="J229" s="484">
        <v>7.6109999999999998</v>
      </c>
      <c r="K229" s="484">
        <v>22.632000000000001</v>
      </c>
      <c r="L229" s="484">
        <v>18.847000000000001</v>
      </c>
      <c r="M229" s="484">
        <v>18.242999999999999</v>
      </c>
      <c r="N229" s="484">
        <v>19.937999999999999</v>
      </c>
      <c r="O229" s="484">
        <v>21.013000000000002</v>
      </c>
      <c r="P229" s="484">
        <v>0</v>
      </c>
      <c r="Q229" s="484">
        <v>0</v>
      </c>
      <c r="R229" s="484">
        <v>0</v>
      </c>
      <c r="S229" s="484">
        <v>0</v>
      </c>
      <c r="T229" s="484">
        <v>0</v>
      </c>
      <c r="U229" s="485"/>
      <c r="V229" s="485"/>
      <c r="W229" s="485"/>
      <c r="X229" s="485"/>
      <c r="Y229" s="485"/>
      <c r="Z229" s="485"/>
      <c r="AA229" s="485"/>
      <c r="AB229" s="485"/>
      <c r="AC229" s="485"/>
      <c r="AD229" s="485"/>
      <c r="AE229" s="485"/>
      <c r="AF229" s="485"/>
      <c r="AG229" s="485"/>
      <c r="AH229" s="485"/>
      <c r="AI229" s="485">
        <v>3.371</v>
      </c>
      <c r="AJ229" s="485"/>
      <c r="AK229" s="822"/>
      <c r="AL229" s="327"/>
      <c r="AM229" s="327"/>
      <c r="AN229" s="327"/>
      <c r="AO229" s="327"/>
      <c r="AP229" s="327"/>
      <c r="AQ229" s="327"/>
      <c r="AR229" s="742"/>
      <c r="AS229" s="742"/>
      <c r="AT229" s="327"/>
      <c r="AU229" s="327"/>
      <c r="AV229" s="327"/>
      <c r="AW229" s="327"/>
      <c r="AX229" s="327"/>
      <c r="AY229" s="327"/>
      <c r="AZ229" s="327"/>
      <c r="BA229" s="327"/>
      <c r="BB229" s="52"/>
      <c r="BC229" s="52"/>
      <c r="BD229" s="52"/>
      <c r="BE229" s="52"/>
      <c r="BF229" s="52"/>
      <c r="BG229" s="52"/>
      <c r="BH229" s="52"/>
      <c r="BI229" s="52"/>
      <c r="BJ229" s="52"/>
      <c r="BK229" s="52"/>
      <c r="BL229" s="52"/>
      <c r="BM229" s="52"/>
      <c r="BN229" s="52"/>
    </row>
    <row r="230" spans="1:66">
      <c r="A230" s="1735"/>
      <c r="B230" s="327"/>
      <c r="C230" s="327"/>
      <c r="D230" s="327"/>
      <c r="E230" s="327"/>
      <c r="F230" s="327"/>
      <c r="G230" s="327"/>
      <c r="H230" s="327"/>
      <c r="I230" s="327"/>
      <c r="J230" s="327"/>
      <c r="K230" s="327"/>
      <c r="L230" s="327"/>
      <c r="M230" s="327"/>
      <c r="N230" s="327"/>
      <c r="O230" s="327"/>
      <c r="P230" s="327"/>
      <c r="Q230" s="327"/>
      <c r="R230" s="327"/>
      <c r="S230" s="327"/>
      <c r="T230" s="327"/>
      <c r="U230" s="327"/>
      <c r="V230" s="327"/>
      <c r="W230" s="327"/>
      <c r="X230" s="327"/>
      <c r="Y230" s="327"/>
      <c r="Z230" s="327"/>
      <c r="AA230" s="327"/>
      <c r="AB230" s="327"/>
      <c r="AC230" s="327"/>
      <c r="AD230" s="327"/>
      <c r="AE230" s="327"/>
      <c r="AF230" s="327"/>
      <c r="AG230" s="327"/>
      <c r="AH230" s="327"/>
      <c r="AI230" s="327"/>
      <c r="AJ230" s="327"/>
      <c r="AK230" s="890"/>
      <c r="AL230" s="327"/>
      <c r="AM230" s="327"/>
      <c r="AN230" s="327"/>
      <c r="AO230" s="327"/>
      <c r="AP230" s="327"/>
      <c r="AQ230" s="327"/>
      <c r="AR230" s="742"/>
      <c r="AS230" s="742"/>
      <c r="AT230" s="327"/>
      <c r="AU230" s="327"/>
      <c r="AV230" s="327"/>
      <c r="AW230" s="327"/>
      <c r="AX230" s="327"/>
      <c r="AY230" s="327"/>
      <c r="AZ230" s="327"/>
      <c r="BA230" s="327"/>
      <c r="BB230" s="52"/>
      <c r="BC230" s="52"/>
      <c r="BD230" s="52"/>
      <c r="BE230" s="52"/>
      <c r="BF230" s="52"/>
      <c r="BG230" s="52"/>
      <c r="BH230" s="52"/>
      <c r="BI230" s="52"/>
      <c r="BJ230" s="52"/>
      <c r="BK230" s="52"/>
      <c r="BL230" s="52"/>
      <c r="BM230" s="52"/>
      <c r="BN230" s="52"/>
    </row>
    <row r="231" spans="1:66">
      <c r="A231" s="1735" t="s">
        <v>430</v>
      </c>
      <c r="B231" s="195">
        <f t="shared" ref="B231:AG231" si="171">SUM(B232:B237)</f>
        <v>371.28199999999998</v>
      </c>
      <c r="C231" s="195">
        <f t="shared" si="171"/>
        <v>980.93200000000002</v>
      </c>
      <c r="D231" s="195">
        <f t="shared" si="171"/>
        <v>999.52200000000005</v>
      </c>
      <c r="E231" s="195">
        <f t="shared" si="171"/>
        <v>1671.48</v>
      </c>
      <c r="F231" s="195">
        <f t="shared" si="171"/>
        <v>1661.0509999999997</v>
      </c>
      <c r="G231" s="195">
        <f t="shared" si="171"/>
        <v>1629.0009999999997</v>
      </c>
      <c r="H231" s="195">
        <f t="shared" si="171"/>
        <v>1622.261</v>
      </c>
      <c r="I231" s="195">
        <f t="shared" si="171"/>
        <v>1624.5809999999999</v>
      </c>
      <c r="J231" s="195">
        <f t="shared" si="171"/>
        <v>1622.7349999999999</v>
      </c>
      <c r="K231" s="195">
        <f t="shared" si="171"/>
        <v>1582.048</v>
      </c>
      <c r="L231" s="195">
        <f t="shared" si="171"/>
        <v>1542.125</v>
      </c>
      <c r="M231" s="195">
        <f t="shared" si="171"/>
        <v>1575.2009999999998</v>
      </c>
      <c r="N231" s="195">
        <f t="shared" si="171"/>
        <v>1604.1079999999997</v>
      </c>
      <c r="O231" s="195">
        <f t="shared" si="171"/>
        <v>1624.357</v>
      </c>
      <c r="P231" s="195">
        <f t="shared" si="171"/>
        <v>1629.1650000000002</v>
      </c>
      <c r="Q231" s="195">
        <f t="shared" si="171"/>
        <v>1909.3909999999998</v>
      </c>
      <c r="R231" s="195">
        <f t="shared" si="171"/>
        <v>1709.4969999999998</v>
      </c>
      <c r="S231" s="195">
        <f t="shared" si="171"/>
        <v>1706.4299999999998</v>
      </c>
      <c r="T231" s="195">
        <f t="shared" si="171"/>
        <v>1699.951</v>
      </c>
      <c r="U231" s="195">
        <f t="shared" si="171"/>
        <v>1953.4260000000004</v>
      </c>
      <c r="V231" s="195">
        <f t="shared" si="171"/>
        <v>2004.758</v>
      </c>
      <c r="W231" s="195">
        <f t="shared" si="171"/>
        <v>1989.1260000000002</v>
      </c>
      <c r="X231" s="195">
        <f t="shared" si="171"/>
        <v>2056.6859999999997</v>
      </c>
      <c r="Y231" s="195">
        <f t="shared" si="171"/>
        <v>2024.7839999999999</v>
      </c>
      <c r="Z231" s="195">
        <f t="shared" si="171"/>
        <v>1988.4290000000001</v>
      </c>
      <c r="AA231" s="195">
        <f t="shared" si="171"/>
        <v>2034.7169999999999</v>
      </c>
      <c r="AB231" s="195">
        <f t="shared" si="171"/>
        <v>2063.723</v>
      </c>
      <c r="AC231" s="195">
        <f t="shared" si="171"/>
        <v>2100.6169999999997</v>
      </c>
      <c r="AD231" s="195">
        <f t="shared" si="171"/>
        <v>2038.6310000000001</v>
      </c>
      <c r="AE231" s="195">
        <f t="shared" si="171"/>
        <v>2075.4190000000003</v>
      </c>
      <c r="AF231" s="195">
        <f t="shared" si="171"/>
        <v>2079.1610000000001</v>
      </c>
      <c r="AG231" s="195">
        <f t="shared" si="171"/>
        <v>2075.9520000000002</v>
      </c>
      <c r="AH231" s="195">
        <f t="shared" ref="AH231:BA231" si="172">SUM(AH232:AH237)</f>
        <v>2178.3540000000003</v>
      </c>
      <c r="AI231" s="195">
        <f t="shared" si="172"/>
        <v>2234.2879999999996</v>
      </c>
      <c r="AJ231" s="195">
        <f t="shared" si="172"/>
        <v>2246.6849999999999</v>
      </c>
      <c r="AK231" s="1376">
        <f t="shared" si="172"/>
        <v>2616.085</v>
      </c>
      <c r="AL231" s="195">
        <f t="shared" si="172"/>
        <v>2716.8019999999997</v>
      </c>
      <c r="AM231" s="195">
        <f t="shared" si="172"/>
        <v>2445.1480000000001</v>
      </c>
      <c r="AN231" s="195">
        <f t="shared" si="172"/>
        <v>2485.7949999999996</v>
      </c>
      <c r="AO231" s="195">
        <f t="shared" si="172"/>
        <v>2646.5970000000002</v>
      </c>
      <c r="AP231" s="195">
        <f t="shared" si="172"/>
        <v>2802.7979999999998</v>
      </c>
      <c r="AQ231" s="195">
        <f t="shared" si="172"/>
        <v>2857.6959999999999</v>
      </c>
      <c r="AR231" s="195">
        <f t="shared" si="172"/>
        <v>3020.8769999999995</v>
      </c>
      <c r="AS231" s="195">
        <f t="shared" si="172"/>
        <v>3403.3199999999997</v>
      </c>
      <c r="AT231" s="195">
        <f>SUM(AT232:AT237)</f>
        <v>3214.61</v>
      </c>
      <c r="AU231" s="195">
        <f t="shared" si="172"/>
        <v>0</v>
      </c>
      <c r="AV231" s="195">
        <f t="shared" si="172"/>
        <v>0</v>
      </c>
      <c r="AW231" s="195">
        <f t="shared" si="172"/>
        <v>0</v>
      </c>
      <c r="AX231" s="195">
        <f t="shared" si="172"/>
        <v>0</v>
      </c>
      <c r="AY231" s="195">
        <f t="shared" si="172"/>
        <v>0</v>
      </c>
      <c r="AZ231" s="195">
        <f t="shared" si="172"/>
        <v>0</v>
      </c>
      <c r="BA231" s="195">
        <f t="shared" si="172"/>
        <v>0</v>
      </c>
      <c r="BB231" s="52"/>
      <c r="BC231" s="52"/>
      <c r="BD231" s="52"/>
      <c r="BE231" s="52"/>
      <c r="BF231" s="52"/>
      <c r="BG231" s="52"/>
      <c r="BH231" s="52"/>
      <c r="BI231" s="52"/>
      <c r="BJ231" s="52"/>
      <c r="BK231" s="52"/>
      <c r="BL231" s="52"/>
      <c r="BM231" s="52"/>
      <c r="BN231" s="52"/>
    </row>
    <row r="232" spans="1:66">
      <c r="A232" s="1733" t="s">
        <v>109</v>
      </c>
      <c r="B232" s="484">
        <v>2.786</v>
      </c>
      <c r="C232" s="484">
        <v>100</v>
      </c>
      <c r="D232" s="484">
        <v>100</v>
      </c>
      <c r="E232" s="484">
        <v>360</v>
      </c>
      <c r="F232" s="484">
        <v>360</v>
      </c>
      <c r="G232" s="484">
        <v>360</v>
      </c>
      <c r="H232" s="484">
        <v>360</v>
      </c>
      <c r="I232" s="484">
        <v>360</v>
      </c>
      <c r="J232" s="484">
        <v>360</v>
      </c>
      <c r="K232" s="484">
        <v>359.714</v>
      </c>
      <c r="L232" s="484">
        <v>358.17899999999997</v>
      </c>
      <c r="M232" s="484">
        <f t="shared" ref="M232:R232" si="173">360-1.899</f>
        <v>358.101</v>
      </c>
      <c r="N232" s="484">
        <f t="shared" si="173"/>
        <v>358.101</v>
      </c>
      <c r="O232" s="484">
        <f t="shared" si="173"/>
        <v>358.101</v>
      </c>
      <c r="P232" s="484">
        <f t="shared" si="173"/>
        <v>358.101</v>
      </c>
      <c r="Q232" s="484">
        <f t="shared" si="173"/>
        <v>358.101</v>
      </c>
      <c r="R232" s="484">
        <f t="shared" si="173"/>
        <v>358.101</v>
      </c>
      <c r="S232" s="484">
        <f>455.9-1.899</f>
        <v>454.00099999999998</v>
      </c>
      <c r="T232" s="484">
        <f>455.9-1.899</f>
        <v>454.00099999999998</v>
      </c>
      <c r="U232" s="484">
        <v>455.9</v>
      </c>
      <c r="V232" s="484">
        <v>455.9</v>
      </c>
      <c r="W232" s="484">
        <v>455.9</v>
      </c>
      <c r="X232" s="484">
        <v>455.9</v>
      </c>
      <c r="Y232" s="484">
        <v>455.9</v>
      </c>
      <c r="Z232" s="484">
        <v>455.9</v>
      </c>
      <c r="AA232" s="485">
        <v>614.15</v>
      </c>
      <c r="AB232" s="485">
        <v>614.15</v>
      </c>
      <c r="AC232" s="485">
        <v>614.15</v>
      </c>
      <c r="AD232" s="485">
        <v>614.15</v>
      </c>
      <c r="AE232" s="485">
        <v>737.2</v>
      </c>
      <c r="AF232" s="485">
        <v>737.2</v>
      </c>
      <c r="AG232" s="485">
        <v>737.2</v>
      </c>
      <c r="AH232" s="485">
        <v>737.2</v>
      </c>
      <c r="AI232" s="485">
        <v>808.85</v>
      </c>
      <c r="AJ232" s="485">
        <v>812.99199999999996</v>
      </c>
      <c r="AK232" s="822">
        <f>812.992+9.119</f>
        <v>822.11099999999999</v>
      </c>
      <c r="AL232" s="485">
        <f>812.992+9.119</f>
        <v>822.11099999999999</v>
      </c>
      <c r="AM232" s="485">
        <f>931.34+9.119</f>
        <v>940.45900000000006</v>
      </c>
      <c r="AN232" s="485">
        <f>931.34+10.706</f>
        <v>942.04600000000005</v>
      </c>
      <c r="AO232" s="485">
        <f>931.34+10.531</f>
        <v>941.87099999999998</v>
      </c>
      <c r="AP232" s="485">
        <f>931.34+10.237</f>
        <v>941.577</v>
      </c>
      <c r="AQ232" s="485">
        <f>1064.972+10.237</f>
        <v>1075.2090000000001</v>
      </c>
      <c r="AR232" s="819">
        <v>1075.0919999999999</v>
      </c>
      <c r="AS232" s="819">
        <f>1494.334-55.662+10.057</f>
        <v>1448.729</v>
      </c>
      <c r="AT232" s="327">
        <f>1494.334-55.662+10.057</f>
        <v>1448.729</v>
      </c>
      <c r="AU232" s="327"/>
      <c r="AV232" s="327"/>
      <c r="AW232" s="327"/>
      <c r="AX232" s="327"/>
      <c r="AY232" s="327"/>
      <c r="AZ232" s="327"/>
      <c r="BA232" s="327"/>
      <c r="BB232" s="52"/>
      <c r="BC232" s="52"/>
      <c r="BD232" s="52"/>
      <c r="BE232" s="52"/>
      <c r="BF232" s="52"/>
      <c r="BG232" s="52"/>
      <c r="BH232" s="52"/>
      <c r="BI232" s="52"/>
      <c r="BJ232" s="52"/>
      <c r="BK232" s="52"/>
      <c r="BL232" s="52"/>
      <c r="BM232" s="52"/>
      <c r="BN232" s="52"/>
    </row>
    <row r="233" spans="1:66">
      <c r="A233" s="1733" t="s">
        <v>1192</v>
      </c>
      <c r="B233" s="484">
        <v>0</v>
      </c>
      <c r="C233" s="484">
        <v>0</v>
      </c>
      <c r="D233" s="484">
        <v>0</v>
      </c>
      <c r="E233" s="484">
        <v>95.427000000000007</v>
      </c>
      <c r="F233" s="484">
        <v>1198.9469999999999</v>
      </c>
      <c r="G233" s="484">
        <v>1185.953</v>
      </c>
      <c r="H233" s="484">
        <v>1177.3800000000001</v>
      </c>
      <c r="I233" s="484">
        <v>1161.846</v>
      </c>
      <c r="J233" s="484">
        <v>1152.43</v>
      </c>
      <c r="K233" s="484">
        <v>1141.3910000000001</v>
      </c>
      <c r="L233" s="484">
        <v>1131.58</v>
      </c>
      <c r="M233" s="484">
        <v>1117.5989999999999</v>
      </c>
      <c r="N233" s="484">
        <v>1108.3689999999999</v>
      </c>
      <c r="O233" s="484">
        <v>1095.674</v>
      </c>
      <c r="P233" s="484">
        <v>1083.4670000000001</v>
      </c>
      <c r="Q233" s="484">
        <v>1403.6679999999999</v>
      </c>
      <c r="R233" s="484">
        <v>1057.9860000000001</v>
      </c>
      <c r="S233" s="484">
        <v>1049.1969999999999</v>
      </c>
      <c r="T233" s="484">
        <v>1038.03</v>
      </c>
      <c r="U233" s="484">
        <f>1304.909</f>
        <v>1304.9090000000001</v>
      </c>
      <c r="V233" s="484">
        <f>194.516+1307.822</f>
        <v>1502.338</v>
      </c>
      <c r="W233" s="484">
        <f>1254.921+173.454</f>
        <v>1428.375</v>
      </c>
      <c r="X233" s="484">
        <f>1271.437+173.454</f>
        <v>1444.8909999999998</v>
      </c>
      <c r="Y233" s="484">
        <f>1272.558+0.106</f>
        <v>1272.664</v>
      </c>
      <c r="Z233" s="484">
        <f>1228.378+0.737+8.38</f>
        <v>1237.4950000000001</v>
      </c>
      <c r="AA233" s="485">
        <f>1218.529+1.052+69.869</f>
        <v>1289.4499999999998</v>
      </c>
      <c r="AB233" s="485">
        <f>1230.658+1.257+85.563</f>
        <v>1317.4780000000001</v>
      </c>
      <c r="AC233" s="485">
        <f>1265.869+232.556</f>
        <v>1498.425</v>
      </c>
      <c r="AD233" s="485">
        <f>1160.934+232.556</f>
        <v>1393.49</v>
      </c>
      <c r="AE233" s="485">
        <f>1134.57+96.832</f>
        <v>1231.402</v>
      </c>
      <c r="AF233" s="485">
        <f>1099.791</f>
        <v>1099.7909999999999</v>
      </c>
      <c r="AG233" s="485">
        <f>1116.709</f>
        <v>1116.7090000000001</v>
      </c>
      <c r="AH233" s="485">
        <f>1152.921+230.277</f>
        <v>1383.1980000000001</v>
      </c>
      <c r="AI233" s="485">
        <f>1093.975+150.283</f>
        <v>1244.2579999999998</v>
      </c>
      <c r="AJ233" s="485">
        <f>(1041293+150285)/1000</f>
        <v>1191.578</v>
      </c>
      <c r="AK233" s="822">
        <f>1405.708</f>
        <v>1405.7080000000001</v>
      </c>
      <c r="AL233" s="485">
        <v>1469.6690000000001</v>
      </c>
      <c r="AM233" s="485">
        <v>1170.7929999999999</v>
      </c>
      <c r="AN233" s="485">
        <v>1133.337</v>
      </c>
      <c r="AO233" s="485">
        <v>1295.6980000000001</v>
      </c>
      <c r="AP233" s="485">
        <v>1417.001</v>
      </c>
      <c r="AQ233" s="485">
        <v>1406.28</v>
      </c>
      <c r="AR233" s="819">
        <v>1508.1769999999999</v>
      </c>
      <c r="AS233" s="819">
        <v>1432.2429999999999</v>
      </c>
      <c r="AT233" s="327">
        <v>1122.123</v>
      </c>
      <c r="AU233" s="327"/>
      <c r="AV233" s="327"/>
      <c r="AW233" s="327"/>
      <c r="AX233" s="327"/>
      <c r="AY233" s="327"/>
      <c r="AZ233" s="327"/>
      <c r="BA233" s="327"/>
      <c r="BB233" s="52"/>
      <c r="BC233" s="52"/>
      <c r="BD233" s="52"/>
      <c r="BE233" s="52"/>
      <c r="BF233" s="52"/>
      <c r="BG233" s="52"/>
      <c r="BH233" s="52"/>
      <c r="BI233" s="52"/>
      <c r="BJ233" s="52"/>
      <c r="BK233" s="52"/>
      <c r="BL233" s="52"/>
      <c r="BM233" s="52"/>
      <c r="BN233" s="52"/>
    </row>
    <row r="234" spans="1:66">
      <c r="A234" s="1733" t="s">
        <v>431</v>
      </c>
      <c r="B234" s="484">
        <v>1.7290000000000001</v>
      </c>
      <c r="C234" s="484">
        <v>1.7290000000000001</v>
      </c>
      <c r="D234" s="484">
        <v>1.7290000000000001</v>
      </c>
      <c r="E234" s="484">
        <v>5.0789999999999997</v>
      </c>
      <c r="F234" s="484">
        <v>5.0789999999999997</v>
      </c>
      <c r="G234" s="484">
        <v>5.0789999999999997</v>
      </c>
      <c r="H234" s="484">
        <v>5.0789999999999997</v>
      </c>
      <c r="I234" s="484">
        <v>5.0789999999999997</v>
      </c>
      <c r="J234" s="484">
        <v>5.0789999999999997</v>
      </c>
      <c r="K234" s="484">
        <v>5.0789999999999997</v>
      </c>
      <c r="L234" s="484">
        <v>5.0789999999999997</v>
      </c>
      <c r="M234" s="484">
        <v>5.0789999999999997</v>
      </c>
      <c r="N234" s="484">
        <v>5.0789999999999997</v>
      </c>
      <c r="O234" s="484">
        <v>5.0789999999999997</v>
      </c>
      <c r="P234" s="484">
        <v>5.0789999999999997</v>
      </c>
      <c r="Q234" s="484">
        <v>0</v>
      </c>
      <c r="R234" s="484">
        <v>0</v>
      </c>
      <c r="S234" s="484">
        <v>0</v>
      </c>
      <c r="T234" s="484">
        <v>0</v>
      </c>
      <c r="U234" s="485"/>
      <c r="V234" s="485"/>
      <c r="W234" s="485"/>
      <c r="X234" s="485"/>
      <c r="Y234" s="484">
        <v>0</v>
      </c>
      <c r="Z234" s="484">
        <v>0</v>
      </c>
      <c r="AA234" s="485">
        <v>0</v>
      </c>
      <c r="AB234" s="485">
        <v>0</v>
      </c>
      <c r="AC234" s="485"/>
      <c r="AD234" s="485"/>
      <c r="AE234" s="485"/>
      <c r="AF234" s="485"/>
      <c r="AG234" s="485"/>
      <c r="AH234" s="485"/>
      <c r="AI234" s="485"/>
      <c r="AJ234" s="485">
        <v>0</v>
      </c>
      <c r="AK234" s="822"/>
      <c r="AL234" s="485"/>
      <c r="AM234" s="485"/>
      <c r="AN234" s="485"/>
      <c r="AO234" s="485"/>
      <c r="AP234" s="485"/>
      <c r="AQ234" s="485"/>
      <c r="AR234" s="819"/>
      <c r="AS234" s="819"/>
      <c r="AT234" s="327"/>
      <c r="AU234" s="327"/>
      <c r="AV234" s="327"/>
      <c r="AW234" s="327"/>
      <c r="AX234" s="327"/>
      <c r="AY234" s="327"/>
      <c r="AZ234" s="327"/>
      <c r="BA234" s="327"/>
      <c r="BB234" s="52"/>
      <c r="BC234" s="52"/>
      <c r="BD234" s="52"/>
      <c r="BE234" s="52"/>
      <c r="BF234" s="52"/>
      <c r="BG234" s="52"/>
      <c r="BH234" s="52"/>
      <c r="BI234" s="52"/>
      <c r="BJ234" s="52"/>
      <c r="BK234" s="52"/>
      <c r="BL234" s="52"/>
      <c r="BM234" s="52"/>
      <c r="BN234" s="52"/>
    </row>
    <row r="235" spans="1:66">
      <c r="A235" s="1733" t="s">
        <v>498</v>
      </c>
      <c r="B235" s="484">
        <v>305.78199999999998</v>
      </c>
      <c r="C235" s="484">
        <v>779.65899999999999</v>
      </c>
      <c r="D235" s="484">
        <v>773.86500000000001</v>
      </c>
      <c r="E235" s="484">
        <v>1210.9739999999999</v>
      </c>
      <c r="F235" s="484">
        <v>95.427000000000007</v>
      </c>
      <c r="G235" s="484">
        <v>95.427000000000007</v>
      </c>
      <c r="H235" s="484">
        <v>95.427000000000007</v>
      </c>
      <c r="I235" s="484">
        <v>97.656000000000006</v>
      </c>
      <c r="J235" s="484">
        <v>97.656000000000006</v>
      </c>
      <c r="K235" s="484">
        <v>97.656000000000006</v>
      </c>
      <c r="L235" s="484">
        <v>97.656000000000006</v>
      </c>
      <c r="M235" s="484">
        <v>94.421999999999997</v>
      </c>
      <c r="N235" s="484">
        <v>94.421999999999997</v>
      </c>
      <c r="O235" s="484">
        <v>94.421999999999997</v>
      </c>
      <c r="P235" s="484">
        <v>94.421999999999997</v>
      </c>
      <c r="Q235" s="484">
        <v>-71.009</v>
      </c>
      <c r="R235" s="484">
        <v>42.936</v>
      </c>
      <c r="S235" s="484">
        <v>2.125</v>
      </c>
      <c r="T235" s="484">
        <v>-38.643999999999998</v>
      </c>
      <c r="U235" s="484">
        <v>-1.899</v>
      </c>
      <c r="V235" s="484">
        <v>-1.899</v>
      </c>
      <c r="W235" s="484">
        <v>-1.899</v>
      </c>
      <c r="X235" s="484">
        <v>-6.0880000000000001</v>
      </c>
      <c r="Y235" s="484">
        <f>-12.753</f>
        <v>-12.753</v>
      </c>
      <c r="Z235" s="484">
        <v>-14.57</v>
      </c>
      <c r="AA235" s="485">
        <v>-14.538</v>
      </c>
      <c r="AB235" s="485">
        <v>-13.92</v>
      </c>
      <c r="AC235" s="485">
        <v>-13.811</v>
      </c>
      <c r="AD235" s="485">
        <v>-13.811</v>
      </c>
      <c r="AE235" s="485">
        <v>-13.811</v>
      </c>
      <c r="AF235" s="485">
        <v>-13.183999999999999</v>
      </c>
      <c r="AG235" s="485">
        <v>-11.839</v>
      </c>
      <c r="AH235" s="485">
        <v>-11.191000000000001</v>
      </c>
      <c r="AI235" s="485">
        <v>-10.715</v>
      </c>
      <c r="AJ235" s="485">
        <v>-8.9220000000000006</v>
      </c>
      <c r="AK235" s="822">
        <v>-7.375</v>
      </c>
      <c r="AL235" s="485">
        <v>-6.0590000000000002</v>
      </c>
      <c r="AM235" s="485">
        <v>-5.8879999999999999</v>
      </c>
      <c r="AN235" s="485">
        <v>-8.2260000000000009</v>
      </c>
      <c r="AO235" s="485">
        <v>-26.613</v>
      </c>
      <c r="AP235" s="485">
        <v>-33.048999999999999</v>
      </c>
      <c r="AQ235" s="485">
        <v>-41.201999999999998</v>
      </c>
      <c r="AR235" s="819">
        <v>-40.771000000000001</v>
      </c>
      <c r="AS235" s="819">
        <v>-92.134</v>
      </c>
      <c r="AT235" s="819">
        <v>-92.134</v>
      </c>
      <c r="AU235" s="327"/>
      <c r="AV235" s="327"/>
      <c r="AW235" s="327"/>
      <c r="AX235" s="327"/>
      <c r="AY235" s="327"/>
      <c r="AZ235" s="327"/>
      <c r="BA235" s="327"/>
      <c r="BB235" s="52"/>
      <c r="BC235" s="52"/>
      <c r="BD235" s="52"/>
      <c r="BE235" s="52"/>
      <c r="BF235" s="52"/>
      <c r="BG235" s="52"/>
      <c r="BH235" s="52"/>
      <c r="BI235" s="52"/>
      <c r="BJ235" s="52"/>
      <c r="BK235" s="52"/>
      <c r="BL235" s="52"/>
      <c r="BM235" s="52"/>
      <c r="BN235" s="52"/>
    </row>
    <row r="236" spans="1:66">
      <c r="A236" s="1733" t="s">
        <v>809</v>
      </c>
      <c r="B236" s="484">
        <v>0</v>
      </c>
      <c r="C236" s="484">
        <v>0</v>
      </c>
      <c r="D236" s="484">
        <v>0</v>
      </c>
      <c r="E236" s="484">
        <v>0</v>
      </c>
      <c r="F236" s="484">
        <v>0</v>
      </c>
      <c r="G236" s="484">
        <v>0</v>
      </c>
      <c r="H236" s="484">
        <v>0</v>
      </c>
      <c r="I236" s="484">
        <v>0</v>
      </c>
      <c r="J236" s="484">
        <v>0</v>
      </c>
      <c r="K236" s="484">
        <v>0</v>
      </c>
      <c r="L236" s="484">
        <v>0</v>
      </c>
      <c r="M236" s="484">
        <v>0</v>
      </c>
      <c r="N236" s="484">
        <v>0</v>
      </c>
      <c r="O236" s="484">
        <v>0</v>
      </c>
      <c r="P236" s="484">
        <v>0</v>
      </c>
      <c r="Q236" s="484">
        <v>0</v>
      </c>
      <c r="R236" s="484">
        <v>0</v>
      </c>
      <c r="S236" s="484">
        <v>0</v>
      </c>
      <c r="T236" s="484">
        <v>0</v>
      </c>
      <c r="U236" s="484">
        <v>0</v>
      </c>
      <c r="V236" s="484">
        <v>0</v>
      </c>
      <c r="W236" s="484">
        <v>0</v>
      </c>
      <c r="X236" s="484">
        <v>0</v>
      </c>
      <c r="Y236" s="484">
        <v>0.106</v>
      </c>
      <c r="Z236" s="484">
        <v>0.73699999999999999</v>
      </c>
      <c r="AA236" s="485">
        <v>1.052</v>
      </c>
      <c r="AB236" s="485">
        <v>1.2569999999999999</v>
      </c>
      <c r="AC236" s="485">
        <v>1.853</v>
      </c>
      <c r="AD236" s="485">
        <v>2.3820000000000001</v>
      </c>
      <c r="AE236" s="485">
        <v>2.911</v>
      </c>
      <c r="AF236" s="485">
        <v>3.2679999999999998</v>
      </c>
      <c r="AG236" s="485">
        <v>3.605</v>
      </c>
      <c r="AH236" s="485">
        <v>4.1360000000000001</v>
      </c>
      <c r="AI236" s="485">
        <v>4.7149999999999999</v>
      </c>
      <c r="AJ236" s="485">
        <v>4.7939999999999996</v>
      </c>
      <c r="AK236" s="822">
        <v>5.0789999999999997</v>
      </c>
      <c r="AL236" s="485">
        <f>5.488</f>
        <v>5.4880000000000004</v>
      </c>
      <c r="AM236" s="485">
        <v>6.2880000000000003</v>
      </c>
      <c r="AN236" s="485">
        <v>4.9109999999999996</v>
      </c>
      <c r="AO236" s="485">
        <v>4.7530000000000001</v>
      </c>
      <c r="AP236" s="485">
        <v>5.5659999999999998</v>
      </c>
      <c r="AQ236" s="485">
        <v>6.5549999999999997</v>
      </c>
      <c r="AR236" s="819">
        <v>7.468</v>
      </c>
      <c r="AS236" s="819">
        <v>8.2840000000000007</v>
      </c>
      <c r="AT236" s="819">
        <v>9.3960000000000008</v>
      </c>
      <c r="AU236" s="327"/>
      <c r="AV236" s="327"/>
      <c r="AW236" s="327"/>
      <c r="AX236" s="327"/>
      <c r="AY236" s="327"/>
      <c r="AZ236" s="327"/>
      <c r="BA236" s="327"/>
      <c r="BB236" s="52"/>
      <c r="BC236" s="52"/>
      <c r="BD236" s="52"/>
      <c r="BE236" s="52"/>
      <c r="BF236" s="52"/>
      <c r="BG236" s="52"/>
      <c r="BH236" s="52"/>
      <c r="BI236" s="52"/>
      <c r="BJ236" s="52"/>
      <c r="BK236" s="52"/>
      <c r="BL236" s="52"/>
      <c r="BM236" s="52"/>
      <c r="BN236" s="52"/>
    </row>
    <row r="237" spans="1:66">
      <c r="A237" s="1733" t="s">
        <v>255</v>
      </c>
      <c r="B237" s="484">
        <v>60.984999999999999</v>
      </c>
      <c r="C237" s="484">
        <v>99.543999999999997</v>
      </c>
      <c r="D237" s="484">
        <v>123.928</v>
      </c>
      <c r="E237" s="484">
        <v>0</v>
      </c>
      <c r="F237" s="484">
        <v>1.5980000000000001</v>
      </c>
      <c r="G237" s="484">
        <v>-17.457999999999998</v>
      </c>
      <c r="H237" s="484">
        <v>-15.625</v>
      </c>
      <c r="I237" s="484">
        <v>0</v>
      </c>
      <c r="J237" s="484">
        <v>7.57</v>
      </c>
      <c r="K237" s="484">
        <v>-21.792000000000002</v>
      </c>
      <c r="L237" s="484">
        <v>-50.369</v>
      </c>
      <c r="M237" s="484">
        <v>0</v>
      </c>
      <c r="N237" s="484">
        <v>38.137</v>
      </c>
      <c r="O237" s="484">
        <v>71.081000000000003</v>
      </c>
      <c r="P237" s="484">
        <v>88.096000000000004</v>
      </c>
      <c r="Q237" s="484">
        <v>218.631</v>
      </c>
      <c r="R237" s="484">
        <f>217.294+33.18</f>
        <v>250.47400000000002</v>
      </c>
      <c r="S237" s="484">
        <f>112.556+88.551</f>
        <v>201.107</v>
      </c>
      <c r="T237" s="484">
        <f>112.556+134.008</f>
        <v>246.56400000000002</v>
      </c>
      <c r="U237" s="484">
        <v>194.51599999999999</v>
      </c>
      <c r="V237" s="484">
        <v>48.418999999999997</v>
      </c>
      <c r="W237" s="484">
        <v>106.75</v>
      </c>
      <c r="X237" s="484">
        <v>161.983</v>
      </c>
      <c r="Y237" s="484">
        <v>308.86700000000002</v>
      </c>
      <c r="Z237" s="484">
        <v>308.86700000000002</v>
      </c>
      <c r="AA237" s="485">
        <v>144.60300000000001</v>
      </c>
      <c r="AB237" s="485">
        <v>144.75800000000001</v>
      </c>
      <c r="AC237" s="485"/>
      <c r="AD237" s="485">
        <f>42.42</f>
        <v>42.42</v>
      </c>
      <c r="AE237" s="485">
        <f>117.717</f>
        <v>117.717</v>
      </c>
      <c r="AF237" s="485">
        <f>155.254+96.832</f>
        <v>252.08599999999998</v>
      </c>
      <c r="AG237" s="485">
        <v>230.27699999999999</v>
      </c>
      <c r="AH237" s="485">
        <f>65.011</f>
        <v>65.010999999999996</v>
      </c>
      <c r="AI237" s="485">
        <v>187.18</v>
      </c>
      <c r="AJ237" s="485">
        <v>246.24299999999999</v>
      </c>
      <c r="AK237" s="822">
        <v>390.56200000000001</v>
      </c>
      <c r="AL237" s="485">
        <f>390.562+35.031</f>
        <v>425.59300000000002</v>
      </c>
      <c r="AM237" s="485">
        <f>272.214+61.282</f>
        <v>333.49599999999998</v>
      </c>
      <c r="AN237" s="485">
        <f>141.513+272.214</f>
        <v>413.72699999999998</v>
      </c>
      <c r="AO237" s="485">
        <f>432.656-1.768</f>
        <v>430.88800000000003</v>
      </c>
      <c r="AP237" s="485">
        <f>41.267+430.436</f>
        <v>471.70299999999997</v>
      </c>
      <c r="AQ237" s="485">
        <f>114.05+296.804</f>
        <v>410.85399999999998</v>
      </c>
      <c r="AR237" s="819">
        <v>470.91099999999994</v>
      </c>
      <c r="AS237" s="819">
        <v>606.19799999999998</v>
      </c>
      <c r="AT237" s="819">
        <f>606.198+120.298</f>
        <v>726.49599999999998</v>
      </c>
      <c r="AU237" s="327"/>
      <c r="AV237" s="327"/>
      <c r="AW237" s="327"/>
      <c r="AX237" s="327"/>
      <c r="AY237" s="327"/>
      <c r="AZ237" s="327"/>
      <c r="BA237" s="327"/>
      <c r="BB237" s="52"/>
      <c r="BC237" s="52"/>
      <c r="BD237" s="52"/>
      <c r="BE237" s="52"/>
      <c r="BF237" s="52"/>
      <c r="BG237" s="52"/>
      <c r="BH237" s="52"/>
      <c r="BI237" s="52"/>
      <c r="BJ237" s="52"/>
      <c r="BK237" s="52"/>
      <c r="BL237" s="52"/>
      <c r="BM237" s="52"/>
      <c r="BN237" s="52"/>
    </row>
    <row r="238" spans="1:66">
      <c r="A238" s="1736"/>
      <c r="B238" s="202"/>
      <c r="C238" s="202"/>
      <c r="D238" s="202"/>
      <c r="E238" s="202"/>
      <c r="F238" s="202"/>
      <c r="G238" s="202"/>
      <c r="H238" s="202"/>
      <c r="I238" s="202"/>
      <c r="J238" s="202"/>
      <c r="K238" s="202"/>
      <c r="L238" s="202"/>
      <c r="M238" s="202"/>
      <c r="N238" s="202"/>
      <c r="O238" s="202"/>
      <c r="P238" s="202"/>
      <c r="Q238" s="202"/>
      <c r="R238" s="202"/>
      <c r="S238" s="202"/>
      <c r="T238" s="202"/>
      <c r="U238" s="486"/>
      <c r="V238" s="202"/>
      <c r="W238" s="202"/>
      <c r="X238" s="202"/>
      <c r="Y238" s="202"/>
      <c r="Z238" s="202"/>
      <c r="AA238" s="202"/>
      <c r="AB238" s="202"/>
      <c r="AC238" s="202"/>
      <c r="AD238" s="202"/>
      <c r="AE238" s="202"/>
      <c r="AF238" s="202"/>
      <c r="AG238" s="202"/>
      <c r="AH238" s="202"/>
      <c r="AI238" s="202"/>
      <c r="AJ238" s="202"/>
      <c r="AK238" s="935"/>
      <c r="AL238" s="202"/>
      <c r="AM238" s="202"/>
      <c r="AN238" s="202"/>
      <c r="AO238" s="327"/>
      <c r="AP238" s="202"/>
      <c r="AQ238" s="202"/>
      <c r="AR238" s="740"/>
      <c r="AS238" s="740"/>
      <c r="AT238" s="202"/>
      <c r="AU238" s="202"/>
      <c r="AV238" s="202"/>
      <c r="AW238" s="202"/>
      <c r="AX238" s="202"/>
      <c r="AY238" s="202"/>
      <c r="AZ238" s="202"/>
      <c r="BA238" s="202"/>
      <c r="BB238" s="52"/>
      <c r="BC238" s="52"/>
      <c r="BD238" s="52"/>
      <c r="BE238" s="52"/>
      <c r="BF238" s="52"/>
      <c r="BG238" s="52"/>
      <c r="BH238" s="52"/>
      <c r="BI238" s="52"/>
      <c r="BJ238" s="52"/>
      <c r="BK238" s="52"/>
      <c r="BL238" s="52"/>
      <c r="BM238" s="52"/>
      <c r="BN238" s="52"/>
    </row>
    <row r="239" spans="1:66">
      <c r="A239" s="1758" t="s">
        <v>432</v>
      </c>
      <c r="B239" s="354">
        <f t="shared" ref="B239:AG239" si="174">+B216+B225+B229+B231</f>
        <v>691.82600000000002</v>
      </c>
      <c r="C239" s="354">
        <f t="shared" si="174"/>
        <v>1805.645</v>
      </c>
      <c r="D239" s="354">
        <f t="shared" si="174"/>
        <v>1773.856</v>
      </c>
      <c r="E239" s="354">
        <f t="shared" si="174"/>
        <v>2642.9259999999999</v>
      </c>
      <c r="F239" s="354">
        <f t="shared" si="174"/>
        <v>2756.1689999999999</v>
      </c>
      <c r="G239" s="354">
        <f t="shared" si="174"/>
        <v>2835.076</v>
      </c>
      <c r="H239" s="354">
        <f t="shared" si="174"/>
        <v>2915.1260000000002</v>
      </c>
      <c r="I239" s="354">
        <f t="shared" si="174"/>
        <v>2916.623</v>
      </c>
      <c r="J239" s="354">
        <f t="shared" si="174"/>
        <v>3044.4359999999997</v>
      </c>
      <c r="K239" s="354">
        <f t="shared" si="174"/>
        <v>3390.8450000000003</v>
      </c>
      <c r="L239" s="354">
        <f t="shared" si="174"/>
        <v>3389.8270000000002</v>
      </c>
      <c r="M239" s="354">
        <f t="shared" si="174"/>
        <v>3394.692</v>
      </c>
      <c r="N239" s="354">
        <f t="shared" si="174"/>
        <v>3339.1809999999996</v>
      </c>
      <c r="O239" s="354">
        <f t="shared" si="174"/>
        <v>3425.81</v>
      </c>
      <c r="P239" s="354">
        <f t="shared" si="174"/>
        <v>3416.3370000000004</v>
      </c>
      <c r="Q239" s="354">
        <f t="shared" si="174"/>
        <v>4187.4429999999993</v>
      </c>
      <c r="R239" s="354">
        <f t="shared" si="174"/>
        <v>3468.098</v>
      </c>
      <c r="S239" s="354">
        <f t="shared" si="174"/>
        <v>3616.009</v>
      </c>
      <c r="T239" s="354">
        <f t="shared" si="174"/>
        <v>3285.08</v>
      </c>
      <c r="U239" s="354">
        <f t="shared" si="174"/>
        <v>3941.5960000000005</v>
      </c>
      <c r="V239" s="354">
        <f t="shared" si="174"/>
        <v>4211.3</v>
      </c>
      <c r="W239" s="354">
        <f t="shared" si="174"/>
        <v>4409.8090000000002</v>
      </c>
      <c r="X239" s="354">
        <f t="shared" si="174"/>
        <v>4834.415</v>
      </c>
      <c r="Y239" s="354">
        <f t="shared" si="174"/>
        <v>4787.2730000000001</v>
      </c>
      <c r="Z239" s="354">
        <f t="shared" si="174"/>
        <v>5393.7160000000003</v>
      </c>
      <c r="AA239" s="354">
        <f t="shared" si="174"/>
        <v>5514.7449999999999</v>
      </c>
      <c r="AB239" s="354">
        <f t="shared" si="174"/>
        <v>5450.6149999999998</v>
      </c>
      <c r="AC239" s="354">
        <f t="shared" si="174"/>
        <v>5633.11</v>
      </c>
      <c r="AD239" s="354">
        <f t="shared" si="174"/>
        <v>5676.4580000000005</v>
      </c>
      <c r="AE239" s="354">
        <f t="shared" si="174"/>
        <v>5751.857</v>
      </c>
      <c r="AF239" s="354">
        <f t="shared" si="174"/>
        <v>5774</v>
      </c>
      <c r="AG239" s="354">
        <f t="shared" si="174"/>
        <v>5825.951</v>
      </c>
      <c r="AH239" s="354">
        <f t="shared" ref="AH239:BA239" si="175">+AH216+AH225+AH229+AH231</f>
        <v>6266.0789999999997</v>
      </c>
      <c r="AI239" s="354">
        <f t="shared" si="175"/>
        <v>7013.366</v>
      </c>
      <c r="AJ239" s="354">
        <f t="shared" si="175"/>
        <v>7250.5640000000003</v>
      </c>
      <c r="AK239" s="1378">
        <f t="shared" si="175"/>
        <v>7619.0320000000002</v>
      </c>
      <c r="AL239" s="354">
        <f t="shared" si="175"/>
        <v>7760.6309999999994</v>
      </c>
      <c r="AM239" s="354">
        <f t="shared" si="175"/>
        <v>7796.8119999999999</v>
      </c>
      <c r="AN239" s="354">
        <f t="shared" si="175"/>
        <v>7585.2610000000004</v>
      </c>
      <c r="AO239" s="377">
        <f t="shared" si="175"/>
        <v>7755.59</v>
      </c>
      <c r="AP239" s="354">
        <f t="shared" si="175"/>
        <v>7553.915</v>
      </c>
      <c r="AQ239" s="354">
        <f t="shared" si="175"/>
        <v>7925.4859999999999</v>
      </c>
      <c r="AR239" s="2185">
        <v>8031.8440000000001</v>
      </c>
      <c r="AS239" s="2185">
        <f t="shared" si="175"/>
        <v>8691.5249999999996</v>
      </c>
      <c r="AT239" s="354">
        <f t="shared" si="175"/>
        <v>9175.5619999999999</v>
      </c>
      <c r="AU239" s="354">
        <f t="shared" si="175"/>
        <v>0</v>
      </c>
      <c r="AV239" s="354">
        <f t="shared" si="175"/>
        <v>0</v>
      </c>
      <c r="AW239" s="354">
        <f t="shared" si="175"/>
        <v>0</v>
      </c>
      <c r="AX239" s="354">
        <f t="shared" si="175"/>
        <v>0</v>
      </c>
      <c r="AY239" s="354">
        <f t="shared" si="175"/>
        <v>0</v>
      </c>
      <c r="AZ239" s="354">
        <f t="shared" si="175"/>
        <v>0</v>
      </c>
      <c r="BA239" s="354">
        <f t="shared" si="175"/>
        <v>0</v>
      </c>
      <c r="BB239" s="52"/>
      <c r="BC239" s="52"/>
      <c r="BD239" s="52"/>
      <c r="BE239" s="52"/>
      <c r="BF239" s="52"/>
      <c r="BG239" s="52"/>
      <c r="BH239" s="52"/>
      <c r="BI239" s="52"/>
      <c r="BJ239" s="52"/>
      <c r="BK239" s="52"/>
      <c r="BL239" s="52"/>
      <c r="BM239" s="52"/>
      <c r="BN239" s="52"/>
    </row>
    <row r="240" spans="1:66">
      <c r="A240" s="1766" t="s">
        <v>1419</v>
      </c>
      <c r="B240" s="687">
        <f t="shared" ref="B240:AG240" si="176">B214-B239</f>
        <v>0</v>
      </c>
      <c r="C240" s="687">
        <f t="shared" si="176"/>
        <v>0</v>
      </c>
      <c r="D240" s="687">
        <f t="shared" si="176"/>
        <v>0</v>
      </c>
      <c r="E240" s="687">
        <f t="shared" si="176"/>
        <v>0</v>
      </c>
      <c r="F240" s="687">
        <f t="shared" si="176"/>
        <v>0</v>
      </c>
      <c r="G240" s="687">
        <f t="shared" si="176"/>
        <v>-1.0000000002037268E-3</v>
      </c>
      <c r="H240" s="687">
        <f t="shared" si="176"/>
        <v>0</v>
      </c>
      <c r="I240" s="687">
        <f t="shared" si="176"/>
        <v>0</v>
      </c>
      <c r="J240" s="687">
        <f t="shared" si="176"/>
        <v>0</v>
      </c>
      <c r="K240" s="687">
        <f t="shared" si="176"/>
        <v>0</v>
      </c>
      <c r="L240" s="687">
        <f t="shared" si="176"/>
        <v>0</v>
      </c>
      <c r="M240" s="687">
        <f t="shared" si="176"/>
        <v>0</v>
      </c>
      <c r="N240" s="687">
        <f t="shared" si="176"/>
        <v>0</v>
      </c>
      <c r="O240" s="687">
        <f t="shared" si="176"/>
        <v>0</v>
      </c>
      <c r="P240" s="687">
        <f t="shared" si="176"/>
        <v>-1.0000000006584742E-3</v>
      </c>
      <c r="Q240" s="687">
        <f t="shared" si="176"/>
        <v>0</v>
      </c>
      <c r="R240" s="687">
        <f t="shared" si="176"/>
        <v>0</v>
      </c>
      <c r="S240" s="687">
        <f t="shared" si="176"/>
        <v>0</v>
      </c>
      <c r="T240" s="687">
        <f t="shared" si="176"/>
        <v>0</v>
      </c>
      <c r="U240" s="687">
        <f t="shared" si="176"/>
        <v>6.1999999999443389E-2</v>
      </c>
      <c r="V240" s="687">
        <f t="shared" si="176"/>
        <v>0</v>
      </c>
      <c r="W240" s="687">
        <f t="shared" si="176"/>
        <v>-5.9000000000196451E-2</v>
      </c>
      <c r="X240" s="687">
        <f t="shared" si="176"/>
        <v>0</v>
      </c>
      <c r="Y240" s="687">
        <f t="shared" si="176"/>
        <v>-0.10600000000067666</v>
      </c>
      <c r="Z240" s="687">
        <f t="shared" si="176"/>
        <v>-0.73700000000098953</v>
      </c>
      <c r="AA240" s="687">
        <f t="shared" si="176"/>
        <v>-1.0520000000005894</v>
      </c>
      <c r="AB240" s="687">
        <f t="shared" si="176"/>
        <v>-1.2569999999996071</v>
      </c>
      <c r="AC240" s="687">
        <f t="shared" si="176"/>
        <v>-9.0000000000145519E-3</v>
      </c>
      <c r="AD240" s="687">
        <f t="shared" si="176"/>
        <v>-9.9000000009255018E-3</v>
      </c>
      <c r="AE240" s="687">
        <f t="shared" si="176"/>
        <v>0</v>
      </c>
      <c r="AF240" s="687">
        <f t="shared" si="176"/>
        <v>2.3000000000138243E-2</v>
      </c>
      <c r="AG240" s="687">
        <f t="shared" si="176"/>
        <v>0</v>
      </c>
      <c r="AH240" s="687">
        <f t="shared" ref="AH240:BA240" si="177">AH214-AH239</f>
        <v>0</v>
      </c>
      <c r="AI240" s="687">
        <f t="shared" si="177"/>
        <v>0</v>
      </c>
      <c r="AJ240" s="687">
        <f t="shared" si="177"/>
        <v>0</v>
      </c>
      <c r="AK240" s="1382">
        <f t="shared" si="177"/>
        <v>0</v>
      </c>
      <c r="AL240" s="687">
        <f t="shared" si="177"/>
        <v>0</v>
      </c>
      <c r="AM240" s="687">
        <f t="shared" si="177"/>
        <v>0</v>
      </c>
      <c r="AN240" s="687">
        <f t="shared" si="177"/>
        <v>0</v>
      </c>
      <c r="AO240" s="2399">
        <f t="shared" si="177"/>
        <v>0</v>
      </c>
      <c r="AP240" s="687">
        <f t="shared" si="177"/>
        <v>0</v>
      </c>
      <c r="AQ240" s="687">
        <f t="shared" si="177"/>
        <v>1.0000000000218279E-2</v>
      </c>
      <c r="AR240" s="2186">
        <v>0</v>
      </c>
      <c r="AS240" s="2186">
        <f t="shared" si="177"/>
        <v>0</v>
      </c>
      <c r="AT240" s="687">
        <f t="shared" si="177"/>
        <v>0</v>
      </c>
      <c r="AU240" s="687">
        <f t="shared" si="177"/>
        <v>0</v>
      </c>
      <c r="AV240" s="687">
        <f t="shared" si="177"/>
        <v>0</v>
      </c>
      <c r="AW240" s="687">
        <f t="shared" si="177"/>
        <v>0</v>
      </c>
      <c r="AX240" s="687">
        <f t="shared" si="177"/>
        <v>0</v>
      </c>
      <c r="AY240" s="687">
        <f t="shared" si="177"/>
        <v>0</v>
      </c>
      <c r="AZ240" s="687">
        <f t="shared" si="177"/>
        <v>0</v>
      </c>
      <c r="BA240" s="687">
        <f t="shared" si="177"/>
        <v>0</v>
      </c>
      <c r="BB240" s="494"/>
      <c r="BC240" s="494"/>
      <c r="BD240" s="494"/>
      <c r="BE240" s="494"/>
      <c r="BF240" s="494"/>
      <c r="BG240" s="494"/>
      <c r="BH240" s="494"/>
      <c r="BI240" s="494"/>
      <c r="BJ240" s="494"/>
      <c r="BK240" s="494"/>
      <c r="BL240" s="494"/>
      <c r="BM240" s="494"/>
      <c r="BN240" s="494"/>
    </row>
    <row r="241" spans="1:66">
      <c r="A241" s="1732" t="s">
        <v>409</v>
      </c>
      <c r="B241" s="475">
        <f t="shared" ref="B241:AO241" si="178">SUM(B242,B246,B248)</f>
        <v>-48.588999999999999</v>
      </c>
      <c r="C241" s="475">
        <f t="shared" si="178"/>
        <v>-42.992000000000004</v>
      </c>
      <c r="D241" s="475">
        <f t="shared" si="178"/>
        <v>-75.276999999999987</v>
      </c>
      <c r="E241" s="475">
        <f t="shared" si="178"/>
        <v>-121.453</v>
      </c>
      <c r="F241" s="475">
        <f t="shared" si="178"/>
        <v>-93.748999999999995</v>
      </c>
      <c r="G241" s="475">
        <f t="shared" si="178"/>
        <v>-113.01700000000001</v>
      </c>
      <c r="H241" s="475">
        <f t="shared" si="178"/>
        <v>-139.9</v>
      </c>
      <c r="I241" s="475">
        <f t="shared" si="178"/>
        <v>-172.52</v>
      </c>
      <c r="J241" s="475">
        <f t="shared" si="178"/>
        <v>-151.71299999999997</v>
      </c>
      <c r="K241" s="475">
        <f t="shared" si="178"/>
        <v>-87.160000000000011</v>
      </c>
      <c r="L241" s="475">
        <f t="shared" si="178"/>
        <v>-83.323000000000008</v>
      </c>
      <c r="M241" s="475">
        <f t="shared" si="178"/>
        <v>-135.095</v>
      </c>
      <c r="N241" s="475">
        <f t="shared" si="178"/>
        <v>-74.799000000000007</v>
      </c>
      <c r="O241" s="475">
        <f t="shared" si="178"/>
        <v>-52.16</v>
      </c>
      <c r="P241" s="475">
        <f t="shared" si="178"/>
        <v>-52.641000000000005</v>
      </c>
      <c r="Q241" s="475">
        <f t="shared" si="178"/>
        <v>-154.74600000000001</v>
      </c>
      <c r="R241" s="475">
        <f t="shared" si="178"/>
        <v>-69.563000000000002</v>
      </c>
      <c r="S241" s="475">
        <f t="shared" si="178"/>
        <v>-103.648</v>
      </c>
      <c r="T241" s="475">
        <f t="shared" si="178"/>
        <v>-134.62100000000001</v>
      </c>
      <c r="U241" s="475">
        <f t="shared" si="178"/>
        <v>-146.33700000000002</v>
      </c>
      <c r="V241" s="852">
        <f t="shared" si="178"/>
        <v>-109.69799999999999</v>
      </c>
      <c r="W241" s="852">
        <f t="shared" si="178"/>
        <v>-129.71499999999997</v>
      </c>
      <c r="X241" s="852">
        <f t="shared" si="178"/>
        <v>-177.05700000000002</v>
      </c>
      <c r="Y241" s="852">
        <f t="shared" si="178"/>
        <v>-214.596</v>
      </c>
      <c r="Z241" s="852">
        <f t="shared" si="178"/>
        <v>-131.75899999999999</v>
      </c>
      <c r="AA241" s="852">
        <f t="shared" si="178"/>
        <v>-149.20999999999998</v>
      </c>
      <c r="AB241" s="852">
        <f t="shared" si="178"/>
        <v>-137.535</v>
      </c>
      <c r="AC241" s="852">
        <f t="shared" si="178"/>
        <v>-261.33699999999999</v>
      </c>
      <c r="AD241" s="852">
        <f t="shared" si="178"/>
        <v>-115.41600000000001</v>
      </c>
      <c r="AE241" s="852">
        <f t="shared" si="178"/>
        <v>-119.69299999999998</v>
      </c>
      <c r="AF241" s="852">
        <f t="shared" si="178"/>
        <v>-166.929</v>
      </c>
      <c r="AG241" s="852">
        <f t="shared" si="178"/>
        <v>-256.40600000000001</v>
      </c>
      <c r="AH241" s="852">
        <f t="shared" si="178"/>
        <v>-119.184</v>
      </c>
      <c r="AI241" s="852">
        <f t="shared" si="178"/>
        <v>-148.571</v>
      </c>
      <c r="AJ241" s="852">
        <f t="shared" si="178"/>
        <v>-220.72200000000001</v>
      </c>
      <c r="AK241" s="1383">
        <f t="shared" si="178"/>
        <v>-323.55199999999996</v>
      </c>
      <c r="AL241" s="1383">
        <f t="shared" si="178"/>
        <v>-159.81200000000001</v>
      </c>
      <c r="AM241" s="1383">
        <f t="shared" si="178"/>
        <v>-152.73999999999998</v>
      </c>
      <c r="AN241" s="1383">
        <f t="shared" si="178"/>
        <v>-209.554</v>
      </c>
      <c r="AO241" s="1383">
        <f t="shared" si="178"/>
        <v>-318.70800000000003</v>
      </c>
      <c r="AP241" s="1383">
        <f t="shared" ref="AP241:AR241" si="179">SUM(AP242,AP246,AP248)</f>
        <v>-163.64099999999999</v>
      </c>
      <c r="AQ241" s="1383">
        <f t="shared" si="179"/>
        <v>-186.20699999999999</v>
      </c>
      <c r="AR241" s="1383">
        <f t="shared" si="179"/>
        <v>-280.96600000000001</v>
      </c>
      <c r="AS241" s="1383">
        <f t="shared" ref="AS241:AT241" si="180">SUM(AS242,AS246,AS248)</f>
        <v>-346.166</v>
      </c>
      <c r="AT241" s="1383">
        <f t="shared" si="180"/>
        <v>-114.48599999999999</v>
      </c>
      <c r="AU241" s="202"/>
      <c r="AV241" s="202"/>
      <c r="AW241" s="202"/>
      <c r="AX241" s="202"/>
      <c r="AY241" s="202"/>
      <c r="AZ241" s="202"/>
      <c r="BA241" s="202"/>
      <c r="BB241" s="202"/>
      <c r="BC241" s="202"/>
      <c r="BD241" s="202"/>
      <c r="BE241" s="52"/>
      <c r="BF241" s="52"/>
      <c r="BG241" s="52"/>
      <c r="BH241" s="52"/>
      <c r="BI241" s="52"/>
      <c r="BJ241" s="52"/>
      <c r="BK241" s="52"/>
      <c r="BL241" s="52"/>
      <c r="BM241" s="52"/>
      <c r="BN241" s="52"/>
    </row>
    <row r="242" spans="1:66">
      <c r="A242" s="1762" t="s">
        <v>907</v>
      </c>
      <c r="B242" s="1049">
        <f t="shared" ref="B242:AO242" si="181">SUM(B243:B245)</f>
        <v>-23.959</v>
      </c>
      <c r="C242" s="1049">
        <f t="shared" si="181"/>
        <v>-15.861000000000001</v>
      </c>
      <c r="D242" s="1049">
        <f t="shared" si="181"/>
        <v>-43.016999999999996</v>
      </c>
      <c r="E242" s="1049">
        <f t="shared" si="181"/>
        <v>-59.506</v>
      </c>
      <c r="F242" s="1049">
        <f t="shared" si="181"/>
        <v>-23.167000000000002</v>
      </c>
      <c r="G242" s="1049">
        <f t="shared" si="181"/>
        <v>-18.634</v>
      </c>
      <c r="H242" s="1049">
        <f t="shared" si="181"/>
        <v>-42.683</v>
      </c>
      <c r="I242" s="1049">
        <f t="shared" si="181"/>
        <v>-69.412000000000006</v>
      </c>
      <c r="J242" s="1049">
        <f t="shared" si="181"/>
        <v>-34.323999999999998</v>
      </c>
      <c r="K242" s="1049">
        <f t="shared" si="181"/>
        <v>-21.662000000000003</v>
      </c>
      <c r="L242" s="1049">
        <f t="shared" si="181"/>
        <v>-34.709000000000003</v>
      </c>
      <c r="M242" s="1049">
        <f t="shared" si="181"/>
        <v>-93.426000000000002</v>
      </c>
      <c r="N242" s="1049">
        <f t="shared" si="181"/>
        <v>-37.370000000000005</v>
      </c>
      <c r="O242" s="1049">
        <f t="shared" si="181"/>
        <v>-24.984999999999999</v>
      </c>
      <c r="P242" s="1049">
        <f t="shared" si="181"/>
        <v>-36.058000000000007</v>
      </c>
      <c r="Q242" s="1049">
        <f t="shared" si="181"/>
        <v>-117.569</v>
      </c>
      <c r="R242" s="1049">
        <f t="shared" si="181"/>
        <v>-45.677999999999997</v>
      </c>
      <c r="S242" s="1049">
        <f t="shared" si="181"/>
        <v>-57.608000000000004</v>
      </c>
      <c r="T242" s="1049">
        <f t="shared" si="181"/>
        <v>-78.811000000000007</v>
      </c>
      <c r="U242" s="1049">
        <f t="shared" si="181"/>
        <v>-102.55200000000001</v>
      </c>
      <c r="V242" s="1049">
        <f t="shared" si="181"/>
        <v>-55.350999999999999</v>
      </c>
      <c r="W242" s="1049">
        <f t="shared" si="181"/>
        <v>-53.031999999999996</v>
      </c>
      <c r="X242" s="1049">
        <f t="shared" si="181"/>
        <v>-89.347999999999999</v>
      </c>
      <c r="Y242" s="1049">
        <f t="shared" si="181"/>
        <v>-122.16799999999999</v>
      </c>
      <c r="Z242" s="1049">
        <f t="shared" si="181"/>
        <v>-79.551999999999992</v>
      </c>
      <c r="AA242" s="1049">
        <f t="shared" si="181"/>
        <v>-82.903999999999996</v>
      </c>
      <c r="AB242" s="1049">
        <f t="shared" si="181"/>
        <v>-101.146</v>
      </c>
      <c r="AC242" s="1049">
        <f t="shared" si="181"/>
        <v>-177.11500000000001</v>
      </c>
      <c r="AD242" s="1049">
        <f t="shared" si="181"/>
        <v>-74.301000000000002</v>
      </c>
      <c r="AE242" s="1049">
        <f t="shared" si="181"/>
        <v>-82.509999999999991</v>
      </c>
      <c r="AF242" s="1049">
        <f t="shared" si="181"/>
        <v>-95.195999999999998</v>
      </c>
      <c r="AG242" s="1049">
        <f t="shared" si="181"/>
        <v>-190.09099999999998</v>
      </c>
      <c r="AH242" s="1049">
        <f t="shared" si="181"/>
        <v>-90.009</v>
      </c>
      <c r="AI242" s="1049">
        <f t="shared" si="181"/>
        <v>-112.235</v>
      </c>
      <c r="AJ242" s="1049">
        <f t="shared" si="181"/>
        <v>-167.36099999999999</v>
      </c>
      <c r="AK242" s="1384">
        <f t="shared" si="181"/>
        <v>-254.09299999999996</v>
      </c>
      <c r="AL242" s="1384">
        <f t="shared" si="181"/>
        <v>-123.798</v>
      </c>
      <c r="AM242" s="1384">
        <f t="shared" si="181"/>
        <v>-124.654</v>
      </c>
      <c r="AN242" s="1384">
        <f t="shared" si="181"/>
        <v>-153.90300000000002</v>
      </c>
      <c r="AO242" s="1384">
        <f t="shared" si="181"/>
        <v>-274.24</v>
      </c>
      <c r="AP242" s="1384">
        <f t="shared" ref="AP242:AR242" si="182">SUM(AP243:AP245)</f>
        <v>-131.251</v>
      </c>
      <c r="AQ242" s="1384">
        <f t="shared" si="182"/>
        <v>-145.37199999999999</v>
      </c>
      <c r="AR242" s="1384">
        <f t="shared" si="182"/>
        <v>-218.22199999999998</v>
      </c>
      <c r="AS242" s="1384">
        <f t="shared" ref="AS242:AT242" si="183">SUM(AS243:AS245)</f>
        <v>-297.33699999999999</v>
      </c>
      <c r="AT242" s="1384">
        <f t="shared" si="183"/>
        <v>-155.273</v>
      </c>
      <c r="AU242" s="390"/>
      <c r="AV242" s="390"/>
      <c r="AW242" s="390"/>
      <c r="AX242" s="390"/>
      <c r="AY242" s="390"/>
      <c r="AZ242" s="390"/>
      <c r="BA242" s="390"/>
      <c r="BB242" s="390"/>
      <c r="BC242" s="390"/>
      <c r="BD242" s="390"/>
      <c r="BE242" s="14"/>
      <c r="BF242" s="14"/>
      <c r="BG242" s="14"/>
      <c r="BH242" s="14"/>
      <c r="BI242" s="14"/>
      <c r="BJ242" s="14"/>
      <c r="BK242" s="14"/>
      <c r="BL242" s="14"/>
      <c r="BM242" s="14"/>
      <c r="BN242" s="14"/>
    </row>
    <row r="243" spans="1:66">
      <c r="A243" s="1733" t="s">
        <v>922</v>
      </c>
      <c r="B243" s="484">
        <v>-12.294</v>
      </c>
      <c r="C243" s="484">
        <v>-10.673999999999999</v>
      </c>
      <c r="D243" s="484">
        <v>-17.974</v>
      </c>
      <c r="E243" s="484">
        <v>-24.728000000000002</v>
      </c>
      <c r="F243" s="484">
        <v>-11.122999999999999</v>
      </c>
      <c r="G243" s="484">
        <v>-12.506</v>
      </c>
      <c r="H243" s="484">
        <v>-15.146000000000001</v>
      </c>
      <c r="I243" s="484">
        <v>-23.654</v>
      </c>
      <c r="J243" s="484">
        <f>(18.058)*-1</f>
        <v>-18.058</v>
      </c>
      <c r="K243" s="484">
        <v>-17.164000000000001</v>
      </c>
      <c r="L243" s="484">
        <v>-16.398</v>
      </c>
      <c r="M243" s="484">
        <v>-30.347000000000001</v>
      </c>
      <c r="N243" s="484">
        <v>-23.472000000000001</v>
      </c>
      <c r="O243" s="484">
        <v>-19.791</v>
      </c>
      <c r="P243" s="484">
        <v>-19.577000000000002</v>
      </c>
      <c r="Q243" s="484">
        <v>-16.416</v>
      </c>
      <c r="R243" s="484">
        <v>-13.881</v>
      </c>
      <c r="S243" s="484">
        <v>-15.026</v>
      </c>
      <c r="T243" s="484">
        <v>-19.446999999999999</v>
      </c>
      <c r="U243" s="484">
        <v>-25.669</v>
      </c>
      <c r="V243" s="484">
        <v>-17.268999999999998</v>
      </c>
      <c r="W243" s="484">
        <v>-14.599</v>
      </c>
      <c r="X243" s="484">
        <v>-23.404</v>
      </c>
      <c r="Y243" s="484">
        <v>-41.551000000000002</v>
      </c>
      <c r="Z243" s="484">
        <v>-24.111000000000001</v>
      </c>
      <c r="AA243" s="484">
        <v>-29.542000000000002</v>
      </c>
      <c r="AB243" s="484">
        <v>-30.347999999999999</v>
      </c>
      <c r="AC243" s="484">
        <v>-56.762999999999998</v>
      </c>
      <c r="AD243" s="484">
        <v>-27.42</v>
      </c>
      <c r="AE243" s="484">
        <v>-31.006</v>
      </c>
      <c r="AF243" s="484">
        <v>-33.005000000000003</v>
      </c>
      <c r="AG243" s="484">
        <v>-54.045000000000002</v>
      </c>
      <c r="AH243" s="484">
        <v>-32.024999999999999</v>
      </c>
      <c r="AI243" s="484">
        <v>-37.991</v>
      </c>
      <c r="AJ243" s="484">
        <v>-39.380000000000003</v>
      </c>
      <c r="AK243" s="851">
        <v>-76.924999999999997</v>
      </c>
      <c r="AL243" s="851">
        <v>-43.268999999999998</v>
      </c>
      <c r="AM243" s="851">
        <v>-42.158000000000001</v>
      </c>
      <c r="AN243" s="851">
        <v>-47.079000000000001</v>
      </c>
      <c r="AO243" s="851">
        <v>-74.936000000000007</v>
      </c>
      <c r="AP243" s="851">
        <v>-42.463000000000001</v>
      </c>
      <c r="AQ243" s="851">
        <v>-45.54</v>
      </c>
      <c r="AR243" s="1073">
        <v>-53.137</v>
      </c>
      <c r="AS243" s="1073">
        <v>-76.001000000000005</v>
      </c>
      <c r="AT243" s="1073">
        <v>-48.865000000000002</v>
      </c>
      <c r="AU243" s="202"/>
      <c r="AV243" s="202"/>
      <c r="AW243" s="202"/>
      <c r="AX243" s="202"/>
      <c r="AY243" s="202"/>
      <c r="AZ243" s="202"/>
      <c r="BA243" s="202"/>
      <c r="BB243" s="202"/>
      <c r="BC243" s="202"/>
      <c r="BD243" s="202"/>
      <c r="BE243" s="52"/>
      <c r="BF243" s="52"/>
      <c r="BG243" s="52"/>
      <c r="BH243" s="52"/>
      <c r="BI243" s="52"/>
      <c r="BJ243" s="52"/>
      <c r="BK243" s="52"/>
      <c r="BL243" s="52"/>
      <c r="BM243" s="52"/>
      <c r="BN243" s="52"/>
    </row>
    <row r="244" spans="1:66">
      <c r="A244" s="1733" t="s">
        <v>923</v>
      </c>
      <c r="B244" s="484">
        <v>-11.664999999999999</v>
      </c>
      <c r="C244" s="484">
        <v>-5.1870000000000003</v>
      </c>
      <c r="D244" s="484">
        <v>-25.042999999999999</v>
      </c>
      <c r="E244" s="484">
        <v>-34.777999999999999</v>
      </c>
      <c r="F244" s="484">
        <v>-12.044</v>
      </c>
      <c r="G244" s="484">
        <v>-6.1280000000000001</v>
      </c>
      <c r="H244" s="484">
        <v>-27.536999999999999</v>
      </c>
      <c r="I244" s="484">
        <v>-45.758000000000003</v>
      </c>
      <c r="J244" s="484">
        <f>(16.266)*-1</f>
        <v>-16.265999999999998</v>
      </c>
      <c r="K244" s="484">
        <v>-4.4980000000000002</v>
      </c>
      <c r="L244" s="484">
        <v>-18.311</v>
      </c>
      <c r="M244" s="484">
        <v>-63.079000000000001</v>
      </c>
      <c r="N244" s="484">
        <v>-13.898</v>
      </c>
      <c r="O244" s="484">
        <v>-5.194</v>
      </c>
      <c r="P244" s="484">
        <v>-16.481000000000002</v>
      </c>
      <c r="Q244" s="484">
        <v>-79.775000000000006</v>
      </c>
      <c r="R244" s="484">
        <v>-5.2560000000000002</v>
      </c>
      <c r="S244" s="484">
        <v>-10.226000000000001</v>
      </c>
      <c r="T244" s="484">
        <v>-28.738</v>
      </c>
      <c r="U244" s="484">
        <v>-52.868000000000002</v>
      </c>
      <c r="V244" s="484">
        <v>-14.451000000000001</v>
      </c>
      <c r="W244" s="484">
        <v>-7.3150000000000004</v>
      </c>
      <c r="X244" s="484">
        <v>-29.568999999999999</v>
      </c>
      <c r="Y244" s="484">
        <v>-55.198</v>
      </c>
      <c r="Z244" s="484">
        <v>-21.228000000000002</v>
      </c>
      <c r="AA244" s="484">
        <v>-4.3239999999999998</v>
      </c>
      <c r="AB244" s="484">
        <v>-23.556999999999999</v>
      </c>
      <c r="AC244" s="484">
        <v>-78.054000000000002</v>
      </c>
      <c r="AD244" s="484">
        <v>-0.25600000000000001</v>
      </c>
      <c r="AE244" s="484">
        <v>0</v>
      </c>
      <c r="AF244" s="484">
        <v>-8.44</v>
      </c>
      <c r="AG244" s="484">
        <v>-88.042000000000002</v>
      </c>
      <c r="AH244" s="484">
        <v>-3.31</v>
      </c>
      <c r="AI244" s="484">
        <v>0</v>
      </c>
      <c r="AJ244" s="484">
        <v>-45.136000000000003</v>
      </c>
      <c r="AK244" s="851">
        <v>-99.034999999999997</v>
      </c>
      <c r="AL244" s="851">
        <v>-5.7190000000000003</v>
      </c>
      <c r="AM244" s="851">
        <v>0</v>
      </c>
      <c r="AN244" s="851">
        <v>-19.651</v>
      </c>
      <c r="AO244" s="851">
        <v>-132.779</v>
      </c>
      <c r="AP244" s="851">
        <v>-0.39100000000000001</v>
      </c>
      <c r="AQ244" s="851">
        <v>0</v>
      </c>
      <c r="AR244" s="1073">
        <v>-63.817999999999998</v>
      </c>
      <c r="AS244" s="1073">
        <v>-143.54499999999999</v>
      </c>
      <c r="AT244" s="1073">
        <v>-3.016</v>
      </c>
      <c r="AU244" s="202"/>
      <c r="AV244" s="202"/>
      <c r="AW244" s="202"/>
      <c r="AX244" s="202"/>
      <c r="AY244" s="202"/>
      <c r="AZ244" s="202"/>
      <c r="BA244" s="202"/>
      <c r="BB244" s="202"/>
      <c r="BC244" s="202"/>
      <c r="BD244" s="202"/>
      <c r="BE244" s="52"/>
      <c r="BF244" s="52"/>
      <c r="BG244" s="52"/>
      <c r="BH244" s="52"/>
      <c r="BI244" s="52"/>
      <c r="BJ244" s="52"/>
      <c r="BK244" s="52"/>
      <c r="BL244" s="52"/>
      <c r="BM244" s="52"/>
      <c r="BN244" s="52"/>
    </row>
    <row r="245" spans="1:66">
      <c r="A245" s="1733" t="s">
        <v>82</v>
      </c>
      <c r="B245" s="484">
        <v>0</v>
      </c>
      <c r="C245" s="484">
        <v>0</v>
      </c>
      <c r="D245" s="484">
        <v>0</v>
      </c>
      <c r="E245" s="484">
        <v>0</v>
      </c>
      <c r="F245" s="484">
        <v>0</v>
      </c>
      <c r="G245" s="484">
        <v>0</v>
      </c>
      <c r="H245" s="484">
        <v>0</v>
      </c>
      <c r="I245" s="484">
        <v>0</v>
      </c>
      <c r="J245" s="484">
        <v>0</v>
      </c>
      <c r="K245" s="484">
        <v>0</v>
      </c>
      <c r="L245" s="484">
        <v>0</v>
      </c>
      <c r="M245" s="484">
        <v>0</v>
      </c>
      <c r="N245" s="484">
        <v>0</v>
      </c>
      <c r="O245" s="484">
        <v>0</v>
      </c>
      <c r="P245" s="484">
        <v>0</v>
      </c>
      <c r="Q245" s="484">
        <v>-21.378</v>
      </c>
      <c r="R245" s="484">
        <v>-26.541</v>
      </c>
      <c r="S245" s="484">
        <v>-32.356000000000002</v>
      </c>
      <c r="T245" s="484">
        <v>-30.626000000000001</v>
      </c>
      <c r="U245" s="484">
        <v>-24.015000000000001</v>
      </c>
      <c r="V245" s="484">
        <v>-23.631</v>
      </c>
      <c r="W245" s="484">
        <v>-31.117999999999999</v>
      </c>
      <c r="X245" s="484">
        <v>-36.375</v>
      </c>
      <c r="Y245" s="484">
        <v>-25.419</v>
      </c>
      <c r="Z245" s="484">
        <v>-34.213000000000001</v>
      </c>
      <c r="AA245" s="484">
        <v>-49.037999999999997</v>
      </c>
      <c r="AB245" s="484">
        <v>-47.241</v>
      </c>
      <c r="AC245" s="484">
        <v>-42.298000000000002</v>
      </c>
      <c r="AD245" s="484">
        <v>-46.625</v>
      </c>
      <c r="AE245" s="484">
        <v>-51.503999999999998</v>
      </c>
      <c r="AF245" s="484">
        <v>-53.750999999999998</v>
      </c>
      <c r="AG245" s="484">
        <v>-48.003999999999998</v>
      </c>
      <c r="AH245" s="484">
        <v>-54.673999999999999</v>
      </c>
      <c r="AI245" s="484">
        <v>-74.244</v>
      </c>
      <c r="AJ245" s="484">
        <v>-82.844999999999999</v>
      </c>
      <c r="AK245" s="851">
        <v>-78.132999999999996</v>
      </c>
      <c r="AL245" s="851">
        <v>-74.81</v>
      </c>
      <c r="AM245" s="851">
        <v>-82.495999999999995</v>
      </c>
      <c r="AN245" s="851">
        <v>-87.173000000000002</v>
      </c>
      <c r="AO245" s="851">
        <v>-66.525000000000006</v>
      </c>
      <c r="AP245" s="851">
        <v>-88.397000000000006</v>
      </c>
      <c r="AQ245" s="851">
        <v>-99.831999999999994</v>
      </c>
      <c r="AR245" s="1073">
        <v>-101.267</v>
      </c>
      <c r="AS245" s="1073">
        <v>-77.790999999999997</v>
      </c>
      <c r="AT245" s="1073">
        <v>-103.392</v>
      </c>
      <c r="AU245" s="202"/>
      <c r="AV245" s="202"/>
      <c r="AW245" s="202"/>
      <c r="AX245" s="202"/>
      <c r="AY245" s="202"/>
      <c r="AZ245" s="202"/>
      <c r="BA245" s="202"/>
      <c r="BB245" s="202"/>
      <c r="BC245" s="202"/>
      <c r="BD245" s="202"/>
      <c r="BE245" s="52"/>
      <c r="BF245" s="52"/>
      <c r="BG245" s="52"/>
      <c r="BH245" s="52"/>
      <c r="BI245" s="52"/>
      <c r="BJ245" s="52"/>
      <c r="BK245" s="52"/>
      <c r="BL245" s="52"/>
      <c r="BM245" s="52"/>
      <c r="BN245" s="52"/>
    </row>
    <row r="246" spans="1:66">
      <c r="A246" s="1762" t="s">
        <v>909</v>
      </c>
      <c r="B246" s="852">
        <f t="shared" ref="B246:AT246" si="184">B247</f>
        <v>0</v>
      </c>
      <c r="C246" s="852">
        <f t="shared" si="184"/>
        <v>0</v>
      </c>
      <c r="D246" s="852">
        <f t="shared" si="184"/>
        <v>0</v>
      </c>
      <c r="E246" s="852">
        <f t="shared" si="184"/>
        <v>0</v>
      </c>
      <c r="F246" s="852">
        <f t="shared" si="184"/>
        <v>0</v>
      </c>
      <c r="G246" s="852">
        <f t="shared" si="184"/>
        <v>0</v>
      </c>
      <c r="H246" s="852">
        <f t="shared" si="184"/>
        <v>0</v>
      </c>
      <c r="I246" s="852">
        <f t="shared" si="184"/>
        <v>0</v>
      </c>
      <c r="J246" s="852">
        <f t="shared" si="184"/>
        <v>0</v>
      </c>
      <c r="K246" s="852">
        <f t="shared" si="184"/>
        <v>0</v>
      </c>
      <c r="L246" s="852">
        <f t="shared" si="184"/>
        <v>0</v>
      </c>
      <c r="M246" s="852">
        <f t="shared" si="184"/>
        <v>0</v>
      </c>
      <c r="N246" s="852">
        <f t="shared" si="184"/>
        <v>0</v>
      </c>
      <c r="O246" s="852">
        <f t="shared" si="184"/>
        <v>0</v>
      </c>
      <c r="P246" s="852">
        <f t="shared" si="184"/>
        <v>0</v>
      </c>
      <c r="Q246" s="852">
        <f t="shared" si="184"/>
        <v>0</v>
      </c>
      <c r="R246" s="852">
        <f t="shared" si="184"/>
        <v>0</v>
      </c>
      <c r="S246" s="852">
        <f t="shared" si="184"/>
        <v>0</v>
      </c>
      <c r="T246" s="852">
        <f t="shared" si="184"/>
        <v>0</v>
      </c>
      <c r="U246" s="852">
        <f t="shared" si="184"/>
        <v>0</v>
      </c>
      <c r="V246" s="852">
        <f t="shared" si="184"/>
        <v>0</v>
      </c>
      <c r="W246" s="852">
        <f t="shared" si="184"/>
        <v>0</v>
      </c>
      <c r="X246" s="852">
        <f t="shared" si="184"/>
        <v>0</v>
      </c>
      <c r="Y246" s="852">
        <f t="shared" si="184"/>
        <v>0</v>
      </c>
      <c r="Z246" s="852">
        <f t="shared" si="184"/>
        <v>0</v>
      </c>
      <c r="AA246" s="852">
        <f t="shared" si="184"/>
        <v>0</v>
      </c>
      <c r="AB246" s="852">
        <f t="shared" si="184"/>
        <v>0</v>
      </c>
      <c r="AC246" s="852">
        <f t="shared" si="184"/>
        <v>-9.84</v>
      </c>
      <c r="AD246" s="852">
        <f t="shared" si="184"/>
        <v>-2.7839999999999998</v>
      </c>
      <c r="AE246" s="852">
        <f t="shared" si="184"/>
        <v>-7.3529999999999998</v>
      </c>
      <c r="AF246" s="852">
        <f t="shared" si="184"/>
        <v>-21.131</v>
      </c>
      <c r="AG246" s="852">
        <f t="shared" si="184"/>
        <v>-13.032</v>
      </c>
      <c r="AH246" s="852">
        <f t="shared" si="184"/>
        <v>-6.101</v>
      </c>
      <c r="AI246" s="852">
        <f t="shared" si="184"/>
        <v>-12.302</v>
      </c>
      <c r="AJ246" s="852">
        <f t="shared" si="184"/>
        <v>-26.710999999999999</v>
      </c>
      <c r="AK246" s="1383">
        <f t="shared" si="184"/>
        <v>-18.187999999999999</v>
      </c>
      <c r="AL246" s="1383">
        <f t="shared" si="184"/>
        <v>-18.481999999999999</v>
      </c>
      <c r="AM246" s="1383">
        <f t="shared" si="184"/>
        <v>-11.207000000000001</v>
      </c>
      <c r="AN246" s="1383">
        <f t="shared" si="184"/>
        <v>-25.582000000000001</v>
      </c>
      <c r="AO246" s="1383">
        <f t="shared" si="184"/>
        <v>-19.273</v>
      </c>
      <c r="AP246" s="1383">
        <f t="shared" si="184"/>
        <v>-14.516999999999999</v>
      </c>
      <c r="AQ246" s="1383">
        <f t="shared" si="184"/>
        <v>-14.231</v>
      </c>
      <c r="AR246" s="1383">
        <f t="shared" si="184"/>
        <v>-26.155000000000001</v>
      </c>
      <c r="AS246" s="1383">
        <f t="shared" si="184"/>
        <v>-22.068000000000001</v>
      </c>
      <c r="AT246" s="1383">
        <f t="shared" si="184"/>
        <v>30.585000000000001</v>
      </c>
      <c r="AU246" s="390"/>
      <c r="AV246" s="390"/>
      <c r="AW246" s="390"/>
      <c r="AX246" s="390"/>
      <c r="AY246" s="390"/>
      <c r="AZ246" s="390"/>
      <c r="BA246" s="390"/>
      <c r="BB246" s="390"/>
      <c r="BC246" s="390"/>
      <c r="BD246" s="390"/>
      <c r="BE246" s="14"/>
      <c r="BF246" s="14"/>
      <c r="BG246" s="14"/>
      <c r="BH246" s="14"/>
      <c r="BI246" s="14"/>
      <c r="BJ246" s="14"/>
      <c r="BK246" s="14"/>
      <c r="BL246" s="14"/>
      <c r="BM246" s="14"/>
      <c r="BN246" s="14"/>
    </row>
    <row r="247" spans="1:66">
      <c r="A247" s="1733" t="s">
        <v>924</v>
      </c>
      <c r="B247" s="484">
        <v>0</v>
      </c>
      <c r="C247" s="484">
        <v>0</v>
      </c>
      <c r="D247" s="484">
        <v>0</v>
      </c>
      <c r="E247" s="484">
        <v>0</v>
      </c>
      <c r="F247" s="484">
        <v>0</v>
      </c>
      <c r="G247" s="484">
        <v>0</v>
      </c>
      <c r="H247" s="484">
        <v>0</v>
      </c>
      <c r="I247" s="484">
        <v>0</v>
      </c>
      <c r="J247" s="484">
        <v>0</v>
      </c>
      <c r="K247" s="484">
        <v>0</v>
      </c>
      <c r="L247" s="484">
        <v>0</v>
      </c>
      <c r="M247" s="484">
        <v>0</v>
      </c>
      <c r="N247" s="484">
        <v>0</v>
      </c>
      <c r="O247" s="484">
        <v>0</v>
      </c>
      <c r="P247" s="484">
        <v>0</v>
      </c>
      <c r="Q247" s="484">
        <v>0</v>
      </c>
      <c r="R247" s="484">
        <v>0</v>
      </c>
      <c r="S247" s="484">
        <v>0</v>
      </c>
      <c r="T247" s="484">
        <v>0</v>
      </c>
      <c r="U247" s="484">
        <v>0</v>
      </c>
      <c r="V247" s="484">
        <v>0</v>
      </c>
      <c r="W247" s="484">
        <v>0</v>
      </c>
      <c r="X247" s="484">
        <v>0</v>
      </c>
      <c r="Y247" s="484">
        <v>0</v>
      </c>
      <c r="Z247" s="484">
        <v>0</v>
      </c>
      <c r="AA247" s="484">
        <v>0</v>
      </c>
      <c r="AB247" s="484">
        <v>0</v>
      </c>
      <c r="AC247" s="484">
        <v>-9.84</v>
      </c>
      <c r="AD247" s="484">
        <v>-2.7839999999999998</v>
      </c>
      <c r="AE247" s="484">
        <v>-7.3529999999999998</v>
      </c>
      <c r="AF247" s="484">
        <v>-21.131</v>
      </c>
      <c r="AG247" s="484">
        <v>-13.032</v>
      </c>
      <c r="AH247" s="484">
        <v>-6.101</v>
      </c>
      <c r="AI247" s="484">
        <v>-12.302</v>
      </c>
      <c r="AJ247" s="484">
        <v>-26.710999999999999</v>
      </c>
      <c r="AK247" s="851">
        <v>-18.187999999999999</v>
      </c>
      <c r="AL247" s="851">
        <v>-18.481999999999999</v>
      </c>
      <c r="AM247" s="851">
        <v>-11.207000000000001</v>
      </c>
      <c r="AN247" s="851">
        <v>-25.582000000000001</v>
      </c>
      <c r="AO247" s="851">
        <v>-19.273</v>
      </c>
      <c r="AP247" s="851">
        <v>-14.516999999999999</v>
      </c>
      <c r="AQ247" s="851">
        <v>-14.231</v>
      </c>
      <c r="AR247" s="1073">
        <v>-26.155000000000001</v>
      </c>
      <c r="AS247" s="1073">
        <v>-22.068000000000001</v>
      </c>
      <c r="AT247" s="1073">
        <v>30.585000000000001</v>
      </c>
      <c r="AU247" s="202"/>
      <c r="AV247" s="202"/>
      <c r="AW247" s="202"/>
      <c r="AX247" s="202"/>
      <c r="AY247" s="202"/>
      <c r="AZ247" s="202"/>
      <c r="BA247" s="202"/>
      <c r="BB247" s="202"/>
      <c r="BC247" s="202"/>
      <c r="BD247" s="202"/>
      <c r="BE247" s="52"/>
      <c r="BF247" s="52"/>
      <c r="BG247" s="52"/>
      <c r="BH247" s="52"/>
      <c r="BI247" s="52"/>
      <c r="BJ247" s="52"/>
      <c r="BK247" s="52"/>
      <c r="BL247" s="52"/>
      <c r="BM247" s="52"/>
      <c r="BN247" s="52"/>
    </row>
    <row r="248" spans="1:66">
      <c r="A248" s="1762" t="s">
        <v>925</v>
      </c>
      <c r="B248" s="475">
        <f t="shared" ref="B248:AT248" si="185">SUM(B249:B251)</f>
        <v>-24.630000000000003</v>
      </c>
      <c r="C248" s="475">
        <f t="shared" si="185"/>
        <v>-27.131</v>
      </c>
      <c r="D248" s="475">
        <f t="shared" si="185"/>
        <v>-32.26</v>
      </c>
      <c r="E248" s="475">
        <f t="shared" si="185"/>
        <v>-61.947000000000003</v>
      </c>
      <c r="F248" s="475">
        <f t="shared" si="185"/>
        <v>-70.581999999999994</v>
      </c>
      <c r="G248" s="475">
        <f t="shared" si="185"/>
        <v>-94.38300000000001</v>
      </c>
      <c r="H248" s="475">
        <f t="shared" si="185"/>
        <v>-97.216999999999999</v>
      </c>
      <c r="I248" s="475">
        <f t="shared" si="185"/>
        <v>-103.108</v>
      </c>
      <c r="J248" s="475">
        <f t="shared" si="185"/>
        <v>-117.38899999999998</v>
      </c>
      <c r="K248" s="475">
        <f t="shared" si="185"/>
        <v>-65.498000000000005</v>
      </c>
      <c r="L248" s="475">
        <f t="shared" si="185"/>
        <v>-48.614000000000004</v>
      </c>
      <c r="M248" s="425">
        <f t="shared" si="185"/>
        <v>-41.668999999999997</v>
      </c>
      <c r="N248" s="475">
        <f t="shared" si="185"/>
        <v>-37.429000000000002</v>
      </c>
      <c r="O248" s="475">
        <f t="shared" si="185"/>
        <v>-27.174999999999997</v>
      </c>
      <c r="P248" s="475">
        <f t="shared" si="185"/>
        <v>-16.582999999999998</v>
      </c>
      <c r="Q248" s="812">
        <f t="shared" si="185"/>
        <v>-37.177</v>
      </c>
      <c r="R248" s="475">
        <f t="shared" si="185"/>
        <v>-23.885000000000002</v>
      </c>
      <c r="S248" s="475">
        <f t="shared" si="185"/>
        <v>-46.04</v>
      </c>
      <c r="T248" s="475">
        <f t="shared" si="185"/>
        <v>-55.809999999999995</v>
      </c>
      <c r="U248" s="812">
        <f t="shared" si="185"/>
        <v>-43.785000000000004</v>
      </c>
      <c r="V248" s="852">
        <f t="shared" si="185"/>
        <v>-54.346999999999994</v>
      </c>
      <c r="W248" s="852">
        <f t="shared" si="185"/>
        <v>-76.682999999999993</v>
      </c>
      <c r="X248" s="852">
        <f t="shared" si="185"/>
        <v>-87.709000000000003</v>
      </c>
      <c r="Y248" s="852">
        <f t="shared" si="185"/>
        <v>-92.428000000000011</v>
      </c>
      <c r="Z248" s="852">
        <f t="shared" si="185"/>
        <v>-52.206999999999994</v>
      </c>
      <c r="AA248" s="852">
        <f t="shared" si="185"/>
        <v>-66.305999999999997</v>
      </c>
      <c r="AB248" s="852">
        <f t="shared" si="185"/>
        <v>-36.389000000000003</v>
      </c>
      <c r="AC248" s="852">
        <f t="shared" si="185"/>
        <v>-74.381999999999991</v>
      </c>
      <c r="AD248" s="852">
        <f t="shared" si="185"/>
        <v>-38.331000000000003</v>
      </c>
      <c r="AE248" s="852">
        <f t="shared" si="185"/>
        <v>-29.830000000000002</v>
      </c>
      <c r="AF248" s="852">
        <f t="shared" si="185"/>
        <v>-50.601999999999997</v>
      </c>
      <c r="AG248" s="852">
        <f t="shared" si="185"/>
        <v>-53.283000000000001</v>
      </c>
      <c r="AH248" s="852">
        <f t="shared" si="185"/>
        <v>-23.074000000000002</v>
      </c>
      <c r="AI248" s="852">
        <f t="shared" si="185"/>
        <v>-24.033999999999999</v>
      </c>
      <c r="AJ248" s="852">
        <f t="shared" si="185"/>
        <v>-26.65</v>
      </c>
      <c r="AK248" s="1383">
        <f t="shared" si="185"/>
        <v>-51.271000000000001</v>
      </c>
      <c r="AL248" s="1383">
        <f t="shared" si="185"/>
        <v>-17.532</v>
      </c>
      <c r="AM248" s="1383">
        <f t="shared" si="185"/>
        <v>-16.879000000000001</v>
      </c>
      <c r="AN248" s="1383">
        <f t="shared" si="185"/>
        <v>-30.068999999999999</v>
      </c>
      <c r="AO248" s="1383">
        <f t="shared" si="185"/>
        <v>-25.195</v>
      </c>
      <c r="AP248" s="1383">
        <f t="shared" si="185"/>
        <v>-17.873000000000001</v>
      </c>
      <c r="AQ248" s="1383">
        <f t="shared" si="185"/>
        <v>-26.603999999999999</v>
      </c>
      <c r="AR248" s="1383">
        <f t="shared" si="185"/>
        <v>-36.588999999999999</v>
      </c>
      <c r="AS248" s="1383">
        <f t="shared" si="185"/>
        <v>-26.760999999999999</v>
      </c>
      <c r="AT248" s="1383">
        <f t="shared" si="185"/>
        <v>10.202</v>
      </c>
      <c r="AU248" s="390"/>
      <c r="AV248" s="390"/>
      <c r="AW248" s="390"/>
      <c r="AX248" s="390"/>
      <c r="AY248" s="390"/>
      <c r="AZ248" s="390"/>
      <c r="BA248" s="390"/>
      <c r="BB248" s="390"/>
      <c r="BC248" s="390"/>
      <c r="BD248" s="390"/>
      <c r="BE248" s="14"/>
      <c r="BF248" s="14"/>
      <c r="BG248" s="14"/>
      <c r="BH248" s="14"/>
      <c r="BI248" s="14"/>
      <c r="BJ248" s="14"/>
      <c r="BK248" s="14"/>
      <c r="BL248" s="14"/>
      <c r="BM248" s="14"/>
      <c r="BN248" s="14"/>
    </row>
    <row r="249" spans="1:66">
      <c r="A249" s="1733" t="s">
        <v>922</v>
      </c>
      <c r="B249" s="484">
        <f>(0.143+13.85)*-1</f>
        <v>-13.993</v>
      </c>
      <c r="C249" s="484">
        <v>-1.99</v>
      </c>
      <c r="D249" s="484">
        <f>(8.519)*-1</f>
        <v>-8.5190000000000001</v>
      </c>
      <c r="E249" s="484">
        <f>(16.792+5.97)*-1</f>
        <v>-22.762</v>
      </c>
      <c r="F249" s="484">
        <f>(20.415)*-1</f>
        <v>-20.414999999999999</v>
      </c>
      <c r="G249" s="484">
        <f>(15.703+0.848)*-1</f>
        <v>-16.550999999999998</v>
      </c>
      <c r="H249" s="484">
        <f>(9.324)*-1</f>
        <v>-9.3239999999999998</v>
      </c>
      <c r="I249" s="484">
        <f>(0.251+18.913)*-1</f>
        <v>-19.164000000000001</v>
      </c>
      <c r="J249" s="484">
        <f>(4.098+21.406)*-1</f>
        <v>-25.503999999999998</v>
      </c>
      <c r="K249" s="484">
        <f>(16.176+1.32)*-1</f>
        <v>-17.495999999999999</v>
      </c>
      <c r="L249" s="484">
        <f>(12.478+5.58)*-1</f>
        <v>-18.058</v>
      </c>
      <c r="M249" s="484">
        <f>(13.099+0.123)*-1</f>
        <v>-13.222</v>
      </c>
      <c r="N249" s="484">
        <f>(15.75+0.306)*-1</f>
        <v>-16.056000000000001</v>
      </c>
      <c r="O249" s="484">
        <f>(18.519)*-1</f>
        <v>-18.518999999999998</v>
      </c>
      <c r="P249" s="484">
        <v>-10.340999999999999</v>
      </c>
      <c r="Q249" s="484">
        <v>-11.43</v>
      </c>
      <c r="R249" s="484">
        <v>-10.178000000000001</v>
      </c>
      <c r="S249" s="484">
        <f>(16.598+0.387)*-1</f>
        <v>-16.984999999999999</v>
      </c>
      <c r="T249" s="484">
        <f>(13.693)*-1</f>
        <v>-13.693</v>
      </c>
      <c r="U249" s="484">
        <v>-12.467000000000001</v>
      </c>
      <c r="V249" s="484">
        <v>-14.028</v>
      </c>
      <c r="W249" s="484">
        <v>-15.324999999999999</v>
      </c>
      <c r="X249" s="484">
        <f>(13.819+1.342)*-1</f>
        <v>-15.161000000000001</v>
      </c>
      <c r="Y249" s="484">
        <f>(1.053+7.076)*-1</f>
        <v>-8.1289999999999996</v>
      </c>
      <c r="Z249" s="484">
        <v>-10.71</v>
      </c>
      <c r="AA249" s="484">
        <v>-13.331</v>
      </c>
      <c r="AB249" s="484">
        <f>(9.657)*-1</f>
        <v>-9.657</v>
      </c>
      <c r="AC249" s="484">
        <v>-3.2189999999999999</v>
      </c>
      <c r="AD249" s="484">
        <v>-5.8070000000000004</v>
      </c>
      <c r="AE249" s="484">
        <v>-1.6479999999999999</v>
      </c>
      <c r="AF249" s="484">
        <v>0</v>
      </c>
      <c r="AG249" s="484">
        <v>0</v>
      </c>
      <c r="AH249" s="484">
        <v>0</v>
      </c>
      <c r="AI249" s="484">
        <v>0</v>
      </c>
      <c r="AJ249" s="484">
        <v>0</v>
      </c>
      <c r="AK249" s="851">
        <v>0</v>
      </c>
      <c r="AL249" s="851">
        <v>0</v>
      </c>
      <c r="AM249" s="851">
        <v>0</v>
      </c>
      <c r="AN249" s="851">
        <v>0</v>
      </c>
      <c r="AO249" s="851">
        <v>0</v>
      </c>
      <c r="AP249" s="851">
        <v>0</v>
      </c>
      <c r="AQ249" s="851"/>
      <c r="AR249" s="1073"/>
      <c r="AS249" s="1073"/>
      <c r="AT249" s="1073"/>
      <c r="AU249" s="408"/>
      <c r="AV249" s="408"/>
      <c r="AW249" s="408"/>
      <c r="AX249" s="408"/>
      <c r="AY249" s="408"/>
      <c r="AZ249" s="408"/>
      <c r="BA249" s="408"/>
      <c r="BB249" s="408"/>
      <c r="BC249" s="408"/>
      <c r="BD249" s="408"/>
      <c r="BE249" s="52"/>
      <c r="BF249" s="52"/>
      <c r="BG249" s="52"/>
      <c r="BH249" s="52"/>
      <c r="BI249" s="52"/>
      <c r="BJ249" s="52"/>
      <c r="BK249" s="52"/>
      <c r="BL249" s="52"/>
      <c r="BM249" s="52"/>
      <c r="BN249" s="52"/>
    </row>
    <row r="250" spans="1:66">
      <c r="A250" s="1733" t="s">
        <v>926</v>
      </c>
      <c r="B250" s="484">
        <f>(9.334+1.303)*-1</f>
        <v>-10.637</v>
      </c>
      <c r="C250" s="484">
        <f>(6.28+18.861)*-1</f>
        <v>-25.141000000000002</v>
      </c>
      <c r="D250" s="484">
        <f>(13.984+9.757)*-1</f>
        <v>-23.741</v>
      </c>
      <c r="E250" s="484">
        <f>(14.895+24.29)*-1</f>
        <v>-39.185000000000002</v>
      </c>
      <c r="F250" s="484">
        <f>(6.134+44.033)*-1</f>
        <v>-50.167000000000002</v>
      </c>
      <c r="G250" s="484">
        <f>(1.162+76.67)*-1</f>
        <v>-77.832000000000008</v>
      </c>
      <c r="H250" s="484">
        <f>(3.494+84.399)*-1</f>
        <v>-87.893000000000001</v>
      </c>
      <c r="I250" s="484">
        <f>(9.673+74.271)*-1</f>
        <v>-83.944000000000003</v>
      </c>
      <c r="J250" s="484">
        <f>(3.374+88.511)*-1</f>
        <v>-91.884999999999991</v>
      </c>
      <c r="K250" s="484">
        <v>-48.002000000000002</v>
      </c>
      <c r="L250" s="484">
        <f>(30.556)*-1</f>
        <v>-30.556000000000001</v>
      </c>
      <c r="M250" s="484">
        <f>(28.447)*-1</f>
        <v>-28.446999999999999</v>
      </c>
      <c r="N250" s="484">
        <f>(0.496+20.877)*-1</f>
        <v>-21.372999999999998</v>
      </c>
      <c r="O250" s="484">
        <f>(8.656)*-1</f>
        <v>-8.6560000000000006</v>
      </c>
      <c r="P250" s="484">
        <f>(4.163+2.079)*-1</f>
        <v>-6.2420000000000009</v>
      </c>
      <c r="Q250" s="484">
        <f>(19.54+6.207)*-1</f>
        <v>-25.747</v>
      </c>
      <c r="R250" s="484">
        <f>(5.323+8.384)*-1</f>
        <v>-13.707000000000001</v>
      </c>
      <c r="S250" s="484">
        <f>(24.342+4.713)*-1</f>
        <v>-29.055</v>
      </c>
      <c r="T250" s="484">
        <f>(29.208+12.909)*-1</f>
        <v>-42.116999999999997</v>
      </c>
      <c r="U250" s="484">
        <f>(12.975+13.777)*-1</f>
        <v>-26.751999999999999</v>
      </c>
      <c r="V250" s="484">
        <f>(25.351+7.69)*-1</f>
        <v>-33.040999999999997</v>
      </c>
      <c r="W250" s="484">
        <f>(45.535+4.585)*-1</f>
        <v>-50.12</v>
      </c>
      <c r="X250" s="484">
        <f>(47.844+6.388+4.05)*-1</f>
        <v>-58.281999999999996</v>
      </c>
      <c r="Y250" s="484">
        <f>(45.447+22.13+7.474)*-1</f>
        <v>-75.051000000000002</v>
      </c>
      <c r="Z250" s="484">
        <f>(33.079+2.699+1.315)*-1</f>
        <v>-37.092999999999996</v>
      </c>
      <c r="AA250" s="484">
        <f>(42.307+9.305+0.596)*-1</f>
        <v>-52.207999999999998</v>
      </c>
      <c r="AB250" s="484">
        <f>(8.196+14.405+1.01)*-1</f>
        <v>-23.611000000000001</v>
      </c>
      <c r="AC250" s="484">
        <v>-68.156999999999996</v>
      </c>
      <c r="AD250" s="484">
        <v>-31.338999999999999</v>
      </c>
      <c r="AE250" s="484">
        <v>-27.245000000000001</v>
      </c>
      <c r="AF250" s="484">
        <v>-50.601999999999997</v>
      </c>
      <c r="AG250" s="484">
        <v>-53.283000000000001</v>
      </c>
      <c r="AH250" s="484">
        <v>-23.074000000000002</v>
      </c>
      <c r="AI250" s="484">
        <v>-24.033999999999999</v>
      </c>
      <c r="AJ250" s="484">
        <v>-26.65</v>
      </c>
      <c r="AK250" s="851">
        <v>-51.271000000000001</v>
      </c>
      <c r="AL250" s="851">
        <v>-17.532</v>
      </c>
      <c r="AM250" s="851">
        <v>-16.879000000000001</v>
      </c>
      <c r="AN250" s="851">
        <v>-30.068999999999999</v>
      </c>
      <c r="AO250" s="851">
        <v>-25.195</v>
      </c>
      <c r="AP250" s="851">
        <v>-17.873000000000001</v>
      </c>
      <c r="AQ250" s="851">
        <v>-26.603999999999999</v>
      </c>
      <c r="AR250" s="1073">
        <v>-36.588999999999999</v>
      </c>
      <c r="AS250" s="1073">
        <v>-26.760999999999999</v>
      </c>
      <c r="AT250" s="1073">
        <v>10.202</v>
      </c>
      <c r="AU250" s="52"/>
      <c r="AV250" s="52"/>
      <c r="AW250" s="52"/>
      <c r="AX250" s="52"/>
      <c r="AY250" s="52"/>
      <c r="AZ250" s="52"/>
      <c r="BA250" s="52"/>
      <c r="BB250" s="52"/>
      <c r="BC250" s="52"/>
      <c r="BD250" s="52"/>
      <c r="BE250" s="52"/>
      <c r="BF250" s="52"/>
      <c r="BG250" s="52"/>
      <c r="BH250" s="52"/>
      <c r="BI250" s="52"/>
      <c r="BJ250" s="52"/>
      <c r="BK250" s="52"/>
      <c r="BL250" s="52"/>
      <c r="BM250" s="52"/>
      <c r="BN250" s="52"/>
    </row>
    <row r="251" spans="1:66">
      <c r="A251" s="1733" t="s">
        <v>82</v>
      </c>
      <c r="B251" s="484">
        <v>0</v>
      </c>
      <c r="C251" s="484">
        <v>0</v>
      </c>
      <c r="D251" s="484">
        <v>0</v>
      </c>
      <c r="E251" s="484">
        <v>0</v>
      </c>
      <c r="F251" s="484">
        <v>0</v>
      </c>
      <c r="G251" s="484">
        <v>0</v>
      </c>
      <c r="H251" s="484">
        <v>0</v>
      </c>
      <c r="I251" s="484">
        <v>0</v>
      </c>
      <c r="J251" s="484">
        <v>0</v>
      </c>
      <c r="K251" s="484">
        <v>0</v>
      </c>
      <c r="L251" s="484">
        <v>0</v>
      </c>
      <c r="M251" s="484">
        <v>0</v>
      </c>
      <c r="N251" s="484">
        <v>0</v>
      </c>
      <c r="O251" s="484">
        <v>0</v>
      </c>
      <c r="P251" s="484">
        <v>0</v>
      </c>
      <c r="Q251" s="484">
        <v>0</v>
      </c>
      <c r="R251" s="484">
        <v>0</v>
      </c>
      <c r="S251" s="484">
        <v>0</v>
      </c>
      <c r="T251" s="484">
        <v>0</v>
      </c>
      <c r="U251" s="484">
        <v>-4.5659999999999998</v>
      </c>
      <c r="V251" s="484">
        <v>-7.2779999999999996</v>
      </c>
      <c r="W251" s="484">
        <v>-11.238</v>
      </c>
      <c r="X251" s="484">
        <f>(12.226+2.04)*-1</f>
        <v>-14.266000000000002</v>
      </c>
      <c r="Y251" s="484">
        <f>(5.967+3.281)*-1</f>
        <v>-9.2479999999999993</v>
      </c>
      <c r="Z251" s="484">
        <v>-4.4039999999999999</v>
      </c>
      <c r="AA251" s="484">
        <f>(0.767)*-1</f>
        <v>-0.76700000000000002</v>
      </c>
      <c r="AB251" s="484">
        <v>-3.121</v>
      </c>
      <c r="AC251" s="484">
        <v>-3.0059999999999998</v>
      </c>
      <c r="AD251" s="484">
        <v>-1.1850000000000001</v>
      </c>
      <c r="AE251" s="484">
        <v>-0.93700000000000006</v>
      </c>
      <c r="AF251" s="484">
        <v>0</v>
      </c>
      <c r="AG251" s="484">
        <v>0</v>
      </c>
      <c r="AH251" s="484">
        <v>0</v>
      </c>
      <c r="AI251" s="484">
        <v>0</v>
      </c>
      <c r="AJ251" s="484">
        <v>0</v>
      </c>
      <c r="AK251" s="851">
        <v>0</v>
      </c>
      <c r="AL251" s="851">
        <v>0</v>
      </c>
      <c r="AM251" s="851">
        <v>0</v>
      </c>
      <c r="AN251" s="851">
        <v>0</v>
      </c>
      <c r="AO251" s="851">
        <v>0</v>
      </c>
      <c r="AP251" s="851">
        <v>0</v>
      </c>
      <c r="AQ251" s="851"/>
      <c r="AR251" s="1073"/>
      <c r="AS251" s="1073"/>
      <c r="AT251" s="52"/>
      <c r="AU251" s="52"/>
      <c r="AV251" s="52"/>
      <c r="AW251" s="52"/>
      <c r="AX251" s="52"/>
      <c r="AY251" s="52"/>
      <c r="AZ251" s="52"/>
      <c r="BA251" s="52"/>
      <c r="BB251" s="52"/>
      <c r="BC251" s="52"/>
      <c r="BD251" s="52"/>
      <c r="BE251" s="52"/>
      <c r="BF251" s="52"/>
      <c r="BG251" s="52"/>
      <c r="BH251" s="52"/>
      <c r="BI251" s="52"/>
      <c r="BJ251" s="52"/>
      <c r="BK251" s="52"/>
      <c r="BL251" s="52"/>
      <c r="BM251" s="52"/>
      <c r="BN251" s="52"/>
    </row>
    <row r="252" spans="1:66">
      <c r="A252" s="1736"/>
      <c r="B252" s="52"/>
      <c r="C252" s="52"/>
      <c r="D252" s="52"/>
      <c r="E252" s="52"/>
      <c r="F252" s="52"/>
      <c r="G252" s="52"/>
      <c r="H252" s="52"/>
      <c r="I252" s="52"/>
      <c r="J252" s="52"/>
      <c r="K252" s="52"/>
      <c r="L252" s="52"/>
      <c r="M252" s="52"/>
      <c r="N252" s="52"/>
      <c r="O252" s="52"/>
      <c r="P252" s="52"/>
      <c r="Q252" s="52"/>
      <c r="R252" s="52"/>
      <c r="S252" s="52"/>
      <c r="T252" s="52"/>
      <c r="U252" s="401"/>
      <c r="V252" s="52"/>
      <c r="W252" s="52"/>
      <c r="X252" s="52"/>
      <c r="Y252" s="52"/>
      <c r="Z252" s="52"/>
      <c r="AA252" s="52"/>
      <c r="AB252" s="52"/>
      <c r="AC252" s="52"/>
      <c r="AD252" s="52"/>
      <c r="AE252" s="52"/>
      <c r="AF252" s="52"/>
      <c r="AG252" s="52"/>
      <c r="AH252" s="52"/>
      <c r="AI252" s="52"/>
      <c r="AJ252" s="52"/>
      <c r="AK252" s="260"/>
      <c r="AL252" s="1401"/>
      <c r="AM252" s="52"/>
      <c r="AN252" s="1401"/>
      <c r="AO252" s="1401"/>
      <c r="AP252" s="1401"/>
      <c r="AQ252" s="1401"/>
      <c r="AR252" s="1401"/>
      <c r="AS252" s="1401"/>
      <c r="AT252" s="52"/>
      <c r="AU252" s="52"/>
      <c r="AV252" s="52"/>
      <c r="AW252" s="52"/>
      <c r="AX252" s="52"/>
      <c r="AY252" s="52"/>
      <c r="AZ252" s="52"/>
      <c r="BA252" s="52"/>
      <c r="BB252" s="52"/>
      <c r="BC252" s="52"/>
      <c r="BD252" s="52"/>
      <c r="BE252" s="52"/>
      <c r="BF252" s="52"/>
      <c r="BG252" s="52"/>
      <c r="BH252" s="52"/>
      <c r="BI252" s="52"/>
      <c r="BJ252" s="52"/>
      <c r="BK252" s="52"/>
      <c r="BL252" s="52"/>
      <c r="BM252" s="52"/>
      <c r="BN252" s="52"/>
    </row>
    <row r="253" spans="1:66">
      <c r="A253" s="1736" t="s">
        <v>68</v>
      </c>
      <c r="B253" s="52"/>
      <c r="C253" s="52"/>
      <c r="D253" s="52"/>
      <c r="E253" s="52"/>
      <c r="F253" s="52"/>
      <c r="G253" s="52"/>
      <c r="H253" s="52"/>
      <c r="I253" s="52"/>
      <c r="J253" s="52"/>
      <c r="K253" s="52"/>
      <c r="L253" s="52"/>
      <c r="M253" s="52"/>
      <c r="N253" s="52"/>
      <c r="O253" s="52"/>
      <c r="P253" s="52"/>
      <c r="Q253" s="52"/>
      <c r="R253" s="929">
        <v>0</v>
      </c>
      <c r="S253" s="929">
        <v>0</v>
      </c>
      <c r="T253" s="929">
        <v>0</v>
      </c>
      <c r="U253" s="929">
        <v>-34.865000000000002</v>
      </c>
      <c r="V253" s="929">
        <v>0</v>
      </c>
      <c r="W253" s="929">
        <v>0</v>
      </c>
      <c r="X253" s="929">
        <v>0</v>
      </c>
      <c r="Y253" s="929">
        <v>-30.242000000000001</v>
      </c>
      <c r="Z253" s="929">
        <v>0</v>
      </c>
      <c r="AA253" s="929">
        <v>0</v>
      </c>
      <c r="AB253" s="929">
        <v>0</v>
      </c>
      <c r="AC253" s="929">
        <v>-36.084000000000003</v>
      </c>
      <c r="AD253" s="929">
        <v>0</v>
      </c>
      <c r="AE253" s="929">
        <v>0</v>
      </c>
      <c r="AF253" s="929">
        <v>0</v>
      </c>
      <c r="AG253" s="929">
        <v>-30</v>
      </c>
      <c r="AH253" s="929">
        <v>0</v>
      </c>
      <c r="AI253" s="929">
        <v>0</v>
      </c>
      <c r="AJ253" s="929">
        <v>0</v>
      </c>
      <c r="AK253" s="1362" t="s">
        <v>963</v>
      </c>
      <c r="AL253" s="929">
        <v>0</v>
      </c>
      <c r="AM253" s="929">
        <v>0</v>
      </c>
      <c r="AN253" s="929">
        <v>0</v>
      </c>
      <c r="AO253" s="929">
        <v>0</v>
      </c>
      <c r="AP253" s="929">
        <v>0</v>
      </c>
      <c r="AQ253" s="929">
        <v>0</v>
      </c>
      <c r="AR253" s="929">
        <v>0</v>
      </c>
      <c r="AS253" s="929">
        <v>0</v>
      </c>
      <c r="AT253" s="929">
        <v>0</v>
      </c>
      <c r="AU253" s="52"/>
      <c r="AV253" s="52"/>
      <c r="AW253" s="52"/>
      <c r="AX253" s="52"/>
      <c r="AY253" s="52"/>
      <c r="AZ253" s="52"/>
      <c r="BA253" s="52"/>
      <c r="BB253" s="52"/>
      <c r="BC253" s="52"/>
      <c r="BD253" s="52"/>
      <c r="BE253" s="52"/>
      <c r="BF253" s="52"/>
      <c r="BG253" s="52"/>
      <c r="BH253" s="52"/>
      <c r="BI253" s="52"/>
      <c r="BJ253" s="52"/>
      <c r="BK253" s="52"/>
      <c r="BL253" s="52"/>
      <c r="BM253" s="52"/>
      <c r="BN253" s="52"/>
    </row>
    <row r="254" spans="1:66">
      <c r="A254" s="1736" t="s">
        <v>1006</v>
      </c>
      <c r="B254" s="52"/>
      <c r="C254" s="52"/>
      <c r="D254" s="52"/>
      <c r="E254" s="52"/>
      <c r="F254" s="52"/>
      <c r="G254" s="52"/>
      <c r="H254" s="52"/>
      <c r="I254" s="52"/>
      <c r="J254" s="52"/>
      <c r="K254" s="52"/>
      <c r="L254" s="52"/>
      <c r="M254" s="52"/>
      <c r="N254" s="52"/>
      <c r="O254" s="52"/>
      <c r="P254" s="52"/>
      <c r="Q254" s="52"/>
      <c r="R254" s="930">
        <v>0</v>
      </c>
      <c r="S254" s="930">
        <v>0</v>
      </c>
      <c r="T254" s="930">
        <v>0</v>
      </c>
      <c r="U254" s="930">
        <v>0.27410000000000001</v>
      </c>
      <c r="V254" s="930">
        <v>0</v>
      </c>
      <c r="W254" s="930">
        <v>0</v>
      </c>
      <c r="X254" s="930">
        <v>0</v>
      </c>
      <c r="Y254" s="930">
        <v>0.26795999999999998</v>
      </c>
      <c r="Z254" s="930">
        <v>0</v>
      </c>
      <c r="AA254" s="930">
        <v>0</v>
      </c>
      <c r="AB254" s="930">
        <v>0</v>
      </c>
      <c r="AC254" s="930">
        <v>0.32134299999999999</v>
      </c>
      <c r="AD254" s="930">
        <v>0</v>
      </c>
      <c r="AE254" s="930">
        <v>0</v>
      </c>
      <c r="AF254" s="930">
        <v>0</v>
      </c>
      <c r="AG254" s="930">
        <v>0.27</v>
      </c>
      <c r="AH254" s="930">
        <v>0</v>
      </c>
      <c r="AI254" s="930">
        <v>0</v>
      </c>
      <c r="AJ254" s="930">
        <v>0.35949999999999999</v>
      </c>
      <c r="AK254" s="1385" t="s">
        <v>963</v>
      </c>
      <c r="AL254" s="930">
        <v>0</v>
      </c>
      <c r="AM254" s="930">
        <v>0</v>
      </c>
      <c r="AN254" s="930">
        <v>0</v>
      </c>
      <c r="AO254" s="930">
        <v>0</v>
      </c>
      <c r="AP254" s="930">
        <v>0</v>
      </c>
      <c r="AQ254" s="930">
        <v>0</v>
      </c>
      <c r="AR254" s="930">
        <v>0</v>
      </c>
      <c r="AS254" s="930">
        <v>0</v>
      </c>
      <c r="AT254" s="930">
        <v>0</v>
      </c>
      <c r="AU254" s="52"/>
      <c r="AV254" s="52"/>
      <c r="AW254" s="52"/>
      <c r="AX254" s="52"/>
      <c r="AY254" s="52"/>
      <c r="AZ254" s="52"/>
      <c r="BA254" s="52"/>
      <c r="BB254" s="52"/>
      <c r="BC254" s="52"/>
      <c r="BD254" s="52"/>
      <c r="BE254" s="52"/>
      <c r="BF254" s="52"/>
      <c r="BG254" s="52"/>
      <c r="BH254" s="52"/>
      <c r="BI254" s="52"/>
      <c r="BJ254" s="52"/>
      <c r="BK254" s="52"/>
      <c r="BL254" s="52"/>
      <c r="BM254" s="52"/>
      <c r="BN254" s="52"/>
    </row>
    <row r="255" spans="1:66">
      <c r="A255" s="1736"/>
      <c r="B255" s="52"/>
      <c r="C255" s="52"/>
      <c r="D255" s="52"/>
      <c r="E255" s="52"/>
      <c r="F255" s="52"/>
      <c r="G255" s="52"/>
      <c r="H255" s="52"/>
      <c r="I255" s="52"/>
      <c r="J255" s="260"/>
      <c r="K255" s="52"/>
      <c r="L255" s="52"/>
      <c r="M255" s="196"/>
      <c r="N255" s="393"/>
      <c r="O255" s="52"/>
      <c r="P255" s="52"/>
      <c r="Q255" s="52"/>
      <c r="R255" s="52"/>
      <c r="S255" s="52"/>
      <c r="T255" s="52"/>
      <c r="U255" s="52"/>
      <c r="V255" s="52"/>
      <c r="W255" s="52"/>
      <c r="X255" s="52"/>
      <c r="Y255" s="52"/>
      <c r="Z255" s="52"/>
      <c r="AA255" s="52"/>
      <c r="AB255" s="52"/>
      <c r="AC255" s="346"/>
      <c r="AD255" s="346"/>
      <c r="AE255" s="346"/>
      <c r="AF255" s="346"/>
      <c r="AG255" s="346"/>
      <c r="AH255" s="346"/>
      <c r="AI255" s="346"/>
      <c r="AJ255" s="346"/>
      <c r="AK255" s="1074"/>
      <c r="AL255" s="1401"/>
      <c r="AM255" s="52"/>
      <c r="AN255" s="1401"/>
      <c r="AO255" s="1401"/>
      <c r="AP255" s="1401"/>
      <c r="AQ255" s="1401"/>
      <c r="AR255" s="1401"/>
      <c r="AS255" s="1401"/>
      <c r="AT255" s="52"/>
      <c r="AU255" s="52"/>
      <c r="AV255" s="52"/>
      <c r="AW255" s="52"/>
      <c r="AX255" s="52"/>
      <c r="AY255" s="52"/>
      <c r="AZ255" s="52"/>
      <c r="BA255" s="52"/>
      <c r="BB255" s="52"/>
      <c r="BC255" s="52"/>
      <c r="BD255" s="52"/>
      <c r="BE255" s="52"/>
      <c r="BF255" s="52"/>
      <c r="BG255" s="52"/>
      <c r="BH255" s="52"/>
      <c r="BI255" s="52"/>
      <c r="BJ255" s="52"/>
      <c r="BK255" s="52"/>
      <c r="BL255" s="52"/>
      <c r="BM255" s="52"/>
      <c r="BN255" s="52"/>
    </row>
    <row r="256" spans="1:66">
      <c r="A256" s="1736" t="s">
        <v>1203</v>
      </c>
      <c r="B256" s="851" t="s">
        <v>963</v>
      </c>
      <c r="C256" s="851" t="s">
        <v>963</v>
      </c>
      <c r="D256" s="851" t="s">
        <v>963</v>
      </c>
      <c r="E256" s="851" t="s">
        <v>963</v>
      </c>
      <c r="F256" s="851" t="s">
        <v>963</v>
      </c>
      <c r="G256" s="851" t="s">
        <v>963</v>
      </c>
      <c r="H256" s="851" t="s">
        <v>963</v>
      </c>
      <c r="I256" s="851" t="s">
        <v>963</v>
      </c>
      <c r="J256" s="851" t="s">
        <v>963</v>
      </c>
      <c r="K256" s="851" t="s">
        <v>963</v>
      </c>
      <c r="L256" s="851" t="s">
        <v>963</v>
      </c>
      <c r="M256" s="851" t="s">
        <v>963</v>
      </c>
      <c r="N256" s="346">
        <v>112.861</v>
      </c>
      <c r="O256" s="346">
        <v>112.861</v>
      </c>
      <c r="P256" s="346">
        <v>112.861</v>
      </c>
      <c r="Q256" s="346">
        <v>112.861</v>
      </c>
      <c r="R256" s="346">
        <v>112.861</v>
      </c>
      <c r="S256" s="346">
        <v>112.861</v>
      </c>
      <c r="T256" s="346">
        <v>112.861</v>
      </c>
      <c r="U256" s="346">
        <v>112.861</v>
      </c>
      <c r="V256" s="346">
        <v>112.861</v>
      </c>
      <c r="W256" s="346">
        <v>112.861</v>
      </c>
      <c r="X256" s="346">
        <v>112.834</v>
      </c>
      <c r="Y256" s="346">
        <v>112.721</v>
      </c>
      <c r="Z256" s="346">
        <v>112.249</v>
      </c>
      <c r="AA256" s="346">
        <v>112.221</v>
      </c>
      <c r="AB256" s="346">
        <v>112.21299999999999</v>
      </c>
      <c r="AC256" s="346">
        <v>112.217</v>
      </c>
      <c r="AD256" s="346">
        <v>112.233</v>
      </c>
      <c r="AE256" s="346">
        <v>112.233</v>
      </c>
      <c r="AF256" s="346">
        <v>112.23</v>
      </c>
      <c r="AG256" s="346">
        <v>112.24299999999999</v>
      </c>
      <c r="AH256" s="346">
        <v>112.35899999999999</v>
      </c>
      <c r="AI256" s="346">
        <v>112.387</v>
      </c>
      <c r="AJ256" s="346">
        <v>112.63500000000001</v>
      </c>
      <c r="AK256" s="1391">
        <f>'Annual historicals'!P106</f>
        <v>337.71</v>
      </c>
      <c r="AL256" s="1432">
        <v>112.93300000000001</v>
      </c>
      <c r="AM256" s="1432">
        <v>112.99299999999999</v>
      </c>
      <c r="AN256" s="1432">
        <v>113.001</v>
      </c>
      <c r="AO256" s="1391">
        <f>'Annual historicals'!Q106</f>
        <v>338.928</v>
      </c>
      <c r="AP256" s="1391">
        <v>337.89</v>
      </c>
      <c r="AQ256" s="1391">
        <v>112.511</v>
      </c>
      <c r="AR256" s="1391">
        <v>337.255</v>
      </c>
      <c r="AS256" s="1391">
        <v>337.32</v>
      </c>
      <c r="AT256" s="1391">
        <v>334.55599999999998</v>
      </c>
      <c r="AU256" s="52"/>
      <c r="AV256" s="52"/>
      <c r="AW256" s="52"/>
      <c r="AX256" s="52"/>
      <c r="AY256" s="52"/>
      <c r="AZ256" s="52"/>
      <c r="BA256" s="52"/>
      <c r="BB256" s="52"/>
      <c r="BC256" s="52"/>
      <c r="BD256" s="52"/>
      <c r="BE256" s="52"/>
      <c r="BF256" s="52"/>
      <c r="BG256" s="52"/>
      <c r="BH256" s="52"/>
      <c r="BI256" s="52"/>
      <c r="BJ256" s="52"/>
      <c r="BK256" s="52"/>
      <c r="BL256" s="52"/>
      <c r="BM256" s="52"/>
      <c r="BN256" s="52"/>
    </row>
    <row r="257" spans="1:66">
      <c r="A257" s="1736" t="s">
        <v>1204</v>
      </c>
      <c r="B257" s="851" t="s">
        <v>963</v>
      </c>
      <c r="C257" s="851" t="s">
        <v>963</v>
      </c>
      <c r="D257" s="851" t="s">
        <v>963</v>
      </c>
      <c r="E257" s="851" t="s">
        <v>963</v>
      </c>
      <c r="F257" s="851" t="s">
        <v>963</v>
      </c>
      <c r="G257" s="851" t="s">
        <v>963</v>
      </c>
      <c r="H257" s="851" t="s">
        <v>963</v>
      </c>
      <c r="I257" s="851" t="s">
        <v>963</v>
      </c>
      <c r="J257" s="851" t="s">
        <v>963</v>
      </c>
      <c r="K257" s="851" t="s">
        <v>963</v>
      </c>
      <c r="L257" s="851" t="s">
        <v>963</v>
      </c>
      <c r="M257" s="851" t="s">
        <v>963</v>
      </c>
      <c r="N257" s="788">
        <f t="shared" ref="N257:U257" si="186">N256</f>
        <v>112.861</v>
      </c>
      <c r="O257" s="788">
        <f t="shared" si="186"/>
        <v>112.861</v>
      </c>
      <c r="P257" s="788">
        <f t="shared" si="186"/>
        <v>112.861</v>
      </c>
      <c r="Q257" s="788">
        <f t="shared" si="186"/>
        <v>112.861</v>
      </c>
      <c r="R257" s="788">
        <f t="shared" si="186"/>
        <v>112.861</v>
      </c>
      <c r="S257" s="788">
        <f t="shared" si="186"/>
        <v>112.861</v>
      </c>
      <c r="T257" s="788">
        <f t="shared" si="186"/>
        <v>112.861</v>
      </c>
      <c r="U257" s="788">
        <f t="shared" si="186"/>
        <v>112.861</v>
      </c>
      <c r="V257" s="346">
        <v>112.861</v>
      </c>
      <c r="W257" s="346">
        <v>112.861</v>
      </c>
      <c r="X257" s="346">
        <v>112.834</v>
      </c>
      <c r="Y257" s="346">
        <v>112.834</v>
      </c>
      <c r="Z257" s="346">
        <v>112.322</v>
      </c>
      <c r="AA257" s="346">
        <v>112.246</v>
      </c>
      <c r="AB257" s="346">
        <v>112.316</v>
      </c>
      <c r="AC257" s="346">
        <v>112.367</v>
      </c>
      <c r="AD257" s="346">
        <v>112.542</v>
      </c>
      <c r="AE257" s="346">
        <v>112.514</v>
      </c>
      <c r="AF257" s="346">
        <v>112.452</v>
      </c>
      <c r="AG257" s="346">
        <v>112.485</v>
      </c>
      <c r="AH257" s="346">
        <v>112.833</v>
      </c>
      <c r="AI257" s="346">
        <v>112.92100000000001</v>
      </c>
      <c r="AJ257" s="346">
        <v>113.10599999999999</v>
      </c>
      <c r="AK257" s="1391">
        <f>'Annual historicals'!P107</f>
        <v>338.58</v>
      </c>
      <c r="AL257" s="1432">
        <v>113.17100000000001</v>
      </c>
      <c r="AM257" s="1432">
        <v>113.15600000000001</v>
      </c>
      <c r="AN257" s="1432">
        <v>113.199</v>
      </c>
      <c r="AO257" s="1391">
        <f>'Annual historicals'!Q107</f>
        <v>339.60599999999999</v>
      </c>
      <c r="AP257" s="1391">
        <v>338.76600000000002</v>
      </c>
      <c r="AQ257" s="1391">
        <v>112.81</v>
      </c>
      <c r="AR257" s="1391">
        <v>338.33100000000002</v>
      </c>
      <c r="AS257" s="1391">
        <v>338.05900000000003</v>
      </c>
      <c r="AT257" s="1391">
        <v>335.42500000000001</v>
      </c>
      <c r="AU257" s="52"/>
      <c r="AV257" s="52"/>
      <c r="AW257" s="52"/>
      <c r="AX257" s="52"/>
      <c r="AY257" s="52"/>
      <c r="AZ257" s="52"/>
      <c r="BA257" s="52"/>
      <c r="BB257" s="52"/>
      <c r="BC257" s="52"/>
      <c r="BD257" s="52"/>
      <c r="BE257" s="52"/>
      <c r="BF257" s="52"/>
      <c r="BG257" s="52"/>
      <c r="BH257" s="52"/>
      <c r="BI257" s="52"/>
      <c r="BJ257" s="52"/>
      <c r="BK257" s="52"/>
      <c r="BL257" s="52"/>
      <c r="BM257" s="52"/>
      <c r="BN257" s="52"/>
    </row>
    <row r="258" spans="1:66">
      <c r="A258" s="1736"/>
      <c r="B258" s="52"/>
      <c r="C258" s="52"/>
      <c r="D258" s="52"/>
      <c r="E258" s="52"/>
      <c r="F258" s="52"/>
      <c r="G258" s="52"/>
      <c r="H258" s="52"/>
      <c r="I258" s="52"/>
      <c r="J258" s="52"/>
      <c r="K258" s="52"/>
      <c r="L258" s="52"/>
      <c r="M258" s="196"/>
      <c r="N258" s="393"/>
      <c r="O258" s="52"/>
      <c r="P258" s="52"/>
      <c r="Q258" s="52"/>
      <c r="R258" s="52"/>
      <c r="S258" s="52"/>
      <c r="T258" s="52"/>
      <c r="U258" s="52"/>
      <c r="V258" s="52"/>
      <c r="W258" s="52"/>
      <c r="X258" s="52"/>
      <c r="Y258" s="52"/>
      <c r="Z258" s="52"/>
      <c r="AA258" s="52"/>
      <c r="AB258" s="52"/>
      <c r="AC258" s="52"/>
      <c r="AD258" s="52"/>
      <c r="AE258" s="52"/>
      <c r="AF258" s="52"/>
      <c r="AG258" s="52"/>
      <c r="AH258" s="52"/>
      <c r="AI258" s="52"/>
      <c r="AJ258" s="52"/>
      <c r="AK258" s="260"/>
      <c r="AL258" s="1401"/>
      <c r="AM258" s="52"/>
      <c r="AN258" s="1401"/>
      <c r="AO258" s="1401"/>
      <c r="AP258" s="1401"/>
      <c r="AQ258" s="1401"/>
      <c r="AR258" s="1401"/>
      <c r="AS258" s="1401"/>
      <c r="AT258" s="52"/>
      <c r="AU258" s="52"/>
      <c r="AV258" s="52"/>
      <c r="AW258" s="52"/>
      <c r="AX258" s="52"/>
      <c r="AY258" s="52"/>
      <c r="AZ258" s="52"/>
      <c r="BA258" s="52"/>
      <c r="BB258" s="52"/>
      <c r="BC258" s="52"/>
      <c r="BD258" s="52"/>
      <c r="BE258" s="52"/>
      <c r="BF258" s="52"/>
      <c r="BG258" s="52"/>
      <c r="BH258" s="52"/>
      <c r="BI258" s="52"/>
      <c r="BJ258" s="52"/>
      <c r="BK258" s="52"/>
      <c r="BL258" s="52"/>
      <c r="BM258" s="52"/>
      <c r="BN258" s="52"/>
    </row>
    <row r="259" spans="1:66">
      <c r="A259" s="26" t="s">
        <v>201</v>
      </c>
      <c r="B259" s="27"/>
      <c r="C259" s="27"/>
      <c r="D259" s="27"/>
      <c r="E259" s="27"/>
      <c r="F259" s="27"/>
      <c r="G259" s="27"/>
      <c r="H259" s="27"/>
      <c r="I259" s="27"/>
      <c r="J259" s="27"/>
      <c r="K259" s="27"/>
      <c r="L259" s="27"/>
      <c r="M259" s="27"/>
      <c r="N259" s="27"/>
      <c r="O259" s="27"/>
      <c r="P259" s="27"/>
      <c r="Q259" s="27"/>
      <c r="R259" s="27"/>
      <c r="S259" s="27"/>
      <c r="T259" s="27"/>
      <c r="U259" s="27"/>
      <c r="V259" s="27"/>
      <c r="W259" s="27"/>
      <c r="X259" s="27"/>
      <c r="Y259" s="27"/>
      <c r="Z259" s="27"/>
      <c r="AA259" s="27"/>
      <c r="AB259" s="27"/>
      <c r="AC259" s="27"/>
      <c r="AD259" s="27"/>
      <c r="AE259" s="27"/>
      <c r="AF259" s="27"/>
      <c r="AG259" s="27"/>
      <c r="AH259" s="27"/>
      <c r="AI259" s="27"/>
      <c r="AJ259" s="27"/>
      <c r="AK259" s="1386"/>
      <c r="AL259" s="27"/>
      <c r="AM259" s="27"/>
      <c r="AN259" s="27"/>
      <c r="AO259" s="27"/>
      <c r="AP259" s="27"/>
      <c r="AQ259" s="27"/>
      <c r="AR259" s="27"/>
      <c r="AS259" s="27"/>
      <c r="AT259" s="27"/>
      <c r="AU259" s="27"/>
      <c r="AV259" s="27"/>
      <c r="AW259" s="27"/>
      <c r="AX259" s="27"/>
      <c r="AY259" s="27"/>
      <c r="AZ259" s="27"/>
      <c r="BA259" s="27"/>
      <c r="BB259" s="27"/>
      <c r="BC259" s="27"/>
      <c r="BD259" s="27"/>
      <c r="BE259" s="27"/>
      <c r="BF259" s="27"/>
      <c r="BG259" s="27"/>
      <c r="BH259" s="27"/>
      <c r="BI259" s="28" t="s">
        <v>362</v>
      </c>
      <c r="BJ259" s="52"/>
      <c r="BK259" s="52"/>
      <c r="BL259" s="52"/>
      <c r="BM259" s="52"/>
      <c r="BN259" s="52"/>
    </row>
    <row r="260" spans="1:66">
      <c r="A260" s="52"/>
      <c r="B260" s="52"/>
      <c r="C260" s="52"/>
      <c r="D260" s="52"/>
      <c r="E260" s="52"/>
      <c r="F260" s="52"/>
      <c r="G260" s="52"/>
      <c r="H260" s="52"/>
      <c r="I260" s="52"/>
      <c r="J260" s="52"/>
      <c r="K260" s="52"/>
      <c r="L260" s="52"/>
      <c r="M260" s="52"/>
      <c r="N260" s="52"/>
      <c r="O260" s="52"/>
      <c r="P260" s="52"/>
      <c r="Q260" s="52"/>
      <c r="R260" s="52"/>
      <c r="S260" s="52"/>
      <c r="T260" s="52"/>
      <c r="U260" s="52"/>
      <c r="V260" s="52"/>
      <c r="W260" s="52"/>
      <c r="X260" s="52"/>
      <c r="Y260" s="52"/>
      <c r="Z260" s="52"/>
      <c r="AA260" s="52"/>
      <c r="AB260" s="52"/>
      <c r="AC260" s="52"/>
      <c r="AD260" s="52"/>
      <c r="AE260" s="52"/>
      <c r="AF260" s="52"/>
      <c r="AG260" s="52"/>
      <c r="AH260" s="52"/>
      <c r="AI260" s="52"/>
      <c r="AJ260" s="52"/>
      <c r="AK260" s="260"/>
      <c r="AL260" s="1401"/>
      <c r="AM260" s="52"/>
      <c r="AN260" s="1401"/>
      <c r="AO260" s="1401"/>
      <c r="AP260" s="1401"/>
      <c r="AQ260" s="52"/>
      <c r="AR260" s="52"/>
      <c r="AS260" s="52"/>
      <c r="AT260" s="52"/>
      <c r="AU260" s="52"/>
      <c r="AV260" s="52"/>
      <c r="AW260" s="52"/>
      <c r="AX260" s="52"/>
      <c r="AY260" s="52"/>
      <c r="AZ260" s="52"/>
      <c r="BA260" s="52"/>
      <c r="BB260" s="52"/>
      <c r="BC260" s="52"/>
      <c r="BD260" s="52"/>
      <c r="BE260" s="52"/>
      <c r="BF260" s="52"/>
      <c r="BG260" s="52"/>
      <c r="BH260" s="52"/>
      <c r="BI260" s="52"/>
      <c r="BJ260" s="52"/>
      <c r="BK260" s="52"/>
      <c r="BL260" s="52"/>
      <c r="BM260" s="52"/>
      <c r="BN260" s="52"/>
    </row>
    <row r="261" spans="1:66">
      <c r="A261" s="52"/>
      <c r="B261" s="52"/>
      <c r="C261" s="52"/>
      <c r="D261" s="52"/>
      <c r="E261" s="52"/>
      <c r="F261" s="52"/>
      <c r="G261" s="52"/>
      <c r="H261" s="52"/>
      <c r="I261" s="52"/>
      <c r="J261" s="52"/>
      <c r="K261" s="52"/>
      <c r="L261" s="52"/>
      <c r="M261" s="52"/>
      <c r="N261" s="52"/>
      <c r="O261" s="52"/>
      <c r="P261" s="52"/>
      <c r="Q261" s="52"/>
      <c r="R261" s="52"/>
      <c r="S261" s="52"/>
      <c r="T261" s="52"/>
      <c r="U261" s="52"/>
      <c r="V261" s="52"/>
      <c r="W261" s="52"/>
      <c r="X261" s="52"/>
      <c r="Y261" s="52"/>
      <c r="Z261" s="52"/>
      <c r="AA261" s="52"/>
      <c r="AB261" s="52"/>
      <c r="AC261" s="52"/>
      <c r="AD261" s="52"/>
      <c r="AE261" s="52"/>
      <c r="AF261" s="52"/>
      <c r="AG261" s="52"/>
      <c r="AH261" s="52"/>
      <c r="AI261" s="52"/>
      <c r="AJ261" s="52"/>
      <c r="AK261" s="260"/>
      <c r="AL261" s="1401"/>
      <c r="AM261" s="52"/>
      <c r="AN261" s="1401"/>
      <c r="AO261" s="1401"/>
      <c r="AP261" s="1401"/>
      <c r="AQ261" s="52"/>
      <c r="AR261" s="52"/>
      <c r="AS261" s="52"/>
      <c r="AT261" s="52"/>
      <c r="AU261" s="52"/>
      <c r="AV261" s="52"/>
      <c r="AW261" s="52"/>
      <c r="AX261" s="52"/>
      <c r="AY261" s="52"/>
      <c r="AZ261" s="52"/>
      <c r="BA261" s="52"/>
      <c r="BB261" s="52"/>
      <c r="BC261" s="52"/>
      <c r="BD261" s="52"/>
      <c r="BE261" s="52"/>
      <c r="BF261" s="52"/>
      <c r="BG261" s="52"/>
      <c r="BH261" s="52"/>
      <c r="BI261" s="52"/>
      <c r="BJ261" s="52"/>
      <c r="BK261" s="52"/>
      <c r="BL261" s="52"/>
      <c r="BM261" s="52"/>
      <c r="BN261" s="52"/>
    </row>
    <row r="262" spans="1:66">
      <c r="A262" s="52"/>
      <c r="B262" s="52"/>
      <c r="C262" s="52"/>
      <c r="D262" s="52"/>
      <c r="E262" s="52"/>
      <c r="F262" s="52"/>
      <c r="G262" s="52"/>
      <c r="H262" s="52"/>
      <c r="I262" s="52"/>
      <c r="J262" s="52"/>
      <c r="K262" s="52"/>
      <c r="L262" s="52"/>
      <c r="M262" s="52"/>
      <c r="N262" s="52"/>
      <c r="O262" s="52"/>
      <c r="P262" s="52"/>
      <c r="Q262" s="52"/>
      <c r="R262" s="52"/>
      <c r="S262" s="52"/>
      <c r="T262" s="52"/>
      <c r="U262" s="52"/>
      <c r="V262" s="52"/>
      <c r="W262" s="52"/>
      <c r="X262" s="52"/>
      <c r="Y262" s="52"/>
      <c r="Z262" s="52"/>
      <c r="AA262" s="52"/>
      <c r="AB262" s="52"/>
      <c r="AC262" s="52"/>
      <c r="AD262" s="52"/>
      <c r="AE262" s="52"/>
      <c r="AF262" s="52"/>
      <c r="AG262" s="52"/>
      <c r="AH262" s="52"/>
      <c r="AI262" s="52"/>
      <c r="AJ262" s="52"/>
      <c r="AK262" s="260"/>
      <c r="AL262" s="1401"/>
      <c r="AM262" s="52"/>
      <c r="AN262" s="1401"/>
      <c r="AO262" s="1401"/>
      <c r="AP262" s="1401"/>
      <c r="AQ262" s="52"/>
      <c r="AR262" s="52"/>
      <c r="AS262" s="52"/>
      <c r="AT262" s="52"/>
      <c r="AU262" s="52"/>
      <c r="AV262" s="52"/>
      <c r="AW262" s="52"/>
      <c r="AX262" s="52"/>
      <c r="AY262" s="52"/>
      <c r="AZ262" s="52"/>
      <c r="BA262" s="52"/>
      <c r="BB262" s="52"/>
      <c r="BC262" s="52"/>
      <c r="BD262" s="52"/>
      <c r="BE262" s="52"/>
      <c r="BF262" s="52"/>
      <c r="BG262" s="52"/>
      <c r="BH262" s="52"/>
      <c r="BI262" s="52"/>
      <c r="BJ262" s="52"/>
      <c r="BK262" s="52"/>
      <c r="BL262" s="52"/>
      <c r="BM262" s="52"/>
      <c r="BN262" s="52"/>
    </row>
    <row r="263" spans="1:66">
      <c r="A263" s="52"/>
      <c r="B263" s="52"/>
      <c r="C263" s="52"/>
      <c r="D263" s="52"/>
      <c r="E263" s="52"/>
      <c r="F263" s="52"/>
      <c r="G263" s="52"/>
      <c r="H263" s="52"/>
      <c r="I263" s="52"/>
      <c r="J263" s="52"/>
      <c r="K263" s="52"/>
      <c r="L263" s="52"/>
      <c r="M263" s="52"/>
      <c r="N263" s="52"/>
      <c r="O263" s="52"/>
      <c r="P263" s="52"/>
      <c r="Q263" s="52"/>
      <c r="R263" s="52"/>
      <c r="S263" s="52"/>
      <c r="T263" s="52"/>
      <c r="U263" s="52"/>
      <c r="V263" s="52"/>
      <c r="W263" s="52"/>
      <c r="X263" s="52"/>
      <c r="Y263" s="52"/>
      <c r="Z263" s="52"/>
      <c r="AA263" s="52"/>
      <c r="AB263" s="52"/>
      <c r="AC263" s="52"/>
      <c r="AD263" s="52"/>
      <c r="AE263" s="52"/>
      <c r="AF263" s="52"/>
      <c r="AG263" s="52"/>
      <c r="AH263" s="52"/>
      <c r="AI263" s="52"/>
      <c r="AJ263" s="52"/>
      <c r="AK263" s="260"/>
      <c r="AL263" s="1401"/>
      <c r="AM263" s="52"/>
      <c r="AN263" s="1401"/>
      <c r="AO263" s="1401"/>
      <c r="AP263" s="1401"/>
      <c r="AQ263" s="52"/>
      <c r="AR263" s="52"/>
      <c r="AS263" s="52"/>
      <c r="AT263" s="52"/>
      <c r="AU263" s="52"/>
      <c r="AV263" s="52"/>
      <c r="AW263" s="52"/>
      <c r="AX263" s="52"/>
      <c r="AY263" s="52"/>
      <c r="AZ263" s="52"/>
      <c r="BA263" s="52"/>
      <c r="BB263" s="52"/>
      <c r="BC263" s="52"/>
      <c r="BD263" s="52"/>
      <c r="BE263" s="52"/>
      <c r="BF263" s="52"/>
      <c r="BG263" s="52"/>
      <c r="BH263" s="52"/>
      <c r="BI263" s="52"/>
      <c r="BJ263" s="52"/>
      <c r="BK263" s="52"/>
      <c r="BL263" s="52"/>
      <c r="BM263" s="52"/>
      <c r="BN263" s="52"/>
    </row>
    <row r="264" spans="1:66">
      <c r="A264" s="52"/>
      <c r="B264" s="52"/>
      <c r="C264" s="52"/>
      <c r="D264" s="52"/>
      <c r="E264" s="52"/>
      <c r="F264" s="52"/>
      <c r="G264" s="52"/>
      <c r="H264" s="52"/>
      <c r="I264" s="52"/>
      <c r="J264" s="52"/>
      <c r="K264" s="52"/>
      <c r="L264" s="52"/>
      <c r="M264" s="52"/>
      <c r="N264" s="52"/>
      <c r="O264" s="52"/>
      <c r="P264" s="52"/>
      <c r="Q264" s="52"/>
      <c r="R264" s="52"/>
      <c r="S264" s="52"/>
      <c r="T264" s="52"/>
      <c r="U264" s="52"/>
      <c r="V264" s="52"/>
      <c r="W264" s="52"/>
      <c r="X264" s="52"/>
      <c r="Y264" s="52"/>
      <c r="Z264" s="52"/>
      <c r="AA264" s="52"/>
      <c r="AB264" s="52"/>
      <c r="AC264" s="52"/>
      <c r="AD264" s="52"/>
      <c r="AE264" s="52"/>
      <c r="AF264" s="52"/>
      <c r="AG264" s="52"/>
      <c r="AH264" s="52"/>
      <c r="AI264" s="52"/>
      <c r="AJ264" s="52"/>
      <c r="AK264" s="260"/>
      <c r="AL264" s="1401"/>
      <c r="AM264" s="52"/>
      <c r="AN264" s="1401"/>
      <c r="AO264" s="1401"/>
      <c r="AP264" s="1401"/>
      <c r="AQ264" s="52"/>
      <c r="AR264" s="52"/>
      <c r="AS264" s="52"/>
      <c r="AT264" s="52"/>
      <c r="AU264" s="52"/>
      <c r="AV264" s="52"/>
      <c r="AW264" s="52"/>
      <c r="AX264" s="52"/>
      <c r="AY264" s="52"/>
      <c r="AZ264" s="52"/>
      <c r="BA264" s="52"/>
      <c r="BB264" s="52"/>
      <c r="BC264" s="52"/>
      <c r="BD264" s="52"/>
      <c r="BE264" s="52"/>
      <c r="BF264" s="52"/>
      <c r="BG264" s="52"/>
      <c r="BH264" s="52"/>
      <c r="BI264" s="52"/>
      <c r="BJ264" s="52"/>
      <c r="BK264" s="52"/>
      <c r="BL264" s="52"/>
      <c r="BM264" s="52"/>
      <c r="BN264" s="52"/>
    </row>
  </sheetData>
  <conditionalFormatting sqref="M240:AF240 AM240 AH240:AI240 AT240:BA240">
    <cfRule type="cellIs" dxfId="66" priority="81" stopIfTrue="1" operator="equal">
      <formula>"ü"</formula>
    </cfRule>
    <cfRule type="cellIs" dxfId="65" priority="82" stopIfTrue="1" operator="equal">
      <formula>"û"</formula>
    </cfRule>
  </conditionalFormatting>
  <conditionalFormatting sqref="B240:AF240 AH240:AJ240 AM240 AT240:BA240">
    <cfRule type="cellIs" dxfId="64" priority="79" stopIfTrue="1" operator="equal">
      <formula>"ü"</formula>
    </cfRule>
    <cfRule type="cellIs" dxfId="63" priority="80" stopIfTrue="1" operator="equal">
      <formula>"û"</formula>
    </cfRule>
  </conditionalFormatting>
  <conditionalFormatting sqref="AJ240">
    <cfRule type="cellIs" dxfId="62" priority="77" stopIfTrue="1" operator="equal">
      <formula>"ü"</formula>
    </cfRule>
    <cfRule type="cellIs" dxfId="61" priority="78" stopIfTrue="1" operator="equal">
      <formula>"û"</formula>
    </cfRule>
  </conditionalFormatting>
  <conditionalFormatting sqref="AH12:AJ12">
    <cfRule type="expression" dxfId="60" priority="75" stopIfTrue="1">
      <formula>#REF!=Actual_Quarter</formula>
    </cfRule>
  </conditionalFormatting>
  <conditionalFormatting sqref="AD12:AF12">
    <cfRule type="expression" dxfId="59" priority="74" stopIfTrue="1">
      <formula>#REF!=Actual_Quarter</formula>
    </cfRule>
  </conditionalFormatting>
  <conditionalFormatting sqref="AU12:AW12">
    <cfRule type="expression" dxfId="58" priority="71" stopIfTrue="1">
      <formula>#REF!=Actual_Quarter</formula>
    </cfRule>
  </conditionalFormatting>
  <conditionalFormatting sqref="AX12:BA12">
    <cfRule type="expression" dxfId="57" priority="70" stopIfTrue="1">
      <formula>#REF!=Actual_Quarter</formula>
    </cfRule>
  </conditionalFormatting>
  <conditionalFormatting sqref="BB12:BE12">
    <cfRule type="expression" dxfId="56" priority="69" stopIfTrue="1">
      <formula>#REF!=Actual_Quarter</formula>
    </cfRule>
  </conditionalFormatting>
  <conditionalFormatting sqref="BF12:BI12">
    <cfRule type="expression" dxfId="55" priority="68" stopIfTrue="1">
      <formula>#REF!=Actual_Quarter</formula>
    </cfRule>
  </conditionalFormatting>
  <conditionalFormatting sqref="BJ12:BM12">
    <cfRule type="expression" dxfId="54" priority="67" stopIfTrue="1">
      <formula>#REF!=Actual_Quarter</formula>
    </cfRule>
  </conditionalFormatting>
  <conditionalFormatting sqref="V12:AC12">
    <cfRule type="expression" dxfId="53" priority="76" stopIfTrue="1">
      <formula>#REF!=Actual_Quarter</formula>
    </cfRule>
  </conditionalFormatting>
  <conditionalFormatting sqref="AJ240">
    <cfRule type="cellIs" dxfId="52" priority="61" stopIfTrue="1" operator="equal">
      <formula>"ü"</formula>
    </cfRule>
    <cfRule type="cellIs" dxfId="51" priority="62" stopIfTrue="1" operator="equal">
      <formula>"û"</formula>
    </cfRule>
  </conditionalFormatting>
  <conditionalFormatting sqref="AG240">
    <cfRule type="cellIs" dxfId="50" priority="59" stopIfTrue="1" operator="equal">
      <formula>"ü"</formula>
    </cfRule>
    <cfRule type="cellIs" dxfId="49" priority="60" stopIfTrue="1" operator="equal">
      <formula>"û"</formula>
    </cfRule>
  </conditionalFormatting>
  <conditionalFormatting sqref="AG240">
    <cfRule type="cellIs" dxfId="48" priority="57" stopIfTrue="1" operator="equal">
      <formula>"ü"</formula>
    </cfRule>
    <cfRule type="cellIs" dxfId="47" priority="58" stopIfTrue="1" operator="equal">
      <formula>"û"</formula>
    </cfRule>
  </conditionalFormatting>
  <conditionalFormatting sqref="AG12">
    <cfRule type="expression" dxfId="46" priority="56" stopIfTrue="1">
      <formula>#REF!=Actual_Quarter</formula>
    </cfRule>
  </conditionalFormatting>
  <conditionalFormatting sqref="AK240">
    <cfRule type="cellIs" dxfId="45" priority="50" stopIfTrue="1" operator="equal">
      <formula>"ü"</formula>
    </cfRule>
    <cfRule type="cellIs" dxfId="44" priority="51" stopIfTrue="1" operator="equal">
      <formula>"û"</formula>
    </cfRule>
  </conditionalFormatting>
  <conditionalFormatting sqref="AK240">
    <cfRule type="cellIs" dxfId="43" priority="48" stopIfTrue="1" operator="equal">
      <formula>"ü"</formula>
    </cfRule>
    <cfRule type="cellIs" dxfId="42" priority="49" stopIfTrue="1" operator="equal">
      <formula>"û"</formula>
    </cfRule>
  </conditionalFormatting>
  <conditionalFormatting sqref="AK12">
    <cfRule type="expression" dxfId="41" priority="47" stopIfTrue="1">
      <formula>#REF!=Actual_Quarter</formula>
    </cfRule>
  </conditionalFormatting>
  <conditionalFormatting sqref="AM12">
    <cfRule type="expression" dxfId="40" priority="42" stopIfTrue="1">
      <formula>#REF!=Actual_Quarter</formula>
    </cfRule>
  </conditionalFormatting>
  <conditionalFormatting sqref="AN240">
    <cfRule type="cellIs" dxfId="39" priority="40" stopIfTrue="1" operator="equal">
      <formula>"ü"</formula>
    </cfRule>
    <cfRule type="cellIs" dxfId="38" priority="41" stopIfTrue="1" operator="equal">
      <formula>"û"</formula>
    </cfRule>
  </conditionalFormatting>
  <conditionalFormatting sqref="AN240">
    <cfRule type="cellIs" dxfId="37" priority="38" stopIfTrue="1" operator="equal">
      <formula>"ü"</formula>
    </cfRule>
    <cfRule type="cellIs" dxfId="36" priority="39" stopIfTrue="1" operator="equal">
      <formula>"û"</formula>
    </cfRule>
  </conditionalFormatting>
  <conditionalFormatting sqref="AN12">
    <cfRule type="expression" dxfId="35" priority="37" stopIfTrue="1">
      <formula>#REF!=Actual_Quarter</formula>
    </cfRule>
  </conditionalFormatting>
  <conditionalFormatting sqref="AO240">
    <cfRule type="cellIs" dxfId="34" priority="31" stopIfTrue="1" operator="equal">
      <formula>"ü"</formula>
    </cfRule>
    <cfRule type="cellIs" dxfId="33" priority="32" stopIfTrue="1" operator="equal">
      <formula>"û"</formula>
    </cfRule>
  </conditionalFormatting>
  <conditionalFormatting sqref="AO240">
    <cfRule type="cellIs" dxfId="32" priority="29" stopIfTrue="1" operator="equal">
      <formula>"ü"</formula>
    </cfRule>
    <cfRule type="cellIs" dxfId="31" priority="30" stopIfTrue="1" operator="equal">
      <formula>"û"</formula>
    </cfRule>
  </conditionalFormatting>
  <conditionalFormatting sqref="AO12">
    <cfRule type="expression" dxfId="30" priority="28" stopIfTrue="1">
      <formula>#REF!=Actual_Quarter</formula>
    </cfRule>
  </conditionalFormatting>
  <conditionalFormatting sqref="AP240">
    <cfRule type="cellIs" dxfId="29" priority="26" stopIfTrue="1" operator="equal">
      <formula>"ü"</formula>
    </cfRule>
    <cfRule type="cellIs" dxfId="28" priority="27" stopIfTrue="1" operator="equal">
      <formula>"û"</formula>
    </cfRule>
  </conditionalFormatting>
  <conditionalFormatting sqref="AP240">
    <cfRule type="cellIs" dxfId="27" priority="24" stopIfTrue="1" operator="equal">
      <formula>"ü"</formula>
    </cfRule>
    <cfRule type="cellIs" dxfId="26" priority="25" stopIfTrue="1" operator="equal">
      <formula>"û"</formula>
    </cfRule>
  </conditionalFormatting>
  <conditionalFormatting sqref="AP12">
    <cfRule type="expression" dxfId="25" priority="23" stopIfTrue="1">
      <formula>#REF!=Actual_Quarter</formula>
    </cfRule>
  </conditionalFormatting>
  <conditionalFormatting sqref="AQ12">
    <cfRule type="expression" dxfId="24" priority="22" stopIfTrue="1">
      <formula>#REF!=Actual_Quarter</formula>
    </cfRule>
  </conditionalFormatting>
  <conditionalFormatting sqref="AQ240">
    <cfRule type="cellIs" dxfId="23" priority="20" stopIfTrue="1" operator="equal">
      <formula>"ü"</formula>
    </cfRule>
    <cfRule type="cellIs" dxfId="22" priority="21" stopIfTrue="1" operator="equal">
      <formula>"û"</formula>
    </cfRule>
  </conditionalFormatting>
  <conditionalFormatting sqref="AQ240">
    <cfRule type="cellIs" dxfId="21" priority="18" stopIfTrue="1" operator="equal">
      <formula>"ü"</formula>
    </cfRule>
    <cfRule type="cellIs" dxfId="20" priority="19" stopIfTrue="1" operator="equal">
      <formula>"û"</formula>
    </cfRule>
  </conditionalFormatting>
  <conditionalFormatting sqref="AR12">
    <cfRule type="expression" dxfId="19" priority="17" stopIfTrue="1">
      <formula>#REF!=Actual_Quarter</formula>
    </cfRule>
  </conditionalFormatting>
  <conditionalFormatting sqref="AR240">
    <cfRule type="cellIs" dxfId="18" priority="15" stopIfTrue="1" operator="equal">
      <formula>"ü"</formula>
    </cfRule>
    <cfRule type="cellIs" dxfId="17" priority="16" stopIfTrue="1" operator="equal">
      <formula>"û"</formula>
    </cfRule>
  </conditionalFormatting>
  <conditionalFormatting sqref="AR240">
    <cfRule type="cellIs" dxfId="16" priority="13" stopIfTrue="1" operator="equal">
      <formula>"ü"</formula>
    </cfRule>
    <cfRule type="cellIs" dxfId="15" priority="14" stopIfTrue="1" operator="equal">
      <formula>"û"</formula>
    </cfRule>
  </conditionalFormatting>
  <conditionalFormatting sqref="AL240">
    <cfRule type="cellIs" dxfId="14" priority="11" stopIfTrue="1" operator="equal">
      <formula>"ü"</formula>
    </cfRule>
    <cfRule type="cellIs" dxfId="13" priority="12" stopIfTrue="1" operator="equal">
      <formula>"û"</formula>
    </cfRule>
  </conditionalFormatting>
  <conditionalFormatting sqref="AL240">
    <cfRule type="cellIs" dxfId="12" priority="9" stopIfTrue="1" operator="equal">
      <formula>"ü"</formula>
    </cfRule>
    <cfRule type="cellIs" dxfId="11" priority="10" stopIfTrue="1" operator="equal">
      <formula>"û"</formula>
    </cfRule>
  </conditionalFormatting>
  <conditionalFormatting sqref="AL12">
    <cfRule type="expression" dxfId="10" priority="8" stopIfTrue="1">
      <formula>#REF!=Actual_Quarter</formula>
    </cfRule>
  </conditionalFormatting>
  <conditionalFormatting sqref="AS12">
    <cfRule type="expression" dxfId="9" priority="6" stopIfTrue="1">
      <formula>#REF!=Actual_Quarter</formula>
    </cfRule>
  </conditionalFormatting>
  <conditionalFormatting sqref="AT12">
    <cfRule type="expression" dxfId="8" priority="5" stopIfTrue="1">
      <formula>#REF!=Actual_Quarter</formula>
    </cfRule>
  </conditionalFormatting>
  <conditionalFormatting sqref="AS240">
    <cfRule type="cellIs" dxfId="7" priority="3" stopIfTrue="1" operator="equal">
      <formula>"ü"</formula>
    </cfRule>
    <cfRule type="cellIs" dxfId="6" priority="4" stopIfTrue="1" operator="equal">
      <formula>"û"</formula>
    </cfRule>
  </conditionalFormatting>
  <conditionalFormatting sqref="AS240">
    <cfRule type="cellIs" dxfId="5" priority="1" stopIfTrue="1" operator="equal">
      <formula>"ü"</formula>
    </cfRule>
    <cfRule type="cellIs" dxfId="4" priority="2" stopIfTrue="1" operator="equal">
      <formula>"û"</formula>
    </cfRule>
  </conditionalFormatting>
  <pageMargins left="0.7" right="0.7" top="0.75" bottom="0.75" header="0.3" footer="0.3"/>
  <pageSetup scale="43" orientation="portrait" r:id="rId1"/>
  <drawing r:id="rId2"/>
  <legacy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indexed="8"/>
    <pageSetUpPr fitToPage="1"/>
  </sheetPr>
  <dimension ref="A1"/>
  <sheetViews>
    <sheetView showGridLines="0" workbookViewId="0"/>
  </sheetViews>
  <sheetFormatPr defaultColWidth="9.140625" defaultRowHeight="12.75"/>
  <sheetData/>
  <phoneticPr fontId="11" type="noConversion"/>
  <pageMargins left="0.25" right="0.25" top="0.5" bottom="0.5" header="0.5" footer="0.5"/>
  <pageSetup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8" tint="0.59999389629810485"/>
  </sheetPr>
  <dimension ref="A1:AL682"/>
  <sheetViews>
    <sheetView showGridLines="0" workbookViewId="0">
      <pane xSplit="10" ySplit="4" topLeftCell="K5" activePane="bottomRight" state="frozen"/>
      <selection activeCell="AC362" sqref="AC362"/>
      <selection pane="topRight" activeCell="AC362" sqref="AC362"/>
      <selection pane="bottomLeft" activeCell="AC362" sqref="AC362"/>
      <selection pane="bottomRight"/>
    </sheetView>
  </sheetViews>
  <sheetFormatPr defaultRowHeight="12.75" outlineLevelRow="1" outlineLevelCol="1"/>
  <cols>
    <col min="1" max="1" width="27.42578125" style="31" customWidth="1"/>
    <col min="2" max="3" width="7.85546875" style="31" hidden="1" customWidth="1" outlineLevel="1"/>
    <col min="4" max="4" width="7.85546875" style="31" hidden="1" customWidth="1" outlineLevel="1" collapsed="1"/>
    <col min="5" max="5" width="7.85546875" style="31" hidden="1" customWidth="1" outlineLevel="1"/>
    <col min="6" max="6" width="7.85546875" style="31" hidden="1" customWidth="1" outlineLevel="1" collapsed="1"/>
    <col min="7" max="10" width="7.85546875" style="31" hidden="1" customWidth="1" outlineLevel="1"/>
    <col min="11" max="11" width="7.85546875" style="31" customWidth="1" collapsed="1"/>
    <col min="12" max="13" width="7.85546875" style="31" customWidth="1"/>
    <col min="14" max="14" width="7.85546875" style="784" customWidth="1"/>
    <col min="15" max="23" width="7.85546875" style="31" customWidth="1"/>
    <col min="24" max="29" width="9.140625" style="31" customWidth="1"/>
    <col min="30" max="16384" width="9.140625" style="31"/>
  </cols>
  <sheetData>
    <row r="1" spans="1:32" s="43" customFormat="1" ht="18">
      <c r="A1" s="112" t="s">
        <v>25</v>
      </c>
      <c r="B1" s="126"/>
      <c r="C1" s="126"/>
      <c r="D1" s="126"/>
      <c r="E1" s="126"/>
      <c r="F1" s="126"/>
      <c r="G1" s="126"/>
      <c r="H1" s="126"/>
      <c r="I1" s="126"/>
      <c r="J1" s="126"/>
      <c r="K1" s="126"/>
      <c r="L1" s="126"/>
      <c r="M1" s="126"/>
      <c r="N1" s="126"/>
      <c r="O1" s="126"/>
      <c r="P1" s="126"/>
      <c r="Q1" s="169"/>
      <c r="R1" s="169"/>
      <c r="S1" s="169"/>
      <c r="T1" s="169"/>
      <c r="U1" s="169"/>
      <c r="V1" s="169"/>
      <c r="W1" s="169"/>
      <c r="X1" s="1292"/>
      <c r="Y1" s="1519"/>
      <c r="Z1" s="1519"/>
      <c r="AA1" s="1519"/>
      <c r="AB1" s="1292"/>
      <c r="AC1" s="1292"/>
      <c r="AD1" s="1292"/>
      <c r="AE1" s="1292"/>
      <c r="AF1" s="1292"/>
    </row>
    <row r="2" spans="1:32">
      <c r="A2" s="170" t="s">
        <v>1416</v>
      </c>
      <c r="B2" s="1841"/>
      <c r="C2" s="126"/>
      <c r="D2" s="126"/>
      <c r="E2" s="126"/>
      <c r="F2" s="126"/>
      <c r="G2" s="126"/>
      <c r="H2" s="126"/>
      <c r="I2" s="126"/>
      <c r="J2" s="126"/>
      <c r="K2" s="126"/>
      <c r="L2" s="126"/>
      <c r="M2" s="126"/>
      <c r="N2" s="126"/>
      <c r="O2" s="126"/>
      <c r="P2" s="126"/>
      <c r="Q2" s="126"/>
      <c r="R2" s="126"/>
      <c r="S2" s="126"/>
      <c r="T2" s="438"/>
      <c r="U2" s="438"/>
      <c r="V2" s="438"/>
      <c r="W2" s="438" t="s">
        <v>27</v>
      </c>
      <c r="X2" s="1181"/>
      <c r="Y2" s="2535" t="s">
        <v>340</v>
      </c>
      <c r="Z2" s="2535"/>
      <c r="AA2" s="2535"/>
      <c r="AB2" s="1181"/>
      <c r="AC2" s="1181"/>
      <c r="AD2" s="1181"/>
      <c r="AE2" s="1181"/>
      <c r="AF2" s="1181"/>
    </row>
    <row r="3" spans="1:32" s="41" customFormat="1">
      <c r="A3" s="2169"/>
      <c r="B3" s="2170"/>
      <c r="C3" s="2170"/>
      <c r="D3" s="2170"/>
      <c r="E3" s="2170"/>
      <c r="F3" s="2170"/>
      <c r="G3" s="2170"/>
      <c r="H3" s="2170"/>
      <c r="I3" s="2170"/>
      <c r="J3" s="2170"/>
      <c r="K3" s="2170"/>
      <c r="L3" s="2170"/>
      <c r="M3" s="2170"/>
      <c r="N3" s="2340"/>
      <c r="O3" s="2340"/>
      <c r="P3" s="2340"/>
      <c r="Q3" s="2340"/>
      <c r="R3" s="2340"/>
      <c r="S3" s="2340"/>
      <c r="T3" s="2171"/>
      <c r="U3" s="2171"/>
      <c r="V3" s="2171"/>
      <c r="W3" s="2171"/>
      <c r="X3" s="1181"/>
      <c r="Y3" s="2172" t="s">
        <v>1538</v>
      </c>
      <c r="Z3" s="2389"/>
      <c r="AA3" s="2389"/>
      <c r="AB3" s="1181"/>
      <c r="AC3" s="1181"/>
      <c r="AD3" s="1181"/>
      <c r="AE3" s="1181"/>
      <c r="AF3" s="1181"/>
    </row>
    <row r="4" spans="1:32">
      <c r="A4" s="1342" t="s">
        <v>202</v>
      </c>
      <c r="B4" s="1343">
        <v>2004</v>
      </c>
      <c r="C4" s="1343">
        <v>2005</v>
      </c>
      <c r="D4" s="1343">
        <v>2006</v>
      </c>
      <c r="E4" s="1343">
        <v>2007</v>
      </c>
      <c r="F4" s="1343">
        <v>2008</v>
      </c>
      <c r="G4" s="1343">
        <v>2009</v>
      </c>
      <c r="H4" s="1343">
        <v>2010</v>
      </c>
      <c r="I4" s="1343">
        <v>2011</v>
      </c>
      <c r="J4" s="1343">
        <v>2012</v>
      </c>
      <c r="K4" s="1343">
        <v>2013</v>
      </c>
      <c r="L4" s="1343">
        <v>2014</v>
      </c>
      <c r="M4" s="1343">
        <v>2015</v>
      </c>
      <c r="N4" s="1343">
        <v>2016</v>
      </c>
      <c r="O4" s="1343">
        <v>2017</v>
      </c>
      <c r="P4" s="1344">
        <v>2018</v>
      </c>
      <c r="Q4" s="1344">
        <v>2019</v>
      </c>
      <c r="R4" s="1344">
        <v>2020</v>
      </c>
      <c r="S4" s="1344">
        <v>2021</v>
      </c>
      <c r="T4" s="1344">
        <v>2022</v>
      </c>
      <c r="U4" s="1344">
        <v>2023</v>
      </c>
      <c r="V4" s="1344">
        <v>2024</v>
      </c>
      <c r="W4" s="1344">
        <v>2025</v>
      </c>
      <c r="X4" s="731"/>
      <c r="Y4" s="1519" t="s">
        <v>1687</v>
      </c>
      <c r="Z4" s="1519" t="s">
        <v>1717</v>
      </c>
      <c r="AA4" s="1519" t="s">
        <v>1688</v>
      </c>
      <c r="AB4" s="731"/>
      <c r="AC4" s="1181"/>
      <c r="AD4" s="1181"/>
      <c r="AE4" s="1181"/>
      <c r="AF4" s="1181"/>
    </row>
    <row r="5" spans="1:32" ht="12.75" customHeight="1">
      <c r="A5" s="990" t="s">
        <v>974</v>
      </c>
      <c r="B5" s="1175"/>
      <c r="C5" s="1175"/>
      <c r="D5" s="1340">
        <v>9000</v>
      </c>
      <c r="E5" s="1340">
        <v>9500</v>
      </c>
      <c r="F5" s="1340">
        <v>12000</v>
      </c>
      <c r="G5" s="1340">
        <v>12900</v>
      </c>
      <c r="H5" s="1340">
        <v>13100</v>
      </c>
      <c r="I5" s="1340">
        <v>14500</v>
      </c>
      <c r="J5" s="1340">
        <v>14800</v>
      </c>
      <c r="K5" s="1340">
        <v>16000</v>
      </c>
      <c r="L5" s="1340">
        <v>20000</v>
      </c>
      <c r="M5" s="1340">
        <v>20000</v>
      </c>
      <c r="N5" s="1340">
        <v>20024</v>
      </c>
      <c r="O5" s="1340">
        <v>24000</v>
      </c>
      <c r="P5" s="1341">
        <v>24000</v>
      </c>
      <c r="Q5" s="1341">
        <v>24000</v>
      </c>
      <c r="R5" s="1341">
        <v>24500</v>
      </c>
      <c r="S5" s="1341">
        <v>25000</v>
      </c>
      <c r="T5" s="1341">
        <v>25500</v>
      </c>
      <c r="U5" s="1341">
        <v>26000</v>
      </c>
      <c r="V5" s="1341">
        <v>26500</v>
      </c>
      <c r="W5" s="1341">
        <v>27000</v>
      </c>
      <c r="X5" s="731"/>
      <c r="Y5" s="1215">
        <v>9.0342271131966578E-2</v>
      </c>
      <c r="Z5" s="1215">
        <v>1.036297108184514E-2</v>
      </c>
      <c r="AA5" s="1215">
        <v>1.5511278397481565E-2</v>
      </c>
      <c r="AB5" s="731"/>
      <c r="AC5" s="1181"/>
      <c r="AD5" s="1181"/>
      <c r="AE5" s="1181"/>
      <c r="AF5" s="1181"/>
    </row>
    <row r="6" spans="1:32">
      <c r="A6" s="1120" t="s">
        <v>965</v>
      </c>
      <c r="B6" s="2240"/>
      <c r="C6" s="2240"/>
      <c r="D6" s="2240">
        <v>9739</v>
      </c>
      <c r="E6" s="2240">
        <v>9276</v>
      </c>
      <c r="F6" s="2240">
        <v>10218</v>
      </c>
      <c r="G6" s="2240">
        <v>12001</v>
      </c>
      <c r="H6" s="2240">
        <v>12923</v>
      </c>
      <c r="I6" s="2240">
        <v>13067</v>
      </c>
      <c r="J6" s="2240">
        <v>10590</v>
      </c>
      <c r="K6" s="2240">
        <v>12885</v>
      </c>
      <c r="L6" s="2240">
        <v>15593</v>
      </c>
      <c r="M6" s="2240">
        <v>18718</v>
      </c>
      <c r="N6" s="2240">
        <v>20024</v>
      </c>
      <c r="O6" s="2240">
        <v>19281</v>
      </c>
      <c r="P6" s="2241">
        <v>22299.999999999996</v>
      </c>
      <c r="Q6" s="2241">
        <v>23414.999999999996</v>
      </c>
      <c r="R6" s="2241">
        <v>23883.3</v>
      </c>
      <c r="S6" s="2241">
        <v>24599.798999999995</v>
      </c>
      <c r="T6" s="2241">
        <v>25042.595381999992</v>
      </c>
      <c r="U6" s="2241">
        <v>25493.362098875994</v>
      </c>
      <c r="V6" s="2241">
        <v>25952.242616655767</v>
      </c>
      <c r="W6" s="2241">
        <v>26419.382983755571</v>
      </c>
      <c r="X6" s="731"/>
      <c r="Y6" s="1215">
        <v>5.8823920970006549E-2</v>
      </c>
      <c r="Z6" s="1215">
        <v>3.4891298639620594E-2</v>
      </c>
      <c r="AA6" s="1215">
        <v>1.437426479744186E-2</v>
      </c>
      <c r="AB6" s="731"/>
      <c r="AC6" s="1181"/>
      <c r="AD6" s="1181"/>
      <c r="AE6" s="1181"/>
      <c r="AF6" s="1181"/>
    </row>
    <row r="7" spans="1:32" ht="12.75" customHeight="1">
      <c r="A7" s="1141" t="s">
        <v>204</v>
      </c>
      <c r="B7" s="1127"/>
      <c r="C7" s="1127"/>
      <c r="D7" s="1127">
        <v>6745</v>
      </c>
      <c r="E7" s="1127">
        <v>6191</v>
      </c>
      <c r="F7" s="1127">
        <v>6673</v>
      </c>
      <c r="G7" s="1127">
        <v>7212</v>
      </c>
      <c r="H7" s="1127">
        <v>7584</v>
      </c>
      <c r="I7" s="1127">
        <v>8511</v>
      </c>
      <c r="J7" s="1127">
        <v>6886</v>
      </c>
      <c r="K7" s="1127">
        <v>8206</v>
      </c>
      <c r="L7" s="1127">
        <v>10315</v>
      </c>
      <c r="M7" s="1127">
        <v>12326</v>
      </c>
      <c r="N7" s="1127">
        <v>12985</v>
      </c>
      <c r="O7" s="1127">
        <v>13398</v>
      </c>
      <c r="P7" s="1173">
        <v>15495.84565115917</v>
      </c>
      <c r="Q7" s="1173">
        <v>16270.637933717129</v>
      </c>
      <c r="R7" s="1173">
        <v>16596.050692391473</v>
      </c>
      <c r="S7" s="1173">
        <v>17093.932213163214</v>
      </c>
      <c r="T7" s="1173">
        <v>17401.62299300015</v>
      </c>
      <c r="U7" s="1173">
        <v>17714.852206874155</v>
      </c>
      <c r="V7" s="1173">
        <v>18033.719546597891</v>
      </c>
      <c r="W7" s="1173">
        <v>18358.326498436654</v>
      </c>
      <c r="X7" s="731"/>
      <c r="Y7" s="1215">
        <v>8.4690783139507397E-2</v>
      </c>
      <c r="Z7" s="1215">
        <v>3.4891298639620594E-2</v>
      </c>
      <c r="AA7" s="1215">
        <v>1.437426479744186E-2</v>
      </c>
      <c r="AB7" s="731"/>
      <c r="AC7" s="1181"/>
      <c r="AD7" s="1181"/>
      <c r="AE7" s="1181"/>
      <c r="AF7" s="1181"/>
    </row>
    <row r="8" spans="1:32" ht="12.75" customHeight="1">
      <c r="A8" s="1141" t="s">
        <v>205</v>
      </c>
      <c r="B8" s="1127"/>
      <c r="C8" s="1127"/>
      <c r="D8" s="1127">
        <v>2994</v>
      </c>
      <c r="E8" s="1127">
        <v>3085</v>
      </c>
      <c r="F8" s="1127">
        <v>3545</v>
      </c>
      <c r="G8" s="1127">
        <v>4789</v>
      </c>
      <c r="H8" s="1127">
        <v>5339</v>
      </c>
      <c r="I8" s="1127">
        <v>4556</v>
      </c>
      <c r="J8" s="1127">
        <v>3704</v>
      </c>
      <c r="K8" s="1127">
        <v>4679</v>
      </c>
      <c r="L8" s="1127">
        <v>5278</v>
      </c>
      <c r="M8" s="1127">
        <v>6392</v>
      </c>
      <c r="N8" s="1127">
        <v>7039</v>
      </c>
      <c r="O8" s="1127">
        <v>5883</v>
      </c>
      <c r="P8" s="1173">
        <v>6804.154348840827</v>
      </c>
      <c r="Q8" s="1173">
        <v>7144.362066282868</v>
      </c>
      <c r="R8" s="1173">
        <v>7287.2493076085257</v>
      </c>
      <c r="S8" s="1173">
        <v>7505.8667868367811</v>
      </c>
      <c r="T8" s="1173">
        <v>7640.9723889998431</v>
      </c>
      <c r="U8" s="1173">
        <v>7778.5098920018409</v>
      </c>
      <c r="V8" s="1173">
        <v>7918.523070057875</v>
      </c>
      <c r="W8" s="1173">
        <v>8061.0564853189162</v>
      </c>
      <c r="X8" s="731"/>
      <c r="Y8" s="1215">
        <v>1.3957721453403904E-2</v>
      </c>
      <c r="Z8" s="1215">
        <v>3.4891298639620372E-2</v>
      </c>
      <c r="AA8" s="1215">
        <v>1.437426479744186E-2</v>
      </c>
      <c r="AB8" s="731"/>
      <c r="AC8" s="1181"/>
      <c r="AD8" s="1181"/>
      <c r="AE8" s="1181"/>
      <c r="AF8" s="1181"/>
    </row>
    <row r="9" spans="1:32" ht="12.75" customHeight="1">
      <c r="A9" s="731" t="s">
        <v>671</v>
      </c>
      <c r="B9" s="1126"/>
      <c r="C9" s="1126"/>
      <c r="D9" s="1126" t="e">
        <v>#N/A</v>
      </c>
      <c r="E9" s="1126" t="e">
        <v>#N/A</v>
      </c>
      <c r="F9" s="1126" t="e">
        <v>#N/A</v>
      </c>
      <c r="G9" s="1126" t="e">
        <v>#N/A</v>
      </c>
      <c r="H9" s="1126" t="e">
        <v>#N/A</v>
      </c>
      <c r="I9" s="1126" t="e">
        <v>#N/A</v>
      </c>
      <c r="J9" s="1126" t="e">
        <v>#N/A</v>
      </c>
      <c r="K9" s="1126">
        <v>139.13999999999999</v>
      </c>
      <c r="L9" s="1126">
        <v>136.94999999999999</v>
      </c>
      <c r="M9" s="1126">
        <v>141.6</v>
      </c>
      <c r="N9" s="1126">
        <v>128.9</v>
      </c>
      <c r="O9" s="1126">
        <v>130.30000000000001</v>
      </c>
      <c r="P9" s="1174">
        <v>133.5</v>
      </c>
      <c r="Q9" s="1174">
        <v>135.06499999999997</v>
      </c>
      <c r="R9" s="1174">
        <v>135.74032499999996</v>
      </c>
      <c r="S9" s="1174">
        <v>136.41902662499993</v>
      </c>
      <c r="T9" s="1174">
        <v>137.10112175812492</v>
      </c>
      <c r="U9" s="1174">
        <v>137.78662736691552</v>
      </c>
      <c r="V9" s="1174">
        <v>138.47556050375007</v>
      </c>
      <c r="W9" s="1174">
        <v>139.16793830626881</v>
      </c>
      <c r="X9" s="731"/>
      <c r="Y9" s="1520" t="s">
        <v>972</v>
      </c>
      <c r="Z9" s="1215">
        <v>8.3558204692215643E-3</v>
      </c>
      <c r="AA9" s="1215">
        <v>3.9980039890350483E-3</v>
      </c>
      <c r="AB9" s="731"/>
      <c r="AC9" s="1181"/>
      <c r="AD9" s="1181"/>
      <c r="AE9" s="1181"/>
      <c r="AF9" s="1181"/>
    </row>
    <row r="10" spans="1:32">
      <c r="A10" s="1120" t="s">
        <v>1558</v>
      </c>
      <c r="B10" s="2239"/>
      <c r="C10" s="2239"/>
      <c r="D10" s="2240" t="s">
        <v>972</v>
      </c>
      <c r="E10" s="2240">
        <v>1403</v>
      </c>
      <c r="F10" s="2240">
        <v>1569</v>
      </c>
      <c r="G10" s="2240">
        <v>1514</v>
      </c>
      <c r="H10" s="2240">
        <v>1906</v>
      </c>
      <c r="I10" s="2240">
        <v>1774</v>
      </c>
      <c r="J10" s="2240">
        <v>1461</v>
      </c>
      <c r="K10" s="2240">
        <v>1793</v>
      </c>
      <c r="L10" s="2240">
        <v>2136</v>
      </c>
      <c r="M10" s="2240">
        <v>2650</v>
      </c>
      <c r="N10" s="2240">
        <v>2581</v>
      </c>
      <c r="O10" s="2240">
        <v>2512</v>
      </c>
      <c r="P10" s="2241">
        <v>2977.0499999999997</v>
      </c>
      <c r="Q10" s="2241">
        <v>3162.5469749999988</v>
      </c>
      <c r="R10" s="2241">
        <v>3241.9269040724985</v>
      </c>
      <c r="S10" s="2241">
        <v>3355.8806347506461</v>
      </c>
      <c r="T10" s="2241">
        <v>3433.3679186070385</v>
      </c>
      <c r="U10" s="2241">
        <v>3512.6443838476744</v>
      </c>
      <c r="V10" s="2241">
        <v>3593.7513426707169</v>
      </c>
      <c r="W10" s="2241">
        <v>3676.7310611729831</v>
      </c>
      <c r="X10" s="731"/>
      <c r="Y10" s="1520"/>
      <c r="Z10" s="1215"/>
      <c r="AA10" s="1215"/>
      <c r="AB10" s="731"/>
      <c r="AC10" s="1181"/>
      <c r="AD10" s="1181"/>
      <c r="AE10" s="1181"/>
      <c r="AF10" s="1181"/>
    </row>
    <row r="11" spans="1:32" s="1417" customFormat="1" ht="12.75" hidden="1" customHeight="1" outlineLevel="1" collapsed="1">
      <c r="A11" s="1416" t="s">
        <v>1198</v>
      </c>
      <c r="B11" s="1175"/>
      <c r="C11" s="1175"/>
      <c r="D11" s="1175" t="e">
        <v>#N/A</v>
      </c>
      <c r="E11" s="1175" t="e">
        <v>#N/A</v>
      </c>
      <c r="F11" s="1175" t="e">
        <v>#N/A</v>
      </c>
      <c r="G11" s="1175" t="e">
        <v>#N/A</v>
      </c>
      <c r="H11" s="1175" t="e">
        <v>#N/A</v>
      </c>
      <c r="I11" s="1175" t="e">
        <v>#N/A</v>
      </c>
      <c r="J11" s="1175" t="e">
        <v>#N/A</v>
      </c>
      <c r="K11" s="1175">
        <v>88.58</v>
      </c>
      <c r="L11" s="1175">
        <v>99.47</v>
      </c>
      <c r="M11" s="1175">
        <v>87.6</v>
      </c>
      <c r="N11" s="1175">
        <v>85.9</v>
      </c>
      <c r="O11" s="1175">
        <v>78.752876712328785</v>
      </c>
      <c r="P11" s="1176">
        <v>91.083924624497243</v>
      </c>
      <c r="Q11" s="1176">
        <v>95.638120855722107</v>
      </c>
      <c r="R11" s="1176">
        <v>95.638120855722107</v>
      </c>
      <c r="S11" s="1176">
        <v>96.612894010597728</v>
      </c>
      <c r="T11" s="1176">
        <v>96.496229383867927</v>
      </c>
      <c r="U11" s="1176">
        <v>96.414028892170592</v>
      </c>
      <c r="V11" s="1176">
        <v>96.364945386552762</v>
      </c>
      <c r="W11" s="1176">
        <v>96.34773736059087</v>
      </c>
      <c r="X11" s="1416"/>
      <c r="Y11" s="1520" t="s">
        <v>972</v>
      </c>
      <c r="Z11" s="1215">
        <v>6.6894646285195369E-2</v>
      </c>
      <c r="AA11" s="1215">
        <v>-5.4950889273519543E-4</v>
      </c>
      <c r="AB11" s="1416"/>
      <c r="AC11" s="1521"/>
      <c r="AD11" s="1521"/>
      <c r="AE11" s="1521"/>
      <c r="AF11" s="1521"/>
    </row>
    <row r="12" spans="1:32" ht="12.75" customHeight="1" collapsed="1">
      <c r="A12" s="2242" t="s">
        <v>1566</v>
      </c>
      <c r="B12" s="1179"/>
      <c r="C12" s="1179"/>
      <c r="D12" s="1179">
        <v>0.4276852678359338</v>
      </c>
      <c r="E12" s="1179">
        <v>0.50519321281368457</v>
      </c>
      <c r="F12" s="1179">
        <v>0.40447370691386925</v>
      </c>
      <c r="G12" s="1179">
        <v>0.28880521854426672</v>
      </c>
      <c r="H12" s="1179">
        <v>0.44983986789117447</v>
      </c>
      <c r="I12" s="1179">
        <v>0.49178107921508046</v>
      </c>
      <c r="J12" s="1179">
        <v>0.56000000000000005</v>
      </c>
      <c r="K12" s="1179">
        <v>0.56999999999999995</v>
      </c>
      <c r="L12" s="1179">
        <v>0.48</v>
      </c>
      <c r="M12" s="1179">
        <v>0.49</v>
      </c>
      <c r="N12" s="1179">
        <v>0.5</v>
      </c>
      <c r="O12" s="1179">
        <v>0.63</v>
      </c>
      <c r="P12" s="1180">
        <v>0.49</v>
      </c>
      <c r="Q12" s="1180">
        <v>0.49</v>
      </c>
      <c r="R12" s="1180">
        <v>0.49</v>
      </c>
      <c r="S12" s="1180">
        <v>0.49</v>
      </c>
      <c r="T12" s="1180">
        <v>0.49</v>
      </c>
      <c r="U12" s="1180">
        <v>0.49</v>
      </c>
      <c r="V12" s="1180">
        <v>0.49</v>
      </c>
      <c r="W12" s="1180">
        <v>0.49</v>
      </c>
      <c r="X12" s="731"/>
      <c r="Y12" s="1520"/>
      <c r="Z12" s="1215"/>
      <c r="AA12" s="1215"/>
      <c r="AB12" s="731"/>
      <c r="AC12" s="1181"/>
      <c r="AD12" s="1181"/>
      <c r="AE12" s="1181"/>
      <c r="AF12" s="1181"/>
    </row>
    <row r="13" spans="1:32" ht="12.75" customHeight="1">
      <c r="A13" s="2242" t="s">
        <v>1567</v>
      </c>
      <c r="B13" s="1179"/>
      <c r="C13" s="1179"/>
      <c r="D13" s="2243">
        <v>0.57231473216406625</v>
      </c>
      <c r="E13" s="2243">
        <v>0.49480678718631554</v>
      </c>
      <c r="F13" s="2243">
        <v>0.5955262930861307</v>
      </c>
      <c r="G13" s="2243">
        <v>0.71119478145573334</v>
      </c>
      <c r="H13" s="2243">
        <v>0.55016013210882564</v>
      </c>
      <c r="I13" s="2243">
        <v>0.50821892078491948</v>
      </c>
      <c r="J13" s="2243">
        <v>0.44</v>
      </c>
      <c r="K13" s="2243">
        <v>0.43</v>
      </c>
      <c r="L13" s="2243">
        <v>0.52</v>
      </c>
      <c r="M13" s="2243">
        <v>0.51</v>
      </c>
      <c r="N13" s="2243">
        <v>0.5</v>
      </c>
      <c r="O13" s="2243">
        <v>0.37</v>
      </c>
      <c r="P13" s="2244">
        <v>0.51</v>
      </c>
      <c r="Q13" s="2244">
        <v>0.51</v>
      </c>
      <c r="R13" s="2244">
        <v>0.51</v>
      </c>
      <c r="S13" s="2244">
        <v>0.51</v>
      </c>
      <c r="T13" s="2244">
        <v>0.51</v>
      </c>
      <c r="U13" s="2244">
        <v>0.51</v>
      </c>
      <c r="V13" s="2244">
        <v>0.51</v>
      </c>
      <c r="W13" s="2244">
        <v>0.51</v>
      </c>
      <c r="X13" s="731"/>
      <c r="Y13" s="1520"/>
      <c r="Z13" s="1215"/>
      <c r="AA13" s="1215"/>
      <c r="AB13" s="731"/>
      <c r="AC13" s="1181"/>
      <c r="AD13" s="1181"/>
      <c r="AE13" s="1181"/>
      <c r="AF13" s="1181"/>
    </row>
    <row r="14" spans="1:32" s="763" customFormat="1" ht="12.75" customHeight="1">
      <c r="A14" s="1171" t="s">
        <v>54</v>
      </c>
      <c r="B14" s="1542"/>
      <c r="C14" s="1542"/>
      <c r="D14" s="1542"/>
      <c r="E14" s="1542"/>
      <c r="F14" s="1542"/>
      <c r="G14" s="1542"/>
      <c r="H14" s="1542"/>
      <c r="I14" s="1542"/>
      <c r="J14" s="1542"/>
      <c r="K14" s="1542"/>
      <c r="L14" s="1542"/>
      <c r="M14" s="1542"/>
      <c r="N14" s="1542"/>
      <c r="O14" s="1542"/>
      <c r="P14" s="1543"/>
      <c r="Q14" s="1543"/>
      <c r="R14" s="1543"/>
      <c r="S14" s="1543"/>
      <c r="T14" s="1543"/>
      <c r="U14" s="1543"/>
      <c r="V14" s="1543"/>
      <c r="W14" s="1543"/>
      <c r="X14" s="1120"/>
      <c r="Y14" s="1520"/>
      <c r="Z14" s="1215"/>
      <c r="AA14" s="1215"/>
      <c r="AB14" s="1120"/>
      <c r="AC14" s="1522"/>
      <c r="AD14" s="1522"/>
      <c r="AE14" s="1522"/>
      <c r="AF14" s="1522"/>
    </row>
    <row r="15" spans="1:32" s="763" customFormat="1" ht="12.75" customHeight="1">
      <c r="A15" s="1141" t="s">
        <v>1718</v>
      </c>
      <c r="B15" s="1544"/>
      <c r="C15" s="1544"/>
      <c r="D15" s="1544">
        <v>2.1706000000000003</v>
      </c>
      <c r="E15" s="1544">
        <v>2.0460000000000003</v>
      </c>
      <c r="F15" s="1544">
        <v>1.7519</v>
      </c>
      <c r="G15" s="1544">
        <v>2.3228</v>
      </c>
      <c r="H15" s="1544">
        <v>1.7806</v>
      </c>
      <c r="I15" s="1544">
        <v>1.6282999999999999</v>
      </c>
      <c r="J15" s="1544">
        <v>1.8218000000000001</v>
      </c>
      <c r="K15" s="1544">
        <v>2.0134999999999996</v>
      </c>
      <c r="L15" s="1544">
        <v>2.2627000000000002</v>
      </c>
      <c r="M15" s="1544">
        <v>3.2077</v>
      </c>
      <c r="N15" s="1544">
        <v>3.5586000000000002</v>
      </c>
      <c r="O15" s="1544">
        <v>3.4</v>
      </c>
      <c r="P15" s="1545">
        <v>3.1</v>
      </c>
      <c r="Q15" s="1545">
        <v>3.3</v>
      </c>
      <c r="R15" s="1545">
        <v>3.3</v>
      </c>
      <c r="S15" s="1545">
        <v>3.3</v>
      </c>
      <c r="T15" s="1545">
        <v>3.3</v>
      </c>
      <c r="U15" s="1545">
        <v>3.3</v>
      </c>
      <c r="V15" s="1545">
        <v>3.3</v>
      </c>
      <c r="W15" s="1545">
        <v>3.3</v>
      </c>
      <c r="X15" s="1120"/>
      <c r="Y15" s="1520"/>
      <c r="Z15" s="1215"/>
      <c r="AA15" s="1215"/>
      <c r="AB15" s="1120"/>
      <c r="AC15" s="1522"/>
      <c r="AD15" s="1522"/>
      <c r="AE15" s="1522"/>
      <c r="AF15" s="1522"/>
    </row>
    <row r="16" spans="1:32" s="41" customFormat="1">
      <c r="A16" s="1141" t="s">
        <v>210</v>
      </c>
      <c r="B16" s="1544"/>
      <c r="C16" s="1544"/>
      <c r="D16" s="1544">
        <v>13.545</v>
      </c>
      <c r="E16" s="1544">
        <v>10.401666666666666</v>
      </c>
      <c r="F16" s="1544">
        <v>12.4</v>
      </c>
      <c r="G16" s="1544">
        <v>18.787500000000001</v>
      </c>
      <c r="H16" s="1544">
        <v>23.440833333333334</v>
      </c>
      <c r="I16" s="1544">
        <v>25.258333333333336</v>
      </c>
      <c r="J16" s="1544">
        <v>20.410833333333333</v>
      </c>
      <c r="K16" s="1544">
        <v>17.066666666666666</v>
      </c>
      <c r="L16" s="1544">
        <v>15.978333333333333</v>
      </c>
      <c r="M16" s="1544">
        <v>13.149166666666668</v>
      </c>
      <c r="N16" s="1544">
        <v>19.252499999999998</v>
      </c>
      <c r="O16" s="1544">
        <v>17.805000000000003</v>
      </c>
      <c r="P16" s="1545">
        <v>16.244658605325153</v>
      </c>
      <c r="Q16" s="1545">
        <v>16.31531880717511</v>
      </c>
      <c r="R16" s="1545">
        <v>16.498655235130911</v>
      </c>
      <c r="S16" s="1545">
        <v>19.747444770453257</v>
      </c>
      <c r="T16" s="1545">
        <v>20.93514679550681</v>
      </c>
      <c r="U16" s="1545">
        <v>17.432162450241776</v>
      </c>
      <c r="V16" s="1545">
        <v>15.017906650666538</v>
      </c>
      <c r="W16" s="1545">
        <v>17.055276269110166</v>
      </c>
      <c r="X16" s="731"/>
      <c r="Y16" s="1520">
        <v>-3.8524064867703323E-2</v>
      </c>
      <c r="Z16" s="1215">
        <v>7.7875278589984998E-3</v>
      </c>
      <c r="AA16" s="1215">
        <v>-2.8887442216976478E-2</v>
      </c>
      <c r="AB16" s="731"/>
      <c r="AC16" s="1181"/>
      <c r="AD16" s="1181"/>
      <c r="AE16" s="1181"/>
      <c r="AF16" s="1181"/>
    </row>
    <row r="17" spans="1:38" ht="12.75" customHeight="1">
      <c r="A17" s="1182" t="s">
        <v>1565</v>
      </c>
      <c r="B17" s="1546"/>
      <c r="C17" s="1546"/>
      <c r="D17" s="1155">
        <v>549.87709759784548</v>
      </c>
      <c r="E17" s="1155">
        <v>624.90574295252998</v>
      </c>
      <c r="F17" s="1155">
        <v>452.08478127006822</v>
      </c>
      <c r="G17" s="1155">
        <v>548.48455829542741</v>
      </c>
      <c r="H17" s="1155">
        <v>711.1921338707707</v>
      </c>
      <c r="I17" s="1155">
        <v>839.72135852666827</v>
      </c>
      <c r="J17" s="1155">
        <v>928.64219961240303</v>
      </c>
      <c r="K17" s="1155">
        <v>973.49518541282532</v>
      </c>
      <c r="L17" s="1155">
        <v>892.12469733656167</v>
      </c>
      <c r="M17" s="1155">
        <v>925.27992523999671</v>
      </c>
      <c r="N17" s="1155">
        <v>1048.068276436303</v>
      </c>
      <c r="O17" s="1155">
        <v>1251.9068280429321</v>
      </c>
      <c r="P17" s="1156">
        <v>1407.8772144231391</v>
      </c>
      <c r="Q17" s="1156">
        <v>1203.2894278945732</v>
      </c>
      <c r="R17" s="1156">
        <v>1245.1088064177579</v>
      </c>
      <c r="S17" s="1156">
        <v>1490.2861498423542</v>
      </c>
      <c r="T17" s="1156">
        <v>1586.8475041008783</v>
      </c>
      <c r="U17" s="1156">
        <v>1327.0967708404357</v>
      </c>
      <c r="V17" s="1156">
        <v>1148.2717115571372</v>
      </c>
      <c r="W17" s="1156">
        <v>1309.6939589258038</v>
      </c>
      <c r="X17" s="731"/>
      <c r="Y17" s="1520">
        <v>8.4135537198038124E-2</v>
      </c>
      <c r="Z17" s="1215">
        <v>-5.9581287181831644E-2</v>
      </c>
      <c r="AA17" s="1215">
        <v>-2.5504065106759066E-2</v>
      </c>
      <c r="AB17" s="731"/>
      <c r="AC17" s="1181"/>
      <c r="AD17" s="1181"/>
      <c r="AE17" s="1181"/>
      <c r="AF17" s="1181"/>
    </row>
    <row r="18" spans="1:38" hidden="1" outlineLevel="1">
      <c r="A18" s="1141" t="s">
        <v>1581</v>
      </c>
      <c r="B18" s="1195"/>
      <c r="C18" s="1194"/>
      <c r="D18" s="1185" t="s">
        <v>972</v>
      </c>
      <c r="E18" s="1185" t="s">
        <v>972</v>
      </c>
      <c r="F18" s="1185" t="s">
        <v>972</v>
      </c>
      <c r="G18" s="1185" t="s">
        <v>972</v>
      </c>
      <c r="H18" s="1194">
        <v>-335.65811965811963</v>
      </c>
      <c r="I18" s="1194">
        <v>-294.35051546391753</v>
      </c>
      <c r="J18" s="1194">
        <v>-421.47545219638238</v>
      </c>
      <c r="K18" s="1194">
        <v>-404.72858617131061</v>
      </c>
      <c r="L18" s="1194">
        <v>-419.89350912778906</v>
      </c>
      <c r="M18" s="1194">
        <v>-380.00568643379364</v>
      </c>
      <c r="N18" s="1194">
        <v>-464.8130081300813</v>
      </c>
      <c r="O18" s="1194">
        <v>-540.44734819369705</v>
      </c>
      <c r="P18" s="1195">
        <v>-507.1305245299186</v>
      </c>
      <c r="Q18" s="1195">
        <v>-512.53864833248508</v>
      </c>
      <c r="R18" s="1195">
        <v>-533.19481983669561</v>
      </c>
      <c r="S18" s="1195">
        <v>-589.26822832689129</v>
      </c>
      <c r="T18" s="1195">
        <v>-619.00142861769882</v>
      </c>
      <c r="U18" s="1195">
        <v>-593.91317171006688</v>
      </c>
      <c r="V18" s="1195">
        <v>-576.69103480975548</v>
      </c>
      <c r="W18" s="1195">
        <v>-553.62339341736526</v>
      </c>
      <c r="X18" s="1250"/>
      <c r="Y18" s="1215"/>
      <c r="Z18" s="731">
        <v>2.5375850574891334E-2</v>
      </c>
      <c r="AA18" s="731"/>
      <c r="AB18" s="731"/>
      <c r="AC18" s="1195"/>
      <c r="AD18" s="1195"/>
      <c r="AE18" s="1181"/>
      <c r="AF18" s="1523"/>
      <c r="AG18" s="1408"/>
      <c r="AH18" s="165"/>
      <c r="AI18" s="165"/>
      <c r="AJ18" s="43"/>
      <c r="AK18" s="174"/>
      <c r="AL18" s="43"/>
    </row>
    <row r="19" spans="1:38" ht="12.75" customHeight="1" collapsed="1">
      <c r="A19" s="1182" t="s">
        <v>1568</v>
      </c>
      <c r="B19" s="1546"/>
      <c r="C19" s="1546"/>
      <c r="D19" s="1547">
        <v>629.76800000000003</v>
      </c>
      <c r="E19" s="1547">
        <v>676.34199999999998</v>
      </c>
      <c r="F19" s="1547">
        <v>605.74699999999996</v>
      </c>
      <c r="G19" s="1547">
        <v>417.7</v>
      </c>
      <c r="H19" s="1547">
        <v>818.7</v>
      </c>
      <c r="I19" s="1547">
        <v>836.2</v>
      </c>
      <c r="J19" s="1547">
        <v>825.6</v>
      </c>
      <c r="K19" s="1547">
        <v>976.19999999999993</v>
      </c>
      <c r="L19" s="1547">
        <v>991.2</v>
      </c>
      <c r="M19" s="1547">
        <v>1177.0999999999999</v>
      </c>
      <c r="N19" s="1547">
        <v>1201</v>
      </c>
      <c r="O19" s="1547">
        <v>1313.7</v>
      </c>
      <c r="P19" s="1548">
        <v>1395.035815774088</v>
      </c>
      <c r="Q19" s="1548">
        <v>1477.5586582487051</v>
      </c>
      <c r="R19" s="1548">
        <v>1514.9914199906761</v>
      </c>
      <c r="S19" s="1548">
        <v>1568.2177770680119</v>
      </c>
      <c r="T19" s="1548">
        <v>1604.4296709965454</v>
      </c>
      <c r="U19" s="1548">
        <v>1641.4758404898287</v>
      </c>
      <c r="V19" s="1548">
        <v>1679.3775243636262</v>
      </c>
      <c r="W19" s="1548">
        <v>1718.1543510194051</v>
      </c>
      <c r="X19" s="990"/>
      <c r="Y19" s="1520">
        <v>6.9889124209381315E-2</v>
      </c>
      <c r="Z19" s="1215">
        <v>4.2107227096178201E-2</v>
      </c>
      <c r="AA19" s="1215">
        <v>1.8429945664225844E-2</v>
      </c>
      <c r="AB19" s="731"/>
      <c r="AC19" s="1181"/>
      <c r="AD19" s="1181"/>
      <c r="AE19" s="1181"/>
      <c r="AF19" s="1181"/>
    </row>
    <row r="20" spans="1:38" ht="12.75" hidden="1" customHeight="1" outlineLevel="1">
      <c r="A20" s="1182" t="s">
        <v>192</v>
      </c>
      <c r="B20" s="1291"/>
      <c r="C20" s="1291"/>
      <c r="D20" s="1291">
        <v>0.67055169522744873</v>
      </c>
      <c r="E20" s="1291">
        <v>0.70873463425308492</v>
      </c>
      <c r="F20" s="1291">
        <v>0.66949733139412992</v>
      </c>
      <c r="G20" s="1291">
        <v>0.88747905195116117</v>
      </c>
      <c r="H20" s="1291">
        <v>0.92402589471112739</v>
      </c>
      <c r="I20" s="1291">
        <v>0.93231284381726853</v>
      </c>
      <c r="J20" s="1291">
        <v>0.92599321705426352</v>
      </c>
      <c r="K20" s="1291">
        <v>0.9314689612784266</v>
      </c>
      <c r="L20" s="1291">
        <v>0.92877320419693299</v>
      </c>
      <c r="M20" s="1291">
        <v>0.91750913261405154</v>
      </c>
      <c r="N20" s="1291">
        <v>0.91923397169025811</v>
      </c>
      <c r="O20" s="1291">
        <v>0.89518154829869834</v>
      </c>
      <c r="P20" s="1549">
        <v>0.91064203284489875</v>
      </c>
      <c r="Q20" s="1549">
        <v>0.91064203284489875</v>
      </c>
      <c r="R20" s="1549">
        <v>0.91064203284489864</v>
      </c>
      <c r="S20" s="1549">
        <v>0.91064203284489875</v>
      </c>
      <c r="T20" s="1549">
        <v>0.91064203284489875</v>
      </c>
      <c r="U20" s="1549">
        <v>0.91064203284489875</v>
      </c>
      <c r="V20" s="1549">
        <v>0.91064203284489875</v>
      </c>
      <c r="W20" s="1549">
        <v>0.91064203284489875</v>
      </c>
      <c r="X20" s="990"/>
      <c r="Y20" s="1520"/>
      <c r="Z20" s="1215"/>
      <c r="AA20" s="1215"/>
      <c r="AB20" s="731"/>
      <c r="AC20" s="1181"/>
      <c r="AD20" s="1181"/>
      <c r="AE20" s="1181"/>
      <c r="AF20" s="1181"/>
    </row>
    <row r="21" spans="1:38" s="763" customFormat="1" ht="12.75" customHeight="1" collapsed="1">
      <c r="A21" s="1171" t="s">
        <v>1367</v>
      </c>
      <c r="B21" s="1542"/>
      <c r="C21" s="1542"/>
      <c r="D21" s="1542"/>
      <c r="E21" s="1542"/>
      <c r="F21" s="1542"/>
      <c r="G21" s="1542"/>
      <c r="H21" s="1542"/>
      <c r="I21" s="1542"/>
      <c r="J21" s="1542"/>
      <c r="K21" s="1542"/>
      <c r="L21" s="1542"/>
      <c r="M21" s="1542"/>
      <c r="N21" s="1542"/>
      <c r="O21" s="1542"/>
      <c r="P21" s="1543"/>
      <c r="Q21" s="1543"/>
      <c r="R21" s="1543"/>
      <c r="S21" s="1543"/>
      <c r="T21" s="1543"/>
      <c r="U21" s="1543"/>
      <c r="V21" s="1543"/>
      <c r="W21" s="1543"/>
      <c r="X21" s="1171"/>
      <c r="Y21" s="1520"/>
      <c r="Z21" s="1215"/>
      <c r="AA21" s="1215"/>
      <c r="AB21" s="1120"/>
      <c r="AC21" s="1522"/>
      <c r="AD21" s="1522"/>
      <c r="AE21" s="1522"/>
      <c r="AF21" s="1522"/>
    </row>
    <row r="22" spans="1:38" ht="12.75" customHeight="1">
      <c r="A22" s="1182" t="s">
        <v>1569</v>
      </c>
      <c r="B22" s="1546"/>
      <c r="C22" s="1546"/>
      <c r="D22" s="1155">
        <v>850.76573527607229</v>
      </c>
      <c r="E22" s="1155">
        <v>916.0210009941004</v>
      </c>
      <c r="F22" s="1155">
        <v>749.30788867466026</v>
      </c>
      <c r="G22" s="1155">
        <v>769.57647434872933</v>
      </c>
      <c r="H22" s="1155">
        <v>857.95536593370525</v>
      </c>
      <c r="I22" s="1155">
        <v>994.76608745464966</v>
      </c>
      <c r="J22" s="1155">
        <v>1258.2710513203785</v>
      </c>
      <c r="K22" s="1155">
        <v>1211.548358473824</v>
      </c>
      <c r="L22" s="1155">
        <v>1317.1515815847165</v>
      </c>
      <c r="M22" s="1155">
        <v>1349.1070927950659</v>
      </c>
      <c r="N22" s="1155">
        <v>1637.3106918238993</v>
      </c>
      <c r="O22" s="1155">
        <v>1773.8788659793813</v>
      </c>
      <c r="P22" s="1156">
        <v>1691.3685141076389</v>
      </c>
      <c r="Q22" s="1156">
        <v>1841.1499524966634</v>
      </c>
      <c r="R22" s="1156">
        <v>1970.8083998555833</v>
      </c>
      <c r="S22" s="1156">
        <v>2045.2427213153921</v>
      </c>
      <c r="T22" s="1156">
        <v>2094.3285466269617</v>
      </c>
      <c r="U22" s="1156">
        <v>2144.5924317460085</v>
      </c>
      <c r="V22" s="1156">
        <v>2196.0626501079128</v>
      </c>
      <c r="W22" s="1156">
        <v>2343.940671516048</v>
      </c>
      <c r="X22" s="990"/>
      <c r="Y22" s="1520">
        <v>0.10934239193841244</v>
      </c>
      <c r="Z22" s="1215">
        <v>7.9451369070033806E-2</v>
      </c>
      <c r="AA22" s="1215">
        <v>2.7638465176881954E-2</v>
      </c>
      <c r="AB22" s="731"/>
      <c r="AC22" s="1181"/>
      <c r="AD22" s="1181"/>
      <c r="AE22" s="1181"/>
      <c r="AF22" s="1181"/>
    </row>
    <row r="23" spans="1:38" hidden="1" outlineLevel="1">
      <c r="A23" s="1141" t="s">
        <v>1582</v>
      </c>
      <c r="B23" s="1195"/>
      <c r="C23" s="1194"/>
      <c r="D23" s="1185" t="s">
        <v>972</v>
      </c>
      <c r="E23" s="1185" t="s">
        <v>972</v>
      </c>
      <c r="F23" s="1185" t="s">
        <v>972</v>
      </c>
      <c r="G23" s="1185" t="s">
        <v>972</v>
      </c>
      <c r="H23" s="1194">
        <v>-491.00674536256315</v>
      </c>
      <c r="I23" s="1194">
        <v>-403.21238938053096</v>
      </c>
      <c r="J23" s="1194">
        <v>-749.8733509234828</v>
      </c>
      <c r="K23" s="1194">
        <v>-691.68292682926835</v>
      </c>
      <c r="L23" s="1194">
        <v>-676.73593749999998</v>
      </c>
      <c r="M23" s="1194">
        <v>-612.83059418457651</v>
      </c>
      <c r="N23" s="1194">
        <v>-833.66577896138483</v>
      </c>
      <c r="O23" s="1194">
        <v>-943.14992503748135</v>
      </c>
      <c r="P23" s="1195">
        <v>-885.00779547388561</v>
      </c>
      <c r="Q23" s="1195">
        <v>-894.44566500184544</v>
      </c>
      <c r="R23" s="1195">
        <v>-930.49333305104676</v>
      </c>
      <c r="S23" s="1195">
        <v>-1028.3486212504993</v>
      </c>
      <c r="T23" s="1195">
        <v>-1080.2368684944267</v>
      </c>
      <c r="U23" s="1195">
        <v>-1036.4546430827597</v>
      </c>
      <c r="V23" s="1195">
        <v>-1006.3998057691858</v>
      </c>
      <c r="W23" s="1195">
        <v>-966.14381353841839</v>
      </c>
      <c r="X23" s="1250"/>
      <c r="Y23" s="1215"/>
      <c r="Z23" s="731">
        <v>2.5375850574891334E-2</v>
      </c>
      <c r="AA23" s="731"/>
      <c r="AB23" s="731"/>
      <c r="AC23" s="1195"/>
      <c r="AD23" s="1195"/>
      <c r="AE23" s="1181"/>
      <c r="AF23" s="1523"/>
      <c r="AG23" s="1408"/>
      <c r="AH23" s="165"/>
      <c r="AI23" s="165"/>
      <c r="AJ23" s="43"/>
      <c r="AK23" s="174"/>
      <c r="AL23" s="43"/>
    </row>
    <row r="24" spans="1:38" ht="12.75" customHeight="1" collapsed="1">
      <c r="A24" s="1182" t="s">
        <v>1570</v>
      </c>
      <c r="B24" s="1546"/>
      <c r="C24" s="1546"/>
      <c r="D24" s="1547">
        <v>505.26600000000002</v>
      </c>
      <c r="E24" s="1547">
        <v>400.36199999999997</v>
      </c>
      <c r="F24" s="1547">
        <v>537.84699999999998</v>
      </c>
      <c r="G24" s="1547">
        <v>625.69999999999993</v>
      </c>
      <c r="H24" s="1547">
        <v>609.4</v>
      </c>
      <c r="I24" s="1547">
        <v>523.70000000000005</v>
      </c>
      <c r="J24" s="1547">
        <v>401.40000000000003</v>
      </c>
      <c r="K24" s="1547">
        <v>450.8</v>
      </c>
      <c r="L24" s="1547">
        <v>638.6</v>
      </c>
      <c r="M24" s="1547">
        <v>713.39999999999986</v>
      </c>
      <c r="N24" s="1547">
        <v>795.00000000000011</v>
      </c>
      <c r="O24" s="1547">
        <v>698.4</v>
      </c>
      <c r="P24" s="1548">
        <v>879.55627833581912</v>
      </c>
      <c r="Q24" s="1548">
        <v>937.54041027191488</v>
      </c>
      <c r="R24" s="1548">
        <v>960.82114211459702</v>
      </c>
      <c r="S24" s="1548">
        <v>994.61259887007463</v>
      </c>
      <c r="T24" s="1548">
        <v>1017.5769355600827</v>
      </c>
      <c r="U24" s="1548">
        <v>1041.0728680958862</v>
      </c>
      <c r="V24" s="1548">
        <v>1065.1112357398565</v>
      </c>
      <c r="W24" s="1548">
        <v>1089.7046544504815</v>
      </c>
      <c r="X24" s="990"/>
      <c r="Y24" s="1520">
        <v>1.9664729661517999E-2</v>
      </c>
      <c r="Z24" s="1215">
        <v>4.5176072903109432E-2</v>
      </c>
      <c r="AA24" s="1215">
        <v>1.842949828305751E-2</v>
      </c>
      <c r="AB24" s="731"/>
      <c r="AC24" s="1181"/>
      <c r="AD24" s="1181"/>
      <c r="AE24" s="1181"/>
      <c r="AF24" s="1181"/>
    </row>
    <row r="25" spans="1:38" ht="12.75" hidden="1" customHeight="1" outlineLevel="1">
      <c r="A25" s="1182" t="s">
        <v>192</v>
      </c>
      <c r="B25" s="1291"/>
      <c r="C25" s="1291"/>
      <c r="D25" s="1291">
        <v>0.17739171050496172</v>
      </c>
      <c r="E25" s="1291">
        <v>0.30257367082790082</v>
      </c>
      <c r="F25" s="1291">
        <v>0.26400630662623387</v>
      </c>
      <c r="G25" s="1291">
        <v>8.9819402269458212E-2</v>
      </c>
      <c r="H25" s="1291">
        <v>0.14243518214637349</v>
      </c>
      <c r="I25" s="1291">
        <v>9.9866335688371194E-2</v>
      </c>
      <c r="J25" s="1291">
        <v>0.13602391629297458</v>
      </c>
      <c r="K25" s="1291">
        <v>0.20629991126885536</v>
      </c>
      <c r="L25" s="1291">
        <v>0.26980895709364233</v>
      </c>
      <c r="M25" s="1291">
        <v>0.12643678160919541</v>
      </c>
      <c r="N25" s="1291">
        <v>0.17408805031446539</v>
      </c>
      <c r="O25" s="1291">
        <v>9.8797250859106539E-2</v>
      </c>
      <c r="P25" s="1549">
        <v>0.13309733143461588</v>
      </c>
      <c r="Q25" s="1549">
        <v>0.13309733143461588</v>
      </c>
      <c r="R25" s="1549">
        <v>0.13309733143461588</v>
      </c>
      <c r="S25" s="1549">
        <v>0.13309733143461591</v>
      </c>
      <c r="T25" s="1549">
        <v>0.13309733143461588</v>
      </c>
      <c r="U25" s="1549">
        <v>0.13309733143461586</v>
      </c>
      <c r="V25" s="1549">
        <v>0.13309733143461586</v>
      </c>
      <c r="W25" s="1549">
        <v>0.13309733143461588</v>
      </c>
      <c r="X25" s="990"/>
      <c r="Y25" s="1125"/>
      <c r="Z25" s="731"/>
      <c r="AA25" s="731"/>
      <c r="AB25" s="731"/>
      <c r="AC25" s="1181"/>
      <c r="AD25" s="1181"/>
      <c r="AE25" s="1181"/>
      <c r="AF25" s="1181"/>
    </row>
    <row r="26" spans="1:38" ht="12.75" customHeight="1" collapsed="1">
      <c r="A26" s="1141" t="s">
        <v>1571</v>
      </c>
      <c r="B26" s="1179"/>
      <c r="C26" s="1179"/>
      <c r="D26" s="1179">
        <v>0.74622562857709751</v>
      </c>
      <c r="E26" s="1179">
        <v>0.55625722996109961</v>
      </c>
      <c r="F26" s="1179">
        <v>0.61105429439039072</v>
      </c>
      <c r="G26" s="1179">
        <v>0.38774640744154415</v>
      </c>
      <c r="H26" s="1179">
        <v>0.37191642266622787</v>
      </c>
      <c r="I26" s="1179">
        <v>0.47138787997344889</v>
      </c>
      <c r="J26" s="1179">
        <v>0.51</v>
      </c>
      <c r="K26" s="1179">
        <v>0.62</v>
      </c>
      <c r="L26" s="1179">
        <v>0.62</v>
      </c>
      <c r="M26" s="1179">
        <v>0.56000000000000005</v>
      </c>
      <c r="N26" s="1179">
        <v>0.6</v>
      </c>
      <c r="O26" s="1179">
        <v>0.54</v>
      </c>
      <c r="P26" s="1180">
        <v>0.5876873570332416</v>
      </c>
      <c r="Q26" s="1180">
        <v>0.5876873570332416</v>
      </c>
      <c r="R26" s="1180">
        <v>0.5876873570332416</v>
      </c>
      <c r="S26" s="1180">
        <v>0.5876873570332416</v>
      </c>
      <c r="T26" s="1180">
        <v>0.5876873570332416</v>
      </c>
      <c r="U26" s="1180">
        <v>0.5876873570332416</v>
      </c>
      <c r="V26" s="1180">
        <v>0.5876873570332416</v>
      </c>
      <c r="W26" s="1180">
        <v>0.5876873570332416</v>
      </c>
      <c r="X26" s="731"/>
      <c r="Y26" s="1520"/>
      <c r="Z26" s="1215"/>
      <c r="AA26" s="1215"/>
      <c r="AB26" s="731"/>
      <c r="AC26" s="1181"/>
      <c r="AD26" s="1181"/>
      <c r="AE26" s="1181"/>
      <c r="AF26" s="1181"/>
    </row>
    <row r="27" spans="1:38" ht="12.75" customHeight="1">
      <c r="A27" s="1141" t="s">
        <v>1572</v>
      </c>
      <c r="B27" s="1179"/>
      <c r="C27" s="1179"/>
      <c r="D27" s="2243">
        <v>0.25377437142290249</v>
      </c>
      <c r="E27" s="2243">
        <v>0.44374277003890045</v>
      </c>
      <c r="F27" s="2243">
        <v>0.38894570560960928</v>
      </c>
      <c r="G27" s="2243">
        <v>0.61225359255845591</v>
      </c>
      <c r="H27" s="2243">
        <v>0.62808357733377207</v>
      </c>
      <c r="I27" s="2243">
        <v>0.52861212002655111</v>
      </c>
      <c r="J27" s="2243">
        <v>0.49</v>
      </c>
      <c r="K27" s="2243">
        <v>0.38</v>
      </c>
      <c r="L27" s="2243">
        <v>0.38</v>
      </c>
      <c r="M27" s="2243">
        <v>0.44</v>
      </c>
      <c r="N27" s="2243">
        <v>0.4</v>
      </c>
      <c r="O27" s="2243">
        <v>0.46</v>
      </c>
      <c r="P27" s="2244">
        <v>0.4123126429667584</v>
      </c>
      <c r="Q27" s="2244">
        <v>0.4123126429667584</v>
      </c>
      <c r="R27" s="2244">
        <v>0.4123126429667584</v>
      </c>
      <c r="S27" s="2244">
        <v>0.4123126429667584</v>
      </c>
      <c r="T27" s="2244">
        <v>0.4123126429667584</v>
      </c>
      <c r="U27" s="2244">
        <v>0.4123126429667584</v>
      </c>
      <c r="V27" s="2244">
        <v>0.4123126429667584</v>
      </c>
      <c r="W27" s="2244">
        <v>0.4123126429667584</v>
      </c>
      <c r="X27" s="731"/>
      <c r="Y27" s="1520"/>
      <c r="Z27" s="1215"/>
      <c r="AA27" s="1215"/>
      <c r="AB27" s="731"/>
      <c r="AC27" s="1181"/>
      <c r="AD27" s="1181"/>
      <c r="AE27" s="1181"/>
      <c r="AF27" s="1181"/>
    </row>
    <row r="28" spans="1:38" s="763" customFormat="1" ht="12.75" customHeight="1">
      <c r="A28" s="1171" t="s">
        <v>1564</v>
      </c>
      <c r="B28" s="1542"/>
      <c r="C28" s="1542"/>
      <c r="D28" s="1542"/>
      <c r="E28" s="1542"/>
      <c r="F28" s="1542"/>
      <c r="G28" s="1542"/>
      <c r="H28" s="1542"/>
      <c r="I28" s="1542"/>
      <c r="J28" s="1542"/>
      <c r="K28" s="1542"/>
      <c r="L28" s="1542"/>
      <c r="M28" s="1542"/>
      <c r="N28" s="1542"/>
      <c r="O28" s="1542"/>
      <c r="P28" s="1543"/>
      <c r="Q28" s="1543"/>
      <c r="R28" s="1543"/>
      <c r="S28" s="1543"/>
      <c r="T28" s="1543"/>
      <c r="U28" s="1543"/>
      <c r="V28" s="1543"/>
      <c r="W28" s="1543"/>
      <c r="X28" s="1171"/>
      <c r="Y28" s="1520"/>
      <c r="Z28" s="1215"/>
      <c r="AA28" s="1215"/>
      <c r="AB28" s="1120"/>
      <c r="AC28" s="1522"/>
      <c r="AD28" s="1522"/>
      <c r="AE28" s="1522"/>
      <c r="AF28" s="1522"/>
    </row>
    <row r="29" spans="1:38" ht="12.75" customHeight="1">
      <c r="A29" s="1182" t="s">
        <v>1573</v>
      </c>
      <c r="B29" s="1546"/>
      <c r="C29" s="1546"/>
      <c r="D29" s="1155" t="s">
        <v>972</v>
      </c>
      <c r="E29" s="1155" t="s">
        <v>972</v>
      </c>
      <c r="F29" s="1155" t="s">
        <v>972</v>
      </c>
      <c r="G29" s="1155" t="s">
        <v>972</v>
      </c>
      <c r="H29" s="1155" t="s">
        <v>972</v>
      </c>
      <c r="I29" s="1155">
        <v>129.8590021691974</v>
      </c>
      <c r="J29" s="1155">
        <v>110.63753007217322</v>
      </c>
      <c r="K29" s="1155">
        <v>170.40675364543361</v>
      </c>
      <c r="L29" s="1155">
        <v>173.45230078563412</v>
      </c>
      <c r="M29" s="1155">
        <v>295.95305164319251</v>
      </c>
      <c r="N29" s="1155">
        <v>223.25914340712222</v>
      </c>
      <c r="O29" s="1155">
        <v>166.30836522689995</v>
      </c>
      <c r="P29" s="1156">
        <v>183.49999999999997</v>
      </c>
      <c r="Q29" s="1156">
        <v>181.66666666666666</v>
      </c>
      <c r="R29" s="1156">
        <v>187.24</v>
      </c>
      <c r="S29" s="1156">
        <v>193.05856</v>
      </c>
      <c r="T29" s="1156">
        <v>199.13313664</v>
      </c>
      <c r="U29" s="1156">
        <v>205.47499465216001</v>
      </c>
      <c r="V29" s="1156">
        <v>212.09589441685506</v>
      </c>
      <c r="W29" s="1156">
        <v>219.00811377119669</v>
      </c>
      <c r="X29" s="990"/>
      <c r="Y29" s="1796">
        <v>4.2094264246646862E-2</v>
      </c>
      <c r="Z29" s="1215">
        <v>1.0139332661413647E-2</v>
      </c>
      <c r="AA29" s="1215">
        <v>2.5543835542761073E-2</v>
      </c>
      <c r="AB29" s="731"/>
      <c r="AC29" s="1181"/>
      <c r="AD29" s="1181"/>
      <c r="AE29" s="1181"/>
      <c r="AF29" s="1181"/>
    </row>
    <row r="30" spans="1:38" ht="12.75" customHeight="1">
      <c r="A30" s="1182" t="s">
        <v>1574</v>
      </c>
      <c r="B30" s="1546"/>
      <c r="C30" s="1546"/>
      <c r="D30" s="1547" t="s">
        <v>972</v>
      </c>
      <c r="E30" s="1547" t="s">
        <v>972</v>
      </c>
      <c r="F30" s="1547" t="s">
        <v>972</v>
      </c>
      <c r="G30" s="1547" t="s">
        <v>972</v>
      </c>
      <c r="H30" s="1547" t="s">
        <v>972</v>
      </c>
      <c r="I30" s="1547">
        <v>184.4</v>
      </c>
      <c r="J30" s="1547">
        <v>249.4</v>
      </c>
      <c r="K30" s="1547">
        <v>260.60000000000002</v>
      </c>
      <c r="L30" s="1547">
        <v>445.5</v>
      </c>
      <c r="M30" s="1547">
        <v>639</v>
      </c>
      <c r="N30" s="1547">
        <v>831.2</v>
      </c>
      <c r="O30" s="1547">
        <v>914.5</v>
      </c>
      <c r="P30" s="1548">
        <v>900.00000000000011</v>
      </c>
      <c r="Q30" s="1548">
        <v>900.00000000000011</v>
      </c>
      <c r="R30" s="1548">
        <v>918.75</v>
      </c>
      <c r="S30" s="1548">
        <v>937.5</v>
      </c>
      <c r="T30" s="1548">
        <v>956.25</v>
      </c>
      <c r="U30" s="1548">
        <v>974.99999999999989</v>
      </c>
      <c r="V30" s="1548">
        <v>993.74999999999977</v>
      </c>
      <c r="W30" s="1548">
        <v>1012.4999999999998</v>
      </c>
      <c r="X30" s="990"/>
      <c r="Y30" s="1796">
        <v>0.30588158851624647</v>
      </c>
      <c r="Z30" s="1215">
        <v>1.036297108184514E-2</v>
      </c>
      <c r="AA30" s="1215">
        <v>1.5511278397481565E-2</v>
      </c>
      <c r="AB30" s="731"/>
      <c r="AC30" s="1181"/>
      <c r="AD30" s="1181"/>
      <c r="AE30" s="1181"/>
      <c r="AF30" s="1181"/>
    </row>
    <row r="31" spans="1:38" ht="12.75" customHeight="1">
      <c r="A31" s="1171"/>
      <c r="B31" s="1550"/>
      <c r="C31" s="1550"/>
      <c r="D31" s="1550"/>
      <c r="E31" s="1550"/>
      <c r="F31" s="1550"/>
      <c r="G31" s="1550"/>
      <c r="H31" s="1550"/>
      <c r="I31" s="1550"/>
      <c r="J31" s="1550"/>
      <c r="K31" s="1550"/>
      <c r="L31" s="1550"/>
      <c r="M31" s="1550"/>
      <c r="N31" s="1550"/>
      <c r="O31" s="1550"/>
      <c r="P31" s="1551"/>
      <c r="Q31" s="1551"/>
      <c r="R31" s="1551"/>
      <c r="S31" s="1551"/>
      <c r="T31" s="1551"/>
      <c r="U31" s="1551"/>
      <c r="V31" s="1551"/>
      <c r="W31" s="1551"/>
      <c r="X31" s="990"/>
      <c r="Y31" s="1215"/>
      <c r="Z31" s="1215"/>
      <c r="AA31" s="1215"/>
      <c r="AB31" s="731"/>
      <c r="AC31" s="1181"/>
      <c r="AD31" s="1181"/>
      <c r="AE31" s="1181"/>
      <c r="AF31" s="1181"/>
    </row>
    <row r="32" spans="1:38" ht="12.75" customHeight="1">
      <c r="A32" s="990"/>
      <c r="B32" s="1291"/>
      <c r="C32" s="1291"/>
      <c r="D32" s="1291"/>
      <c r="E32" s="1291"/>
      <c r="F32" s="1291"/>
      <c r="G32" s="1291"/>
      <c r="H32" s="1291"/>
      <c r="I32" s="1291"/>
      <c r="J32" s="1291"/>
      <c r="K32" s="1291"/>
      <c r="L32" s="1291"/>
      <c r="M32" s="1291"/>
      <c r="N32" s="1291"/>
      <c r="O32" s="1187"/>
      <c r="P32" s="1549"/>
      <c r="Q32" s="1549"/>
      <c r="R32" s="1549"/>
      <c r="S32" s="1549"/>
      <c r="T32" s="1549"/>
      <c r="U32" s="1549"/>
      <c r="V32" s="1549"/>
      <c r="W32" s="1549"/>
      <c r="X32" s="990"/>
      <c r="Y32" s="731"/>
      <c r="Z32" s="731"/>
      <c r="AA32" s="731"/>
      <c r="AB32" s="731"/>
      <c r="AC32" s="1181"/>
      <c r="AD32" s="1181"/>
      <c r="AE32" s="1181"/>
      <c r="AF32" s="1181"/>
    </row>
    <row r="33" spans="1:38" hidden="1" outlineLevel="1">
      <c r="A33" s="1125"/>
      <c r="B33" s="1316"/>
      <c r="C33" s="1316"/>
      <c r="D33" s="1316"/>
      <c r="E33" s="1316"/>
      <c r="F33" s="1316"/>
      <c r="G33" s="1316"/>
      <c r="H33" s="1316"/>
      <c r="I33" s="1316"/>
      <c r="J33" s="1316"/>
      <c r="K33" s="1316" t="s">
        <v>212</v>
      </c>
      <c r="L33" s="1316" t="s">
        <v>1157</v>
      </c>
      <c r="M33" s="1316" t="s">
        <v>1157</v>
      </c>
      <c r="N33" s="1316" t="s">
        <v>1157</v>
      </c>
      <c r="O33" s="1316" t="s">
        <v>1157</v>
      </c>
      <c r="P33" s="1316" t="s">
        <v>1157</v>
      </c>
      <c r="Q33" s="1316" t="s">
        <v>1157</v>
      </c>
      <c r="R33" s="1316" t="s">
        <v>1157</v>
      </c>
      <c r="S33" s="1316" t="s">
        <v>1157</v>
      </c>
      <c r="T33" s="1316" t="s">
        <v>1157</v>
      </c>
      <c r="U33" s="1316" t="s">
        <v>1157</v>
      </c>
      <c r="V33" s="1316" t="s">
        <v>1157</v>
      </c>
      <c r="W33" s="1316" t="s">
        <v>1157</v>
      </c>
      <c r="X33" s="1181"/>
      <c r="Y33" s="1181"/>
      <c r="Z33" s="1181"/>
      <c r="AA33" s="1181"/>
      <c r="AB33" s="1181"/>
      <c r="AC33" s="1181"/>
      <c r="AD33" s="1181"/>
      <c r="AE33" s="1181"/>
      <c r="AF33" s="1181"/>
    </row>
    <row r="34" spans="1:38" ht="12.75" hidden="1" customHeight="1" outlineLevel="1">
      <c r="A34" s="731"/>
      <c r="B34" s="1316" t="s">
        <v>211</v>
      </c>
      <c r="C34" s="1316" t="s">
        <v>211</v>
      </c>
      <c r="D34" s="1316" t="s">
        <v>211</v>
      </c>
      <c r="E34" s="1316" t="s">
        <v>211</v>
      </c>
      <c r="F34" s="1316" t="s">
        <v>211</v>
      </c>
      <c r="G34" s="1316" t="s">
        <v>211</v>
      </c>
      <c r="H34" s="1316" t="s">
        <v>212</v>
      </c>
      <c r="I34" s="1316" t="s">
        <v>212</v>
      </c>
      <c r="J34" s="1316" t="s">
        <v>212</v>
      </c>
      <c r="K34" s="1316" t="s">
        <v>212</v>
      </c>
      <c r="L34" s="1316" t="s">
        <v>212</v>
      </c>
      <c r="M34" s="1316" t="s">
        <v>212</v>
      </c>
      <c r="N34" s="1316" t="s">
        <v>212</v>
      </c>
      <c r="O34" s="1316" t="s">
        <v>212</v>
      </c>
      <c r="P34" s="1316" t="s">
        <v>212</v>
      </c>
      <c r="Q34" s="1316" t="s">
        <v>212</v>
      </c>
      <c r="R34" s="1316" t="s">
        <v>212</v>
      </c>
      <c r="S34" s="1316" t="s">
        <v>212</v>
      </c>
      <c r="T34" s="1316" t="s">
        <v>212</v>
      </c>
      <c r="U34" s="1316" t="s">
        <v>212</v>
      </c>
      <c r="V34" s="1316" t="s">
        <v>212</v>
      </c>
      <c r="W34" s="1316" t="s">
        <v>212</v>
      </c>
      <c r="X34" s="731"/>
      <c r="Y34" s="731"/>
      <c r="Z34" s="731"/>
      <c r="AA34" s="731"/>
      <c r="AB34" s="731"/>
      <c r="AC34" s="1181"/>
      <c r="AD34" s="1181"/>
      <c r="AE34" s="1181"/>
      <c r="AF34" s="1181"/>
      <c r="AG34" s="43"/>
      <c r="AH34" s="43"/>
      <c r="AI34" s="43"/>
      <c r="AJ34" s="43"/>
      <c r="AK34" s="43"/>
      <c r="AL34" s="43"/>
    </row>
    <row r="35" spans="1:38" collapsed="1">
      <c r="A35" s="1342" t="s">
        <v>213</v>
      </c>
      <c r="B35" s="1343">
        <v>2004</v>
      </c>
      <c r="C35" s="1343">
        <v>2005</v>
      </c>
      <c r="D35" s="1343">
        <v>2006</v>
      </c>
      <c r="E35" s="1343">
        <v>2007</v>
      </c>
      <c r="F35" s="1343">
        <v>2008</v>
      </c>
      <c r="G35" s="1343">
        <v>2009</v>
      </c>
      <c r="H35" s="1343">
        <v>2010</v>
      </c>
      <c r="I35" s="1343">
        <v>2011</v>
      </c>
      <c r="J35" s="1343">
        <v>2012</v>
      </c>
      <c r="K35" s="1343">
        <v>2013</v>
      </c>
      <c r="L35" s="1343">
        <v>2014</v>
      </c>
      <c r="M35" s="1343">
        <v>2015</v>
      </c>
      <c r="N35" s="1343">
        <v>2016</v>
      </c>
      <c r="O35" s="1343">
        <v>2017</v>
      </c>
      <c r="P35" s="1344">
        <v>2018</v>
      </c>
      <c r="Q35" s="1344">
        <v>2019</v>
      </c>
      <c r="R35" s="1344">
        <v>2020</v>
      </c>
      <c r="S35" s="1344">
        <v>2021</v>
      </c>
      <c r="T35" s="1344">
        <v>2022</v>
      </c>
      <c r="U35" s="1344">
        <v>2023</v>
      </c>
      <c r="V35" s="1344">
        <v>2024</v>
      </c>
      <c r="W35" s="1344">
        <v>2025</v>
      </c>
      <c r="X35" s="731"/>
      <c r="Y35" s="731"/>
      <c r="Z35" s="731"/>
      <c r="AA35" s="731"/>
      <c r="AB35" s="731"/>
      <c r="AC35" s="1411"/>
      <c r="AD35" s="1411"/>
      <c r="AE35" s="1181"/>
      <c r="AF35" s="1181"/>
      <c r="AG35" s="231"/>
      <c r="AH35" s="231"/>
      <c r="AI35" s="231"/>
      <c r="AJ35" s="43"/>
      <c r="AK35" s="43"/>
      <c r="AL35" s="43"/>
    </row>
    <row r="36" spans="1:38">
      <c r="A36" s="1120" t="s">
        <v>295</v>
      </c>
      <c r="B36" s="1187">
        <v>518</v>
      </c>
      <c r="C36" s="1187">
        <v>648.19999999999993</v>
      </c>
      <c r="D36" s="1187">
        <v>808.02199999999993</v>
      </c>
      <c r="E36" s="1187">
        <v>826.53699999999992</v>
      </c>
      <c r="F36" s="1187">
        <v>712.42000000000007</v>
      </c>
      <c r="G36" s="1187">
        <v>774.44299999999998</v>
      </c>
      <c r="H36" s="1187">
        <v>1183.2859999999998</v>
      </c>
      <c r="I36" s="1187">
        <v>1295.0279999999998</v>
      </c>
      <c r="J36" s="1187">
        <v>1366.99</v>
      </c>
      <c r="K36" s="1187">
        <v>1635.9549999999999</v>
      </c>
      <c r="L36" s="1187">
        <v>1971.69</v>
      </c>
      <c r="M36" s="1187">
        <v>2325.1619999999998</v>
      </c>
      <c r="N36" s="1187">
        <v>2727.3789999999999</v>
      </c>
      <c r="O36" s="1187">
        <v>3002.8820000000001</v>
      </c>
      <c r="P36" s="1188">
        <v>3656.7611338954334</v>
      </c>
      <c r="Q36" s="1188">
        <v>3782.0958344005958</v>
      </c>
      <c r="R36" s="1188">
        <v>4084.7849487160179</v>
      </c>
      <c r="S36" s="1188">
        <v>4701.0846333566287</v>
      </c>
      <c r="T36" s="1188">
        <v>5031.1990094477269</v>
      </c>
      <c r="U36" s="1188">
        <v>4788.1568893299891</v>
      </c>
      <c r="V36" s="1188">
        <v>4665.5521600540633</v>
      </c>
      <c r="W36" s="1188">
        <v>5221.0482727477665</v>
      </c>
      <c r="X36" s="1524"/>
      <c r="Y36" s="1215">
        <v>0.14229522909060632</v>
      </c>
      <c r="Z36" s="1215">
        <v>5.6905851645932648E-2</v>
      </c>
      <c r="AA36" s="1215">
        <v>2.1202637394289514E-2</v>
      </c>
      <c r="AB36" s="731"/>
      <c r="AC36" s="1188"/>
      <c r="AD36" s="1188"/>
      <c r="AE36" s="1525"/>
      <c r="AF36" s="1523"/>
      <c r="AG36" s="1408"/>
      <c r="AH36" s="19"/>
      <c r="AI36" s="19"/>
      <c r="AJ36" s="43"/>
      <c r="AK36" s="174"/>
      <c r="AL36" s="43"/>
    </row>
    <row r="37" spans="1:38" ht="12.75" hidden="1" customHeight="1" outlineLevel="1">
      <c r="A37" s="1182" t="s">
        <v>54</v>
      </c>
      <c r="B37" s="1183">
        <v>293.2</v>
      </c>
      <c r="C37" s="1183">
        <v>312.7</v>
      </c>
      <c r="D37" s="1183">
        <v>346.29500000000002</v>
      </c>
      <c r="E37" s="1183">
        <v>422.65</v>
      </c>
      <c r="F37" s="1183">
        <v>273.84899999999999</v>
      </c>
      <c r="G37" s="1183">
        <v>229.102</v>
      </c>
      <c r="H37" s="1183">
        <v>582.25300000000004</v>
      </c>
      <c r="I37" s="1183">
        <v>702.17499999999995</v>
      </c>
      <c r="J37" s="1183">
        <v>766.68700000000001</v>
      </c>
      <c r="K37" s="1183">
        <v>950.32600000000002</v>
      </c>
      <c r="L37" s="1183">
        <v>884.274</v>
      </c>
      <c r="M37" s="1183">
        <v>1089.1469999999999</v>
      </c>
      <c r="N37" s="1183">
        <v>1258.73</v>
      </c>
      <c r="O37" s="1183">
        <v>1644.63</v>
      </c>
      <c r="P37" s="1184">
        <v>1964.0391383325343</v>
      </c>
      <c r="Q37" s="1184">
        <v>1777.9307125647576</v>
      </c>
      <c r="R37" s="1184">
        <v>1886.329158677735</v>
      </c>
      <c r="S37" s="1184">
        <v>2337.0932331010231</v>
      </c>
      <c r="T37" s="1184">
        <v>2545.985218926261</v>
      </c>
      <c r="U37" s="1184">
        <v>2178.3972873266416</v>
      </c>
      <c r="V37" s="1184">
        <v>1928.3817042516089</v>
      </c>
      <c r="W37" s="1184">
        <v>2250.2563740321998</v>
      </c>
      <c r="X37" s="1250"/>
      <c r="Y37" s="460"/>
      <c r="Z37" s="731"/>
      <c r="AA37" s="731"/>
      <c r="AB37" s="731"/>
      <c r="AC37" s="1184"/>
      <c r="AD37" s="1184"/>
      <c r="AE37" s="1181"/>
      <c r="AF37" s="1523"/>
      <c r="AG37" s="1408"/>
      <c r="AH37" s="43"/>
      <c r="AI37" s="43"/>
      <c r="AJ37" s="43"/>
      <c r="AK37" s="43"/>
      <c r="AL37" s="43"/>
    </row>
    <row r="38" spans="1:38" ht="12.75" hidden="1" customHeight="1" outlineLevel="1">
      <c r="A38" s="1141" t="s">
        <v>42</v>
      </c>
      <c r="B38" s="1185">
        <v>195</v>
      </c>
      <c r="C38" s="1185">
        <v>304.2</v>
      </c>
      <c r="D38" s="1185">
        <v>429.86299999999994</v>
      </c>
      <c r="E38" s="1185">
        <v>366.74</v>
      </c>
      <c r="F38" s="1185">
        <v>403.01299999999998</v>
      </c>
      <c r="G38" s="1183">
        <v>481.524</v>
      </c>
      <c r="H38" s="1183">
        <v>522.83799999999997</v>
      </c>
      <c r="I38" s="1183">
        <v>520.95900000000006</v>
      </c>
      <c r="J38" s="1183">
        <v>505.07</v>
      </c>
      <c r="K38" s="1183">
        <v>546.16599999999994</v>
      </c>
      <c r="L38" s="1183">
        <v>841.13300000000004</v>
      </c>
      <c r="M38" s="1183">
        <v>962.45299999999997</v>
      </c>
      <c r="N38" s="1183">
        <v>1301.662</v>
      </c>
      <c r="O38" s="1183">
        <v>1238.877</v>
      </c>
      <c r="P38" s="1184">
        <v>1487.6537955628992</v>
      </c>
      <c r="Q38" s="1184">
        <v>1726.1524818358384</v>
      </c>
      <c r="R38" s="1184">
        <v>1893.594377638283</v>
      </c>
      <c r="S38" s="1184">
        <v>2034.2241783676059</v>
      </c>
      <c r="T38" s="1184">
        <v>2131.1404245326653</v>
      </c>
      <c r="U38" s="1184">
        <v>2232.676993814548</v>
      </c>
      <c r="V38" s="1184">
        <v>2339.0510030185833</v>
      </c>
      <c r="W38" s="1184">
        <v>2554.2030595068245</v>
      </c>
      <c r="X38" s="1250"/>
      <c r="Y38" s="460"/>
      <c r="Z38" s="731"/>
      <c r="AA38" s="731"/>
      <c r="AB38" s="731"/>
      <c r="AC38" s="1184"/>
      <c r="AD38" s="1184"/>
      <c r="AE38" s="1181"/>
      <c r="AF38" s="1523"/>
      <c r="AG38" s="1408"/>
      <c r="AH38" s="43"/>
      <c r="AI38" s="43"/>
      <c r="AJ38" s="43"/>
      <c r="AK38" s="43"/>
      <c r="AL38" s="43"/>
    </row>
    <row r="39" spans="1:38" ht="12.75" hidden="1" customHeight="1" outlineLevel="1">
      <c r="A39" s="1141" t="s">
        <v>214</v>
      </c>
      <c r="B39" s="1185">
        <v>0</v>
      </c>
      <c r="C39" s="1185">
        <v>0</v>
      </c>
      <c r="D39" s="1185">
        <v>0</v>
      </c>
      <c r="E39" s="1185">
        <v>0</v>
      </c>
      <c r="F39" s="1185">
        <v>0</v>
      </c>
      <c r="G39" s="1183">
        <v>16.445</v>
      </c>
      <c r="H39" s="1183">
        <v>22.300999999999998</v>
      </c>
      <c r="I39" s="1183">
        <v>23.946000000000002</v>
      </c>
      <c r="J39" s="1183">
        <v>27.593</v>
      </c>
      <c r="K39" s="1183">
        <v>44.408000000000001</v>
      </c>
      <c r="L39" s="1183">
        <v>77.272999999999996</v>
      </c>
      <c r="M39" s="1183">
        <v>189.114</v>
      </c>
      <c r="N39" s="1183">
        <v>185.57300000000001</v>
      </c>
      <c r="O39" s="1183">
        <v>152.089</v>
      </c>
      <c r="P39" s="1184">
        <v>165.15</v>
      </c>
      <c r="Q39" s="1184">
        <v>163.50000000000003</v>
      </c>
      <c r="R39" s="1184">
        <v>172.02674999999999</v>
      </c>
      <c r="S39" s="1184">
        <v>180.9924</v>
      </c>
      <c r="T39" s="1184">
        <v>190.421061912</v>
      </c>
      <c r="U39" s="1184">
        <v>200.33811978585598</v>
      </c>
      <c r="V39" s="1184">
        <v>210.77029507674968</v>
      </c>
      <c r="W39" s="1184">
        <v>221.74571519333659</v>
      </c>
      <c r="X39" s="1250"/>
      <c r="Y39" s="460"/>
      <c r="Z39" s="731"/>
      <c r="AA39" s="731"/>
      <c r="AB39" s="731"/>
      <c r="AC39" s="1184"/>
      <c r="AD39" s="1184"/>
      <c r="AE39" s="1181"/>
      <c r="AF39" s="1523"/>
      <c r="AG39" s="1408"/>
      <c r="AH39" s="43"/>
      <c r="AI39" s="43"/>
      <c r="AJ39" s="43"/>
      <c r="AK39" s="43"/>
      <c r="AL39" s="43"/>
    </row>
    <row r="40" spans="1:38" ht="12.75" hidden="1" customHeight="1" outlineLevel="1">
      <c r="A40" s="1141" t="s">
        <v>46</v>
      </c>
      <c r="B40" s="1183">
        <v>29.799999999999997</v>
      </c>
      <c r="C40" s="1183">
        <v>31.299999999999997</v>
      </c>
      <c r="D40" s="1183">
        <v>31.863999999999997</v>
      </c>
      <c r="E40" s="1183">
        <v>37.146000000000001</v>
      </c>
      <c r="F40" s="1183">
        <v>35.557000000000002</v>
      </c>
      <c r="G40" s="1183">
        <v>47.372</v>
      </c>
      <c r="H40" s="1183">
        <v>55.895000000000003</v>
      </c>
      <c r="I40" s="1183">
        <v>47.965000000000003</v>
      </c>
      <c r="J40" s="1183">
        <v>67.64</v>
      </c>
      <c r="K40" s="1183">
        <v>95.054000000000002</v>
      </c>
      <c r="L40" s="1183">
        <v>168.49199999999999</v>
      </c>
      <c r="M40" s="1183">
        <v>84.448000000000008</v>
      </c>
      <c r="N40" s="1183">
        <v>-18.586000000000006</v>
      </c>
      <c r="O40" s="1183">
        <v>-32.714000000000013</v>
      </c>
      <c r="P40" s="1186">
        <v>39.918199999999999</v>
      </c>
      <c r="Q40" s="1186">
        <v>114.51264</v>
      </c>
      <c r="R40" s="1186">
        <v>132.83466239999998</v>
      </c>
      <c r="S40" s="1186">
        <v>148.77482188799999</v>
      </c>
      <c r="T40" s="1186">
        <v>163.65230407680002</v>
      </c>
      <c r="U40" s="1186">
        <v>176.744488402944</v>
      </c>
      <c r="V40" s="1186">
        <v>187.34915770712064</v>
      </c>
      <c r="W40" s="1186">
        <v>194.84312401540546</v>
      </c>
      <c r="X40" s="1250"/>
      <c r="Y40" s="731"/>
      <c r="Z40" s="731"/>
      <c r="AA40" s="731"/>
      <c r="AB40" s="731"/>
      <c r="AC40" s="1186"/>
      <c r="AD40" s="1186"/>
      <c r="AE40" s="1181"/>
      <c r="AF40" s="1523"/>
      <c r="AG40" s="1408"/>
      <c r="AH40" s="43"/>
      <c r="AI40" s="43"/>
      <c r="AJ40" s="43"/>
      <c r="AK40" s="43"/>
      <c r="AL40" s="43"/>
    </row>
    <row r="41" spans="1:38" s="946" customFormat="1" collapsed="1">
      <c r="A41" s="1711" t="s">
        <v>215</v>
      </c>
      <c r="B41" s="1190"/>
      <c r="C41" s="1191">
        <v>0.25135135135135123</v>
      </c>
      <c r="D41" s="1191">
        <v>0.24656278926257325</v>
      </c>
      <c r="E41" s="1191">
        <v>2.2913980064899198E-2</v>
      </c>
      <c r="F41" s="1191">
        <v>-0.1380664144496857</v>
      </c>
      <c r="G41" s="1191">
        <v>8.7059599674349286E-2</v>
      </c>
      <c r="H41" s="1191">
        <v>0.52791877517131658</v>
      </c>
      <c r="I41" s="1191">
        <v>9.4433636500389495E-2</v>
      </c>
      <c r="J41" s="1191">
        <v>5.5567910500776918E-2</v>
      </c>
      <c r="K41" s="1191">
        <v>0.19675710868404295</v>
      </c>
      <c r="L41" s="1191">
        <v>0.20522263754198633</v>
      </c>
      <c r="M41" s="1191">
        <v>0.17927361806369135</v>
      </c>
      <c r="N41" s="1191">
        <v>0.17298450602581683</v>
      </c>
      <c r="O41" s="1191">
        <v>0.10101383049440504</v>
      </c>
      <c r="P41" s="1192">
        <v>0.21775052562685882</v>
      </c>
      <c r="Q41" s="1192">
        <v>3.4274784684021009E-2</v>
      </c>
      <c r="R41" s="1192">
        <v>8.0032111180861731E-2</v>
      </c>
      <c r="S41" s="1192">
        <v>0.150876898631918</v>
      </c>
      <c r="T41" s="1192">
        <v>7.0220896205264172E-2</v>
      </c>
      <c r="U41" s="1192">
        <v>-4.8306997926606865E-2</v>
      </c>
      <c r="V41" s="1192">
        <v>-2.5605829572782013E-2</v>
      </c>
      <c r="W41" s="1192">
        <v>0.11906331633151579</v>
      </c>
      <c r="X41" s="1191"/>
      <c r="Y41" s="1196"/>
      <c r="Z41" s="1196"/>
      <c r="AA41" s="1196"/>
      <c r="AB41" s="1196"/>
      <c r="AC41" s="1192"/>
      <c r="AD41" s="1192"/>
      <c r="AE41" s="1526"/>
      <c r="AF41" s="1523"/>
      <c r="AG41" s="1408"/>
      <c r="AH41" s="947"/>
      <c r="AI41" s="947"/>
      <c r="AJ41" s="945"/>
      <c r="AK41" s="947"/>
      <c r="AL41" s="945"/>
    </row>
    <row r="42" spans="1:38">
      <c r="A42" s="731" t="s">
        <v>1194</v>
      </c>
      <c r="B42" s="1194">
        <v>-295.76800000000003</v>
      </c>
      <c r="C42" s="1194">
        <v>-355.28999999999996</v>
      </c>
      <c r="D42" s="1194">
        <v>-372.45499999999998</v>
      </c>
      <c r="E42" s="1194">
        <v>-296.49299999999999</v>
      </c>
      <c r="F42" s="1194">
        <v>-432.36899999999997</v>
      </c>
      <c r="G42" s="1194">
        <v>-434.53500000000003</v>
      </c>
      <c r="H42" s="1194">
        <v>-627.75300000000004</v>
      </c>
      <c r="I42" s="1194">
        <v>-565.33400000000006</v>
      </c>
      <c r="J42" s="1194">
        <v>-638.81099999999992</v>
      </c>
      <c r="K42" s="1194">
        <v>-780.74500000000012</v>
      </c>
      <c r="L42" s="1194">
        <v>-992.93300000000011</v>
      </c>
      <c r="M42" s="1194">
        <v>-1044.027</v>
      </c>
      <c r="N42" s="1194">
        <v>-1237.6200000000001</v>
      </c>
      <c r="O42" s="1194">
        <v>-1436.1219999999998</v>
      </c>
      <c r="P42" s="1195">
        <v>-1607.4748353231146</v>
      </c>
      <c r="Q42" s="1195">
        <v>-1692.6128879189498</v>
      </c>
      <c r="R42" s="1195">
        <v>-1805.6630380194817</v>
      </c>
      <c r="S42" s="1195">
        <v>-2057.2582494033295</v>
      </c>
      <c r="T42" s="1195">
        <v>-2209.5484185174632</v>
      </c>
      <c r="U42" s="1195">
        <v>-2178.364019461967</v>
      </c>
      <c r="V42" s="1195">
        <v>-2171.892145374688</v>
      </c>
      <c r="W42" s="1195">
        <v>-2142.3506189739287</v>
      </c>
      <c r="X42" s="1250"/>
      <c r="Y42" s="1215"/>
      <c r="Z42" s="731"/>
      <c r="AA42" s="731"/>
      <c r="AB42" s="731"/>
      <c r="AC42" s="1195"/>
      <c r="AD42" s="1195"/>
      <c r="AE42" s="1181"/>
      <c r="AF42" s="1523"/>
      <c r="AG42" s="1408"/>
      <c r="AH42" s="165"/>
      <c r="AI42" s="165"/>
      <c r="AJ42" s="43"/>
      <c r="AK42" s="174"/>
      <c r="AL42" s="43"/>
    </row>
    <row r="43" spans="1:38">
      <c r="A43" s="1120" t="s">
        <v>216</v>
      </c>
      <c r="B43" s="1187">
        <v>222.23199999999997</v>
      </c>
      <c r="C43" s="1187">
        <v>292.90999999999997</v>
      </c>
      <c r="D43" s="1187">
        <v>435.56699999999995</v>
      </c>
      <c r="E43" s="1187">
        <v>530.04399999999987</v>
      </c>
      <c r="F43" s="1187">
        <v>280.0510000000001</v>
      </c>
      <c r="G43" s="1187">
        <v>339.90799999999996</v>
      </c>
      <c r="H43" s="1187">
        <v>555.53299999999979</v>
      </c>
      <c r="I43" s="1187">
        <v>729.69399999999973</v>
      </c>
      <c r="J43" s="1187">
        <v>728.17900000000009</v>
      </c>
      <c r="K43" s="1187">
        <v>855.20999999999981</v>
      </c>
      <c r="L43" s="1187">
        <v>978.75699999999995</v>
      </c>
      <c r="M43" s="1187">
        <v>1281.1349999999998</v>
      </c>
      <c r="N43" s="1187">
        <v>1489.7589999999998</v>
      </c>
      <c r="O43" s="1187">
        <v>1566.7600000000002</v>
      </c>
      <c r="P43" s="1188">
        <v>2049.2862985723186</v>
      </c>
      <c r="Q43" s="1188">
        <v>2089.4829464816457</v>
      </c>
      <c r="R43" s="1188">
        <v>2279.1219106965364</v>
      </c>
      <c r="S43" s="1188">
        <v>2643.8263839532992</v>
      </c>
      <c r="T43" s="1188">
        <v>2821.6505909302637</v>
      </c>
      <c r="U43" s="1188">
        <v>2609.7928698680221</v>
      </c>
      <c r="V43" s="1188">
        <v>2493.6600146793753</v>
      </c>
      <c r="W43" s="1188">
        <v>3078.6976537738378</v>
      </c>
      <c r="X43" s="1524"/>
      <c r="Y43" s="731"/>
      <c r="Z43" s="731"/>
      <c r="AA43" s="731"/>
      <c r="AB43" s="731"/>
      <c r="AC43" s="1188"/>
      <c r="AD43" s="1188"/>
      <c r="AE43" s="1525"/>
      <c r="AF43" s="1523"/>
      <c r="AG43" s="1408"/>
      <c r="AH43" s="19"/>
      <c r="AI43" s="19"/>
      <c r="AJ43" s="43"/>
      <c r="AK43" s="174"/>
      <c r="AL43" s="43"/>
    </row>
    <row r="44" spans="1:38">
      <c r="A44" s="1196" t="s">
        <v>217</v>
      </c>
      <c r="B44" s="1197">
        <v>0.42901930501930496</v>
      </c>
      <c r="C44" s="1197">
        <v>0.45188213514347425</v>
      </c>
      <c r="D44" s="1197">
        <v>0.53905339211061087</v>
      </c>
      <c r="E44" s="1197">
        <v>0.64128284638195254</v>
      </c>
      <c r="F44" s="1197">
        <v>0.39309817242637779</v>
      </c>
      <c r="G44" s="1197">
        <v>0.43890641402917963</v>
      </c>
      <c r="H44" s="1197">
        <v>0.46948328637370834</v>
      </c>
      <c r="I44" s="1197">
        <v>0.56345808739270486</v>
      </c>
      <c r="J44" s="1197">
        <v>0.53268787628292824</v>
      </c>
      <c r="K44" s="1197">
        <v>0.52275887784199437</v>
      </c>
      <c r="L44" s="1197">
        <v>0.49640511439425056</v>
      </c>
      <c r="M44" s="1197">
        <v>0.55098741507043369</v>
      </c>
      <c r="N44" s="1197">
        <v>0.54622368215051886</v>
      </c>
      <c r="O44" s="1197">
        <v>0.5217521034792576</v>
      </c>
      <c r="P44" s="1198">
        <v>0.56041021645547784</v>
      </c>
      <c r="Q44" s="1198">
        <v>0.55246694900654114</v>
      </c>
      <c r="R44" s="1198">
        <v>0.55795395334408959</v>
      </c>
      <c r="S44" s="1198">
        <v>0.56238646826180971</v>
      </c>
      <c r="T44" s="1198">
        <v>0.56083064606104605</v>
      </c>
      <c r="U44" s="1198">
        <v>0.54505166187927745</v>
      </c>
      <c r="V44" s="1198">
        <v>0.5344833642692528</v>
      </c>
      <c r="W44" s="1198">
        <v>0.58967040581556651</v>
      </c>
      <c r="X44" s="1197"/>
      <c r="Y44" s="731"/>
      <c r="Z44" s="731"/>
      <c r="AA44" s="731"/>
      <c r="AB44" s="731"/>
      <c r="AC44" s="1198"/>
      <c r="AD44" s="1198"/>
      <c r="AE44" s="1181"/>
      <c r="AF44" s="1523"/>
      <c r="AG44" s="1408"/>
      <c r="AH44" s="13"/>
      <c r="AI44" s="13"/>
      <c r="AJ44" s="43"/>
      <c r="AK44" s="174"/>
      <c r="AL44" s="43"/>
    </row>
    <row r="45" spans="1:38" hidden="1" outlineLevel="1">
      <c r="A45" s="1182" t="s">
        <v>54</v>
      </c>
      <c r="B45" s="1197"/>
      <c r="C45" s="1197"/>
      <c r="D45" s="1197"/>
      <c r="E45" s="1197"/>
      <c r="F45" s="1197"/>
      <c r="G45" s="1197"/>
      <c r="H45" s="1197">
        <v>0.59530994258509617</v>
      </c>
      <c r="I45" s="1197">
        <v>0.63403994730658308</v>
      </c>
      <c r="J45" s="1197">
        <v>0.57450432836346521</v>
      </c>
      <c r="K45" s="1197">
        <v>0.58731845703474383</v>
      </c>
      <c r="L45" s="1197">
        <v>0.53180235990202129</v>
      </c>
      <c r="M45" s="1197">
        <v>0.57050150255199705</v>
      </c>
      <c r="N45" s="1197">
        <v>0.54579615962120553</v>
      </c>
      <c r="O45" s="1197">
        <v>0.57247405191441236</v>
      </c>
      <c r="P45" s="1198">
        <v>0.63979065835104854</v>
      </c>
      <c r="Q45" s="1198">
        <v>0.57278351634501423</v>
      </c>
      <c r="R45" s="1198">
        <v>0.57059124886384605</v>
      </c>
      <c r="S45" s="1198">
        <v>0.60350042892929268</v>
      </c>
      <c r="T45" s="1198">
        <v>0.60883918068424969</v>
      </c>
      <c r="U45" s="1198">
        <v>0.55123468491874372</v>
      </c>
      <c r="V45" s="1198">
        <v>0.49638639865534995</v>
      </c>
      <c r="W45" s="1198">
        <v>0.57611941458523397</v>
      </c>
      <c r="X45" s="1197"/>
      <c r="Y45" s="731"/>
      <c r="Z45" s="731"/>
      <c r="AA45" s="731"/>
      <c r="AB45" s="731"/>
      <c r="AC45" s="1198"/>
      <c r="AD45" s="1198"/>
      <c r="AE45" s="1181"/>
      <c r="AF45" s="1523"/>
      <c r="AG45" s="1408"/>
      <c r="AH45" s="13"/>
      <c r="AI45" s="13"/>
      <c r="AJ45" s="43"/>
      <c r="AK45" s="174"/>
      <c r="AL45" s="43"/>
    </row>
    <row r="46" spans="1:38" hidden="1" outlineLevel="1">
      <c r="A46" s="1182" t="s">
        <v>42</v>
      </c>
      <c r="B46" s="1197"/>
      <c r="C46" s="1197"/>
      <c r="D46" s="1197"/>
      <c r="E46" s="1197"/>
      <c r="F46" s="1197"/>
      <c r="G46" s="1197"/>
      <c r="H46" s="1197">
        <v>0.44310283491253505</v>
      </c>
      <c r="I46" s="1197">
        <v>0.56270071157231194</v>
      </c>
      <c r="J46" s="1197">
        <v>0.43730176015205813</v>
      </c>
      <c r="K46" s="1197">
        <v>0.42883848500272803</v>
      </c>
      <c r="L46" s="1197">
        <v>0.485086187321149</v>
      </c>
      <c r="M46" s="1197">
        <v>0.49634008102213817</v>
      </c>
      <c r="N46" s="1197">
        <v>0.51901261617839356</v>
      </c>
      <c r="O46" s="1197">
        <v>0.49221674145213767</v>
      </c>
      <c r="P46" s="1198">
        <v>0.47907371147576061</v>
      </c>
      <c r="Q46" s="1198">
        <v>0.51798925907754279</v>
      </c>
      <c r="R46" s="1198">
        <v>0.53143002841686016</v>
      </c>
      <c r="S46" s="1198">
        <v>0.5010086840201301</v>
      </c>
      <c r="T46" s="1198">
        <v>0.4881152423738484</v>
      </c>
      <c r="U46" s="1198">
        <v>0.5203731216200681</v>
      </c>
      <c r="V46" s="1198">
        <v>0.54519649678958049</v>
      </c>
      <c r="W46" s="1198">
        <v>0.59093422521959482</v>
      </c>
      <c r="X46" s="1197"/>
      <c r="Y46" s="731"/>
      <c r="Z46" s="731"/>
      <c r="AA46" s="731"/>
      <c r="AB46" s="731"/>
      <c r="AC46" s="1198"/>
      <c r="AD46" s="1198"/>
      <c r="AE46" s="1181"/>
      <c r="AF46" s="1523"/>
      <c r="AG46" s="1408"/>
      <c r="AH46" s="13"/>
      <c r="AI46" s="13"/>
      <c r="AJ46" s="43"/>
      <c r="AK46" s="174"/>
      <c r="AL46" s="43"/>
    </row>
    <row r="47" spans="1:38" hidden="1" outlineLevel="1">
      <c r="A47" s="1182" t="s">
        <v>1052</v>
      </c>
      <c r="B47" s="1197"/>
      <c r="C47" s="1197"/>
      <c r="D47" s="1197"/>
      <c r="E47" s="1197"/>
      <c r="F47" s="1197"/>
      <c r="G47" s="1197"/>
      <c r="H47" s="1197">
        <v>0.8</v>
      </c>
      <c r="I47" s="1197">
        <v>0.8</v>
      </c>
      <c r="J47" s="1197">
        <v>0.8</v>
      </c>
      <c r="K47" s="1197">
        <v>0.8</v>
      </c>
      <c r="L47" s="1197">
        <v>0.8</v>
      </c>
      <c r="M47" s="1197">
        <v>0.8</v>
      </c>
      <c r="N47" s="1197">
        <v>0.8</v>
      </c>
      <c r="O47" s="1197">
        <v>0.8</v>
      </c>
      <c r="P47" s="1198">
        <v>0.5</v>
      </c>
      <c r="Q47" s="1198">
        <v>0.5</v>
      </c>
      <c r="R47" s="1198">
        <v>0.5</v>
      </c>
      <c r="S47" s="1198">
        <v>0.5</v>
      </c>
      <c r="T47" s="1198">
        <v>0.5</v>
      </c>
      <c r="U47" s="1198">
        <v>0.5</v>
      </c>
      <c r="V47" s="1198">
        <v>0.5</v>
      </c>
      <c r="W47" s="1198">
        <v>0.5</v>
      </c>
      <c r="X47" s="1197"/>
      <c r="Y47" s="731"/>
      <c r="Z47" s="731"/>
      <c r="AA47" s="731"/>
      <c r="AB47" s="731"/>
      <c r="AC47" s="1198"/>
      <c r="AD47" s="1198"/>
      <c r="AE47" s="1181"/>
      <c r="AF47" s="1523"/>
      <c r="AG47" s="1408"/>
      <c r="AH47" s="13"/>
      <c r="AI47" s="13"/>
      <c r="AJ47" s="43"/>
      <c r="AK47" s="174"/>
      <c r="AL47" s="43"/>
    </row>
    <row r="48" spans="1:38" hidden="1" outlineLevel="1">
      <c r="A48" s="1182" t="s">
        <v>1017</v>
      </c>
      <c r="B48" s="1197"/>
      <c r="C48" s="1197"/>
      <c r="D48" s="1197"/>
      <c r="E48" s="1197"/>
      <c r="F48" s="1197"/>
      <c r="G48" s="1197"/>
      <c r="H48" s="1197">
        <v>2.7263404597906793</v>
      </c>
      <c r="I48" s="1197">
        <v>2.5795225685395571</v>
      </c>
      <c r="J48" s="1197">
        <v>1.3380898876404479</v>
      </c>
      <c r="K48" s="1197">
        <v>1.712567593157571</v>
      </c>
      <c r="L48" s="1197">
        <v>1.7736414785271699</v>
      </c>
      <c r="M48" s="1197">
        <v>1.3827237265291275</v>
      </c>
      <c r="N48" s="1197">
        <v>1.0317335807137262</v>
      </c>
      <c r="O48" s="1197">
        <v>1.8472565473994829</v>
      </c>
      <c r="P48" s="1198">
        <v>1.4451206783810064</v>
      </c>
      <c r="Q48" s="1198">
        <v>1.168344245665806</v>
      </c>
      <c r="R48" s="1198">
        <v>1.168344245665806</v>
      </c>
      <c r="S48" s="1198">
        <v>1.168344245665806</v>
      </c>
      <c r="T48" s="1198">
        <v>1.168344245665806</v>
      </c>
      <c r="U48" s="1198">
        <v>1.168344245665806</v>
      </c>
      <c r="V48" s="1198">
        <v>1.168344245665806</v>
      </c>
      <c r="W48" s="1198">
        <v>1.168344245665806</v>
      </c>
      <c r="X48" s="1197"/>
      <c r="Y48" s="731"/>
      <c r="Z48" s="731"/>
      <c r="AA48" s="731"/>
      <c r="AB48" s="731"/>
      <c r="AC48" s="1198"/>
      <c r="AD48" s="1198"/>
      <c r="AE48" s="1181"/>
      <c r="AF48" s="1523"/>
      <c r="AG48" s="1408"/>
      <c r="AH48" s="13"/>
      <c r="AI48" s="13"/>
      <c r="AJ48" s="43"/>
      <c r="AK48" s="174"/>
      <c r="AL48" s="43"/>
    </row>
    <row r="49" spans="1:38" collapsed="1">
      <c r="A49" s="731" t="s">
        <v>218</v>
      </c>
      <c r="B49" s="1200">
        <v>-130.30000000000001</v>
      </c>
      <c r="C49" s="1200">
        <v>-129.80000000000001</v>
      </c>
      <c r="D49" s="1200">
        <v>-113.37599999999999</v>
      </c>
      <c r="E49" s="1200">
        <v>-139.56699999999998</v>
      </c>
      <c r="F49" s="1200">
        <v>-151.678</v>
      </c>
      <c r="G49" s="1200">
        <v>-96.729000000000013</v>
      </c>
      <c r="H49" s="1200">
        <v>-154.21100000000001</v>
      </c>
      <c r="I49" s="1200">
        <v>-163.57</v>
      </c>
      <c r="J49" s="1200">
        <v>-145.54400000000001</v>
      </c>
      <c r="K49" s="1200">
        <v>-203.45</v>
      </c>
      <c r="L49" s="1200">
        <v>-227.554</v>
      </c>
      <c r="M49" s="1200">
        <v>-149.41999999999999</v>
      </c>
      <c r="N49" s="1200">
        <v>-253.94499999999996</v>
      </c>
      <c r="O49" s="1200">
        <v>-122.36199999999999</v>
      </c>
      <c r="P49" s="1195">
        <v>-290.26424576885552</v>
      </c>
      <c r="Q49" s="1195">
        <v>-309.33204533239154</v>
      </c>
      <c r="R49" s="1195">
        <v>-326.1310385697011</v>
      </c>
      <c r="S49" s="1195">
        <v>-345.19712765801808</v>
      </c>
      <c r="T49" s="1195">
        <v>-363.64314162267834</v>
      </c>
      <c r="U49" s="1195">
        <v>-383.07843851835554</v>
      </c>
      <c r="V49" s="1195">
        <v>-403.54732802563899</v>
      </c>
      <c r="W49" s="1195">
        <v>-425.09979279402637</v>
      </c>
      <c r="X49" s="1250"/>
      <c r="Y49" s="731"/>
      <c r="Z49" s="731"/>
      <c r="AA49" s="731"/>
      <c r="AB49" s="731"/>
      <c r="AC49" s="1195"/>
      <c r="AD49" s="1195"/>
      <c r="AE49" s="1181"/>
      <c r="AF49" s="1523"/>
      <c r="AG49" s="1408"/>
      <c r="AH49" s="165"/>
      <c r="AI49" s="165"/>
      <c r="AJ49" s="43"/>
      <c r="AK49" s="174"/>
      <c r="AL49" s="43"/>
    </row>
    <row r="50" spans="1:38">
      <c r="A50" s="1141" t="s">
        <v>168</v>
      </c>
      <c r="B50" s="1201">
        <v>-130.30000000000001</v>
      </c>
      <c r="C50" s="1201">
        <v>-129.80000000000001</v>
      </c>
      <c r="D50" s="1201">
        <v>-108.011</v>
      </c>
      <c r="E50" s="1201">
        <v>-129.761</v>
      </c>
      <c r="F50" s="1200">
        <v>-133.84700000000001</v>
      </c>
      <c r="G50" s="1200">
        <v>-135.155</v>
      </c>
      <c r="H50" s="1200">
        <v>-154.39099999999999</v>
      </c>
      <c r="I50" s="1200">
        <v>-159.32599999999999</v>
      </c>
      <c r="J50" s="1200">
        <v>-172.07900000000001</v>
      </c>
      <c r="K50" s="1200">
        <v>-200.02699999999999</v>
      </c>
      <c r="L50" s="1200">
        <v>-228.37900000000002</v>
      </c>
      <c r="M50" s="1200">
        <v>-257.88499999999999</v>
      </c>
      <c r="N50" s="1200">
        <v>-265.12799999999999</v>
      </c>
      <c r="O50" s="1200">
        <v>-271.05899999999997</v>
      </c>
      <c r="P50" s="1195">
        <v>-290.53124576885551</v>
      </c>
      <c r="Q50" s="1195">
        <v>-309.95804533239152</v>
      </c>
      <c r="R50" s="1195">
        <v>-326.75703856970108</v>
      </c>
      <c r="S50" s="1195">
        <v>-345.82312765801805</v>
      </c>
      <c r="T50" s="1195">
        <v>-364.26914162267832</v>
      </c>
      <c r="U50" s="1195">
        <v>-383.70443851835552</v>
      </c>
      <c r="V50" s="1195">
        <v>-404.17332802563897</v>
      </c>
      <c r="W50" s="1195">
        <v>-425.72579279402635</v>
      </c>
      <c r="X50" s="1250"/>
      <c r="Y50" s="731"/>
      <c r="Z50" s="731"/>
      <c r="AA50" s="731"/>
      <c r="AB50" s="731"/>
      <c r="AC50" s="1403"/>
      <c r="AD50" s="1403"/>
      <c r="AE50" s="1525"/>
      <c r="AF50" s="1523"/>
      <c r="AG50" s="1408"/>
      <c r="AH50" s="165"/>
      <c r="AI50" s="165"/>
      <c r="AJ50" s="43"/>
      <c r="AK50" s="174"/>
      <c r="AL50" s="43"/>
    </row>
    <row r="51" spans="1:38" ht="12.75" hidden="1" customHeight="1" outlineLevel="1">
      <c r="A51" s="1202" t="s">
        <v>169</v>
      </c>
      <c r="B51" s="1257">
        <v>-57.6</v>
      </c>
      <c r="C51" s="1257">
        <v>-54.4</v>
      </c>
      <c r="D51" s="1257">
        <v>-39.162999999999997</v>
      </c>
      <c r="E51" s="1257">
        <v>-54.848999999999997</v>
      </c>
      <c r="F51" s="1200">
        <v>-42.623999999999995</v>
      </c>
      <c r="G51" s="1200">
        <v>-34.978999999999999</v>
      </c>
      <c r="H51" s="1200">
        <v>-61.453000000000003</v>
      </c>
      <c r="I51" s="1200">
        <v>-58.196000000000005</v>
      </c>
      <c r="J51" s="1200">
        <v>-53.747999999999998</v>
      </c>
      <c r="K51" s="1200">
        <v>-72.466000000000008</v>
      </c>
      <c r="L51" s="1200">
        <v>-90.329000000000008</v>
      </c>
      <c r="M51" s="1200">
        <v>-94.218000000000004</v>
      </c>
      <c r="N51" s="1200">
        <v>-109.145</v>
      </c>
      <c r="O51" s="1200">
        <v>-121.62100000000001</v>
      </c>
      <c r="P51" s="1195">
        <v>-120.36791326885553</v>
      </c>
      <c r="Q51" s="1195">
        <v>-132.80705820239154</v>
      </c>
      <c r="R51" s="1195">
        <v>-142.31094000598114</v>
      </c>
      <c r="S51" s="1195">
        <v>-153.76093275749434</v>
      </c>
      <c r="T51" s="1195">
        <v>-164.25574214653162</v>
      </c>
      <c r="U51" s="1195">
        <v>-175.38998146525833</v>
      </c>
      <c r="V51" s="1195">
        <v>-187.19256686220547</v>
      </c>
      <c r="W51" s="1195">
        <v>-199.69741013940182</v>
      </c>
      <c r="X51" s="1250"/>
      <c r="Y51" s="731"/>
      <c r="Z51" s="731"/>
      <c r="AA51" s="731"/>
      <c r="AB51" s="731"/>
      <c r="AC51" s="1403"/>
      <c r="AD51" s="1403"/>
      <c r="AE51" s="1525"/>
      <c r="AF51" s="1523"/>
      <c r="AG51" s="1408"/>
      <c r="AH51" s="165"/>
      <c r="AI51" s="165"/>
      <c r="AJ51" s="43"/>
      <c r="AK51" s="174"/>
      <c r="AL51" s="43"/>
    </row>
    <row r="52" spans="1:38" ht="12.75" hidden="1" customHeight="1" outlineLevel="1">
      <c r="A52" s="1202" t="s">
        <v>170</v>
      </c>
      <c r="B52" s="1257">
        <v>-72.7</v>
      </c>
      <c r="C52" s="1257">
        <v>-75.400000000000006</v>
      </c>
      <c r="D52" s="1257">
        <v>-68.847999999999999</v>
      </c>
      <c r="E52" s="1257">
        <v>-74.912000000000006</v>
      </c>
      <c r="F52" s="1200">
        <v>-91.222999999999985</v>
      </c>
      <c r="G52" s="1200">
        <v>-100.17599999999999</v>
      </c>
      <c r="H52" s="1200">
        <v>-92.937999999999988</v>
      </c>
      <c r="I52" s="1200">
        <v>-101.13</v>
      </c>
      <c r="J52" s="1200">
        <v>-118.331</v>
      </c>
      <c r="K52" s="1200">
        <v>-127.56100000000001</v>
      </c>
      <c r="L52" s="1200">
        <v>-138.05000000000001</v>
      </c>
      <c r="M52" s="1200">
        <v>-163.66700000000003</v>
      </c>
      <c r="N52" s="1200">
        <v>-155.983</v>
      </c>
      <c r="O52" s="1200">
        <v>-164.23899999999998</v>
      </c>
      <c r="P52" s="1195">
        <v>-170.1633325</v>
      </c>
      <c r="Q52" s="1195">
        <v>-177.15098712999998</v>
      </c>
      <c r="R52" s="1195">
        <v>-184.44609856371997</v>
      </c>
      <c r="S52" s="1195">
        <v>-192.06219490052368</v>
      </c>
      <c r="T52" s="1195">
        <v>-200.0133994761467</v>
      </c>
      <c r="U52" s="1195">
        <v>-208.31445705309719</v>
      </c>
      <c r="V52" s="1195">
        <v>-216.98076116343347</v>
      </c>
      <c r="W52" s="1195">
        <v>-226.02838265462455</v>
      </c>
      <c r="X52" s="1250"/>
      <c r="Y52" s="731"/>
      <c r="Z52" s="731"/>
      <c r="AA52" s="731"/>
      <c r="AB52" s="731"/>
      <c r="AC52" s="1403"/>
      <c r="AD52" s="1403"/>
      <c r="AE52" s="1525"/>
      <c r="AF52" s="1523"/>
      <c r="AG52" s="1408"/>
      <c r="AH52" s="165"/>
      <c r="AI52" s="165"/>
      <c r="AJ52" s="43"/>
      <c r="AK52" s="174"/>
      <c r="AL52" s="43"/>
    </row>
    <row r="53" spans="1:38" collapsed="1">
      <c r="A53" s="1141" t="s">
        <v>175</v>
      </c>
      <c r="B53" s="1257">
        <v>0</v>
      </c>
      <c r="C53" s="1257">
        <v>0</v>
      </c>
      <c r="D53" s="1257">
        <v>-6.28</v>
      </c>
      <c r="E53" s="1200">
        <v>-8.2789999999999999</v>
      </c>
      <c r="F53" s="1200">
        <v>-8.1720000000000006</v>
      </c>
      <c r="G53" s="1200">
        <v>-8.4719999999999995</v>
      </c>
      <c r="H53" s="1200">
        <v>-5.6750000000000007</v>
      </c>
      <c r="I53" s="1200">
        <v>0</v>
      </c>
      <c r="J53" s="1200">
        <v>-0.45099999999999973</v>
      </c>
      <c r="K53" s="1200">
        <v>-3.6150000000000011</v>
      </c>
      <c r="L53" s="1200">
        <v>0.8600000000000001</v>
      </c>
      <c r="M53" s="1200">
        <v>0.54499999999999993</v>
      </c>
      <c r="N53" s="1200">
        <v>0.45599999999999996</v>
      </c>
      <c r="O53" s="1200">
        <v>0.62600000000000011</v>
      </c>
      <c r="P53" s="1195">
        <v>0.62600000000000011</v>
      </c>
      <c r="Q53" s="2393">
        <v>0.62600000000000011</v>
      </c>
      <c r="R53" s="2393">
        <v>0.62600000000000011</v>
      </c>
      <c r="S53" s="2393">
        <v>0.62600000000000011</v>
      </c>
      <c r="T53" s="2393">
        <v>0.62600000000000011</v>
      </c>
      <c r="U53" s="2393">
        <v>0.62600000000000011</v>
      </c>
      <c r="V53" s="2393">
        <v>0.62600000000000011</v>
      </c>
      <c r="W53" s="2393">
        <v>0.62600000000000011</v>
      </c>
      <c r="X53" s="1250"/>
      <c r="Y53" s="731"/>
      <c r="Z53" s="731"/>
      <c r="AA53" s="731"/>
      <c r="AB53" s="731"/>
      <c r="AC53" s="1403"/>
      <c r="AD53" s="1403"/>
      <c r="AE53" s="1181"/>
      <c r="AF53" s="1523"/>
      <c r="AG53" s="1408"/>
      <c r="AH53" s="165"/>
      <c r="AI53" s="165"/>
      <c r="AJ53" s="43"/>
      <c r="AK53" s="174"/>
      <c r="AL53" s="43"/>
    </row>
    <row r="54" spans="1:38">
      <c r="A54" s="1141" t="s">
        <v>821</v>
      </c>
      <c r="B54" s="1257">
        <v>0</v>
      </c>
      <c r="C54" s="1257">
        <v>0</v>
      </c>
      <c r="D54" s="1257">
        <v>0.91500000000000004</v>
      </c>
      <c r="E54" s="1257">
        <v>-1.5269999999999999</v>
      </c>
      <c r="F54" s="1200">
        <v>-9.6590000000000025</v>
      </c>
      <c r="G54" s="1200">
        <v>46.898000000000003</v>
      </c>
      <c r="H54" s="1200">
        <v>5.8550000000000004</v>
      </c>
      <c r="I54" s="1200">
        <v>-4.2439999999999998</v>
      </c>
      <c r="J54" s="1200">
        <v>26.985999999999997</v>
      </c>
      <c r="K54" s="1200">
        <v>0.19200000000000017</v>
      </c>
      <c r="L54" s="1200">
        <v>-3.5000000000000142E-2</v>
      </c>
      <c r="M54" s="1200">
        <v>107.91999999999999</v>
      </c>
      <c r="N54" s="1200">
        <v>10.727</v>
      </c>
      <c r="O54" s="1200">
        <v>148.071</v>
      </c>
      <c r="P54" s="1195">
        <v>-0.35899999999999999</v>
      </c>
      <c r="Q54" s="1195">
        <v>0</v>
      </c>
      <c r="R54" s="1195">
        <v>0</v>
      </c>
      <c r="S54" s="1195">
        <v>0</v>
      </c>
      <c r="T54" s="1195">
        <v>0</v>
      </c>
      <c r="U54" s="1195">
        <v>0</v>
      </c>
      <c r="V54" s="1195">
        <v>0</v>
      </c>
      <c r="W54" s="1195">
        <v>0</v>
      </c>
      <c r="X54" s="1250"/>
      <c r="Y54" s="731"/>
      <c r="Z54" s="731"/>
      <c r="AA54" s="731"/>
      <c r="AB54" s="731"/>
      <c r="AC54" s="1403"/>
      <c r="AD54" s="1403"/>
      <c r="AE54" s="1181"/>
      <c r="AF54" s="1523"/>
      <c r="AG54" s="1408"/>
      <c r="AH54" s="165"/>
      <c r="AI54" s="165"/>
      <c r="AJ54" s="43"/>
      <c r="AK54" s="174"/>
      <c r="AL54" s="43"/>
    </row>
    <row r="55" spans="1:38">
      <c r="A55" s="1120" t="s">
        <v>681</v>
      </c>
      <c r="B55" s="1187">
        <v>91.93199999999996</v>
      </c>
      <c r="C55" s="1187">
        <v>163.10999999999996</v>
      </c>
      <c r="D55" s="1187">
        <v>322.19099999999997</v>
      </c>
      <c r="E55" s="1187">
        <v>390.47699999999986</v>
      </c>
      <c r="F55" s="1187">
        <v>132.607</v>
      </c>
      <c r="G55" s="1187">
        <v>189.792</v>
      </c>
      <c r="H55" s="1187">
        <v>452.37299999999999</v>
      </c>
      <c r="I55" s="1187">
        <v>612.58199999999999</v>
      </c>
      <c r="J55" s="1187">
        <v>533.01900000000001</v>
      </c>
      <c r="K55" s="1187">
        <v>651.82099999999991</v>
      </c>
      <c r="L55" s="1187">
        <v>766.2399999999999</v>
      </c>
      <c r="M55" s="1187">
        <v>1091.5249999999999</v>
      </c>
      <c r="N55" s="1187">
        <v>1302.2130000000002</v>
      </c>
      <c r="O55" s="1187">
        <v>1445.088</v>
      </c>
      <c r="P55" s="1188">
        <v>1759.0220528034631</v>
      </c>
      <c r="Q55" s="1188">
        <v>1780.1509011492542</v>
      </c>
      <c r="R55" s="1188">
        <v>1952.9908721268353</v>
      </c>
      <c r="S55" s="1188">
        <v>2298.6292562952813</v>
      </c>
      <c r="T55" s="1188">
        <v>2458.0074493075854</v>
      </c>
      <c r="U55" s="1188">
        <v>2226.7144313496665</v>
      </c>
      <c r="V55" s="1188">
        <v>2090.1126866537361</v>
      </c>
      <c r="W55" s="1188">
        <v>2653.5978609798112</v>
      </c>
      <c r="X55" s="1250"/>
      <c r="Y55" s="731"/>
      <c r="Z55" s="731"/>
      <c r="AA55" s="731"/>
      <c r="AB55" s="731"/>
      <c r="AC55" s="1188"/>
      <c r="AD55" s="1188"/>
      <c r="AE55" s="1527"/>
      <c r="AF55" s="1523"/>
      <c r="AG55" s="1408"/>
      <c r="AH55" s="165"/>
      <c r="AI55" s="165"/>
      <c r="AJ55" s="43"/>
      <c r="AK55" s="174"/>
      <c r="AL55" s="43"/>
    </row>
    <row r="56" spans="1:38">
      <c r="A56" s="1552" t="s">
        <v>54</v>
      </c>
      <c r="B56" s="1187"/>
      <c r="C56" s="1187"/>
      <c r="D56" s="1717" t="s">
        <v>972</v>
      </c>
      <c r="E56" s="1717" t="s">
        <v>972</v>
      </c>
      <c r="F56" s="2251" t="s">
        <v>972</v>
      </c>
      <c r="G56" s="2251" t="s">
        <v>972</v>
      </c>
      <c r="H56" s="2251" t="s">
        <v>972</v>
      </c>
      <c r="I56" s="1200">
        <v>355.96600000000001</v>
      </c>
      <c r="J56" s="1200">
        <v>342.75</v>
      </c>
      <c r="K56" s="1200">
        <v>439.67700000000002</v>
      </c>
      <c r="L56" s="1200">
        <v>351.82900000000001</v>
      </c>
      <c r="M56" s="1200">
        <v>480.26499999999999</v>
      </c>
      <c r="N56" s="1200">
        <v>520.21900000000005</v>
      </c>
      <c r="O56" s="1200">
        <v>782.11199999999997</v>
      </c>
      <c r="P56" s="1173">
        <v>1085.4211436269286</v>
      </c>
      <c r="Q56" s="1173">
        <v>833.77523229599399</v>
      </c>
      <c r="R56" s="1173">
        <v>880.80750104456365</v>
      </c>
      <c r="S56" s="1173">
        <v>1202.1634743468278</v>
      </c>
      <c r="T56" s="1173">
        <v>1329.7069063477907</v>
      </c>
      <c r="U56" s="1173">
        <v>967.57021915772054</v>
      </c>
      <c r="V56" s="1173">
        <v>710.3551910304684</v>
      </c>
      <c r="W56" s="1173">
        <v>1035.0907974979129</v>
      </c>
      <c r="X56" s="1250"/>
      <c r="Y56" s="731"/>
      <c r="Z56" s="731"/>
      <c r="AA56" s="731"/>
      <c r="AB56" s="731"/>
      <c r="AC56" s="1188"/>
      <c r="AD56" s="1188"/>
      <c r="AE56" s="1181"/>
      <c r="AF56" s="1523"/>
      <c r="AG56" s="1408"/>
      <c r="AH56" s="165"/>
      <c r="AI56" s="165"/>
      <c r="AJ56" s="43"/>
      <c r="AK56" s="174"/>
      <c r="AL56" s="43"/>
    </row>
    <row r="57" spans="1:38">
      <c r="A57" s="1552" t="s">
        <v>42</v>
      </c>
      <c r="B57" s="1187"/>
      <c r="C57" s="1187"/>
      <c r="D57" s="1717" t="s">
        <v>972</v>
      </c>
      <c r="E57" s="1717" t="s">
        <v>972</v>
      </c>
      <c r="F57" s="2251" t="s">
        <v>972</v>
      </c>
      <c r="G57" s="2251" t="s">
        <v>972</v>
      </c>
      <c r="H57" s="2251" t="s">
        <v>972</v>
      </c>
      <c r="I57" s="1200">
        <v>239.49799999999999</v>
      </c>
      <c r="J57" s="1200">
        <v>171.54599999999999</v>
      </c>
      <c r="K57" s="1200">
        <v>176.023</v>
      </c>
      <c r="L57" s="1200">
        <v>325.45699999999999</v>
      </c>
      <c r="M57" s="1200">
        <v>395.53</v>
      </c>
      <c r="N57" s="1200">
        <v>613.322</v>
      </c>
      <c r="O57" s="1200">
        <v>534.37699999999995</v>
      </c>
      <c r="P57" s="1173">
        <v>630.89793856831238</v>
      </c>
      <c r="Q57" s="1173">
        <v>807.57610876893693</v>
      </c>
      <c r="R57" s="1173">
        <v>915.46799225878112</v>
      </c>
      <c r="S57" s="1173">
        <v>923.5880265590099</v>
      </c>
      <c r="T57" s="1173">
        <v>939.94016750781043</v>
      </c>
      <c r="U57" s="1173">
        <v>1056.5536977431084</v>
      </c>
      <c r="V57" s="1173">
        <v>1164.7450409830858</v>
      </c>
      <c r="W57" s="1173">
        <v>1393.3722617919086</v>
      </c>
      <c r="X57" s="1250"/>
      <c r="Y57" s="731"/>
      <c r="Z57" s="731"/>
      <c r="AA57" s="731"/>
      <c r="AB57" s="731"/>
      <c r="AC57" s="1188"/>
      <c r="AD57" s="1188"/>
      <c r="AE57" s="1181"/>
      <c r="AF57" s="1523"/>
      <c r="AG57" s="1408"/>
      <c r="AH57" s="165"/>
      <c r="AI57" s="165"/>
      <c r="AJ57" s="43"/>
      <c r="AK57" s="174"/>
      <c r="AL57" s="43"/>
    </row>
    <row r="58" spans="1:38">
      <c r="A58" s="1552" t="s">
        <v>1052</v>
      </c>
      <c r="B58" s="1187"/>
      <c r="C58" s="1187"/>
      <c r="D58" s="1127" t="s">
        <v>972</v>
      </c>
      <c r="E58" s="1127" t="s">
        <v>972</v>
      </c>
      <c r="F58" s="1127" t="s">
        <v>972</v>
      </c>
      <c r="G58" s="1127" t="s">
        <v>972</v>
      </c>
      <c r="H58" s="1127" t="s">
        <v>972</v>
      </c>
      <c r="I58" s="1127" t="s">
        <v>972</v>
      </c>
      <c r="J58" s="1127" t="s">
        <v>972</v>
      </c>
      <c r="K58" s="1127">
        <v>26.98</v>
      </c>
      <c r="L58" s="1127">
        <v>65.593000000000004</v>
      </c>
      <c r="M58" s="1127">
        <v>174.95099999999999</v>
      </c>
      <c r="N58" s="1127">
        <v>123.425</v>
      </c>
      <c r="O58" s="1127">
        <v>84.957999999999998</v>
      </c>
      <c r="P58" s="1173">
        <v>118.29242754512381</v>
      </c>
      <c r="Q58" s="1173">
        <v>117.11057767864212</v>
      </c>
      <c r="R58" s="1173">
        <v>123.21805546592871</v>
      </c>
      <c r="S58" s="1173">
        <v>129.63990531769946</v>
      </c>
      <c r="T58" s="1173">
        <v>136.39339793697121</v>
      </c>
      <c r="U58" s="1173">
        <v>143.49671522430944</v>
      </c>
      <c r="V58" s="1173">
        <v>150.96899702713156</v>
      </c>
      <c r="W58" s="1173">
        <v>158.83039023887028</v>
      </c>
      <c r="X58" s="1250"/>
      <c r="Y58" s="731"/>
      <c r="Z58" s="731"/>
      <c r="AA58" s="731"/>
      <c r="AB58" s="731"/>
      <c r="AC58" s="1188"/>
      <c r="AD58" s="1188"/>
      <c r="AE58" s="1181"/>
      <c r="AF58" s="1523"/>
      <c r="AG58" s="1408"/>
      <c r="AH58" s="165"/>
      <c r="AI58" s="165"/>
      <c r="AJ58" s="43"/>
      <c r="AK58" s="174"/>
      <c r="AL58" s="43"/>
    </row>
    <row r="59" spans="1:38">
      <c r="A59" s="1552" t="s">
        <v>222</v>
      </c>
      <c r="B59" s="1187"/>
      <c r="C59" s="1187"/>
      <c r="D59" s="1127" t="s">
        <v>972</v>
      </c>
      <c r="E59" s="1127" t="s">
        <v>972</v>
      </c>
      <c r="F59" s="1127" t="s">
        <v>972</v>
      </c>
      <c r="G59" s="1127" t="s">
        <v>972</v>
      </c>
      <c r="H59" s="1127" t="s">
        <v>972</v>
      </c>
      <c r="I59" s="1127" t="s">
        <v>972</v>
      </c>
      <c r="J59" s="1127" t="s">
        <v>972</v>
      </c>
      <c r="K59" s="1127">
        <v>7.4219999999999997</v>
      </c>
      <c r="L59" s="1127">
        <v>23.722000000000001</v>
      </c>
      <c r="M59" s="1127">
        <v>40.847000000000001</v>
      </c>
      <c r="N59" s="1127">
        <v>44.274000000000001</v>
      </c>
      <c r="O59" s="1127">
        <v>43.637</v>
      </c>
      <c r="P59" s="1173">
        <v>-74.899456936901544</v>
      </c>
      <c r="Q59" s="1173">
        <v>22.378982405681526</v>
      </c>
      <c r="R59" s="1173">
        <v>34.187323357561596</v>
      </c>
      <c r="S59" s="1173">
        <v>43.927850071744274</v>
      </c>
      <c r="T59" s="1173">
        <v>52.656977515012102</v>
      </c>
      <c r="U59" s="1173">
        <v>59.783799224528735</v>
      </c>
      <c r="V59" s="1173">
        <v>64.733457613049438</v>
      </c>
      <c r="W59" s="1173">
        <v>66.994411451118822</v>
      </c>
      <c r="X59" s="1250"/>
      <c r="Y59" s="731"/>
      <c r="Z59" s="731"/>
      <c r="AA59" s="731"/>
      <c r="AB59" s="731"/>
      <c r="AC59" s="1188"/>
      <c r="AD59" s="1188"/>
      <c r="AE59" s="1181"/>
      <c r="AF59" s="1523"/>
      <c r="AG59" s="1408"/>
      <c r="AH59" s="165"/>
      <c r="AI59" s="165"/>
      <c r="AJ59" s="43"/>
      <c r="AK59" s="174"/>
      <c r="AL59" s="43"/>
    </row>
    <row r="60" spans="1:38">
      <c r="A60" s="1196" t="s">
        <v>1715</v>
      </c>
      <c r="B60" s="1203">
        <v>0.17747490347490338</v>
      </c>
      <c r="C60" s="1203">
        <v>0.25163529774760873</v>
      </c>
      <c r="D60" s="1203">
        <v>0.39874038083121499</v>
      </c>
      <c r="E60" s="1203">
        <v>0.4724253118735155</v>
      </c>
      <c r="F60" s="1203">
        <v>0.18613598719856261</v>
      </c>
      <c r="G60" s="1203">
        <v>0.24506903671412875</v>
      </c>
      <c r="H60" s="1203">
        <v>0.38230233434689503</v>
      </c>
      <c r="I60" s="1203">
        <v>0.47302606584568063</v>
      </c>
      <c r="J60" s="1203">
        <v>0.38992165268217033</v>
      </c>
      <c r="K60" s="1203">
        <v>0.3984345535176701</v>
      </c>
      <c r="L60" s="1203">
        <v>0.38862092925358444</v>
      </c>
      <c r="M60" s="1203">
        <v>0.46944040888333799</v>
      </c>
      <c r="N60" s="1203">
        <v>0.47745949499501178</v>
      </c>
      <c r="O60" s="1203">
        <v>0.48123369483049949</v>
      </c>
      <c r="P60" s="1204">
        <v>0.48103280154086298</v>
      </c>
      <c r="Q60" s="1204">
        <v>0.47067842251844494</v>
      </c>
      <c r="R60" s="1204">
        <v>0.47811351066124658</v>
      </c>
      <c r="S60" s="1204">
        <v>0.48895721638051715</v>
      </c>
      <c r="T60" s="1204">
        <v>0.48855301583019672</v>
      </c>
      <c r="U60" s="1204">
        <v>0.4650462553371455</v>
      </c>
      <c r="V60" s="1204">
        <v>0.44798827983299544</v>
      </c>
      <c r="W60" s="1204">
        <v>0.50825001462460317</v>
      </c>
      <c r="X60" s="1250"/>
      <c r="Y60" s="731"/>
      <c r="Z60" s="731"/>
      <c r="AA60" s="731"/>
      <c r="AB60" s="731"/>
      <c r="AC60" s="1204"/>
      <c r="AD60" s="1204"/>
      <c r="AE60" s="1181"/>
      <c r="AF60" s="1523"/>
      <c r="AG60" s="1408"/>
      <c r="AH60" s="165"/>
      <c r="AI60" s="165"/>
      <c r="AJ60" s="43"/>
      <c r="AK60" s="174"/>
      <c r="AL60" s="43"/>
    </row>
    <row r="61" spans="1:38">
      <c r="A61" s="1120" t="s">
        <v>219</v>
      </c>
      <c r="B61" s="1187">
        <v>91.93199999999996</v>
      </c>
      <c r="C61" s="1187">
        <v>163.10999999999996</v>
      </c>
      <c r="D61" s="1187">
        <v>322.19099999999997</v>
      </c>
      <c r="E61" s="1187">
        <v>390.47699999999986</v>
      </c>
      <c r="F61" s="1187">
        <v>128.3730000000001</v>
      </c>
      <c r="G61" s="1187">
        <v>243.17899999999995</v>
      </c>
      <c r="H61" s="1187">
        <v>401.32199999999978</v>
      </c>
      <c r="I61" s="1187">
        <v>566.1239999999998</v>
      </c>
      <c r="J61" s="1187">
        <v>582.6350000000001</v>
      </c>
      <c r="K61" s="1187">
        <v>651.75999999999976</v>
      </c>
      <c r="L61" s="1187">
        <v>751.20299999999997</v>
      </c>
      <c r="M61" s="1187">
        <v>1131.7149999999997</v>
      </c>
      <c r="N61" s="1187">
        <v>1235.8139999999999</v>
      </c>
      <c r="O61" s="1187">
        <v>1444.3980000000001</v>
      </c>
      <c r="P61" s="1188">
        <v>1759.0220528034631</v>
      </c>
      <c r="Q61" s="1188">
        <v>1780.1509011492542</v>
      </c>
      <c r="R61" s="1188">
        <v>1952.9908721268353</v>
      </c>
      <c r="S61" s="1188">
        <v>2298.6292562952813</v>
      </c>
      <c r="T61" s="1188">
        <v>2458.0074493075854</v>
      </c>
      <c r="U61" s="1188">
        <v>2226.7144313496665</v>
      </c>
      <c r="V61" s="1188">
        <v>2090.1126866537361</v>
      </c>
      <c r="W61" s="1188">
        <v>2653.5978609798112</v>
      </c>
      <c r="X61" s="1524"/>
      <c r="Y61" s="1215">
        <v>0.2007601680293043</v>
      </c>
      <c r="Z61" s="1215">
        <v>5.3693897021299231E-2</v>
      </c>
      <c r="AA61" s="1215">
        <v>2.9137102506742618E-2</v>
      </c>
      <c r="AB61" s="731"/>
      <c r="AC61" s="1188"/>
      <c r="AD61" s="1188"/>
      <c r="AE61" s="1528"/>
      <c r="AF61" s="1523"/>
      <c r="AG61" s="1408"/>
      <c r="AH61" s="19"/>
      <c r="AI61" s="19"/>
      <c r="AJ61" s="43"/>
      <c r="AK61" s="174"/>
      <c r="AL61" s="43"/>
    </row>
    <row r="62" spans="1:38">
      <c r="A62" s="1196" t="s">
        <v>1025</v>
      </c>
      <c r="B62" s="1197">
        <v>0.17747490347490338</v>
      </c>
      <c r="C62" s="1197">
        <v>0.25163529774760873</v>
      </c>
      <c r="D62" s="1197">
        <v>0.39874038083121499</v>
      </c>
      <c r="E62" s="1197">
        <v>0.4724253118735155</v>
      </c>
      <c r="F62" s="1197">
        <v>0.18019286376014162</v>
      </c>
      <c r="G62" s="1197">
        <v>0.31400503329489704</v>
      </c>
      <c r="H62" s="1197">
        <v>0.33915891846941471</v>
      </c>
      <c r="I62" s="1197">
        <v>0.43715193802759467</v>
      </c>
      <c r="J62" s="1197">
        <v>0.42621745587019666</v>
      </c>
      <c r="K62" s="1197">
        <v>0.39839726642847745</v>
      </c>
      <c r="L62" s="1197">
        <v>0.38099447681937826</v>
      </c>
      <c r="M62" s="1197">
        <v>0.48672522602726165</v>
      </c>
      <c r="N62" s="1197">
        <v>0.45311414365220232</v>
      </c>
      <c r="O62" s="1197">
        <v>0.48100391557177408</v>
      </c>
      <c r="P62" s="1198">
        <v>0.48103280154086298</v>
      </c>
      <c r="Q62" s="1198">
        <v>0.47067842251844494</v>
      </c>
      <c r="R62" s="1198">
        <v>0.47811351066124658</v>
      </c>
      <c r="S62" s="1198">
        <v>0.48895721638051715</v>
      </c>
      <c r="T62" s="1198">
        <v>0.48855301583019672</v>
      </c>
      <c r="U62" s="1198">
        <v>0.4650462553371455</v>
      </c>
      <c r="V62" s="1198">
        <v>0.44798827983299544</v>
      </c>
      <c r="W62" s="1198">
        <v>0.50825001462460317</v>
      </c>
      <c r="X62" s="1250"/>
      <c r="Y62" s="731"/>
      <c r="Z62" s="731"/>
      <c r="AA62" s="731"/>
      <c r="AB62" s="731"/>
      <c r="AC62" s="1198"/>
      <c r="AD62" s="1198"/>
      <c r="AE62" s="1181"/>
      <c r="AF62" s="1523"/>
      <c r="AG62" s="1408"/>
      <c r="AH62" s="13"/>
      <c r="AI62" s="13"/>
      <c r="AJ62" s="43"/>
      <c r="AK62" s="174"/>
      <c r="AL62" s="43"/>
    </row>
    <row r="63" spans="1:38" hidden="1" outlineLevel="1">
      <c r="A63" s="1552" t="s">
        <v>54</v>
      </c>
      <c r="B63" s="1197"/>
      <c r="C63" s="1197"/>
      <c r="D63" s="1197"/>
      <c r="E63" s="1197"/>
      <c r="F63" s="1197"/>
      <c r="G63" s="1197"/>
      <c r="H63" s="1197"/>
      <c r="I63" s="1197">
        <v>0.50694769822337737</v>
      </c>
      <c r="J63" s="1197">
        <v>0.4470533607586929</v>
      </c>
      <c r="K63" s="1197">
        <v>0.46265912960394645</v>
      </c>
      <c r="L63" s="1197">
        <v>0.39787328362023539</v>
      </c>
      <c r="M63" s="1197">
        <v>0.44095516950420838</v>
      </c>
      <c r="N63" s="1197">
        <v>0.41328879108307581</v>
      </c>
      <c r="O63" s="1197">
        <v>0.47555498805202379</v>
      </c>
      <c r="P63" s="1198">
        <v>0.55264741035071696</v>
      </c>
      <c r="Q63" s="1198">
        <v>0.46895822565167894</v>
      </c>
      <c r="R63" s="1198">
        <v>0.46694263140266862</v>
      </c>
      <c r="S63" s="1198">
        <v>0.51438404652419922</v>
      </c>
      <c r="T63" s="1198">
        <v>0.5222759725638072</v>
      </c>
      <c r="U63" s="1198">
        <v>0.44416609623359188</v>
      </c>
      <c r="V63" s="1198">
        <v>0.36836855974328597</v>
      </c>
      <c r="W63" s="1198">
        <v>0.4599879415709196</v>
      </c>
      <c r="X63" s="1250"/>
      <c r="Y63" s="731"/>
      <c r="Z63" s="731"/>
      <c r="AA63" s="731"/>
      <c r="AB63" s="731"/>
      <c r="AC63" s="1198"/>
      <c r="AD63" s="1198"/>
      <c r="AE63" s="1181"/>
      <c r="AF63" s="1523"/>
      <c r="AG63" s="1408"/>
      <c r="AH63" s="13"/>
      <c r="AI63" s="13"/>
      <c r="AJ63" s="43"/>
      <c r="AK63" s="174"/>
      <c r="AL63" s="43"/>
    </row>
    <row r="64" spans="1:38" hidden="1" outlineLevel="1">
      <c r="A64" s="1552" t="s">
        <v>42</v>
      </c>
      <c r="B64" s="1197"/>
      <c r="C64" s="1197"/>
      <c r="D64" s="1197"/>
      <c r="E64" s="1197"/>
      <c r="F64" s="1197"/>
      <c r="G64" s="1197"/>
      <c r="H64" s="1197"/>
      <c r="I64" s="1197">
        <v>0.45972523749469718</v>
      </c>
      <c r="J64" s="1197">
        <v>0.3396479695883739</v>
      </c>
      <c r="K64" s="1197">
        <v>0.32228846174972448</v>
      </c>
      <c r="L64" s="1197">
        <v>0.38692691881069935</v>
      </c>
      <c r="M64" s="1197">
        <v>0.41096032741339056</v>
      </c>
      <c r="N64" s="1197">
        <v>0.47118376352693708</v>
      </c>
      <c r="O64" s="1197">
        <v>0.43133983438226714</v>
      </c>
      <c r="P64" s="1198">
        <v>0.42408922052297315</v>
      </c>
      <c r="Q64" s="1198">
        <v>0.46784749161328121</v>
      </c>
      <c r="R64" s="1198">
        <v>0.48345517026754453</v>
      </c>
      <c r="S64" s="1198">
        <v>0.45402470208576379</v>
      </c>
      <c r="T64" s="1198">
        <v>0.4410503206112889</v>
      </c>
      <c r="U64" s="1198">
        <v>0.47322281757289808</v>
      </c>
      <c r="V64" s="1198">
        <v>0.49795623929532251</v>
      </c>
      <c r="W64" s="1198">
        <v>0.54552133457272833</v>
      </c>
      <c r="X64" s="1250"/>
      <c r="Y64" s="731"/>
      <c r="Z64" s="731"/>
      <c r="AA64" s="731"/>
      <c r="AB64" s="731"/>
      <c r="AC64" s="1198"/>
      <c r="AD64" s="1198"/>
      <c r="AE64" s="1181"/>
      <c r="AF64" s="1523"/>
      <c r="AG64" s="1408"/>
      <c r="AH64" s="13"/>
      <c r="AI64" s="13"/>
      <c r="AJ64" s="43"/>
      <c r="AK64" s="174"/>
      <c r="AL64" s="43"/>
    </row>
    <row r="65" spans="1:38" hidden="1" outlineLevel="1">
      <c r="A65" s="1552" t="s">
        <v>1052</v>
      </c>
      <c r="B65" s="1197"/>
      <c r="C65" s="1197"/>
      <c r="D65" s="1197"/>
      <c r="E65" s="1197"/>
      <c r="F65" s="1197"/>
      <c r="G65" s="1197"/>
      <c r="H65" s="1197"/>
      <c r="I65" s="2252" t="s">
        <v>972</v>
      </c>
      <c r="J65" s="2252" t="s">
        <v>972</v>
      </c>
      <c r="K65" s="2253">
        <v>0.60754818951540257</v>
      </c>
      <c r="L65" s="2253">
        <v>0.84884759230261553</v>
      </c>
      <c r="M65" s="2253">
        <v>0.92510866461499408</v>
      </c>
      <c r="N65" s="2253">
        <v>0.66510214309193683</v>
      </c>
      <c r="O65" s="2253">
        <v>0.55860713135072226</v>
      </c>
      <c r="P65" s="1198">
        <v>0.71627264635255106</v>
      </c>
      <c r="Q65" s="1198">
        <v>0.71627264635255106</v>
      </c>
      <c r="R65" s="1198">
        <v>0.71627264635255106</v>
      </c>
      <c r="S65" s="1198">
        <v>0.71627264635255106</v>
      </c>
      <c r="T65" s="1198">
        <v>0.71627264635255106</v>
      </c>
      <c r="U65" s="1198">
        <v>0.71627264635255106</v>
      </c>
      <c r="V65" s="1198">
        <v>0.71627264635255106</v>
      </c>
      <c r="W65" s="1198">
        <v>0.71627264635255106</v>
      </c>
      <c r="X65" s="1250"/>
      <c r="Y65" s="731"/>
      <c r="Z65" s="731"/>
      <c r="AA65" s="731"/>
      <c r="AB65" s="731"/>
      <c r="AC65" s="1198"/>
      <c r="AD65" s="1198"/>
      <c r="AE65" s="1181"/>
      <c r="AF65" s="1523"/>
      <c r="AG65" s="1408"/>
      <c r="AH65" s="13"/>
      <c r="AI65" s="13"/>
      <c r="AJ65" s="43"/>
      <c r="AK65" s="174"/>
      <c r="AL65" s="43"/>
    </row>
    <row r="66" spans="1:38" hidden="1" outlineLevel="1">
      <c r="A66" s="1552" t="s">
        <v>222</v>
      </c>
      <c r="B66" s="1197"/>
      <c r="C66" s="1197"/>
      <c r="D66" s="1197"/>
      <c r="E66" s="1197"/>
      <c r="F66" s="1197"/>
      <c r="G66" s="1197"/>
      <c r="H66" s="1197"/>
      <c r="I66" s="2252" t="s">
        <v>972</v>
      </c>
      <c r="J66" s="2252" t="s">
        <v>972</v>
      </c>
      <c r="K66" s="2253">
        <v>7.808193237528141E-2</v>
      </c>
      <c r="L66" s="2253">
        <v>0.14079006718419868</v>
      </c>
      <c r="M66" s="2253">
        <v>0.37457129756992208</v>
      </c>
      <c r="N66" s="2253">
        <v>0.71468465996222708</v>
      </c>
      <c r="O66" s="2253">
        <v>0.66659028764340167</v>
      </c>
      <c r="P66" s="1198">
        <v>-1.040135884349682</v>
      </c>
      <c r="Q66" s="1198">
        <v>0.25898254815328864</v>
      </c>
      <c r="R66" s="1198">
        <v>0.34106509484025621</v>
      </c>
      <c r="S66" s="1198">
        <v>0.39128581255287703</v>
      </c>
      <c r="T66" s="1198">
        <v>0.42640019527659634</v>
      </c>
      <c r="U66" s="1198">
        <v>0.4482509544463954</v>
      </c>
      <c r="V66" s="1198">
        <v>0.4578894651029275</v>
      </c>
      <c r="W66" s="1198">
        <v>0.45565599001261503</v>
      </c>
      <c r="X66" s="1250"/>
      <c r="Y66" s="731"/>
      <c r="Z66" s="731"/>
      <c r="AA66" s="731"/>
      <c r="AB66" s="731"/>
      <c r="AC66" s="1198"/>
      <c r="AD66" s="1198"/>
      <c r="AE66" s="1181"/>
      <c r="AF66" s="1523"/>
      <c r="AG66" s="1408"/>
      <c r="AH66" s="13"/>
      <c r="AI66" s="13"/>
      <c r="AJ66" s="43"/>
      <c r="AK66" s="174"/>
      <c r="AL66" s="43"/>
    </row>
    <row r="67" spans="1:38" collapsed="1">
      <c r="A67" s="1196" t="s">
        <v>382</v>
      </c>
      <c r="B67" s="1194">
        <v>-70.400000000000006</v>
      </c>
      <c r="C67" s="1194">
        <v>-77.599999999999994</v>
      </c>
      <c r="D67" s="1194">
        <v>-87.3</v>
      </c>
      <c r="E67" s="1194">
        <v>-140.09100000000001</v>
      </c>
      <c r="F67" s="1194">
        <v>-191.21400000000003</v>
      </c>
      <c r="G67" s="1194">
        <v>-202.506</v>
      </c>
      <c r="H67" s="1194">
        <v>-277.01599999999996</v>
      </c>
      <c r="I67" s="1194">
        <v>-330.35499999999996</v>
      </c>
      <c r="J67" s="1200">
        <v>-351.62699999999995</v>
      </c>
      <c r="K67" s="1200">
        <v>-452.95</v>
      </c>
      <c r="L67" s="1200">
        <v>-448.28499999999997</v>
      </c>
      <c r="M67" s="1200">
        <v>-599.029</v>
      </c>
      <c r="N67" s="1200">
        <v>-723.76099999999997</v>
      </c>
      <c r="O67" s="1200">
        <v>-737.91100000000006</v>
      </c>
      <c r="P67" s="1195">
        <v>-937.02296374027128</v>
      </c>
      <c r="Q67" s="1195">
        <v>-969.13922406645224</v>
      </c>
      <c r="R67" s="1195">
        <v>-1046.7014821966725</v>
      </c>
      <c r="S67" s="1195">
        <v>-1204.6245556239382</v>
      </c>
      <c r="T67" s="1195">
        <v>-1289.2143715107193</v>
      </c>
      <c r="U67" s="1195">
        <v>-1226.9362955391991</v>
      </c>
      <c r="V67" s="1195">
        <v>-1195.5195738589618</v>
      </c>
      <c r="W67" s="1195">
        <v>-1337.8620990618506</v>
      </c>
      <c r="X67" s="1250"/>
      <c r="Y67" s="731"/>
      <c r="Z67" s="731"/>
      <c r="AA67" s="731"/>
      <c r="AB67" s="731"/>
      <c r="AC67" s="1403"/>
      <c r="AD67" s="1403"/>
      <c r="AE67" s="1525"/>
      <c r="AF67" s="1523"/>
      <c r="AG67" s="1408"/>
      <c r="AH67" s="165"/>
      <c r="AI67" s="165"/>
      <c r="AJ67" s="43"/>
      <c r="AK67" s="174"/>
      <c r="AL67" s="43"/>
    </row>
    <row r="68" spans="1:38">
      <c r="A68" s="1120" t="s">
        <v>220</v>
      </c>
      <c r="B68" s="1187">
        <v>21.531999999999954</v>
      </c>
      <c r="C68" s="1187">
        <v>85.509999999999962</v>
      </c>
      <c r="D68" s="1187">
        <v>234.89099999999996</v>
      </c>
      <c r="E68" s="1187">
        <v>250.38599999999985</v>
      </c>
      <c r="F68" s="1187">
        <v>-62.840999999999923</v>
      </c>
      <c r="G68" s="1187">
        <v>40.672999999999945</v>
      </c>
      <c r="H68" s="1187">
        <v>124.30599999999981</v>
      </c>
      <c r="I68" s="1187">
        <v>235.76899999999983</v>
      </c>
      <c r="J68" s="1187">
        <v>231.00800000000015</v>
      </c>
      <c r="K68" s="1187">
        <v>198.80999999999977</v>
      </c>
      <c r="L68" s="1187">
        <v>302.91800000000001</v>
      </c>
      <c r="M68" s="1187">
        <v>532.68599999999969</v>
      </c>
      <c r="N68" s="1187">
        <v>512.05299999999988</v>
      </c>
      <c r="O68" s="1187">
        <v>706.48700000000008</v>
      </c>
      <c r="P68" s="1188">
        <v>821.99908906319183</v>
      </c>
      <c r="Q68" s="1188">
        <v>811.01167708280195</v>
      </c>
      <c r="R68" s="1188">
        <v>906.28938993016277</v>
      </c>
      <c r="S68" s="1188">
        <v>1094.004700671343</v>
      </c>
      <c r="T68" s="1188">
        <v>1168.7930777968661</v>
      </c>
      <c r="U68" s="1188">
        <v>999.77813581046735</v>
      </c>
      <c r="V68" s="1188">
        <v>894.59311279477424</v>
      </c>
      <c r="W68" s="1188">
        <v>1315.7357619179606</v>
      </c>
      <c r="X68" s="1524"/>
      <c r="Y68" s="1215">
        <v>0.28174527803290172</v>
      </c>
      <c r="Z68" s="1215">
        <v>5.0020503957617146E-2</v>
      </c>
      <c r="AA68" s="1215">
        <v>3.7599844995154008E-2</v>
      </c>
      <c r="AB68" s="731"/>
      <c r="AC68" s="1188"/>
      <c r="AD68" s="1188"/>
      <c r="AE68" s="1525"/>
      <c r="AF68" s="1523"/>
      <c r="AG68" s="1408"/>
      <c r="AH68" s="19"/>
      <c r="AI68" s="19"/>
      <c r="AJ68" s="43"/>
      <c r="AK68" s="174"/>
      <c r="AL68" s="43"/>
    </row>
    <row r="69" spans="1:38" s="946" customFormat="1">
      <c r="A69" s="1189" t="s">
        <v>215</v>
      </c>
      <c r="B69" s="1190"/>
      <c r="C69" s="1205">
        <v>2.9712985324168746</v>
      </c>
      <c r="D69" s="1205">
        <v>1.7469418781429082</v>
      </c>
      <c r="E69" s="1205">
        <v>6.596676756452946E-2</v>
      </c>
      <c r="F69" s="1205">
        <v>-1.250976492295895</v>
      </c>
      <c r="G69" s="1205" t="s">
        <v>36</v>
      </c>
      <c r="H69" s="1205">
        <v>2.0562289479507285</v>
      </c>
      <c r="I69" s="1205">
        <v>0.89668238057696481</v>
      </c>
      <c r="J69" s="1205">
        <v>-2.0193494479764929E-2</v>
      </c>
      <c r="K69" s="1205">
        <v>-0.13938045435656066</v>
      </c>
      <c r="L69" s="1205">
        <v>0.52365575172275203</v>
      </c>
      <c r="M69" s="1205">
        <v>0.75851550584646565</v>
      </c>
      <c r="N69" s="1205">
        <v>-3.8733888256871407E-2</v>
      </c>
      <c r="O69" s="1205">
        <v>0.37971459985587486</v>
      </c>
      <c r="P69" s="1206">
        <v>0.16350207302213882</v>
      </c>
      <c r="Q69" s="1206">
        <v>-1.3366696054264326E-2</v>
      </c>
      <c r="R69" s="1206">
        <v>0.11748007524388981</v>
      </c>
      <c r="S69" s="1206">
        <v>0.20712513334801952</v>
      </c>
      <c r="T69" s="1206">
        <v>6.8362025391324854E-2</v>
      </c>
      <c r="U69" s="1206">
        <v>-0.14460638516527324</v>
      </c>
      <c r="V69" s="1206">
        <v>-0.1052083649843224</v>
      </c>
      <c r="W69" s="1206">
        <v>0.470764466101808</v>
      </c>
      <c r="X69" s="1191"/>
      <c r="Y69" s="1196"/>
      <c r="Z69" s="1196"/>
      <c r="AA69" s="1196"/>
      <c r="AB69" s="1196"/>
      <c r="AC69" s="1206"/>
      <c r="AD69" s="1206"/>
      <c r="AE69" s="1526"/>
      <c r="AF69" s="1523"/>
      <c r="AG69" s="1408"/>
      <c r="AH69" s="947"/>
      <c r="AI69" s="947"/>
      <c r="AJ69" s="945"/>
      <c r="AK69" s="947"/>
      <c r="AL69" s="945"/>
    </row>
    <row r="70" spans="1:38">
      <c r="A70" s="1196" t="s">
        <v>221</v>
      </c>
      <c r="B70" s="1163">
        <v>4.1567567567567479E-2</v>
      </c>
      <c r="C70" s="1163">
        <v>0.13191916075285401</v>
      </c>
      <c r="D70" s="1163">
        <v>0.29069876810284867</v>
      </c>
      <c r="E70" s="1163">
        <v>0.3029338069560103</v>
      </c>
      <c r="F70" s="1163">
        <v>-8.8207798770388132E-2</v>
      </c>
      <c r="G70" s="1163">
        <v>5.2519036262190948E-2</v>
      </c>
      <c r="H70" s="1163">
        <v>0.10505152600470202</v>
      </c>
      <c r="I70" s="1163">
        <v>0.18205706749197692</v>
      </c>
      <c r="J70" s="1163">
        <v>0.16899026327917552</v>
      </c>
      <c r="K70" s="1163">
        <v>0.12152534757985384</v>
      </c>
      <c r="L70" s="1163">
        <v>0.15363368480846382</v>
      </c>
      <c r="M70" s="1163">
        <v>0.22909629522588093</v>
      </c>
      <c r="N70" s="1163">
        <v>0.1877454508522651</v>
      </c>
      <c r="O70" s="1163">
        <v>0.23526965095531563</v>
      </c>
      <c r="P70" s="1164">
        <v>0.22478883880160416</v>
      </c>
      <c r="Q70" s="1164">
        <v>0.21443445977918613</v>
      </c>
      <c r="R70" s="1164">
        <v>0.22186954792198774</v>
      </c>
      <c r="S70" s="1164">
        <v>0.23271325364125833</v>
      </c>
      <c r="T70" s="1164">
        <v>0.23230905309093788</v>
      </c>
      <c r="U70" s="1164">
        <v>0.20880229259788669</v>
      </c>
      <c r="V70" s="1164">
        <v>0.19174431709373665</v>
      </c>
      <c r="W70" s="1164">
        <v>0.25200605188534425</v>
      </c>
      <c r="X70" s="1163"/>
      <c r="Y70" s="731"/>
      <c r="Z70" s="731"/>
      <c r="AA70" s="731"/>
      <c r="AB70" s="731"/>
      <c r="AC70" s="1164"/>
      <c r="AD70" s="1164"/>
      <c r="AE70" s="1181"/>
      <c r="AF70" s="1523"/>
      <c r="AG70" s="1408"/>
      <c r="AH70" s="166"/>
      <c r="AI70" s="166"/>
      <c r="AJ70" s="43"/>
      <c r="AK70" s="174"/>
      <c r="AL70" s="43"/>
    </row>
    <row r="71" spans="1:38">
      <c r="A71" s="731" t="s">
        <v>223</v>
      </c>
      <c r="B71" s="1717">
        <v>-41.234999999999999</v>
      </c>
      <c r="C71" s="1257">
        <v>-32.064</v>
      </c>
      <c r="D71" s="1201">
        <v>-33.197000000000003</v>
      </c>
      <c r="E71" s="1201">
        <v>-22.667000000000002</v>
      </c>
      <c r="F71" s="1200">
        <v>-9.4070000000000107</v>
      </c>
      <c r="G71" s="1200">
        <v>-102.31700000000002</v>
      </c>
      <c r="H71" s="1200">
        <v>-76.158999999999978</v>
      </c>
      <c r="I71" s="1200">
        <v>-62.14</v>
      </c>
      <c r="J71" s="1200">
        <v>-42.481999999999985</v>
      </c>
      <c r="K71" s="1200">
        <v>-84.881999999999962</v>
      </c>
      <c r="L71" s="1200">
        <v>-114.68599999999999</v>
      </c>
      <c r="M71" s="1200">
        <v>-168.55900000000003</v>
      </c>
      <c r="N71" s="1200">
        <v>-191.04699999999994</v>
      </c>
      <c r="O71" s="1200">
        <v>-211.01599999999996</v>
      </c>
      <c r="P71" s="1195">
        <v>-182.90814133127279</v>
      </c>
      <c r="Q71" s="1195">
        <v>-152.4029453336143</v>
      </c>
      <c r="R71" s="1195">
        <v>-127.29428455128455</v>
      </c>
      <c r="S71" s="1195">
        <v>-118.03819178390663</v>
      </c>
      <c r="T71" s="1195">
        <v>-107.56418103263923</v>
      </c>
      <c r="U71" s="1195">
        <v>-100.0801133022417</v>
      </c>
      <c r="V71" s="1195">
        <v>-119.42562950566605</v>
      </c>
      <c r="W71" s="1195">
        <v>-133.69756385302344</v>
      </c>
      <c r="X71" s="1250"/>
      <c r="Y71" s="731"/>
      <c r="Z71" s="731"/>
      <c r="AA71" s="731"/>
      <c r="AB71" s="731"/>
      <c r="AC71" s="1403"/>
      <c r="AD71" s="1403"/>
      <c r="AE71" s="1181"/>
      <c r="AF71" s="1523"/>
      <c r="AG71" s="1408"/>
      <c r="AH71" s="233"/>
      <c r="AI71" s="233"/>
      <c r="AJ71" s="43"/>
      <c r="AK71" s="174"/>
      <c r="AL71" s="43"/>
    </row>
    <row r="72" spans="1:38" ht="12.75" customHeight="1">
      <c r="A72" s="1207" t="s">
        <v>173</v>
      </c>
      <c r="B72" s="1717" t="s">
        <v>972</v>
      </c>
      <c r="C72" s="1717" t="s">
        <v>972</v>
      </c>
      <c r="D72" s="1717">
        <v>38.320999999999998</v>
      </c>
      <c r="E72" s="1194">
        <v>68.447000000000003</v>
      </c>
      <c r="F72" s="1194">
        <v>78.676999999999992</v>
      </c>
      <c r="G72" s="1194">
        <v>52.430999999999997</v>
      </c>
      <c r="H72" s="1194">
        <v>104.629</v>
      </c>
      <c r="I72" s="1194">
        <v>39.466999999999999</v>
      </c>
      <c r="J72" s="1194">
        <v>75.692000000000007</v>
      </c>
      <c r="K72" s="1194">
        <v>91.283000000000001</v>
      </c>
      <c r="L72" s="1194">
        <v>43.763999999999996</v>
      </c>
      <c r="M72" s="1194">
        <v>97.546000000000006</v>
      </c>
      <c r="N72" s="1194">
        <v>120.22499999999999</v>
      </c>
      <c r="O72" s="1194">
        <v>132.553</v>
      </c>
      <c r="P72" s="1195">
        <v>126.94602702177312</v>
      </c>
      <c r="Q72" s="1195">
        <v>105.1441569759062</v>
      </c>
      <c r="R72" s="1195">
        <v>114.70497610284015</v>
      </c>
      <c r="S72" s="1195">
        <v>123.96106887021807</v>
      </c>
      <c r="T72" s="1195">
        <v>134.43507962148547</v>
      </c>
      <c r="U72" s="1195">
        <v>141.919147351883</v>
      </c>
      <c r="V72" s="1195">
        <v>122.57363114845865</v>
      </c>
      <c r="W72" s="1195">
        <v>108.30169680110124</v>
      </c>
      <c r="X72" s="1250"/>
      <c r="Y72" s="731"/>
      <c r="Z72" s="731"/>
      <c r="AA72" s="731"/>
      <c r="AB72" s="731"/>
      <c r="AC72" s="1403"/>
      <c r="AD72" s="1403"/>
      <c r="AE72" s="1181"/>
      <c r="AF72" s="1523"/>
      <c r="AG72" s="1408"/>
      <c r="AH72" s="233"/>
      <c r="AI72" s="233"/>
      <c r="AJ72" s="43"/>
      <c r="AK72" s="174"/>
      <c r="AL72" s="43"/>
    </row>
    <row r="73" spans="1:38" ht="12.75" customHeight="1">
      <c r="A73" s="1207" t="s">
        <v>174</v>
      </c>
      <c r="B73" s="1717" t="s">
        <v>972</v>
      </c>
      <c r="C73" s="1717" t="s">
        <v>972</v>
      </c>
      <c r="D73" s="1717">
        <v>-71.518000000000001</v>
      </c>
      <c r="E73" s="1200">
        <v>-91.114000000000004</v>
      </c>
      <c r="F73" s="1200">
        <v>-88.084000000000003</v>
      </c>
      <c r="G73" s="1200">
        <v>-154.74800000000002</v>
      </c>
      <c r="H73" s="1200">
        <v>-180.78799999999998</v>
      </c>
      <c r="I73" s="1200">
        <v>-101.607</v>
      </c>
      <c r="J73" s="1200">
        <v>-118.17399999999999</v>
      </c>
      <c r="K73" s="1200">
        <v>-176.16499999999996</v>
      </c>
      <c r="L73" s="1200">
        <v>-158.44999999999999</v>
      </c>
      <c r="M73" s="1200">
        <v>-266.10500000000002</v>
      </c>
      <c r="N73" s="1200">
        <v>-311.27199999999993</v>
      </c>
      <c r="O73" s="1200">
        <v>-343.56899999999996</v>
      </c>
      <c r="P73" s="1195">
        <v>-309.85416835304591</v>
      </c>
      <c r="Q73" s="1195">
        <v>-257.54710230952048</v>
      </c>
      <c r="R73" s="1195">
        <v>-241.9992606541247</v>
      </c>
      <c r="S73" s="1195">
        <v>-241.9992606541247</v>
      </c>
      <c r="T73" s="1195">
        <v>-241.9992606541247</v>
      </c>
      <c r="U73" s="1195">
        <v>-241.9992606541247</v>
      </c>
      <c r="V73" s="1195">
        <v>-241.9992606541247</v>
      </c>
      <c r="W73" s="1195">
        <v>-241.9992606541247</v>
      </c>
      <c r="X73" s="1250"/>
      <c r="Y73" s="731"/>
      <c r="Z73" s="731"/>
      <c r="AA73" s="731"/>
      <c r="AB73" s="731"/>
      <c r="AC73" s="1403"/>
      <c r="AD73" s="1403"/>
      <c r="AE73" s="1181"/>
      <c r="AF73" s="1523"/>
      <c r="AG73" s="1408"/>
      <c r="AH73" s="233"/>
      <c r="AI73" s="233"/>
      <c r="AJ73" s="43"/>
      <c r="AK73" s="174"/>
      <c r="AL73" s="43"/>
    </row>
    <row r="74" spans="1:38">
      <c r="A74" s="731" t="s">
        <v>914</v>
      </c>
      <c r="B74" s="1717">
        <v>-2.6379999999999999</v>
      </c>
      <c r="C74" s="1717">
        <v>1.0920000000000001</v>
      </c>
      <c r="D74" s="1717">
        <v>8.6990000000000016</v>
      </c>
      <c r="E74" s="1717">
        <v>7.6210000000000004</v>
      </c>
      <c r="F74" s="1200">
        <v>0.97700000000000042</v>
      </c>
      <c r="G74" s="1200">
        <v>-70.171999999999997</v>
      </c>
      <c r="H74" s="1200">
        <v>92.875999999999991</v>
      </c>
      <c r="I74" s="1200">
        <v>23.465000000000003</v>
      </c>
      <c r="J74" s="1200">
        <v>-22.323</v>
      </c>
      <c r="K74" s="1200">
        <v>-15.769000000000002</v>
      </c>
      <c r="L74" s="1200">
        <v>7.488999999999999</v>
      </c>
      <c r="M74" s="1200">
        <v>-12.562000000000001</v>
      </c>
      <c r="N74" s="1200">
        <v>-129.185</v>
      </c>
      <c r="O74" s="1589">
        <v>-49.898000000000003</v>
      </c>
      <c r="P74" s="1195">
        <v>10.859</v>
      </c>
      <c r="Q74" s="1195">
        <v>0</v>
      </c>
      <c r="R74" s="1195">
        <v>0</v>
      </c>
      <c r="S74" s="1195">
        <v>0</v>
      </c>
      <c r="T74" s="1195">
        <v>0</v>
      </c>
      <c r="U74" s="1195">
        <v>0</v>
      </c>
      <c r="V74" s="1195">
        <v>0</v>
      </c>
      <c r="W74" s="1195">
        <v>0</v>
      </c>
      <c r="X74" s="1250"/>
      <c r="Y74" s="731"/>
      <c r="Z74" s="731"/>
      <c r="AA74" s="731"/>
      <c r="AB74" s="731"/>
      <c r="AC74" s="1403"/>
      <c r="AD74" s="1403"/>
      <c r="AE74" s="1181"/>
      <c r="AF74" s="1523"/>
      <c r="AG74" s="1408"/>
      <c r="AH74" s="233"/>
      <c r="AI74" s="233"/>
      <c r="AJ74" s="43"/>
      <c r="AK74" s="174"/>
      <c r="AL74" s="43"/>
    </row>
    <row r="75" spans="1:38">
      <c r="A75" s="1120" t="s">
        <v>224</v>
      </c>
      <c r="B75" s="1209">
        <v>-22.341000000000044</v>
      </c>
      <c r="C75" s="1209">
        <v>54.537999999999961</v>
      </c>
      <c r="D75" s="1209">
        <v>210.39299999999997</v>
      </c>
      <c r="E75" s="1209">
        <v>235.33999999999986</v>
      </c>
      <c r="F75" s="1209">
        <v>-71.27099999999993</v>
      </c>
      <c r="G75" s="1209">
        <v>-131.81600000000009</v>
      </c>
      <c r="H75" s="1209">
        <v>141.02299999999983</v>
      </c>
      <c r="I75" s="1209">
        <v>197.09399999999985</v>
      </c>
      <c r="J75" s="1209">
        <v>166.20300000000017</v>
      </c>
      <c r="K75" s="1209">
        <v>98.158999999999807</v>
      </c>
      <c r="L75" s="1209">
        <v>195.72100000000003</v>
      </c>
      <c r="M75" s="1209">
        <v>351.56499999999966</v>
      </c>
      <c r="N75" s="1209">
        <v>191.82099999999997</v>
      </c>
      <c r="O75" s="1590">
        <v>445.57300000000009</v>
      </c>
      <c r="P75" s="1210">
        <v>649.94994773191911</v>
      </c>
      <c r="Q75" s="1210">
        <v>658.60873174918765</v>
      </c>
      <c r="R75" s="1210">
        <v>778.99510537887818</v>
      </c>
      <c r="S75" s="1210">
        <v>975.96650888743636</v>
      </c>
      <c r="T75" s="1210">
        <v>1061.2288967642269</v>
      </c>
      <c r="U75" s="1210">
        <v>899.69802250822568</v>
      </c>
      <c r="V75" s="1210">
        <v>775.16748328910819</v>
      </c>
      <c r="W75" s="1210">
        <v>1182.0381980649372</v>
      </c>
      <c r="X75" s="1250"/>
      <c r="Y75" s="731"/>
      <c r="Z75" s="731"/>
      <c r="AA75" s="731"/>
      <c r="AB75" s="731"/>
      <c r="AC75" s="1404"/>
      <c r="AD75" s="1404"/>
      <c r="AE75" s="1525"/>
      <c r="AF75" s="1523"/>
      <c r="AG75" s="1408"/>
      <c r="AH75" s="19"/>
      <c r="AI75" s="19"/>
      <c r="AJ75" s="43"/>
      <c r="AK75" s="174"/>
      <c r="AL75" s="43"/>
    </row>
    <row r="76" spans="1:38">
      <c r="A76" s="731" t="s">
        <v>225</v>
      </c>
      <c r="B76" s="1194">
        <v>3.94</v>
      </c>
      <c r="C76" s="1194">
        <v>-18.835999999999999</v>
      </c>
      <c r="D76" s="1194">
        <v>-37.890999999999998</v>
      </c>
      <c r="E76" s="1194">
        <v>-36.573999999999998</v>
      </c>
      <c r="F76" s="1194">
        <v>22.477</v>
      </c>
      <c r="G76" s="1194">
        <v>53.556000000000004</v>
      </c>
      <c r="H76" s="1194">
        <v>-39.864999999999995</v>
      </c>
      <c r="I76" s="1194">
        <v>-54.802999999999997</v>
      </c>
      <c r="J76" s="1194">
        <v>-39.592000000000006</v>
      </c>
      <c r="K76" s="1194">
        <v>-25.209000000000003</v>
      </c>
      <c r="L76" s="1194">
        <v>-60.719000000000001</v>
      </c>
      <c r="M76" s="1194">
        <v>-32.067999999999998</v>
      </c>
      <c r="N76" s="1194">
        <v>7.6129999999999978</v>
      </c>
      <c r="O76" s="1591">
        <v>-161.685</v>
      </c>
      <c r="P76" s="1195">
        <v>-127.14806111442633</v>
      </c>
      <c r="Q76" s="1195">
        <v>-85.619135127394514</v>
      </c>
      <c r="R76" s="1195">
        <v>-101.26936369925423</v>
      </c>
      <c r="S76" s="1195">
        <v>-165.91430651086424</v>
      </c>
      <c r="T76" s="1195">
        <v>-201.63349038520306</v>
      </c>
      <c r="U76" s="1195">
        <v>-188.93658472672757</v>
      </c>
      <c r="V76" s="1195">
        <v>-178.28852115649482</v>
      </c>
      <c r="W76" s="1195">
        <v>-401.89298734207887</v>
      </c>
      <c r="X76" s="1798"/>
      <c r="Y76" s="731"/>
      <c r="Z76" s="731"/>
      <c r="AA76" s="731"/>
      <c r="AB76" s="731"/>
      <c r="AC76" s="1403"/>
      <c r="AD76" s="1403"/>
      <c r="AE76" s="1181"/>
      <c r="AF76" s="1523"/>
      <c r="AG76" s="1408"/>
      <c r="AH76" s="233"/>
      <c r="AI76" s="233"/>
      <c r="AJ76" s="43"/>
      <c r="AK76" s="174"/>
      <c r="AL76" s="43"/>
    </row>
    <row r="77" spans="1:38">
      <c r="A77" s="1196" t="s">
        <v>226</v>
      </c>
      <c r="B77" s="1163">
        <v>0.17635736985810807</v>
      </c>
      <c r="C77" s="1163">
        <v>0.34537386776192769</v>
      </c>
      <c r="D77" s="1163">
        <v>0.180096295979429</v>
      </c>
      <c r="E77" s="1163">
        <v>0.15540919520693472</v>
      </c>
      <c r="F77" s="1163">
        <v>0.31537371441399759</v>
      </c>
      <c r="G77" s="1163">
        <v>0.40629362141166453</v>
      </c>
      <c r="H77" s="1163">
        <v>0.28268438481666142</v>
      </c>
      <c r="I77" s="1163">
        <v>0.27805514120166031</v>
      </c>
      <c r="J77" s="1163">
        <v>0.23821471333249078</v>
      </c>
      <c r="K77" s="1163">
        <v>0.25681801974347795</v>
      </c>
      <c r="L77" s="1163">
        <v>0.31023242268330936</v>
      </c>
      <c r="M77" s="1163">
        <v>9.1214995804474369E-2</v>
      </c>
      <c r="N77" s="1250" t="s">
        <v>36</v>
      </c>
      <c r="O77" s="1649">
        <v>0.36286983277712065</v>
      </c>
      <c r="P77" s="1164">
        <v>0.17</v>
      </c>
      <c r="Q77" s="1164">
        <v>0.13</v>
      </c>
      <c r="R77" s="1164">
        <v>0.13</v>
      </c>
      <c r="S77" s="1164">
        <v>0.17</v>
      </c>
      <c r="T77" s="1164">
        <v>0.19</v>
      </c>
      <c r="U77" s="1164">
        <v>0.21</v>
      </c>
      <c r="V77" s="1164">
        <v>0.22999999999999998</v>
      </c>
      <c r="W77" s="1164">
        <v>0.34</v>
      </c>
      <c r="X77" s="1250"/>
      <c r="Y77" s="731"/>
      <c r="Z77" s="731"/>
      <c r="AA77" s="731"/>
      <c r="AB77" s="731"/>
      <c r="AC77" s="1164"/>
      <c r="AD77" s="1164"/>
      <c r="AE77" s="1181"/>
      <c r="AF77" s="1523"/>
      <c r="AG77" s="1408"/>
      <c r="AH77" s="174"/>
      <c r="AI77" s="174"/>
      <c r="AJ77" s="43"/>
      <c r="AK77" s="174"/>
      <c r="AL77" s="43"/>
    </row>
    <row r="78" spans="1:38">
      <c r="A78" s="1120" t="s">
        <v>354</v>
      </c>
      <c r="B78" s="1187">
        <v>-18.401000000000042</v>
      </c>
      <c r="C78" s="1187">
        <v>35.701999999999963</v>
      </c>
      <c r="D78" s="1187">
        <v>172.50199999999998</v>
      </c>
      <c r="E78" s="1187">
        <v>198.76599999999985</v>
      </c>
      <c r="F78" s="1187">
        <v>-48.793999999999926</v>
      </c>
      <c r="G78" s="1187">
        <v>-78.260000000000076</v>
      </c>
      <c r="H78" s="1187">
        <v>101.15799999999983</v>
      </c>
      <c r="I78" s="1187">
        <v>142.29099999999985</v>
      </c>
      <c r="J78" s="1187">
        <v>126.61100000000016</v>
      </c>
      <c r="K78" s="1187">
        <v>72.949999999999804</v>
      </c>
      <c r="L78" s="1187">
        <v>135.00200000000004</v>
      </c>
      <c r="M78" s="1187">
        <v>319.49699999999967</v>
      </c>
      <c r="N78" s="1187">
        <v>199.43399999999997</v>
      </c>
      <c r="O78" s="1592">
        <v>283.88800000000009</v>
      </c>
      <c r="P78" s="1188">
        <v>522.80188661749276</v>
      </c>
      <c r="Q78" s="1188">
        <v>572.98959662179311</v>
      </c>
      <c r="R78" s="1188">
        <v>677.72574167962398</v>
      </c>
      <c r="S78" s="1188">
        <v>810.05220237657215</v>
      </c>
      <c r="T78" s="1188">
        <v>859.59540637902387</v>
      </c>
      <c r="U78" s="1188">
        <v>710.7614377814981</v>
      </c>
      <c r="V78" s="1188">
        <v>596.87896213261342</v>
      </c>
      <c r="W78" s="1188">
        <v>780.14521072285834</v>
      </c>
      <c r="X78" s="1250"/>
      <c r="Y78" s="731"/>
      <c r="Z78" s="731"/>
      <c r="AA78" s="731"/>
      <c r="AB78" s="731"/>
      <c r="AC78" s="1188"/>
      <c r="AD78" s="1188"/>
      <c r="AE78" s="1525"/>
      <c r="AF78" s="1523"/>
      <c r="AG78" s="1408"/>
      <c r="AH78" s="20"/>
      <c r="AI78" s="20"/>
      <c r="AJ78" s="43"/>
      <c r="AK78" s="174"/>
      <c r="AL78" s="43"/>
    </row>
    <row r="79" spans="1:38">
      <c r="A79" s="1211" t="s">
        <v>355</v>
      </c>
      <c r="B79" s="1193">
        <v>0</v>
      </c>
      <c r="C79" s="1193">
        <v>0</v>
      </c>
      <c r="D79" s="1193">
        <v>0</v>
      </c>
      <c r="E79" s="1193">
        <v>0</v>
      </c>
      <c r="F79" s="1194">
        <v>0</v>
      </c>
      <c r="G79" s="1194">
        <v>6.3950000000000005</v>
      </c>
      <c r="H79" s="1194">
        <v>-3.0859999999999999</v>
      </c>
      <c r="I79" s="1194">
        <v>0</v>
      </c>
      <c r="J79" s="1194">
        <v>0</v>
      </c>
      <c r="K79" s="1194">
        <v>0</v>
      </c>
      <c r="L79" s="1194">
        <v>0</v>
      </c>
      <c r="M79" s="1194">
        <v>-2.2589999999999999</v>
      </c>
      <c r="N79" s="1194">
        <v>0</v>
      </c>
      <c r="O79" s="1591">
        <v>0</v>
      </c>
      <c r="P79" s="1238">
        <v>0</v>
      </c>
      <c r="Q79" s="1238">
        <v>0</v>
      </c>
      <c r="R79" s="1238">
        <v>0</v>
      </c>
      <c r="S79" s="1238">
        <v>0</v>
      </c>
      <c r="T79" s="1238">
        <v>0</v>
      </c>
      <c r="U79" s="1238">
        <v>0</v>
      </c>
      <c r="V79" s="1238">
        <v>0</v>
      </c>
      <c r="W79" s="1238">
        <v>0</v>
      </c>
      <c r="X79" s="1250"/>
      <c r="Y79" s="731"/>
      <c r="Z79" s="731"/>
      <c r="AA79" s="731"/>
      <c r="AB79" s="731"/>
      <c r="AC79" s="1405"/>
      <c r="AD79" s="1405"/>
      <c r="AE79" s="1181"/>
      <c r="AF79" s="1523"/>
      <c r="AG79" s="1408"/>
      <c r="AH79" s="232"/>
      <c r="AI79" s="232"/>
      <c r="AJ79" s="43"/>
      <c r="AK79" s="174"/>
      <c r="AL79" s="43"/>
    </row>
    <row r="80" spans="1:38">
      <c r="A80" s="1213" t="s">
        <v>356</v>
      </c>
      <c r="B80" s="1187">
        <v>-18.401000000000042</v>
      </c>
      <c r="C80" s="1187">
        <v>35.701999999999963</v>
      </c>
      <c r="D80" s="1187">
        <v>172.50199999999998</v>
      </c>
      <c r="E80" s="1187">
        <v>198.76599999999985</v>
      </c>
      <c r="F80" s="1187">
        <v>-48.793999999999926</v>
      </c>
      <c r="G80" s="1187">
        <v>-71.86500000000008</v>
      </c>
      <c r="H80" s="1187">
        <v>98.071999999999832</v>
      </c>
      <c r="I80" s="1187">
        <v>142.29099999999985</v>
      </c>
      <c r="J80" s="1187">
        <v>126.61100000000016</v>
      </c>
      <c r="K80" s="1187">
        <v>72.949999999999804</v>
      </c>
      <c r="L80" s="1187">
        <v>135.00200000000004</v>
      </c>
      <c r="M80" s="1187">
        <v>317.23799999999966</v>
      </c>
      <c r="N80" s="1187">
        <v>199.43399999999997</v>
      </c>
      <c r="O80" s="1592">
        <v>283.88800000000009</v>
      </c>
      <c r="P80" s="1188">
        <v>522.80188661749276</v>
      </c>
      <c r="Q80" s="1188">
        <v>572.98959662179311</v>
      </c>
      <c r="R80" s="1188">
        <v>677.72574167962398</v>
      </c>
      <c r="S80" s="1188">
        <v>810.05220237657215</v>
      </c>
      <c r="T80" s="1188">
        <v>859.59540637902387</v>
      </c>
      <c r="U80" s="1188">
        <v>710.7614377814981</v>
      </c>
      <c r="V80" s="1188">
        <v>596.87896213261342</v>
      </c>
      <c r="W80" s="1188">
        <v>780.14521072285834</v>
      </c>
      <c r="X80" s="1524"/>
      <c r="Y80" s="1215">
        <v>0.16397363507066465</v>
      </c>
      <c r="Z80" s="1215">
        <v>0.13856654262489188</v>
      </c>
      <c r="AA80" s="1215">
        <v>-7.4954922362633347E-3</v>
      </c>
      <c r="AB80" s="1529"/>
      <c r="AC80" s="1188"/>
      <c r="AD80" s="1188"/>
      <c r="AE80" s="1530"/>
      <c r="AF80" s="1523"/>
      <c r="AG80" s="1408"/>
      <c r="AH80" s="20"/>
      <c r="AI80" s="20"/>
      <c r="AJ80" s="43"/>
      <c r="AK80" s="174"/>
      <c r="AL80" s="43"/>
    </row>
    <row r="81" spans="1:38" ht="12.75" customHeight="1">
      <c r="A81" s="1213" t="s">
        <v>1038</v>
      </c>
      <c r="B81" s="1187">
        <v>-18.401000000000042</v>
      </c>
      <c r="C81" s="1187">
        <v>35.701999999999963</v>
      </c>
      <c r="D81" s="1187">
        <v>172.50199999999998</v>
      </c>
      <c r="E81" s="1187">
        <v>198.76599999999985</v>
      </c>
      <c r="F81" s="1187">
        <v>-48.793999999999926</v>
      </c>
      <c r="G81" s="1187">
        <v>-71.86500000000008</v>
      </c>
      <c r="H81" s="1187">
        <v>98.071999999999832</v>
      </c>
      <c r="I81" s="1187">
        <v>142.29099999999985</v>
      </c>
      <c r="J81" s="1187">
        <v>126.61100000000016</v>
      </c>
      <c r="K81" s="1187">
        <v>72.949999999999804</v>
      </c>
      <c r="L81" s="1187">
        <v>135.00200000000004</v>
      </c>
      <c r="M81" s="1187">
        <v>317.23799999999966</v>
      </c>
      <c r="N81" s="1187">
        <v>199.43399999999997</v>
      </c>
      <c r="O81" s="1592">
        <v>283.88800000000009</v>
      </c>
      <c r="P81" s="1188">
        <v>522.80188661749276</v>
      </c>
      <c r="Q81" s="1188">
        <v>572.98959662179311</v>
      </c>
      <c r="R81" s="1188">
        <v>677.72574167962398</v>
      </c>
      <c r="S81" s="1188">
        <v>810.05220237657215</v>
      </c>
      <c r="T81" s="1188">
        <v>859.59540637902387</v>
      </c>
      <c r="U81" s="1188">
        <v>710.7614377814981</v>
      </c>
      <c r="V81" s="1188">
        <v>596.87896213261342</v>
      </c>
      <c r="W81" s="1188">
        <v>780.14521072285834</v>
      </c>
      <c r="X81" s="1524"/>
      <c r="Y81" s="1163"/>
      <c r="Z81" s="1531"/>
      <c r="AA81" s="1531"/>
      <c r="AB81" s="1529"/>
      <c r="AC81" s="1188"/>
      <c r="AD81" s="1188"/>
      <c r="AE81" s="1530"/>
      <c r="AF81" s="1523"/>
      <c r="AG81" s="1408"/>
      <c r="AH81" s="20"/>
      <c r="AI81" s="20"/>
      <c r="AJ81" s="43"/>
      <c r="AK81" s="174"/>
      <c r="AL81" s="43"/>
    </row>
    <row r="82" spans="1:38">
      <c r="A82" s="1211" t="s">
        <v>357</v>
      </c>
      <c r="B82" s="1214"/>
      <c r="C82" s="1214"/>
      <c r="D82" s="1214"/>
      <c r="E82" s="1214"/>
      <c r="F82" s="1215">
        <v>-6.8490497178630469E-2</v>
      </c>
      <c r="G82" s="1215">
        <v>-9.2795725443964347E-2</v>
      </c>
      <c r="H82" s="1215">
        <v>8.2881061721341964E-2</v>
      </c>
      <c r="I82" s="1215">
        <v>0.10987484440490852</v>
      </c>
      <c r="J82" s="1215">
        <v>9.262028251852622E-2</v>
      </c>
      <c r="K82" s="1215">
        <v>4.4591691091747515E-2</v>
      </c>
      <c r="L82" s="1215">
        <v>6.8470195618986776E-2</v>
      </c>
      <c r="M82" s="1215">
        <v>0.13643694503866813</v>
      </c>
      <c r="N82" s="1215">
        <v>7.3122950642356632E-2</v>
      </c>
      <c r="O82" s="1533">
        <v>9.4538513334856342E-2</v>
      </c>
      <c r="P82" s="1216">
        <v>0.14296856356613269</v>
      </c>
      <c r="Q82" s="1216">
        <v>0.15150054935416601</v>
      </c>
      <c r="R82" s="1216">
        <v>0.16591466874961322</v>
      </c>
      <c r="S82" s="1216">
        <v>0.17231176750761568</v>
      </c>
      <c r="T82" s="1216">
        <v>0.17085299245067656</v>
      </c>
      <c r="U82" s="1216">
        <v>0.1484415515634776</v>
      </c>
      <c r="V82" s="1216">
        <v>0.12793318811072876</v>
      </c>
      <c r="W82" s="1216">
        <v>0.14942309857485353</v>
      </c>
      <c r="X82" s="1214"/>
      <c r="Y82" s="1532"/>
      <c r="Z82" s="1214"/>
      <c r="AA82" s="1214"/>
      <c r="AB82" s="1533"/>
      <c r="AC82" s="1216"/>
      <c r="AD82" s="1216"/>
      <c r="AE82" s="1534"/>
      <c r="AF82" s="1523"/>
      <c r="AG82" s="1408"/>
      <c r="AH82" s="174"/>
      <c r="AI82" s="174"/>
      <c r="AJ82" s="43"/>
      <c r="AK82" s="174"/>
      <c r="AL82" s="43"/>
    </row>
    <row r="83" spans="1:38">
      <c r="A83" s="1211"/>
      <c r="B83" s="1214"/>
      <c r="C83" s="1214"/>
      <c r="D83" s="1214"/>
      <c r="E83" s="1214"/>
      <c r="F83" s="1215"/>
      <c r="G83" s="1215"/>
      <c r="H83" s="1215"/>
      <c r="I83" s="1215"/>
      <c r="J83" s="1215"/>
      <c r="K83" s="1215"/>
      <c r="L83" s="1215"/>
      <c r="M83" s="1215"/>
      <c r="N83" s="1215"/>
      <c r="O83" s="1533"/>
      <c r="P83" s="1216"/>
      <c r="Q83" s="1216"/>
      <c r="R83" s="1216"/>
      <c r="S83" s="1216"/>
      <c r="T83" s="1216"/>
      <c r="U83" s="1216"/>
      <c r="V83" s="1216"/>
      <c r="W83" s="1216"/>
      <c r="X83" s="1214"/>
      <c r="Y83" s="1532"/>
      <c r="Z83" s="1214"/>
      <c r="AA83" s="1214"/>
      <c r="AB83" s="1533"/>
      <c r="AC83" s="1216"/>
      <c r="AD83" s="1216"/>
      <c r="AE83" s="1534"/>
      <c r="AF83" s="1523"/>
      <c r="AG83" s="1408"/>
      <c r="AH83" s="174"/>
      <c r="AI83" s="174"/>
      <c r="AJ83" s="43"/>
      <c r="AK83" s="174"/>
      <c r="AL83" s="43"/>
    </row>
    <row r="84" spans="1:38">
      <c r="A84" s="1211" t="s">
        <v>358</v>
      </c>
      <c r="B84" s="1217">
        <v>300</v>
      </c>
      <c r="C84" s="1217">
        <v>300</v>
      </c>
      <c r="D84" s="1217">
        <v>300</v>
      </c>
      <c r="E84" s="1217">
        <v>339</v>
      </c>
      <c r="F84" s="1217">
        <v>339</v>
      </c>
      <c r="G84" s="1217">
        <v>338.58300000000003</v>
      </c>
      <c r="H84" s="1217">
        <v>338.58300000000003</v>
      </c>
      <c r="I84" s="1217">
        <v>338.58300000000003</v>
      </c>
      <c r="J84" s="1217">
        <v>338.16300000000001</v>
      </c>
      <c r="K84" s="1217">
        <v>336.65100000000001</v>
      </c>
      <c r="L84" s="1217">
        <v>336.72899999999998</v>
      </c>
      <c r="M84" s="1217">
        <v>337.71</v>
      </c>
      <c r="N84" s="1217">
        <v>338.928</v>
      </c>
      <c r="O84" s="1593">
        <v>339.98762099999999</v>
      </c>
      <c r="P84" s="1218">
        <v>351.45602329999997</v>
      </c>
      <c r="Q84" s="1218">
        <v>363.4678773</v>
      </c>
      <c r="R84" s="1218">
        <v>363.4678773</v>
      </c>
      <c r="S84" s="1218">
        <v>363.4678773</v>
      </c>
      <c r="T84" s="1218">
        <v>363.4678773</v>
      </c>
      <c r="U84" s="1218">
        <v>363.4678773</v>
      </c>
      <c r="V84" s="1218">
        <v>363.4678773</v>
      </c>
      <c r="W84" s="1218">
        <v>363.4678773</v>
      </c>
      <c r="X84" s="1214"/>
      <c r="Y84" s="731"/>
      <c r="Z84" s="1531"/>
      <c r="AA84" s="1531"/>
      <c r="AB84" s="1529"/>
      <c r="AC84" s="1218"/>
      <c r="AD84" s="1218"/>
      <c r="AE84" s="1292"/>
      <c r="AF84" s="1523"/>
      <c r="AG84" s="1408"/>
      <c r="AH84" s="43"/>
      <c r="AI84" s="43"/>
      <c r="AJ84" s="43"/>
      <c r="AK84" s="174"/>
      <c r="AL84" s="43"/>
    </row>
    <row r="85" spans="1:38" ht="12.75" customHeight="1">
      <c r="A85" s="1219" t="s">
        <v>359</v>
      </c>
      <c r="B85" s="1217">
        <v>300</v>
      </c>
      <c r="C85" s="1217">
        <v>300</v>
      </c>
      <c r="D85" s="1217">
        <v>300</v>
      </c>
      <c r="E85" s="1217">
        <v>339</v>
      </c>
      <c r="F85" s="1217">
        <v>339</v>
      </c>
      <c r="G85" s="1217">
        <v>338.58300000000003</v>
      </c>
      <c r="H85" s="1217">
        <v>338.58300000000003</v>
      </c>
      <c r="I85" s="1217">
        <v>338.58300000000003</v>
      </c>
      <c r="J85" s="1217">
        <v>338.16300000000001</v>
      </c>
      <c r="K85" s="1217">
        <v>337.101</v>
      </c>
      <c r="L85" s="1217">
        <v>337.45499999999998</v>
      </c>
      <c r="M85" s="1217">
        <v>338.58</v>
      </c>
      <c r="N85" s="1217">
        <v>339.60599999999999</v>
      </c>
      <c r="O85" s="1593">
        <v>338.05900000000003</v>
      </c>
      <c r="P85" s="1218">
        <v>352.98100694999999</v>
      </c>
      <c r="Q85" s="1218">
        <v>363.4678773</v>
      </c>
      <c r="R85" s="1218">
        <v>363.4678773</v>
      </c>
      <c r="S85" s="1218">
        <v>363.4678773</v>
      </c>
      <c r="T85" s="1218">
        <v>363.4678773</v>
      </c>
      <c r="U85" s="1218">
        <v>363.4678773</v>
      </c>
      <c r="V85" s="1218">
        <v>363.4678773</v>
      </c>
      <c r="W85" s="1218">
        <v>363.4678773</v>
      </c>
      <c r="X85" s="1532"/>
      <c r="Y85" s="731"/>
      <c r="Z85" s="1531"/>
      <c r="AA85" s="1531"/>
      <c r="AB85" s="1535"/>
      <c r="AC85" s="1218"/>
      <c r="AD85" s="1218"/>
      <c r="AE85" s="1536"/>
      <c r="AF85" s="1523"/>
      <c r="AG85" s="1408"/>
      <c r="AH85" s="21"/>
      <c r="AI85" s="21"/>
      <c r="AJ85" s="43"/>
      <c r="AK85" s="174"/>
      <c r="AL85" s="43"/>
    </row>
    <row r="86" spans="1:38" ht="12.75" customHeight="1">
      <c r="A86" s="1211" t="s">
        <v>967</v>
      </c>
      <c r="B86" s="1220">
        <v>-6.133666666666681E-2</v>
      </c>
      <c r="C86" s="1220">
        <v>0.11900666666666654</v>
      </c>
      <c r="D86" s="1220">
        <v>0.57500666666666655</v>
      </c>
      <c r="E86" s="1220">
        <v>0.58633038348082556</v>
      </c>
      <c r="F86" s="1220">
        <v>-0.14393510324483755</v>
      </c>
      <c r="G86" s="1220">
        <v>-0.21225223948042304</v>
      </c>
      <c r="H86" s="1220">
        <v>0.28965423544596103</v>
      </c>
      <c r="I86" s="1220">
        <v>0.42025441324579155</v>
      </c>
      <c r="J86" s="1220">
        <v>0.37440819959605326</v>
      </c>
      <c r="K86" s="1220">
        <v>0.21669325206222409</v>
      </c>
      <c r="L86" s="1220">
        <v>0.40092180952635514</v>
      </c>
      <c r="M86" s="1220">
        <v>0.9393799413698134</v>
      </c>
      <c r="N86" s="1220">
        <v>0.58842586035972233</v>
      </c>
      <c r="O86" s="1220">
        <v>0.83499510707185454</v>
      </c>
      <c r="P86" s="1221">
        <v>1.4875314462066662</v>
      </c>
      <c r="Q86" s="1221">
        <v>1.5764518198367707</v>
      </c>
      <c r="R86" s="1221">
        <v>1.8646097330913265</v>
      </c>
      <c r="S86" s="1221">
        <v>2.2286761856205777</v>
      </c>
      <c r="T86" s="1221">
        <v>2.3649831527464777</v>
      </c>
      <c r="U86" s="1221">
        <v>1.9555000102384512</v>
      </c>
      <c r="V86" s="1221">
        <v>1.642178028403759</v>
      </c>
      <c r="W86" s="1221">
        <v>2.1463938340799791</v>
      </c>
      <c r="X86" s="1532"/>
      <c r="Y86" s="731"/>
      <c r="Z86" s="1531"/>
      <c r="AA86" s="1531"/>
      <c r="AB86" s="1535"/>
      <c r="AC86" s="1218"/>
      <c r="AD86" s="1406"/>
      <c r="AE86" s="1536"/>
      <c r="AF86" s="1523"/>
      <c r="AG86" s="1408"/>
      <c r="AH86" s="21"/>
      <c r="AI86" s="21"/>
      <c r="AJ86" s="43"/>
      <c r="AK86" s="174"/>
      <c r="AL86" s="43"/>
    </row>
    <row r="87" spans="1:38" s="763" customFormat="1">
      <c r="A87" s="1213" t="s">
        <v>360</v>
      </c>
      <c r="B87" s="1881">
        <v>-6.133666666666681E-2</v>
      </c>
      <c r="C87" s="1881">
        <v>0.11900666666666654</v>
      </c>
      <c r="D87" s="1881">
        <v>0.57500666666666655</v>
      </c>
      <c r="E87" s="1881">
        <v>0.58633038348082556</v>
      </c>
      <c r="F87" s="1881">
        <v>-0.14393510324483755</v>
      </c>
      <c r="G87" s="1881">
        <v>-0.21225223948042304</v>
      </c>
      <c r="H87" s="1881">
        <v>0.28965423544596103</v>
      </c>
      <c r="I87" s="1881">
        <v>0.42025441324579155</v>
      </c>
      <c r="J87" s="1881">
        <v>0.37440819959605326</v>
      </c>
      <c r="K87" s="1881">
        <v>0.2164039857490776</v>
      </c>
      <c r="L87" s="1881">
        <v>0.4000592671615476</v>
      </c>
      <c r="M87" s="1881">
        <v>0.93696615275562545</v>
      </c>
      <c r="N87" s="1881">
        <v>0.5872511086376565</v>
      </c>
      <c r="O87" s="1881">
        <v>0.83975874033822517</v>
      </c>
      <c r="P87" s="1882">
        <v>1.4811048649185479</v>
      </c>
      <c r="Q87" s="1882">
        <v>1.5764518198367707</v>
      </c>
      <c r="R87" s="1882">
        <v>1.8646097330913265</v>
      </c>
      <c r="S87" s="1882">
        <v>2.2286761856205777</v>
      </c>
      <c r="T87" s="1882">
        <v>2.3649831527464777</v>
      </c>
      <c r="U87" s="1882">
        <v>1.9555000102384512</v>
      </c>
      <c r="V87" s="1882">
        <v>1.642178028403759</v>
      </c>
      <c r="W87" s="1882">
        <v>2.1463938340799791</v>
      </c>
      <c r="X87" s="1524"/>
      <c r="Y87" s="1120">
        <v>0.16423120524286938</v>
      </c>
      <c r="Z87" s="1531">
        <v>0.12202121665392496</v>
      </c>
      <c r="AA87" s="1531">
        <v>-7.4954922362633347E-3</v>
      </c>
      <c r="AB87" s="1529"/>
      <c r="AC87" s="1883"/>
      <c r="AD87" s="1884"/>
      <c r="AE87" s="1885"/>
      <c r="AF87" s="1886"/>
      <c r="AG87" s="1887"/>
      <c r="AH87" s="1888"/>
      <c r="AI87" s="1888"/>
      <c r="AJ87" s="1888"/>
      <c r="AK87" s="1888"/>
      <c r="AL87" s="1888"/>
    </row>
    <row r="88" spans="1:38" ht="12.75" customHeight="1">
      <c r="A88" s="1211" t="s">
        <v>1021</v>
      </c>
      <c r="B88" s="1223">
        <v>7</v>
      </c>
      <c r="C88" s="1223">
        <v>7.4</v>
      </c>
      <c r="D88" s="1223">
        <v>17.899999999999999</v>
      </c>
      <c r="E88" s="1223">
        <v>19.99979626</v>
      </c>
      <c r="F88" s="1223">
        <v>0</v>
      </c>
      <c r="G88" s="1223">
        <v>0</v>
      </c>
      <c r="H88" s="1223">
        <v>30.933</v>
      </c>
      <c r="I88" s="1223">
        <v>30.242050030000001</v>
      </c>
      <c r="J88" s="1223">
        <v>36.084000000000003</v>
      </c>
      <c r="K88" s="1223">
        <v>30</v>
      </c>
      <c r="L88" s="1223">
        <v>40.405000000000001</v>
      </c>
      <c r="M88" s="1223">
        <v>67.938999999999993</v>
      </c>
      <c r="N88" s="1223">
        <v>53.164000000000001</v>
      </c>
      <c r="O88" s="1223">
        <v>74.242000000000004</v>
      </c>
      <c r="P88" s="1224">
        <v>209.12075464699711</v>
      </c>
      <c r="Q88" s="1224">
        <v>286.49479831089656</v>
      </c>
      <c r="R88" s="1224">
        <v>474.40801917573674</v>
      </c>
      <c r="S88" s="1224">
        <v>567.03654166360047</v>
      </c>
      <c r="T88" s="1224">
        <v>601.71678446531666</v>
      </c>
      <c r="U88" s="1224">
        <v>710.7614377814981</v>
      </c>
      <c r="V88" s="1224">
        <v>596.87896213261342</v>
      </c>
      <c r="W88" s="1224">
        <v>780.14521072285834</v>
      </c>
      <c r="X88" s="1524"/>
      <c r="Y88" s="731"/>
      <c r="Z88" s="1537"/>
      <c r="AA88" s="1537"/>
      <c r="AB88" s="990"/>
      <c r="AC88" s="1218"/>
      <c r="AD88" s="1407"/>
      <c r="AE88" s="1292"/>
      <c r="AF88" s="1523"/>
      <c r="AG88" s="1408"/>
      <c r="AH88" s="43"/>
      <c r="AI88" s="43"/>
      <c r="AJ88" s="43"/>
      <c r="AK88" s="43"/>
      <c r="AL88" s="43"/>
    </row>
    <row r="89" spans="1:38">
      <c r="A89" s="1211" t="s">
        <v>361</v>
      </c>
      <c r="B89" s="1225" t="s">
        <v>972</v>
      </c>
      <c r="C89" s="1225" t="s">
        <v>972</v>
      </c>
      <c r="D89" s="1225" t="s">
        <v>972</v>
      </c>
      <c r="E89" s="1225">
        <v>0.17699000000000001</v>
      </c>
      <c r="F89" s="1225">
        <v>0</v>
      </c>
      <c r="G89" s="1225">
        <v>0</v>
      </c>
      <c r="H89" s="1225">
        <v>0.27410000000000001</v>
      </c>
      <c r="I89" s="1225">
        <v>0.26789999999999997</v>
      </c>
      <c r="J89" s="1225">
        <v>0.32134299999999999</v>
      </c>
      <c r="K89" s="1225">
        <v>0.26730199999999998</v>
      </c>
      <c r="L89" s="1225">
        <v>0.35949999999999999</v>
      </c>
      <c r="M89" s="1225">
        <v>0.20117556483373308</v>
      </c>
      <c r="N89" s="1225">
        <v>0.15685927394608884</v>
      </c>
      <c r="O89" s="1225">
        <v>0.20699999999999999</v>
      </c>
      <c r="P89" s="1221">
        <v>0.59501257848266653</v>
      </c>
      <c r="Q89" s="1221">
        <v>0.78822590991838537</v>
      </c>
      <c r="R89" s="1221">
        <v>1.3052268131639284</v>
      </c>
      <c r="S89" s="1221">
        <v>1.5600733299344043</v>
      </c>
      <c r="T89" s="1221">
        <v>1.6554882069225343</v>
      </c>
      <c r="U89" s="1221">
        <v>1.9555000102384512</v>
      </c>
      <c r="V89" s="1221">
        <v>1.642178028403759</v>
      </c>
      <c r="W89" s="1221">
        <v>2.1463938340799791</v>
      </c>
      <c r="X89" s="731"/>
      <c r="Y89" s="731"/>
      <c r="Z89" s="731"/>
      <c r="AA89" s="731"/>
      <c r="AB89" s="1533"/>
      <c r="AC89" s="1406"/>
      <c r="AD89" s="1406"/>
      <c r="AE89" s="1534"/>
      <c r="AF89" s="1523"/>
      <c r="AG89" s="1408"/>
      <c r="AH89" s="174"/>
      <c r="AI89" s="174"/>
      <c r="AJ89" s="43"/>
      <c r="AK89" s="43"/>
      <c r="AL89" s="43"/>
    </row>
    <row r="90" spans="1:38" s="43" customFormat="1" ht="12.75" customHeight="1">
      <c r="A90" s="1705" t="s">
        <v>1018</v>
      </c>
      <c r="B90" s="1533">
        <v>-0.38041410792891606</v>
      </c>
      <c r="C90" s="1533">
        <v>0.20727130132765695</v>
      </c>
      <c r="D90" s="1533">
        <v>0.10376691284738727</v>
      </c>
      <c r="E90" s="1533">
        <v>0.10061980549993467</v>
      </c>
      <c r="F90" s="1533">
        <v>0</v>
      </c>
      <c r="G90" s="1533">
        <v>0</v>
      </c>
      <c r="H90" s="1533">
        <v>0.31541112651929248</v>
      </c>
      <c r="I90" s="1533">
        <v>0.21253663288612795</v>
      </c>
      <c r="J90" s="1533">
        <v>0.28499893374193364</v>
      </c>
      <c r="K90" s="1533">
        <v>0.41124057573680711</v>
      </c>
      <c r="L90" s="1533">
        <v>0.29929186234278005</v>
      </c>
      <c r="M90" s="1533">
        <v>0.21415782472465489</v>
      </c>
      <c r="N90" s="1533">
        <v>0.2665744055677568</v>
      </c>
      <c r="O90" s="1533">
        <v>0.26151862706419426</v>
      </c>
      <c r="P90" s="1706">
        <v>0.4</v>
      </c>
      <c r="Q90" s="1706">
        <v>0.5</v>
      </c>
      <c r="R90" s="1706">
        <v>0.7</v>
      </c>
      <c r="S90" s="1706">
        <v>0.7</v>
      </c>
      <c r="T90" s="1706">
        <v>0.7</v>
      </c>
      <c r="U90" s="1706">
        <v>1</v>
      </c>
      <c r="V90" s="1706">
        <v>1</v>
      </c>
      <c r="W90" s="1706">
        <v>1</v>
      </c>
      <c r="X90" s="990"/>
      <c r="Y90" s="990"/>
      <c r="Z90" s="990"/>
      <c r="AA90" s="990"/>
      <c r="AB90" s="990"/>
      <c r="AC90" s="1706"/>
      <c r="AD90" s="1706"/>
      <c r="AE90" s="1292"/>
      <c r="AF90" s="1534"/>
      <c r="AG90" s="174"/>
    </row>
    <row r="91" spans="1:38">
      <c r="A91" s="731"/>
      <c r="B91" s="731"/>
      <c r="C91" s="731"/>
      <c r="D91" s="731"/>
      <c r="E91" s="731"/>
      <c r="F91" s="731"/>
      <c r="G91" s="731"/>
      <c r="H91" s="731"/>
      <c r="I91" s="731"/>
      <c r="J91" s="1559"/>
      <c r="K91" s="1559"/>
      <c r="L91" s="1559"/>
      <c r="M91" s="1559"/>
      <c r="N91" s="1559"/>
      <c r="O91" s="1559"/>
      <c r="P91" s="1559"/>
      <c r="Q91" s="1559"/>
      <c r="R91" s="1559"/>
      <c r="S91" s="1559"/>
      <c r="T91" s="1559"/>
      <c r="U91" s="1559"/>
      <c r="V91" s="1559"/>
      <c r="W91" s="1559"/>
      <c r="X91" s="731"/>
      <c r="Y91" s="731"/>
      <c r="Z91" s="731"/>
      <c r="AA91" s="1538"/>
      <c r="AB91" s="1539"/>
      <c r="AC91" s="1540"/>
      <c r="AD91" s="1292"/>
      <c r="AE91" s="1292"/>
      <c r="AF91" s="1292"/>
      <c r="AG91" s="43"/>
      <c r="AH91" s="43"/>
      <c r="AI91" s="43"/>
      <c r="AJ91" s="43"/>
      <c r="AK91" s="43"/>
      <c r="AL91" s="43"/>
    </row>
    <row r="92" spans="1:38">
      <c r="A92" s="1342" t="s">
        <v>363</v>
      </c>
      <c r="B92" s="1343">
        <v>2004</v>
      </c>
      <c r="C92" s="1343">
        <v>2005</v>
      </c>
      <c r="D92" s="1343">
        <v>2006</v>
      </c>
      <c r="E92" s="1343">
        <v>2007</v>
      </c>
      <c r="F92" s="1343">
        <v>2008</v>
      </c>
      <c r="G92" s="1343">
        <v>2009</v>
      </c>
      <c r="H92" s="1343">
        <v>2010</v>
      </c>
      <c r="I92" s="1343">
        <v>2011</v>
      </c>
      <c r="J92" s="1343">
        <v>2012</v>
      </c>
      <c r="K92" s="1343">
        <v>2013</v>
      </c>
      <c r="L92" s="1343">
        <v>2014</v>
      </c>
      <c r="M92" s="1343">
        <v>2015</v>
      </c>
      <c r="N92" s="1343">
        <v>2016</v>
      </c>
      <c r="O92" s="1343">
        <v>2017</v>
      </c>
      <c r="P92" s="1344">
        <v>2018</v>
      </c>
      <c r="Q92" s="1344">
        <v>2019</v>
      </c>
      <c r="R92" s="1344">
        <v>2020</v>
      </c>
      <c r="S92" s="1344">
        <v>2021</v>
      </c>
      <c r="T92" s="1344">
        <v>2022</v>
      </c>
      <c r="U92" s="1344">
        <v>2023</v>
      </c>
      <c r="V92" s="1344">
        <v>2024</v>
      </c>
      <c r="W92" s="1344">
        <v>2025</v>
      </c>
      <c r="X92" s="731"/>
      <c r="Y92" s="731"/>
      <c r="Z92" s="731"/>
      <c r="AA92" s="1215"/>
      <c r="AB92" s="1533"/>
      <c r="AC92" s="1534"/>
      <c r="AD92" s="1292"/>
      <c r="AE92" s="1292"/>
      <c r="AF92" s="1292"/>
      <c r="AG92" s="43"/>
      <c r="AH92" s="43"/>
      <c r="AI92" s="43"/>
      <c r="AJ92" s="43"/>
      <c r="AK92" s="43"/>
      <c r="AL92" s="43"/>
    </row>
    <row r="93" spans="1:38">
      <c r="A93" s="1226" t="s">
        <v>364</v>
      </c>
      <c r="B93" s="1172"/>
      <c r="C93" s="1172"/>
      <c r="D93" s="1172"/>
      <c r="E93" s="1172"/>
      <c r="F93" s="1172"/>
      <c r="G93" s="1172"/>
      <c r="H93" s="1172"/>
      <c r="I93" s="1172"/>
      <c r="J93" s="1172"/>
      <c r="K93" s="1172"/>
      <c r="L93" s="1172"/>
      <c r="M93" s="1172"/>
      <c r="N93" s="1172"/>
      <c r="O93" s="1172"/>
      <c r="P93" s="1172"/>
      <c r="Q93" s="1172"/>
      <c r="R93" s="1172"/>
      <c r="S93" s="1172"/>
      <c r="T93" s="1172"/>
      <c r="U93" s="1172"/>
      <c r="V93" s="1172"/>
      <c r="W93" s="1172"/>
      <c r="X93" s="731"/>
      <c r="Y93" s="731"/>
      <c r="Z93" s="731"/>
      <c r="AA93" s="731"/>
      <c r="AB93" s="731"/>
      <c r="AC93" s="1181"/>
      <c r="AD93" s="1181"/>
      <c r="AE93" s="1181"/>
      <c r="AF93" s="1181"/>
    </row>
    <row r="94" spans="1:38">
      <c r="A94" s="1889" t="s">
        <v>365</v>
      </c>
      <c r="B94" s="1194">
        <v>0</v>
      </c>
      <c r="C94" s="1194">
        <v>0</v>
      </c>
      <c r="D94" s="1194">
        <v>0</v>
      </c>
      <c r="E94" s="1194">
        <v>7.65</v>
      </c>
      <c r="F94" s="1194">
        <v>74.141999999999996</v>
      </c>
      <c r="G94" s="1194">
        <v>80.706000000000003</v>
      </c>
      <c r="H94" s="1194">
        <v>37.167000000000002</v>
      </c>
      <c r="I94" s="1194">
        <v>36.725999999999999</v>
      </c>
      <c r="J94" s="1194">
        <v>69.41</v>
      </c>
      <c r="K94" s="1194">
        <v>242.946</v>
      </c>
      <c r="L94" s="1194">
        <v>202.48599999999999</v>
      </c>
      <c r="M94" s="1194">
        <v>500.67599999999999</v>
      </c>
      <c r="N94" s="1194">
        <v>489.63900000000001</v>
      </c>
      <c r="O94" s="1194">
        <v>473.94200000000001</v>
      </c>
      <c r="P94" s="1212">
        <v>468.40600000000001</v>
      </c>
      <c r="Q94" s="1212">
        <v>468.40600000000001</v>
      </c>
      <c r="R94" s="1212">
        <v>468.40600000000001</v>
      </c>
      <c r="S94" s="1212">
        <v>468.40600000000001</v>
      </c>
      <c r="T94" s="1212">
        <v>468.40600000000001</v>
      </c>
      <c r="U94" s="1212">
        <v>468.40600000000001</v>
      </c>
      <c r="V94" s="1212">
        <v>468.40600000000001</v>
      </c>
      <c r="W94" s="1212">
        <v>468.40600000000001</v>
      </c>
      <c r="X94" s="731"/>
      <c r="Y94" s="731"/>
      <c r="Z94" s="731"/>
      <c r="AA94" s="731"/>
      <c r="AB94" s="731"/>
      <c r="AC94" s="1181"/>
      <c r="AD94" s="1181"/>
      <c r="AE94" s="1525"/>
      <c r="AF94" s="1181"/>
    </row>
    <row r="95" spans="1:38">
      <c r="A95" s="1889" t="s">
        <v>366</v>
      </c>
      <c r="B95" s="1194">
        <v>1258.3920000000001</v>
      </c>
      <c r="C95" s="1194">
        <v>1247.6500000000001</v>
      </c>
      <c r="D95" s="1194">
        <v>1241.558</v>
      </c>
      <c r="E95" s="1194">
        <v>2033.703</v>
      </c>
      <c r="F95" s="1194">
        <v>2412.9249999999997</v>
      </c>
      <c r="G95" s="1194">
        <v>2505.6970000000001</v>
      </c>
      <c r="H95" s="1194">
        <v>3046.779</v>
      </c>
      <c r="I95" s="1194">
        <v>3116.8557919999998</v>
      </c>
      <c r="J95" s="1194">
        <v>3597.8986239999999</v>
      </c>
      <c r="K95" s="1194">
        <v>3783.2404000000001</v>
      </c>
      <c r="L95" s="1194">
        <v>3912.1806080000001</v>
      </c>
      <c r="M95" s="1194">
        <v>4417.7063479999997</v>
      </c>
      <c r="N95" s="1194">
        <v>4492.4620000000004</v>
      </c>
      <c r="O95" s="1194">
        <v>5289.8940000000002</v>
      </c>
      <c r="P95" s="1212">
        <v>5285.3193197335859</v>
      </c>
      <c r="Q95" s="1212">
        <v>5338.4260542672819</v>
      </c>
      <c r="R95" s="1212">
        <v>5515.5304172496144</v>
      </c>
      <c r="S95" s="1212">
        <v>5694.3256827168343</v>
      </c>
      <c r="T95" s="1212">
        <v>5876.8424994811339</v>
      </c>
      <c r="U95" s="1212">
        <v>6066.9140773676954</v>
      </c>
      <c r="V95" s="1212">
        <v>6264.0540472636167</v>
      </c>
      <c r="W95" s="1212">
        <v>6464.3056982946964</v>
      </c>
      <c r="X95" s="1533"/>
      <c r="Y95" s="1533"/>
      <c r="Z95" s="731"/>
      <c r="AA95" s="731"/>
      <c r="AB95" s="731"/>
      <c r="AC95" s="1181"/>
      <c r="AD95" s="1181"/>
      <c r="AE95" s="1525"/>
      <c r="AF95" s="1181"/>
    </row>
    <row r="96" spans="1:38">
      <c r="A96" s="1889" t="s">
        <v>367</v>
      </c>
      <c r="B96" s="1194">
        <v>106.429</v>
      </c>
      <c r="C96" s="1194">
        <v>92.368000000000009</v>
      </c>
      <c r="D96" s="1194">
        <v>78.088000000000008</v>
      </c>
      <c r="E96" s="1194">
        <v>0.14199999999999999</v>
      </c>
      <c r="F96" s="1194">
        <v>31.816000000000003</v>
      </c>
      <c r="G96" s="1194">
        <v>206.29600000000002</v>
      </c>
      <c r="H96" s="1194">
        <v>689.90200000000004</v>
      </c>
      <c r="I96" s="1194">
        <v>123.48599999999999</v>
      </c>
      <c r="J96" s="1194">
        <v>175.643</v>
      </c>
      <c r="K96" s="1194">
        <v>220.90300000000002</v>
      </c>
      <c r="L96" s="1194">
        <v>251.63500000000002</v>
      </c>
      <c r="M96" s="1194">
        <v>282.30699999999996</v>
      </c>
      <c r="N96" s="1194">
        <v>378.72200000000004</v>
      </c>
      <c r="O96" s="1194">
        <v>444.69300000000004</v>
      </c>
      <c r="P96" s="1212">
        <v>464.50700000000001</v>
      </c>
      <c r="Q96" s="1212">
        <v>464.50700000000001</v>
      </c>
      <c r="R96" s="1212">
        <v>464.50700000000001</v>
      </c>
      <c r="S96" s="1212">
        <v>464.50700000000001</v>
      </c>
      <c r="T96" s="1212">
        <v>464.50700000000001</v>
      </c>
      <c r="U96" s="1212">
        <v>464.50700000000001</v>
      </c>
      <c r="V96" s="1212">
        <v>464.50700000000001</v>
      </c>
      <c r="W96" s="1212">
        <v>464.50700000000001</v>
      </c>
      <c r="X96" s="731"/>
      <c r="Y96" s="731"/>
      <c r="Z96" s="731"/>
      <c r="AA96" s="731"/>
      <c r="AB96" s="731"/>
      <c r="AC96" s="1181"/>
      <c r="AD96" s="1181"/>
      <c r="AE96" s="1525"/>
      <c r="AF96" s="1181"/>
    </row>
    <row r="97" spans="1:32">
      <c r="A97" s="1228" t="s">
        <v>368</v>
      </c>
      <c r="B97" s="1187">
        <v>1364.8210000000001</v>
      </c>
      <c r="C97" s="1187">
        <v>1340.018</v>
      </c>
      <c r="D97" s="1187">
        <v>1319.646</v>
      </c>
      <c r="E97" s="1187">
        <v>2041.4950000000001</v>
      </c>
      <c r="F97" s="1187">
        <v>2518.8829999999994</v>
      </c>
      <c r="G97" s="1187">
        <v>2792.6990000000001</v>
      </c>
      <c r="H97" s="1187">
        <v>3773.848</v>
      </c>
      <c r="I97" s="1187">
        <v>3277.0677919999998</v>
      </c>
      <c r="J97" s="1187">
        <v>3842.9516239999998</v>
      </c>
      <c r="K97" s="1187">
        <v>4247.0893999999998</v>
      </c>
      <c r="L97" s="1187">
        <v>4366.3016080000007</v>
      </c>
      <c r="M97" s="1187">
        <v>5200.6893479999999</v>
      </c>
      <c r="N97" s="1187">
        <v>5360.8230000000003</v>
      </c>
      <c r="O97" s="1187">
        <v>6208.5290000000005</v>
      </c>
      <c r="P97" s="1188">
        <v>6218.2323197335854</v>
      </c>
      <c r="Q97" s="1188">
        <v>6271.3390542672814</v>
      </c>
      <c r="R97" s="1188">
        <v>6448.443417249614</v>
      </c>
      <c r="S97" s="1188">
        <v>6627.2386827168339</v>
      </c>
      <c r="T97" s="1188">
        <v>6809.7554994811335</v>
      </c>
      <c r="U97" s="1188">
        <v>6999.827077367695</v>
      </c>
      <c r="V97" s="1188">
        <v>7196.9670472636162</v>
      </c>
      <c r="W97" s="1188">
        <v>7397.218698294696</v>
      </c>
      <c r="X97" s="731"/>
      <c r="Y97" s="731"/>
      <c r="Z97" s="731"/>
      <c r="AA97" s="731"/>
      <c r="AB97" s="731"/>
      <c r="AC97" s="1181"/>
      <c r="AD97" s="1181"/>
      <c r="AE97" s="1525"/>
      <c r="AF97" s="1181"/>
    </row>
    <row r="98" spans="1:32">
      <c r="A98" s="1889" t="s">
        <v>371</v>
      </c>
      <c r="B98" s="1194">
        <v>49.835000000000001</v>
      </c>
      <c r="C98" s="1194">
        <v>53.427</v>
      </c>
      <c r="D98" s="1194">
        <v>103.518</v>
      </c>
      <c r="E98" s="1194">
        <v>366.964</v>
      </c>
      <c r="F98" s="1194">
        <v>72.534000000000006</v>
      </c>
      <c r="G98" s="1194">
        <v>196.173</v>
      </c>
      <c r="H98" s="1194">
        <v>189.03799999999995</v>
      </c>
      <c r="I98" s="1194">
        <v>222.21899999999999</v>
      </c>
      <c r="J98" s="1194">
        <v>410.56700000000001</v>
      </c>
      <c r="K98" s="1194">
        <v>634.29</v>
      </c>
      <c r="L98" s="1194">
        <v>670.74099999999999</v>
      </c>
      <c r="M98" s="1194">
        <v>1126.5170000000001</v>
      </c>
      <c r="N98" s="1194">
        <v>1106.442</v>
      </c>
      <c r="O98" s="1194">
        <v>1172.115</v>
      </c>
      <c r="P98" s="1212">
        <v>1277.1672431275176</v>
      </c>
      <c r="Q98" s="1212">
        <v>1534.5018197168622</v>
      </c>
      <c r="R98" s="1212">
        <v>1601.2374091246434</v>
      </c>
      <c r="S98" s="1212">
        <v>1741.4913679350925</v>
      </c>
      <c r="T98" s="1212">
        <v>1934.9401359304918</v>
      </c>
      <c r="U98" s="1212">
        <v>1871.1972278084222</v>
      </c>
      <c r="V98" s="1212">
        <v>1616.5030657417569</v>
      </c>
      <c r="W98" s="1212">
        <v>1340.7823743681579</v>
      </c>
      <c r="X98" s="731"/>
      <c r="Y98" s="731"/>
      <c r="Z98" s="731"/>
      <c r="AA98" s="731"/>
      <c r="AB98" s="731"/>
      <c r="AC98" s="1181"/>
      <c r="AD98" s="1181"/>
      <c r="AE98" s="1525"/>
      <c r="AF98" s="1181"/>
    </row>
    <row r="99" spans="1:32">
      <c r="A99" s="1889" t="s">
        <v>370</v>
      </c>
      <c r="B99" s="1194">
        <v>54.155999999999999</v>
      </c>
      <c r="C99" s="1194">
        <v>36.188000000000002</v>
      </c>
      <c r="D99" s="1194">
        <v>45.05</v>
      </c>
      <c r="E99" s="1194">
        <v>22.707999999999998</v>
      </c>
      <c r="F99" s="1194">
        <v>94.224999999999994</v>
      </c>
      <c r="G99" s="1194">
        <v>45.543999999999997</v>
      </c>
      <c r="H99" s="1194">
        <v>41.628</v>
      </c>
      <c r="I99" s="1194">
        <v>59.673000000000002</v>
      </c>
      <c r="J99" s="1194">
        <v>38.399000000000001</v>
      </c>
      <c r="K99" s="1194">
        <v>62.667000000000002</v>
      </c>
      <c r="L99" s="1194">
        <v>95.051000000000002</v>
      </c>
      <c r="M99" s="1194">
        <v>168.03100000000001</v>
      </c>
      <c r="N99" s="1194">
        <v>116.965</v>
      </c>
      <c r="O99" s="1194">
        <v>169.12899999999999</v>
      </c>
      <c r="P99" s="1212">
        <v>199.15102765726729</v>
      </c>
      <c r="Q99" s="1212">
        <v>165.71816371621969</v>
      </c>
      <c r="R99" s="1212">
        <v>204.48283808420524</v>
      </c>
      <c r="S99" s="1212">
        <v>261.70149391215585</v>
      </c>
      <c r="T99" s="1212">
        <v>309.63945742422618</v>
      </c>
      <c r="U99" s="1212">
        <v>336.97709812790339</v>
      </c>
      <c r="V99" s="1212">
        <v>365.3891812005125</v>
      </c>
      <c r="W99" s="1212">
        <v>444.20870113916521</v>
      </c>
      <c r="X99" s="731"/>
      <c r="Y99" s="731"/>
      <c r="Z99" s="731"/>
      <c r="AA99" s="731"/>
      <c r="AB99" s="731"/>
      <c r="AC99" s="1181"/>
      <c r="AD99" s="1181"/>
      <c r="AE99" s="1525"/>
      <c r="AF99" s="1181"/>
    </row>
    <row r="100" spans="1:32">
      <c r="A100" s="1889" t="s">
        <v>369</v>
      </c>
      <c r="B100" s="1194">
        <v>116.495</v>
      </c>
      <c r="C100" s="1194">
        <v>149.80699999999999</v>
      </c>
      <c r="D100" s="1194">
        <v>142.69800000000001</v>
      </c>
      <c r="E100" s="1194">
        <v>168.89</v>
      </c>
      <c r="F100" s="1194">
        <v>173.625</v>
      </c>
      <c r="G100" s="1194">
        <v>296.404</v>
      </c>
      <c r="H100" s="1194">
        <v>105.069</v>
      </c>
      <c r="I100" s="1194">
        <v>139.10599999999999</v>
      </c>
      <c r="J100" s="1194">
        <v>137.375</v>
      </c>
      <c r="K100" s="1194">
        <v>148.661</v>
      </c>
      <c r="L100" s="1194">
        <v>145.02799999999999</v>
      </c>
      <c r="M100" s="1194">
        <v>212.97499999999999</v>
      </c>
      <c r="N100" s="1194">
        <v>270.35199999999998</v>
      </c>
      <c r="O100" s="1194">
        <v>256.57400000000001</v>
      </c>
      <c r="P100" s="1212">
        <v>310.10826607176898</v>
      </c>
      <c r="Q100" s="1212">
        <v>275.49082734678495</v>
      </c>
      <c r="R100" s="1212">
        <v>305.53234906692978</v>
      </c>
      <c r="S100" s="1212">
        <v>369.1033592046997</v>
      </c>
      <c r="T100" s="1212">
        <v>414.82598764304885</v>
      </c>
      <c r="U100" s="1212">
        <v>427.11113287558578</v>
      </c>
      <c r="V100" s="1212">
        <v>439.04975119300758</v>
      </c>
      <c r="W100" s="1212">
        <v>455.72977203172456</v>
      </c>
      <c r="X100" s="731"/>
      <c r="Y100" s="731"/>
      <c r="Z100" s="731"/>
      <c r="AA100" s="731"/>
      <c r="AB100" s="731"/>
      <c r="AC100" s="1181"/>
      <c r="AD100" s="1181"/>
      <c r="AE100" s="1525"/>
      <c r="AF100" s="1181"/>
    </row>
    <row r="101" spans="1:32">
      <c r="A101" s="1889" t="s">
        <v>92</v>
      </c>
      <c r="B101" s="1194">
        <v>40.866999999999997</v>
      </c>
      <c r="C101" s="1194">
        <v>23.012</v>
      </c>
      <c r="D101" s="1194">
        <v>35.143999999999998</v>
      </c>
      <c r="E101" s="1194">
        <v>42.869</v>
      </c>
      <c r="F101" s="1194">
        <v>57.356000000000002</v>
      </c>
      <c r="G101" s="1194">
        <v>63.872</v>
      </c>
      <c r="H101" s="1194">
        <v>6.0860000000000003</v>
      </c>
      <c r="I101" s="1194">
        <v>11.658999999999999</v>
      </c>
      <c r="J101" s="1194">
        <v>16.614000000000001</v>
      </c>
      <c r="K101" s="1194">
        <v>84.998000000000005</v>
      </c>
      <c r="L101" s="1194">
        <v>37.466999999999999</v>
      </c>
      <c r="M101" s="1194">
        <v>68.718000000000004</v>
      </c>
      <c r="N101" s="1194">
        <v>119.78100000000001</v>
      </c>
      <c r="O101" s="1194">
        <v>11.231999999999999</v>
      </c>
      <c r="P101" s="1212">
        <v>12.439628744005896</v>
      </c>
      <c r="Q101" s="1212">
        <v>10.485594145480178</v>
      </c>
      <c r="R101" s="1212">
        <v>11.063007983766187</v>
      </c>
      <c r="S101" s="1212">
        <v>12.744541418567584</v>
      </c>
      <c r="T101" s="1212">
        <v>13.687966177456588</v>
      </c>
      <c r="U101" s="1212">
        <v>13.494781454298376</v>
      </c>
      <c r="V101" s="1212">
        <v>13.306835017520037</v>
      </c>
      <c r="W101" s="1212">
        <v>13.271681474372974</v>
      </c>
      <c r="X101" s="731"/>
      <c r="Y101" s="731"/>
      <c r="Z101" s="731"/>
      <c r="AA101" s="731"/>
      <c r="AB101" s="731"/>
      <c r="AC101" s="1181"/>
      <c r="AD101" s="1181"/>
      <c r="AE101" s="1525"/>
      <c r="AF101" s="1181"/>
    </row>
    <row r="102" spans="1:32">
      <c r="A102" s="1889" t="s">
        <v>93</v>
      </c>
      <c r="B102" s="1194">
        <v>0</v>
      </c>
      <c r="C102" s="1194">
        <v>0</v>
      </c>
      <c r="D102" s="1194">
        <v>0</v>
      </c>
      <c r="E102" s="1194">
        <v>0</v>
      </c>
      <c r="F102" s="1194">
        <v>0</v>
      </c>
      <c r="G102" s="1194">
        <v>0</v>
      </c>
      <c r="H102" s="1194">
        <v>71.774000000000001</v>
      </c>
      <c r="I102" s="1194">
        <v>231.93320799999998</v>
      </c>
      <c r="J102" s="1194">
        <v>341.26037599999995</v>
      </c>
      <c r="K102" s="1194">
        <v>455.39559999999994</v>
      </c>
      <c r="L102" s="1194">
        <v>511.362392</v>
      </c>
      <c r="M102" s="1194">
        <v>842.10165199999983</v>
      </c>
      <c r="N102" s="1194">
        <v>781.22699999999986</v>
      </c>
      <c r="O102" s="1194">
        <v>873.94600000000014</v>
      </c>
      <c r="P102" s="1212">
        <v>775.73693888557364</v>
      </c>
      <c r="Q102" s="1212">
        <v>690.11780375817909</v>
      </c>
      <c r="R102" s="1212">
        <v>588.84844005892489</v>
      </c>
      <c r="S102" s="1212">
        <v>422.93413354806069</v>
      </c>
      <c r="T102" s="1212">
        <v>221.30064316285763</v>
      </c>
      <c r="U102" s="1212">
        <v>36.13386890692842</v>
      </c>
      <c r="V102" s="1212">
        <v>36.13386890692842</v>
      </c>
      <c r="W102" s="1212">
        <v>36.13386890692842</v>
      </c>
      <c r="X102" s="731"/>
      <c r="Y102" s="731"/>
      <c r="Z102" s="731"/>
      <c r="AA102" s="731"/>
      <c r="AB102" s="731"/>
      <c r="AC102" s="1181"/>
      <c r="AD102" s="1181"/>
      <c r="AE102" s="1525"/>
      <c r="AF102" s="1181"/>
    </row>
    <row r="103" spans="1:32">
      <c r="A103" s="1228" t="s">
        <v>372</v>
      </c>
      <c r="B103" s="1187">
        <v>1626.1740000000002</v>
      </c>
      <c r="C103" s="1187">
        <v>1602.452</v>
      </c>
      <c r="D103" s="1187">
        <v>1646.056</v>
      </c>
      <c r="E103" s="1187">
        <v>2642.9260000000004</v>
      </c>
      <c r="F103" s="1187">
        <v>2916.6229999999996</v>
      </c>
      <c r="G103" s="1187">
        <v>3394.692</v>
      </c>
      <c r="H103" s="1187">
        <v>4187.4430000000011</v>
      </c>
      <c r="I103" s="1187">
        <v>3941.6579999999994</v>
      </c>
      <c r="J103" s="1187">
        <v>4787.1670000000004</v>
      </c>
      <c r="K103" s="1187">
        <v>5633.1009999999997</v>
      </c>
      <c r="L103" s="1187">
        <v>5825.9510000000009</v>
      </c>
      <c r="M103" s="1187">
        <v>7619.0319999999992</v>
      </c>
      <c r="N103" s="1187">
        <v>7755.59</v>
      </c>
      <c r="O103" s="1187">
        <v>8691.5249999999996</v>
      </c>
      <c r="P103" s="1188">
        <v>8792.8354242197183</v>
      </c>
      <c r="Q103" s="1188">
        <v>8947.6532629508074</v>
      </c>
      <c r="R103" s="1188">
        <v>9159.6074615680809</v>
      </c>
      <c r="S103" s="1188">
        <v>9435.2135787354091</v>
      </c>
      <c r="T103" s="1188">
        <v>9704.1496898192145</v>
      </c>
      <c r="U103" s="1188">
        <v>9684.7411865408321</v>
      </c>
      <c r="V103" s="1188">
        <v>9667.3497493233426</v>
      </c>
      <c r="W103" s="1188">
        <v>9687.3450962150437</v>
      </c>
      <c r="X103" s="731"/>
      <c r="Y103" s="731"/>
      <c r="Z103" s="731"/>
      <c r="AA103" s="731"/>
      <c r="AB103" s="731"/>
      <c r="AC103" s="1181"/>
      <c r="AD103" s="1181"/>
      <c r="AE103" s="1525"/>
      <c r="AF103" s="1181"/>
    </row>
    <row r="104" spans="1:32">
      <c r="A104" s="1228" t="s">
        <v>373</v>
      </c>
      <c r="B104" s="1194"/>
      <c r="C104" s="1194"/>
      <c r="D104" s="1194"/>
      <c r="E104" s="1194"/>
      <c r="F104" s="1194"/>
      <c r="G104" s="1194"/>
      <c r="H104" s="1194"/>
      <c r="I104" s="1194"/>
      <c r="J104" s="1194"/>
      <c r="K104" s="1194"/>
      <c r="L104" s="1194"/>
      <c r="M104" s="1194"/>
      <c r="N104" s="1194"/>
      <c r="O104" s="1194"/>
      <c r="P104" s="1212"/>
      <c r="Q104" s="1212"/>
      <c r="R104" s="1212"/>
      <c r="S104" s="1212"/>
      <c r="T104" s="1212"/>
      <c r="U104" s="1212"/>
      <c r="V104" s="1212"/>
      <c r="W104" s="1212"/>
      <c r="X104" s="731"/>
      <c r="Y104" s="731"/>
      <c r="Z104" s="731"/>
      <c r="AA104" s="731"/>
      <c r="AB104" s="731"/>
      <c r="AC104" s="1181"/>
      <c r="AD104" s="1181"/>
      <c r="AE104" s="1525"/>
      <c r="AF104" s="1181"/>
    </row>
    <row r="105" spans="1:32">
      <c r="A105" s="1889" t="s">
        <v>378</v>
      </c>
      <c r="B105" s="1194">
        <v>258.00600000000003</v>
      </c>
      <c r="C105" s="1194">
        <v>223.90299999999999</v>
      </c>
      <c r="D105" s="1194">
        <v>241.31199999999998</v>
      </c>
      <c r="E105" s="1194">
        <v>322.803</v>
      </c>
      <c r="F105" s="1194">
        <v>591.34400000000005</v>
      </c>
      <c r="G105" s="1194">
        <v>1137.8699999999999</v>
      </c>
      <c r="H105" s="1194">
        <v>955.13900000000001</v>
      </c>
      <c r="I105" s="1194">
        <v>737.601</v>
      </c>
      <c r="J105" s="1194">
        <v>1246.6379999999999</v>
      </c>
      <c r="K105" s="1194">
        <v>1981.9259999999999</v>
      </c>
      <c r="L105" s="1194">
        <v>2209.2220000000002</v>
      </c>
      <c r="M105" s="1194">
        <v>3613.6010000000001</v>
      </c>
      <c r="N105" s="1194">
        <v>3825.48</v>
      </c>
      <c r="O105" s="1194">
        <v>3719.2429999999999</v>
      </c>
      <c r="P105" s="1212">
        <v>3527.7348000000002</v>
      </c>
      <c r="Q105" s="1212">
        <v>3527.7348000000002</v>
      </c>
      <c r="R105" s="1212">
        <v>3527.7348000000002</v>
      </c>
      <c r="S105" s="1212">
        <v>3527.7348000000002</v>
      </c>
      <c r="T105" s="1212">
        <v>3527.7348000000002</v>
      </c>
      <c r="U105" s="1212">
        <v>3527.7348000000002</v>
      </c>
      <c r="V105" s="1212">
        <v>3527.7348000000002</v>
      </c>
      <c r="W105" s="1212">
        <v>3527.7348000000002</v>
      </c>
      <c r="X105" s="731"/>
      <c r="Y105" s="731"/>
      <c r="Z105" s="731"/>
      <c r="AA105" s="731"/>
      <c r="AB105" s="731"/>
      <c r="AC105" s="1181"/>
      <c r="AD105" s="1181"/>
      <c r="AE105" s="1525"/>
      <c r="AF105" s="1181"/>
    </row>
    <row r="106" spans="1:32">
      <c r="A106" s="1889" t="s">
        <v>246</v>
      </c>
      <c r="B106" s="1194">
        <v>0</v>
      </c>
      <c r="C106" s="1194">
        <v>0</v>
      </c>
      <c r="D106" s="1194">
        <v>0</v>
      </c>
      <c r="E106" s="1194">
        <v>20</v>
      </c>
      <c r="F106" s="1194">
        <v>0</v>
      </c>
      <c r="G106" s="1194">
        <v>0</v>
      </c>
      <c r="H106" s="1194">
        <v>0</v>
      </c>
      <c r="I106" s="1194">
        <v>9.18</v>
      </c>
      <c r="J106" s="1194">
        <v>30.07</v>
      </c>
      <c r="K106" s="1194">
        <v>17.326000000000001</v>
      </c>
      <c r="L106" s="1194">
        <v>32.482999999999997</v>
      </c>
      <c r="M106" s="1194">
        <v>67.938999999999993</v>
      </c>
      <c r="N106" s="1194">
        <v>53.164000000000001</v>
      </c>
      <c r="O106" s="1194">
        <v>74.242999999999995</v>
      </c>
      <c r="P106" s="1212">
        <v>0</v>
      </c>
      <c r="Q106" s="1212">
        <v>0</v>
      </c>
      <c r="R106" s="1212">
        <v>0</v>
      </c>
      <c r="S106" s="1212">
        <v>0</v>
      </c>
      <c r="T106" s="1212">
        <v>0</v>
      </c>
      <c r="U106" s="1212">
        <v>0</v>
      </c>
      <c r="V106" s="1212">
        <v>0</v>
      </c>
      <c r="W106" s="1212">
        <v>0</v>
      </c>
      <c r="X106" s="731"/>
      <c r="Y106" s="731"/>
      <c r="Z106" s="731"/>
      <c r="AA106" s="731"/>
      <c r="AB106" s="731"/>
      <c r="AC106" s="1181"/>
      <c r="AD106" s="1181"/>
      <c r="AE106" s="1525"/>
      <c r="AF106" s="1181"/>
    </row>
    <row r="107" spans="1:32">
      <c r="A107" s="1889" t="s">
        <v>1202</v>
      </c>
      <c r="B107" s="1194">
        <v>101.21899999999999</v>
      </c>
      <c r="C107" s="1194">
        <v>66.53</v>
      </c>
      <c r="D107" s="1194">
        <v>47.046999999999997</v>
      </c>
      <c r="E107" s="1194">
        <v>57.701000000000001</v>
      </c>
      <c r="F107" s="1116">
        <v>133.15100000000001</v>
      </c>
      <c r="G107" s="1116">
        <v>78.353000000000009</v>
      </c>
      <c r="H107" s="1116">
        <v>76.375</v>
      </c>
      <c r="I107" s="1116">
        <v>63.298999999999999</v>
      </c>
      <c r="J107" s="1116">
        <v>79.010999999999996</v>
      </c>
      <c r="K107" s="1116">
        <v>98.234999999999999</v>
      </c>
      <c r="L107" s="1116">
        <v>90.602000000000004</v>
      </c>
      <c r="M107" s="1116">
        <v>115.727</v>
      </c>
      <c r="N107" s="1116">
        <v>137.71100000000001</v>
      </c>
      <c r="O107" s="1116">
        <v>138.93899999999999</v>
      </c>
      <c r="P107" s="1238">
        <v>164.38506733799198</v>
      </c>
      <c r="Q107" s="1238">
        <v>124.46841751959911</v>
      </c>
      <c r="R107" s="1238">
        <v>116.45158982557402</v>
      </c>
      <c r="S107" s="1238">
        <v>117.02046851715049</v>
      </c>
      <c r="T107" s="1238">
        <v>107.28354092877612</v>
      </c>
      <c r="U107" s="1238">
        <v>87.629617644936758</v>
      </c>
      <c r="V107" s="1238">
        <v>68.522028844178536</v>
      </c>
      <c r="W107" s="1238">
        <v>50.501122179021507</v>
      </c>
      <c r="X107" s="731"/>
      <c r="Y107" s="731"/>
      <c r="Z107" s="731"/>
      <c r="AA107" s="731"/>
      <c r="AB107" s="731"/>
      <c r="AC107" s="1181"/>
      <c r="AD107" s="1181"/>
      <c r="AE107" s="1525"/>
      <c r="AF107" s="1181"/>
    </row>
    <row r="108" spans="1:32">
      <c r="A108" s="1889" t="s">
        <v>379</v>
      </c>
      <c r="B108" s="1194">
        <v>383.23399999999998</v>
      </c>
      <c r="C108" s="1194">
        <v>401.84699999999998</v>
      </c>
      <c r="D108" s="1194">
        <v>421.74599999999998</v>
      </c>
      <c r="E108" s="1194">
        <v>563.3309999999999</v>
      </c>
      <c r="F108" s="1194">
        <v>560.93599999999992</v>
      </c>
      <c r="G108" s="1194">
        <v>585.02499999999998</v>
      </c>
      <c r="H108" s="1194">
        <v>1246.538</v>
      </c>
      <c r="I108" s="1194">
        <v>1178.0900000000001</v>
      </c>
      <c r="J108" s="1194">
        <v>1406.77</v>
      </c>
      <c r="K108" s="1194">
        <v>1435.0060000000001</v>
      </c>
      <c r="L108" s="1194">
        <v>1417.692</v>
      </c>
      <c r="M108" s="1194">
        <v>1205.6799999999996</v>
      </c>
      <c r="N108" s="1194">
        <v>1092.6380000000001</v>
      </c>
      <c r="O108" s="1194">
        <v>1355.7800000000002</v>
      </c>
      <c r="P108" s="1212">
        <v>1689.2974249112308</v>
      </c>
      <c r="Q108" s="1212">
        <v>1597.5371151498152</v>
      </c>
      <c r="R108" s="1212">
        <v>1614.1904189572292</v>
      </c>
      <c r="S108" s="1212">
        <v>1646.2119967200083</v>
      </c>
      <c r="T108" s="1212">
        <v>1667.0064134784798</v>
      </c>
      <c r="U108" s="1212">
        <v>1667.2518334839374</v>
      </c>
      <c r="V108" s="1212">
        <v>1668.9679850672044</v>
      </c>
      <c r="W108" s="1212">
        <v>1706.9842386240648</v>
      </c>
      <c r="X108" s="731"/>
      <c r="Y108" s="731"/>
      <c r="Z108" s="731"/>
      <c r="AA108" s="731"/>
      <c r="AB108" s="731"/>
      <c r="AC108" s="1181"/>
      <c r="AD108" s="1181"/>
      <c r="AE108" s="1525"/>
      <c r="AF108" s="1181"/>
    </row>
    <row r="109" spans="1:32">
      <c r="A109" s="1228" t="s">
        <v>377</v>
      </c>
      <c r="B109" s="1187">
        <v>883.71500000000003</v>
      </c>
      <c r="C109" s="1187">
        <v>910.17199999999991</v>
      </c>
      <c r="D109" s="1187">
        <v>935.95100000000002</v>
      </c>
      <c r="E109" s="1187">
        <v>1679.0909999999999</v>
      </c>
      <c r="F109" s="1187">
        <v>1632.1920000000002</v>
      </c>
      <c r="G109" s="1187">
        <v>1593.444</v>
      </c>
      <c r="H109" s="1187">
        <v>1909.3909999999998</v>
      </c>
      <c r="I109" s="1187">
        <v>1953.4260000000002</v>
      </c>
      <c r="J109" s="1187">
        <v>2024.7839999999999</v>
      </c>
      <c r="K109" s="1187">
        <v>2100.6170000000002</v>
      </c>
      <c r="L109" s="1187">
        <v>2075.9520000000002</v>
      </c>
      <c r="M109" s="1187">
        <v>2616.085</v>
      </c>
      <c r="N109" s="1187">
        <v>2646.5969999999998</v>
      </c>
      <c r="O109" s="1187">
        <v>3403.32</v>
      </c>
      <c r="P109" s="1188">
        <v>3411.4181319704958</v>
      </c>
      <c r="Q109" s="1188">
        <v>3697.9129302813931</v>
      </c>
      <c r="R109" s="1188">
        <v>3901.2306527852807</v>
      </c>
      <c r="S109" s="1188">
        <v>4144.2463134982518</v>
      </c>
      <c r="T109" s="1188">
        <v>4402.1249354119591</v>
      </c>
      <c r="U109" s="1188">
        <v>4402.1249354119591</v>
      </c>
      <c r="V109" s="1188">
        <v>4402.1249354119582</v>
      </c>
      <c r="W109" s="1188">
        <v>4402.1249354119582</v>
      </c>
      <c r="X109" s="731"/>
      <c r="Y109" s="731"/>
      <c r="Z109" s="731"/>
      <c r="AA109" s="731"/>
      <c r="AB109" s="731"/>
      <c r="AC109" s="1181"/>
      <c r="AD109" s="1181"/>
      <c r="AE109" s="1525"/>
      <c r="AF109" s="1181"/>
    </row>
    <row r="110" spans="1:32">
      <c r="A110" s="1889" t="s">
        <v>376</v>
      </c>
      <c r="B110" s="1194">
        <v>0</v>
      </c>
      <c r="C110" s="1194">
        <v>0</v>
      </c>
      <c r="D110" s="1194">
        <v>0</v>
      </c>
      <c r="E110" s="1194">
        <v>7.6109999999999998</v>
      </c>
      <c r="F110" s="1194">
        <v>7.6109999999999998</v>
      </c>
      <c r="G110" s="1194">
        <v>18.242999999999999</v>
      </c>
      <c r="H110" s="1194">
        <v>0</v>
      </c>
      <c r="I110" s="1194">
        <v>0</v>
      </c>
      <c r="J110" s="1194">
        <v>0</v>
      </c>
      <c r="K110" s="1194">
        <v>0</v>
      </c>
      <c r="L110" s="1194">
        <v>0</v>
      </c>
      <c r="M110" s="1194">
        <v>0</v>
      </c>
      <c r="N110" s="1194">
        <v>0</v>
      </c>
      <c r="O110" s="1194">
        <v>0</v>
      </c>
      <c r="P110" s="1212">
        <v>0</v>
      </c>
      <c r="Q110" s="1212">
        <v>0</v>
      </c>
      <c r="R110" s="1212">
        <v>0</v>
      </c>
      <c r="S110" s="1212">
        <v>0</v>
      </c>
      <c r="T110" s="1212">
        <v>0</v>
      </c>
      <c r="U110" s="1212">
        <v>0</v>
      </c>
      <c r="V110" s="1212">
        <v>0</v>
      </c>
      <c r="W110" s="1212">
        <v>0</v>
      </c>
      <c r="X110" s="731"/>
      <c r="Y110" s="731"/>
      <c r="Z110" s="731"/>
      <c r="AA110" s="731"/>
      <c r="AB110" s="731"/>
      <c r="AC110" s="1181"/>
      <c r="AD110" s="1181"/>
      <c r="AE110" s="1525"/>
      <c r="AF110" s="1181"/>
    </row>
    <row r="111" spans="1:32" s="43" customFormat="1">
      <c r="A111" s="1707" t="s">
        <v>380</v>
      </c>
      <c r="B111" s="1592">
        <v>1626.174</v>
      </c>
      <c r="C111" s="1592">
        <v>1602.4519999999998</v>
      </c>
      <c r="D111" s="1592">
        <v>1646.056</v>
      </c>
      <c r="E111" s="1592">
        <v>2642.9259999999999</v>
      </c>
      <c r="F111" s="1592">
        <v>2917.6230000000005</v>
      </c>
      <c r="G111" s="1592">
        <v>3394.692</v>
      </c>
      <c r="H111" s="1592">
        <v>4187.4430000000002</v>
      </c>
      <c r="I111" s="1592">
        <v>3941.5960000000005</v>
      </c>
      <c r="J111" s="1592">
        <v>4787.2729999999992</v>
      </c>
      <c r="K111" s="1592">
        <v>5633.1100000000006</v>
      </c>
      <c r="L111" s="1592">
        <v>5825.9510000000009</v>
      </c>
      <c r="M111" s="1592">
        <v>7619.0319999999992</v>
      </c>
      <c r="N111" s="1592">
        <v>7755.59</v>
      </c>
      <c r="O111" s="1592">
        <v>8691.5249999999996</v>
      </c>
      <c r="P111" s="1648">
        <v>8792.8354242197202</v>
      </c>
      <c r="Q111" s="1648">
        <v>8947.6532629508074</v>
      </c>
      <c r="R111" s="1648">
        <v>9159.6074615680845</v>
      </c>
      <c r="S111" s="1648">
        <v>9435.2135787354109</v>
      </c>
      <c r="T111" s="1648">
        <v>9704.1496898192163</v>
      </c>
      <c r="U111" s="1648">
        <v>9684.741186540834</v>
      </c>
      <c r="V111" s="1648">
        <v>9667.3497493233408</v>
      </c>
      <c r="W111" s="1648">
        <v>9687.3450962150455</v>
      </c>
      <c r="X111" s="990"/>
      <c r="Y111" s="990"/>
      <c r="Z111" s="990"/>
      <c r="AA111" s="990"/>
      <c r="AB111" s="990"/>
      <c r="AC111" s="1292"/>
      <c r="AD111" s="1292"/>
      <c r="AE111" s="1708"/>
      <c r="AF111" s="1292"/>
    </row>
    <row r="112" spans="1:32" ht="12.75" customHeight="1">
      <c r="A112" s="731"/>
      <c r="B112" s="1169"/>
      <c r="C112" s="1169"/>
      <c r="D112" s="1169"/>
      <c r="E112" s="1169"/>
      <c r="F112" s="1169"/>
      <c r="G112" s="1169"/>
      <c r="H112" s="1169"/>
      <c r="I112" s="1169"/>
      <c r="J112" s="1169"/>
      <c r="K112" s="1169"/>
      <c r="L112" s="1169"/>
      <c r="M112" s="1169"/>
      <c r="N112" s="1169"/>
      <c r="O112" s="1169"/>
      <c r="P112" s="1169"/>
      <c r="Q112" s="1169"/>
      <c r="R112" s="1169"/>
      <c r="S112" s="1169"/>
      <c r="T112" s="1169"/>
      <c r="U112" s="1169"/>
      <c r="V112" s="1169"/>
      <c r="W112" s="1169"/>
      <c r="X112" s="731"/>
      <c r="Y112" s="731"/>
      <c r="Z112" s="731"/>
      <c r="AA112" s="731"/>
      <c r="AB112" s="731"/>
      <c r="AC112" s="1181"/>
      <c r="AD112" s="1181"/>
      <c r="AE112" s="1181"/>
      <c r="AF112" s="1181"/>
    </row>
    <row r="113" spans="1:32">
      <c r="A113" s="1342" t="s">
        <v>381</v>
      </c>
      <c r="B113" s="1343">
        <v>2004</v>
      </c>
      <c r="C113" s="1343">
        <v>2005</v>
      </c>
      <c r="D113" s="1343">
        <v>2006</v>
      </c>
      <c r="E113" s="1343">
        <v>2007</v>
      </c>
      <c r="F113" s="1343">
        <v>2008</v>
      </c>
      <c r="G113" s="1343">
        <v>2009</v>
      </c>
      <c r="H113" s="1343">
        <v>2010</v>
      </c>
      <c r="I113" s="1343">
        <v>2011</v>
      </c>
      <c r="J113" s="1343">
        <v>2012</v>
      </c>
      <c r="K113" s="1343">
        <v>2013</v>
      </c>
      <c r="L113" s="1343">
        <v>2014</v>
      </c>
      <c r="M113" s="1343">
        <v>2015</v>
      </c>
      <c r="N113" s="1343">
        <v>2016</v>
      </c>
      <c r="O113" s="1343">
        <v>2017</v>
      </c>
      <c r="P113" s="1344">
        <v>2018</v>
      </c>
      <c r="Q113" s="1344">
        <v>2019</v>
      </c>
      <c r="R113" s="1344">
        <v>2020</v>
      </c>
      <c r="S113" s="1344">
        <v>2021</v>
      </c>
      <c r="T113" s="1344">
        <v>2022</v>
      </c>
      <c r="U113" s="1344">
        <v>2023</v>
      </c>
      <c r="V113" s="1344">
        <v>2024</v>
      </c>
      <c r="W113" s="1344">
        <v>2025</v>
      </c>
      <c r="X113" s="731"/>
      <c r="Y113" s="731"/>
      <c r="Z113" s="731"/>
      <c r="AA113" s="731"/>
      <c r="AB113" s="731"/>
      <c r="AC113" s="1181"/>
      <c r="AD113" s="1181"/>
      <c r="AE113" s="1181"/>
      <c r="AF113" s="1181"/>
    </row>
    <row r="114" spans="1:32">
      <c r="A114" s="1229" t="s">
        <v>1429</v>
      </c>
      <c r="B114" s="1230"/>
      <c r="C114" s="1230">
        <v>35.701999999999963</v>
      </c>
      <c r="D114" s="1230">
        <v>172.50199999999998</v>
      </c>
      <c r="E114" s="1230">
        <v>198.76599999999985</v>
      </c>
      <c r="F114" s="1230">
        <v>-48.793999999999926</v>
      </c>
      <c r="G114" s="1230">
        <v>-71.86500000000008</v>
      </c>
      <c r="H114" s="1230">
        <v>98.071999999999832</v>
      </c>
      <c r="I114" s="1230">
        <v>142.29099999999985</v>
      </c>
      <c r="J114" s="1230">
        <v>126.61100000000016</v>
      </c>
      <c r="K114" s="1230">
        <v>72.949999999999804</v>
      </c>
      <c r="L114" s="1230">
        <v>135.00200000000004</v>
      </c>
      <c r="M114" s="1230">
        <v>317.23799999999966</v>
      </c>
      <c r="N114" s="1230">
        <v>199.43399999999997</v>
      </c>
      <c r="O114" s="1230">
        <v>283.88800000000009</v>
      </c>
      <c r="P114" s="1231">
        <v>522.80188661749276</v>
      </c>
      <c r="Q114" s="1231">
        <v>572.98959662179311</v>
      </c>
      <c r="R114" s="1231">
        <v>677.72574167962398</v>
      </c>
      <c r="S114" s="1231">
        <v>810.05220237657215</v>
      </c>
      <c r="T114" s="1231">
        <v>859.59540637902387</v>
      </c>
      <c r="U114" s="1231">
        <v>710.7614377814981</v>
      </c>
      <c r="V114" s="1231">
        <v>596.87896213261342</v>
      </c>
      <c r="W114" s="1231">
        <v>780.14521072285834</v>
      </c>
      <c r="X114" s="731"/>
      <c r="Y114" s="731"/>
      <c r="Z114" s="731"/>
      <c r="AA114" s="731"/>
      <c r="AB114" s="731"/>
      <c r="AC114" s="1181"/>
      <c r="AD114" s="1181"/>
      <c r="AE114" s="1181"/>
      <c r="AF114" s="1181"/>
    </row>
    <row r="115" spans="1:32">
      <c r="A115" s="1891" t="s">
        <v>382</v>
      </c>
      <c r="B115" s="1194"/>
      <c r="C115" s="1194">
        <v>77.599999999999994</v>
      </c>
      <c r="D115" s="1194">
        <v>87.3</v>
      </c>
      <c r="E115" s="1194">
        <v>140.09100000000001</v>
      </c>
      <c r="F115" s="1194">
        <v>191.21400000000003</v>
      </c>
      <c r="G115" s="1194">
        <v>202.506</v>
      </c>
      <c r="H115" s="1194">
        <v>277.01599999999996</v>
      </c>
      <c r="I115" s="1194">
        <v>330.35499999999996</v>
      </c>
      <c r="J115" s="1194">
        <v>351.62699999999995</v>
      </c>
      <c r="K115" s="1194">
        <v>452.95</v>
      </c>
      <c r="L115" s="1194">
        <v>448.28499999999997</v>
      </c>
      <c r="M115" s="1194">
        <v>599.029</v>
      </c>
      <c r="N115" s="1194">
        <v>723.76099999999997</v>
      </c>
      <c r="O115" s="1194">
        <v>737.91100000000006</v>
      </c>
      <c r="P115" s="1212">
        <v>937.02296374027128</v>
      </c>
      <c r="Q115" s="1212">
        <v>969.13922406645224</v>
      </c>
      <c r="R115" s="1212">
        <v>1046.7014821966725</v>
      </c>
      <c r="S115" s="1212">
        <v>1204.6245556239382</v>
      </c>
      <c r="T115" s="1212">
        <v>1289.2143715107193</v>
      </c>
      <c r="U115" s="1212">
        <v>1226.9362955391991</v>
      </c>
      <c r="V115" s="1212">
        <v>1195.5195738589618</v>
      </c>
      <c r="W115" s="1212">
        <v>1337.8620990618506</v>
      </c>
      <c r="X115" s="731"/>
      <c r="Y115" s="731"/>
      <c r="Z115" s="731"/>
      <c r="AA115" s="731"/>
      <c r="AB115" s="731"/>
      <c r="AC115" s="1181"/>
      <c r="AD115" s="1181"/>
      <c r="AE115" s="1181"/>
      <c r="AF115" s="1181"/>
    </row>
    <row r="116" spans="1:32">
      <c r="A116" s="1891" t="s">
        <v>383</v>
      </c>
      <c r="B116" s="1194"/>
      <c r="C116" s="1194">
        <v>-13.564999999999998</v>
      </c>
      <c r="D116" s="1194">
        <v>-13.468999999999994</v>
      </c>
      <c r="E116" s="1194">
        <v>160.66399999999987</v>
      </c>
      <c r="F116" s="1194">
        <v>-30.394999999999982</v>
      </c>
      <c r="G116" s="1194">
        <v>-96.54200000000003</v>
      </c>
      <c r="H116" s="1194">
        <v>183.60699999999991</v>
      </c>
      <c r="I116" s="1194">
        <v>-198.31420799999978</v>
      </c>
      <c r="J116" s="1194">
        <v>-9.6651679999999658</v>
      </c>
      <c r="K116" s="1194">
        <v>-173.23622400000005</v>
      </c>
      <c r="L116" s="1194">
        <v>-28.566792000000191</v>
      </c>
      <c r="M116" s="1194">
        <v>-225.34625999999969</v>
      </c>
      <c r="N116" s="1194">
        <v>10.618652000000225</v>
      </c>
      <c r="O116" s="1194">
        <v>-126.29800000000012</v>
      </c>
      <c r="P116" s="1212">
        <v>2.8906308906073264</v>
      </c>
      <c r="Q116" s="1212">
        <v>23.946512812143283</v>
      </c>
      <c r="R116" s="1212">
        <v>40.522229886226796</v>
      </c>
      <c r="S116" s="1212">
        <v>76.033563564697488</v>
      </c>
      <c r="T116" s="1212">
        <v>118.08696284599205</v>
      </c>
      <c r="U116" s="1212">
        <v>126.32866976449145</v>
      </c>
      <c r="V116" s="1212">
        <v>-57.55419217074359</v>
      </c>
      <c r="W116" s="1212">
        <v>-75.469040342519065</v>
      </c>
      <c r="X116" s="731"/>
      <c r="Y116" s="731"/>
      <c r="Z116" s="731"/>
      <c r="AA116" s="731"/>
      <c r="AB116" s="731"/>
      <c r="AC116" s="1181"/>
      <c r="AD116" s="1181"/>
      <c r="AE116" s="1181"/>
      <c r="AF116" s="1181"/>
    </row>
    <row r="117" spans="1:32">
      <c r="A117" s="1233" t="s">
        <v>1430</v>
      </c>
      <c r="B117" s="1187"/>
      <c r="C117" s="1187">
        <v>99.736999999999966</v>
      </c>
      <c r="D117" s="1187">
        <v>246.33299999999997</v>
      </c>
      <c r="E117" s="1187">
        <v>499.52099999999973</v>
      </c>
      <c r="F117" s="1187">
        <v>112.02500000000012</v>
      </c>
      <c r="G117" s="1187">
        <v>34.098999999999876</v>
      </c>
      <c r="H117" s="1187">
        <v>558.69499999999971</v>
      </c>
      <c r="I117" s="1187">
        <v>274.33179200000006</v>
      </c>
      <c r="J117" s="1187">
        <v>468.57283200000018</v>
      </c>
      <c r="K117" s="1187">
        <v>352.6637759999997</v>
      </c>
      <c r="L117" s="1187">
        <v>554.72020799999984</v>
      </c>
      <c r="M117" s="1187">
        <v>690.92073999999991</v>
      </c>
      <c r="N117" s="1187">
        <v>933.81365200000016</v>
      </c>
      <c r="O117" s="1187">
        <v>895.50100000000009</v>
      </c>
      <c r="P117" s="1188">
        <v>1462.7154812483714</v>
      </c>
      <c r="Q117" s="1188">
        <v>1566.0753335003888</v>
      </c>
      <c r="R117" s="1188">
        <v>1764.9494537625233</v>
      </c>
      <c r="S117" s="1188">
        <v>2090.7103215652078</v>
      </c>
      <c r="T117" s="1188">
        <v>2266.896740735735</v>
      </c>
      <c r="U117" s="1188">
        <v>2064.0264030851886</v>
      </c>
      <c r="V117" s="1188">
        <v>1734.8443438208317</v>
      </c>
      <c r="W117" s="1188">
        <v>2042.5382694421899</v>
      </c>
      <c r="X117" s="731"/>
      <c r="Y117" s="731"/>
      <c r="Z117" s="731"/>
      <c r="AA117" s="731"/>
      <c r="AB117" s="731"/>
      <c r="AC117" s="1181"/>
      <c r="AD117" s="1181"/>
      <c r="AE117" s="1181"/>
      <c r="AF117" s="1181"/>
    </row>
    <row r="118" spans="1:32">
      <c r="A118" s="1232" t="s">
        <v>385</v>
      </c>
      <c r="B118" s="1194"/>
      <c r="C118" s="1194">
        <v>-66.858000000000033</v>
      </c>
      <c r="D118" s="1194">
        <v>-81.207999999999899</v>
      </c>
      <c r="E118" s="1194">
        <v>-932.23599999999999</v>
      </c>
      <c r="F118" s="1194">
        <v>-519.18600000000004</v>
      </c>
      <c r="G118" s="1194">
        <v>-457.29100000000005</v>
      </c>
      <c r="H118" s="1194">
        <v>-334.346</v>
      </c>
      <c r="I118" s="1194">
        <v>-454.16899999999998</v>
      </c>
      <c r="J118" s="1194">
        <v>-631.06600000000003</v>
      </c>
      <c r="K118" s="1194">
        <v>-679.84099999999989</v>
      </c>
      <c r="L118" s="1194">
        <v>-658.44399999999996</v>
      </c>
      <c r="M118" s="1194">
        <v>-812.029</v>
      </c>
      <c r="N118" s="1194">
        <v>-840.81400000000008</v>
      </c>
      <c r="O118" s="1194">
        <v>-976.98</v>
      </c>
      <c r="P118" s="1212">
        <v>-990.91228347385686</v>
      </c>
      <c r="Q118" s="1212">
        <v>-1022.2459586001482</v>
      </c>
      <c r="R118" s="1212">
        <v>-1223.805845179005</v>
      </c>
      <c r="S118" s="1212">
        <v>-1383.4198210911582</v>
      </c>
      <c r="T118" s="1212">
        <v>-1471.7311882750189</v>
      </c>
      <c r="U118" s="1212">
        <v>-1417.0078734257606</v>
      </c>
      <c r="V118" s="1212">
        <v>-1392.6595437548831</v>
      </c>
      <c r="W118" s="1212">
        <v>-1538.1137500929303</v>
      </c>
      <c r="X118" s="731"/>
      <c r="Y118" s="731"/>
      <c r="Z118" s="731"/>
      <c r="AA118" s="731"/>
      <c r="AB118" s="731"/>
      <c r="AC118" s="1181"/>
      <c r="AD118" s="1181"/>
      <c r="AE118" s="1181"/>
      <c r="AF118" s="1181"/>
    </row>
    <row r="119" spans="1:32">
      <c r="A119" s="1232" t="s">
        <v>384</v>
      </c>
      <c r="B119" s="1194"/>
      <c r="C119" s="1931">
        <v>-35.701999999999963</v>
      </c>
      <c r="D119" s="1931">
        <v>-172.50199999999998</v>
      </c>
      <c r="E119" s="1931">
        <v>-198.76599999999985</v>
      </c>
      <c r="F119" s="1194">
        <v>48.793999999999969</v>
      </c>
      <c r="G119" s="1194">
        <v>71.865000000000038</v>
      </c>
      <c r="H119" s="1194">
        <v>120.55900000000003</v>
      </c>
      <c r="I119" s="1194">
        <v>-166.40599999999989</v>
      </c>
      <c r="J119" s="1194">
        <v>-12.259999999999962</v>
      </c>
      <c r="K119" s="1194">
        <v>-381.81700000000001</v>
      </c>
      <c r="L119" s="1194">
        <v>95.274999999999949</v>
      </c>
      <c r="M119" s="1194">
        <v>-125.77300000000008</v>
      </c>
      <c r="N119" s="1194">
        <v>-159.14699999999988</v>
      </c>
      <c r="O119" s="1194">
        <v>-108.57700000000007</v>
      </c>
      <c r="P119" s="1212">
        <v>-205.69575464699724</v>
      </c>
      <c r="Q119" s="1212">
        <v>-286.49479831089707</v>
      </c>
      <c r="R119" s="1212">
        <v>-474.40801917573714</v>
      </c>
      <c r="S119" s="1212">
        <v>-567.03654166360081</v>
      </c>
      <c r="T119" s="1212">
        <v>-601.71678446531678</v>
      </c>
      <c r="U119" s="1212">
        <v>-710.76143778149901</v>
      </c>
      <c r="V119" s="1212">
        <v>-596.87896213261376</v>
      </c>
      <c r="W119" s="1212">
        <v>-780.14521072285879</v>
      </c>
      <c r="X119" s="731"/>
      <c r="Y119" s="731"/>
      <c r="Z119" s="731"/>
      <c r="AA119" s="731"/>
      <c r="AB119" s="731"/>
      <c r="AC119" s="1181"/>
      <c r="AD119" s="1181"/>
      <c r="AE119" s="1181"/>
      <c r="AF119" s="1181"/>
    </row>
    <row r="120" spans="1:32">
      <c r="A120" s="1232" t="s">
        <v>1431</v>
      </c>
      <c r="B120" s="1194"/>
      <c r="C120" s="1931">
        <v>26.45699999999988</v>
      </c>
      <c r="D120" s="1931">
        <v>62.245000000000118</v>
      </c>
      <c r="E120" s="1931">
        <v>393.25999999999976</v>
      </c>
      <c r="F120" s="1194">
        <v>-46.898999999999987</v>
      </c>
      <c r="G120" s="1194">
        <v>-47.480999999999995</v>
      </c>
      <c r="H120" s="1194">
        <v>115.55899999999997</v>
      </c>
      <c r="I120" s="1194">
        <v>-29.649000000000001</v>
      </c>
      <c r="J120" s="1194">
        <v>-42.993000000000166</v>
      </c>
      <c r="K120" s="1194">
        <v>226.44999999999982</v>
      </c>
      <c r="L120" s="1194">
        <v>-377.99199999999996</v>
      </c>
      <c r="M120" s="1194">
        <v>294.9369999999999</v>
      </c>
      <c r="N120" s="1194">
        <v>-129.57399999999984</v>
      </c>
      <c r="O120" s="1194">
        <v>74.555000000000064</v>
      </c>
      <c r="P120" s="1212">
        <v>-309.00800000000004</v>
      </c>
      <c r="Q120" s="1212">
        <v>0</v>
      </c>
      <c r="R120" s="1212">
        <v>0</v>
      </c>
      <c r="S120" s="1212">
        <v>0</v>
      </c>
      <c r="T120" s="1212">
        <v>0</v>
      </c>
      <c r="U120" s="1212">
        <v>0</v>
      </c>
      <c r="V120" s="1212">
        <v>0</v>
      </c>
      <c r="W120" s="1212">
        <v>0</v>
      </c>
      <c r="X120" s="731"/>
      <c r="Y120" s="731"/>
      <c r="Z120" s="731"/>
      <c r="AA120" s="731"/>
      <c r="AB120" s="731"/>
      <c r="AC120" s="1181"/>
      <c r="AD120" s="1181"/>
      <c r="AE120" s="1181"/>
      <c r="AF120" s="1181"/>
    </row>
    <row r="121" spans="1:32">
      <c r="A121" s="1232" t="s">
        <v>1452</v>
      </c>
      <c r="B121" s="1194"/>
      <c r="C121" s="1931">
        <v>0</v>
      </c>
      <c r="D121" s="1931">
        <v>-36.466000000000001</v>
      </c>
      <c r="E121" s="1931">
        <v>342.26900000000001</v>
      </c>
      <c r="F121" s="1194">
        <v>0</v>
      </c>
      <c r="G121" s="1194">
        <v>-1.8990000000000009</v>
      </c>
      <c r="H121" s="1194">
        <v>0</v>
      </c>
      <c r="I121" s="1194">
        <v>97.798999999999978</v>
      </c>
      <c r="J121" s="1194">
        <v>0</v>
      </c>
      <c r="K121" s="1194">
        <v>158.25</v>
      </c>
      <c r="L121" s="1194">
        <v>123.05000000000007</v>
      </c>
      <c r="M121" s="1194">
        <v>84.910999999999945</v>
      </c>
      <c r="N121" s="1194">
        <v>119.75999999999999</v>
      </c>
      <c r="O121" s="1194">
        <v>506.85800000000006</v>
      </c>
      <c r="P121" s="1212">
        <v>0</v>
      </c>
      <c r="Q121" s="1212">
        <v>0</v>
      </c>
      <c r="R121" s="1212">
        <v>0</v>
      </c>
      <c r="S121" s="1212">
        <v>0</v>
      </c>
      <c r="T121" s="1212">
        <v>0</v>
      </c>
      <c r="U121" s="1212">
        <v>0</v>
      </c>
      <c r="V121" s="1212">
        <v>0</v>
      </c>
      <c r="W121" s="1212">
        <v>0</v>
      </c>
      <c r="X121" s="731"/>
      <c r="Y121" s="731"/>
      <c r="Z121" s="731"/>
      <c r="AA121" s="731"/>
      <c r="AB121" s="731"/>
      <c r="AC121" s="1181"/>
      <c r="AD121" s="1181"/>
      <c r="AE121" s="1181"/>
      <c r="AF121" s="1181"/>
    </row>
    <row r="122" spans="1:32">
      <c r="A122" s="1232" t="s">
        <v>833</v>
      </c>
      <c r="B122" s="1194"/>
      <c r="C122" s="1194"/>
      <c r="D122" s="1194"/>
      <c r="E122" s="1194"/>
      <c r="F122" s="1194">
        <v>-157.70499999999993</v>
      </c>
      <c r="G122" s="1194">
        <v>-22.180000000000216</v>
      </c>
      <c r="H122" s="1194">
        <v>-284.87099999999987</v>
      </c>
      <c r="I122" s="1194">
        <v>528.75020799999993</v>
      </c>
      <c r="J122" s="1194">
        <v>-102.77483199999985</v>
      </c>
      <c r="K122" s="1194">
        <v>-187.36777600000039</v>
      </c>
      <c r="L122" s="1194">
        <v>72.536791999999906</v>
      </c>
      <c r="M122" s="1194">
        <v>-1050.3897399999996</v>
      </c>
      <c r="N122" s="1194">
        <v>-156.03165200000024</v>
      </c>
      <c r="O122" s="1194">
        <v>-219.44600000000025</v>
      </c>
      <c r="P122" s="1212">
        <v>339.46100000000035</v>
      </c>
      <c r="Q122" s="1212">
        <v>0</v>
      </c>
      <c r="R122" s="1212">
        <v>0</v>
      </c>
      <c r="S122" s="1212">
        <v>0</v>
      </c>
      <c r="T122" s="1212">
        <v>0</v>
      </c>
      <c r="U122" s="1212">
        <v>0</v>
      </c>
      <c r="V122" s="1212">
        <v>0</v>
      </c>
      <c r="W122" s="1212">
        <v>0</v>
      </c>
      <c r="X122" s="731"/>
      <c r="Y122" s="731"/>
      <c r="Z122" s="731"/>
      <c r="AA122" s="731"/>
      <c r="AB122" s="731"/>
      <c r="AC122" s="1181"/>
      <c r="AD122" s="1181"/>
      <c r="AE122" s="1181"/>
      <c r="AF122" s="1181"/>
    </row>
    <row r="123" spans="1:32" s="43" customFormat="1">
      <c r="A123" s="1709" t="s">
        <v>386</v>
      </c>
      <c r="B123" s="1592"/>
      <c r="C123" s="1592">
        <v>23.633999999999851</v>
      </c>
      <c r="D123" s="1592">
        <v>18.402000000000193</v>
      </c>
      <c r="E123" s="1592">
        <v>104.04799999999966</v>
      </c>
      <c r="F123" s="1592">
        <v>-562.97099999999989</v>
      </c>
      <c r="G123" s="1592">
        <v>-422.88700000000034</v>
      </c>
      <c r="H123" s="1592">
        <v>175.59599999999983</v>
      </c>
      <c r="I123" s="1592">
        <v>250.6570000000001</v>
      </c>
      <c r="J123" s="1592">
        <v>-320.52099999999984</v>
      </c>
      <c r="K123" s="1592">
        <v>-511.66200000000083</v>
      </c>
      <c r="L123" s="1592">
        <v>-190.85400000000013</v>
      </c>
      <c r="M123" s="1592">
        <v>-917.423</v>
      </c>
      <c r="N123" s="1592">
        <v>-231.99299999999988</v>
      </c>
      <c r="O123" s="1592">
        <v>171.91099999999989</v>
      </c>
      <c r="P123" s="1648">
        <v>296.5604431275176</v>
      </c>
      <c r="Q123" s="1648">
        <v>257.33457658934344</v>
      </c>
      <c r="R123" s="1648">
        <v>66.735589407781106</v>
      </c>
      <c r="S123" s="1648">
        <v>140.25395881044881</v>
      </c>
      <c r="T123" s="1648">
        <v>193.44876799539929</v>
      </c>
      <c r="U123" s="1648">
        <v>-63.742908122071071</v>
      </c>
      <c r="V123" s="1648">
        <v>-254.69416206666517</v>
      </c>
      <c r="W123" s="1648">
        <v>-275.72069137359927</v>
      </c>
      <c r="X123" s="990"/>
      <c r="Y123" s="990"/>
      <c r="Z123" s="990"/>
      <c r="AA123" s="990"/>
      <c r="AB123" s="990"/>
      <c r="AC123" s="1292"/>
      <c r="AD123" s="1292"/>
      <c r="AE123" s="1292"/>
      <c r="AF123" s="1292"/>
    </row>
    <row r="124" spans="1:32" ht="12.75" customHeight="1">
      <c r="A124" s="990"/>
      <c r="B124" s="990"/>
      <c r="C124" s="990"/>
      <c r="D124" s="990"/>
      <c r="E124" s="990"/>
      <c r="F124" s="990"/>
      <c r="G124" s="990"/>
      <c r="H124" s="990"/>
      <c r="I124" s="990"/>
      <c r="J124" s="990"/>
      <c r="K124" s="990"/>
      <c r="L124" s="990"/>
      <c r="M124" s="1591"/>
      <c r="N124" s="1591"/>
      <c r="O124" s="1591"/>
      <c r="P124" s="1591"/>
      <c r="Q124" s="990"/>
      <c r="R124" s="990"/>
      <c r="S124" s="990"/>
      <c r="T124" s="990"/>
      <c r="U124" s="990"/>
      <c r="V124" s="990"/>
      <c r="W124" s="990"/>
      <c r="X124" s="731"/>
      <c r="Y124" s="731"/>
      <c r="Z124" s="731"/>
      <c r="AA124" s="731"/>
      <c r="AB124" s="731"/>
      <c r="AC124" s="1181"/>
      <c r="AD124" s="1181"/>
      <c r="AE124" s="1181"/>
      <c r="AF124" s="1181"/>
    </row>
    <row r="125" spans="1:32">
      <c r="A125" s="1342" t="s">
        <v>1039</v>
      </c>
      <c r="B125" s="1343">
        <v>2004</v>
      </c>
      <c r="C125" s="1343">
        <v>2005</v>
      </c>
      <c r="D125" s="1343">
        <v>2006</v>
      </c>
      <c r="E125" s="1343">
        <v>2007</v>
      </c>
      <c r="F125" s="1343">
        <v>2008</v>
      </c>
      <c r="G125" s="1343">
        <v>2009</v>
      </c>
      <c r="H125" s="1343">
        <v>2010</v>
      </c>
      <c r="I125" s="1343">
        <v>2011</v>
      </c>
      <c r="J125" s="1343">
        <v>2012</v>
      </c>
      <c r="K125" s="1343">
        <v>2013</v>
      </c>
      <c r="L125" s="1343">
        <v>2014</v>
      </c>
      <c r="M125" s="1343">
        <v>2015</v>
      </c>
      <c r="N125" s="1343">
        <v>2016</v>
      </c>
      <c r="O125" s="1343">
        <v>2017</v>
      </c>
      <c r="P125" s="1344">
        <v>2018</v>
      </c>
      <c r="Q125" s="1344">
        <v>2019</v>
      </c>
      <c r="R125" s="1344">
        <v>2020</v>
      </c>
      <c r="S125" s="1344">
        <v>2021</v>
      </c>
      <c r="T125" s="1344">
        <v>2022</v>
      </c>
      <c r="U125" s="1344">
        <v>2023</v>
      </c>
      <c r="V125" s="1344">
        <v>2024</v>
      </c>
      <c r="W125" s="1344">
        <v>2025</v>
      </c>
      <c r="X125" s="731"/>
      <c r="Y125" s="731"/>
      <c r="Z125" s="731"/>
      <c r="AA125" s="731"/>
      <c r="AB125" s="731"/>
      <c r="AC125" s="1181"/>
      <c r="AD125" s="1181"/>
      <c r="AE125" s="1181"/>
      <c r="AF125" s="1181"/>
    </row>
    <row r="126" spans="1:32">
      <c r="A126" s="990" t="s">
        <v>1427</v>
      </c>
      <c r="B126" s="1089">
        <v>208.17100000000002</v>
      </c>
      <c r="C126" s="1089">
        <v>170.476</v>
      </c>
      <c r="D126" s="1089">
        <v>137.79399999999998</v>
      </c>
      <c r="E126" s="1089">
        <v>-44.161000000000001</v>
      </c>
      <c r="F126" s="1089">
        <v>518.81000000000006</v>
      </c>
      <c r="G126" s="1089">
        <v>941.69699999999989</v>
      </c>
      <c r="H126" s="1089">
        <v>766.10100000000011</v>
      </c>
      <c r="I126" s="1089">
        <v>515.38200000000006</v>
      </c>
      <c r="J126" s="1089">
        <v>836.07099999999991</v>
      </c>
      <c r="K126" s="1089">
        <v>1347.636</v>
      </c>
      <c r="L126" s="1089">
        <v>1538.4810000000002</v>
      </c>
      <c r="M126" s="1089">
        <v>2487.0839999999998</v>
      </c>
      <c r="N126" s="1089">
        <v>2719.038</v>
      </c>
      <c r="O126" s="1089">
        <v>2547.1279999999997</v>
      </c>
      <c r="P126" s="1234">
        <v>2250.5675568724828</v>
      </c>
      <c r="Q126" s="1234">
        <v>1993.232980283138</v>
      </c>
      <c r="R126" s="1235">
        <v>1926.4973908753568</v>
      </c>
      <c r="S126" s="1235">
        <v>1786.2434320649077</v>
      </c>
      <c r="T126" s="1235">
        <v>1592.7946640695084</v>
      </c>
      <c r="U126" s="1235">
        <v>1656.537572191578</v>
      </c>
      <c r="V126" s="1235">
        <v>1911.2317342582433</v>
      </c>
      <c r="W126" s="1235">
        <v>2186.9524256318423</v>
      </c>
      <c r="X126" s="731"/>
      <c r="Y126" s="460"/>
      <c r="Z126" s="731"/>
      <c r="AA126" s="731"/>
      <c r="AB126" s="731"/>
      <c r="AC126" s="1181"/>
      <c r="AD126" s="1181"/>
      <c r="AE126" s="1181"/>
      <c r="AF126" s="1181"/>
    </row>
    <row r="127" spans="1:32">
      <c r="A127" s="731" t="s">
        <v>1428</v>
      </c>
      <c r="B127" s="1236">
        <v>0.23556350180770952</v>
      </c>
      <c r="C127" s="1236">
        <v>0.18730086181512948</v>
      </c>
      <c r="D127" s="1236">
        <v>0.14722351917995705</v>
      </c>
      <c r="E127" s="1236">
        <v>-2.6420298178859457E-2</v>
      </c>
      <c r="F127" s="1236">
        <v>0.31935003548607305</v>
      </c>
      <c r="G127" s="1236">
        <v>0.59782656308623461</v>
      </c>
      <c r="H127" s="1236">
        <v>0.40122793079049823</v>
      </c>
      <c r="I127" s="1236">
        <v>0.26383492387221219</v>
      </c>
      <c r="J127" s="1236">
        <v>0.41291861255324025</v>
      </c>
      <c r="K127" s="1236">
        <v>0.64154293714656208</v>
      </c>
      <c r="L127" s="1236">
        <v>0.74109661495063472</v>
      </c>
      <c r="M127" s="1236">
        <v>0.95068929335247132</v>
      </c>
      <c r="N127" s="1236">
        <v>1.027371375392627</v>
      </c>
      <c r="O127" s="1236">
        <v>0.74842447962577707</v>
      </c>
      <c r="P127" s="1224">
        <v>0.65971612678640335</v>
      </c>
      <c r="Q127" s="1224">
        <v>0.53901566041779758</v>
      </c>
      <c r="R127" s="1224">
        <v>0.4938178647550448</v>
      </c>
      <c r="S127" s="1224">
        <v>0.43101768016223418</v>
      </c>
      <c r="T127" s="1224">
        <v>0.36182404803112467</v>
      </c>
      <c r="U127" s="1224">
        <v>0.37630407961980211</v>
      </c>
      <c r="V127" s="1224">
        <v>0.43416117495524625</v>
      </c>
      <c r="W127" s="1224">
        <v>0.49679472021326981</v>
      </c>
      <c r="X127" s="731"/>
      <c r="Y127" s="731"/>
      <c r="Z127" s="731"/>
      <c r="AA127" s="731"/>
      <c r="AB127" s="731"/>
      <c r="AC127" s="1181"/>
      <c r="AD127" s="1181"/>
      <c r="AE127" s="1181"/>
      <c r="AF127" s="1181"/>
    </row>
    <row r="128" spans="1:32" ht="12.75" customHeight="1">
      <c r="A128" s="731" t="s">
        <v>1040</v>
      </c>
      <c r="B128" s="1236">
        <v>2.2644019492668508</v>
      </c>
      <c r="C128" s="1236">
        <v>1.0451597081723993</v>
      </c>
      <c r="D128" s="1236">
        <v>0.42767799224683495</v>
      </c>
      <c r="E128" s="1236">
        <v>-0.1130950094371756</v>
      </c>
      <c r="F128" s="1236">
        <v>3.9123877321710019</v>
      </c>
      <c r="G128" s="1236">
        <v>4.9617317905918048</v>
      </c>
      <c r="H128" s="1236">
        <v>1.6935161912846259</v>
      </c>
      <c r="I128" s="1236">
        <v>0.84132736515274698</v>
      </c>
      <c r="J128" s="1236">
        <v>1.5685575936317466</v>
      </c>
      <c r="K128" s="1236">
        <v>2.0674939899144094</v>
      </c>
      <c r="L128" s="1236">
        <v>2.0078317498433917</v>
      </c>
      <c r="M128" s="1236">
        <v>2.2785405739676143</v>
      </c>
      <c r="N128" s="1236">
        <v>2.0880132512883836</v>
      </c>
      <c r="O128" s="1236">
        <v>1.7626109967005468</v>
      </c>
      <c r="P128" s="1224">
        <v>1.279442490948657</v>
      </c>
      <c r="Q128" s="1224">
        <v>1.1196988856373464</v>
      </c>
      <c r="R128" s="1224">
        <v>0.98643440600281629</v>
      </c>
      <c r="S128" s="1224">
        <v>0.77709070619931553</v>
      </c>
      <c r="T128" s="1224">
        <v>0.64800237465439525</v>
      </c>
      <c r="U128" s="1224">
        <v>0.74393804111985284</v>
      </c>
      <c r="V128" s="1224">
        <v>0.91441564201886139</v>
      </c>
      <c r="W128" s="1224">
        <v>0.82414613675650716</v>
      </c>
      <c r="X128" s="731"/>
      <c r="Y128" s="731"/>
      <c r="Z128" s="731"/>
      <c r="AA128" s="731"/>
      <c r="AB128" s="731"/>
      <c r="AC128" s="1181"/>
      <c r="AD128" s="1181"/>
      <c r="AE128" s="1181"/>
      <c r="AF128" s="1181"/>
    </row>
    <row r="129" spans="1:32">
      <c r="A129" s="731" t="s">
        <v>388</v>
      </c>
      <c r="B129" s="849">
        <v>-1.1315517281668529E-2</v>
      </c>
      <c r="C129" s="849">
        <v>2.2279606503034077E-2</v>
      </c>
      <c r="D129" s="849">
        <v>0.10479716364449325</v>
      </c>
      <c r="E129" s="849">
        <v>7.520679731479421E-2</v>
      </c>
      <c r="F129" s="849">
        <v>-1.6729621894910632E-2</v>
      </c>
      <c r="G129" s="849">
        <v>-2.1169814522201152E-2</v>
      </c>
      <c r="H129" s="849">
        <v>2.342049790289678E-2</v>
      </c>
      <c r="I129" s="849">
        <v>3.6099275989951406E-2</v>
      </c>
      <c r="J129" s="849">
        <v>2.6448001500678827E-2</v>
      </c>
      <c r="K129" s="849">
        <v>1.295023824355356E-2</v>
      </c>
      <c r="L129" s="849">
        <v>2.3172525824539207E-2</v>
      </c>
      <c r="M129" s="849">
        <v>4.1637572857024317E-2</v>
      </c>
      <c r="N129" s="849">
        <v>2.5714871466903221E-2</v>
      </c>
      <c r="O129" s="849">
        <v>3.2662622497202747E-2</v>
      </c>
      <c r="P129" s="1237">
        <v>5.9457713171503661E-2</v>
      </c>
      <c r="Q129" s="1237">
        <v>6.4037975073793746E-2</v>
      </c>
      <c r="R129" s="1237">
        <v>7.3990697147582843E-2</v>
      </c>
      <c r="S129" s="1237">
        <v>8.5854145814168475E-2</v>
      </c>
      <c r="T129" s="1237">
        <v>8.8580188255014222E-2</v>
      </c>
      <c r="U129" s="1237">
        <v>7.3389822618002851E-2</v>
      </c>
      <c r="V129" s="1237">
        <v>6.1741736629978804E-2</v>
      </c>
      <c r="W129" s="1237">
        <v>8.0532406244892621E-2</v>
      </c>
      <c r="X129" s="731"/>
      <c r="Y129" s="731"/>
      <c r="Z129" s="731"/>
      <c r="AA129" s="731"/>
      <c r="AB129" s="731"/>
      <c r="AC129" s="1181"/>
      <c r="AD129" s="1181"/>
      <c r="AE129" s="1181"/>
      <c r="AF129" s="1181"/>
    </row>
    <row r="130" spans="1:32">
      <c r="A130" s="731" t="s">
        <v>389</v>
      </c>
      <c r="B130" s="1115" t="s">
        <v>972</v>
      </c>
      <c r="C130" s="849">
        <v>4.0399902683557441E-2</v>
      </c>
      <c r="D130" s="849">
        <v>0.18952681471194455</v>
      </c>
      <c r="E130" s="849">
        <v>0.21236795516004561</v>
      </c>
      <c r="F130" s="849">
        <v>-2.9059771030873208E-2</v>
      </c>
      <c r="G130" s="849">
        <v>-4.4029746500411762E-2</v>
      </c>
      <c r="H130" s="849">
        <v>6.1547189609424513E-2</v>
      </c>
      <c r="I130" s="849">
        <v>7.4521666856081262E-2</v>
      </c>
      <c r="J130" s="849">
        <v>6.4814843254876381E-2</v>
      </c>
      <c r="K130" s="849">
        <v>3.6028534401694109E-2</v>
      </c>
      <c r="L130" s="849">
        <v>6.4267784179600579E-2</v>
      </c>
      <c r="M130" s="849">
        <v>0.15281567203865967</v>
      </c>
      <c r="N130" s="849">
        <v>7.6233761517687681E-2</v>
      </c>
      <c r="O130" s="849">
        <v>0.10726529199572134</v>
      </c>
      <c r="P130" s="1237">
        <v>0.1536152599865698</v>
      </c>
      <c r="Q130" s="1237">
        <v>0.16796228854269005</v>
      </c>
      <c r="R130" s="1237">
        <v>0.18327249842198215</v>
      </c>
      <c r="S130" s="1237">
        <v>0.20764017164641008</v>
      </c>
      <c r="T130" s="1237">
        <v>0.20741899524148216</v>
      </c>
      <c r="U130" s="1237">
        <v>0.16145871555437435</v>
      </c>
      <c r="V130" s="1237">
        <v>0.13558882832496355</v>
      </c>
      <c r="W130" s="1237">
        <v>0.17722014303754671</v>
      </c>
      <c r="X130" s="731"/>
      <c r="Y130" s="731"/>
      <c r="Z130" s="731"/>
      <c r="AA130" s="731"/>
      <c r="AB130" s="731"/>
      <c r="AC130" s="1181"/>
      <c r="AD130" s="1181"/>
      <c r="AE130" s="1181"/>
      <c r="AF130" s="1181"/>
    </row>
    <row r="131" spans="1:32" s="41" customFormat="1">
      <c r="A131" s="731" t="s">
        <v>390</v>
      </c>
      <c r="B131" s="1115" t="s">
        <v>972</v>
      </c>
      <c r="C131" s="849">
        <v>4.9597239822901505E-2</v>
      </c>
      <c r="D131" s="849">
        <v>0.13414572857799245</v>
      </c>
      <c r="E131" s="849">
        <v>0.10421085489537274</v>
      </c>
      <c r="F131" s="849">
        <v>-1.9702142982009414E-2</v>
      </c>
      <c r="G131" s="849">
        <v>1.089235211389904E-2</v>
      </c>
      <c r="H131" s="849">
        <v>2.9418368219598305E-2</v>
      </c>
      <c r="I131" s="849">
        <v>5.6018699835137992E-2</v>
      </c>
      <c r="J131" s="849">
        <v>5.1141831150253898E-2</v>
      </c>
      <c r="K131" s="849">
        <v>3.5685402364574716E-2</v>
      </c>
      <c r="L131" s="849">
        <v>4.7785048179808179E-2</v>
      </c>
      <c r="M131" s="849">
        <v>6.6871600763110439E-2</v>
      </c>
      <c r="N131" s="849">
        <v>5.3213869602196151E-2</v>
      </c>
      <c r="O131" s="849">
        <v>6.8597832675230827E-2</v>
      </c>
      <c r="P131" s="1237">
        <v>7.7162616768305353E-2</v>
      </c>
      <c r="Q131" s="1237">
        <v>7.5577160545731756E-2</v>
      </c>
      <c r="R131" s="1237">
        <v>8.1633133523451515E-2</v>
      </c>
      <c r="S131" s="1237">
        <v>9.5628853366744565E-2</v>
      </c>
      <c r="T131" s="1237">
        <v>9.8886206931128137E-2</v>
      </c>
      <c r="U131" s="1237">
        <v>8.3211253622587397E-2</v>
      </c>
      <c r="V131" s="1237">
        <v>7.4456733680659207E-2</v>
      </c>
      <c r="W131" s="1237">
        <v>0.10950831815951925</v>
      </c>
      <c r="X131" s="731"/>
      <c r="Y131" s="731"/>
      <c r="Z131" s="731"/>
      <c r="AA131" s="731"/>
      <c r="AB131" s="731"/>
      <c r="AC131" s="1181"/>
      <c r="AD131" s="1181"/>
      <c r="AE131" s="1181"/>
      <c r="AF131" s="1181"/>
    </row>
    <row r="132" spans="1:32" s="41" customFormat="1" ht="12.75" customHeight="1">
      <c r="A132" s="1243" t="s">
        <v>1456</v>
      </c>
      <c r="B132" s="1116" t="s">
        <v>972</v>
      </c>
      <c r="C132" s="1116">
        <v>31.786999999999935</v>
      </c>
      <c r="D132" s="1116">
        <v>156.4260000000001</v>
      </c>
      <c r="E132" s="1116">
        <v>-440.33600000000035</v>
      </c>
      <c r="F132" s="1116">
        <v>-403.904</v>
      </c>
      <c r="G132" s="1116">
        <v>-412.80200000000013</v>
      </c>
      <c r="H132" s="1116">
        <v>185.6099999999999</v>
      </c>
      <c r="I132" s="1116">
        <v>-156.84420799999975</v>
      </c>
      <c r="J132" s="1116">
        <v>-189.78616799999995</v>
      </c>
      <c r="K132" s="1116">
        <v>-311.34722399999993</v>
      </c>
      <c r="L132" s="1116">
        <v>-96.175792000000342</v>
      </c>
      <c r="M132" s="1116">
        <v>-146.47725999999977</v>
      </c>
      <c r="N132" s="1116">
        <v>288.58365200000037</v>
      </c>
      <c r="O132" s="1116">
        <v>-30.890999999999963</v>
      </c>
      <c r="P132" s="1238">
        <v>460.94419777451435</v>
      </c>
      <c r="Q132" s="1238">
        <v>543.82937490024051</v>
      </c>
      <c r="R132" s="1238">
        <v>541.14360858351824</v>
      </c>
      <c r="S132" s="1238">
        <v>707.29050047404962</v>
      </c>
      <c r="T132" s="1238">
        <v>795.1655524607163</v>
      </c>
      <c r="U132" s="1238">
        <v>647.01852965942771</v>
      </c>
      <c r="V132" s="1238">
        <v>342.18480006594837</v>
      </c>
      <c r="W132" s="1238">
        <v>504.42451934925953</v>
      </c>
      <c r="X132" s="731"/>
      <c r="Y132" s="731"/>
      <c r="Z132" s="731"/>
      <c r="AA132" s="731"/>
      <c r="AB132" s="731"/>
      <c r="AC132" s="1181"/>
      <c r="AD132" s="1181"/>
      <c r="AE132" s="1181"/>
      <c r="AF132" s="1181"/>
    </row>
    <row r="133" spans="1:32">
      <c r="A133" s="731" t="s">
        <v>391</v>
      </c>
      <c r="B133" s="1124">
        <v>0</v>
      </c>
      <c r="C133" s="1124">
        <v>0.10314409132983653</v>
      </c>
      <c r="D133" s="1124">
        <v>0.10050221404862728</v>
      </c>
      <c r="E133" s="1124">
        <v>1.1278817524200369</v>
      </c>
      <c r="F133" s="1124">
        <v>0.72876393138878748</v>
      </c>
      <c r="G133" s="1124">
        <v>0.590477284964807</v>
      </c>
      <c r="H133" s="1124">
        <v>0.28255721778166903</v>
      </c>
      <c r="I133" s="1124">
        <v>0.35070206976219825</v>
      </c>
      <c r="J133" s="1124">
        <v>0.46164639097579357</v>
      </c>
      <c r="K133" s="1124">
        <v>0.41556216399595342</v>
      </c>
      <c r="L133" s="1124">
        <v>0.33394904878555959</v>
      </c>
      <c r="M133" s="1124">
        <v>0.34923545112125526</v>
      </c>
      <c r="N133" s="1124">
        <v>0.30828645377118474</v>
      </c>
      <c r="O133" s="1124">
        <v>0.32534744955013217</v>
      </c>
      <c r="P133" s="1239">
        <v>0.27098086180386327</v>
      </c>
      <c r="Q133" s="1239">
        <v>0.27028557798619574</v>
      </c>
      <c r="R133" s="1239">
        <v>0.29960104645501284</v>
      </c>
      <c r="S133" s="1239">
        <v>0.29427673164509283</v>
      </c>
      <c r="T133" s="1239">
        <v>0.29252096478619921</v>
      </c>
      <c r="U133" s="1239">
        <v>0.29594015112233379</v>
      </c>
      <c r="V133" s="1239">
        <v>0.29849833331168785</v>
      </c>
      <c r="W133" s="1239">
        <v>0.2945986456630561</v>
      </c>
      <c r="X133" s="731"/>
      <c r="Y133" s="731"/>
      <c r="Z133" s="731"/>
      <c r="AA133" s="731"/>
      <c r="AB133" s="731"/>
      <c r="AC133" s="1181"/>
      <c r="AD133" s="1181"/>
      <c r="AE133" s="1181"/>
      <c r="AF133" s="1181"/>
    </row>
    <row r="134" spans="1:32" s="41" customFormat="1">
      <c r="A134" s="1232" t="s">
        <v>317</v>
      </c>
      <c r="B134" s="1194">
        <v>69.432000000000016</v>
      </c>
      <c r="C134" s="1931">
        <v>119.465</v>
      </c>
      <c r="D134" s="1931">
        <v>140.70099999999999</v>
      </c>
      <c r="E134" s="1931">
        <v>133.89699999999999</v>
      </c>
      <c r="F134" s="1194">
        <v>168.72899999999998</v>
      </c>
      <c r="G134" s="1194">
        <v>270.33589999999998</v>
      </c>
      <c r="H134" s="1194">
        <v>16.206849999999996</v>
      </c>
      <c r="I134" s="1194">
        <v>95.288999999999959</v>
      </c>
      <c r="J134" s="1194">
        <v>44.109499999999997</v>
      </c>
      <c r="K134" s="1194">
        <v>98.373750000000001</v>
      </c>
      <c r="L134" s="1194">
        <v>102.71949999999998</v>
      </c>
      <c r="M134" s="1194">
        <v>50.075100000000077</v>
      </c>
      <c r="N134" s="1194">
        <v>104.51290000000006</v>
      </c>
      <c r="O134" s="1194">
        <v>175.51204999999993</v>
      </c>
      <c r="P134" s="1212">
        <v>225.10748691859089</v>
      </c>
      <c r="Q134" s="1212">
        <v>293.04684425910023</v>
      </c>
      <c r="R134" s="1212">
        <v>368.92843378789894</v>
      </c>
      <c r="S134" s="1212">
        <v>489.62416096609593</v>
      </c>
      <c r="T134" s="1212">
        <v>593.67640730986193</v>
      </c>
      <c r="U134" s="1212">
        <v>644.36240579541288</v>
      </c>
      <c r="V134" s="1212">
        <v>699.78636150236025</v>
      </c>
      <c r="W134" s="1212">
        <v>807.03020747956475</v>
      </c>
      <c r="X134" s="731"/>
      <c r="Y134" s="731"/>
      <c r="Z134" s="731"/>
      <c r="AA134" s="731"/>
      <c r="AB134" s="731"/>
      <c r="AC134" s="1181"/>
      <c r="AD134" s="1181"/>
      <c r="AE134" s="1181"/>
      <c r="AF134" s="1181"/>
    </row>
    <row r="135" spans="1:32" s="43" customFormat="1">
      <c r="A135" s="990" t="s">
        <v>392</v>
      </c>
      <c r="B135" s="1514">
        <v>0.13403861003861006</v>
      </c>
      <c r="C135" s="1514">
        <v>0.18430268435668007</v>
      </c>
      <c r="D135" s="1514">
        <v>0.17413015982238109</v>
      </c>
      <c r="E135" s="1514">
        <v>0.16199758752481741</v>
      </c>
      <c r="F135" s="1514">
        <v>0.23683922405322699</v>
      </c>
      <c r="G135" s="1514">
        <v>0.34907139712025287</v>
      </c>
      <c r="H135" s="1514">
        <v>1.369647743656225E-2</v>
      </c>
      <c r="I135" s="1514">
        <v>7.3580648449299915E-2</v>
      </c>
      <c r="J135" s="1514">
        <v>3.2267609858155508E-2</v>
      </c>
      <c r="K135" s="1514">
        <v>6.0132308040257834E-2</v>
      </c>
      <c r="L135" s="1514">
        <v>5.2097185663060611E-2</v>
      </c>
      <c r="M135" s="1514">
        <v>2.1536176834130304E-2</v>
      </c>
      <c r="N135" s="1514">
        <v>3.8319903467761561E-2</v>
      </c>
      <c r="O135" s="1514">
        <v>5.844786774838303E-2</v>
      </c>
      <c r="P135" s="2402">
        <v>6.1559253852271976E-2</v>
      </c>
      <c r="Q135" s="2402">
        <v>7.7482659639042079E-2</v>
      </c>
      <c r="R135" s="2402">
        <v>9.031771278531206E-2</v>
      </c>
      <c r="S135" s="2402">
        <v>0.10415131807922773</v>
      </c>
      <c r="T135" s="2402">
        <v>0.11799899113412919</v>
      </c>
      <c r="U135" s="2402">
        <v>0.13457420479084992</v>
      </c>
      <c r="V135" s="2402">
        <v>0.14999004137041977</v>
      </c>
      <c r="W135" s="2402">
        <v>0.15457244701069117</v>
      </c>
      <c r="X135" s="731"/>
      <c r="Y135" s="731"/>
      <c r="Z135" s="731"/>
      <c r="AA135" s="731"/>
      <c r="AB135" s="731"/>
      <c r="AC135" s="1181"/>
      <c r="AD135" s="1181"/>
      <c r="AE135" s="1181"/>
      <c r="AF135" s="1181"/>
    </row>
    <row r="136" spans="1:32">
      <c r="A136" s="731" t="s">
        <v>152</v>
      </c>
      <c r="B136" s="1514" t="s">
        <v>972</v>
      </c>
      <c r="C136" s="1514"/>
      <c r="D136" s="1514"/>
      <c r="E136" s="1514"/>
      <c r="F136" s="1514">
        <v>-2.4368349009626911E-2</v>
      </c>
      <c r="G136" s="1514">
        <v>1.1682550178458401E-2</v>
      </c>
      <c r="H136" s="1514">
        <v>3.9837629891448741E-2</v>
      </c>
      <c r="I136" s="1514">
        <v>7.3199103359875339E-2</v>
      </c>
      <c r="J136" s="1514">
        <v>7.1813301572123275E-2</v>
      </c>
      <c r="K136" s="1514">
        <v>5.1990518147452251E-2</v>
      </c>
      <c r="L136" s="1514">
        <v>6.8428918410521844E-2</v>
      </c>
      <c r="M136" s="1514">
        <v>0.13547845897417959</v>
      </c>
      <c r="N136" s="1514">
        <v>0.11753171306316995</v>
      </c>
      <c r="O136" s="1514">
        <v>9.9586075258512818E-2</v>
      </c>
      <c r="P136" s="2402">
        <v>0.14426905468959175</v>
      </c>
      <c r="Q136" s="2402">
        <v>0.14049974374476998</v>
      </c>
      <c r="R136" s="2402">
        <v>0.15445684032919418</v>
      </c>
      <c r="S136" s="2402">
        <v>0.17380193897252513</v>
      </c>
      <c r="T136" s="2402">
        <v>0.17835526611301511</v>
      </c>
      <c r="U136" s="2402">
        <v>0.1470218926985884</v>
      </c>
      <c r="V136" s="2402">
        <v>0.1245326159663671</v>
      </c>
      <c r="W136" s="2402">
        <v>0.14980990880372824</v>
      </c>
      <c r="X136" s="731"/>
      <c r="Y136" s="731"/>
      <c r="Z136" s="731"/>
      <c r="AA136" s="731"/>
      <c r="AB136" s="731"/>
      <c r="AC136" s="1181"/>
      <c r="AD136" s="1181"/>
      <c r="AE136" s="1181"/>
      <c r="AF136" s="1181"/>
    </row>
    <row r="137" spans="1:32">
      <c r="A137" s="731"/>
      <c r="B137" s="731"/>
      <c r="C137" s="731"/>
      <c r="D137" s="1116"/>
      <c r="E137" s="1116"/>
      <c r="F137" s="1116"/>
      <c r="G137" s="1116"/>
      <c r="H137" s="1116"/>
      <c r="I137" s="1116"/>
      <c r="J137" s="1116"/>
      <c r="K137" s="1116"/>
      <c r="L137" s="1116"/>
      <c r="M137" s="1116"/>
      <c r="N137" s="1116"/>
      <c r="O137" s="1116"/>
      <c r="P137" s="731"/>
      <c r="Q137" s="731"/>
      <c r="R137" s="731"/>
      <c r="S137" s="731"/>
      <c r="T137" s="731"/>
      <c r="U137" s="731"/>
      <c r="V137" s="731"/>
      <c r="W137" s="731"/>
      <c r="X137" s="731"/>
      <c r="Y137" s="731"/>
      <c r="Z137" s="731"/>
      <c r="AA137" s="731"/>
      <c r="AB137" s="731"/>
      <c r="AC137" s="1181"/>
      <c r="AD137" s="1181"/>
      <c r="AE137" s="1181"/>
      <c r="AF137" s="1181"/>
    </row>
    <row r="138" spans="1:32">
      <c r="A138" s="1342" t="s">
        <v>567</v>
      </c>
      <c r="B138" s="1343">
        <v>2004</v>
      </c>
      <c r="C138" s="1343">
        <v>2005</v>
      </c>
      <c r="D138" s="1343">
        <v>2006</v>
      </c>
      <c r="E138" s="1343">
        <v>2007</v>
      </c>
      <c r="F138" s="1343">
        <v>2008</v>
      </c>
      <c r="G138" s="1343">
        <v>2009</v>
      </c>
      <c r="H138" s="1343">
        <v>2010</v>
      </c>
      <c r="I138" s="1343">
        <v>2011</v>
      </c>
      <c r="J138" s="1343">
        <v>2012</v>
      </c>
      <c r="K138" s="1343">
        <v>2013</v>
      </c>
      <c r="L138" s="1343">
        <v>2014</v>
      </c>
      <c r="M138" s="1343">
        <v>2015</v>
      </c>
      <c r="N138" s="1343">
        <v>2016</v>
      </c>
      <c r="O138" s="1343">
        <v>2017</v>
      </c>
      <c r="P138" s="1344">
        <v>2018</v>
      </c>
      <c r="Q138" s="1344">
        <v>2019</v>
      </c>
      <c r="R138" s="1344">
        <v>2020</v>
      </c>
      <c r="S138" s="1344">
        <v>2021</v>
      </c>
      <c r="T138" s="1344">
        <v>2022</v>
      </c>
      <c r="U138" s="1344">
        <v>2023</v>
      </c>
      <c r="V138" s="1344">
        <v>2024</v>
      </c>
      <c r="W138" s="1344">
        <v>2025</v>
      </c>
      <c r="X138" s="731"/>
      <c r="Y138" s="731"/>
      <c r="Z138" s="731"/>
      <c r="AA138" s="731"/>
      <c r="AB138" s="731"/>
      <c r="AC138" s="1181"/>
      <c r="AD138" s="1181"/>
      <c r="AE138" s="1181"/>
      <c r="AF138" s="1181"/>
    </row>
    <row r="139" spans="1:32">
      <c r="A139" s="1240" t="s">
        <v>568</v>
      </c>
      <c r="B139" s="1241"/>
      <c r="C139" s="1241"/>
      <c r="D139" s="1241"/>
      <c r="E139" s="1710">
        <v>26.31</v>
      </c>
      <c r="F139" s="1710">
        <v>23.77</v>
      </c>
      <c r="G139" s="1710">
        <v>3.47</v>
      </c>
      <c r="H139" s="1710">
        <v>4.96</v>
      </c>
      <c r="I139" s="1710">
        <v>7.92</v>
      </c>
      <c r="J139" s="1710">
        <v>7.33</v>
      </c>
      <c r="K139" s="1710">
        <v>8.9</v>
      </c>
      <c r="L139" s="1710">
        <v>9.8000000000000007</v>
      </c>
      <c r="M139" s="1710">
        <v>12.35</v>
      </c>
      <c r="N139" s="1710">
        <v>15.69</v>
      </c>
      <c r="O139" s="1710">
        <v>17.010000000000002</v>
      </c>
      <c r="P139" s="1242">
        <v>18.399994</v>
      </c>
      <c r="Q139" s="1242">
        <v>18.399994</v>
      </c>
      <c r="R139" s="1242">
        <v>18.399994</v>
      </c>
      <c r="S139" s="1242">
        <v>18.399994</v>
      </c>
      <c r="T139" s="1242">
        <v>18.399994</v>
      </c>
      <c r="U139" s="1242">
        <v>18.399994</v>
      </c>
      <c r="V139" s="1242">
        <v>18.399994</v>
      </c>
      <c r="W139" s="1242">
        <v>18.399994</v>
      </c>
      <c r="X139" s="731"/>
      <c r="Y139" s="731"/>
      <c r="Z139" s="731"/>
      <c r="AA139" s="731"/>
      <c r="AB139" s="731"/>
      <c r="AC139" s="1181"/>
      <c r="AD139" s="1181"/>
      <c r="AE139" s="1181"/>
      <c r="AF139" s="1181"/>
    </row>
    <row r="140" spans="1:32">
      <c r="A140" s="1243" t="s">
        <v>279</v>
      </c>
      <c r="B140" s="1116"/>
      <c r="C140" s="1116"/>
      <c r="D140" s="1116"/>
      <c r="E140" s="1116">
        <v>8919.09</v>
      </c>
      <c r="F140" s="1116">
        <v>8058.03</v>
      </c>
      <c r="G140" s="1116">
        <v>1174.8830100000002</v>
      </c>
      <c r="H140" s="1116">
        <v>1679.3716800000002</v>
      </c>
      <c r="I140" s="1116">
        <v>2681.5773600000002</v>
      </c>
      <c r="J140" s="1116">
        <v>2478.73479</v>
      </c>
      <c r="K140" s="1116">
        <v>3000.1989000000003</v>
      </c>
      <c r="L140" s="1116">
        <v>3307.0590000000002</v>
      </c>
      <c r="M140" s="1116">
        <v>4181.4629999999997</v>
      </c>
      <c r="N140" s="1116">
        <v>5328.4181399999998</v>
      </c>
      <c r="O140" s="1116">
        <v>5750.3835900000013</v>
      </c>
      <c r="P140" s="1238">
        <v>6494.8484099939578</v>
      </c>
      <c r="Q140" s="1238">
        <v>6687.8067615127356</v>
      </c>
      <c r="R140" s="1238">
        <v>6687.8067615127356</v>
      </c>
      <c r="S140" s="1238">
        <v>6687.8067615127356</v>
      </c>
      <c r="T140" s="1238">
        <v>6687.8067615127356</v>
      </c>
      <c r="U140" s="1238">
        <v>6687.8067615127356</v>
      </c>
      <c r="V140" s="1238">
        <v>6687.8067615127356</v>
      </c>
      <c r="W140" s="1238">
        <v>6687.8067615127356</v>
      </c>
      <c r="X140" s="731"/>
      <c r="Y140" s="731"/>
      <c r="Z140" s="731"/>
      <c r="AA140" s="731"/>
      <c r="AB140" s="731"/>
      <c r="AC140" s="1181"/>
      <c r="AD140" s="1181"/>
      <c r="AE140" s="1181"/>
      <c r="AF140" s="1181"/>
    </row>
    <row r="141" spans="1:32">
      <c r="A141" s="1243" t="s">
        <v>569</v>
      </c>
      <c r="B141" s="1244"/>
      <c r="C141" s="1244"/>
      <c r="D141" s="1244"/>
      <c r="E141" s="1244">
        <v>8882.5400000000009</v>
      </c>
      <c r="F141" s="1244">
        <v>8584.4510000000009</v>
      </c>
      <c r="G141" s="1244">
        <v>2134.8230100000001</v>
      </c>
      <c r="H141" s="1244">
        <v>2445.4726800000003</v>
      </c>
      <c r="I141" s="1244">
        <v>3196.9593600000003</v>
      </c>
      <c r="J141" s="1244">
        <v>3314.8057899999999</v>
      </c>
      <c r="K141" s="1244">
        <v>4347.8348999999998</v>
      </c>
      <c r="L141" s="1244">
        <v>4845.5400000000009</v>
      </c>
      <c r="M141" s="1244">
        <v>6668.5469999999996</v>
      </c>
      <c r="N141" s="1244">
        <v>8047.4561400000002</v>
      </c>
      <c r="O141" s="1244">
        <v>8297.5115900000019</v>
      </c>
      <c r="P141" s="1245">
        <v>8745.4159668664397</v>
      </c>
      <c r="Q141" s="1245">
        <v>8681.0397417958739</v>
      </c>
      <c r="R141" s="1245">
        <v>8614.3041523880929</v>
      </c>
      <c r="S141" s="1245">
        <v>8474.0501935776429</v>
      </c>
      <c r="T141" s="1245">
        <v>8280.6014255822447</v>
      </c>
      <c r="U141" s="1245">
        <v>8344.3443337043136</v>
      </c>
      <c r="V141" s="1245">
        <v>8599.0384957709794</v>
      </c>
      <c r="W141" s="1245">
        <v>8874.7591871445784</v>
      </c>
      <c r="X141" s="731"/>
      <c r="Y141" s="731"/>
      <c r="Z141" s="731"/>
      <c r="AA141" s="731"/>
      <c r="AB141" s="731"/>
      <c r="AC141" s="1181"/>
      <c r="AD141" s="1181"/>
      <c r="AE141" s="1181"/>
      <c r="AF141" s="1181"/>
    </row>
    <row r="142" spans="1:32">
      <c r="A142" s="1243" t="s">
        <v>265</v>
      </c>
      <c r="B142" s="1236"/>
      <c r="C142" s="1246"/>
      <c r="D142" s="1246"/>
      <c r="E142" s="1246">
        <v>22.747921132358638</v>
      </c>
      <c r="F142" s="1246">
        <v>64.736032034507986</v>
      </c>
      <c r="G142" s="1246">
        <v>11.248224424633284</v>
      </c>
      <c r="H142" s="1246">
        <v>5.4058767433069619</v>
      </c>
      <c r="I142" s="1246">
        <v>5.2188268019628401</v>
      </c>
      <c r="J142" s="1246">
        <v>6.2189261358413113</v>
      </c>
      <c r="K142" s="1246">
        <v>6.6702896960975488</v>
      </c>
      <c r="L142" s="1246">
        <v>6.3237888912090225</v>
      </c>
      <c r="M142" s="1246">
        <v>6.109385492773872</v>
      </c>
      <c r="N142" s="1246">
        <v>6.1798309032393313</v>
      </c>
      <c r="O142" s="1246">
        <v>5.7418728755619046</v>
      </c>
      <c r="P142" s="1247">
        <v>4.9717489061199229</v>
      </c>
      <c r="Q142" s="1247">
        <v>4.8765752028052507</v>
      </c>
      <c r="R142" s="1247">
        <v>4.4108266327978232</v>
      </c>
      <c r="S142" s="1247">
        <v>3.6865667529331527</v>
      </c>
      <c r="T142" s="1247">
        <v>3.3688268226830922</v>
      </c>
      <c r="U142" s="1247">
        <v>3.7473796442979896</v>
      </c>
      <c r="V142" s="1247">
        <v>4.114150663109946</v>
      </c>
      <c r="W142" s="1247">
        <v>3.3444250606486672</v>
      </c>
      <c r="X142" s="731"/>
      <c r="Y142" s="731"/>
      <c r="Z142" s="731"/>
      <c r="AA142" s="731"/>
      <c r="AB142" s="731"/>
      <c r="AC142" s="1181"/>
      <c r="AD142" s="1181"/>
      <c r="AE142" s="1181"/>
      <c r="AF142" s="1181"/>
    </row>
    <row r="143" spans="1:32">
      <c r="A143" s="1243" t="s">
        <v>570</v>
      </c>
      <c r="B143" s="1248"/>
      <c r="C143" s="1246"/>
      <c r="D143" s="1246"/>
      <c r="E143" s="1246">
        <v>44.872312166064653</v>
      </c>
      <c r="F143" s="1246" t="s">
        <v>36</v>
      </c>
      <c r="G143" s="1246" t="s">
        <v>36</v>
      </c>
      <c r="H143" s="1246">
        <v>17.123864915572263</v>
      </c>
      <c r="I143" s="1246">
        <v>18.845727136642534</v>
      </c>
      <c r="J143" s="1246">
        <v>19.577562692025154</v>
      </c>
      <c r="K143" s="1246">
        <v>41.126784098697854</v>
      </c>
      <c r="L143" s="1246">
        <v>24.496370424141858</v>
      </c>
      <c r="M143" s="1246">
        <v>13.180838991545793</v>
      </c>
      <c r="N143" s="1246">
        <v>26.717701796082917</v>
      </c>
      <c r="O143" s="1246">
        <v>20.255817752071238</v>
      </c>
      <c r="P143" s="1221">
        <v>12.423154116782873</v>
      </c>
      <c r="Q143" s="1247">
        <v>11.671776941400704</v>
      </c>
      <c r="R143" s="1247">
        <v>9.8680134901445289</v>
      </c>
      <c r="S143" s="1247">
        <v>8.2560194786110195</v>
      </c>
      <c r="T143" s="1247">
        <v>7.7801797355858158</v>
      </c>
      <c r="U143" s="1247">
        <v>9.4093551028702507</v>
      </c>
      <c r="V143" s="1247">
        <v>11.204628049910815</v>
      </c>
      <c r="W143" s="1247">
        <v>8.5725153081642596</v>
      </c>
      <c r="X143" s="731"/>
      <c r="Y143" s="731"/>
      <c r="Z143" s="731"/>
      <c r="AA143" s="731"/>
      <c r="AB143" s="731"/>
      <c r="AC143" s="1181"/>
      <c r="AD143" s="1181"/>
      <c r="AE143" s="1181"/>
      <c r="AF143" s="1181"/>
    </row>
    <row r="144" spans="1:32">
      <c r="A144" s="1243" t="s">
        <v>267</v>
      </c>
      <c r="B144" s="1236"/>
      <c r="C144" s="1246"/>
      <c r="D144" s="1246"/>
      <c r="E144" s="1246">
        <v>5.3360435063536515</v>
      </c>
      <c r="F144" s="1246">
        <v>4.9600666264101321</v>
      </c>
      <c r="G144" s="1246">
        <v>0.74586228043278302</v>
      </c>
      <c r="H144" s="1246">
        <v>0.87953262584771807</v>
      </c>
      <c r="I144" s="1246">
        <v>1.3727560501396008</v>
      </c>
      <c r="J144" s="1246">
        <v>1.2241971439916555</v>
      </c>
      <c r="K144" s="1246">
        <v>1.4282465104300308</v>
      </c>
      <c r="L144" s="1246">
        <v>1.5930324978612223</v>
      </c>
      <c r="M144" s="1246">
        <v>1.5983666432856729</v>
      </c>
      <c r="N144" s="1246">
        <v>2.0133092193484692</v>
      </c>
      <c r="O144" s="1246">
        <v>1.6896394079898456</v>
      </c>
      <c r="P144" s="2301">
        <v>1.9038558625009177</v>
      </c>
      <c r="Q144" s="2301">
        <v>1.8085354868006116</v>
      </c>
      <c r="R144" s="2301">
        <v>1.7142813016548972</v>
      </c>
      <c r="S144" s="2301">
        <v>1.6137570635533502</v>
      </c>
      <c r="T144" s="2301">
        <v>1.5192223891044287</v>
      </c>
      <c r="U144" s="2301">
        <v>1.5192223891044287</v>
      </c>
      <c r="V144" s="2301">
        <v>1.519222389104429</v>
      </c>
      <c r="W144" s="2301">
        <v>1.519222389104429</v>
      </c>
      <c r="X144" s="731"/>
      <c r="Y144" s="731"/>
      <c r="Z144" s="731"/>
      <c r="AA144" s="731"/>
      <c r="AB144" s="731"/>
      <c r="AC144" s="1181"/>
      <c r="AD144" s="1181"/>
      <c r="AE144" s="1181"/>
      <c r="AF144" s="1181"/>
    </row>
    <row r="145" spans="1:32">
      <c r="A145" s="731" t="s">
        <v>660</v>
      </c>
      <c r="B145" s="1249"/>
      <c r="C145" s="1117"/>
      <c r="D145" s="1117"/>
      <c r="E145" s="1117">
        <v>716.37029077037425</v>
      </c>
      <c r="F145" s="1117">
        <v>628.50358939163448</v>
      </c>
      <c r="G145" s="1117">
        <v>133.07778816993252</v>
      </c>
      <c r="H145" s="1117">
        <v>141.56653608728857</v>
      </c>
      <c r="I145" s="1117">
        <v>183.03003343064401</v>
      </c>
      <c r="J145" s="1117">
        <v>234.16569041859208</v>
      </c>
      <c r="K145" s="1117">
        <v>252.43510842841943</v>
      </c>
      <c r="L145" s="1117">
        <v>232.47359880392881</v>
      </c>
      <c r="M145" s="1117">
        <v>266.52190458495249</v>
      </c>
      <c r="N145" s="1117">
        <v>300.6553362336</v>
      </c>
      <c r="O145" s="1117">
        <v>321.94334175212663</v>
      </c>
      <c r="P145" s="1224">
        <v>293.38421428004693</v>
      </c>
      <c r="Q145" s="1224">
        <v>277.35673544152144</v>
      </c>
      <c r="R145" s="1224">
        <v>269.82799260597517</v>
      </c>
      <c r="S145" s="1224">
        <v>257.70367276934741</v>
      </c>
      <c r="T145" s="1224">
        <v>247.36809187387254</v>
      </c>
      <c r="U145" s="1224">
        <v>244.86473157450789</v>
      </c>
      <c r="V145" s="1224">
        <v>247.87694513334853</v>
      </c>
      <c r="W145" s="1224">
        <v>251.30147722739827</v>
      </c>
      <c r="X145" s="731"/>
      <c r="Y145" s="731"/>
      <c r="Z145" s="731"/>
      <c r="AA145" s="731"/>
      <c r="AB145" s="731"/>
      <c r="AC145" s="1181"/>
      <c r="AD145" s="1181"/>
      <c r="AE145" s="1181"/>
      <c r="AF145" s="1181"/>
    </row>
    <row r="146" spans="1:32">
      <c r="A146" s="731" t="s">
        <v>661</v>
      </c>
      <c r="B146" s="460"/>
      <c r="C146" s="1118"/>
      <c r="D146" s="1118"/>
      <c r="E146" s="1118">
        <v>350.13210692589155</v>
      </c>
      <c r="F146" s="1118">
        <v>358.75540235837349</v>
      </c>
      <c r="G146" s="1118">
        <v>57.291970109321731</v>
      </c>
      <c r="H146" s="1118">
        <v>79.504962421256081</v>
      </c>
      <c r="I146" s="1118">
        <v>112.40559689900142</v>
      </c>
      <c r="J146" s="1118">
        <v>128.53534439487981</v>
      </c>
      <c r="K146" s="1118">
        <v>125.37129795302681</v>
      </c>
      <c r="L146" s="1118">
        <v>102.7416797648512</v>
      </c>
      <c r="M146" s="1117">
        <v>72.769571628548334</v>
      </c>
      <c r="N146" s="1117">
        <v>84.866521864566366</v>
      </c>
      <c r="O146" s="1117">
        <v>77.174309905121248</v>
      </c>
      <c r="P146" s="1224">
        <v>90.663011628015198</v>
      </c>
      <c r="Q146" s="1224">
        <v>84.355452525931383</v>
      </c>
      <c r="R146" s="1224">
        <v>81.808487948620709</v>
      </c>
      <c r="S146" s="1224">
        <v>78.472270204067087</v>
      </c>
      <c r="T146" s="1224">
        <v>74.634741816282073</v>
      </c>
      <c r="U146" s="1224">
        <v>73.942382656902168</v>
      </c>
      <c r="V146" s="1224">
        <v>75.459698044927066</v>
      </c>
      <c r="W146" s="1224">
        <v>77.156804549971611</v>
      </c>
      <c r="X146" s="731"/>
      <c r="Y146" s="731"/>
      <c r="Z146" s="731"/>
      <c r="AA146" s="731"/>
      <c r="AB146" s="731"/>
      <c r="AC146" s="1181"/>
      <c r="AD146" s="1181"/>
      <c r="AE146" s="1181"/>
      <c r="AF146" s="1181"/>
    </row>
    <row r="147" spans="1:32">
      <c r="A147" s="1243" t="s">
        <v>571</v>
      </c>
      <c r="B147" s="1250"/>
      <c r="C147" s="1250"/>
      <c r="D147" s="1250"/>
      <c r="E147" s="1250">
        <v>-4.9370059053109719E-2</v>
      </c>
      <c r="F147" s="1250">
        <v>-5.0124410060523476E-2</v>
      </c>
      <c r="G147" s="1250">
        <v>-0.3513558341438609</v>
      </c>
      <c r="H147" s="1250">
        <v>0.11052347863815346</v>
      </c>
      <c r="I147" s="1250">
        <v>-5.848953319027117E-2</v>
      </c>
      <c r="J147" s="1250">
        <v>-7.6565741831541384E-2</v>
      </c>
      <c r="K147" s="1250">
        <v>-0.10377552768251461</v>
      </c>
      <c r="L147" s="1250">
        <v>-2.9081970415405452E-2</v>
      </c>
      <c r="M147" s="1250">
        <v>-3.5030146147412948E-2</v>
      </c>
      <c r="N147" s="1250">
        <v>5.4159347937359957E-2</v>
      </c>
      <c r="O147" s="1250">
        <v>-5.3719894536635518E-3</v>
      </c>
      <c r="P147" s="1251">
        <v>7.0970739989132892E-2</v>
      </c>
      <c r="Q147" s="1251">
        <v>8.1316550297160506E-2</v>
      </c>
      <c r="R147" s="1251">
        <v>8.0914958801996742E-2</v>
      </c>
      <c r="S147" s="1251">
        <v>0.10575821426904766</v>
      </c>
      <c r="T147" s="1251">
        <v>0.11889780623399103</v>
      </c>
      <c r="U147" s="1251">
        <v>9.6745996517560356E-2</v>
      </c>
      <c r="V147" s="1251">
        <v>5.1165473565290116E-2</v>
      </c>
      <c r="W147" s="1251">
        <v>7.5424505721687782E-2</v>
      </c>
      <c r="X147" s="731"/>
      <c r="Y147" s="731"/>
      <c r="Z147" s="731"/>
      <c r="AA147" s="731"/>
      <c r="AB147" s="731"/>
      <c r="AC147" s="1181"/>
      <c r="AD147" s="1181"/>
      <c r="AE147" s="1181"/>
      <c r="AF147" s="1181"/>
    </row>
    <row r="148" spans="1:32">
      <c r="A148" s="1243" t="s">
        <v>288</v>
      </c>
      <c r="B148" s="1163"/>
      <c r="C148" s="1163"/>
      <c r="D148" s="1163"/>
      <c r="E148" s="1163">
        <v>6.7270999619916385E-3</v>
      </c>
      <c r="F148" s="1163">
        <v>0</v>
      </c>
      <c r="G148" s="1163">
        <v>0</v>
      </c>
      <c r="H148" s="1163">
        <v>5.5262096774193553E-2</v>
      </c>
      <c r="I148" s="1163">
        <v>3.3825757575757572E-2</v>
      </c>
      <c r="J148" s="1163">
        <v>4.3839427012278304E-2</v>
      </c>
      <c r="K148" s="1163">
        <v>3.003393258426966E-2</v>
      </c>
      <c r="L148" s="1163">
        <v>3.6683673469387751E-2</v>
      </c>
      <c r="M148" s="1163">
        <v>1.6289519419735474E-2</v>
      </c>
      <c r="N148" s="1163">
        <v>9.9974043305346618E-3</v>
      </c>
      <c r="O148" s="1163">
        <v>1.2169312169312168E-2</v>
      </c>
      <c r="P148" s="1164">
        <v>3.2337650679813618E-2</v>
      </c>
      <c r="Q148" s="1164">
        <v>4.2838378638513981E-2</v>
      </c>
      <c r="R148" s="1164">
        <v>7.0936262977255776E-2</v>
      </c>
      <c r="S148" s="1164">
        <v>8.4786621665985565E-2</v>
      </c>
      <c r="T148" s="1164">
        <v>8.9972214497598985E-2</v>
      </c>
      <c r="U148" s="1164">
        <v>0.10627720912509271</v>
      </c>
      <c r="V148" s="1164">
        <v>8.9248834994389625E-2</v>
      </c>
      <c r="W148" s="1164">
        <v>0.11665187684735001</v>
      </c>
      <c r="X148" s="731"/>
      <c r="Y148" s="731"/>
      <c r="Z148" s="731"/>
      <c r="AA148" s="731"/>
      <c r="AB148" s="731"/>
      <c r="AC148" s="1181"/>
      <c r="AD148" s="1181"/>
      <c r="AE148" s="1181"/>
      <c r="AF148" s="1181"/>
    </row>
    <row r="149" spans="1:32">
      <c r="A149" s="1342" t="s">
        <v>1139</v>
      </c>
      <c r="B149" s="1343"/>
      <c r="C149" s="1343"/>
      <c r="D149" s="1343"/>
      <c r="E149" s="1343"/>
      <c r="F149" s="1343"/>
      <c r="G149" s="1343"/>
      <c r="H149" s="1343"/>
      <c r="I149" s="1343"/>
      <c r="J149" s="1343"/>
      <c r="K149" s="2308"/>
      <c r="L149" s="1343"/>
      <c r="M149" s="1343"/>
      <c r="N149" s="1343"/>
      <c r="O149" s="1343"/>
      <c r="P149" s="1344"/>
      <c r="Q149" s="1344"/>
      <c r="R149" s="1344"/>
      <c r="S149" s="1344"/>
      <c r="T149" s="1344"/>
      <c r="U149" s="1344"/>
      <c r="V149" s="1344"/>
      <c r="W149" s="1344"/>
      <c r="X149" s="731"/>
      <c r="Y149" s="731"/>
      <c r="Z149" s="731"/>
      <c r="AA149" s="731"/>
      <c r="AB149" s="731"/>
      <c r="AC149" s="1181"/>
      <c r="AD149" s="1181"/>
      <c r="AE149" s="1181"/>
      <c r="AF149" s="1181"/>
    </row>
    <row r="150" spans="1:32">
      <c r="A150" s="1240" t="s">
        <v>572</v>
      </c>
      <c r="B150" s="1561"/>
      <c r="C150" s="1561"/>
      <c r="D150" s="1561"/>
      <c r="E150" s="228">
        <v>26.31</v>
      </c>
      <c r="F150" s="228">
        <v>23.77</v>
      </c>
      <c r="G150" s="228">
        <v>3.47</v>
      </c>
      <c r="H150" s="228">
        <v>4.96</v>
      </c>
      <c r="I150" s="228">
        <v>7.92</v>
      </c>
      <c r="J150" s="228">
        <v>7.33</v>
      </c>
      <c r="K150" s="228">
        <v>8.9</v>
      </c>
      <c r="L150" s="228">
        <v>9.8000000000000007</v>
      </c>
      <c r="M150" s="228">
        <v>12.35</v>
      </c>
      <c r="N150" s="228">
        <v>15.69</v>
      </c>
      <c r="O150" s="228">
        <v>17.010000000000002</v>
      </c>
      <c r="P150" s="1568">
        <v>16.399999999999999</v>
      </c>
      <c r="Q150" s="1568">
        <v>16.399999999999999</v>
      </c>
      <c r="R150" s="1568">
        <v>16.399999999999999</v>
      </c>
      <c r="S150" s="1568">
        <v>16.399999999999999</v>
      </c>
      <c r="T150" s="1568">
        <v>16.399999999999999</v>
      </c>
      <c r="U150" s="1568">
        <v>16.399999999999999</v>
      </c>
      <c r="V150" s="1568">
        <v>16.399999999999999</v>
      </c>
      <c r="W150" s="1568">
        <v>16.399999999999999</v>
      </c>
      <c r="X150" s="731"/>
      <c r="Y150" s="731"/>
      <c r="Z150" s="731"/>
      <c r="AA150" s="731"/>
      <c r="AB150" s="731"/>
      <c r="AC150" s="1181"/>
      <c r="AD150" s="1181"/>
      <c r="AE150" s="1181"/>
      <c r="AF150" s="1181"/>
    </row>
    <row r="151" spans="1:32">
      <c r="A151" s="1243" t="s">
        <v>279</v>
      </c>
      <c r="B151" s="1562"/>
      <c r="C151" s="1562"/>
      <c r="D151" s="1562"/>
      <c r="E151" s="229">
        <v>8919.09</v>
      </c>
      <c r="F151" s="229">
        <v>8058.03</v>
      </c>
      <c r="G151" s="229">
        <v>1174.8830100000002</v>
      </c>
      <c r="H151" s="229">
        <v>1679.3716800000002</v>
      </c>
      <c r="I151" s="229">
        <v>2681.5773600000002</v>
      </c>
      <c r="J151" s="229">
        <v>2478.73479</v>
      </c>
      <c r="K151" s="229">
        <v>3000.1989000000003</v>
      </c>
      <c r="L151" s="229">
        <v>3307.0590000000002</v>
      </c>
      <c r="M151" s="229">
        <v>4181.4629999999997</v>
      </c>
      <c r="N151" s="229">
        <v>5328.4181399999998</v>
      </c>
      <c r="O151" s="229">
        <v>5750.3835900000013</v>
      </c>
      <c r="P151" s="1569">
        <v>5788.8885139799995</v>
      </c>
      <c r="Q151" s="1569">
        <v>5960.8731877199998</v>
      </c>
      <c r="R151" s="1569">
        <v>5960.8731877199998</v>
      </c>
      <c r="S151" s="1569">
        <v>5960.8731877199998</v>
      </c>
      <c r="T151" s="1569">
        <v>5960.8731877199998</v>
      </c>
      <c r="U151" s="1569">
        <v>5960.8731877199998</v>
      </c>
      <c r="V151" s="1569">
        <v>5960.8731877199998</v>
      </c>
      <c r="W151" s="1569">
        <v>5960.8731877199998</v>
      </c>
      <c r="X151" s="731"/>
      <c r="Y151" s="731"/>
      <c r="Z151" s="731"/>
      <c r="AA151" s="731"/>
      <c r="AB151" s="731"/>
      <c r="AC151" s="1181"/>
      <c r="AD151" s="1181"/>
      <c r="AE151" s="1181"/>
      <c r="AF151" s="1181"/>
    </row>
    <row r="152" spans="1:32">
      <c r="A152" s="1243" t="s">
        <v>569</v>
      </c>
      <c r="B152" s="1562"/>
      <c r="C152" s="1562"/>
      <c r="D152" s="1562"/>
      <c r="E152" s="229">
        <v>8882.5400000000009</v>
      </c>
      <c r="F152" s="229">
        <v>8584.4510000000009</v>
      </c>
      <c r="G152" s="229">
        <v>2134.8230100000001</v>
      </c>
      <c r="H152" s="229">
        <v>2445.4726800000003</v>
      </c>
      <c r="I152" s="229">
        <v>3196.9593600000003</v>
      </c>
      <c r="J152" s="229">
        <v>3314.8057899999999</v>
      </c>
      <c r="K152" s="229">
        <v>4347.8348999999998</v>
      </c>
      <c r="L152" s="229">
        <v>4845.5400000000009</v>
      </c>
      <c r="M152" s="229">
        <v>6668.5469999999996</v>
      </c>
      <c r="N152" s="229">
        <v>8047.4561400000002</v>
      </c>
      <c r="O152" s="229">
        <v>8297.5115900000019</v>
      </c>
      <c r="P152" s="1569">
        <v>8039.4560708524823</v>
      </c>
      <c r="Q152" s="1569">
        <v>7954.106168003138</v>
      </c>
      <c r="R152" s="1569">
        <v>7887.3705785953571</v>
      </c>
      <c r="S152" s="1569">
        <v>7747.116619784907</v>
      </c>
      <c r="T152" s="1569">
        <v>7553.6678517895079</v>
      </c>
      <c r="U152" s="1569">
        <v>7617.4107599115778</v>
      </c>
      <c r="V152" s="1569">
        <v>7872.1049219782435</v>
      </c>
      <c r="W152" s="1569">
        <v>8147.8256133518425</v>
      </c>
      <c r="X152" s="731"/>
      <c r="Y152" s="731"/>
      <c r="Z152" s="731"/>
      <c r="AA152" s="731"/>
      <c r="AB152" s="731"/>
      <c r="AC152" s="1181"/>
      <c r="AD152" s="1181"/>
      <c r="AE152" s="1181"/>
      <c r="AF152" s="1181"/>
    </row>
    <row r="153" spans="1:32">
      <c r="A153" s="1243" t="s">
        <v>265</v>
      </c>
      <c r="B153" s="1246"/>
      <c r="C153" s="1246"/>
      <c r="D153" s="1246"/>
      <c r="E153" s="230">
        <v>22.747921132358638</v>
      </c>
      <c r="F153" s="230">
        <v>64.736032034507986</v>
      </c>
      <c r="G153" s="230">
        <v>11.248224424633284</v>
      </c>
      <c r="H153" s="230">
        <v>5.4058767433069619</v>
      </c>
      <c r="I153" s="230">
        <v>5.2188268019628401</v>
      </c>
      <c r="J153" s="230">
        <v>6.2189261358413113</v>
      </c>
      <c r="K153" s="230">
        <v>6.6702896960975488</v>
      </c>
      <c r="L153" s="230">
        <v>6.3237888912090225</v>
      </c>
      <c r="M153" s="230">
        <v>6.109385492773872</v>
      </c>
      <c r="N153" s="230">
        <v>6.1798309032393313</v>
      </c>
      <c r="O153" s="230">
        <v>5.7418728755619046</v>
      </c>
      <c r="P153" s="1247">
        <v>4.570412325439297</v>
      </c>
      <c r="Q153" s="1247">
        <v>4.468220173283072</v>
      </c>
      <c r="R153" s="1247">
        <v>4.0386110816820651</v>
      </c>
      <c r="S153" s="1247">
        <v>3.370320202167354</v>
      </c>
      <c r="T153" s="1247">
        <v>3.0730858256419675</v>
      </c>
      <c r="U153" s="1247">
        <v>3.4209194734030071</v>
      </c>
      <c r="V153" s="1247">
        <v>3.7663543081887414</v>
      </c>
      <c r="W153" s="1247">
        <v>3.0704824318570068</v>
      </c>
      <c r="X153" s="731"/>
      <c r="Y153" s="731"/>
      <c r="Z153" s="731"/>
      <c r="AA153" s="731"/>
      <c r="AB153" s="731"/>
      <c r="AC153" s="1181"/>
      <c r="AD153" s="1181"/>
      <c r="AE153" s="1181"/>
      <c r="AF153" s="1181"/>
    </row>
    <row r="154" spans="1:32">
      <c r="A154" s="1243" t="s">
        <v>570</v>
      </c>
      <c r="B154" s="1246"/>
      <c r="C154" s="1246"/>
      <c r="D154" s="1246"/>
      <c r="E154" s="230">
        <v>44.872312166064653</v>
      </c>
      <c r="F154" s="230" t="s">
        <v>36</v>
      </c>
      <c r="G154" s="230" t="s">
        <v>36</v>
      </c>
      <c r="H154" s="230">
        <v>17.123864915572263</v>
      </c>
      <c r="I154" s="230">
        <v>18.845727136642534</v>
      </c>
      <c r="J154" s="230">
        <v>19.577562692025154</v>
      </c>
      <c r="K154" s="230">
        <v>41.126784098697854</v>
      </c>
      <c r="L154" s="230">
        <v>24.496370424141858</v>
      </c>
      <c r="M154" s="230">
        <v>13.180838991545793</v>
      </c>
      <c r="N154" s="230">
        <v>26.717701796082917</v>
      </c>
      <c r="O154" s="230">
        <v>20.255817752071238</v>
      </c>
      <c r="P154" s="1939">
        <v>11.072814888702633</v>
      </c>
      <c r="Q154" s="1939">
        <v>10.403108927044844</v>
      </c>
      <c r="R154" s="1247">
        <v>8.7954061962395365</v>
      </c>
      <c r="S154" s="1247">
        <v>7.3586284565756239</v>
      </c>
      <c r="T154" s="1247">
        <v>6.9345102864494077</v>
      </c>
      <c r="U154" s="1247">
        <v>8.3866018481893043</v>
      </c>
      <c r="V154" s="1247">
        <v>9.9867369532042982</v>
      </c>
      <c r="W154" s="1247">
        <v>7.64072265751249</v>
      </c>
      <c r="X154" s="731"/>
      <c r="Y154" s="731"/>
      <c r="Z154" s="731"/>
      <c r="AA154" s="731"/>
      <c r="AB154" s="731"/>
      <c r="AC154" s="1181"/>
      <c r="AD154" s="1181"/>
      <c r="AE154" s="1181"/>
      <c r="AF154" s="1181"/>
    </row>
    <row r="155" spans="1:32">
      <c r="A155" s="1243" t="s">
        <v>267</v>
      </c>
      <c r="B155" s="1246"/>
      <c r="C155" s="1246"/>
      <c r="D155" s="1246"/>
      <c r="E155" s="230">
        <v>5.3360435063536515</v>
      </c>
      <c r="F155" s="230">
        <v>4.9600666264101321</v>
      </c>
      <c r="G155" s="230">
        <v>0.74586228043278302</v>
      </c>
      <c r="H155" s="230">
        <v>0.87953262584771807</v>
      </c>
      <c r="I155" s="230">
        <v>1.3727560501396008</v>
      </c>
      <c r="J155" s="230">
        <v>1.2241971439916555</v>
      </c>
      <c r="K155" s="230">
        <v>1.4282465104300308</v>
      </c>
      <c r="L155" s="230">
        <v>1.5930324978612223</v>
      </c>
      <c r="M155" s="230">
        <v>1.5983666432856729</v>
      </c>
      <c r="N155" s="230">
        <v>2.0133092193484692</v>
      </c>
      <c r="O155" s="230">
        <v>1.6896394079898456</v>
      </c>
      <c r="P155" s="1247">
        <v>1.6969155612232836</v>
      </c>
      <c r="Q155" s="1247">
        <v>1.6119560682210023</v>
      </c>
      <c r="R155" s="1247">
        <v>1.5279468758055201</v>
      </c>
      <c r="S155" s="1247">
        <v>1.4383491561070587</v>
      </c>
      <c r="T155" s="1247">
        <v>1.3540899622745872</v>
      </c>
      <c r="U155" s="1247">
        <v>1.3540899622745872</v>
      </c>
      <c r="V155" s="1247">
        <v>1.3540899622745877</v>
      </c>
      <c r="W155" s="1247">
        <v>1.3540899622745877</v>
      </c>
      <c r="X155" s="731"/>
      <c r="Y155" s="731"/>
      <c r="Z155" s="731"/>
      <c r="AA155" s="731"/>
      <c r="AB155" s="731"/>
      <c r="AC155" s="1181"/>
      <c r="AD155" s="1181"/>
      <c r="AE155" s="1181"/>
      <c r="AF155" s="1181"/>
    </row>
    <row r="156" spans="1:32">
      <c r="A156" s="731" t="s">
        <v>660</v>
      </c>
      <c r="B156" s="1562"/>
      <c r="C156" s="1562"/>
      <c r="D156" s="1562"/>
      <c r="E156" s="229">
        <v>716.37029077037425</v>
      </c>
      <c r="F156" s="229">
        <v>628.50358939163448</v>
      </c>
      <c r="G156" s="229">
        <v>133.07778816993252</v>
      </c>
      <c r="H156" s="229">
        <v>141.56653608728857</v>
      </c>
      <c r="I156" s="229">
        <v>183.03003343064401</v>
      </c>
      <c r="J156" s="229">
        <v>234.16569041859208</v>
      </c>
      <c r="K156" s="229">
        <v>252.43510842841943</v>
      </c>
      <c r="L156" s="229">
        <v>232.47359880392881</v>
      </c>
      <c r="M156" s="229">
        <v>266.52190458495249</v>
      </c>
      <c r="N156" s="229">
        <v>300.6553362336</v>
      </c>
      <c r="O156" s="229">
        <v>321.94334175212663</v>
      </c>
      <c r="P156" s="1238">
        <v>251.64034037959891</v>
      </c>
      <c r="Q156" s="1238">
        <v>248.08409442754288</v>
      </c>
      <c r="R156" s="1238">
        <v>240.29725211645913</v>
      </c>
      <c r="S156" s="1238">
        <v>229.88114872171198</v>
      </c>
      <c r="T156" s="1238">
        <v>217.78744902146664</v>
      </c>
      <c r="U156" s="1238">
        <v>216.05087916036422</v>
      </c>
      <c r="V156" s="1238">
        <v>221.58554793343905</v>
      </c>
      <c r="W156" s="1238">
        <v>227.69398931887903</v>
      </c>
      <c r="X156" s="731"/>
      <c r="Y156" s="731"/>
      <c r="Z156" s="731"/>
      <c r="AA156" s="731"/>
      <c r="AB156" s="731"/>
      <c r="AC156" s="1181"/>
      <c r="AD156" s="1181"/>
      <c r="AE156" s="1181"/>
      <c r="AF156" s="1181"/>
    </row>
    <row r="157" spans="1:32">
      <c r="A157" s="731" t="s">
        <v>661</v>
      </c>
      <c r="B157" s="1562"/>
      <c r="C157" s="1562"/>
      <c r="D157" s="1562"/>
      <c r="E157" s="229">
        <v>350.13210692589155</v>
      </c>
      <c r="F157" s="229">
        <v>358.75540235837349</v>
      </c>
      <c r="G157" s="229">
        <v>57.291970109321731</v>
      </c>
      <c r="H157" s="229">
        <v>79.504962421256081</v>
      </c>
      <c r="I157" s="229">
        <v>112.40559689900142</v>
      </c>
      <c r="J157" s="229">
        <v>128.53534439487981</v>
      </c>
      <c r="K157" s="229">
        <v>125.37129795302681</v>
      </c>
      <c r="L157" s="229">
        <v>102.7416797648512</v>
      </c>
      <c r="M157" s="229">
        <v>72.769571628548334</v>
      </c>
      <c r="N157" s="229">
        <v>84.866521864566366</v>
      </c>
      <c r="O157" s="229">
        <v>77.174309905121248</v>
      </c>
      <c r="P157" s="1245">
        <v>81.174303348257709</v>
      </c>
      <c r="Q157" s="1245">
        <v>75.176998311376636</v>
      </c>
      <c r="R157" s="1245">
        <v>72.817349126199744</v>
      </c>
      <c r="S157" s="1245">
        <v>69.66095415809454</v>
      </c>
      <c r="T157" s="1245">
        <v>65.99619667317171</v>
      </c>
      <c r="U157" s="1245">
        <v>65.469963381928551</v>
      </c>
      <c r="V157" s="1245">
        <v>67.147135737405776</v>
      </c>
      <c r="W157" s="1245">
        <v>68.998178581478498</v>
      </c>
      <c r="X157" s="731"/>
      <c r="Y157" s="731"/>
      <c r="Z157" s="731"/>
      <c r="AA157" s="731"/>
      <c r="AB157" s="731"/>
      <c r="AC157" s="1181"/>
      <c r="AD157" s="1181"/>
      <c r="AE157" s="1181"/>
      <c r="AF157" s="1181"/>
    </row>
    <row r="158" spans="1:32">
      <c r="A158" s="1243" t="s">
        <v>571</v>
      </c>
      <c r="B158" s="1250"/>
      <c r="C158" s="1250"/>
      <c r="D158" s="1250"/>
      <c r="E158" s="653">
        <v>-4.9370059053109719E-2</v>
      </c>
      <c r="F158" s="653">
        <v>-5.0124410060523476E-2</v>
      </c>
      <c r="G158" s="653">
        <v>-0.3513558341438609</v>
      </c>
      <c r="H158" s="653">
        <v>0.11052347863815346</v>
      </c>
      <c r="I158" s="653">
        <v>-5.848953319027117E-2</v>
      </c>
      <c r="J158" s="653">
        <v>-7.6565741831541384E-2</v>
      </c>
      <c r="K158" s="653">
        <v>-0.10377552768251461</v>
      </c>
      <c r="L158" s="653">
        <v>-2.9081970415405452E-2</v>
      </c>
      <c r="M158" s="653">
        <v>-3.5030146147412948E-2</v>
      </c>
      <c r="N158" s="653">
        <v>5.4159347937359957E-2</v>
      </c>
      <c r="O158" s="653">
        <v>-5.3719894536635518E-3</v>
      </c>
      <c r="P158" s="1251">
        <v>7.9625682315585686E-2</v>
      </c>
      <c r="Q158" s="1251">
        <v>9.1233173022466557E-2</v>
      </c>
      <c r="R158" s="1251">
        <v>9.0782607101645554E-2</v>
      </c>
      <c r="S158" s="1251">
        <v>0.11865551878056044</v>
      </c>
      <c r="T158" s="1251">
        <v>0.1333974952023535</v>
      </c>
      <c r="U158" s="1251">
        <v>0.10854425338092265</v>
      </c>
      <c r="V158" s="1251">
        <v>5.7405146744420529E-2</v>
      </c>
      <c r="W158" s="1251">
        <v>8.4622588581220778E-2</v>
      </c>
      <c r="X158" s="731"/>
      <c r="Y158" s="731"/>
      <c r="Z158" s="731"/>
      <c r="AA158" s="731"/>
      <c r="AB158" s="731"/>
      <c r="AC158" s="1181"/>
      <c r="AD158" s="1181"/>
      <c r="AE158" s="1181"/>
      <c r="AF158" s="1181"/>
    </row>
    <row r="159" spans="1:32">
      <c r="A159" s="990" t="s">
        <v>288</v>
      </c>
      <c r="B159" s="990"/>
      <c r="C159" s="990"/>
      <c r="D159" s="990"/>
      <c r="E159" s="1166">
        <v>6.7270999619916385E-3</v>
      </c>
      <c r="F159" s="1166">
        <v>0</v>
      </c>
      <c r="G159" s="1166">
        <v>0</v>
      </c>
      <c r="H159" s="1166">
        <v>5.5262096774193553E-2</v>
      </c>
      <c r="I159" s="1166">
        <v>3.3825757575757572E-2</v>
      </c>
      <c r="J159" s="1166">
        <v>4.3839427012278304E-2</v>
      </c>
      <c r="K159" s="1166">
        <v>3.003393258426966E-2</v>
      </c>
      <c r="L159" s="1166">
        <v>3.6683673469387751E-2</v>
      </c>
      <c r="M159" s="1166">
        <v>1.6289519419735474E-2</v>
      </c>
      <c r="N159" s="1166">
        <v>9.9974043305346618E-3</v>
      </c>
      <c r="O159" s="1166">
        <v>1.2169312169312168E-2</v>
      </c>
      <c r="P159" s="1167">
        <v>3.6281254785528454E-2</v>
      </c>
      <c r="Q159" s="1167">
        <v>4.8062555482828381E-2</v>
      </c>
      <c r="R159" s="1167">
        <v>7.9587000802678567E-2</v>
      </c>
      <c r="S159" s="1167">
        <v>9.5126422556975884E-2</v>
      </c>
      <c r="T159" s="1167">
        <v>0.10094440286113014</v>
      </c>
      <c r="U159" s="1167">
        <v>0.1192378055023446</v>
      </c>
      <c r="V159" s="1167">
        <v>0.10013280660998532</v>
      </c>
      <c r="W159" s="1167">
        <v>0.13087767280975485</v>
      </c>
      <c r="X159" s="731"/>
      <c r="Y159" s="731"/>
      <c r="Z159" s="731"/>
      <c r="AA159" s="731"/>
      <c r="AB159" s="731"/>
      <c r="AC159" s="1181"/>
      <c r="AD159" s="1181"/>
      <c r="AE159" s="1181"/>
      <c r="AF159" s="1181"/>
    </row>
    <row r="160" spans="1:32">
      <c r="A160" s="1553" t="s">
        <v>201</v>
      </c>
      <c r="B160" s="1553"/>
      <c r="C160" s="1553"/>
      <c r="D160" s="1553"/>
      <c r="E160" s="1553"/>
      <c r="F160" s="1571"/>
      <c r="G160" s="1571"/>
      <c r="H160" s="1571"/>
      <c r="I160" s="1571"/>
      <c r="J160" s="1571"/>
      <c r="K160" s="1571"/>
      <c r="L160" s="1571"/>
      <c r="M160" s="1571"/>
      <c r="N160" s="1571"/>
      <c r="O160" s="1571"/>
      <c r="P160" s="1172"/>
      <c r="Q160" s="1172"/>
      <c r="R160" s="1172"/>
      <c r="S160" s="1172"/>
      <c r="T160" s="1172"/>
      <c r="U160" s="1172"/>
      <c r="V160" s="1553"/>
      <c r="W160" s="2391" t="s">
        <v>200</v>
      </c>
      <c r="X160" s="731"/>
      <c r="Y160" s="731"/>
      <c r="Z160" s="731"/>
      <c r="AA160" s="731"/>
      <c r="AB160" s="731"/>
      <c r="AC160" s="1181"/>
      <c r="AD160" s="1181"/>
      <c r="AE160" s="1181"/>
      <c r="AF160" s="1181"/>
    </row>
    <row r="161" spans="1:32">
      <c r="A161" s="1554"/>
      <c r="B161" s="1554"/>
      <c r="C161" s="1554"/>
      <c r="D161" s="1554"/>
      <c r="E161" s="1181"/>
      <c r="F161" s="1181"/>
      <c r="G161" s="1181"/>
      <c r="H161" s="1181"/>
      <c r="I161" s="1181"/>
      <c r="J161" s="1181"/>
      <c r="K161" s="1181"/>
      <c r="L161" s="1181"/>
      <c r="M161" s="1181"/>
      <c r="N161" s="1181"/>
      <c r="O161" s="1181"/>
      <c r="P161" s="1181"/>
      <c r="Q161" s="1181"/>
      <c r="R161" s="1181"/>
      <c r="S161" s="1181"/>
      <c r="T161" s="1181"/>
      <c r="U161" s="1181"/>
      <c r="V161" s="1181"/>
      <c r="W161" s="1181"/>
      <c r="X161" s="731"/>
      <c r="Y161" s="731"/>
      <c r="Z161" s="731"/>
      <c r="AA161" s="731"/>
      <c r="AB161" s="731"/>
      <c r="AC161" s="1181"/>
      <c r="AD161" s="1181"/>
      <c r="AE161" s="1181"/>
      <c r="AF161" s="1181"/>
    </row>
    <row r="162" spans="1:32">
      <c r="A162" s="1555" t="s">
        <v>558</v>
      </c>
      <c r="B162" s="1563"/>
      <c r="C162" s="1563"/>
      <c r="D162" s="1563"/>
      <c r="E162" s="1563"/>
      <c r="F162" s="1563"/>
      <c r="G162" s="1563"/>
      <c r="H162" s="1563"/>
      <c r="I162" s="1563"/>
      <c r="J162" s="1563"/>
      <c r="K162" s="1563"/>
      <c r="L162" s="1563"/>
      <c r="M162" s="1563"/>
      <c r="N162" s="1563"/>
      <c r="O162" s="1563"/>
      <c r="P162" s="1570"/>
      <c r="Q162" s="1570"/>
      <c r="R162" s="1570"/>
      <c r="S162" s="1570"/>
      <c r="T162" s="1570"/>
      <c r="U162" s="1570"/>
      <c r="V162" s="1570"/>
      <c r="W162" s="1570"/>
      <c r="X162" s="731"/>
      <c r="Y162" s="731"/>
      <c r="Z162" s="731"/>
      <c r="AA162" s="731"/>
      <c r="AB162" s="731"/>
      <c r="AC162" s="1181"/>
      <c r="AD162" s="1181"/>
      <c r="AE162" s="1181"/>
      <c r="AF162" s="1181"/>
    </row>
    <row r="163" spans="1:32" ht="12.75" hidden="1" customHeight="1" outlineLevel="1">
      <c r="A163" s="1556" t="s">
        <v>559</v>
      </c>
      <c r="B163" s="1564">
        <v>0</v>
      </c>
      <c r="C163" s="1564">
        <v>0</v>
      </c>
      <c r="D163" s="1564">
        <v>0</v>
      </c>
      <c r="E163" s="1564">
        <v>0</v>
      </c>
      <c r="F163" s="1564">
        <v>-1.0000000000009095</v>
      </c>
      <c r="G163" s="1564">
        <v>0</v>
      </c>
      <c r="H163" s="1564">
        <v>0</v>
      </c>
      <c r="I163" s="1564">
        <v>6.1999999998988642E-2</v>
      </c>
      <c r="J163" s="1564">
        <v>-0.10599999999885767</v>
      </c>
      <c r="K163" s="1564">
        <v>-9.0000000009240466E-3</v>
      </c>
      <c r="L163" s="1564">
        <v>0</v>
      </c>
      <c r="M163" s="1564">
        <v>0</v>
      </c>
      <c r="N163" s="1564">
        <v>0</v>
      </c>
      <c r="O163" s="1564">
        <v>0</v>
      </c>
      <c r="P163" s="1564">
        <v>0</v>
      </c>
      <c r="Q163" s="1564">
        <v>0</v>
      </c>
      <c r="R163" s="1564">
        <v>0</v>
      </c>
      <c r="S163" s="1564">
        <v>0</v>
      </c>
      <c r="T163" s="1564">
        <v>0</v>
      </c>
      <c r="U163" s="1564">
        <v>0</v>
      </c>
      <c r="V163" s="1564">
        <v>0</v>
      </c>
      <c r="W163" s="1564">
        <v>0</v>
      </c>
      <c r="X163" s="731"/>
      <c r="Y163" s="731"/>
      <c r="Z163" s="731"/>
      <c r="AA163" s="731"/>
      <c r="AB163" s="731"/>
      <c r="AC163" s="1181"/>
      <c r="AD163" s="1181"/>
      <c r="AE163" s="1181"/>
      <c r="AF163" s="1181"/>
    </row>
    <row r="164" spans="1:32" ht="12.75" hidden="1" customHeight="1" outlineLevel="1">
      <c r="A164" s="1557" t="s">
        <v>560</v>
      </c>
      <c r="B164" s="1565">
        <v>0</v>
      </c>
      <c r="C164" s="1565">
        <v>0</v>
      </c>
      <c r="D164" s="1565">
        <v>0</v>
      </c>
      <c r="E164" s="1565">
        <v>0</v>
      </c>
      <c r="F164" s="1565">
        <v>0</v>
      </c>
      <c r="G164" s="1565">
        <v>0</v>
      </c>
      <c r="H164" s="1565">
        <v>0</v>
      </c>
      <c r="I164" s="1565">
        <v>0</v>
      </c>
      <c r="J164" s="1565">
        <v>0</v>
      </c>
      <c r="K164" s="1565">
        <v>0</v>
      </c>
      <c r="L164" s="1565">
        <v>0</v>
      </c>
      <c r="M164" s="1565">
        <v>0</v>
      </c>
      <c r="N164" s="1565">
        <v>0</v>
      </c>
      <c r="O164" s="1565">
        <v>0</v>
      </c>
      <c r="P164" s="1565">
        <v>0</v>
      </c>
      <c r="Q164" s="1565">
        <v>0</v>
      </c>
      <c r="R164" s="1565">
        <v>0</v>
      </c>
      <c r="S164" s="1565">
        <v>0</v>
      </c>
      <c r="T164" s="1565">
        <v>0</v>
      </c>
      <c r="U164" s="1565">
        <v>0</v>
      </c>
      <c r="V164" s="1565">
        <v>0</v>
      </c>
      <c r="W164" s="1565">
        <v>0</v>
      </c>
      <c r="X164" s="731"/>
      <c r="Y164" s="731"/>
      <c r="Z164" s="731"/>
      <c r="AA164" s="731"/>
      <c r="AB164" s="731"/>
      <c r="AC164" s="1181"/>
      <c r="AD164" s="1181"/>
      <c r="AE164" s="1181"/>
      <c r="AF164" s="1181"/>
    </row>
    <row r="165" spans="1:32" ht="12.75" hidden="1" customHeight="1" outlineLevel="1">
      <c r="A165" s="1557" t="s">
        <v>561</v>
      </c>
      <c r="B165" s="1565">
        <v>0</v>
      </c>
      <c r="C165" s="1565">
        <v>0</v>
      </c>
      <c r="D165" s="1565">
        <v>0</v>
      </c>
      <c r="E165" s="1565">
        <v>0</v>
      </c>
      <c r="F165" s="1565">
        <v>0</v>
      </c>
      <c r="G165" s="1565">
        <v>0</v>
      </c>
      <c r="H165" s="1565">
        <v>0</v>
      </c>
      <c r="I165" s="1565">
        <v>0</v>
      </c>
      <c r="J165" s="1565">
        <v>0</v>
      </c>
      <c r="K165" s="1565">
        <v>0</v>
      </c>
      <c r="L165" s="1565">
        <v>0</v>
      </c>
      <c r="M165" s="1565">
        <v>0</v>
      </c>
      <c r="N165" s="1565">
        <v>0</v>
      </c>
      <c r="O165" s="1565">
        <v>0</v>
      </c>
      <c r="P165" s="1565">
        <v>0</v>
      </c>
      <c r="Q165" s="1565">
        <v>0</v>
      </c>
      <c r="R165" s="1565">
        <v>0</v>
      </c>
      <c r="S165" s="1565">
        <v>0</v>
      </c>
      <c r="T165" s="1565">
        <v>0</v>
      </c>
      <c r="U165" s="1565">
        <v>0</v>
      </c>
      <c r="V165" s="1565">
        <v>0</v>
      </c>
      <c r="W165" s="1565">
        <v>0</v>
      </c>
      <c r="X165" s="731"/>
      <c r="Y165" s="731"/>
      <c r="Z165" s="731"/>
      <c r="AA165" s="731"/>
      <c r="AB165" s="731"/>
      <c r="AC165" s="1181"/>
      <c r="AD165" s="1181"/>
      <c r="AE165" s="1181"/>
      <c r="AF165" s="1181"/>
    </row>
    <row r="166" spans="1:32" ht="12.75" hidden="1" customHeight="1" outlineLevel="1">
      <c r="A166" s="1557" t="s">
        <v>562</v>
      </c>
      <c r="B166" s="1565"/>
      <c r="C166" s="1565">
        <v>14.06100000000017</v>
      </c>
      <c r="D166" s="1565">
        <v>14.279999999999824</v>
      </c>
      <c r="E166" s="1565">
        <v>77.907000000000323</v>
      </c>
      <c r="F166" s="1932">
        <v>0</v>
      </c>
      <c r="G166" s="1565">
        <v>5.1159076974727213E-13</v>
      </c>
      <c r="H166" s="1565">
        <v>0</v>
      </c>
      <c r="I166" s="1565">
        <v>6.199999999995498E-2</v>
      </c>
      <c r="J166" s="1565">
        <v>-0.16800000000000637</v>
      </c>
      <c r="K166" s="1565">
        <v>9.7000000000775799E-2</v>
      </c>
      <c r="L166" s="1565">
        <v>8.9999999998724434E-3</v>
      </c>
      <c r="M166" s="1565">
        <v>-31.179999999999609</v>
      </c>
      <c r="N166" s="1565">
        <v>3.899999999970305E-2</v>
      </c>
      <c r="O166" s="1565">
        <v>-9.9999999957844921E-4</v>
      </c>
      <c r="P166" s="1565">
        <v>-6.8212102632969618E-13</v>
      </c>
      <c r="Q166" s="1565">
        <v>1.3642420526593924E-12</v>
      </c>
      <c r="R166" s="1565">
        <v>0</v>
      </c>
      <c r="S166" s="1565">
        <v>3.4106051316484809E-13</v>
      </c>
      <c r="T166" s="1565">
        <v>0</v>
      </c>
      <c r="U166" s="1565">
        <v>1.4779288903810084E-12</v>
      </c>
      <c r="V166" s="1565">
        <v>0</v>
      </c>
      <c r="W166" s="1565">
        <v>0</v>
      </c>
      <c r="X166" s="731"/>
      <c r="Y166" s="731"/>
      <c r="Z166" s="731"/>
      <c r="AA166" s="731"/>
      <c r="AB166" s="731"/>
      <c r="AC166" s="1181"/>
      <c r="AD166" s="1181"/>
      <c r="AE166" s="1181"/>
      <c r="AF166" s="1181"/>
    </row>
    <row r="167" spans="1:32" ht="12.75" hidden="1" customHeight="1" outlineLevel="1">
      <c r="A167" s="1557" t="s">
        <v>1575</v>
      </c>
      <c r="B167" s="1565"/>
      <c r="C167" s="1565"/>
      <c r="D167" s="1565"/>
      <c r="E167" s="1565"/>
      <c r="F167" s="1932"/>
      <c r="G167" s="1565"/>
      <c r="H167" s="1565"/>
      <c r="I167" s="1565"/>
      <c r="J167" s="1565"/>
      <c r="K167" s="1565">
        <v>0</v>
      </c>
      <c r="L167" s="1565">
        <v>0.51300000000014734</v>
      </c>
      <c r="M167" s="1565">
        <v>31.177999999999884</v>
      </c>
      <c r="N167" s="1565">
        <v>-3.9000000000214641E-2</v>
      </c>
      <c r="O167" s="1565">
        <v>1.0000000002037268E-3</v>
      </c>
      <c r="P167" s="225"/>
      <c r="Q167" s="225"/>
      <c r="R167" s="225"/>
      <c r="S167" s="225"/>
      <c r="T167" s="225"/>
      <c r="U167" s="225"/>
      <c r="V167" s="225"/>
      <c r="W167" s="225"/>
      <c r="X167" s="731"/>
      <c r="Y167" s="731"/>
      <c r="Z167" s="731"/>
      <c r="AA167" s="731"/>
      <c r="AB167" s="731"/>
      <c r="AC167" s="1181"/>
      <c r="AD167" s="1181"/>
      <c r="AE167" s="1181"/>
      <c r="AF167" s="1181"/>
    </row>
    <row r="168" spans="1:32" ht="12.75" hidden="1" customHeight="1" outlineLevel="1">
      <c r="A168" s="1557" t="s">
        <v>682</v>
      </c>
      <c r="B168" s="1565"/>
      <c r="C168" s="1565"/>
      <c r="D168" s="1565"/>
      <c r="E168" s="1565"/>
      <c r="F168" s="1565">
        <v>-0.18600000000000705</v>
      </c>
      <c r="G168" s="1565">
        <v>0</v>
      </c>
      <c r="H168" s="1565">
        <v>0</v>
      </c>
      <c r="I168" s="1565">
        <v>-3.0000000000427463E-3</v>
      </c>
      <c r="J168" s="1565">
        <v>-4.0950000000000273</v>
      </c>
      <c r="K168" s="1565">
        <v>1.7189999999999372</v>
      </c>
      <c r="L168" s="1565">
        <v>-0.36100000000010368</v>
      </c>
      <c r="M168" s="1565">
        <v>-6.700000000023465E-2</v>
      </c>
      <c r="N168" s="1565">
        <v>0.97300000000018372</v>
      </c>
      <c r="O168" s="1565">
        <v>4.9999999998817657E-3</v>
      </c>
      <c r="P168" s="225"/>
      <c r="Q168" s="225"/>
      <c r="R168" s="225"/>
      <c r="S168" s="225"/>
      <c r="T168" s="225"/>
      <c r="U168" s="225"/>
      <c r="V168" s="225"/>
      <c r="W168" s="225"/>
      <c r="X168" s="731"/>
      <c r="Y168" s="731"/>
      <c r="Z168" s="731"/>
      <c r="AA168" s="731"/>
      <c r="AB168" s="731"/>
      <c r="AC168" s="1181"/>
      <c r="AD168" s="1181"/>
      <c r="AE168" s="1181"/>
      <c r="AF168" s="1181"/>
    </row>
    <row r="169" spans="1:32" ht="12.75" hidden="1" customHeight="1" outlineLevel="1">
      <c r="A169" s="1557" t="s">
        <v>563</v>
      </c>
      <c r="B169" s="1565"/>
      <c r="C169" s="1565"/>
      <c r="D169" s="1565">
        <v>81.577999999999975</v>
      </c>
      <c r="E169" s="1565">
        <v>134.24099999999987</v>
      </c>
      <c r="F169" s="1565">
        <v>-0.51899999999989177</v>
      </c>
      <c r="G169" s="1565">
        <v>0</v>
      </c>
      <c r="H169" s="1565">
        <v>-61.734000000000208</v>
      </c>
      <c r="I169" s="1565">
        <v>-1.0000000002037268E-3</v>
      </c>
      <c r="J169" s="1565">
        <v>-5.5469999999999118</v>
      </c>
      <c r="K169" s="1565">
        <v>0</v>
      </c>
      <c r="L169" s="1565">
        <v>0.51299999999991996</v>
      </c>
      <c r="M169" s="1565">
        <v>31.179999999999609</v>
      </c>
      <c r="N169" s="1565">
        <v>-7.0920000000000982</v>
      </c>
      <c r="O169" s="1565">
        <v>2.1000000000185537E-2</v>
      </c>
      <c r="P169" s="225"/>
      <c r="Q169" s="225"/>
      <c r="R169" s="225"/>
      <c r="S169" s="225"/>
      <c r="T169" s="225"/>
      <c r="U169" s="225"/>
      <c r="V169" s="225"/>
      <c r="W169" s="225"/>
      <c r="X169" s="731"/>
      <c r="Y169" s="731"/>
      <c r="Z169" s="731"/>
      <c r="AA169" s="731"/>
      <c r="AB169" s="731"/>
      <c r="AC169" s="1181"/>
      <c r="AD169" s="1181"/>
      <c r="AE169" s="1181"/>
      <c r="AF169" s="1181"/>
    </row>
    <row r="170" spans="1:32" ht="12.75" hidden="1" customHeight="1" outlineLevel="1">
      <c r="A170" s="1557" t="s">
        <v>564</v>
      </c>
      <c r="B170" s="1565"/>
      <c r="C170" s="1565"/>
      <c r="D170" s="1565">
        <v>86.73399999999998</v>
      </c>
      <c r="E170" s="1565">
        <v>134.24099999999984</v>
      </c>
      <c r="F170" s="1565">
        <v>7.1054273576010019E-14</v>
      </c>
      <c r="G170" s="1565">
        <v>0</v>
      </c>
      <c r="H170" s="1565">
        <v>-5.6070000000001698</v>
      </c>
      <c r="I170" s="1565">
        <v>2.9999999998437943E-3</v>
      </c>
      <c r="J170" s="1565">
        <v>1.5631940186722204E-13</v>
      </c>
      <c r="K170" s="1565">
        <v>-1.9895196601282805E-13</v>
      </c>
      <c r="L170" s="1565">
        <v>1.0000000000331966E-3</v>
      </c>
      <c r="M170" s="1565">
        <v>31.179999999999666</v>
      </c>
      <c r="N170" s="1565">
        <v>5.1029999999999802</v>
      </c>
      <c r="O170" s="1565">
        <v>2.100000000007185E-2</v>
      </c>
      <c r="P170" s="225"/>
      <c r="Q170" s="225"/>
      <c r="R170" s="225"/>
      <c r="S170" s="225"/>
      <c r="T170" s="225"/>
      <c r="U170" s="225"/>
      <c r="V170" s="225"/>
      <c r="W170" s="225"/>
      <c r="X170" s="731"/>
      <c r="Y170" s="731"/>
      <c r="Z170" s="731"/>
      <c r="AA170" s="731"/>
      <c r="AB170" s="731"/>
      <c r="AC170" s="1181"/>
      <c r="AD170" s="1181"/>
      <c r="AE170" s="1181"/>
      <c r="AF170" s="1181"/>
    </row>
    <row r="171" spans="1:32" ht="12.75" hidden="1" customHeight="1" outlineLevel="1">
      <c r="A171" s="1557" t="s">
        <v>565</v>
      </c>
      <c r="B171" s="1565"/>
      <c r="C171" s="1565"/>
      <c r="D171" s="1565">
        <v>0</v>
      </c>
      <c r="E171" s="1565">
        <v>0</v>
      </c>
      <c r="F171" s="1565">
        <v>0</v>
      </c>
      <c r="G171" s="1565">
        <v>0</v>
      </c>
      <c r="H171" s="1565">
        <v>0</v>
      </c>
      <c r="I171" s="1565">
        <v>0</v>
      </c>
      <c r="J171" s="1565">
        <v>0</v>
      </c>
      <c r="K171" s="1565">
        <v>-9.0000000000145519E-3</v>
      </c>
      <c r="L171" s="1565">
        <v>0</v>
      </c>
      <c r="M171" s="1565">
        <v>0</v>
      </c>
      <c r="N171" s="1565">
        <v>-2.6790000000000873</v>
      </c>
      <c r="O171" s="1565">
        <v>0</v>
      </c>
      <c r="P171" s="226"/>
      <c r="Q171" s="226"/>
      <c r="R171" s="226"/>
      <c r="S171" s="226"/>
      <c r="T171" s="226"/>
      <c r="U171" s="226"/>
      <c r="V171" s="226"/>
      <c r="W171" s="226"/>
      <c r="X171" s="731"/>
      <c r="Y171" s="731"/>
      <c r="Z171" s="731"/>
      <c r="AA171" s="731"/>
      <c r="AB171" s="731"/>
      <c r="AC171" s="1181"/>
      <c r="AD171" s="1181"/>
      <c r="AE171" s="1181"/>
      <c r="AF171" s="1181"/>
    </row>
    <row r="172" spans="1:32" ht="12.75" hidden="1" customHeight="1" outlineLevel="1">
      <c r="A172" s="1557" t="s">
        <v>566</v>
      </c>
      <c r="B172" s="1565"/>
      <c r="C172" s="1565"/>
      <c r="D172" s="1565"/>
      <c r="E172" s="1565">
        <v>0.17699000000000001</v>
      </c>
      <c r="F172" s="1565">
        <v>0</v>
      </c>
      <c r="G172" s="1565">
        <v>0</v>
      </c>
      <c r="H172" s="1565">
        <v>0.27410000000000001</v>
      </c>
      <c r="I172" s="1565">
        <v>-6.2000000000000388E-3</v>
      </c>
      <c r="J172" s="1565">
        <v>0</v>
      </c>
      <c r="K172" s="1565">
        <v>0</v>
      </c>
      <c r="L172" s="1565">
        <v>0</v>
      </c>
      <c r="M172" s="1565">
        <v>-0.47821443516626694</v>
      </c>
      <c r="N172" s="1565">
        <v>-0.37478072605391116</v>
      </c>
      <c r="O172" s="1565">
        <v>0</v>
      </c>
      <c r="P172" s="226"/>
      <c r="Q172" s="226"/>
      <c r="R172" s="226"/>
      <c r="S172" s="226"/>
      <c r="T172" s="226"/>
      <c r="U172" s="226"/>
      <c r="V172" s="226"/>
      <c r="W172" s="226"/>
      <c r="X172" s="731"/>
      <c r="Y172" s="731"/>
      <c r="Z172" s="731"/>
      <c r="AA172" s="731"/>
      <c r="AB172" s="731"/>
      <c r="AC172" s="1181"/>
      <c r="AD172" s="1181"/>
      <c r="AE172" s="1181"/>
      <c r="AF172" s="1181"/>
    </row>
    <row r="173" spans="1:32" ht="12.75" hidden="1" customHeight="1" outlineLevel="1">
      <c r="A173" s="1558" t="s">
        <v>1149</v>
      </c>
      <c r="B173" s="1566"/>
      <c r="C173" s="1566"/>
      <c r="D173" s="1566"/>
      <c r="E173" s="1566"/>
      <c r="F173" s="1566"/>
      <c r="G173" s="1566">
        <v>0</v>
      </c>
      <c r="H173" s="1566">
        <v>0</v>
      </c>
      <c r="I173" s="1566">
        <v>0</v>
      </c>
      <c r="J173" s="1566">
        <v>0</v>
      </c>
      <c r="K173" s="1566">
        <v>0</v>
      </c>
      <c r="L173" s="1566">
        <v>0</v>
      </c>
      <c r="M173" s="1566">
        <v>0</v>
      </c>
      <c r="N173" s="1566">
        <v>0</v>
      </c>
      <c r="O173" s="1566">
        <v>2.6676209999999969</v>
      </c>
      <c r="P173" s="227"/>
      <c r="Q173" s="227"/>
      <c r="R173" s="227"/>
      <c r="S173" s="227"/>
      <c r="T173" s="227"/>
      <c r="U173" s="227"/>
      <c r="V173" s="227"/>
      <c r="W173" s="227"/>
      <c r="X173" s="731"/>
      <c r="Y173" s="731"/>
      <c r="Z173" s="731"/>
      <c r="AA173" s="731"/>
      <c r="AB173" s="731"/>
      <c r="AC173" s="1181"/>
      <c r="AD173" s="1181"/>
      <c r="AE173" s="1181"/>
      <c r="AF173" s="1181"/>
    </row>
    <row r="174" spans="1:32" ht="12.75" hidden="1" customHeight="1" outlineLevel="1">
      <c r="A174" s="1558" t="s">
        <v>394</v>
      </c>
      <c r="B174" s="1858">
        <v>0</v>
      </c>
      <c r="C174" s="1414">
        <v>0</v>
      </c>
      <c r="D174" s="1414">
        <v>0</v>
      </c>
      <c r="E174" s="1414">
        <v>9.9999999997635314E-4</v>
      </c>
      <c r="F174" s="1414">
        <v>1.00000000009004E-3</v>
      </c>
      <c r="G174" s="1414">
        <v>0</v>
      </c>
      <c r="H174" s="1414">
        <v>-9.9999999997635314E-4</v>
      </c>
      <c r="I174" s="1414">
        <v>-1.7000000000052751E-2</v>
      </c>
      <c r="J174" s="1414">
        <v>0</v>
      </c>
      <c r="K174" s="1414">
        <v>9.9999999997635314E-4</v>
      </c>
      <c r="L174" s="1414">
        <v>0.5180000000000291</v>
      </c>
      <c r="M174" s="1414">
        <v>31.17699999999968</v>
      </c>
      <c r="N174" s="1414">
        <v>0</v>
      </c>
      <c r="O174" s="1414">
        <v>0</v>
      </c>
      <c r="P174" s="227"/>
      <c r="Q174" s="227"/>
      <c r="R174" s="227"/>
      <c r="S174" s="227"/>
      <c r="T174" s="227"/>
      <c r="U174" s="227"/>
      <c r="V174" s="227"/>
      <c r="W174" s="227"/>
      <c r="X174" s="1181"/>
      <c r="Y174" s="1181"/>
      <c r="Z174" s="1181"/>
      <c r="AA174" s="1181"/>
      <c r="AB174" s="1181"/>
      <c r="AC174" s="1181"/>
      <c r="AD174" s="1181"/>
      <c r="AE174" s="1181"/>
      <c r="AF174" s="1181"/>
    </row>
    <row r="175" spans="1:32" ht="12.75" hidden="1" customHeight="1" outlineLevel="1">
      <c r="A175" s="1558" t="s">
        <v>766</v>
      </c>
      <c r="B175" s="1181"/>
      <c r="C175" s="1181"/>
      <c r="D175" s="1181"/>
      <c r="E175" s="1572">
        <v>134.23999999999987</v>
      </c>
      <c r="F175" s="1572">
        <v>0</v>
      </c>
      <c r="G175" s="1572">
        <v>0</v>
      </c>
      <c r="H175" s="1572">
        <v>-1.4210854715202004E-13</v>
      </c>
      <c r="I175" s="1572">
        <v>0</v>
      </c>
      <c r="J175" s="1572">
        <v>1.5631940186722204E-13</v>
      </c>
      <c r="K175" s="1572">
        <v>-1.8474111129762605E-13</v>
      </c>
      <c r="L175" s="1572">
        <v>0</v>
      </c>
      <c r="M175" s="1572">
        <v>31.179999999999552</v>
      </c>
      <c r="N175" s="1572">
        <v>-3.8999999999902002E-2</v>
      </c>
      <c r="O175" s="1572">
        <v>1.00000000009004E-3</v>
      </c>
      <c r="P175" s="2395">
        <v>0</v>
      </c>
      <c r="Q175" s="1414">
        <v>-1.0231815394945443E-12</v>
      </c>
      <c r="R175" s="1414">
        <v>0</v>
      </c>
      <c r="S175" s="1414">
        <v>0</v>
      </c>
      <c r="T175" s="1414">
        <v>0</v>
      </c>
      <c r="U175" s="1414">
        <v>-9.0949470177292824E-13</v>
      </c>
      <c r="V175" s="1414">
        <v>0</v>
      </c>
      <c r="W175" s="1414">
        <v>0</v>
      </c>
      <c r="X175" s="731"/>
      <c r="Y175" s="731"/>
      <c r="Z175" s="731"/>
      <c r="AA175" s="731"/>
      <c r="AB175" s="731"/>
      <c r="AC175" s="1181"/>
      <c r="AD175" s="1181"/>
      <c r="AE175" s="1181"/>
      <c r="AF175" s="1181"/>
    </row>
    <row r="176" spans="1:32" ht="12.75" hidden="1" customHeight="1" outlineLevel="1">
      <c r="A176" s="1558" t="s">
        <v>295</v>
      </c>
      <c r="B176" s="1181"/>
      <c r="C176" s="1181"/>
      <c r="D176" s="1414">
        <v>0</v>
      </c>
      <c r="E176" s="1414">
        <v>-9.9999999997635314E-4</v>
      </c>
      <c r="F176" s="1414">
        <v>-1.00000000009004E-3</v>
      </c>
      <c r="G176" s="1414">
        <v>0</v>
      </c>
      <c r="H176" s="1414">
        <v>9.9999999997635314E-4</v>
      </c>
      <c r="I176" s="1414">
        <v>1.7000000000052751E-2</v>
      </c>
      <c r="J176" s="1414">
        <v>0</v>
      </c>
      <c r="K176" s="1414">
        <v>-9.9999999997635314E-4</v>
      </c>
      <c r="L176" s="1414">
        <v>-0.5180000000000291</v>
      </c>
      <c r="M176" s="1414">
        <v>0</v>
      </c>
      <c r="N176" s="1414">
        <v>0</v>
      </c>
      <c r="O176" s="1414">
        <v>0</v>
      </c>
      <c r="P176" s="1414">
        <v>0</v>
      </c>
      <c r="Q176" s="1414">
        <v>0</v>
      </c>
      <c r="R176" s="1414">
        <v>0</v>
      </c>
      <c r="S176" s="1414">
        <v>0</v>
      </c>
      <c r="T176" s="1414">
        <v>0</v>
      </c>
      <c r="U176" s="1414">
        <v>0</v>
      </c>
      <c r="V176" s="1414">
        <v>0</v>
      </c>
      <c r="W176" s="1414">
        <v>0</v>
      </c>
      <c r="X176" s="1181"/>
      <c r="Y176" s="1181"/>
      <c r="Z176" s="1181"/>
      <c r="AA176" s="1181"/>
      <c r="AB176" s="1181"/>
      <c r="AC176" s="1181"/>
      <c r="AD176" s="1181"/>
      <c r="AE176" s="1181"/>
      <c r="AF176" s="1181"/>
    </row>
    <row r="177" spans="1:32" s="994" customFormat="1" ht="12.75" hidden="1" customHeight="1" outlineLevel="1">
      <c r="A177" s="1558" t="s">
        <v>680</v>
      </c>
      <c r="B177" s="1414"/>
      <c r="C177" s="1414"/>
      <c r="D177" s="1414">
        <v>0</v>
      </c>
      <c r="E177" s="1414">
        <v>0</v>
      </c>
      <c r="F177" s="1414">
        <v>0</v>
      </c>
      <c r="G177" s="1414">
        <v>0</v>
      </c>
      <c r="H177" s="1414">
        <v>0</v>
      </c>
      <c r="I177" s="1414">
        <v>2.9999999999290594E-3</v>
      </c>
      <c r="J177" s="1414">
        <v>4.0960000000000036</v>
      </c>
      <c r="K177" s="1414">
        <v>-1.7189999999998236</v>
      </c>
      <c r="L177" s="1414">
        <v>0.36100000000021737</v>
      </c>
      <c r="M177" s="1414">
        <v>6.7000000000007276E-2</v>
      </c>
      <c r="N177" s="1414">
        <v>-0.97299999999995634</v>
      </c>
      <c r="O177" s="1414">
        <v>-3.9999999999054126E-3</v>
      </c>
      <c r="P177" s="1414">
        <v>0.69000000000005457</v>
      </c>
      <c r="Q177" s="1414">
        <v>0.69000000000028194</v>
      </c>
      <c r="R177" s="1414">
        <v>0.6899999999998272</v>
      </c>
      <c r="S177" s="1414">
        <v>0.69000000000050932</v>
      </c>
      <c r="T177" s="1414">
        <v>0.68999999999869033</v>
      </c>
      <c r="U177" s="1414">
        <v>0.69000000000050932</v>
      </c>
      <c r="V177" s="1414">
        <v>0.68999999999914507</v>
      </c>
      <c r="W177" s="1414">
        <v>0.68999999999959982</v>
      </c>
      <c r="X177" s="1541"/>
      <c r="Y177" s="1541"/>
      <c r="Z177" s="1541"/>
      <c r="AA177" s="1541"/>
      <c r="AB177" s="1541"/>
      <c r="AC177" s="1541"/>
      <c r="AD177" s="1541"/>
      <c r="AE177" s="1541"/>
      <c r="AF177" s="1541"/>
    </row>
    <row r="178" spans="1:32" collapsed="1">
      <c r="A178" s="1558" t="s">
        <v>80</v>
      </c>
      <c r="B178" s="1414"/>
      <c r="C178" s="1414"/>
      <c r="D178" s="1414"/>
      <c r="E178" s="1414"/>
      <c r="F178" s="1414"/>
      <c r="G178" s="1414"/>
      <c r="H178" s="1414"/>
      <c r="I178" s="1414"/>
      <c r="J178" s="1414"/>
      <c r="K178" s="1414">
        <v>25.909990505201009</v>
      </c>
      <c r="L178" s="1414">
        <v>48.292985014382523</v>
      </c>
      <c r="M178" s="1414">
        <v>-23.66904874489768</v>
      </c>
      <c r="N178" s="1414">
        <v>120.71891224666868</v>
      </c>
      <c r="O178" s="1414">
        <v>95.367819549209798</v>
      </c>
      <c r="P178" s="1414">
        <v>12.591784026316333</v>
      </c>
      <c r="Q178" s="1414">
        <v>19.812382893369886</v>
      </c>
      <c r="R178" s="1414">
        <v>16.548256991666861</v>
      </c>
      <c r="S178" s="1414">
        <v>20.066492603263981</v>
      </c>
      <c r="T178" s="1414">
        <v>20.437194396201221</v>
      </c>
      <c r="U178" s="1414">
        <v>21.016823793470422</v>
      </c>
      <c r="V178" s="1414">
        <v>27.467894786302963</v>
      </c>
      <c r="W178" s="1414">
        <v>45.457171710027751</v>
      </c>
      <c r="X178" s="1181"/>
      <c r="Y178" s="1181"/>
      <c r="Z178" s="1181"/>
      <c r="AA178" s="1181"/>
      <c r="AB178" s="1181"/>
      <c r="AC178" s="1181"/>
      <c r="AD178" s="1181"/>
      <c r="AE178" s="1181"/>
      <c r="AF178" s="1181"/>
    </row>
    <row r="179" spans="1:32">
      <c r="A179" s="1120"/>
      <c r="B179" s="1181"/>
      <c r="C179" s="1181"/>
      <c r="D179" s="1181"/>
      <c r="E179" s="1181"/>
      <c r="F179" s="1181"/>
      <c r="G179" s="1181"/>
      <c r="H179" s="1181"/>
      <c r="I179" s="1181"/>
      <c r="J179" s="1181"/>
      <c r="K179" s="1181"/>
      <c r="L179" s="1181"/>
      <c r="M179" s="1181"/>
      <c r="N179" s="1181"/>
      <c r="O179" s="1181"/>
      <c r="P179" s="1181"/>
      <c r="Q179" s="1181"/>
      <c r="R179" s="1181"/>
      <c r="S179" s="1181"/>
      <c r="T179" s="1181"/>
      <c r="U179" s="1181"/>
      <c r="V179" s="1181"/>
      <c r="W179" s="1181"/>
      <c r="X179" s="731"/>
      <c r="Y179" s="731"/>
      <c r="Z179" s="731"/>
      <c r="AA179" s="731"/>
      <c r="AB179" s="731"/>
      <c r="AC179" s="1181"/>
      <c r="AD179" s="1181"/>
      <c r="AE179" s="1181"/>
      <c r="AF179" s="1181"/>
    </row>
    <row r="180" spans="1:32">
      <c r="A180" s="1553" t="s">
        <v>556</v>
      </c>
      <c r="B180" s="1567"/>
      <c r="C180" s="1567"/>
      <c r="D180" s="1567"/>
      <c r="E180" s="1567"/>
      <c r="F180" s="1567"/>
      <c r="G180" s="1567"/>
      <c r="H180" s="1567"/>
      <c r="I180" s="1567"/>
      <c r="J180" s="1567"/>
      <c r="K180" s="1567"/>
      <c r="L180" s="1567"/>
      <c r="M180" s="1567"/>
      <c r="N180" s="1567"/>
      <c r="O180" s="1567"/>
      <c r="P180" s="1567"/>
      <c r="Q180" s="1573"/>
      <c r="R180" s="1567"/>
      <c r="S180" s="1567"/>
      <c r="T180" s="1567"/>
      <c r="U180" s="1567"/>
      <c r="V180" s="1567"/>
      <c r="W180" s="1574" t="s">
        <v>557</v>
      </c>
      <c r="X180" s="1181"/>
      <c r="Y180" s="1181"/>
      <c r="Z180" s="1181"/>
      <c r="AA180" s="1181"/>
      <c r="AB180" s="1181"/>
      <c r="AC180" s="1181"/>
      <c r="AD180" s="1181"/>
      <c r="AE180" s="1181"/>
      <c r="AF180" s="1181"/>
    </row>
    <row r="181" spans="1:32">
      <c r="A181" s="1181"/>
      <c r="B181" s="1181"/>
      <c r="C181" s="1181"/>
      <c r="D181" s="1181"/>
      <c r="E181" s="1181"/>
      <c r="F181" s="1181"/>
      <c r="G181" s="1181"/>
      <c r="H181" s="1181"/>
      <c r="I181" s="1181"/>
      <c r="J181" s="1181"/>
      <c r="K181" s="1181"/>
      <c r="L181" s="1181"/>
      <c r="M181" s="1181"/>
      <c r="N181" s="1181"/>
      <c r="O181" s="1181"/>
      <c r="P181" s="1181"/>
      <c r="Q181" s="1181"/>
      <c r="R181" s="1181"/>
      <c r="S181" s="1181"/>
      <c r="T181" s="1181"/>
      <c r="U181" s="1181"/>
      <c r="V181" s="1181"/>
      <c r="W181" s="1181"/>
      <c r="X181" s="1181"/>
      <c r="Y181" s="1181"/>
      <c r="Z181" s="1181"/>
      <c r="AA181" s="1181"/>
      <c r="AB181" s="1181"/>
      <c r="AC181" s="1181"/>
      <c r="AD181" s="1181"/>
      <c r="AE181" s="1181"/>
      <c r="AF181" s="1181"/>
    </row>
    <row r="182" spans="1:32">
      <c r="A182" s="1181"/>
      <c r="B182" s="1181"/>
      <c r="C182" s="1181"/>
      <c r="D182" s="1181"/>
      <c r="E182" s="1181"/>
      <c r="F182" s="1181"/>
      <c r="G182" s="1181"/>
      <c r="H182" s="1181"/>
      <c r="I182" s="1181"/>
      <c r="J182" s="1181"/>
      <c r="K182" s="1181"/>
      <c r="L182" s="1181"/>
      <c r="M182" s="1181"/>
      <c r="N182" s="1181"/>
      <c r="O182" s="1181"/>
      <c r="P182" s="1181"/>
      <c r="Q182" s="1181"/>
      <c r="R182" s="1181"/>
      <c r="S182" s="1181"/>
      <c r="T182" s="1181"/>
      <c r="U182" s="1181"/>
      <c r="V182" s="1181"/>
      <c r="W182" s="1181"/>
      <c r="X182" s="1181"/>
      <c r="Y182" s="1181"/>
      <c r="Z182" s="1181"/>
      <c r="AA182" s="1181"/>
      <c r="AB182" s="1181"/>
      <c r="AC182" s="1181"/>
      <c r="AD182" s="1181"/>
      <c r="AE182" s="1181"/>
      <c r="AF182" s="1181"/>
    </row>
    <row r="183" spans="1:32">
      <c r="A183" s="1181"/>
      <c r="B183" s="1181"/>
      <c r="C183" s="1181"/>
      <c r="D183" s="1181"/>
      <c r="E183" s="1181"/>
      <c r="F183" s="1181"/>
      <c r="G183" s="1181"/>
      <c r="H183" s="1181"/>
      <c r="I183" s="1181"/>
      <c r="J183" s="1181"/>
      <c r="K183" s="1181"/>
      <c r="L183" s="1181"/>
      <c r="M183" s="1181"/>
      <c r="N183" s="1181"/>
      <c r="O183" s="1181"/>
      <c r="P183" s="1181"/>
      <c r="Q183" s="1181"/>
      <c r="R183" s="1181"/>
      <c r="S183" s="1181"/>
      <c r="T183" s="1181"/>
      <c r="U183" s="1181"/>
      <c r="V183" s="1181"/>
      <c r="W183" s="1181"/>
      <c r="X183" s="1181"/>
      <c r="Y183" s="1181"/>
      <c r="Z183" s="1181"/>
      <c r="AA183" s="1181"/>
      <c r="AB183" s="1181"/>
      <c r="AC183" s="1181"/>
      <c r="AD183" s="1181"/>
      <c r="AE183" s="1181"/>
      <c r="AF183" s="1181"/>
    </row>
    <row r="184" spans="1:32">
      <c r="A184" s="1181"/>
      <c r="B184" s="1181"/>
      <c r="C184" s="1181"/>
      <c r="D184" s="1181"/>
      <c r="E184" s="1181"/>
      <c r="F184" s="1181"/>
      <c r="G184" s="1181"/>
      <c r="H184" s="1181"/>
      <c r="I184" s="1181"/>
      <c r="J184" s="1181"/>
      <c r="K184" s="1181"/>
      <c r="L184" s="1181"/>
      <c r="M184" s="1181"/>
      <c r="N184" s="1181"/>
      <c r="O184" s="1181"/>
      <c r="P184" s="1181"/>
      <c r="Q184" s="1181"/>
      <c r="R184" s="1181"/>
      <c r="S184" s="1181"/>
      <c r="T184" s="1181"/>
      <c r="U184" s="1181"/>
      <c r="V184" s="1181"/>
      <c r="W184" s="1181"/>
      <c r="X184" s="1181"/>
      <c r="Y184" s="1181"/>
      <c r="Z184" s="1181"/>
      <c r="AA184" s="1181"/>
      <c r="AB184" s="1181"/>
      <c r="AC184" s="1181"/>
      <c r="AD184" s="1181"/>
      <c r="AE184" s="1181"/>
      <c r="AF184" s="1181"/>
    </row>
    <row r="185" spans="1:32">
      <c r="A185" s="1181"/>
      <c r="B185" s="1181"/>
      <c r="C185" s="1181"/>
      <c r="D185" s="1181"/>
      <c r="E185" s="1181"/>
      <c r="F185" s="1181"/>
      <c r="G185" s="1181"/>
      <c r="H185" s="1181"/>
      <c r="I185" s="1181"/>
      <c r="J185" s="1181"/>
      <c r="K185" s="1181"/>
      <c r="L185" s="1181"/>
      <c r="M185" s="1181"/>
      <c r="N185" s="1181"/>
      <c r="O185" s="1181"/>
      <c r="P185" s="1181"/>
      <c r="Q185" s="1181"/>
      <c r="R185" s="1181"/>
      <c r="S185" s="1181"/>
      <c r="T185" s="1181"/>
      <c r="U185" s="1181"/>
      <c r="V185" s="1181"/>
      <c r="W185" s="1181"/>
      <c r="X185" s="1181"/>
      <c r="Y185" s="1181"/>
      <c r="Z185" s="1181"/>
      <c r="AA185" s="1181"/>
      <c r="AB185" s="1181"/>
      <c r="AC185" s="1181"/>
      <c r="AD185" s="1181"/>
      <c r="AE185" s="1181"/>
      <c r="AF185" s="1181"/>
    </row>
    <row r="186" spans="1:32">
      <c r="A186" s="1181"/>
      <c r="B186" s="1181"/>
      <c r="C186" s="1181"/>
      <c r="D186" s="1181"/>
      <c r="E186" s="1181"/>
      <c r="F186" s="1181"/>
      <c r="G186" s="1181"/>
      <c r="H186" s="1181"/>
      <c r="I186" s="1181"/>
      <c r="J186" s="1181"/>
      <c r="K186" s="1181"/>
      <c r="L186" s="1181"/>
      <c r="M186" s="1181"/>
      <c r="N186" s="1181"/>
      <c r="O186" s="1181"/>
      <c r="P186" s="1181"/>
      <c r="Q186" s="1181"/>
      <c r="R186" s="1181"/>
      <c r="S186" s="1181"/>
      <c r="T186" s="1181"/>
      <c r="U186" s="1181"/>
      <c r="V186" s="1181"/>
      <c r="W186" s="1181"/>
      <c r="X186" s="1181"/>
      <c r="Y186" s="1181"/>
      <c r="Z186" s="1181"/>
      <c r="AA186" s="1181"/>
      <c r="AB186" s="1181"/>
      <c r="AC186" s="1181"/>
      <c r="AD186" s="1181"/>
      <c r="AE186" s="1181"/>
      <c r="AF186" s="1181"/>
    </row>
    <row r="187" spans="1:32">
      <c r="A187" s="1181"/>
      <c r="B187" s="1181"/>
      <c r="C187" s="1181"/>
      <c r="D187" s="1181"/>
      <c r="E187" s="1181"/>
      <c r="F187" s="1181"/>
      <c r="G187" s="1181"/>
      <c r="H187" s="1181"/>
      <c r="I187" s="1181"/>
      <c r="J187" s="1181"/>
      <c r="K187" s="1181"/>
      <c r="L187" s="1181"/>
      <c r="M187" s="1181"/>
      <c r="N187" s="1181"/>
      <c r="O187" s="1181"/>
      <c r="P187" s="1181"/>
      <c r="Q187" s="1181"/>
      <c r="R187" s="1181"/>
      <c r="S187" s="1181"/>
      <c r="T187" s="1181"/>
      <c r="U187" s="1181"/>
      <c r="V187" s="1181"/>
      <c r="W187" s="1181"/>
      <c r="X187" s="1181"/>
      <c r="Y187" s="1181"/>
      <c r="Z187" s="1181"/>
      <c r="AA187" s="1181"/>
      <c r="AB187" s="1181"/>
      <c r="AC187" s="1181"/>
      <c r="AD187" s="1181"/>
      <c r="AE187" s="1181"/>
      <c r="AF187" s="1181"/>
    </row>
    <row r="188" spans="1:32">
      <c r="A188" s="1181"/>
      <c r="B188" s="1181"/>
      <c r="C188" s="1181"/>
      <c r="D188" s="1181"/>
      <c r="E188" s="1181"/>
      <c r="F188" s="1181"/>
      <c r="G188" s="1181"/>
      <c r="H188" s="1181"/>
      <c r="I188" s="1181"/>
      <c r="J188" s="1181"/>
      <c r="K188" s="1181"/>
      <c r="L188" s="1181"/>
      <c r="M188" s="1181"/>
      <c r="N188" s="1181"/>
      <c r="O188" s="1181"/>
      <c r="P188" s="1181"/>
      <c r="Q188" s="1181"/>
      <c r="R188" s="1181"/>
      <c r="S188" s="1181"/>
      <c r="T188" s="1181"/>
      <c r="U188" s="1181"/>
      <c r="V188" s="1181"/>
      <c r="W188" s="1181"/>
      <c r="X188" s="1181"/>
      <c r="Y188" s="1181"/>
      <c r="Z188" s="1181"/>
      <c r="AA188" s="1181"/>
      <c r="AB188" s="1181"/>
      <c r="AC188" s="1181"/>
      <c r="AD188" s="1181"/>
      <c r="AE188" s="1181"/>
      <c r="AF188" s="1181"/>
    </row>
    <row r="189" spans="1:32">
      <c r="A189" s="1181"/>
      <c r="B189" s="1181"/>
      <c r="C189" s="1181"/>
      <c r="D189" s="1181"/>
      <c r="E189" s="1181"/>
      <c r="F189" s="1181"/>
      <c r="G189" s="1181"/>
      <c r="H189" s="1181"/>
      <c r="I189" s="1181"/>
      <c r="J189" s="1181"/>
      <c r="K189" s="1181"/>
      <c r="L189" s="1181"/>
      <c r="M189" s="1181"/>
      <c r="N189" s="1181"/>
      <c r="O189" s="1181"/>
      <c r="P189" s="1181"/>
      <c r="Q189" s="1181"/>
      <c r="R189" s="1181"/>
      <c r="S189" s="1181"/>
      <c r="T189" s="1181"/>
      <c r="U189" s="1181"/>
      <c r="V189" s="1181"/>
      <c r="W189" s="1181"/>
      <c r="X189" s="1181"/>
      <c r="Y189" s="1181"/>
      <c r="Z189" s="1181"/>
      <c r="AA189" s="1181"/>
      <c r="AB189" s="1181"/>
      <c r="AC189" s="1181"/>
      <c r="AD189" s="1181"/>
      <c r="AE189" s="1181"/>
      <c r="AF189" s="1181"/>
    </row>
    <row r="190" spans="1:32">
      <c r="A190" s="1181"/>
      <c r="B190" s="1181"/>
      <c r="C190" s="1181"/>
      <c r="D190" s="1181"/>
      <c r="E190" s="1181"/>
      <c r="F190" s="1181"/>
      <c r="G190" s="1181"/>
      <c r="H190" s="1181"/>
      <c r="I190" s="1181"/>
      <c r="J190" s="1181"/>
      <c r="K190" s="1181"/>
      <c r="L190" s="1181"/>
      <c r="M190" s="1181"/>
      <c r="N190" s="1181"/>
      <c r="O190" s="1181"/>
      <c r="P190" s="1181"/>
      <c r="Q190" s="1181"/>
      <c r="R190" s="1181"/>
      <c r="S190" s="1181"/>
      <c r="T190" s="1181"/>
      <c r="U190" s="1181"/>
      <c r="V190" s="1181"/>
      <c r="W190" s="1181"/>
      <c r="X190" s="1181"/>
      <c r="Y190" s="1181"/>
      <c r="Z190" s="1181"/>
      <c r="AA190" s="1181"/>
      <c r="AB190" s="1181"/>
      <c r="AC190" s="1181"/>
      <c r="AD190" s="1181"/>
      <c r="AE190" s="1181"/>
      <c r="AF190" s="1181"/>
    </row>
    <row r="191" spans="1:32">
      <c r="A191" s="1181"/>
      <c r="B191" s="1181"/>
      <c r="C191" s="1181"/>
      <c r="D191" s="1181"/>
      <c r="E191" s="1181"/>
      <c r="F191" s="1181"/>
      <c r="G191" s="1181"/>
      <c r="H191" s="1181"/>
      <c r="I191" s="1181"/>
      <c r="J191" s="1181"/>
      <c r="K191" s="1181"/>
      <c r="L191" s="1181"/>
      <c r="M191" s="1181"/>
      <c r="N191" s="1181"/>
      <c r="O191" s="1181"/>
      <c r="P191" s="1181"/>
      <c r="Q191" s="1181"/>
      <c r="R191" s="1181"/>
      <c r="S191" s="1181"/>
      <c r="T191" s="1181"/>
      <c r="U191" s="1181"/>
      <c r="V191" s="1181"/>
      <c r="W191" s="1181"/>
      <c r="X191" s="1181"/>
      <c r="Y191" s="1181"/>
      <c r="Z191" s="1181"/>
      <c r="AA191" s="1181"/>
      <c r="AB191" s="1181"/>
      <c r="AC191" s="1181"/>
      <c r="AD191" s="1181"/>
      <c r="AE191" s="1181"/>
      <c r="AF191" s="1181"/>
    </row>
    <row r="192" spans="1:32">
      <c r="A192" s="1181"/>
      <c r="B192" s="1181"/>
      <c r="C192" s="1181"/>
      <c r="D192" s="1181"/>
      <c r="E192" s="1181"/>
      <c r="F192" s="1181"/>
      <c r="G192" s="1181"/>
      <c r="H192" s="1181"/>
      <c r="I192" s="1181"/>
      <c r="J192" s="1181"/>
      <c r="K192" s="1181"/>
      <c r="L192" s="1181"/>
      <c r="M192" s="1181"/>
      <c r="N192" s="1181"/>
      <c r="O192" s="1181"/>
      <c r="P192" s="1181"/>
      <c r="Q192" s="1181"/>
      <c r="R192" s="1181"/>
      <c r="S192" s="1181"/>
      <c r="T192" s="1181"/>
      <c r="U192" s="1181"/>
      <c r="V192" s="1181"/>
      <c r="W192" s="1181"/>
      <c r="X192" s="1181"/>
      <c r="Y192" s="1181"/>
      <c r="Z192" s="1181"/>
      <c r="AA192" s="1181"/>
      <c r="AB192" s="1181"/>
      <c r="AC192" s="1181"/>
      <c r="AD192" s="1181"/>
      <c r="AE192" s="1181"/>
      <c r="AF192" s="1181"/>
    </row>
    <row r="193" spans="1:32">
      <c r="A193" s="1181"/>
      <c r="B193" s="1181"/>
      <c r="C193" s="1181"/>
      <c r="D193" s="1181"/>
      <c r="E193" s="1181"/>
      <c r="F193" s="1181"/>
      <c r="G193" s="1181"/>
      <c r="H193" s="1181"/>
      <c r="I193" s="1181"/>
      <c r="J193" s="1181"/>
      <c r="K193" s="1181"/>
      <c r="L193" s="1181"/>
      <c r="M193" s="1181"/>
      <c r="N193" s="1181"/>
      <c r="O193" s="1181"/>
      <c r="P193" s="1181"/>
      <c r="Q193" s="1181"/>
      <c r="R193" s="1181"/>
      <c r="S193" s="1181"/>
      <c r="T193" s="1181"/>
      <c r="U193" s="1181"/>
      <c r="V193" s="1181"/>
      <c r="W193" s="1181"/>
      <c r="X193" s="1181"/>
      <c r="Y193" s="1181"/>
      <c r="Z193" s="1181"/>
      <c r="AA193" s="1181"/>
      <c r="AB193" s="1181"/>
      <c r="AC193" s="1181"/>
      <c r="AD193" s="1181"/>
      <c r="AE193" s="1181"/>
      <c r="AF193" s="1181"/>
    </row>
    <row r="194" spans="1:32">
      <c r="A194" s="1181"/>
      <c r="B194" s="1181"/>
      <c r="C194" s="1181"/>
      <c r="D194" s="1181"/>
      <c r="E194" s="1181"/>
      <c r="F194" s="1181"/>
      <c r="G194" s="1181"/>
      <c r="H194" s="1181"/>
      <c r="I194" s="1181"/>
      <c r="J194" s="1181"/>
      <c r="K194" s="1181"/>
      <c r="L194" s="1181"/>
      <c r="M194" s="1181"/>
      <c r="N194" s="1181"/>
      <c r="O194" s="1181"/>
      <c r="P194" s="1181"/>
      <c r="Q194" s="1181"/>
      <c r="R194" s="1181"/>
      <c r="S194" s="1181"/>
      <c r="T194" s="1181"/>
      <c r="U194" s="1181"/>
      <c r="V194" s="1181"/>
      <c r="W194" s="1181"/>
      <c r="X194" s="1181"/>
      <c r="Y194" s="1181"/>
      <c r="Z194" s="1181"/>
      <c r="AA194" s="1181"/>
      <c r="AB194" s="1181"/>
      <c r="AC194" s="1181"/>
      <c r="AD194" s="1181"/>
      <c r="AE194" s="1181"/>
      <c r="AF194" s="1181"/>
    </row>
    <row r="195" spans="1:32">
      <c r="A195" s="1181"/>
      <c r="B195" s="1181"/>
      <c r="C195" s="1181"/>
      <c r="D195" s="1181"/>
      <c r="E195" s="1181"/>
      <c r="F195" s="1181"/>
      <c r="G195" s="1181"/>
      <c r="H195" s="1181"/>
      <c r="I195" s="1181"/>
      <c r="J195" s="1181"/>
      <c r="K195" s="1181"/>
      <c r="L195" s="1181"/>
      <c r="M195" s="1181"/>
      <c r="N195" s="1181"/>
      <c r="O195" s="1181"/>
      <c r="P195" s="1181"/>
      <c r="Q195" s="1181"/>
      <c r="R195" s="1181"/>
      <c r="S195" s="1181"/>
      <c r="T195" s="1181"/>
      <c r="U195" s="1181"/>
      <c r="V195" s="1181"/>
      <c r="W195" s="1181"/>
      <c r="X195" s="1181"/>
      <c r="Y195" s="1181"/>
      <c r="Z195" s="1181"/>
      <c r="AA195" s="1181"/>
      <c r="AB195" s="1181"/>
      <c r="AC195" s="1181"/>
      <c r="AD195" s="1181"/>
      <c r="AE195" s="1181"/>
      <c r="AF195" s="1181"/>
    </row>
    <row r="196" spans="1:32">
      <c r="A196" s="1181"/>
      <c r="B196" s="1181"/>
      <c r="C196" s="1181"/>
      <c r="D196" s="1181"/>
      <c r="E196" s="1181"/>
      <c r="F196" s="1181"/>
      <c r="G196" s="1181"/>
      <c r="H196" s="1181"/>
      <c r="I196" s="1181"/>
      <c r="J196" s="1181"/>
      <c r="K196" s="1181"/>
      <c r="L196" s="1181"/>
      <c r="M196" s="1181"/>
      <c r="N196" s="1181"/>
      <c r="O196" s="1181"/>
      <c r="P196" s="1181"/>
      <c r="Q196" s="1181"/>
      <c r="R196" s="1181"/>
      <c r="S196" s="1181"/>
      <c r="T196" s="1181"/>
      <c r="U196" s="1181"/>
      <c r="V196" s="1181"/>
      <c r="W196" s="1181"/>
      <c r="X196" s="1181"/>
      <c r="Y196" s="1181"/>
      <c r="Z196" s="1181"/>
      <c r="AA196" s="1181"/>
      <c r="AB196" s="1181"/>
      <c r="AC196" s="1181"/>
      <c r="AD196" s="1181"/>
      <c r="AE196" s="1181"/>
      <c r="AF196" s="1181"/>
    </row>
    <row r="197" spans="1:32">
      <c r="A197" s="1181"/>
      <c r="B197" s="1181"/>
      <c r="C197" s="1181"/>
      <c r="D197" s="1181"/>
      <c r="E197" s="1181"/>
      <c r="F197" s="1181"/>
      <c r="G197" s="1181"/>
      <c r="H197" s="1181"/>
      <c r="I197" s="1181"/>
      <c r="J197" s="1181"/>
      <c r="K197" s="1181"/>
      <c r="L197" s="1181"/>
      <c r="M197" s="1181"/>
      <c r="N197" s="1181"/>
      <c r="O197" s="1181"/>
      <c r="P197" s="1181"/>
      <c r="Q197" s="1181"/>
      <c r="R197" s="1181"/>
      <c r="S197" s="1181"/>
      <c r="T197" s="1181"/>
      <c r="U197" s="1181"/>
      <c r="V197" s="1181"/>
      <c r="W197" s="1181"/>
      <c r="X197" s="1181"/>
      <c r="Y197" s="1181"/>
      <c r="Z197" s="1181"/>
      <c r="AA197" s="1181"/>
      <c r="AB197" s="1181"/>
      <c r="AC197" s="1181"/>
      <c r="AD197" s="1181"/>
      <c r="AE197" s="1181"/>
      <c r="AF197" s="1181"/>
    </row>
    <row r="198" spans="1:32">
      <c r="A198" s="1181"/>
      <c r="B198" s="1181"/>
      <c r="C198" s="1181"/>
      <c r="D198" s="1181"/>
      <c r="E198" s="1181"/>
      <c r="F198" s="1181"/>
      <c r="G198" s="1181"/>
      <c r="H198" s="1181"/>
      <c r="I198" s="1181"/>
      <c r="J198" s="1181"/>
      <c r="K198" s="1181"/>
      <c r="L198" s="1181"/>
      <c r="M198" s="1181"/>
      <c r="N198" s="1181"/>
      <c r="O198" s="1181"/>
      <c r="P198" s="1181"/>
      <c r="Q198" s="1181"/>
      <c r="R198" s="1181"/>
      <c r="S198" s="1181"/>
      <c r="T198" s="1181"/>
      <c r="U198" s="1181"/>
      <c r="V198" s="1181"/>
      <c r="W198" s="1181"/>
      <c r="X198" s="1181"/>
      <c r="Y198" s="1181"/>
      <c r="Z198" s="1181"/>
      <c r="AA198" s="1181"/>
      <c r="AB198" s="1181"/>
      <c r="AC198" s="1181"/>
      <c r="AD198" s="1181"/>
      <c r="AE198" s="1181"/>
      <c r="AF198" s="1181"/>
    </row>
    <row r="199" spans="1:32">
      <c r="A199" s="1181"/>
      <c r="B199" s="1181"/>
      <c r="C199" s="1181"/>
      <c r="D199" s="1181"/>
      <c r="E199" s="1181"/>
      <c r="F199" s="1181"/>
      <c r="G199" s="1181"/>
      <c r="H199" s="1181"/>
      <c r="I199" s="1181"/>
      <c r="J199" s="1181"/>
      <c r="K199" s="1181"/>
      <c r="L199" s="1181"/>
      <c r="M199" s="1181"/>
      <c r="N199" s="1181"/>
      <c r="O199" s="1181"/>
      <c r="P199" s="1181"/>
      <c r="Q199" s="1181"/>
      <c r="R199" s="1181"/>
      <c r="S199" s="1181"/>
      <c r="T199" s="1181"/>
      <c r="U199" s="1181"/>
      <c r="V199" s="1181"/>
      <c r="W199" s="1181"/>
      <c r="X199" s="1181"/>
      <c r="Y199" s="1181"/>
      <c r="Z199" s="1181"/>
      <c r="AA199" s="1181"/>
      <c r="AB199" s="1181"/>
      <c r="AC199" s="1181"/>
      <c r="AD199" s="1181"/>
      <c r="AE199" s="1181"/>
      <c r="AF199" s="1181"/>
    </row>
    <row r="200" spans="1:32">
      <c r="A200" s="1181"/>
      <c r="B200" s="1181"/>
      <c r="C200" s="1181"/>
      <c r="D200" s="1181"/>
      <c r="E200" s="1181"/>
      <c r="F200" s="1181"/>
      <c r="G200" s="1181"/>
      <c r="H200" s="1181"/>
      <c r="I200" s="1181"/>
      <c r="J200" s="1181"/>
      <c r="K200" s="1181"/>
      <c r="L200" s="1181"/>
      <c r="M200" s="1181"/>
      <c r="N200" s="1181"/>
      <c r="O200" s="1181"/>
      <c r="P200" s="1181"/>
      <c r="Q200" s="1181"/>
      <c r="R200" s="1181"/>
      <c r="S200" s="1181"/>
      <c r="T200" s="1181"/>
      <c r="U200" s="1181"/>
      <c r="V200" s="1181"/>
      <c r="W200" s="1181"/>
      <c r="X200" s="1181"/>
      <c r="Y200" s="1181"/>
      <c r="Z200" s="1181"/>
      <c r="AA200" s="1181"/>
      <c r="AB200" s="1181"/>
      <c r="AC200" s="1181"/>
      <c r="AD200" s="1181"/>
      <c r="AE200" s="1181"/>
      <c r="AF200" s="1181"/>
    </row>
    <row r="201" spans="1:32">
      <c r="A201" s="1181"/>
      <c r="B201" s="1181"/>
      <c r="C201" s="1181"/>
      <c r="D201" s="1181"/>
      <c r="E201" s="1181"/>
      <c r="F201" s="1181"/>
      <c r="G201" s="1181"/>
      <c r="H201" s="1181"/>
      <c r="I201" s="1181"/>
      <c r="J201" s="1181"/>
      <c r="K201" s="1181"/>
      <c r="L201" s="1181"/>
      <c r="M201" s="1181"/>
      <c r="N201" s="1181"/>
      <c r="O201" s="1181"/>
      <c r="P201" s="1181"/>
      <c r="Q201" s="1181"/>
      <c r="R201" s="1181"/>
      <c r="S201" s="1181"/>
      <c r="T201" s="1181"/>
      <c r="U201" s="1181"/>
      <c r="V201" s="1181"/>
      <c r="W201" s="1181"/>
      <c r="X201" s="1181"/>
      <c r="Y201" s="1181"/>
      <c r="Z201" s="1181"/>
      <c r="AA201" s="1181"/>
      <c r="AB201" s="1181"/>
      <c r="AC201" s="1181"/>
      <c r="AD201" s="1181"/>
      <c r="AE201" s="1181"/>
      <c r="AF201" s="1181"/>
    </row>
    <row r="202" spans="1:32">
      <c r="A202" s="1181"/>
      <c r="B202" s="1181"/>
      <c r="C202" s="1181"/>
      <c r="D202" s="1181"/>
      <c r="E202" s="1181"/>
      <c r="F202" s="1181"/>
      <c r="G202" s="1181"/>
      <c r="H202" s="1181"/>
      <c r="I202" s="1181"/>
      <c r="J202" s="1181"/>
      <c r="K202" s="1181"/>
      <c r="L202" s="1181"/>
      <c r="M202" s="1181"/>
      <c r="N202" s="1181"/>
      <c r="O202" s="1181"/>
      <c r="P202" s="1181"/>
      <c r="Q202" s="1181"/>
      <c r="R202" s="1181"/>
      <c r="S202" s="1181"/>
      <c r="T202" s="1181"/>
      <c r="U202" s="1181"/>
      <c r="V202" s="1181"/>
      <c r="W202" s="1181"/>
      <c r="X202" s="1181"/>
      <c r="Y202" s="1181"/>
      <c r="Z202" s="1181"/>
      <c r="AA202" s="1181"/>
      <c r="AB202" s="1181"/>
      <c r="AC202" s="1181"/>
      <c r="AD202" s="1181"/>
      <c r="AE202" s="1181"/>
      <c r="AF202" s="1181"/>
    </row>
    <row r="203" spans="1:32">
      <c r="A203" s="1181"/>
      <c r="B203" s="1181"/>
      <c r="C203" s="1181"/>
      <c r="D203" s="1181"/>
      <c r="E203" s="1181"/>
      <c r="F203" s="1181"/>
      <c r="G203" s="1181"/>
      <c r="H203" s="1181"/>
      <c r="I203" s="1181"/>
      <c r="J203" s="1181"/>
      <c r="K203" s="1181"/>
      <c r="L203" s="1181"/>
      <c r="M203" s="1181"/>
      <c r="N203" s="1181"/>
      <c r="O203" s="1181"/>
      <c r="P203" s="1181"/>
      <c r="Q203" s="1181"/>
      <c r="R203" s="1181"/>
      <c r="S203" s="1181"/>
      <c r="T203" s="1181"/>
      <c r="U203" s="1181"/>
      <c r="V203" s="1181"/>
      <c r="W203" s="1181"/>
      <c r="X203" s="1181"/>
      <c r="Y203" s="1181"/>
      <c r="Z203" s="1181"/>
      <c r="AA203" s="1181"/>
      <c r="AB203" s="1181"/>
      <c r="AC203" s="1181"/>
      <c r="AD203" s="1181"/>
      <c r="AE203" s="1181"/>
      <c r="AF203" s="1181"/>
    </row>
    <row r="204" spans="1:32">
      <c r="A204" s="1181"/>
      <c r="B204" s="1181"/>
      <c r="C204" s="1181"/>
      <c r="D204" s="1181"/>
      <c r="E204" s="1181"/>
      <c r="F204" s="1181"/>
      <c r="G204" s="1181"/>
      <c r="H204" s="1181"/>
      <c r="I204" s="1181"/>
      <c r="J204" s="1181"/>
      <c r="K204" s="1181"/>
      <c r="L204" s="1181"/>
      <c r="M204" s="1181"/>
      <c r="N204" s="1181"/>
      <c r="O204" s="1181"/>
      <c r="P204" s="1181"/>
      <c r="Q204" s="1181"/>
      <c r="R204" s="1181"/>
      <c r="S204" s="1181"/>
      <c r="T204" s="1181"/>
      <c r="U204" s="1181"/>
      <c r="V204" s="1181"/>
      <c r="W204" s="1181"/>
      <c r="X204" s="1181"/>
      <c r="Y204" s="1181"/>
      <c r="Z204" s="1181"/>
      <c r="AA204" s="1181"/>
      <c r="AB204" s="1181"/>
      <c r="AC204" s="1181"/>
      <c r="AD204" s="1181"/>
      <c r="AE204" s="1181"/>
      <c r="AF204" s="1181"/>
    </row>
    <row r="205" spans="1:32">
      <c r="A205" s="1181"/>
      <c r="B205" s="1181"/>
      <c r="C205" s="1181"/>
      <c r="D205" s="1181"/>
      <c r="E205" s="1181"/>
      <c r="F205" s="1181"/>
      <c r="G205" s="1181"/>
      <c r="H205" s="1181"/>
      <c r="I205" s="1181"/>
      <c r="J205" s="1181"/>
      <c r="K205" s="1181"/>
      <c r="L205" s="1181"/>
      <c r="M205" s="1181"/>
      <c r="N205" s="1181"/>
      <c r="O205" s="1181"/>
      <c r="P205" s="1181"/>
      <c r="Q205" s="1181"/>
      <c r="R205" s="1181"/>
      <c r="S205" s="1181"/>
      <c r="T205" s="1181"/>
      <c r="U205" s="1181"/>
      <c r="V205" s="1181"/>
      <c r="W205" s="1181"/>
      <c r="X205" s="1181"/>
      <c r="Y205" s="1181"/>
      <c r="Z205" s="1181"/>
      <c r="AA205" s="1181"/>
      <c r="AB205" s="1181"/>
      <c r="AC205" s="1181"/>
      <c r="AD205" s="1181"/>
      <c r="AE205" s="1181"/>
      <c r="AF205" s="1181"/>
    </row>
    <row r="206" spans="1:32">
      <c r="A206" s="1181"/>
      <c r="B206" s="1181"/>
      <c r="C206" s="1181"/>
      <c r="D206" s="1181"/>
      <c r="E206" s="1181"/>
      <c r="F206" s="1181"/>
      <c r="G206" s="1181"/>
      <c r="H206" s="1181"/>
      <c r="I206" s="1181"/>
      <c r="J206" s="1181"/>
      <c r="K206" s="1181"/>
      <c r="L206" s="1181"/>
      <c r="M206" s="1181"/>
      <c r="N206" s="1181"/>
      <c r="O206" s="1181"/>
      <c r="P206" s="1181"/>
      <c r="Q206" s="1181"/>
      <c r="R206" s="1181"/>
      <c r="S206" s="1181"/>
      <c r="T206" s="1181"/>
      <c r="U206" s="1181"/>
      <c r="V206" s="1181"/>
      <c r="W206" s="1181"/>
      <c r="X206" s="1181"/>
      <c r="Y206" s="1181"/>
      <c r="Z206" s="1181"/>
      <c r="AA206" s="1181"/>
      <c r="AB206" s="1181"/>
      <c r="AC206" s="1181"/>
      <c r="AD206" s="1181"/>
      <c r="AE206" s="1181"/>
      <c r="AF206" s="1181"/>
    </row>
    <row r="207" spans="1:32">
      <c r="A207" s="1181"/>
      <c r="B207" s="1181"/>
      <c r="C207" s="1181"/>
      <c r="D207" s="1181"/>
      <c r="E207" s="1181"/>
      <c r="F207" s="1181"/>
      <c r="G207" s="1181"/>
      <c r="H207" s="1181"/>
      <c r="I207" s="1181"/>
      <c r="J207" s="1181"/>
      <c r="K207" s="1181"/>
      <c r="L207" s="1181"/>
      <c r="M207" s="1181"/>
      <c r="N207" s="1181"/>
      <c r="O207" s="1181"/>
      <c r="P207" s="1181"/>
      <c r="Q207" s="1181"/>
      <c r="R207" s="1181"/>
      <c r="S207" s="1181"/>
      <c r="T207" s="1181"/>
      <c r="U207" s="1181"/>
      <c r="V207" s="1181"/>
      <c r="W207" s="1181"/>
      <c r="X207" s="1181"/>
      <c r="Y207" s="1181"/>
      <c r="Z207" s="1181"/>
      <c r="AA207" s="1181"/>
      <c r="AB207" s="1181"/>
      <c r="AC207" s="1181"/>
      <c r="AD207" s="1181"/>
      <c r="AE207" s="1181"/>
      <c r="AF207" s="1181"/>
    </row>
    <row r="208" spans="1:32">
      <c r="A208" s="1181"/>
      <c r="B208" s="1181"/>
      <c r="C208" s="1181"/>
      <c r="D208" s="1181"/>
      <c r="E208" s="1181"/>
      <c r="F208" s="1181"/>
      <c r="G208" s="1181"/>
      <c r="H208" s="1181"/>
      <c r="I208" s="1181"/>
      <c r="J208" s="1181"/>
      <c r="K208" s="1181"/>
      <c r="L208" s="1181"/>
      <c r="M208" s="1181"/>
      <c r="N208" s="1181"/>
      <c r="O208" s="1181"/>
      <c r="P208" s="1181"/>
      <c r="Q208" s="1181"/>
      <c r="R208" s="1181"/>
      <c r="S208" s="1181"/>
      <c r="T208" s="1181"/>
      <c r="U208" s="1181"/>
      <c r="V208" s="1181"/>
      <c r="W208" s="1181"/>
      <c r="X208" s="1181"/>
      <c r="Y208" s="1181"/>
      <c r="Z208" s="1181"/>
      <c r="AA208" s="1181"/>
      <c r="AB208" s="1181"/>
      <c r="AC208" s="1181"/>
      <c r="AD208" s="1181"/>
      <c r="AE208" s="1181"/>
      <c r="AF208" s="1181"/>
    </row>
    <row r="209" spans="1:32">
      <c r="A209" s="1181"/>
      <c r="B209" s="1181"/>
      <c r="C209" s="1181"/>
      <c r="D209" s="1181"/>
      <c r="E209" s="1181"/>
      <c r="F209" s="1181"/>
      <c r="G209" s="1181"/>
      <c r="H209" s="1181"/>
      <c r="I209" s="1181"/>
      <c r="J209" s="1181"/>
      <c r="K209" s="1181"/>
      <c r="L209" s="1181"/>
      <c r="M209" s="1181"/>
      <c r="N209" s="1181"/>
      <c r="O209" s="1181"/>
      <c r="P209" s="1181"/>
      <c r="Q209" s="1181"/>
      <c r="R209" s="1181"/>
      <c r="S209" s="1181"/>
      <c r="T209" s="1181"/>
      <c r="U209" s="1181"/>
      <c r="V209" s="1181"/>
      <c r="W209" s="1181"/>
      <c r="X209" s="1181"/>
      <c r="Y209" s="1181"/>
      <c r="Z209" s="1181"/>
      <c r="AA209" s="1181"/>
      <c r="AB209" s="1181"/>
      <c r="AC209" s="1181"/>
      <c r="AD209" s="1181"/>
      <c r="AE209" s="1181"/>
      <c r="AF209" s="1181"/>
    </row>
    <row r="210" spans="1:32">
      <c r="A210" s="1181"/>
      <c r="B210" s="1181"/>
      <c r="C210" s="1181"/>
      <c r="D210" s="1181"/>
      <c r="E210" s="1181"/>
      <c r="F210" s="1181"/>
      <c r="G210" s="1181"/>
      <c r="H210" s="1181"/>
      <c r="I210" s="1181"/>
      <c r="J210" s="1181"/>
      <c r="K210" s="1181"/>
      <c r="L210" s="1181"/>
      <c r="M210" s="1181"/>
      <c r="N210" s="1181"/>
      <c r="O210" s="1181"/>
      <c r="P210" s="1181"/>
      <c r="Q210" s="1181"/>
      <c r="R210" s="1181"/>
      <c r="S210" s="1181"/>
      <c r="T210" s="1181"/>
      <c r="U210" s="1181"/>
      <c r="V210" s="1181"/>
      <c r="W210" s="1181"/>
      <c r="X210" s="1181"/>
      <c r="Y210" s="1181"/>
      <c r="Z210" s="1181"/>
      <c r="AA210" s="1181"/>
      <c r="AB210" s="1181"/>
      <c r="AC210" s="1181"/>
      <c r="AD210" s="1181"/>
      <c r="AE210" s="1181"/>
      <c r="AF210" s="1181"/>
    </row>
    <row r="211" spans="1:32">
      <c r="A211" s="1181"/>
      <c r="B211" s="1181"/>
      <c r="C211" s="1181"/>
      <c r="D211" s="1181"/>
      <c r="E211" s="1181"/>
      <c r="F211" s="1181"/>
      <c r="G211" s="1181"/>
      <c r="H211" s="1181"/>
      <c r="I211" s="1181"/>
      <c r="J211" s="1181"/>
      <c r="K211" s="1181"/>
      <c r="L211" s="1181"/>
      <c r="M211" s="1181"/>
      <c r="N211" s="1181"/>
      <c r="O211" s="1181"/>
      <c r="P211" s="1181"/>
      <c r="Q211" s="1181"/>
      <c r="R211" s="1181"/>
      <c r="S211" s="1181"/>
      <c r="T211" s="1181"/>
      <c r="U211" s="1181"/>
      <c r="V211" s="1181"/>
      <c r="W211" s="1181"/>
      <c r="X211" s="1181"/>
      <c r="Y211" s="1181"/>
      <c r="Z211" s="1181"/>
      <c r="AA211" s="1181"/>
      <c r="AB211" s="1181"/>
      <c r="AC211" s="1181"/>
      <c r="AD211" s="1181"/>
      <c r="AE211" s="1181"/>
      <c r="AF211" s="1181"/>
    </row>
    <row r="212" spans="1:32">
      <c r="A212" s="1181"/>
      <c r="B212" s="1181"/>
      <c r="C212" s="1181"/>
      <c r="D212" s="1181"/>
      <c r="E212" s="1181"/>
      <c r="F212" s="1181"/>
      <c r="G212" s="1181"/>
      <c r="H212" s="1181"/>
      <c r="I212" s="1181"/>
      <c r="J212" s="1181"/>
      <c r="K212" s="1181"/>
      <c r="L212" s="1181"/>
      <c r="M212" s="1181"/>
      <c r="N212" s="1181"/>
      <c r="O212" s="1181"/>
      <c r="P212" s="1181"/>
      <c r="Q212" s="1181"/>
      <c r="R212" s="1181"/>
      <c r="S212" s="1181"/>
      <c r="T212" s="1181"/>
      <c r="U212" s="1181"/>
      <c r="V212" s="1181"/>
      <c r="W212" s="1181"/>
      <c r="X212" s="1181"/>
      <c r="Y212" s="1181"/>
      <c r="Z212" s="1181"/>
      <c r="AA212" s="1181"/>
      <c r="AB212" s="1181"/>
      <c r="AC212" s="1181"/>
      <c r="AD212" s="1181"/>
      <c r="AE212" s="1181"/>
      <c r="AF212" s="1181"/>
    </row>
    <row r="213" spans="1:32">
      <c r="A213" s="1181"/>
      <c r="B213" s="1181"/>
      <c r="C213" s="1181"/>
      <c r="D213" s="1181"/>
      <c r="E213" s="1181"/>
      <c r="F213" s="1181"/>
      <c r="G213" s="1181"/>
      <c r="H213" s="1181"/>
      <c r="I213" s="1181"/>
      <c r="J213" s="1181"/>
      <c r="K213" s="1181"/>
      <c r="L213" s="1181"/>
      <c r="M213" s="1181"/>
      <c r="N213" s="1181"/>
      <c r="O213" s="1181"/>
      <c r="P213" s="1181"/>
      <c r="Q213" s="1181"/>
      <c r="R213" s="1181"/>
      <c r="S213" s="1181"/>
      <c r="T213" s="1181"/>
      <c r="U213" s="1181"/>
      <c r="V213" s="1181"/>
      <c r="W213" s="1181"/>
      <c r="X213" s="1181"/>
      <c r="Y213" s="1181"/>
      <c r="Z213" s="1181"/>
      <c r="AA213" s="1181"/>
      <c r="AB213" s="1181"/>
      <c r="AC213" s="1181"/>
      <c r="AD213" s="1181"/>
      <c r="AE213" s="1181"/>
      <c r="AF213" s="1181"/>
    </row>
    <row r="214" spans="1:32">
      <c r="A214" s="1181"/>
      <c r="B214" s="1181"/>
      <c r="C214" s="1181"/>
      <c r="D214" s="1181"/>
      <c r="E214" s="1181"/>
      <c r="F214" s="1181"/>
      <c r="G214" s="1181"/>
      <c r="H214" s="1181"/>
      <c r="I214" s="1181"/>
      <c r="J214" s="1181"/>
      <c r="K214" s="1181"/>
      <c r="L214" s="1181"/>
      <c r="M214" s="1181"/>
      <c r="N214" s="1181"/>
      <c r="O214" s="1181"/>
      <c r="P214" s="1181"/>
      <c r="Q214" s="1181"/>
      <c r="R214" s="1181"/>
      <c r="S214" s="1181"/>
      <c r="T214" s="1181"/>
      <c r="U214" s="1181"/>
      <c r="V214" s="1181"/>
      <c r="W214" s="1181"/>
      <c r="X214" s="1181"/>
      <c r="Y214" s="1181"/>
      <c r="Z214" s="1181"/>
      <c r="AA214" s="1181"/>
      <c r="AB214" s="1181"/>
      <c r="AC214" s="1181"/>
      <c r="AD214" s="1181"/>
      <c r="AE214" s="1181"/>
      <c r="AF214" s="1181"/>
    </row>
    <row r="215" spans="1:32">
      <c r="A215" s="1181"/>
      <c r="B215" s="1181"/>
      <c r="C215" s="1181"/>
      <c r="D215" s="1181"/>
      <c r="E215" s="1181"/>
      <c r="F215" s="1181"/>
      <c r="G215" s="1181"/>
      <c r="H215" s="1181"/>
      <c r="I215" s="1181"/>
      <c r="J215" s="1181"/>
      <c r="K215" s="1181"/>
      <c r="L215" s="1181"/>
      <c r="M215" s="1181"/>
      <c r="N215" s="1181"/>
      <c r="O215" s="1181"/>
      <c r="P215" s="1181"/>
      <c r="Q215" s="1181"/>
      <c r="R215" s="1181"/>
      <c r="S215" s="1181"/>
      <c r="T215" s="1181"/>
      <c r="U215" s="1181"/>
      <c r="V215" s="1181"/>
      <c r="W215" s="1181"/>
      <c r="X215" s="1181"/>
      <c r="Y215" s="1181"/>
      <c r="Z215" s="1181"/>
      <c r="AA215" s="1181"/>
      <c r="AB215" s="1181"/>
      <c r="AC215" s="1181"/>
      <c r="AD215" s="1181"/>
      <c r="AE215" s="1181"/>
      <c r="AF215" s="1181"/>
    </row>
    <row r="216" spans="1:32">
      <c r="N216" s="31"/>
    </row>
    <row r="217" spans="1:32">
      <c r="N217" s="31"/>
    </row>
    <row r="218" spans="1:32">
      <c r="N218" s="31"/>
    </row>
    <row r="219" spans="1:32">
      <c r="N219" s="31"/>
    </row>
    <row r="220" spans="1:32">
      <c r="N220" s="31"/>
    </row>
    <row r="221" spans="1:32">
      <c r="N221" s="31"/>
    </row>
    <row r="222" spans="1:32">
      <c r="N222" s="31"/>
    </row>
    <row r="223" spans="1:32">
      <c r="N223" s="31"/>
    </row>
    <row r="224" spans="1:32">
      <c r="N224" s="31"/>
    </row>
    <row r="225" spans="14:14">
      <c r="N225" s="31"/>
    </row>
    <row r="226" spans="14:14">
      <c r="N226" s="31"/>
    </row>
    <row r="227" spans="14:14">
      <c r="N227" s="31"/>
    </row>
    <row r="228" spans="14:14">
      <c r="N228" s="31"/>
    </row>
    <row r="229" spans="14:14">
      <c r="N229" s="31"/>
    </row>
    <row r="230" spans="14:14">
      <c r="N230" s="31"/>
    </row>
    <row r="231" spans="14:14">
      <c r="N231" s="31"/>
    </row>
    <row r="232" spans="14:14">
      <c r="N232" s="31"/>
    </row>
    <row r="233" spans="14:14">
      <c r="N233" s="31"/>
    </row>
    <row r="234" spans="14:14">
      <c r="N234" s="31"/>
    </row>
    <row r="235" spans="14:14">
      <c r="N235" s="31"/>
    </row>
    <row r="236" spans="14:14">
      <c r="N236" s="31"/>
    </row>
    <row r="237" spans="14:14">
      <c r="N237" s="31"/>
    </row>
    <row r="238" spans="14:14">
      <c r="N238" s="31"/>
    </row>
    <row r="239" spans="14:14">
      <c r="N239" s="31"/>
    </row>
    <row r="240" spans="14:14">
      <c r="N240" s="31"/>
    </row>
    <row r="241" spans="14:14">
      <c r="N241" s="31"/>
    </row>
    <row r="242" spans="14:14">
      <c r="N242" s="31"/>
    </row>
    <row r="243" spans="14:14">
      <c r="N243" s="31"/>
    </row>
    <row r="244" spans="14:14">
      <c r="N244" s="31"/>
    </row>
    <row r="245" spans="14:14">
      <c r="N245" s="31"/>
    </row>
    <row r="246" spans="14:14">
      <c r="N246" s="31"/>
    </row>
    <row r="247" spans="14:14">
      <c r="N247" s="31"/>
    </row>
    <row r="248" spans="14:14">
      <c r="N248" s="31"/>
    </row>
    <row r="249" spans="14:14">
      <c r="N249" s="31"/>
    </row>
    <row r="250" spans="14:14">
      <c r="N250" s="31"/>
    </row>
    <row r="251" spans="14:14">
      <c r="N251" s="31"/>
    </row>
    <row r="252" spans="14:14">
      <c r="N252" s="31"/>
    </row>
    <row r="253" spans="14:14">
      <c r="N253" s="31"/>
    </row>
    <row r="254" spans="14:14">
      <c r="N254" s="31"/>
    </row>
    <row r="255" spans="14:14">
      <c r="N255" s="31"/>
    </row>
    <row r="256" spans="14:14">
      <c r="N256" s="31"/>
    </row>
    <row r="257" spans="14:14">
      <c r="N257" s="31"/>
    </row>
    <row r="258" spans="14:14">
      <c r="N258" s="31"/>
    </row>
    <row r="259" spans="14:14">
      <c r="N259" s="31"/>
    </row>
    <row r="260" spans="14:14">
      <c r="N260" s="31"/>
    </row>
    <row r="261" spans="14:14">
      <c r="N261" s="31"/>
    </row>
    <row r="262" spans="14:14">
      <c r="N262" s="31"/>
    </row>
    <row r="263" spans="14:14">
      <c r="N263" s="31"/>
    </row>
    <row r="264" spans="14:14">
      <c r="N264" s="31"/>
    </row>
    <row r="265" spans="14:14">
      <c r="N265" s="31"/>
    </row>
    <row r="266" spans="14:14">
      <c r="N266" s="31"/>
    </row>
    <row r="267" spans="14:14">
      <c r="N267" s="31"/>
    </row>
    <row r="268" spans="14:14">
      <c r="N268" s="31"/>
    </row>
    <row r="269" spans="14:14">
      <c r="N269" s="31"/>
    </row>
    <row r="270" spans="14:14">
      <c r="N270" s="31"/>
    </row>
    <row r="271" spans="14:14">
      <c r="N271" s="31"/>
    </row>
    <row r="272" spans="14:14">
      <c r="N272" s="31"/>
    </row>
    <row r="273" spans="14:14">
      <c r="N273" s="31"/>
    </row>
    <row r="274" spans="14:14">
      <c r="N274" s="31"/>
    </row>
    <row r="275" spans="14:14">
      <c r="N275" s="31"/>
    </row>
    <row r="276" spans="14:14">
      <c r="N276" s="31"/>
    </row>
    <row r="277" spans="14:14">
      <c r="N277" s="31"/>
    </row>
    <row r="278" spans="14:14">
      <c r="N278" s="31"/>
    </row>
    <row r="279" spans="14:14">
      <c r="N279" s="31"/>
    </row>
    <row r="280" spans="14:14">
      <c r="N280" s="31"/>
    </row>
    <row r="281" spans="14:14">
      <c r="N281" s="31"/>
    </row>
    <row r="282" spans="14:14">
      <c r="N282" s="31"/>
    </row>
    <row r="283" spans="14:14">
      <c r="N283" s="31"/>
    </row>
    <row r="284" spans="14:14">
      <c r="N284" s="31"/>
    </row>
    <row r="285" spans="14:14">
      <c r="N285" s="31"/>
    </row>
    <row r="286" spans="14:14">
      <c r="N286" s="31"/>
    </row>
    <row r="287" spans="14:14">
      <c r="N287" s="31"/>
    </row>
    <row r="288" spans="14:14">
      <c r="N288" s="31"/>
    </row>
    <row r="289" spans="14:14">
      <c r="N289" s="31"/>
    </row>
    <row r="290" spans="14:14">
      <c r="N290" s="31"/>
    </row>
    <row r="291" spans="14:14">
      <c r="N291" s="31"/>
    </row>
    <row r="292" spans="14:14">
      <c r="N292" s="31"/>
    </row>
    <row r="293" spans="14:14">
      <c r="N293" s="31"/>
    </row>
    <row r="294" spans="14:14">
      <c r="N294" s="31"/>
    </row>
    <row r="295" spans="14:14">
      <c r="N295" s="31"/>
    </row>
    <row r="296" spans="14:14">
      <c r="N296" s="31"/>
    </row>
    <row r="297" spans="14:14">
      <c r="N297" s="31"/>
    </row>
    <row r="298" spans="14:14">
      <c r="N298" s="31"/>
    </row>
    <row r="299" spans="14:14">
      <c r="N299" s="31"/>
    </row>
    <row r="300" spans="14:14">
      <c r="N300" s="31"/>
    </row>
    <row r="301" spans="14:14">
      <c r="N301" s="31"/>
    </row>
    <row r="302" spans="14:14">
      <c r="N302" s="31"/>
    </row>
    <row r="303" spans="14:14">
      <c r="N303" s="31"/>
    </row>
    <row r="304" spans="14:14">
      <c r="N304" s="31"/>
    </row>
    <row r="305" spans="14:14">
      <c r="N305" s="31"/>
    </row>
    <row r="306" spans="14:14">
      <c r="N306" s="31"/>
    </row>
    <row r="307" spans="14:14">
      <c r="N307" s="31"/>
    </row>
    <row r="308" spans="14:14">
      <c r="N308" s="31"/>
    </row>
    <row r="309" spans="14:14">
      <c r="N309" s="31"/>
    </row>
    <row r="310" spans="14:14">
      <c r="N310" s="31"/>
    </row>
    <row r="311" spans="14:14">
      <c r="N311" s="31"/>
    </row>
    <row r="312" spans="14:14">
      <c r="N312" s="31"/>
    </row>
    <row r="313" spans="14:14">
      <c r="N313" s="31"/>
    </row>
    <row r="314" spans="14:14">
      <c r="N314" s="31"/>
    </row>
    <row r="315" spans="14:14">
      <c r="N315" s="31"/>
    </row>
    <row r="316" spans="14:14">
      <c r="N316" s="31"/>
    </row>
    <row r="317" spans="14:14">
      <c r="N317" s="31"/>
    </row>
    <row r="318" spans="14:14">
      <c r="N318" s="31"/>
    </row>
    <row r="319" spans="14:14">
      <c r="N319" s="31"/>
    </row>
    <row r="320" spans="14:14">
      <c r="N320" s="31"/>
    </row>
    <row r="321" spans="14:14">
      <c r="N321" s="31"/>
    </row>
    <row r="322" spans="14:14">
      <c r="N322" s="31"/>
    </row>
    <row r="323" spans="14:14">
      <c r="N323" s="31"/>
    </row>
    <row r="324" spans="14:14">
      <c r="N324" s="31"/>
    </row>
    <row r="325" spans="14:14">
      <c r="N325" s="31"/>
    </row>
    <row r="326" spans="14:14">
      <c r="N326" s="31"/>
    </row>
    <row r="327" spans="14:14">
      <c r="N327" s="31"/>
    </row>
    <row r="328" spans="14:14">
      <c r="N328" s="31"/>
    </row>
    <row r="329" spans="14:14">
      <c r="N329" s="31"/>
    </row>
    <row r="330" spans="14:14">
      <c r="N330" s="31"/>
    </row>
    <row r="331" spans="14:14">
      <c r="N331" s="31"/>
    </row>
    <row r="332" spans="14:14">
      <c r="N332" s="31"/>
    </row>
    <row r="333" spans="14:14">
      <c r="N333" s="31"/>
    </row>
    <row r="334" spans="14:14">
      <c r="N334" s="31"/>
    </row>
    <row r="335" spans="14:14">
      <c r="N335" s="31"/>
    </row>
    <row r="336" spans="14:14">
      <c r="N336" s="31"/>
    </row>
    <row r="337" spans="14:14">
      <c r="N337" s="31"/>
    </row>
    <row r="338" spans="14:14">
      <c r="N338" s="31"/>
    </row>
    <row r="339" spans="14:14">
      <c r="N339" s="31"/>
    </row>
    <row r="340" spans="14:14">
      <c r="N340" s="31"/>
    </row>
    <row r="341" spans="14:14">
      <c r="N341" s="31"/>
    </row>
    <row r="342" spans="14:14">
      <c r="N342" s="31"/>
    </row>
    <row r="343" spans="14:14">
      <c r="N343" s="31"/>
    </row>
    <row r="344" spans="14:14">
      <c r="N344" s="31"/>
    </row>
    <row r="345" spans="14:14">
      <c r="N345" s="31"/>
    </row>
    <row r="346" spans="14:14">
      <c r="N346" s="31"/>
    </row>
    <row r="347" spans="14:14">
      <c r="N347" s="31"/>
    </row>
    <row r="348" spans="14:14">
      <c r="N348" s="31"/>
    </row>
    <row r="349" spans="14:14">
      <c r="N349" s="31"/>
    </row>
    <row r="350" spans="14:14">
      <c r="N350" s="31"/>
    </row>
    <row r="351" spans="14:14">
      <c r="N351" s="31"/>
    </row>
    <row r="352" spans="14:14">
      <c r="N352" s="31"/>
    </row>
    <row r="353" spans="14:14">
      <c r="N353" s="31"/>
    </row>
    <row r="354" spans="14:14">
      <c r="N354" s="31"/>
    </row>
    <row r="355" spans="14:14">
      <c r="N355" s="31"/>
    </row>
    <row r="356" spans="14:14">
      <c r="N356" s="31"/>
    </row>
    <row r="357" spans="14:14">
      <c r="N357" s="31"/>
    </row>
    <row r="358" spans="14:14">
      <c r="N358" s="31"/>
    </row>
    <row r="359" spans="14:14">
      <c r="N359" s="31"/>
    </row>
    <row r="360" spans="14:14">
      <c r="N360" s="31"/>
    </row>
    <row r="361" spans="14:14">
      <c r="N361" s="31"/>
    </row>
    <row r="362" spans="14:14">
      <c r="N362" s="31"/>
    </row>
    <row r="363" spans="14:14">
      <c r="N363" s="31"/>
    </row>
    <row r="364" spans="14:14">
      <c r="N364" s="31"/>
    </row>
    <row r="365" spans="14:14">
      <c r="N365" s="31"/>
    </row>
    <row r="366" spans="14:14">
      <c r="N366" s="31"/>
    </row>
    <row r="367" spans="14:14">
      <c r="N367" s="31"/>
    </row>
    <row r="368" spans="14:14">
      <c r="N368" s="31"/>
    </row>
    <row r="369" spans="14:14">
      <c r="N369" s="31"/>
    </row>
    <row r="370" spans="14:14">
      <c r="N370" s="31"/>
    </row>
    <row r="371" spans="14:14">
      <c r="N371" s="31"/>
    </row>
    <row r="372" spans="14:14">
      <c r="N372" s="31"/>
    </row>
    <row r="373" spans="14:14">
      <c r="N373" s="31"/>
    </row>
    <row r="374" spans="14:14">
      <c r="N374" s="31"/>
    </row>
    <row r="375" spans="14:14">
      <c r="N375" s="31"/>
    </row>
    <row r="376" spans="14:14">
      <c r="N376" s="31"/>
    </row>
    <row r="377" spans="14:14">
      <c r="N377" s="31"/>
    </row>
    <row r="378" spans="14:14">
      <c r="N378" s="31"/>
    </row>
    <row r="379" spans="14:14">
      <c r="N379" s="31"/>
    </row>
    <row r="380" spans="14:14">
      <c r="N380" s="31"/>
    </row>
    <row r="381" spans="14:14">
      <c r="N381" s="31"/>
    </row>
    <row r="382" spans="14:14">
      <c r="N382" s="31"/>
    </row>
    <row r="383" spans="14:14">
      <c r="N383" s="31"/>
    </row>
    <row r="384" spans="14:14">
      <c r="N384" s="31"/>
    </row>
    <row r="385" spans="14:14">
      <c r="N385" s="31"/>
    </row>
    <row r="386" spans="14:14">
      <c r="N386" s="31"/>
    </row>
    <row r="387" spans="14:14">
      <c r="N387" s="31"/>
    </row>
    <row r="388" spans="14:14">
      <c r="N388" s="31"/>
    </row>
    <row r="389" spans="14:14">
      <c r="N389" s="31"/>
    </row>
    <row r="390" spans="14:14">
      <c r="N390" s="31"/>
    </row>
    <row r="391" spans="14:14">
      <c r="N391" s="31"/>
    </row>
    <row r="392" spans="14:14">
      <c r="N392" s="31"/>
    </row>
    <row r="393" spans="14:14">
      <c r="N393" s="31"/>
    </row>
    <row r="394" spans="14:14">
      <c r="N394" s="31"/>
    </row>
    <row r="395" spans="14:14">
      <c r="N395" s="31"/>
    </row>
    <row r="396" spans="14:14">
      <c r="N396" s="31"/>
    </row>
    <row r="397" spans="14:14">
      <c r="N397" s="31"/>
    </row>
    <row r="398" spans="14:14">
      <c r="N398" s="31"/>
    </row>
    <row r="399" spans="14:14">
      <c r="N399" s="31"/>
    </row>
    <row r="400" spans="14:14">
      <c r="N400" s="31"/>
    </row>
    <row r="401" spans="14:14">
      <c r="N401" s="31"/>
    </row>
    <row r="402" spans="14:14">
      <c r="N402" s="31"/>
    </row>
    <row r="403" spans="14:14">
      <c r="N403" s="31"/>
    </row>
    <row r="404" spans="14:14">
      <c r="N404" s="31"/>
    </row>
    <row r="405" spans="14:14">
      <c r="N405" s="31"/>
    </row>
    <row r="406" spans="14:14">
      <c r="N406" s="31"/>
    </row>
    <row r="407" spans="14:14">
      <c r="N407" s="31"/>
    </row>
    <row r="408" spans="14:14">
      <c r="N408" s="31"/>
    </row>
    <row r="409" spans="14:14">
      <c r="N409" s="31"/>
    </row>
    <row r="410" spans="14:14">
      <c r="N410" s="31"/>
    </row>
    <row r="411" spans="14:14">
      <c r="N411" s="31"/>
    </row>
    <row r="412" spans="14:14">
      <c r="N412" s="31"/>
    </row>
    <row r="413" spans="14:14">
      <c r="N413" s="31"/>
    </row>
    <row r="414" spans="14:14">
      <c r="N414" s="31"/>
    </row>
    <row r="415" spans="14:14">
      <c r="N415" s="31"/>
    </row>
    <row r="416" spans="14:14">
      <c r="N416" s="31"/>
    </row>
    <row r="417" spans="14:14">
      <c r="N417" s="31"/>
    </row>
    <row r="418" spans="14:14">
      <c r="N418" s="31"/>
    </row>
    <row r="419" spans="14:14">
      <c r="N419" s="31"/>
    </row>
    <row r="420" spans="14:14">
      <c r="N420" s="31"/>
    </row>
    <row r="421" spans="14:14">
      <c r="N421" s="31"/>
    </row>
    <row r="422" spans="14:14">
      <c r="N422" s="31"/>
    </row>
    <row r="423" spans="14:14">
      <c r="N423" s="31"/>
    </row>
    <row r="424" spans="14:14">
      <c r="N424" s="31"/>
    </row>
    <row r="425" spans="14:14">
      <c r="N425" s="31"/>
    </row>
    <row r="426" spans="14:14">
      <c r="N426" s="31"/>
    </row>
    <row r="427" spans="14:14">
      <c r="N427" s="31"/>
    </row>
    <row r="428" spans="14:14">
      <c r="N428" s="31"/>
    </row>
    <row r="429" spans="14:14">
      <c r="N429" s="31"/>
    </row>
    <row r="430" spans="14:14">
      <c r="N430" s="31"/>
    </row>
    <row r="431" spans="14:14">
      <c r="N431" s="31"/>
    </row>
    <row r="432" spans="14:14">
      <c r="N432" s="31"/>
    </row>
    <row r="433" spans="14:14">
      <c r="N433" s="31"/>
    </row>
    <row r="434" spans="14:14">
      <c r="N434" s="31"/>
    </row>
    <row r="435" spans="14:14">
      <c r="N435" s="31"/>
    </row>
    <row r="436" spans="14:14">
      <c r="N436" s="31"/>
    </row>
    <row r="437" spans="14:14">
      <c r="N437" s="31"/>
    </row>
    <row r="438" spans="14:14">
      <c r="N438" s="31"/>
    </row>
    <row r="439" spans="14:14">
      <c r="N439" s="31"/>
    </row>
    <row r="440" spans="14:14">
      <c r="N440" s="31"/>
    </row>
    <row r="441" spans="14:14">
      <c r="N441" s="31"/>
    </row>
    <row r="442" spans="14:14">
      <c r="N442" s="31"/>
    </row>
    <row r="443" spans="14:14">
      <c r="N443" s="31"/>
    </row>
    <row r="444" spans="14:14">
      <c r="N444" s="31"/>
    </row>
    <row r="445" spans="14:14">
      <c r="N445" s="31"/>
    </row>
    <row r="446" spans="14:14">
      <c r="N446" s="31"/>
    </row>
    <row r="447" spans="14:14">
      <c r="N447" s="31"/>
    </row>
    <row r="448" spans="14:14">
      <c r="N448" s="31"/>
    </row>
    <row r="449" spans="14:14">
      <c r="N449" s="31"/>
    </row>
    <row r="450" spans="14:14">
      <c r="N450" s="31"/>
    </row>
    <row r="451" spans="14:14">
      <c r="N451" s="31"/>
    </row>
    <row r="452" spans="14:14">
      <c r="N452" s="31"/>
    </row>
    <row r="453" spans="14:14">
      <c r="N453" s="31"/>
    </row>
    <row r="454" spans="14:14">
      <c r="N454" s="31"/>
    </row>
    <row r="455" spans="14:14">
      <c r="N455" s="31"/>
    </row>
    <row r="456" spans="14:14">
      <c r="N456" s="31"/>
    </row>
    <row r="457" spans="14:14">
      <c r="N457" s="31"/>
    </row>
    <row r="458" spans="14:14">
      <c r="N458" s="31"/>
    </row>
    <row r="459" spans="14:14">
      <c r="N459" s="31"/>
    </row>
    <row r="460" spans="14:14">
      <c r="N460" s="31"/>
    </row>
    <row r="461" spans="14:14">
      <c r="N461" s="31"/>
    </row>
    <row r="462" spans="14:14">
      <c r="N462" s="31"/>
    </row>
    <row r="463" spans="14:14">
      <c r="N463" s="31"/>
    </row>
    <row r="464" spans="14:14">
      <c r="N464" s="31"/>
    </row>
    <row r="465" spans="14:14">
      <c r="N465" s="31"/>
    </row>
    <row r="466" spans="14:14">
      <c r="N466" s="31"/>
    </row>
    <row r="467" spans="14:14">
      <c r="N467" s="31"/>
    </row>
    <row r="468" spans="14:14">
      <c r="N468" s="31"/>
    </row>
    <row r="469" spans="14:14">
      <c r="N469" s="31"/>
    </row>
    <row r="470" spans="14:14">
      <c r="N470" s="31"/>
    </row>
    <row r="471" spans="14:14">
      <c r="N471" s="31"/>
    </row>
    <row r="472" spans="14:14">
      <c r="N472" s="31"/>
    </row>
    <row r="473" spans="14:14">
      <c r="N473" s="31"/>
    </row>
    <row r="474" spans="14:14">
      <c r="N474" s="31"/>
    </row>
    <row r="475" spans="14:14">
      <c r="N475" s="31"/>
    </row>
    <row r="476" spans="14:14">
      <c r="N476" s="31"/>
    </row>
    <row r="477" spans="14:14">
      <c r="N477" s="31"/>
    </row>
    <row r="478" spans="14:14">
      <c r="N478" s="31"/>
    </row>
    <row r="479" spans="14:14">
      <c r="N479" s="31"/>
    </row>
    <row r="480" spans="14:14">
      <c r="N480" s="31"/>
    </row>
    <row r="481" spans="14:14">
      <c r="N481" s="31"/>
    </row>
    <row r="482" spans="14:14">
      <c r="N482" s="31"/>
    </row>
    <row r="483" spans="14:14">
      <c r="N483" s="31"/>
    </row>
    <row r="484" spans="14:14">
      <c r="N484" s="31"/>
    </row>
    <row r="485" spans="14:14">
      <c r="N485" s="31"/>
    </row>
    <row r="486" spans="14:14">
      <c r="N486" s="31"/>
    </row>
    <row r="487" spans="14:14">
      <c r="N487" s="31"/>
    </row>
    <row r="488" spans="14:14">
      <c r="N488" s="31"/>
    </row>
    <row r="489" spans="14:14">
      <c r="N489" s="31"/>
    </row>
    <row r="490" spans="14:14">
      <c r="N490" s="31"/>
    </row>
    <row r="491" spans="14:14">
      <c r="N491" s="31"/>
    </row>
    <row r="492" spans="14:14">
      <c r="N492" s="31"/>
    </row>
    <row r="493" spans="14:14">
      <c r="N493" s="31"/>
    </row>
    <row r="494" spans="14:14">
      <c r="N494" s="31"/>
    </row>
    <row r="495" spans="14:14">
      <c r="N495" s="31"/>
    </row>
    <row r="496" spans="14:14">
      <c r="N496" s="31"/>
    </row>
    <row r="497" spans="14:14">
      <c r="N497" s="31"/>
    </row>
    <row r="498" spans="14:14">
      <c r="N498" s="31"/>
    </row>
    <row r="499" spans="14:14">
      <c r="N499" s="31"/>
    </row>
    <row r="500" spans="14:14">
      <c r="N500" s="31"/>
    </row>
    <row r="501" spans="14:14">
      <c r="N501" s="31"/>
    </row>
    <row r="502" spans="14:14">
      <c r="N502" s="31"/>
    </row>
    <row r="503" spans="14:14">
      <c r="N503" s="31"/>
    </row>
    <row r="504" spans="14:14">
      <c r="N504" s="31"/>
    </row>
    <row r="505" spans="14:14">
      <c r="N505" s="31"/>
    </row>
    <row r="506" spans="14:14">
      <c r="N506" s="31"/>
    </row>
    <row r="507" spans="14:14">
      <c r="N507" s="31"/>
    </row>
    <row r="508" spans="14:14">
      <c r="N508" s="31"/>
    </row>
    <row r="509" spans="14:14">
      <c r="N509" s="31"/>
    </row>
    <row r="510" spans="14:14">
      <c r="N510" s="31"/>
    </row>
    <row r="511" spans="14:14">
      <c r="N511" s="31"/>
    </row>
    <row r="512" spans="14:14">
      <c r="N512" s="31"/>
    </row>
    <row r="513" spans="14:14">
      <c r="N513" s="31"/>
    </row>
    <row r="514" spans="14:14">
      <c r="N514" s="31"/>
    </row>
    <row r="515" spans="14:14">
      <c r="N515" s="31"/>
    </row>
    <row r="516" spans="14:14">
      <c r="N516" s="31"/>
    </row>
    <row r="517" spans="14:14">
      <c r="N517" s="31"/>
    </row>
    <row r="518" spans="14:14">
      <c r="N518" s="31"/>
    </row>
    <row r="519" spans="14:14">
      <c r="N519" s="31"/>
    </row>
    <row r="520" spans="14:14">
      <c r="N520" s="31"/>
    </row>
    <row r="521" spans="14:14">
      <c r="N521" s="31"/>
    </row>
    <row r="522" spans="14:14">
      <c r="N522" s="31"/>
    </row>
    <row r="523" spans="14:14">
      <c r="N523" s="31"/>
    </row>
    <row r="524" spans="14:14">
      <c r="N524" s="31"/>
    </row>
    <row r="525" spans="14:14">
      <c r="N525" s="31"/>
    </row>
    <row r="526" spans="14:14">
      <c r="N526" s="31"/>
    </row>
    <row r="527" spans="14:14">
      <c r="N527" s="31"/>
    </row>
    <row r="528" spans="14:14">
      <c r="N528" s="31"/>
    </row>
    <row r="529" spans="14:14">
      <c r="N529" s="31"/>
    </row>
    <row r="530" spans="14:14">
      <c r="N530" s="31"/>
    </row>
    <row r="531" spans="14:14">
      <c r="N531" s="31"/>
    </row>
    <row r="532" spans="14:14">
      <c r="N532" s="31"/>
    </row>
    <row r="533" spans="14:14">
      <c r="N533" s="31"/>
    </row>
    <row r="534" spans="14:14">
      <c r="N534" s="31"/>
    </row>
    <row r="535" spans="14:14">
      <c r="N535" s="31"/>
    </row>
    <row r="536" spans="14:14">
      <c r="N536" s="31"/>
    </row>
    <row r="537" spans="14:14">
      <c r="N537" s="31"/>
    </row>
    <row r="538" spans="14:14">
      <c r="N538" s="31"/>
    </row>
    <row r="539" spans="14:14">
      <c r="N539" s="31"/>
    </row>
    <row r="540" spans="14:14">
      <c r="N540" s="31"/>
    </row>
    <row r="541" spans="14:14">
      <c r="N541" s="31"/>
    </row>
    <row r="542" spans="14:14">
      <c r="N542" s="31"/>
    </row>
    <row r="543" spans="14:14">
      <c r="N543" s="31"/>
    </row>
    <row r="544" spans="14:14">
      <c r="N544" s="31"/>
    </row>
    <row r="545" spans="14:14">
      <c r="N545" s="31"/>
    </row>
    <row r="546" spans="14:14">
      <c r="N546" s="31"/>
    </row>
    <row r="547" spans="14:14">
      <c r="N547" s="31"/>
    </row>
    <row r="548" spans="14:14">
      <c r="N548" s="31"/>
    </row>
    <row r="549" spans="14:14">
      <c r="N549" s="31"/>
    </row>
    <row r="550" spans="14:14">
      <c r="N550" s="31"/>
    </row>
    <row r="551" spans="14:14">
      <c r="N551" s="31"/>
    </row>
    <row r="552" spans="14:14">
      <c r="N552" s="31"/>
    </row>
    <row r="553" spans="14:14">
      <c r="N553" s="31"/>
    </row>
    <row r="554" spans="14:14">
      <c r="N554" s="31"/>
    </row>
    <row r="555" spans="14:14">
      <c r="N555" s="31"/>
    </row>
    <row r="556" spans="14:14">
      <c r="N556" s="31"/>
    </row>
    <row r="557" spans="14:14">
      <c r="N557" s="31"/>
    </row>
    <row r="558" spans="14:14">
      <c r="N558" s="31"/>
    </row>
    <row r="559" spans="14:14">
      <c r="N559" s="31"/>
    </row>
    <row r="560" spans="14:14">
      <c r="N560" s="31"/>
    </row>
    <row r="561" spans="14:14">
      <c r="N561" s="31"/>
    </row>
    <row r="562" spans="14:14">
      <c r="N562" s="31"/>
    </row>
    <row r="563" spans="14:14">
      <c r="N563" s="31"/>
    </row>
    <row r="564" spans="14:14">
      <c r="N564" s="31"/>
    </row>
    <row r="565" spans="14:14">
      <c r="N565" s="31"/>
    </row>
    <row r="566" spans="14:14">
      <c r="N566" s="31"/>
    </row>
    <row r="567" spans="14:14">
      <c r="N567" s="31"/>
    </row>
    <row r="568" spans="14:14">
      <c r="N568" s="31"/>
    </row>
    <row r="569" spans="14:14">
      <c r="N569" s="31"/>
    </row>
    <row r="570" spans="14:14">
      <c r="N570" s="31"/>
    </row>
    <row r="571" spans="14:14">
      <c r="N571" s="31"/>
    </row>
    <row r="572" spans="14:14">
      <c r="N572" s="31"/>
    </row>
    <row r="573" spans="14:14">
      <c r="N573" s="31"/>
    </row>
    <row r="574" spans="14:14">
      <c r="N574" s="31"/>
    </row>
    <row r="575" spans="14:14">
      <c r="N575" s="31"/>
    </row>
    <row r="576" spans="14:14">
      <c r="N576" s="31"/>
    </row>
    <row r="577" spans="14:14">
      <c r="N577" s="31"/>
    </row>
    <row r="578" spans="14:14">
      <c r="N578" s="31"/>
    </row>
    <row r="579" spans="14:14">
      <c r="N579" s="31"/>
    </row>
    <row r="580" spans="14:14">
      <c r="N580" s="31"/>
    </row>
    <row r="581" spans="14:14">
      <c r="N581" s="31"/>
    </row>
    <row r="582" spans="14:14">
      <c r="N582" s="31"/>
    </row>
    <row r="583" spans="14:14">
      <c r="N583" s="31"/>
    </row>
    <row r="584" spans="14:14">
      <c r="N584" s="31"/>
    </row>
    <row r="585" spans="14:14">
      <c r="N585" s="31"/>
    </row>
    <row r="586" spans="14:14">
      <c r="N586" s="31"/>
    </row>
    <row r="587" spans="14:14">
      <c r="N587" s="31"/>
    </row>
    <row r="588" spans="14:14">
      <c r="N588" s="31"/>
    </row>
    <row r="589" spans="14:14">
      <c r="N589" s="31"/>
    </row>
    <row r="590" spans="14:14">
      <c r="N590" s="31"/>
    </row>
    <row r="591" spans="14:14">
      <c r="N591" s="31"/>
    </row>
    <row r="592" spans="14:14">
      <c r="N592" s="31"/>
    </row>
    <row r="593" spans="14:14">
      <c r="N593" s="31"/>
    </row>
    <row r="594" spans="14:14">
      <c r="N594" s="31"/>
    </row>
    <row r="595" spans="14:14">
      <c r="N595" s="31"/>
    </row>
    <row r="596" spans="14:14">
      <c r="N596" s="31"/>
    </row>
    <row r="597" spans="14:14">
      <c r="N597" s="31"/>
    </row>
    <row r="598" spans="14:14">
      <c r="N598" s="31"/>
    </row>
    <row r="599" spans="14:14">
      <c r="N599" s="31"/>
    </row>
    <row r="600" spans="14:14">
      <c r="N600" s="31"/>
    </row>
    <row r="601" spans="14:14">
      <c r="N601" s="31"/>
    </row>
    <row r="602" spans="14:14">
      <c r="N602" s="31"/>
    </row>
    <row r="603" spans="14:14">
      <c r="N603" s="31"/>
    </row>
    <row r="604" spans="14:14">
      <c r="N604" s="31"/>
    </row>
    <row r="605" spans="14:14">
      <c r="N605" s="31"/>
    </row>
    <row r="606" spans="14:14">
      <c r="N606" s="31"/>
    </row>
    <row r="607" spans="14:14">
      <c r="N607" s="31"/>
    </row>
    <row r="608" spans="14:14">
      <c r="N608" s="31"/>
    </row>
    <row r="609" spans="14:14">
      <c r="N609" s="31"/>
    </row>
    <row r="610" spans="14:14">
      <c r="N610" s="31"/>
    </row>
    <row r="611" spans="14:14">
      <c r="N611" s="31"/>
    </row>
    <row r="612" spans="14:14">
      <c r="N612" s="31"/>
    </row>
    <row r="613" spans="14:14">
      <c r="N613" s="31"/>
    </row>
    <row r="614" spans="14:14">
      <c r="N614" s="31"/>
    </row>
    <row r="615" spans="14:14">
      <c r="N615" s="31"/>
    </row>
    <row r="616" spans="14:14">
      <c r="N616" s="31"/>
    </row>
    <row r="617" spans="14:14">
      <c r="N617" s="31"/>
    </row>
    <row r="618" spans="14:14">
      <c r="N618" s="31"/>
    </row>
    <row r="619" spans="14:14">
      <c r="N619" s="31"/>
    </row>
    <row r="620" spans="14:14">
      <c r="N620" s="31"/>
    </row>
    <row r="621" spans="14:14">
      <c r="N621" s="31"/>
    </row>
    <row r="622" spans="14:14">
      <c r="N622" s="31"/>
    </row>
    <row r="623" spans="14:14">
      <c r="N623" s="31"/>
    </row>
    <row r="624" spans="14:14">
      <c r="N624" s="31"/>
    </row>
    <row r="625" spans="14:14">
      <c r="N625" s="31"/>
    </row>
    <row r="626" spans="14:14">
      <c r="N626" s="31"/>
    </row>
    <row r="627" spans="14:14">
      <c r="N627" s="31"/>
    </row>
    <row r="628" spans="14:14">
      <c r="N628" s="31"/>
    </row>
    <row r="629" spans="14:14">
      <c r="N629" s="31"/>
    </row>
    <row r="630" spans="14:14">
      <c r="N630" s="31"/>
    </row>
    <row r="631" spans="14:14">
      <c r="N631" s="31"/>
    </row>
    <row r="632" spans="14:14">
      <c r="N632" s="31"/>
    </row>
    <row r="633" spans="14:14">
      <c r="N633" s="31"/>
    </row>
    <row r="634" spans="14:14">
      <c r="N634" s="31"/>
    </row>
    <row r="635" spans="14:14">
      <c r="N635" s="31"/>
    </row>
    <row r="636" spans="14:14">
      <c r="N636" s="31"/>
    </row>
    <row r="637" spans="14:14">
      <c r="N637" s="31"/>
    </row>
    <row r="638" spans="14:14">
      <c r="N638" s="31"/>
    </row>
    <row r="639" spans="14:14">
      <c r="N639" s="31"/>
    </row>
    <row r="640" spans="14:14">
      <c r="N640" s="31"/>
    </row>
    <row r="641" spans="14:14">
      <c r="N641" s="31"/>
    </row>
    <row r="642" spans="14:14">
      <c r="N642" s="31"/>
    </row>
    <row r="643" spans="14:14">
      <c r="N643" s="31"/>
    </row>
    <row r="644" spans="14:14">
      <c r="N644" s="31"/>
    </row>
    <row r="645" spans="14:14">
      <c r="N645" s="31"/>
    </row>
    <row r="646" spans="14:14">
      <c r="N646" s="31"/>
    </row>
    <row r="647" spans="14:14">
      <c r="N647" s="31"/>
    </row>
    <row r="648" spans="14:14">
      <c r="N648" s="31"/>
    </row>
    <row r="649" spans="14:14">
      <c r="N649" s="31"/>
    </row>
    <row r="650" spans="14:14">
      <c r="N650" s="31"/>
    </row>
    <row r="651" spans="14:14">
      <c r="N651" s="31"/>
    </row>
    <row r="652" spans="14:14">
      <c r="N652" s="31"/>
    </row>
    <row r="653" spans="14:14">
      <c r="N653" s="31"/>
    </row>
    <row r="654" spans="14:14">
      <c r="N654" s="31"/>
    </row>
    <row r="655" spans="14:14">
      <c r="N655" s="31"/>
    </row>
    <row r="656" spans="14:14">
      <c r="N656" s="31"/>
    </row>
    <row r="657" spans="14:14">
      <c r="N657" s="31"/>
    </row>
    <row r="658" spans="14:14">
      <c r="N658" s="31"/>
    </row>
    <row r="659" spans="14:14">
      <c r="N659" s="31"/>
    </row>
    <row r="660" spans="14:14">
      <c r="N660" s="31"/>
    </row>
    <row r="661" spans="14:14">
      <c r="N661" s="31"/>
    </row>
    <row r="662" spans="14:14">
      <c r="N662" s="31"/>
    </row>
    <row r="663" spans="14:14">
      <c r="N663" s="31"/>
    </row>
    <row r="664" spans="14:14">
      <c r="N664" s="31"/>
    </row>
    <row r="665" spans="14:14">
      <c r="N665" s="31"/>
    </row>
    <row r="666" spans="14:14">
      <c r="N666" s="31"/>
    </row>
    <row r="667" spans="14:14">
      <c r="N667" s="31"/>
    </row>
    <row r="668" spans="14:14">
      <c r="N668" s="31"/>
    </row>
    <row r="669" spans="14:14">
      <c r="N669" s="31"/>
    </row>
    <row r="670" spans="14:14">
      <c r="N670" s="31"/>
    </row>
    <row r="671" spans="14:14">
      <c r="N671" s="31"/>
    </row>
    <row r="672" spans="14:14">
      <c r="N672" s="31"/>
    </row>
    <row r="673" spans="14:14">
      <c r="N673" s="31"/>
    </row>
    <row r="674" spans="14:14">
      <c r="N674" s="31"/>
    </row>
    <row r="675" spans="14:14">
      <c r="N675" s="31"/>
    </row>
    <row r="676" spans="14:14">
      <c r="N676" s="31"/>
    </row>
    <row r="677" spans="14:14">
      <c r="N677" s="31"/>
    </row>
    <row r="678" spans="14:14">
      <c r="N678" s="31"/>
    </row>
    <row r="679" spans="14:14">
      <c r="N679" s="31"/>
    </row>
    <row r="680" spans="14:14">
      <c r="N680" s="31"/>
    </row>
    <row r="681" spans="14:14">
      <c r="N681" s="31"/>
    </row>
    <row r="682" spans="14:14">
      <c r="N682" s="31"/>
    </row>
  </sheetData>
  <mergeCells count="1">
    <mergeCell ref="Y2:AA2"/>
  </mergeCells>
  <pageMargins left="0.7" right="0.7" top="0.75" bottom="0.75" header="0.3" footer="0.3"/>
  <pageSetup scale="60" fitToHeight="0" orientation="portrait" r:id="rId1"/>
  <headerFooter alignWithMargins="0"/>
  <rowBreaks count="1" manualBreakCount="1">
    <brk id="91" max="23" man="1"/>
  </rowBreaks>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8" tint="0.59999389629810485"/>
  </sheetPr>
  <dimension ref="A1:AL682"/>
  <sheetViews>
    <sheetView showGridLines="0" workbookViewId="0">
      <pane xSplit="10" ySplit="4" topLeftCell="K5" activePane="bottomRight" state="frozen"/>
      <selection activeCell="AC362" sqref="AC362"/>
      <selection pane="topRight" activeCell="AC362" sqref="AC362"/>
      <selection pane="bottomLeft" activeCell="AC362" sqref="AC362"/>
      <selection pane="bottomRight"/>
    </sheetView>
  </sheetViews>
  <sheetFormatPr defaultRowHeight="12.75" outlineLevelRow="1" outlineLevelCol="1"/>
  <cols>
    <col min="1" max="1" width="27.42578125" style="31" customWidth="1"/>
    <col min="2" max="3" width="7.85546875" style="31" hidden="1" customWidth="1" outlineLevel="1"/>
    <col min="4" max="4" width="7.85546875" style="31" hidden="1" customWidth="1" outlineLevel="1" collapsed="1"/>
    <col min="5" max="5" width="7.85546875" style="31" hidden="1" customWidth="1" outlineLevel="1"/>
    <col min="6" max="6" width="7.85546875" style="31" hidden="1" customWidth="1" outlineLevel="1" collapsed="1"/>
    <col min="7" max="10" width="7.85546875" style="31" hidden="1" customWidth="1" outlineLevel="1"/>
    <col min="11" max="11" width="7.85546875" style="31" customWidth="1" collapsed="1"/>
    <col min="12" max="13" width="7.85546875" style="31" customWidth="1"/>
    <col min="14" max="14" width="7.85546875" style="784" customWidth="1"/>
    <col min="15" max="23" width="7.85546875" style="31" customWidth="1"/>
    <col min="24" max="29" width="9.140625" style="31" customWidth="1"/>
    <col min="30" max="16384" width="9.140625" style="31"/>
  </cols>
  <sheetData>
    <row r="1" spans="1:32" s="43" customFormat="1" ht="18">
      <c r="A1" s="112" t="s">
        <v>25</v>
      </c>
      <c r="B1" s="126"/>
      <c r="C1" s="126"/>
      <c r="D1" s="126"/>
      <c r="E1" s="126"/>
      <c r="F1" s="126"/>
      <c r="G1" s="126"/>
      <c r="H1" s="126"/>
      <c r="I1" s="126"/>
      <c r="J1" s="126"/>
      <c r="K1" s="126"/>
      <c r="L1" s="126"/>
      <c r="M1" s="126"/>
      <c r="N1" s="126"/>
      <c r="O1" s="126"/>
      <c r="P1" s="126"/>
      <c r="Q1" s="169"/>
      <c r="R1" s="169"/>
      <c r="S1" s="169"/>
      <c r="T1" s="169"/>
      <c r="U1" s="169"/>
      <c r="V1" s="169"/>
      <c r="W1" s="169"/>
      <c r="X1" s="1292"/>
      <c r="Y1" s="1519"/>
      <c r="Z1" s="1519"/>
      <c r="AA1" s="1519"/>
      <c r="AB1" s="1292"/>
      <c r="AC1" s="1292"/>
      <c r="AD1" s="1292"/>
      <c r="AE1" s="1292"/>
      <c r="AF1" s="1292"/>
    </row>
    <row r="2" spans="1:32">
      <c r="A2" s="170" t="s">
        <v>1416</v>
      </c>
      <c r="B2" s="1841"/>
      <c r="C2" s="126"/>
      <c r="D2" s="126"/>
      <c r="E2" s="126"/>
      <c r="F2" s="126"/>
      <c r="G2" s="126"/>
      <c r="H2" s="126"/>
      <c r="I2" s="126"/>
      <c r="J2" s="126"/>
      <c r="K2" s="126"/>
      <c r="L2" s="126"/>
      <c r="M2" s="126"/>
      <c r="N2" s="126"/>
      <c r="O2" s="126"/>
      <c r="P2" s="126"/>
      <c r="Q2" s="126"/>
      <c r="R2" s="126"/>
      <c r="S2" s="126"/>
      <c r="T2" s="438"/>
      <c r="U2" s="438"/>
      <c r="V2" s="438"/>
      <c r="W2" s="438" t="s">
        <v>27</v>
      </c>
      <c r="X2" s="1181"/>
      <c r="Y2" s="2535" t="s">
        <v>340</v>
      </c>
      <c r="Z2" s="2535"/>
      <c r="AA2" s="2535"/>
      <c r="AB2" s="1181"/>
      <c r="AC2" s="1181"/>
      <c r="AD2" s="1181"/>
      <c r="AE2" s="1181"/>
      <c r="AF2" s="1181"/>
    </row>
    <row r="3" spans="1:32" s="41" customFormat="1">
      <c r="A3" s="2169"/>
      <c r="B3" s="2170"/>
      <c r="C3" s="2170"/>
      <c r="D3" s="2170"/>
      <c r="E3" s="2170"/>
      <c r="F3" s="2170"/>
      <c r="G3" s="2170"/>
      <c r="H3" s="2170"/>
      <c r="I3" s="2170"/>
      <c r="J3" s="2170"/>
      <c r="K3" s="2170"/>
      <c r="L3" s="2170"/>
      <c r="M3" s="2170"/>
      <c r="N3" s="2340"/>
      <c r="O3" s="2340"/>
      <c r="P3" s="2340"/>
      <c r="Q3" s="2340"/>
      <c r="R3" s="2340"/>
      <c r="S3" s="2340"/>
      <c r="T3" s="2171"/>
      <c r="U3" s="2171"/>
      <c r="V3" s="2171"/>
      <c r="W3" s="2171"/>
      <c r="X3" s="1181"/>
      <c r="Y3" s="2172" t="s">
        <v>1538</v>
      </c>
      <c r="Z3" s="2389"/>
      <c r="AA3" s="2389"/>
      <c r="AB3" s="1181"/>
      <c r="AC3" s="1181"/>
      <c r="AD3" s="1181"/>
      <c r="AE3" s="1181"/>
      <c r="AF3" s="1181"/>
    </row>
    <row r="4" spans="1:32">
      <c r="A4" s="1342" t="s">
        <v>202</v>
      </c>
      <c r="B4" s="1343">
        <v>2004</v>
      </c>
      <c r="C4" s="1343">
        <v>2005</v>
      </c>
      <c r="D4" s="1343">
        <v>2006</v>
      </c>
      <c r="E4" s="1343">
        <v>2007</v>
      </c>
      <c r="F4" s="1343">
        <v>2008</v>
      </c>
      <c r="G4" s="1343">
        <v>2009</v>
      </c>
      <c r="H4" s="1343">
        <v>2010</v>
      </c>
      <c r="I4" s="1343">
        <v>2011</v>
      </c>
      <c r="J4" s="1343">
        <v>2012</v>
      </c>
      <c r="K4" s="1343">
        <v>2013</v>
      </c>
      <c r="L4" s="1343">
        <v>2014</v>
      </c>
      <c r="M4" s="1343">
        <v>2015</v>
      </c>
      <c r="N4" s="1343">
        <v>2016</v>
      </c>
      <c r="O4" s="1343">
        <v>2017</v>
      </c>
      <c r="P4" s="1344">
        <v>2018</v>
      </c>
      <c r="Q4" s="1344">
        <v>2019</v>
      </c>
      <c r="R4" s="1344">
        <v>2020</v>
      </c>
      <c r="S4" s="1344">
        <v>2021</v>
      </c>
      <c r="T4" s="1344">
        <v>2022</v>
      </c>
      <c r="U4" s="1344">
        <v>2023</v>
      </c>
      <c r="V4" s="1344">
        <v>2024</v>
      </c>
      <c r="W4" s="1344">
        <v>2025</v>
      </c>
      <c r="X4" s="731"/>
      <c r="Y4" s="1519" t="s">
        <v>1687</v>
      </c>
      <c r="Z4" s="1519" t="s">
        <v>1717</v>
      </c>
      <c r="AA4" s="1519" t="s">
        <v>1688</v>
      </c>
      <c r="AB4" s="731"/>
      <c r="AC4" s="1181"/>
      <c r="AD4" s="1181"/>
      <c r="AE4" s="1181"/>
      <c r="AF4" s="1181"/>
    </row>
    <row r="5" spans="1:32" ht="12.75" customHeight="1">
      <c r="A5" s="990" t="s">
        <v>974</v>
      </c>
      <c r="B5" s="1175"/>
      <c r="C5" s="1175"/>
      <c r="D5" s="1340">
        <v>9000</v>
      </c>
      <c r="E5" s="1340">
        <v>9500</v>
      </c>
      <c r="F5" s="1340">
        <v>12000</v>
      </c>
      <c r="G5" s="1340">
        <v>12900</v>
      </c>
      <c r="H5" s="1340">
        <v>13100</v>
      </c>
      <c r="I5" s="1340">
        <v>14500</v>
      </c>
      <c r="J5" s="1340">
        <v>14800</v>
      </c>
      <c r="K5" s="1340">
        <v>16000</v>
      </c>
      <c r="L5" s="1340">
        <v>20000</v>
      </c>
      <c r="M5" s="1340">
        <v>20000</v>
      </c>
      <c r="N5" s="1340">
        <v>20024</v>
      </c>
      <c r="O5" s="1340">
        <v>24000</v>
      </c>
      <c r="P5" s="1341">
        <v>24000</v>
      </c>
      <c r="Q5" s="1341">
        <v>24000</v>
      </c>
      <c r="R5" s="1341">
        <v>24500</v>
      </c>
      <c r="S5" s="1341">
        <v>25000</v>
      </c>
      <c r="T5" s="1341">
        <v>25500</v>
      </c>
      <c r="U5" s="1341">
        <v>26000</v>
      </c>
      <c r="V5" s="1341">
        <v>26500</v>
      </c>
      <c r="W5" s="1341">
        <v>27000</v>
      </c>
      <c r="X5" s="731"/>
      <c r="Y5" s="1215">
        <v>9.0342271131966578E-2</v>
      </c>
      <c r="Z5" s="1215">
        <v>1.036297108184514E-2</v>
      </c>
      <c r="AA5" s="1215">
        <v>1.5511278397481565E-2</v>
      </c>
      <c r="AB5" s="731"/>
      <c r="AC5" s="1181"/>
      <c r="AD5" s="1181"/>
      <c r="AE5" s="1181"/>
      <c r="AF5" s="1181"/>
    </row>
    <row r="6" spans="1:32">
      <c r="A6" s="1120" t="s">
        <v>965</v>
      </c>
      <c r="B6" s="2240"/>
      <c r="C6" s="2240"/>
      <c r="D6" s="2240">
        <v>9739</v>
      </c>
      <c r="E6" s="2240">
        <v>9276</v>
      </c>
      <c r="F6" s="2240">
        <v>10218</v>
      </c>
      <c r="G6" s="2240">
        <v>12001</v>
      </c>
      <c r="H6" s="2240">
        <v>12923</v>
      </c>
      <c r="I6" s="2240">
        <v>13067</v>
      </c>
      <c r="J6" s="2240">
        <v>10590</v>
      </c>
      <c r="K6" s="2240">
        <v>12885</v>
      </c>
      <c r="L6" s="2240">
        <v>15593</v>
      </c>
      <c r="M6" s="2240">
        <v>18718</v>
      </c>
      <c r="N6" s="2240">
        <v>20024</v>
      </c>
      <c r="O6" s="2240">
        <v>19281</v>
      </c>
      <c r="P6" s="2241">
        <v>22299.999999999996</v>
      </c>
      <c r="Q6" s="2241">
        <v>23414.999999999996</v>
      </c>
      <c r="R6" s="2241">
        <v>23883.3</v>
      </c>
      <c r="S6" s="2241">
        <v>24599.798999999995</v>
      </c>
      <c r="T6" s="2241">
        <v>25131.154658399995</v>
      </c>
      <c r="U6" s="2241">
        <v>25673.987599021435</v>
      </c>
      <c r="V6" s="2241">
        <v>26228.545731160295</v>
      </c>
      <c r="W6" s="2241">
        <v>26795.082318953362</v>
      </c>
      <c r="X6" s="731"/>
      <c r="Y6" s="1215">
        <v>5.8823920970006549E-2</v>
      </c>
      <c r="Z6" s="1215">
        <v>3.4891298639620594E-2</v>
      </c>
      <c r="AA6" s="1215">
        <v>1.7242993907308657E-2</v>
      </c>
      <c r="AB6" s="731"/>
      <c r="AC6" s="1181"/>
      <c r="AD6" s="1181"/>
      <c r="AE6" s="1181"/>
      <c r="AF6" s="1181"/>
    </row>
    <row r="7" spans="1:32" ht="12.75" customHeight="1">
      <c r="A7" s="1141" t="s">
        <v>204</v>
      </c>
      <c r="B7" s="1127"/>
      <c r="C7" s="1127"/>
      <c r="D7" s="1127">
        <v>6745</v>
      </c>
      <c r="E7" s="1127">
        <v>6191</v>
      </c>
      <c r="F7" s="1127">
        <v>6673</v>
      </c>
      <c r="G7" s="1127">
        <v>7212</v>
      </c>
      <c r="H7" s="1127">
        <v>7584</v>
      </c>
      <c r="I7" s="1127">
        <v>8511</v>
      </c>
      <c r="J7" s="1127">
        <v>6886</v>
      </c>
      <c r="K7" s="1127">
        <v>8206</v>
      </c>
      <c r="L7" s="1127">
        <v>10315</v>
      </c>
      <c r="M7" s="1127">
        <v>12326</v>
      </c>
      <c r="N7" s="1127">
        <v>12985</v>
      </c>
      <c r="O7" s="1127">
        <v>13398</v>
      </c>
      <c r="P7" s="1173">
        <v>15495.84565115917</v>
      </c>
      <c r="Q7" s="1173">
        <v>16270.637933717129</v>
      </c>
      <c r="R7" s="1173">
        <v>16596.050692391473</v>
      </c>
      <c r="S7" s="1173">
        <v>17093.932213163214</v>
      </c>
      <c r="T7" s="1173">
        <v>17463.161148967538</v>
      </c>
      <c r="U7" s="1173">
        <v>17840.365429785237</v>
      </c>
      <c r="V7" s="1173">
        <v>18225.717323068598</v>
      </c>
      <c r="W7" s="1173">
        <v>18619.39281724688</v>
      </c>
      <c r="X7" s="731"/>
      <c r="Y7" s="1215">
        <v>8.4690783139507397E-2</v>
      </c>
      <c r="Z7" s="1215">
        <v>3.4891298639620594E-2</v>
      </c>
      <c r="AA7" s="1215">
        <v>1.7242993907308657E-2</v>
      </c>
      <c r="AB7" s="731"/>
      <c r="AC7" s="1181"/>
      <c r="AD7" s="1181"/>
      <c r="AE7" s="1181"/>
      <c r="AF7" s="1181"/>
    </row>
    <row r="8" spans="1:32" ht="12.75" customHeight="1">
      <c r="A8" s="1141" t="s">
        <v>205</v>
      </c>
      <c r="B8" s="1127"/>
      <c r="C8" s="1127"/>
      <c r="D8" s="1127">
        <v>2994</v>
      </c>
      <c r="E8" s="1127">
        <v>3085</v>
      </c>
      <c r="F8" s="1127">
        <v>3545</v>
      </c>
      <c r="G8" s="1127">
        <v>4789</v>
      </c>
      <c r="H8" s="1127">
        <v>5339</v>
      </c>
      <c r="I8" s="1127">
        <v>4556</v>
      </c>
      <c r="J8" s="1127">
        <v>3704</v>
      </c>
      <c r="K8" s="1127">
        <v>4679</v>
      </c>
      <c r="L8" s="1127">
        <v>5278</v>
      </c>
      <c r="M8" s="1127">
        <v>6392</v>
      </c>
      <c r="N8" s="1127">
        <v>7039</v>
      </c>
      <c r="O8" s="1127">
        <v>5883</v>
      </c>
      <c r="P8" s="1173">
        <v>6804.154348840827</v>
      </c>
      <c r="Q8" s="1173">
        <v>7144.362066282868</v>
      </c>
      <c r="R8" s="1173">
        <v>7287.2493076085257</v>
      </c>
      <c r="S8" s="1173">
        <v>7505.8667868367811</v>
      </c>
      <c r="T8" s="1173">
        <v>7667.9935094324555</v>
      </c>
      <c r="U8" s="1173">
        <v>7833.6221692361969</v>
      </c>
      <c r="V8" s="1173">
        <v>8002.8284080916983</v>
      </c>
      <c r="W8" s="1173">
        <v>8175.6895017064799</v>
      </c>
      <c r="X8" s="731"/>
      <c r="Y8" s="1215">
        <v>1.3957721453403904E-2</v>
      </c>
      <c r="Z8" s="1215">
        <v>3.4891298639620372E-2</v>
      </c>
      <c r="AA8" s="1215">
        <v>1.7242993907308657E-2</v>
      </c>
      <c r="AB8" s="731"/>
      <c r="AC8" s="1181"/>
      <c r="AD8" s="1181"/>
      <c r="AE8" s="1181"/>
      <c r="AF8" s="1181"/>
    </row>
    <row r="9" spans="1:32" ht="12.75" customHeight="1">
      <c r="A9" s="731" t="s">
        <v>671</v>
      </c>
      <c r="B9" s="1126"/>
      <c r="C9" s="1126"/>
      <c r="D9" s="1126" t="e">
        <v>#N/A</v>
      </c>
      <c r="E9" s="1126" t="e">
        <v>#N/A</v>
      </c>
      <c r="F9" s="1126" t="e">
        <v>#N/A</v>
      </c>
      <c r="G9" s="1126" t="e">
        <v>#N/A</v>
      </c>
      <c r="H9" s="1126" t="e">
        <v>#N/A</v>
      </c>
      <c r="I9" s="1126" t="e">
        <v>#N/A</v>
      </c>
      <c r="J9" s="1126" t="e">
        <v>#N/A</v>
      </c>
      <c r="K9" s="1126">
        <v>139.13999999999999</v>
      </c>
      <c r="L9" s="1126">
        <v>136.94999999999999</v>
      </c>
      <c r="M9" s="1126">
        <v>141.6</v>
      </c>
      <c r="N9" s="1126">
        <v>128.9</v>
      </c>
      <c r="O9" s="1126">
        <v>130.30000000000001</v>
      </c>
      <c r="P9" s="1174">
        <v>134.5</v>
      </c>
      <c r="Q9" s="1174">
        <v>136.06499999999997</v>
      </c>
      <c r="R9" s="1174">
        <v>136.74032499999996</v>
      </c>
      <c r="S9" s="1174">
        <v>137.41902662499993</v>
      </c>
      <c r="T9" s="1174">
        <v>138.10112175812492</v>
      </c>
      <c r="U9" s="1174">
        <v>138.78662736691552</v>
      </c>
      <c r="V9" s="1174">
        <v>139.47556050375007</v>
      </c>
      <c r="W9" s="1174">
        <v>140.16793830626881</v>
      </c>
      <c r="X9" s="731"/>
      <c r="Y9" s="1520" t="s">
        <v>972</v>
      </c>
      <c r="Z9" s="1215">
        <v>8.2939509140247392E-3</v>
      </c>
      <c r="AA9" s="1215">
        <v>3.969139588533066E-3</v>
      </c>
      <c r="AB9" s="731"/>
      <c r="AC9" s="1181"/>
      <c r="AD9" s="1181"/>
      <c r="AE9" s="1181"/>
      <c r="AF9" s="1181"/>
    </row>
    <row r="10" spans="1:32">
      <c r="A10" s="1120" t="s">
        <v>1558</v>
      </c>
      <c r="B10" s="2239"/>
      <c r="C10" s="2239"/>
      <c r="D10" s="2240" t="s">
        <v>972</v>
      </c>
      <c r="E10" s="2240">
        <v>1403</v>
      </c>
      <c r="F10" s="2240">
        <v>1569</v>
      </c>
      <c r="G10" s="2240">
        <v>1514</v>
      </c>
      <c r="H10" s="2240">
        <v>1906</v>
      </c>
      <c r="I10" s="2240">
        <v>1774</v>
      </c>
      <c r="J10" s="2240">
        <v>1461</v>
      </c>
      <c r="K10" s="2240">
        <v>1793</v>
      </c>
      <c r="L10" s="2240">
        <v>2136</v>
      </c>
      <c r="M10" s="2240">
        <v>2650</v>
      </c>
      <c r="N10" s="2240">
        <v>2581</v>
      </c>
      <c r="O10" s="2240">
        <v>2512</v>
      </c>
      <c r="P10" s="2241">
        <v>2999.3499999999995</v>
      </c>
      <c r="Q10" s="2241">
        <v>3185.9619749999988</v>
      </c>
      <c r="R10" s="2241">
        <v>3265.8102040724984</v>
      </c>
      <c r="S10" s="2241">
        <v>3380.4804337506462</v>
      </c>
      <c r="T10" s="2241">
        <v>3470.6406494019661</v>
      </c>
      <c r="U10" s="2241">
        <v>3563.2061499281981</v>
      </c>
      <c r="V10" s="2241">
        <v>3658.2411170518239</v>
      </c>
      <c r="W10" s="2241">
        <v>3755.811445394449</v>
      </c>
      <c r="X10" s="731"/>
      <c r="Y10" s="1520"/>
      <c r="Z10" s="1215"/>
      <c r="AA10" s="1215"/>
      <c r="AB10" s="731"/>
      <c r="AC10" s="1181"/>
      <c r="AD10" s="1181"/>
      <c r="AE10" s="1181"/>
      <c r="AF10" s="1181"/>
    </row>
    <row r="11" spans="1:32" s="1417" customFormat="1" ht="12.75" hidden="1" customHeight="1" outlineLevel="1" collapsed="1">
      <c r="A11" s="1416" t="s">
        <v>1198</v>
      </c>
      <c r="B11" s="1175"/>
      <c r="C11" s="1175"/>
      <c r="D11" s="1175" t="e">
        <v>#N/A</v>
      </c>
      <c r="E11" s="1175" t="e">
        <v>#N/A</v>
      </c>
      <c r="F11" s="1175" t="e">
        <v>#N/A</v>
      </c>
      <c r="G11" s="1175" t="e">
        <v>#N/A</v>
      </c>
      <c r="H11" s="1175" t="e">
        <v>#N/A</v>
      </c>
      <c r="I11" s="1175" t="e">
        <v>#N/A</v>
      </c>
      <c r="J11" s="1175" t="e">
        <v>#N/A</v>
      </c>
      <c r="K11" s="1175">
        <v>88.58</v>
      </c>
      <c r="L11" s="1175">
        <v>99.47</v>
      </c>
      <c r="M11" s="1175">
        <v>87.6</v>
      </c>
      <c r="N11" s="1175">
        <v>85.9</v>
      </c>
      <c r="O11" s="1175">
        <v>78.752876712328785</v>
      </c>
      <c r="P11" s="1176">
        <v>91.083924624497243</v>
      </c>
      <c r="Q11" s="1176">
        <v>95.638120855722107</v>
      </c>
      <c r="R11" s="1176">
        <v>95.638120855722107</v>
      </c>
      <c r="S11" s="1176">
        <v>96.612894010597728</v>
      </c>
      <c r="T11" s="1176">
        <v>96.83747341705255</v>
      </c>
      <c r="U11" s="1176">
        <v>97.097141308733825</v>
      </c>
      <c r="V11" s="1176">
        <v>97.390904296256977</v>
      </c>
      <c r="W11" s="1176">
        <v>97.717859474965849</v>
      </c>
      <c r="X11" s="1416"/>
      <c r="Y11" s="1520" t="s">
        <v>972</v>
      </c>
      <c r="Z11" s="1215">
        <v>6.6894646285195369E-2</v>
      </c>
      <c r="AA11" s="1215">
        <v>2.2770146274395664E-3</v>
      </c>
      <c r="AB11" s="1416"/>
      <c r="AC11" s="1521"/>
      <c r="AD11" s="1521"/>
      <c r="AE11" s="1521"/>
      <c r="AF11" s="1521"/>
    </row>
    <row r="12" spans="1:32" ht="12.75" customHeight="1" collapsed="1">
      <c r="A12" s="2242" t="s">
        <v>1566</v>
      </c>
      <c r="B12" s="1179"/>
      <c r="C12" s="1179"/>
      <c r="D12" s="1179">
        <v>0.4276852678359338</v>
      </c>
      <c r="E12" s="1179">
        <v>0.50519321281368457</v>
      </c>
      <c r="F12" s="1179">
        <v>0.40447370691386925</v>
      </c>
      <c r="G12" s="1179">
        <v>0.28880521854426672</v>
      </c>
      <c r="H12" s="1179">
        <v>0.44983986789117447</v>
      </c>
      <c r="I12" s="1179">
        <v>0.49178107921508046</v>
      </c>
      <c r="J12" s="1179">
        <v>0.56000000000000005</v>
      </c>
      <c r="K12" s="1179">
        <v>0.56999999999999995</v>
      </c>
      <c r="L12" s="1179">
        <v>0.48</v>
      </c>
      <c r="M12" s="1179">
        <v>0.49</v>
      </c>
      <c r="N12" s="1179">
        <v>0.5</v>
      </c>
      <c r="O12" s="1179">
        <v>0.63</v>
      </c>
      <c r="P12" s="1180">
        <v>0.49</v>
      </c>
      <c r="Q12" s="1180">
        <v>0.49</v>
      </c>
      <c r="R12" s="1180">
        <v>0.49</v>
      </c>
      <c r="S12" s="1180">
        <v>0.49</v>
      </c>
      <c r="T12" s="1180">
        <v>0.49</v>
      </c>
      <c r="U12" s="1180">
        <v>0.49</v>
      </c>
      <c r="V12" s="1180">
        <v>0.49</v>
      </c>
      <c r="W12" s="1180">
        <v>0.49</v>
      </c>
      <c r="X12" s="731"/>
      <c r="Y12" s="1520"/>
      <c r="Z12" s="1215"/>
      <c r="AA12" s="1215"/>
      <c r="AB12" s="731"/>
      <c r="AC12" s="1181"/>
      <c r="AD12" s="1181"/>
      <c r="AE12" s="1181"/>
      <c r="AF12" s="1181"/>
    </row>
    <row r="13" spans="1:32" ht="12.75" customHeight="1">
      <c r="A13" s="2242" t="s">
        <v>1567</v>
      </c>
      <c r="B13" s="1179"/>
      <c r="C13" s="1179"/>
      <c r="D13" s="2243">
        <v>0.57231473216406625</v>
      </c>
      <c r="E13" s="2243">
        <v>0.49480678718631554</v>
      </c>
      <c r="F13" s="2243">
        <v>0.5955262930861307</v>
      </c>
      <c r="G13" s="2243">
        <v>0.71119478145573334</v>
      </c>
      <c r="H13" s="2243">
        <v>0.55016013210882564</v>
      </c>
      <c r="I13" s="2243">
        <v>0.50821892078491948</v>
      </c>
      <c r="J13" s="2243">
        <v>0.44</v>
      </c>
      <c r="K13" s="2243">
        <v>0.43</v>
      </c>
      <c r="L13" s="2243">
        <v>0.52</v>
      </c>
      <c r="M13" s="2243">
        <v>0.51</v>
      </c>
      <c r="N13" s="2243">
        <v>0.5</v>
      </c>
      <c r="O13" s="2243">
        <v>0.37</v>
      </c>
      <c r="P13" s="2244">
        <v>0.51</v>
      </c>
      <c r="Q13" s="2244">
        <v>0.51</v>
      </c>
      <c r="R13" s="2244">
        <v>0.51</v>
      </c>
      <c r="S13" s="2244">
        <v>0.51</v>
      </c>
      <c r="T13" s="2244">
        <v>0.51</v>
      </c>
      <c r="U13" s="2244">
        <v>0.51</v>
      </c>
      <c r="V13" s="2244">
        <v>0.51</v>
      </c>
      <c r="W13" s="2244">
        <v>0.51</v>
      </c>
      <c r="X13" s="731"/>
      <c r="Y13" s="1520"/>
      <c r="Z13" s="1215"/>
      <c r="AA13" s="1215"/>
      <c r="AB13" s="731"/>
      <c r="AC13" s="1181"/>
      <c r="AD13" s="1181"/>
      <c r="AE13" s="1181"/>
      <c r="AF13" s="1181"/>
    </row>
    <row r="14" spans="1:32" s="763" customFormat="1" ht="12.75" customHeight="1">
      <c r="A14" s="1171" t="s">
        <v>54</v>
      </c>
      <c r="B14" s="1542"/>
      <c r="C14" s="1542"/>
      <c r="D14" s="1542"/>
      <c r="E14" s="1542"/>
      <c r="F14" s="1542"/>
      <c r="G14" s="1542"/>
      <c r="H14" s="1542"/>
      <c r="I14" s="1542"/>
      <c r="J14" s="1542"/>
      <c r="K14" s="1542"/>
      <c r="L14" s="1542"/>
      <c r="M14" s="1542"/>
      <c r="N14" s="1542"/>
      <c r="O14" s="1542"/>
      <c r="P14" s="1543"/>
      <c r="Q14" s="1543"/>
      <c r="R14" s="1543"/>
      <c r="S14" s="1543"/>
      <c r="T14" s="1543"/>
      <c r="U14" s="1543"/>
      <c r="V14" s="1543"/>
      <c r="W14" s="1543"/>
      <c r="X14" s="1120"/>
      <c r="Y14" s="1520"/>
      <c r="Z14" s="1215"/>
      <c r="AA14" s="1215"/>
      <c r="AB14" s="1120"/>
      <c r="AC14" s="1522"/>
      <c r="AD14" s="1522"/>
      <c r="AE14" s="1522"/>
      <c r="AF14" s="1522"/>
    </row>
    <row r="15" spans="1:32" s="763" customFormat="1" ht="12.75" customHeight="1">
      <c r="A15" s="1141" t="s">
        <v>1718</v>
      </c>
      <c r="B15" s="1544"/>
      <c r="C15" s="1544"/>
      <c r="D15" s="1544">
        <v>2.1706000000000003</v>
      </c>
      <c r="E15" s="1544">
        <v>2.0460000000000003</v>
      </c>
      <c r="F15" s="1544">
        <v>1.7519</v>
      </c>
      <c r="G15" s="1544">
        <v>2.3228</v>
      </c>
      <c r="H15" s="1544">
        <v>1.7806</v>
      </c>
      <c r="I15" s="1544">
        <v>1.6282999999999999</v>
      </c>
      <c r="J15" s="1544">
        <v>1.8218000000000001</v>
      </c>
      <c r="K15" s="1544">
        <v>2.0134999999999996</v>
      </c>
      <c r="L15" s="1544">
        <v>2.2627000000000002</v>
      </c>
      <c r="M15" s="1544">
        <v>3.2077</v>
      </c>
      <c r="N15" s="1544">
        <v>3.5586000000000002</v>
      </c>
      <c r="O15" s="1544">
        <v>3.4</v>
      </c>
      <c r="P15" s="1545">
        <v>3.1</v>
      </c>
      <c r="Q15" s="1545">
        <v>3.3</v>
      </c>
      <c r="R15" s="1545">
        <v>3.3</v>
      </c>
      <c r="S15" s="1545">
        <v>3.3</v>
      </c>
      <c r="T15" s="1545">
        <v>3.3</v>
      </c>
      <c r="U15" s="1545">
        <v>3.3</v>
      </c>
      <c r="V15" s="1545">
        <v>3.3</v>
      </c>
      <c r="W15" s="1545">
        <v>3.3</v>
      </c>
      <c r="X15" s="1120"/>
      <c r="Y15" s="1520"/>
      <c r="Z15" s="1215"/>
      <c r="AA15" s="1215"/>
      <c r="AB15" s="1120"/>
      <c r="AC15" s="1522"/>
      <c r="AD15" s="1522"/>
      <c r="AE15" s="1522"/>
      <c r="AF15" s="1522"/>
    </row>
    <row r="16" spans="1:32" s="41" customFormat="1">
      <c r="A16" s="1141" t="s">
        <v>210</v>
      </c>
      <c r="B16" s="1544"/>
      <c r="C16" s="1544"/>
      <c r="D16" s="1544">
        <v>13.545</v>
      </c>
      <c r="E16" s="1544">
        <v>10.401666666666666</v>
      </c>
      <c r="F16" s="1544">
        <v>12.4</v>
      </c>
      <c r="G16" s="1544">
        <v>18.787500000000001</v>
      </c>
      <c r="H16" s="1544">
        <v>23.440833333333334</v>
      </c>
      <c r="I16" s="1544">
        <v>25.258333333333336</v>
      </c>
      <c r="J16" s="1544">
        <v>20.410833333333333</v>
      </c>
      <c r="K16" s="1544">
        <v>17.066666666666666</v>
      </c>
      <c r="L16" s="1544">
        <v>15.978333333333333</v>
      </c>
      <c r="M16" s="1544">
        <v>13.149166666666668</v>
      </c>
      <c r="N16" s="1544">
        <v>19.252499999999998</v>
      </c>
      <c r="O16" s="1544">
        <v>17.805000000000003</v>
      </c>
      <c r="P16" s="1545">
        <v>18.794158956936627</v>
      </c>
      <c r="Q16" s="1545">
        <v>18.938866951247341</v>
      </c>
      <c r="R16" s="1545">
        <v>21.333382670600141</v>
      </c>
      <c r="S16" s="1545">
        <v>23.057455102611588</v>
      </c>
      <c r="T16" s="1545">
        <v>20.755780087152509</v>
      </c>
      <c r="U16" s="1545">
        <v>18.098667194074562</v>
      </c>
      <c r="V16" s="1545">
        <v>19.275172161593819</v>
      </c>
      <c r="W16" s="1545">
        <v>20.940757180119164</v>
      </c>
      <c r="X16" s="731"/>
      <c r="Y16" s="1520">
        <v>-3.8524064867703323E-2</v>
      </c>
      <c r="Z16" s="1215">
        <v>6.5414035986947283E-2</v>
      </c>
      <c r="AA16" s="1215">
        <v>-1.9074099499001962E-2</v>
      </c>
      <c r="AB16" s="731"/>
      <c r="AC16" s="1181"/>
      <c r="AD16" s="1181"/>
      <c r="AE16" s="1181"/>
      <c r="AF16" s="1181"/>
    </row>
    <row r="17" spans="1:38" ht="12.75" customHeight="1">
      <c r="A17" s="1182" t="s">
        <v>1565</v>
      </c>
      <c r="B17" s="1546"/>
      <c r="C17" s="1546"/>
      <c r="D17" s="1155">
        <v>549.87709759784548</v>
      </c>
      <c r="E17" s="1155">
        <v>624.90574295252998</v>
      </c>
      <c r="F17" s="1155">
        <v>452.08478127006822</v>
      </c>
      <c r="G17" s="1155">
        <v>548.48455829542741</v>
      </c>
      <c r="H17" s="1155">
        <v>711.1921338707707</v>
      </c>
      <c r="I17" s="1155">
        <v>839.72135852666827</v>
      </c>
      <c r="J17" s="1155">
        <v>928.64219961240303</v>
      </c>
      <c r="K17" s="1155">
        <v>973.49518541282532</v>
      </c>
      <c r="L17" s="1155">
        <v>892.12469733656167</v>
      </c>
      <c r="M17" s="1155">
        <v>925.27992523999671</v>
      </c>
      <c r="N17" s="1155">
        <v>1048.068276436303</v>
      </c>
      <c r="O17" s="1155">
        <v>1251.9068280429321</v>
      </c>
      <c r="P17" s="1156">
        <v>1514.7550621243611</v>
      </c>
      <c r="Q17" s="1156">
        <v>1433.5350173809188</v>
      </c>
      <c r="R17" s="1156">
        <v>1652.3355908391502</v>
      </c>
      <c r="S17" s="1156">
        <v>1785.8702620435918</v>
      </c>
      <c r="T17" s="1156">
        <v>1580.1211587236141</v>
      </c>
      <c r="U17" s="1156">
        <v>1383.8271897182576</v>
      </c>
      <c r="V17" s="1156">
        <v>1480.1622758240644</v>
      </c>
      <c r="W17" s="1156">
        <v>1614.9949910301577</v>
      </c>
      <c r="X17" s="731"/>
      <c r="Y17" s="1520">
        <v>8.4135537198038124E-2</v>
      </c>
      <c r="Z17" s="1215">
        <v>4.4426596095306081E-2</v>
      </c>
      <c r="AA17" s="1215">
        <v>-1.9913843718157631E-2</v>
      </c>
      <c r="AB17" s="731"/>
      <c r="AC17" s="1181"/>
      <c r="AD17" s="1181"/>
      <c r="AE17" s="1181"/>
      <c r="AF17" s="1181"/>
    </row>
    <row r="18" spans="1:38" hidden="1" outlineLevel="1">
      <c r="A18" s="1141" t="s">
        <v>1581</v>
      </c>
      <c r="B18" s="1195"/>
      <c r="C18" s="1194"/>
      <c r="D18" s="1185" t="s">
        <v>972</v>
      </c>
      <c r="E18" s="1185" t="s">
        <v>972</v>
      </c>
      <c r="F18" s="1185" t="s">
        <v>972</v>
      </c>
      <c r="G18" s="1185" t="s">
        <v>972</v>
      </c>
      <c r="H18" s="1194">
        <v>-335.65811965811963</v>
      </c>
      <c r="I18" s="1194">
        <v>-294.35051546391753</v>
      </c>
      <c r="J18" s="1194">
        <v>-421.47545219638238</v>
      </c>
      <c r="K18" s="1194">
        <v>-404.72858617131061</v>
      </c>
      <c r="L18" s="1194">
        <v>-419.89350912778906</v>
      </c>
      <c r="M18" s="1194">
        <v>-380.00568643379364</v>
      </c>
      <c r="N18" s="1194">
        <v>-464.8130081300813</v>
      </c>
      <c r="O18" s="1194">
        <v>-540.44734819369705</v>
      </c>
      <c r="P18" s="1195">
        <v>-526.67410344040832</v>
      </c>
      <c r="Q18" s="1195">
        <v>-523.53822730849174</v>
      </c>
      <c r="R18" s="1195">
        <v>-559.89902235009538</v>
      </c>
      <c r="S18" s="1195">
        <v>-582.70162857595983</v>
      </c>
      <c r="T18" s="1195">
        <v>-559.66779145191219</v>
      </c>
      <c r="U18" s="1195">
        <v>-531.23264410094566</v>
      </c>
      <c r="V18" s="1195">
        <v>-545.25826136251146</v>
      </c>
      <c r="W18" s="1195">
        <v>-512.54276568076079</v>
      </c>
      <c r="X18" s="1250"/>
      <c r="Y18" s="1215"/>
      <c r="Z18" s="731">
        <v>3.1059842244147484E-2</v>
      </c>
      <c r="AA18" s="731"/>
      <c r="AB18" s="731"/>
      <c r="AC18" s="1195"/>
      <c r="AD18" s="1195"/>
      <c r="AE18" s="1181"/>
      <c r="AF18" s="1523"/>
      <c r="AG18" s="1408"/>
      <c r="AH18" s="165"/>
      <c r="AI18" s="165"/>
      <c r="AJ18" s="43"/>
      <c r="AK18" s="174"/>
      <c r="AL18" s="43"/>
    </row>
    <row r="19" spans="1:38" ht="12.75" customHeight="1" collapsed="1">
      <c r="A19" s="1182" t="s">
        <v>1568</v>
      </c>
      <c r="B19" s="1546"/>
      <c r="C19" s="1546"/>
      <c r="D19" s="1547">
        <v>629.76800000000003</v>
      </c>
      <c r="E19" s="1547">
        <v>676.34199999999998</v>
      </c>
      <c r="F19" s="1547">
        <v>605.74699999999996</v>
      </c>
      <c r="G19" s="1547">
        <v>417.7</v>
      </c>
      <c r="H19" s="1547">
        <v>818.7</v>
      </c>
      <c r="I19" s="1547">
        <v>836.2</v>
      </c>
      <c r="J19" s="1547">
        <v>825.6</v>
      </c>
      <c r="K19" s="1547">
        <v>976.19999999999993</v>
      </c>
      <c r="L19" s="1547">
        <v>991.2</v>
      </c>
      <c r="M19" s="1547">
        <v>1177.0999999999999</v>
      </c>
      <c r="N19" s="1547">
        <v>1201</v>
      </c>
      <c r="O19" s="1547">
        <v>1313.7</v>
      </c>
      <c r="P19" s="1548">
        <v>1405.4855222592871</v>
      </c>
      <c r="Q19" s="1548">
        <v>1488.4982699782331</v>
      </c>
      <c r="R19" s="1548">
        <v>1526.1523732298158</v>
      </c>
      <c r="S19" s="1548">
        <v>1579.7133713107332</v>
      </c>
      <c r="T19" s="1548">
        <v>1621.847400941057</v>
      </c>
      <c r="U19" s="1548">
        <v>1665.1036002070721</v>
      </c>
      <c r="V19" s="1548">
        <v>1709.5139103625604</v>
      </c>
      <c r="W19" s="1548">
        <v>1755.1090001274777</v>
      </c>
      <c r="X19" s="990"/>
      <c r="Y19" s="1520">
        <v>6.9889124209381315E-2</v>
      </c>
      <c r="Z19" s="1215">
        <v>4.2043286660372603E-2</v>
      </c>
      <c r="AA19" s="1215">
        <v>2.1280782439003554E-2</v>
      </c>
      <c r="AB19" s="731"/>
      <c r="AC19" s="1181"/>
      <c r="AD19" s="1181"/>
      <c r="AE19" s="1181"/>
      <c r="AF19" s="1181"/>
    </row>
    <row r="20" spans="1:38" ht="12.75" hidden="1" customHeight="1" outlineLevel="1">
      <c r="A20" s="1182" t="s">
        <v>192</v>
      </c>
      <c r="B20" s="1291"/>
      <c r="C20" s="1291"/>
      <c r="D20" s="1291">
        <v>0.67055169522744873</v>
      </c>
      <c r="E20" s="1291">
        <v>0.70873463425308492</v>
      </c>
      <c r="F20" s="1291">
        <v>0.66949733139412992</v>
      </c>
      <c r="G20" s="1291">
        <v>0.88747905195116117</v>
      </c>
      <c r="H20" s="1291">
        <v>0.92402589471112739</v>
      </c>
      <c r="I20" s="1291">
        <v>0.93231284381726853</v>
      </c>
      <c r="J20" s="1291">
        <v>0.92599321705426352</v>
      </c>
      <c r="K20" s="1291">
        <v>0.9314689612784266</v>
      </c>
      <c r="L20" s="1291">
        <v>0.92877320419693299</v>
      </c>
      <c r="M20" s="1291">
        <v>0.91750913261405154</v>
      </c>
      <c r="N20" s="1291">
        <v>0.91923397169025811</v>
      </c>
      <c r="O20" s="1291">
        <v>0.89518154829869834</v>
      </c>
      <c r="P20" s="1549">
        <v>0.91064203284489875</v>
      </c>
      <c r="Q20" s="1549">
        <v>0.91064203284489875</v>
      </c>
      <c r="R20" s="1549">
        <v>0.91064203284489875</v>
      </c>
      <c r="S20" s="1549">
        <v>0.91064203284489875</v>
      </c>
      <c r="T20" s="1549">
        <v>0.91064203284489875</v>
      </c>
      <c r="U20" s="1549">
        <v>0.91064203284489875</v>
      </c>
      <c r="V20" s="1549">
        <v>0.91064203284489875</v>
      </c>
      <c r="W20" s="1549">
        <v>0.91064203284489875</v>
      </c>
      <c r="X20" s="990"/>
      <c r="Y20" s="1520"/>
      <c r="Z20" s="1215"/>
      <c r="AA20" s="1215"/>
      <c r="AB20" s="731"/>
      <c r="AC20" s="1181"/>
      <c r="AD20" s="1181"/>
      <c r="AE20" s="1181"/>
      <c r="AF20" s="1181"/>
    </row>
    <row r="21" spans="1:38" s="763" customFormat="1" ht="12.75" customHeight="1" collapsed="1">
      <c r="A21" s="1171" t="s">
        <v>1367</v>
      </c>
      <c r="B21" s="1542"/>
      <c r="C21" s="1542"/>
      <c r="D21" s="1542"/>
      <c r="E21" s="1542"/>
      <c r="F21" s="1542"/>
      <c r="G21" s="1542"/>
      <c r="H21" s="1542"/>
      <c r="I21" s="1542"/>
      <c r="J21" s="1542"/>
      <c r="K21" s="1542"/>
      <c r="L21" s="1542"/>
      <c r="M21" s="1542"/>
      <c r="N21" s="1542"/>
      <c r="O21" s="1542"/>
      <c r="P21" s="1543"/>
      <c r="Q21" s="1543"/>
      <c r="R21" s="1543"/>
      <c r="S21" s="1543"/>
      <c r="T21" s="1543"/>
      <c r="U21" s="1543"/>
      <c r="V21" s="1543"/>
      <c r="W21" s="1543"/>
      <c r="X21" s="1171"/>
      <c r="Y21" s="1520"/>
      <c r="Z21" s="1215"/>
      <c r="AA21" s="1215"/>
      <c r="AB21" s="1120"/>
      <c r="AC21" s="1522"/>
      <c r="AD21" s="1522"/>
      <c r="AE21" s="1522"/>
      <c r="AF21" s="1522"/>
    </row>
    <row r="22" spans="1:38" ht="12.75" customHeight="1">
      <c r="A22" s="1182" t="s">
        <v>1569</v>
      </c>
      <c r="B22" s="1546"/>
      <c r="C22" s="1546"/>
      <c r="D22" s="1155">
        <v>850.76573527607229</v>
      </c>
      <c r="E22" s="1155">
        <v>916.0210009941004</v>
      </c>
      <c r="F22" s="1155">
        <v>749.30788867466026</v>
      </c>
      <c r="G22" s="1155">
        <v>769.57647434872933</v>
      </c>
      <c r="H22" s="1155">
        <v>857.95536593370525</v>
      </c>
      <c r="I22" s="1155">
        <v>994.76608745464966</v>
      </c>
      <c r="J22" s="1155">
        <v>1258.2710513203785</v>
      </c>
      <c r="K22" s="1155">
        <v>1211.548358473824</v>
      </c>
      <c r="L22" s="1155">
        <v>1317.1515815847165</v>
      </c>
      <c r="M22" s="1155">
        <v>1349.1070927950659</v>
      </c>
      <c r="N22" s="1155">
        <v>1637.3106918238993</v>
      </c>
      <c r="O22" s="1155">
        <v>1773.8788659793813</v>
      </c>
      <c r="P22" s="1156">
        <v>1852.2648508640361</v>
      </c>
      <c r="Q22" s="1156">
        <v>1971.8917682157382</v>
      </c>
      <c r="R22" s="1156">
        <v>2049.986491709431</v>
      </c>
      <c r="S22" s="1156">
        <v>2121.2088795356781</v>
      </c>
      <c r="T22" s="1156">
        <v>2172.1178926445345</v>
      </c>
      <c r="U22" s="1156">
        <v>2224.2487220680036</v>
      </c>
      <c r="V22" s="1156">
        <v>2277.6306913976355</v>
      </c>
      <c r="W22" s="1156">
        <v>2431.0013250295001</v>
      </c>
      <c r="X22" s="990"/>
      <c r="Y22" s="1520">
        <v>0.10934239193841244</v>
      </c>
      <c r="Z22" s="1215">
        <v>5.2019904587063737E-2</v>
      </c>
      <c r="AA22" s="1215">
        <v>2.7638465176881954E-2</v>
      </c>
      <c r="AB22" s="731"/>
      <c r="AC22" s="1181"/>
      <c r="AD22" s="1181"/>
      <c r="AE22" s="1181"/>
      <c r="AF22" s="1181"/>
    </row>
    <row r="23" spans="1:38" hidden="1" outlineLevel="1">
      <c r="A23" s="1141" t="s">
        <v>1582</v>
      </c>
      <c r="B23" s="1195"/>
      <c r="C23" s="1194"/>
      <c r="D23" s="1185" t="s">
        <v>972</v>
      </c>
      <c r="E23" s="1185" t="s">
        <v>972</v>
      </c>
      <c r="F23" s="1185" t="s">
        <v>972</v>
      </c>
      <c r="G23" s="1185" t="s">
        <v>972</v>
      </c>
      <c r="H23" s="1194">
        <v>-491.00674536256315</v>
      </c>
      <c r="I23" s="1194">
        <v>-403.21238938053096</v>
      </c>
      <c r="J23" s="1194">
        <v>-749.8733509234828</v>
      </c>
      <c r="K23" s="1194">
        <v>-691.68292682926835</v>
      </c>
      <c r="L23" s="1194">
        <v>-676.73593749999998</v>
      </c>
      <c r="M23" s="1194">
        <v>-612.83059418457651</v>
      </c>
      <c r="N23" s="1194">
        <v>-833.66577896138483</v>
      </c>
      <c r="O23" s="1194">
        <v>-943.14992503748135</v>
      </c>
      <c r="P23" s="1195">
        <v>-917.69912188993624</v>
      </c>
      <c r="Q23" s="1195">
        <v>-910.8584906676017</v>
      </c>
      <c r="R23" s="1195">
        <v>-972.75317827878075</v>
      </c>
      <c r="S23" s="1195">
        <v>-1010.9106700695612</v>
      </c>
      <c r="T23" s="1195">
        <v>-976.00454615485694</v>
      </c>
      <c r="U23" s="1195">
        <v>-931.29652128130317</v>
      </c>
      <c r="V23" s="1195">
        <v>-960.54111741869417</v>
      </c>
      <c r="W23" s="1195">
        <v>-907.71135596066597</v>
      </c>
      <c r="X23" s="1250"/>
      <c r="Y23" s="1215"/>
      <c r="Z23" s="731">
        <v>2.9558838242573549E-2</v>
      </c>
      <c r="AA23" s="731"/>
      <c r="AB23" s="731"/>
      <c r="AC23" s="1195"/>
      <c r="AD23" s="1195"/>
      <c r="AE23" s="1181"/>
      <c r="AF23" s="1523"/>
      <c r="AG23" s="1408"/>
      <c r="AH23" s="165"/>
      <c r="AI23" s="165"/>
      <c r="AJ23" s="43"/>
      <c r="AK23" s="174"/>
      <c r="AL23" s="43"/>
    </row>
    <row r="24" spans="1:38" ht="12.75" customHeight="1" collapsed="1">
      <c r="A24" s="1182" t="s">
        <v>1570</v>
      </c>
      <c r="B24" s="1546"/>
      <c r="C24" s="1546"/>
      <c r="D24" s="1547">
        <v>505.26600000000002</v>
      </c>
      <c r="E24" s="1547">
        <v>400.36199999999997</v>
      </c>
      <c r="F24" s="1547">
        <v>537.84699999999998</v>
      </c>
      <c r="G24" s="1547">
        <v>625.69999999999993</v>
      </c>
      <c r="H24" s="1547">
        <v>609.4</v>
      </c>
      <c r="I24" s="1547">
        <v>523.70000000000005</v>
      </c>
      <c r="J24" s="1547">
        <v>401.40000000000003</v>
      </c>
      <c r="K24" s="1547">
        <v>450.8</v>
      </c>
      <c r="L24" s="1547">
        <v>638.6</v>
      </c>
      <c r="M24" s="1547">
        <v>713.39999999999986</v>
      </c>
      <c r="N24" s="1547">
        <v>795.00000000000011</v>
      </c>
      <c r="O24" s="1547">
        <v>698.4</v>
      </c>
      <c r="P24" s="1548">
        <v>886.14471487766025</v>
      </c>
      <c r="Q24" s="1548">
        <v>944.48181189536967</v>
      </c>
      <c r="R24" s="1548">
        <v>967.89951872902304</v>
      </c>
      <c r="S24" s="1548">
        <v>1001.9034630807112</v>
      </c>
      <c r="T24" s="1548">
        <v>1028.6237770525747</v>
      </c>
      <c r="U24" s="1548">
        <v>1056.0582970426628</v>
      </c>
      <c r="V24" s="1548">
        <v>1084.2246291647336</v>
      </c>
      <c r="W24" s="1548">
        <v>1113.142393389802</v>
      </c>
      <c r="X24" s="990"/>
      <c r="Y24" s="1520">
        <v>1.9664729661517999E-2</v>
      </c>
      <c r="Z24" s="1215">
        <v>4.5111944172536278E-2</v>
      </c>
      <c r="AA24" s="1215">
        <v>2.1280333805504981E-2</v>
      </c>
      <c r="AB24" s="731"/>
      <c r="AC24" s="1181"/>
      <c r="AD24" s="1181"/>
      <c r="AE24" s="1181"/>
      <c r="AF24" s="1181"/>
    </row>
    <row r="25" spans="1:38" ht="12.75" hidden="1" customHeight="1" outlineLevel="1">
      <c r="A25" s="1182" t="s">
        <v>192</v>
      </c>
      <c r="B25" s="1291"/>
      <c r="C25" s="1291"/>
      <c r="D25" s="1291">
        <v>0.17739171050496172</v>
      </c>
      <c r="E25" s="1291">
        <v>0.30257367082790082</v>
      </c>
      <c r="F25" s="1291">
        <v>0.26400630662623387</v>
      </c>
      <c r="G25" s="1291">
        <v>8.9819402269458212E-2</v>
      </c>
      <c r="H25" s="1291">
        <v>0.14243518214637349</v>
      </c>
      <c r="I25" s="1291">
        <v>9.9866335688371194E-2</v>
      </c>
      <c r="J25" s="1291">
        <v>0.13602391629297458</v>
      </c>
      <c r="K25" s="1291">
        <v>0.20629991126885536</v>
      </c>
      <c r="L25" s="1291">
        <v>0.26980895709364233</v>
      </c>
      <c r="M25" s="1291">
        <v>0.12643678160919541</v>
      </c>
      <c r="N25" s="1291">
        <v>0.17408805031446539</v>
      </c>
      <c r="O25" s="1291">
        <v>9.8797250859106539E-2</v>
      </c>
      <c r="P25" s="1549">
        <v>0.13309733143461588</v>
      </c>
      <c r="Q25" s="1549">
        <v>0.13309733143461588</v>
      </c>
      <c r="R25" s="1549">
        <v>0.13309733143461588</v>
      </c>
      <c r="S25" s="1549">
        <v>0.13309733143461586</v>
      </c>
      <c r="T25" s="1549">
        <v>0.13309733143461586</v>
      </c>
      <c r="U25" s="1549">
        <v>0.13309733143461586</v>
      </c>
      <c r="V25" s="1549">
        <v>0.13309733143461586</v>
      </c>
      <c r="W25" s="1549">
        <v>0.13309733143461588</v>
      </c>
      <c r="X25" s="990"/>
      <c r="Y25" s="1125"/>
      <c r="Z25" s="731"/>
      <c r="AA25" s="731"/>
      <c r="AB25" s="731"/>
      <c r="AC25" s="1181"/>
      <c r="AD25" s="1181"/>
      <c r="AE25" s="1181"/>
      <c r="AF25" s="1181"/>
    </row>
    <row r="26" spans="1:38" ht="12.75" customHeight="1" collapsed="1">
      <c r="A26" s="1141" t="s">
        <v>1571</v>
      </c>
      <c r="B26" s="1179"/>
      <c r="C26" s="1179"/>
      <c r="D26" s="1179">
        <v>0.74622562857709751</v>
      </c>
      <c r="E26" s="1179">
        <v>0.55625722996109961</v>
      </c>
      <c r="F26" s="1179">
        <v>0.61105429439039072</v>
      </c>
      <c r="G26" s="1179">
        <v>0.38774640744154415</v>
      </c>
      <c r="H26" s="1179">
        <v>0.37191642266622787</v>
      </c>
      <c r="I26" s="1179">
        <v>0.47138787997344889</v>
      </c>
      <c r="J26" s="1179">
        <v>0.51</v>
      </c>
      <c r="K26" s="1179">
        <v>0.62</v>
      </c>
      <c r="L26" s="1179">
        <v>0.62</v>
      </c>
      <c r="M26" s="1179">
        <v>0.56000000000000005</v>
      </c>
      <c r="N26" s="1179">
        <v>0.6</v>
      </c>
      <c r="O26" s="1179">
        <v>0.54</v>
      </c>
      <c r="P26" s="1180">
        <v>0.5876873570332416</v>
      </c>
      <c r="Q26" s="1180">
        <v>0.5876873570332416</v>
      </c>
      <c r="R26" s="1180">
        <v>0.5876873570332416</v>
      </c>
      <c r="S26" s="1180">
        <v>0.5876873570332416</v>
      </c>
      <c r="T26" s="1180">
        <v>0.5876873570332416</v>
      </c>
      <c r="U26" s="1180">
        <v>0.5876873570332416</v>
      </c>
      <c r="V26" s="1180">
        <v>0.5876873570332416</v>
      </c>
      <c r="W26" s="1180">
        <v>0.5876873570332416</v>
      </c>
      <c r="X26" s="731"/>
      <c r="Y26" s="1520"/>
      <c r="Z26" s="1215"/>
      <c r="AA26" s="1215"/>
      <c r="AB26" s="731"/>
      <c r="AC26" s="1181"/>
      <c r="AD26" s="1181"/>
      <c r="AE26" s="1181"/>
      <c r="AF26" s="1181"/>
    </row>
    <row r="27" spans="1:38" ht="12.75" customHeight="1">
      <c r="A27" s="1141" t="s">
        <v>1572</v>
      </c>
      <c r="B27" s="1179"/>
      <c r="C27" s="1179"/>
      <c r="D27" s="2243">
        <v>0.25377437142290249</v>
      </c>
      <c r="E27" s="2243">
        <v>0.44374277003890045</v>
      </c>
      <c r="F27" s="2243">
        <v>0.38894570560960928</v>
      </c>
      <c r="G27" s="2243">
        <v>0.61225359255845591</v>
      </c>
      <c r="H27" s="2243">
        <v>0.62808357733377207</v>
      </c>
      <c r="I27" s="2243">
        <v>0.52861212002655111</v>
      </c>
      <c r="J27" s="2243">
        <v>0.49</v>
      </c>
      <c r="K27" s="2243">
        <v>0.38</v>
      </c>
      <c r="L27" s="2243">
        <v>0.38</v>
      </c>
      <c r="M27" s="2243">
        <v>0.44</v>
      </c>
      <c r="N27" s="2243">
        <v>0.4</v>
      </c>
      <c r="O27" s="2243">
        <v>0.46</v>
      </c>
      <c r="P27" s="2244">
        <v>0.4123126429667584</v>
      </c>
      <c r="Q27" s="2244">
        <v>0.4123126429667584</v>
      </c>
      <c r="R27" s="2244">
        <v>0.4123126429667584</v>
      </c>
      <c r="S27" s="2244">
        <v>0.4123126429667584</v>
      </c>
      <c r="T27" s="2244">
        <v>0.4123126429667584</v>
      </c>
      <c r="U27" s="2244">
        <v>0.4123126429667584</v>
      </c>
      <c r="V27" s="2244">
        <v>0.4123126429667584</v>
      </c>
      <c r="W27" s="2244">
        <v>0.4123126429667584</v>
      </c>
      <c r="X27" s="731"/>
      <c r="Y27" s="1520"/>
      <c r="Z27" s="1215"/>
      <c r="AA27" s="1215"/>
      <c r="AB27" s="731"/>
      <c r="AC27" s="1181"/>
      <c r="AD27" s="1181"/>
      <c r="AE27" s="1181"/>
      <c r="AF27" s="1181"/>
    </row>
    <row r="28" spans="1:38" s="763" customFormat="1" ht="12.75" customHeight="1">
      <c r="A28" s="1171" t="s">
        <v>1564</v>
      </c>
      <c r="B28" s="1542"/>
      <c r="C28" s="1542"/>
      <c r="D28" s="1542"/>
      <c r="E28" s="1542"/>
      <c r="F28" s="1542"/>
      <c r="G28" s="1542"/>
      <c r="H28" s="1542"/>
      <c r="I28" s="1542"/>
      <c r="J28" s="1542"/>
      <c r="K28" s="1542"/>
      <c r="L28" s="1542"/>
      <c r="M28" s="1542"/>
      <c r="N28" s="1542"/>
      <c r="O28" s="1542"/>
      <c r="P28" s="1543"/>
      <c r="Q28" s="1543"/>
      <c r="R28" s="1543"/>
      <c r="S28" s="1543"/>
      <c r="T28" s="1543"/>
      <c r="U28" s="1543"/>
      <c r="V28" s="1543"/>
      <c r="W28" s="1543"/>
      <c r="X28" s="1171"/>
      <c r="Y28" s="1520"/>
      <c r="Z28" s="1215"/>
      <c r="AA28" s="1215"/>
      <c r="AB28" s="1120"/>
      <c r="AC28" s="1522"/>
      <c r="AD28" s="1522"/>
      <c r="AE28" s="1522"/>
      <c r="AF28" s="1522"/>
    </row>
    <row r="29" spans="1:38" ht="12.75" customHeight="1">
      <c r="A29" s="1182" t="s">
        <v>1573</v>
      </c>
      <c r="B29" s="1546"/>
      <c r="C29" s="1546"/>
      <c r="D29" s="1155" t="s">
        <v>972</v>
      </c>
      <c r="E29" s="1155" t="s">
        <v>972</v>
      </c>
      <c r="F29" s="1155" t="s">
        <v>972</v>
      </c>
      <c r="G29" s="1155" t="s">
        <v>972</v>
      </c>
      <c r="H29" s="1155" t="s">
        <v>972</v>
      </c>
      <c r="I29" s="1155">
        <v>129.8590021691974</v>
      </c>
      <c r="J29" s="1155">
        <v>110.63753007217322</v>
      </c>
      <c r="K29" s="1155">
        <v>170.40675364543361</v>
      </c>
      <c r="L29" s="1155">
        <v>173.45230078563412</v>
      </c>
      <c r="M29" s="1155">
        <v>295.95305164319251</v>
      </c>
      <c r="N29" s="1155">
        <v>223.25914340712222</v>
      </c>
      <c r="O29" s="1155">
        <v>166.30836522689995</v>
      </c>
      <c r="P29" s="1156">
        <v>184.99404596294031</v>
      </c>
      <c r="Q29" s="1156">
        <v>184.46010238717935</v>
      </c>
      <c r="R29" s="1156">
        <v>189.40807411941461</v>
      </c>
      <c r="S29" s="1156">
        <v>194.54901674920706</v>
      </c>
      <c r="T29" s="1156">
        <v>199.20565621946469</v>
      </c>
      <c r="U29" s="1156">
        <v>204.02062143171111</v>
      </c>
      <c r="V29" s="1156">
        <v>208.99929546117386</v>
      </c>
      <c r="W29" s="1156">
        <v>214.14724440763837</v>
      </c>
      <c r="X29" s="990"/>
      <c r="Y29" s="1796">
        <v>4.2094264246646862E-2</v>
      </c>
      <c r="Z29" s="1215">
        <v>1.1859861630401314E-2</v>
      </c>
      <c r="AA29" s="1215">
        <v>1.9381364791330791E-2</v>
      </c>
      <c r="AB29" s="731"/>
      <c r="AC29" s="1181"/>
      <c r="AD29" s="1181"/>
      <c r="AE29" s="1181"/>
      <c r="AF29" s="1181"/>
    </row>
    <row r="30" spans="1:38" ht="12.75" customHeight="1">
      <c r="A30" s="1182" t="s">
        <v>1574</v>
      </c>
      <c r="B30" s="1546"/>
      <c r="C30" s="1546"/>
      <c r="D30" s="1547" t="s">
        <v>972</v>
      </c>
      <c r="E30" s="1547" t="s">
        <v>972</v>
      </c>
      <c r="F30" s="1547" t="s">
        <v>972</v>
      </c>
      <c r="G30" s="1547" t="s">
        <v>972</v>
      </c>
      <c r="H30" s="1547" t="s">
        <v>972</v>
      </c>
      <c r="I30" s="1547">
        <v>184.4</v>
      </c>
      <c r="J30" s="1547">
        <v>249.4</v>
      </c>
      <c r="K30" s="1547">
        <v>260.60000000000002</v>
      </c>
      <c r="L30" s="1547">
        <v>445.5</v>
      </c>
      <c r="M30" s="1547">
        <v>639</v>
      </c>
      <c r="N30" s="1547">
        <v>831.2</v>
      </c>
      <c r="O30" s="1547">
        <v>914.5</v>
      </c>
      <c r="P30" s="1548">
        <v>898.55000000000007</v>
      </c>
      <c r="Q30" s="1548">
        <v>898.55000000000007</v>
      </c>
      <c r="R30" s="1548">
        <v>919.14177083333345</v>
      </c>
      <c r="S30" s="1548">
        <v>939.77556568877571</v>
      </c>
      <c r="T30" s="1548">
        <v>960.45062813392883</v>
      </c>
      <c r="U30" s="1548">
        <v>981.16622991720953</v>
      </c>
      <c r="V30" s="1548">
        <v>1001.9216693962273</v>
      </c>
      <c r="W30" s="1548">
        <v>1022.7162700818093</v>
      </c>
      <c r="X30" s="990"/>
      <c r="Y30" s="1796">
        <v>0.30588158851624647</v>
      </c>
      <c r="Z30" s="1215">
        <v>1.1393428229918179E-2</v>
      </c>
      <c r="AA30" s="1215">
        <v>1.7059131004316663E-2</v>
      </c>
      <c r="AB30" s="731"/>
      <c r="AC30" s="1181"/>
      <c r="AD30" s="1181"/>
      <c r="AE30" s="1181"/>
      <c r="AF30" s="1181"/>
    </row>
    <row r="31" spans="1:38" ht="12.75" customHeight="1">
      <c r="A31" s="1171"/>
      <c r="B31" s="1550"/>
      <c r="C31" s="1550"/>
      <c r="D31" s="1550"/>
      <c r="E31" s="1550"/>
      <c r="F31" s="1550"/>
      <c r="G31" s="1550"/>
      <c r="H31" s="1550"/>
      <c r="I31" s="1550"/>
      <c r="J31" s="1550"/>
      <c r="K31" s="1550"/>
      <c r="L31" s="1550"/>
      <c r="M31" s="1550"/>
      <c r="N31" s="1550"/>
      <c r="O31" s="1550"/>
      <c r="P31" s="1551"/>
      <c r="Q31" s="1551"/>
      <c r="R31" s="1551"/>
      <c r="S31" s="1551"/>
      <c r="T31" s="1551"/>
      <c r="U31" s="1551"/>
      <c r="V31" s="1551"/>
      <c r="W31" s="1551"/>
      <c r="X31" s="990"/>
      <c r="Y31" s="1215"/>
      <c r="Z31" s="1215"/>
      <c r="AA31" s="1215"/>
      <c r="AB31" s="731"/>
      <c r="AC31" s="1181"/>
      <c r="AD31" s="1181"/>
      <c r="AE31" s="1181"/>
      <c r="AF31" s="1181"/>
    </row>
    <row r="32" spans="1:38" ht="12.75" customHeight="1">
      <c r="A32" s="990"/>
      <c r="B32" s="1291"/>
      <c r="C32" s="1291"/>
      <c r="D32" s="1291"/>
      <c r="E32" s="1291"/>
      <c r="F32" s="1291"/>
      <c r="G32" s="1291"/>
      <c r="H32" s="1291"/>
      <c r="I32" s="1291"/>
      <c r="J32" s="1291"/>
      <c r="K32" s="1291"/>
      <c r="L32" s="1291"/>
      <c r="M32" s="1291"/>
      <c r="N32" s="1291"/>
      <c r="O32" s="1187"/>
      <c r="P32" s="1549"/>
      <c r="Q32" s="1549"/>
      <c r="R32" s="1549"/>
      <c r="S32" s="1549"/>
      <c r="T32" s="1549"/>
      <c r="U32" s="1549"/>
      <c r="V32" s="1549"/>
      <c r="W32" s="1549"/>
      <c r="X32" s="990"/>
      <c r="Y32" s="731"/>
      <c r="Z32" s="731"/>
      <c r="AA32" s="731"/>
      <c r="AB32" s="731"/>
      <c r="AC32" s="1181"/>
      <c r="AD32" s="1181"/>
      <c r="AE32" s="1181"/>
      <c r="AF32" s="1181"/>
    </row>
    <row r="33" spans="1:38" hidden="1" outlineLevel="1">
      <c r="A33" s="1125"/>
      <c r="B33" s="1316"/>
      <c r="C33" s="1316"/>
      <c r="D33" s="1316"/>
      <c r="E33" s="1316"/>
      <c r="F33" s="1316"/>
      <c r="G33" s="1316"/>
      <c r="H33" s="1316"/>
      <c r="I33" s="1316"/>
      <c r="J33" s="1316"/>
      <c r="K33" s="1316" t="s">
        <v>212</v>
      </c>
      <c r="L33" s="1316" t="s">
        <v>1157</v>
      </c>
      <c r="M33" s="1316" t="s">
        <v>1157</v>
      </c>
      <c r="N33" s="1316" t="s">
        <v>1157</v>
      </c>
      <c r="O33" s="1316" t="s">
        <v>1157</v>
      </c>
      <c r="P33" s="1316" t="s">
        <v>1157</v>
      </c>
      <c r="Q33" s="1316" t="s">
        <v>1157</v>
      </c>
      <c r="R33" s="1316" t="s">
        <v>1157</v>
      </c>
      <c r="S33" s="1316" t="s">
        <v>1157</v>
      </c>
      <c r="T33" s="1316" t="s">
        <v>1157</v>
      </c>
      <c r="U33" s="1316" t="s">
        <v>1157</v>
      </c>
      <c r="V33" s="1316" t="s">
        <v>1157</v>
      </c>
      <c r="W33" s="1316" t="s">
        <v>1157</v>
      </c>
      <c r="X33" s="1181"/>
      <c r="Y33" s="1181"/>
      <c r="Z33" s="1181"/>
      <c r="AA33" s="1181"/>
      <c r="AB33" s="1181"/>
      <c r="AC33" s="1181"/>
      <c r="AD33" s="1181"/>
      <c r="AE33" s="1181"/>
      <c r="AF33" s="1181"/>
    </row>
    <row r="34" spans="1:38" ht="12.75" hidden="1" customHeight="1" outlineLevel="1">
      <c r="A34" s="731"/>
      <c r="B34" s="1316" t="s">
        <v>211</v>
      </c>
      <c r="C34" s="1316" t="s">
        <v>211</v>
      </c>
      <c r="D34" s="1316" t="s">
        <v>211</v>
      </c>
      <c r="E34" s="1316" t="s">
        <v>211</v>
      </c>
      <c r="F34" s="1316" t="s">
        <v>211</v>
      </c>
      <c r="G34" s="1316" t="s">
        <v>211</v>
      </c>
      <c r="H34" s="1316" t="s">
        <v>212</v>
      </c>
      <c r="I34" s="1316" t="s">
        <v>212</v>
      </c>
      <c r="J34" s="1316" t="s">
        <v>212</v>
      </c>
      <c r="K34" s="1316" t="s">
        <v>212</v>
      </c>
      <c r="L34" s="1316" t="s">
        <v>212</v>
      </c>
      <c r="M34" s="1316" t="s">
        <v>212</v>
      </c>
      <c r="N34" s="1316" t="s">
        <v>212</v>
      </c>
      <c r="O34" s="1316" t="s">
        <v>212</v>
      </c>
      <c r="P34" s="1316" t="s">
        <v>212</v>
      </c>
      <c r="Q34" s="1316" t="s">
        <v>212</v>
      </c>
      <c r="R34" s="1316" t="s">
        <v>212</v>
      </c>
      <c r="S34" s="1316" t="s">
        <v>212</v>
      </c>
      <c r="T34" s="1316" t="s">
        <v>212</v>
      </c>
      <c r="U34" s="1316" t="s">
        <v>212</v>
      </c>
      <c r="V34" s="1316" t="s">
        <v>212</v>
      </c>
      <c r="W34" s="1316" t="s">
        <v>212</v>
      </c>
      <c r="X34" s="731"/>
      <c r="Y34" s="731"/>
      <c r="Z34" s="731"/>
      <c r="AA34" s="731"/>
      <c r="AB34" s="731"/>
      <c r="AC34" s="1181"/>
      <c r="AD34" s="1181"/>
      <c r="AE34" s="1181"/>
      <c r="AF34" s="1181"/>
      <c r="AG34" s="43"/>
      <c r="AH34" s="43"/>
      <c r="AI34" s="43"/>
      <c r="AJ34" s="43"/>
      <c r="AK34" s="43"/>
      <c r="AL34" s="43"/>
    </row>
    <row r="35" spans="1:38" collapsed="1">
      <c r="A35" s="1342" t="s">
        <v>213</v>
      </c>
      <c r="B35" s="1343">
        <v>2004</v>
      </c>
      <c r="C35" s="1343">
        <v>2005</v>
      </c>
      <c r="D35" s="1343">
        <v>2006</v>
      </c>
      <c r="E35" s="1343">
        <v>2007</v>
      </c>
      <c r="F35" s="1343">
        <v>2008</v>
      </c>
      <c r="G35" s="1343">
        <v>2009</v>
      </c>
      <c r="H35" s="1343">
        <v>2010</v>
      </c>
      <c r="I35" s="1343">
        <v>2011</v>
      </c>
      <c r="J35" s="1343">
        <v>2012</v>
      </c>
      <c r="K35" s="1343">
        <v>2013</v>
      </c>
      <c r="L35" s="1343">
        <v>2014</v>
      </c>
      <c r="M35" s="1343">
        <v>2015</v>
      </c>
      <c r="N35" s="1343">
        <v>2016</v>
      </c>
      <c r="O35" s="1343">
        <v>2017</v>
      </c>
      <c r="P35" s="1344">
        <v>2018</v>
      </c>
      <c r="Q35" s="1344">
        <v>2019</v>
      </c>
      <c r="R35" s="1344">
        <v>2020</v>
      </c>
      <c r="S35" s="1344">
        <v>2021</v>
      </c>
      <c r="T35" s="1344">
        <v>2022</v>
      </c>
      <c r="U35" s="1344">
        <v>2023</v>
      </c>
      <c r="V35" s="1344">
        <v>2024</v>
      </c>
      <c r="W35" s="1344">
        <v>2025</v>
      </c>
      <c r="X35" s="731"/>
      <c r="Y35" s="731"/>
      <c r="Z35" s="731"/>
      <c r="AA35" s="731"/>
      <c r="AB35" s="731"/>
      <c r="AC35" s="1411"/>
      <c r="AD35" s="1411"/>
      <c r="AE35" s="1181"/>
      <c r="AF35" s="1181"/>
      <c r="AG35" s="231"/>
      <c r="AH35" s="231"/>
      <c r="AI35" s="231"/>
      <c r="AJ35" s="43"/>
      <c r="AK35" s="43"/>
      <c r="AL35" s="43"/>
    </row>
    <row r="36" spans="1:38">
      <c r="A36" s="1120" t="s">
        <v>295</v>
      </c>
      <c r="B36" s="1187">
        <v>518</v>
      </c>
      <c r="C36" s="1187">
        <v>648.19999999999993</v>
      </c>
      <c r="D36" s="1187">
        <v>808.02199999999993</v>
      </c>
      <c r="E36" s="1187">
        <v>826.53699999999992</v>
      </c>
      <c r="F36" s="1187">
        <v>712.42000000000007</v>
      </c>
      <c r="G36" s="1187">
        <v>774.44299999999998</v>
      </c>
      <c r="H36" s="1187">
        <v>1183.2859999999998</v>
      </c>
      <c r="I36" s="1187">
        <v>1295.0279999999998</v>
      </c>
      <c r="J36" s="1187">
        <v>1366.99</v>
      </c>
      <c r="K36" s="1187">
        <v>1635.9549999999999</v>
      </c>
      <c r="L36" s="1187">
        <v>1971.69</v>
      </c>
      <c r="M36" s="1187">
        <v>2325.1619999999998</v>
      </c>
      <c r="N36" s="1187">
        <v>2727.3789999999999</v>
      </c>
      <c r="O36" s="1187">
        <v>3002.8820000000001</v>
      </c>
      <c r="P36" s="1188">
        <v>3979.3484337315795</v>
      </c>
      <c r="Q36" s="1188">
        <v>4283.168518158679</v>
      </c>
      <c r="R36" s="1188">
        <v>4824.5712612595689</v>
      </c>
      <c r="S36" s="1188">
        <v>5295.9446131974628</v>
      </c>
      <c r="T36" s="1188">
        <v>5175.0415548013834</v>
      </c>
      <c r="U36" s="1188">
        <v>5058.7076341979009</v>
      </c>
      <c r="V36" s="1188">
        <v>5431.0299547888071</v>
      </c>
      <c r="W36" s="1188">
        <v>5994.6709525460374</v>
      </c>
      <c r="X36" s="1524"/>
      <c r="Y36" s="1215">
        <v>0.14229522909060632</v>
      </c>
      <c r="Z36" s="1215">
        <v>0.10109142082451039</v>
      </c>
      <c r="AA36" s="1215">
        <v>2.5095632182990268E-2</v>
      </c>
      <c r="AB36" s="731"/>
      <c r="AC36" s="1188"/>
      <c r="AD36" s="1188"/>
      <c r="AE36" s="1525"/>
      <c r="AF36" s="1523"/>
      <c r="AG36" s="1408"/>
      <c r="AH36" s="19"/>
      <c r="AI36" s="19"/>
      <c r="AJ36" s="43"/>
      <c r="AK36" s="174"/>
      <c r="AL36" s="43"/>
    </row>
    <row r="37" spans="1:38" ht="12.75" hidden="1" customHeight="1" outlineLevel="1">
      <c r="A37" s="1182" t="s">
        <v>54</v>
      </c>
      <c r="B37" s="1183">
        <v>293.2</v>
      </c>
      <c r="C37" s="1183">
        <v>312.7</v>
      </c>
      <c r="D37" s="1183">
        <v>346.29500000000002</v>
      </c>
      <c r="E37" s="1183">
        <v>422.65</v>
      </c>
      <c r="F37" s="1183">
        <v>273.84899999999999</v>
      </c>
      <c r="G37" s="1183">
        <v>229.102</v>
      </c>
      <c r="H37" s="1183">
        <v>582.25300000000004</v>
      </c>
      <c r="I37" s="1183">
        <v>702.17499999999995</v>
      </c>
      <c r="J37" s="1183">
        <v>766.68700000000001</v>
      </c>
      <c r="K37" s="1183">
        <v>950.32600000000002</v>
      </c>
      <c r="L37" s="1183">
        <v>884.274</v>
      </c>
      <c r="M37" s="1183">
        <v>1089.1469999999999</v>
      </c>
      <c r="N37" s="1183">
        <v>1258.73</v>
      </c>
      <c r="O37" s="1183">
        <v>1644.63</v>
      </c>
      <c r="P37" s="1184">
        <v>2128.9663095847563</v>
      </c>
      <c r="Q37" s="1184">
        <v>2133.8143933247143</v>
      </c>
      <c r="R37" s="1184">
        <v>2521.7158833312587</v>
      </c>
      <c r="S37" s="1184">
        <v>2821.163132376465</v>
      </c>
      <c r="T37" s="1184">
        <v>2562.715394447865</v>
      </c>
      <c r="U37" s="1184">
        <v>2304.2156356643059</v>
      </c>
      <c r="V37" s="1184">
        <v>2530.3580001151431</v>
      </c>
      <c r="W37" s="1184">
        <v>2834.4922439178249</v>
      </c>
      <c r="X37" s="1250"/>
      <c r="Y37" s="460"/>
      <c r="Z37" s="731"/>
      <c r="AA37" s="731"/>
      <c r="AB37" s="731"/>
      <c r="AC37" s="1184"/>
      <c r="AD37" s="1184"/>
      <c r="AE37" s="1181"/>
      <c r="AF37" s="1523"/>
      <c r="AG37" s="1408"/>
      <c r="AH37" s="43"/>
      <c r="AI37" s="43"/>
      <c r="AJ37" s="43"/>
      <c r="AK37" s="43"/>
      <c r="AL37" s="43"/>
    </row>
    <row r="38" spans="1:38" ht="12.75" hidden="1" customHeight="1" outlineLevel="1">
      <c r="A38" s="1141" t="s">
        <v>42</v>
      </c>
      <c r="B38" s="1185">
        <v>195</v>
      </c>
      <c r="C38" s="1185">
        <v>304.2</v>
      </c>
      <c r="D38" s="1185">
        <v>429.86299999999994</v>
      </c>
      <c r="E38" s="1185">
        <v>366.74</v>
      </c>
      <c r="F38" s="1185">
        <v>403.01299999999998</v>
      </c>
      <c r="G38" s="1183">
        <v>481.524</v>
      </c>
      <c r="H38" s="1183">
        <v>522.83799999999997</v>
      </c>
      <c r="I38" s="1183">
        <v>520.95900000000006</v>
      </c>
      <c r="J38" s="1183">
        <v>505.07</v>
      </c>
      <c r="K38" s="1183">
        <v>546.16599999999994</v>
      </c>
      <c r="L38" s="1183">
        <v>841.13300000000004</v>
      </c>
      <c r="M38" s="1183">
        <v>962.45299999999997</v>
      </c>
      <c r="N38" s="1183">
        <v>1301.662</v>
      </c>
      <c r="O38" s="1183">
        <v>1238.877</v>
      </c>
      <c r="P38" s="1184">
        <v>1641.3747081468232</v>
      </c>
      <c r="Q38" s="1184">
        <v>1862.4159101059649</v>
      </c>
      <c r="R38" s="1184">
        <v>1984.1809387265564</v>
      </c>
      <c r="S38" s="1184">
        <v>2125.2465223243512</v>
      </c>
      <c r="T38" s="1184">
        <v>2234.2921109355002</v>
      </c>
      <c r="U38" s="1184">
        <v>2348.9363176264546</v>
      </c>
      <c r="V38" s="1184">
        <v>2469.463291754817</v>
      </c>
      <c r="W38" s="1184">
        <v>2706.0506332771179</v>
      </c>
      <c r="X38" s="1250"/>
      <c r="Y38" s="460"/>
      <c r="Z38" s="731"/>
      <c r="AA38" s="731"/>
      <c r="AB38" s="731"/>
      <c r="AC38" s="1184"/>
      <c r="AD38" s="1184"/>
      <c r="AE38" s="1181"/>
      <c r="AF38" s="1523"/>
      <c r="AG38" s="1408"/>
      <c r="AH38" s="43"/>
      <c r="AI38" s="43"/>
      <c r="AJ38" s="43"/>
      <c r="AK38" s="43"/>
      <c r="AL38" s="43"/>
    </row>
    <row r="39" spans="1:38" ht="12.75" hidden="1" customHeight="1" outlineLevel="1">
      <c r="A39" s="1141" t="s">
        <v>214</v>
      </c>
      <c r="B39" s="1185">
        <v>0</v>
      </c>
      <c r="C39" s="1185">
        <v>0</v>
      </c>
      <c r="D39" s="1185">
        <v>0</v>
      </c>
      <c r="E39" s="1185">
        <v>0</v>
      </c>
      <c r="F39" s="1185">
        <v>0</v>
      </c>
      <c r="G39" s="1183">
        <v>16.445</v>
      </c>
      <c r="H39" s="1183">
        <v>22.300999999999998</v>
      </c>
      <c r="I39" s="1183">
        <v>23.946000000000002</v>
      </c>
      <c r="J39" s="1183">
        <v>27.593</v>
      </c>
      <c r="K39" s="1183">
        <v>44.408000000000001</v>
      </c>
      <c r="L39" s="1183">
        <v>77.272999999999996</v>
      </c>
      <c r="M39" s="1183">
        <v>189.114</v>
      </c>
      <c r="N39" s="1183">
        <v>185.57300000000001</v>
      </c>
      <c r="O39" s="1183">
        <v>152.089</v>
      </c>
      <c r="P39" s="1184">
        <v>166.22640000000001</v>
      </c>
      <c r="Q39" s="1184">
        <v>165.74662500000002</v>
      </c>
      <c r="R39" s="1184">
        <v>174.09287265625002</v>
      </c>
      <c r="S39" s="1184">
        <v>182.83241226968116</v>
      </c>
      <c r="T39" s="1184">
        <v>191.32719764381633</v>
      </c>
      <c r="U39" s="1184">
        <v>200.17814395551824</v>
      </c>
      <c r="V39" s="1184">
        <v>209.40092301109468</v>
      </c>
      <c r="W39" s="1184">
        <v>219.01187104887751</v>
      </c>
      <c r="X39" s="1250"/>
      <c r="Y39" s="460"/>
      <c r="Z39" s="731"/>
      <c r="AA39" s="731"/>
      <c r="AB39" s="731"/>
      <c r="AC39" s="1184"/>
      <c r="AD39" s="1184"/>
      <c r="AE39" s="1181"/>
      <c r="AF39" s="1523"/>
      <c r="AG39" s="1408"/>
      <c r="AH39" s="43"/>
      <c r="AI39" s="43"/>
      <c r="AJ39" s="43"/>
      <c r="AK39" s="43"/>
      <c r="AL39" s="43"/>
    </row>
    <row r="40" spans="1:38" ht="12.75" hidden="1" customHeight="1" outlineLevel="1">
      <c r="A40" s="1141" t="s">
        <v>46</v>
      </c>
      <c r="B40" s="1183">
        <v>29.799999999999997</v>
      </c>
      <c r="C40" s="1183">
        <v>31.299999999999997</v>
      </c>
      <c r="D40" s="1183">
        <v>31.863999999999997</v>
      </c>
      <c r="E40" s="1183">
        <v>37.146000000000001</v>
      </c>
      <c r="F40" s="1183">
        <v>35.557000000000002</v>
      </c>
      <c r="G40" s="1183">
        <v>47.372</v>
      </c>
      <c r="H40" s="1183">
        <v>55.895000000000003</v>
      </c>
      <c r="I40" s="1183">
        <v>47.965000000000003</v>
      </c>
      <c r="J40" s="1183">
        <v>67.64</v>
      </c>
      <c r="K40" s="1183">
        <v>95.054000000000002</v>
      </c>
      <c r="L40" s="1183">
        <v>168.49199999999999</v>
      </c>
      <c r="M40" s="1183">
        <v>84.448000000000008</v>
      </c>
      <c r="N40" s="1183">
        <v>-18.586000000000006</v>
      </c>
      <c r="O40" s="1183">
        <v>-32.714000000000013</v>
      </c>
      <c r="P40" s="1186">
        <v>42.781016000000001</v>
      </c>
      <c r="Q40" s="1186">
        <v>121.19158972800001</v>
      </c>
      <c r="R40" s="1186">
        <v>144.58156654550402</v>
      </c>
      <c r="S40" s="1186">
        <v>166.70254622696615</v>
      </c>
      <c r="T40" s="1186">
        <v>186.70685177420208</v>
      </c>
      <c r="U40" s="1186">
        <v>205.37753695162232</v>
      </c>
      <c r="V40" s="1186">
        <v>221.80773990775211</v>
      </c>
      <c r="W40" s="1186">
        <v>235.11620430221726</v>
      </c>
      <c r="X40" s="1250"/>
      <c r="Y40" s="731"/>
      <c r="Z40" s="731"/>
      <c r="AA40" s="731"/>
      <c r="AB40" s="731"/>
      <c r="AC40" s="1186"/>
      <c r="AD40" s="1186"/>
      <c r="AE40" s="1181"/>
      <c r="AF40" s="1523"/>
      <c r="AG40" s="1408"/>
      <c r="AH40" s="43"/>
      <c r="AI40" s="43"/>
      <c r="AJ40" s="43"/>
      <c r="AK40" s="43"/>
      <c r="AL40" s="43"/>
    </row>
    <row r="41" spans="1:38" s="946" customFormat="1" collapsed="1">
      <c r="A41" s="1711" t="s">
        <v>215</v>
      </c>
      <c r="B41" s="1190"/>
      <c r="C41" s="1191">
        <v>0.25135135135135123</v>
      </c>
      <c r="D41" s="1191">
        <v>0.24656278926257325</v>
      </c>
      <c r="E41" s="1191">
        <v>2.2913980064899198E-2</v>
      </c>
      <c r="F41" s="1191">
        <v>-0.1380664144496857</v>
      </c>
      <c r="G41" s="1191">
        <v>8.7059599674349286E-2</v>
      </c>
      <c r="H41" s="1191">
        <v>0.52791877517131658</v>
      </c>
      <c r="I41" s="1191">
        <v>9.4433636500389495E-2</v>
      </c>
      <c r="J41" s="1191">
        <v>5.5567910500776918E-2</v>
      </c>
      <c r="K41" s="1191">
        <v>0.19675710868404295</v>
      </c>
      <c r="L41" s="1191">
        <v>0.20522263754198633</v>
      </c>
      <c r="M41" s="1191">
        <v>0.17927361806369135</v>
      </c>
      <c r="N41" s="1191">
        <v>0.17298450602581683</v>
      </c>
      <c r="O41" s="1191">
        <v>0.10101383049440504</v>
      </c>
      <c r="P41" s="1192">
        <v>0.32517642509148859</v>
      </c>
      <c r="Q41" s="1192">
        <v>7.6349203767059004E-2</v>
      </c>
      <c r="R41" s="1192">
        <v>0.12640239131511866</v>
      </c>
      <c r="S41" s="1192">
        <v>9.7702640589628409E-2</v>
      </c>
      <c r="T41" s="1192">
        <v>-2.2829366095481696E-2</v>
      </c>
      <c r="U41" s="1192">
        <v>-2.2479804146799287E-2</v>
      </c>
      <c r="V41" s="1192">
        <v>7.3600284403457339E-2</v>
      </c>
      <c r="W41" s="1192">
        <v>0.10378160357230959</v>
      </c>
      <c r="X41" s="1191"/>
      <c r="Y41" s="1196"/>
      <c r="Z41" s="1196"/>
      <c r="AA41" s="1196"/>
      <c r="AB41" s="1196"/>
      <c r="AC41" s="1192"/>
      <c r="AD41" s="1192"/>
      <c r="AE41" s="1526"/>
      <c r="AF41" s="1523"/>
      <c r="AG41" s="1408"/>
      <c r="AH41" s="947"/>
      <c r="AI41" s="947"/>
      <c r="AJ41" s="945"/>
      <c r="AK41" s="947"/>
      <c r="AL41" s="945"/>
    </row>
    <row r="42" spans="1:38">
      <c r="A42" s="731" t="s">
        <v>1194</v>
      </c>
      <c r="B42" s="1194">
        <v>-295.76800000000003</v>
      </c>
      <c r="C42" s="1194">
        <v>-355.28999999999996</v>
      </c>
      <c r="D42" s="1194">
        <v>-372.45499999999998</v>
      </c>
      <c r="E42" s="1194">
        <v>-296.49299999999999</v>
      </c>
      <c r="F42" s="1194">
        <v>-432.36899999999997</v>
      </c>
      <c r="G42" s="1194">
        <v>-434.53500000000003</v>
      </c>
      <c r="H42" s="1194">
        <v>-627.75300000000004</v>
      </c>
      <c r="I42" s="1194">
        <v>-565.33400000000006</v>
      </c>
      <c r="J42" s="1194">
        <v>-638.81099999999992</v>
      </c>
      <c r="K42" s="1194">
        <v>-780.74500000000012</v>
      </c>
      <c r="L42" s="1194">
        <v>-992.93300000000011</v>
      </c>
      <c r="M42" s="1194">
        <v>-1044.027</v>
      </c>
      <c r="N42" s="1194">
        <v>-1237.6200000000001</v>
      </c>
      <c r="O42" s="1194">
        <v>-1436.1219999999998</v>
      </c>
      <c r="P42" s="1195">
        <v>-1675.9081063027345</v>
      </c>
      <c r="Q42" s="1195">
        <v>-1738.446469905808</v>
      </c>
      <c r="R42" s="1195">
        <v>-1902.6384541240918</v>
      </c>
      <c r="S42" s="1195">
        <v>-2047.6889354840864</v>
      </c>
      <c r="T42" s="1195">
        <v>-2033.6369281117004</v>
      </c>
      <c r="U42" s="1195">
        <v>-1997.7198996148884</v>
      </c>
      <c r="V42" s="1195">
        <v>-2110.2979849719341</v>
      </c>
      <c r="W42" s="1195">
        <v>-2053.9003852964956</v>
      </c>
      <c r="X42" s="1250"/>
      <c r="Y42" s="1215"/>
      <c r="Z42" s="731"/>
      <c r="AA42" s="731"/>
      <c r="AB42" s="731"/>
      <c r="AC42" s="1195"/>
      <c r="AD42" s="1195"/>
      <c r="AE42" s="1181"/>
      <c r="AF42" s="1523"/>
      <c r="AG42" s="1408"/>
      <c r="AH42" s="165"/>
      <c r="AI42" s="165"/>
      <c r="AJ42" s="43"/>
      <c r="AK42" s="174"/>
      <c r="AL42" s="43"/>
    </row>
    <row r="43" spans="1:38">
      <c r="A43" s="1120" t="s">
        <v>216</v>
      </c>
      <c r="B43" s="1187">
        <v>222.23199999999997</v>
      </c>
      <c r="C43" s="1187">
        <v>292.90999999999997</v>
      </c>
      <c r="D43" s="1187">
        <v>435.56699999999995</v>
      </c>
      <c r="E43" s="1187">
        <v>530.04399999999987</v>
      </c>
      <c r="F43" s="1187">
        <v>280.0510000000001</v>
      </c>
      <c r="G43" s="1187">
        <v>339.90799999999996</v>
      </c>
      <c r="H43" s="1187">
        <v>555.53299999999979</v>
      </c>
      <c r="I43" s="1187">
        <v>729.69399999999973</v>
      </c>
      <c r="J43" s="1187">
        <v>728.17900000000009</v>
      </c>
      <c r="K43" s="1187">
        <v>855.20999999999981</v>
      </c>
      <c r="L43" s="1187">
        <v>978.75699999999995</v>
      </c>
      <c r="M43" s="1187">
        <v>1281.1349999999998</v>
      </c>
      <c r="N43" s="1187">
        <v>1489.7589999999998</v>
      </c>
      <c r="O43" s="1187">
        <v>1566.7600000000002</v>
      </c>
      <c r="P43" s="1188">
        <v>2303.4403274288452</v>
      </c>
      <c r="Q43" s="1188">
        <v>2544.722048252871</v>
      </c>
      <c r="R43" s="1188">
        <v>2921.9328071354771</v>
      </c>
      <c r="S43" s="1188">
        <v>3248.2556777133764</v>
      </c>
      <c r="T43" s="1188">
        <v>3141.404626689683</v>
      </c>
      <c r="U43" s="1188">
        <v>3060.9877345830128</v>
      </c>
      <c r="V43" s="1188">
        <v>3320.7319698168731</v>
      </c>
      <c r="W43" s="1188">
        <v>3940.7705672495417</v>
      </c>
      <c r="X43" s="1524"/>
      <c r="Y43" s="731"/>
      <c r="Z43" s="731"/>
      <c r="AA43" s="731"/>
      <c r="AB43" s="731"/>
      <c r="AC43" s="1188"/>
      <c r="AD43" s="1188"/>
      <c r="AE43" s="1525"/>
      <c r="AF43" s="1523"/>
      <c r="AG43" s="1408"/>
      <c r="AH43" s="19"/>
      <c r="AI43" s="19"/>
      <c r="AJ43" s="43"/>
      <c r="AK43" s="174"/>
      <c r="AL43" s="43"/>
    </row>
    <row r="44" spans="1:38">
      <c r="A44" s="1196" t="s">
        <v>217</v>
      </c>
      <c r="B44" s="1197">
        <v>0.42901930501930496</v>
      </c>
      <c r="C44" s="1197">
        <v>0.45188213514347425</v>
      </c>
      <c r="D44" s="1197">
        <v>0.53905339211061087</v>
      </c>
      <c r="E44" s="1197">
        <v>0.64128284638195254</v>
      </c>
      <c r="F44" s="1197">
        <v>0.39309817242637779</v>
      </c>
      <c r="G44" s="1197">
        <v>0.43890641402917963</v>
      </c>
      <c r="H44" s="1197">
        <v>0.46948328637370834</v>
      </c>
      <c r="I44" s="1197">
        <v>0.56345808739270486</v>
      </c>
      <c r="J44" s="1197">
        <v>0.53268787628292824</v>
      </c>
      <c r="K44" s="1197">
        <v>0.52275887784199437</v>
      </c>
      <c r="L44" s="1197">
        <v>0.49640511439425056</v>
      </c>
      <c r="M44" s="1197">
        <v>0.55098741507043369</v>
      </c>
      <c r="N44" s="1197">
        <v>0.54622368215051886</v>
      </c>
      <c r="O44" s="1197">
        <v>0.5217521034792576</v>
      </c>
      <c r="P44" s="1198">
        <v>0.57884861448757974</v>
      </c>
      <c r="Q44" s="1198">
        <v>0.59412139341807624</v>
      </c>
      <c r="R44" s="1198">
        <v>0.60563574438169598</v>
      </c>
      <c r="S44" s="1198">
        <v>0.61334774340704812</v>
      </c>
      <c r="T44" s="1198">
        <v>0.60702983607447558</v>
      </c>
      <c r="U44" s="1198">
        <v>0.60509283317543561</v>
      </c>
      <c r="V44" s="1198">
        <v>0.61143687246446132</v>
      </c>
      <c r="W44" s="1198">
        <v>0.65737896182205469</v>
      </c>
      <c r="X44" s="1197"/>
      <c r="Y44" s="731"/>
      <c r="Z44" s="731"/>
      <c r="AA44" s="731"/>
      <c r="AB44" s="731"/>
      <c r="AC44" s="1198"/>
      <c r="AD44" s="1198"/>
      <c r="AE44" s="1181"/>
      <c r="AF44" s="1523"/>
      <c r="AG44" s="1408"/>
      <c r="AH44" s="13"/>
      <c r="AI44" s="13"/>
      <c r="AJ44" s="43"/>
      <c r="AK44" s="174"/>
      <c r="AL44" s="43"/>
    </row>
    <row r="45" spans="1:38" hidden="1" outlineLevel="1">
      <c r="A45" s="1182" t="s">
        <v>54</v>
      </c>
      <c r="B45" s="1197"/>
      <c r="C45" s="1197"/>
      <c r="D45" s="1197"/>
      <c r="E45" s="1197"/>
      <c r="F45" s="1197"/>
      <c r="G45" s="1197"/>
      <c r="H45" s="1197">
        <v>0.59530994258509617</v>
      </c>
      <c r="I45" s="1197">
        <v>0.63403994730658308</v>
      </c>
      <c r="J45" s="1197">
        <v>0.57450432836346521</v>
      </c>
      <c r="K45" s="1197">
        <v>0.58731845703474383</v>
      </c>
      <c r="L45" s="1197">
        <v>0.53180235990202129</v>
      </c>
      <c r="M45" s="1197">
        <v>0.57050150255199705</v>
      </c>
      <c r="N45" s="1197">
        <v>0.54579615962120553</v>
      </c>
      <c r="O45" s="1197">
        <v>0.57247405191441236</v>
      </c>
      <c r="P45" s="1198">
        <v>0.65230411397221089</v>
      </c>
      <c r="Q45" s="1198">
        <v>0.63370450704957426</v>
      </c>
      <c r="R45" s="1198">
        <v>0.66021537311495726</v>
      </c>
      <c r="S45" s="1198">
        <v>0.67281326518478402</v>
      </c>
      <c r="T45" s="1198">
        <v>0.6448279233610108</v>
      </c>
      <c r="U45" s="1198">
        <v>0.61505222530622028</v>
      </c>
      <c r="V45" s="1198">
        <v>0.63060429655318917</v>
      </c>
      <c r="W45" s="1198">
        <v>0.68175774354927388</v>
      </c>
      <c r="X45" s="1197"/>
      <c r="Y45" s="731"/>
      <c r="Z45" s="731"/>
      <c r="AA45" s="731"/>
      <c r="AB45" s="731"/>
      <c r="AC45" s="1198"/>
      <c r="AD45" s="1198"/>
      <c r="AE45" s="1181"/>
      <c r="AF45" s="1523"/>
      <c r="AG45" s="1408"/>
      <c r="AH45" s="13"/>
      <c r="AI45" s="13"/>
      <c r="AJ45" s="43"/>
      <c r="AK45" s="174"/>
      <c r="AL45" s="43"/>
    </row>
    <row r="46" spans="1:38" hidden="1" outlineLevel="1">
      <c r="A46" s="1182" t="s">
        <v>42</v>
      </c>
      <c r="B46" s="1197"/>
      <c r="C46" s="1197"/>
      <c r="D46" s="1197"/>
      <c r="E46" s="1197"/>
      <c r="F46" s="1197"/>
      <c r="G46" s="1197"/>
      <c r="H46" s="1197">
        <v>0.44310283491253505</v>
      </c>
      <c r="I46" s="1197">
        <v>0.56270071157231194</v>
      </c>
      <c r="J46" s="1197">
        <v>0.43730176015205813</v>
      </c>
      <c r="K46" s="1197">
        <v>0.42883848500272803</v>
      </c>
      <c r="L46" s="1197">
        <v>0.485086187321149</v>
      </c>
      <c r="M46" s="1197">
        <v>0.49634008102213817</v>
      </c>
      <c r="N46" s="1197">
        <v>0.51901261617839356</v>
      </c>
      <c r="O46" s="1197">
        <v>0.49221674145213767</v>
      </c>
      <c r="P46" s="1198">
        <v>0.50675277476254965</v>
      </c>
      <c r="Q46" s="1198">
        <v>0.5416895598062984</v>
      </c>
      <c r="R46" s="1198">
        <v>0.52906903081601531</v>
      </c>
      <c r="S46" s="1198">
        <v>0.52703738096630581</v>
      </c>
      <c r="T46" s="1198">
        <v>0.55407023467969696</v>
      </c>
      <c r="U46" s="1198">
        <v>0.58446978216718992</v>
      </c>
      <c r="V46" s="1198">
        <v>0.58146610365302087</v>
      </c>
      <c r="W46" s="1198">
        <v>0.62943827813593878</v>
      </c>
      <c r="X46" s="1197"/>
      <c r="Y46" s="731"/>
      <c r="Z46" s="731"/>
      <c r="AA46" s="731"/>
      <c r="AB46" s="731"/>
      <c r="AC46" s="1198"/>
      <c r="AD46" s="1198"/>
      <c r="AE46" s="1181"/>
      <c r="AF46" s="1523"/>
      <c r="AG46" s="1408"/>
      <c r="AH46" s="13"/>
      <c r="AI46" s="13"/>
      <c r="AJ46" s="43"/>
      <c r="AK46" s="174"/>
      <c r="AL46" s="43"/>
    </row>
    <row r="47" spans="1:38" hidden="1" outlineLevel="1">
      <c r="A47" s="1182" t="s">
        <v>1052</v>
      </c>
      <c r="B47" s="1197"/>
      <c r="C47" s="1197"/>
      <c r="D47" s="1197"/>
      <c r="E47" s="1197"/>
      <c r="F47" s="1197"/>
      <c r="G47" s="1197"/>
      <c r="H47" s="1197">
        <v>0.8</v>
      </c>
      <c r="I47" s="1197">
        <v>0.8</v>
      </c>
      <c r="J47" s="1197">
        <v>0.8</v>
      </c>
      <c r="K47" s="1197">
        <v>0.8</v>
      </c>
      <c r="L47" s="1197">
        <v>0.8</v>
      </c>
      <c r="M47" s="1197">
        <v>0.8</v>
      </c>
      <c r="N47" s="1197">
        <v>0.8</v>
      </c>
      <c r="O47" s="1197">
        <v>0.8</v>
      </c>
      <c r="P47" s="1198">
        <v>0.5</v>
      </c>
      <c r="Q47" s="1198">
        <v>0.5</v>
      </c>
      <c r="R47" s="1198">
        <v>0.5</v>
      </c>
      <c r="S47" s="1198">
        <v>0.5</v>
      </c>
      <c r="T47" s="1198">
        <v>0.5</v>
      </c>
      <c r="U47" s="1198">
        <v>0.5</v>
      </c>
      <c r="V47" s="1198">
        <v>0.5</v>
      </c>
      <c r="W47" s="1198">
        <v>0.5</v>
      </c>
      <c r="X47" s="1197"/>
      <c r="Y47" s="731"/>
      <c r="Z47" s="731"/>
      <c r="AA47" s="731"/>
      <c r="AB47" s="731"/>
      <c r="AC47" s="1198"/>
      <c r="AD47" s="1198"/>
      <c r="AE47" s="1181"/>
      <c r="AF47" s="1523"/>
      <c r="AG47" s="1408"/>
      <c r="AH47" s="13"/>
      <c r="AI47" s="13"/>
      <c r="AJ47" s="43"/>
      <c r="AK47" s="174"/>
      <c r="AL47" s="43"/>
    </row>
    <row r="48" spans="1:38" hidden="1" outlineLevel="1">
      <c r="A48" s="1182" t="s">
        <v>1017</v>
      </c>
      <c r="B48" s="1197"/>
      <c r="C48" s="1197"/>
      <c r="D48" s="1197"/>
      <c r="E48" s="1197"/>
      <c r="F48" s="1197"/>
      <c r="G48" s="1197"/>
      <c r="H48" s="1197">
        <v>2.7263404597906793</v>
      </c>
      <c r="I48" s="1197">
        <v>2.5795225685395571</v>
      </c>
      <c r="J48" s="1197">
        <v>1.3380898876404479</v>
      </c>
      <c r="K48" s="1197">
        <v>1.712567593157571</v>
      </c>
      <c r="L48" s="1197">
        <v>1.7736414785271699</v>
      </c>
      <c r="M48" s="1197">
        <v>1.3827237265291275</v>
      </c>
      <c r="N48" s="1197">
        <v>1.0317335807137262</v>
      </c>
      <c r="O48" s="1197">
        <v>1.8472565473994829</v>
      </c>
      <c r="P48" s="1198">
        <v>1.437059228884447</v>
      </c>
      <c r="Q48" s="1198">
        <v>1.168344245665806</v>
      </c>
      <c r="R48" s="1198">
        <v>1.168344245665806</v>
      </c>
      <c r="S48" s="1198">
        <v>1.168344245665806</v>
      </c>
      <c r="T48" s="1198">
        <v>1.168344245665806</v>
      </c>
      <c r="U48" s="1198">
        <v>1.168344245665806</v>
      </c>
      <c r="V48" s="1198">
        <v>1.168344245665806</v>
      </c>
      <c r="W48" s="1198">
        <v>1.168344245665806</v>
      </c>
      <c r="X48" s="1197"/>
      <c r="Y48" s="731"/>
      <c r="Z48" s="731"/>
      <c r="AA48" s="731"/>
      <c r="AB48" s="731"/>
      <c r="AC48" s="1198"/>
      <c r="AD48" s="1198"/>
      <c r="AE48" s="1181"/>
      <c r="AF48" s="1523"/>
      <c r="AG48" s="1408"/>
      <c r="AH48" s="13"/>
      <c r="AI48" s="13"/>
      <c r="AJ48" s="43"/>
      <c r="AK48" s="174"/>
      <c r="AL48" s="43"/>
    </row>
    <row r="49" spans="1:38" collapsed="1">
      <c r="A49" s="731" t="s">
        <v>218</v>
      </c>
      <c r="B49" s="1200">
        <v>-130.30000000000001</v>
      </c>
      <c r="C49" s="1200">
        <v>-129.80000000000001</v>
      </c>
      <c r="D49" s="1200">
        <v>-113.37599999999999</v>
      </c>
      <c r="E49" s="1200">
        <v>-139.56699999999998</v>
      </c>
      <c r="F49" s="1200">
        <v>-151.678</v>
      </c>
      <c r="G49" s="1200">
        <v>-96.729000000000013</v>
      </c>
      <c r="H49" s="1200">
        <v>-154.21100000000001</v>
      </c>
      <c r="I49" s="1200">
        <v>-163.57</v>
      </c>
      <c r="J49" s="1200">
        <v>-145.54400000000001</v>
      </c>
      <c r="K49" s="1200">
        <v>-203.45</v>
      </c>
      <c r="L49" s="1200">
        <v>-227.554</v>
      </c>
      <c r="M49" s="1200">
        <v>-149.41999999999999</v>
      </c>
      <c r="N49" s="1200">
        <v>-253.94499999999996</v>
      </c>
      <c r="O49" s="1200">
        <v>-122.36199999999999</v>
      </c>
      <c r="P49" s="1195">
        <v>-289.90437362447608</v>
      </c>
      <c r="Q49" s="1195">
        <v>-307.70589167105334</v>
      </c>
      <c r="R49" s="1195">
        <v>-323.07354270778592</v>
      </c>
      <c r="S49" s="1195">
        <v>-340.55878130553913</v>
      </c>
      <c r="T49" s="1195">
        <v>-356.13275237486766</v>
      </c>
      <c r="U49" s="1195">
        <v>-372.42962213265389</v>
      </c>
      <c r="V49" s="1195">
        <v>-389.46751612572859</v>
      </c>
      <c r="W49" s="1195">
        <v>-407.2673794183064</v>
      </c>
      <c r="X49" s="1250"/>
      <c r="Y49" s="731"/>
      <c r="Z49" s="731"/>
      <c r="AA49" s="731"/>
      <c r="AB49" s="731"/>
      <c r="AC49" s="1195"/>
      <c r="AD49" s="1195"/>
      <c r="AE49" s="1181"/>
      <c r="AF49" s="1523"/>
      <c r="AG49" s="1408"/>
      <c r="AH49" s="165"/>
      <c r="AI49" s="165"/>
      <c r="AJ49" s="43"/>
      <c r="AK49" s="174"/>
      <c r="AL49" s="43"/>
    </row>
    <row r="50" spans="1:38">
      <c r="A50" s="1141" t="s">
        <v>168</v>
      </c>
      <c r="B50" s="1201">
        <v>-130.30000000000001</v>
      </c>
      <c r="C50" s="1201">
        <v>-129.80000000000001</v>
      </c>
      <c r="D50" s="1201">
        <v>-108.011</v>
      </c>
      <c r="E50" s="1201">
        <v>-129.761</v>
      </c>
      <c r="F50" s="1200">
        <v>-133.84700000000001</v>
      </c>
      <c r="G50" s="1200">
        <v>-135.155</v>
      </c>
      <c r="H50" s="1200">
        <v>-154.39099999999999</v>
      </c>
      <c r="I50" s="1200">
        <v>-159.32599999999999</v>
      </c>
      <c r="J50" s="1200">
        <v>-172.07900000000001</v>
      </c>
      <c r="K50" s="1200">
        <v>-200.02699999999999</v>
      </c>
      <c r="L50" s="1200">
        <v>-228.37900000000002</v>
      </c>
      <c r="M50" s="1200">
        <v>-257.88499999999999</v>
      </c>
      <c r="N50" s="1200">
        <v>-265.12799999999999</v>
      </c>
      <c r="O50" s="1200">
        <v>-271.05899999999997</v>
      </c>
      <c r="P50" s="1195">
        <v>-290.17137362447608</v>
      </c>
      <c r="Q50" s="1195">
        <v>-308.33189167105331</v>
      </c>
      <c r="R50" s="1195">
        <v>-323.69954270778589</v>
      </c>
      <c r="S50" s="1195">
        <v>-341.1847813055391</v>
      </c>
      <c r="T50" s="1195">
        <v>-356.75875237486764</v>
      </c>
      <c r="U50" s="1195">
        <v>-373.05562213265387</v>
      </c>
      <c r="V50" s="1195">
        <v>-390.09351612572857</v>
      </c>
      <c r="W50" s="1195">
        <v>-407.89337941830638</v>
      </c>
      <c r="X50" s="1250"/>
      <c r="Y50" s="731"/>
      <c r="Z50" s="731"/>
      <c r="AA50" s="731"/>
      <c r="AB50" s="731"/>
      <c r="AC50" s="1403"/>
      <c r="AD50" s="1403"/>
      <c r="AE50" s="1525"/>
      <c r="AF50" s="1523"/>
      <c r="AG50" s="1408"/>
      <c r="AH50" s="165"/>
      <c r="AI50" s="165"/>
      <c r="AJ50" s="43"/>
      <c r="AK50" s="174"/>
      <c r="AL50" s="43"/>
    </row>
    <row r="51" spans="1:38" ht="12.75" hidden="1" customHeight="1" outlineLevel="1">
      <c r="A51" s="1202" t="s">
        <v>169</v>
      </c>
      <c r="B51" s="1257">
        <v>-57.6</v>
      </c>
      <c r="C51" s="1257">
        <v>-54.4</v>
      </c>
      <c r="D51" s="1257">
        <v>-39.162999999999997</v>
      </c>
      <c r="E51" s="1257">
        <v>-54.848999999999997</v>
      </c>
      <c r="F51" s="1200">
        <v>-42.623999999999995</v>
      </c>
      <c r="G51" s="1200">
        <v>-34.978999999999999</v>
      </c>
      <c r="H51" s="1200">
        <v>-61.453000000000003</v>
      </c>
      <c r="I51" s="1200">
        <v>-58.196000000000005</v>
      </c>
      <c r="J51" s="1200">
        <v>-53.747999999999998</v>
      </c>
      <c r="K51" s="1200">
        <v>-72.466000000000008</v>
      </c>
      <c r="L51" s="1200">
        <v>-90.329000000000008</v>
      </c>
      <c r="M51" s="1200">
        <v>-94.218000000000004</v>
      </c>
      <c r="N51" s="1200">
        <v>-109.145</v>
      </c>
      <c r="O51" s="1200">
        <v>-121.62100000000001</v>
      </c>
      <c r="P51" s="1195">
        <v>-120.7724711244761</v>
      </c>
      <c r="Q51" s="1195">
        <v>-132.76919897355339</v>
      </c>
      <c r="R51" s="1195">
        <v>-141.73267199508342</v>
      </c>
      <c r="S51" s="1195">
        <v>-152.56396963504127</v>
      </c>
      <c r="T51" s="1195">
        <v>-162.11083510757294</v>
      </c>
      <c r="U51" s="1195">
        <v>-172.17567767827114</v>
      </c>
      <c r="V51" s="1195">
        <v>-182.76965555989676</v>
      </c>
      <c r="W51" s="1195">
        <v>-193.90650959323634</v>
      </c>
      <c r="X51" s="1250"/>
      <c r="Y51" s="731"/>
      <c r="Z51" s="731"/>
      <c r="AA51" s="731"/>
      <c r="AB51" s="731"/>
      <c r="AC51" s="1403"/>
      <c r="AD51" s="1403"/>
      <c r="AE51" s="1525"/>
      <c r="AF51" s="1523"/>
      <c r="AG51" s="1408"/>
      <c r="AH51" s="165"/>
      <c r="AI51" s="165"/>
      <c r="AJ51" s="43"/>
      <c r="AK51" s="174"/>
      <c r="AL51" s="43"/>
    </row>
    <row r="52" spans="1:38" ht="12.75" hidden="1" customHeight="1" outlineLevel="1">
      <c r="A52" s="1202" t="s">
        <v>170</v>
      </c>
      <c r="B52" s="1257">
        <v>-72.7</v>
      </c>
      <c r="C52" s="1257">
        <v>-75.400000000000006</v>
      </c>
      <c r="D52" s="1257">
        <v>-68.847999999999999</v>
      </c>
      <c r="E52" s="1257">
        <v>-74.912000000000006</v>
      </c>
      <c r="F52" s="1200">
        <v>-91.222999999999985</v>
      </c>
      <c r="G52" s="1200">
        <v>-100.17599999999999</v>
      </c>
      <c r="H52" s="1200">
        <v>-92.937999999999988</v>
      </c>
      <c r="I52" s="1200">
        <v>-101.13</v>
      </c>
      <c r="J52" s="1200">
        <v>-118.331</v>
      </c>
      <c r="K52" s="1200">
        <v>-127.56100000000001</v>
      </c>
      <c r="L52" s="1200">
        <v>-138.05000000000001</v>
      </c>
      <c r="M52" s="1200">
        <v>-163.66700000000003</v>
      </c>
      <c r="N52" s="1200">
        <v>-155.983</v>
      </c>
      <c r="O52" s="1200">
        <v>-164.23899999999998</v>
      </c>
      <c r="P52" s="1195">
        <v>-169.39890249999996</v>
      </c>
      <c r="Q52" s="1195">
        <v>-175.56269269749993</v>
      </c>
      <c r="R52" s="1195">
        <v>-181.96687071270244</v>
      </c>
      <c r="S52" s="1195">
        <v>-188.6208116704978</v>
      </c>
      <c r="T52" s="1195">
        <v>-194.64791726729473</v>
      </c>
      <c r="U52" s="1195">
        <v>-200.87994445438275</v>
      </c>
      <c r="V52" s="1195">
        <v>-207.32386056583178</v>
      </c>
      <c r="W52" s="1195">
        <v>-213.98686982507007</v>
      </c>
      <c r="X52" s="1250"/>
      <c r="Y52" s="731"/>
      <c r="Z52" s="731"/>
      <c r="AA52" s="731"/>
      <c r="AB52" s="731"/>
      <c r="AC52" s="1403"/>
      <c r="AD52" s="1403"/>
      <c r="AE52" s="1525"/>
      <c r="AF52" s="1523"/>
      <c r="AG52" s="1408"/>
      <c r="AH52" s="165"/>
      <c r="AI52" s="165"/>
      <c r="AJ52" s="43"/>
      <c r="AK52" s="174"/>
      <c r="AL52" s="43"/>
    </row>
    <row r="53" spans="1:38" collapsed="1">
      <c r="A53" s="1141" t="s">
        <v>175</v>
      </c>
      <c r="B53" s="1257">
        <v>0</v>
      </c>
      <c r="C53" s="1257">
        <v>0</v>
      </c>
      <c r="D53" s="1257">
        <v>-6.28</v>
      </c>
      <c r="E53" s="1200">
        <v>-8.2789999999999999</v>
      </c>
      <c r="F53" s="1200">
        <v>-8.1720000000000006</v>
      </c>
      <c r="G53" s="1200">
        <v>-8.4719999999999995</v>
      </c>
      <c r="H53" s="1200">
        <v>-5.6750000000000007</v>
      </c>
      <c r="I53" s="1200">
        <v>0</v>
      </c>
      <c r="J53" s="1200">
        <v>-0.45099999999999973</v>
      </c>
      <c r="K53" s="1200">
        <v>-3.6150000000000011</v>
      </c>
      <c r="L53" s="1200">
        <v>0.8600000000000001</v>
      </c>
      <c r="M53" s="1200">
        <v>0.54499999999999993</v>
      </c>
      <c r="N53" s="1200">
        <v>0.45599999999999996</v>
      </c>
      <c r="O53" s="1200">
        <v>0.62600000000000011</v>
      </c>
      <c r="P53" s="1195">
        <v>0.62600000000000011</v>
      </c>
      <c r="Q53" s="2393">
        <v>0.62600000000000011</v>
      </c>
      <c r="R53" s="2393">
        <v>0.62600000000000011</v>
      </c>
      <c r="S53" s="2393">
        <v>0.62600000000000011</v>
      </c>
      <c r="T53" s="2393">
        <v>0.62600000000000011</v>
      </c>
      <c r="U53" s="2393">
        <v>0.62600000000000011</v>
      </c>
      <c r="V53" s="2393">
        <v>0.62600000000000011</v>
      </c>
      <c r="W53" s="2393">
        <v>0.62600000000000011</v>
      </c>
      <c r="X53" s="1250"/>
      <c r="Y53" s="731"/>
      <c r="Z53" s="731"/>
      <c r="AA53" s="731"/>
      <c r="AB53" s="731"/>
      <c r="AC53" s="1403"/>
      <c r="AD53" s="1403"/>
      <c r="AE53" s="1181"/>
      <c r="AF53" s="1523"/>
      <c r="AG53" s="1408"/>
      <c r="AH53" s="165"/>
      <c r="AI53" s="165"/>
      <c r="AJ53" s="43"/>
      <c r="AK53" s="174"/>
      <c r="AL53" s="43"/>
    </row>
    <row r="54" spans="1:38">
      <c r="A54" s="1141" t="s">
        <v>821</v>
      </c>
      <c r="B54" s="1257">
        <v>0</v>
      </c>
      <c r="C54" s="1257">
        <v>0</v>
      </c>
      <c r="D54" s="1257">
        <v>0.91500000000000004</v>
      </c>
      <c r="E54" s="1257">
        <v>-1.5269999999999999</v>
      </c>
      <c r="F54" s="1200">
        <v>-9.6590000000000025</v>
      </c>
      <c r="G54" s="1200">
        <v>46.898000000000003</v>
      </c>
      <c r="H54" s="1200">
        <v>5.8550000000000004</v>
      </c>
      <c r="I54" s="1200">
        <v>-4.2439999999999998</v>
      </c>
      <c r="J54" s="1200">
        <v>26.985999999999997</v>
      </c>
      <c r="K54" s="1200">
        <v>0.19200000000000017</v>
      </c>
      <c r="L54" s="1200">
        <v>-3.5000000000000142E-2</v>
      </c>
      <c r="M54" s="1200">
        <v>107.91999999999999</v>
      </c>
      <c r="N54" s="1200">
        <v>10.727</v>
      </c>
      <c r="O54" s="1200">
        <v>148.071</v>
      </c>
      <c r="P54" s="1195">
        <v>-0.35899999999999999</v>
      </c>
      <c r="Q54" s="1195">
        <v>0</v>
      </c>
      <c r="R54" s="1195">
        <v>0</v>
      </c>
      <c r="S54" s="1195">
        <v>0</v>
      </c>
      <c r="T54" s="1195">
        <v>0</v>
      </c>
      <c r="U54" s="1195">
        <v>0</v>
      </c>
      <c r="V54" s="1195">
        <v>0</v>
      </c>
      <c r="W54" s="1195">
        <v>0</v>
      </c>
      <c r="X54" s="1250"/>
      <c r="Y54" s="731"/>
      <c r="Z54" s="731"/>
      <c r="AA54" s="731"/>
      <c r="AB54" s="731"/>
      <c r="AC54" s="1403"/>
      <c r="AD54" s="1403"/>
      <c r="AE54" s="1181"/>
      <c r="AF54" s="1523"/>
      <c r="AG54" s="1408"/>
      <c r="AH54" s="165"/>
      <c r="AI54" s="165"/>
      <c r="AJ54" s="43"/>
      <c r="AK54" s="174"/>
      <c r="AL54" s="43"/>
    </row>
    <row r="55" spans="1:38">
      <c r="A55" s="1120" t="s">
        <v>681</v>
      </c>
      <c r="B55" s="1187">
        <v>91.93199999999996</v>
      </c>
      <c r="C55" s="1187">
        <v>163.10999999999996</v>
      </c>
      <c r="D55" s="1187">
        <v>322.19099999999997</v>
      </c>
      <c r="E55" s="1187">
        <v>390.47699999999986</v>
      </c>
      <c r="F55" s="1187">
        <v>132.607</v>
      </c>
      <c r="G55" s="1187">
        <v>189.792</v>
      </c>
      <c r="H55" s="1187">
        <v>452.37299999999999</v>
      </c>
      <c r="I55" s="1187">
        <v>612.58199999999999</v>
      </c>
      <c r="J55" s="1187">
        <v>533.01900000000001</v>
      </c>
      <c r="K55" s="1187">
        <v>651.82099999999991</v>
      </c>
      <c r="L55" s="1187">
        <v>766.2399999999999</v>
      </c>
      <c r="M55" s="1187">
        <v>1091.5249999999999</v>
      </c>
      <c r="N55" s="1187">
        <v>1302.2130000000002</v>
      </c>
      <c r="O55" s="1187">
        <v>1445.088</v>
      </c>
      <c r="P55" s="1188">
        <v>2013.535953804369</v>
      </c>
      <c r="Q55" s="1188">
        <v>2237.0161565818175</v>
      </c>
      <c r="R55" s="1188">
        <v>2598.8592644276914</v>
      </c>
      <c r="S55" s="1188">
        <v>2907.6968964078374</v>
      </c>
      <c r="T55" s="1188">
        <v>2785.2718743148152</v>
      </c>
      <c r="U55" s="1188">
        <v>2688.5581124503587</v>
      </c>
      <c r="V55" s="1188">
        <v>2931.2644536911444</v>
      </c>
      <c r="W55" s="1188">
        <v>3533.5031878312352</v>
      </c>
      <c r="X55" s="1250"/>
      <c r="Y55" s="731"/>
      <c r="Z55" s="731"/>
      <c r="AA55" s="731"/>
      <c r="AB55" s="731"/>
      <c r="AC55" s="1188"/>
      <c r="AD55" s="1188"/>
      <c r="AE55" s="1527"/>
      <c r="AF55" s="1523"/>
      <c r="AG55" s="1408"/>
      <c r="AH55" s="165"/>
      <c r="AI55" s="165"/>
      <c r="AJ55" s="43"/>
      <c r="AK55" s="174"/>
      <c r="AL55" s="43"/>
    </row>
    <row r="56" spans="1:38">
      <c r="A56" s="1552" t="s">
        <v>54</v>
      </c>
      <c r="B56" s="1187"/>
      <c r="C56" s="1187"/>
      <c r="D56" s="1717" t="s">
        <v>972</v>
      </c>
      <c r="E56" s="1717" t="s">
        <v>972</v>
      </c>
      <c r="F56" s="2251" t="s">
        <v>972</v>
      </c>
      <c r="G56" s="2251" t="s">
        <v>972</v>
      </c>
      <c r="H56" s="2251" t="s">
        <v>972</v>
      </c>
      <c r="I56" s="1200">
        <v>355.96600000000001</v>
      </c>
      <c r="J56" s="1200">
        <v>342.75</v>
      </c>
      <c r="K56" s="1200">
        <v>439.67700000000002</v>
      </c>
      <c r="L56" s="1200">
        <v>351.82900000000001</v>
      </c>
      <c r="M56" s="1200">
        <v>480.26499999999999</v>
      </c>
      <c r="N56" s="1200">
        <v>520.21900000000005</v>
      </c>
      <c r="O56" s="1200">
        <v>782.11199999999997</v>
      </c>
      <c r="P56" s="1173">
        <v>1217.6911069642176</v>
      </c>
      <c r="Q56" s="1173">
        <v>1168.6059373687776</v>
      </c>
      <c r="R56" s="1173">
        <v>1471.3379442096993</v>
      </c>
      <c r="S56" s="1173">
        <v>1692.928658892979</v>
      </c>
      <c r="T56" s="1173">
        <v>1437.0104266870171</v>
      </c>
      <c r="U56" s="1173">
        <v>1190.8442897776151</v>
      </c>
      <c r="V56" s="1173">
        <v>1357.8296602909284</v>
      </c>
      <c r="W56" s="1173">
        <v>1682.5347081995847</v>
      </c>
      <c r="X56" s="1250"/>
      <c r="Y56" s="731"/>
      <c r="Z56" s="731"/>
      <c r="AA56" s="731"/>
      <c r="AB56" s="731"/>
      <c r="AC56" s="1188"/>
      <c r="AD56" s="1188"/>
      <c r="AE56" s="1181"/>
      <c r="AF56" s="1523"/>
      <c r="AG56" s="1408"/>
      <c r="AH56" s="165"/>
      <c r="AI56" s="165"/>
      <c r="AJ56" s="43"/>
      <c r="AK56" s="174"/>
      <c r="AL56" s="43"/>
    </row>
    <row r="57" spans="1:38">
      <c r="A57" s="1552" t="s">
        <v>42</v>
      </c>
      <c r="B57" s="1187"/>
      <c r="C57" s="1187"/>
      <c r="D57" s="1717" t="s">
        <v>972</v>
      </c>
      <c r="E57" s="1717" t="s">
        <v>972</v>
      </c>
      <c r="F57" s="2251" t="s">
        <v>972</v>
      </c>
      <c r="G57" s="2251" t="s">
        <v>972</v>
      </c>
      <c r="H57" s="2251" t="s">
        <v>972</v>
      </c>
      <c r="I57" s="1200">
        <v>239.49799999999999</v>
      </c>
      <c r="J57" s="1200">
        <v>171.54599999999999</v>
      </c>
      <c r="K57" s="1200">
        <v>176.023</v>
      </c>
      <c r="L57" s="1200">
        <v>325.45699999999999</v>
      </c>
      <c r="M57" s="1200">
        <v>395.53</v>
      </c>
      <c r="N57" s="1200">
        <v>613.322</v>
      </c>
      <c r="O57" s="1200">
        <v>534.37699999999995</v>
      </c>
      <c r="P57" s="1173">
        <v>750.24189576754873</v>
      </c>
      <c r="Q57" s="1173">
        <v>922.99107976852383</v>
      </c>
      <c r="R57" s="1173">
        <v>960.07981003753525</v>
      </c>
      <c r="S57" s="1173">
        <v>1026.173213445968</v>
      </c>
      <c r="T57" s="1173">
        <v>1140.2620356079597</v>
      </c>
      <c r="U57" s="1173">
        <v>1271.2431552960236</v>
      </c>
      <c r="V57" s="1173">
        <v>1330.1509726945285</v>
      </c>
      <c r="W57" s="1173">
        <v>1593.2336407304208</v>
      </c>
      <c r="X57" s="1250"/>
      <c r="Y57" s="731"/>
      <c r="Z57" s="731"/>
      <c r="AA57" s="731"/>
      <c r="AB57" s="731"/>
      <c r="AC57" s="1188"/>
      <c r="AD57" s="1188"/>
      <c r="AE57" s="1181"/>
      <c r="AF57" s="1523"/>
      <c r="AG57" s="1408"/>
      <c r="AH57" s="165"/>
      <c r="AI57" s="165"/>
      <c r="AJ57" s="43"/>
      <c r="AK57" s="174"/>
      <c r="AL57" s="43"/>
    </row>
    <row r="58" spans="1:38">
      <c r="A58" s="1552" t="s">
        <v>1052</v>
      </c>
      <c r="B58" s="1187"/>
      <c r="C58" s="1187"/>
      <c r="D58" s="1127" t="s">
        <v>972</v>
      </c>
      <c r="E58" s="1127" t="s">
        <v>972</v>
      </c>
      <c r="F58" s="1127" t="s">
        <v>972</v>
      </c>
      <c r="G58" s="1127" t="s">
        <v>972</v>
      </c>
      <c r="H58" s="1127" t="s">
        <v>972</v>
      </c>
      <c r="I58" s="1127" t="s">
        <v>972</v>
      </c>
      <c r="J58" s="1127" t="s">
        <v>972</v>
      </c>
      <c r="K58" s="1127">
        <v>26.98</v>
      </c>
      <c r="L58" s="1127">
        <v>65.593000000000004</v>
      </c>
      <c r="M58" s="1127">
        <v>174.95099999999999</v>
      </c>
      <c r="N58" s="1127">
        <v>123.425</v>
      </c>
      <c r="O58" s="1127">
        <v>84.957999999999998</v>
      </c>
      <c r="P58" s="1173">
        <v>121.14125342165769</v>
      </c>
      <c r="Q58" s="1173">
        <v>120.79160652525391</v>
      </c>
      <c r="R58" s="1173">
        <v>126.874123516813</v>
      </c>
      <c r="S58" s="1173">
        <v>133.24326092879616</v>
      </c>
      <c r="T58" s="1173">
        <v>137.52075616966343</v>
      </c>
      <c r="U58" s="1173">
        <v>143.88257427284975</v>
      </c>
      <c r="V58" s="1173">
        <v>150.51165558135131</v>
      </c>
      <c r="W58" s="1173">
        <v>157.41974213642533</v>
      </c>
      <c r="X58" s="1250"/>
      <c r="Y58" s="731"/>
      <c r="Z58" s="731"/>
      <c r="AA58" s="731"/>
      <c r="AB58" s="731"/>
      <c r="AC58" s="1188"/>
      <c r="AD58" s="1188"/>
      <c r="AE58" s="1181"/>
      <c r="AF58" s="1523"/>
      <c r="AG58" s="1408"/>
      <c r="AH58" s="165"/>
      <c r="AI58" s="165"/>
      <c r="AJ58" s="43"/>
      <c r="AK58" s="174"/>
      <c r="AL58" s="43"/>
    </row>
    <row r="59" spans="1:38">
      <c r="A59" s="1552" t="s">
        <v>222</v>
      </c>
      <c r="B59" s="1187"/>
      <c r="C59" s="1187"/>
      <c r="D59" s="1127" t="s">
        <v>972</v>
      </c>
      <c r="E59" s="1127" t="s">
        <v>972</v>
      </c>
      <c r="F59" s="1127" t="s">
        <v>972</v>
      </c>
      <c r="G59" s="1127" t="s">
        <v>972</v>
      </c>
      <c r="H59" s="1127" t="s">
        <v>972</v>
      </c>
      <c r="I59" s="1127" t="s">
        <v>972</v>
      </c>
      <c r="J59" s="1127" t="s">
        <v>972</v>
      </c>
      <c r="K59" s="1127">
        <v>7.4219999999999997</v>
      </c>
      <c r="L59" s="1127">
        <v>23.722000000000001</v>
      </c>
      <c r="M59" s="1127">
        <v>40.847000000000001</v>
      </c>
      <c r="N59" s="1127">
        <v>44.274000000000001</v>
      </c>
      <c r="O59" s="1127">
        <v>43.637</v>
      </c>
      <c r="P59" s="1173">
        <v>-74.848302349055373</v>
      </c>
      <c r="Q59" s="1173">
        <v>25.317532919262277</v>
      </c>
      <c r="R59" s="1173">
        <v>41.257386663643899</v>
      </c>
      <c r="S59" s="1173">
        <v>56.041763140094474</v>
      </c>
      <c r="T59" s="1173">
        <v>71.168655850175384</v>
      </c>
      <c r="U59" s="1173">
        <v>83.278093103869878</v>
      </c>
      <c r="V59" s="1173">
        <v>93.462165124336025</v>
      </c>
      <c r="W59" s="1173">
        <v>101.00509676480436</v>
      </c>
      <c r="X59" s="1250"/>
      <c r="Y59" s="731"/>
      <c r="Z59" s="731"/>
      <c r="AA59" s="731"/>
      <c r="AB59" s="731"/>
      <c r="AC59" s="1188"/>
      <c r="AD59" s="1188"/>
      <c r="AE59" s="1181"/>
      <c r="AF59" s="1523"/>
      <c r="AG59" s="1408"/>
      <c r="AH59" s="165"/>
      <c r="AI59" s="165"/>
      <c r="AJ59" s="43"/>
      <c r="AK59" s="174"/>
      <c r="AL59" s="43"/>
    </row>
    <row r="60" spans="1:38">
      <c r="A60" s="1196" t="s">
        <v>1715</v>
      </c>
      <c r="B60" s="1203">
        <v>0.17747490347490338</v>
      </c>
      <c r="C60" s="1203">
        <v>0.25163529774760873</v>
      </c>
      <c r="D60" s="1203">
        <v>0.39874038083121499</v>
      </c>
      <c r="E60" s="1203">
        <v>0.4724253118735155</v>
      </c>
      <c r="F60" s="1203">
        <v>0.18613598719856261</v>
      </c>
      <c r="G60" s="1203">
        <v>0.24506903671412875</v>
      </c>
      <c r="H60" s="1203">
        <v>0.38230233434689503</v>
      </c>
      <c r="I60" s="1203">
        <v>0.47302606584568063</v>
      </c>
      <c r="J60" s="1203">
        <v>0.38992165268217033</v>
      </c>
      <c r="K60" s="1203">
        <v>0.3984345535176701</v>
      </c>
      <c r="L60" s="1203">
        <v>0.38862092925358444</v>
      </c>
      <c r="M60" s="1203">
        <v>0.46944040888333799</v>
      </c>
      <c r="N60" s="1203">
        <v>0.47745949499501178</v>
      </c>
      <c r="O60" s="1203">
        <v>0.48123369483049949</v>
      </c>
      <c r="P60" s="1204">
        <v>0.50599639296129773</v>
      </c>
      <c r="Q60" s="1204">
        <v>0.52228067775010256</v>
      </c>
      <c r="R60" s="1204">
        <v>0.5386715468991119</v>
      </c>
      <c r="S60" s="1204">
        <v>0.54904216504868153</v>
      </c>
      <c r="T60" s="1204">
        <v>0.5382124655077698</v>
      </c>
      <c r="U60" s="1204">
        <v>0.53147133751615816</v>
      </c>
      <c r="V60" s="1204">
        <v>0.53972533351735685</v>
      </c>
      <c r="W60" s="1204">
        <v>0.58944072423699867</v>
      </c>
      <c r="X60" s="1250"/>
      <c r="Y60" s="731"/>
      <c r="Z60" s="731"/>
      <c r="AA60" s="731"/>
      <c r="AB60" s="731"/>
      <c r="AC60" s="1204"/>
      <c r="AD60" s="1204"/>
      <c r="AE60" s="1181"/>
      <c r="AF60" s="1523"/>
      <c r="AG60" s="1408"/>
      <c r="AH60" s="165"/>
      <c r="AI60" s="165"/>
      <c r="AJ60" s="43"/>
      <c r="AK60" s="174"/>
      <c r="AL60" s="43"/>
    </row>
    <row r="61" spans="1:38">
      <c r="A61" s="1120" t="s">
        <v>219</v>
      </c>
      <c r="B61" s="1187">
        <v>91.93199999999996</v>
      </c>
      <c r="C61" s="1187">
        <v>163.10999999999996</v>
      </c>
      <c r="D61" s="1187">
        <v>322.19099999999997</v>
      </c>
      <c r="E61" s="1187">
        <v>390.47699999999986</v>
      </c>
      <c r="F61" s="1187">
        <v>128.3730000000001</v>
      </c>
      <c r="G61" s="1187">
        <v>243.17899999999995</v>
      </c>
      <c r="H61" s="1187">
        <v>401.32199999999978</v>
      </c>
      <c r="I61" s="1187">
        <v>566.1239999999998</v>
      </c>
      <c r="J61" s="1187">
        <v>582.6350000000001</v>
      </c>
      <c r="K61" s="1187">
        <v>651.75999999999976</v>
      </c>
      <c r="L61" s="1187">
        <v>751.20299999999997</v>
      </c>
      <c r="M61" s="1187">
        <v>1131.7149999999997</v>
      </c>
      <c r="N61" s="1187">
        <v>1235.8139999999999</v>
      </c>
      <c r="O61" s="1187">
        <v>1444.3980000000001</v>
      </c>
      <c r="P61" s="1188">
        <v>2013.535953804369</v>
      </c>
      <c r="Q61" s="1188">
        <v>2237.0161565818175</v>
      </c>
      <c r="R61" s="1188">
        <v>2598.8592644276914</v>
      </c>
      <c r="S61" s="1188">
        <v>2907.6968964078374</v>
      </c>
      <c r="T61" s="1188">
        <v>2785.2718743148152</v>
      </c>
      <c r="U61" s="1188">
        <v>2688.5581124503587</v>
      </c>
      <c r="V61" s="1188">
        <v>2931.2644536911444</v>
      </c>
      <c r="W61" s="1188">
        <v>3533.5031878312352</v>
      </c>
      <c r="X61" s="1524"/>
      <c r="Y61" s="1215">
        <v>0.2007601680293043</v>
      </c>
      <c r="Z61" s="1215">
        <v>0.13608725166107782</v>
      </c>
      <c r="AA61" s="1215">
        <v>3.9755606726695758E-2</v>
      </c>
      <c r="AB61" s="731"/>
      <c r="AC61" s="1188"/>
      <c r="AD61" s="1188"/>
      <c r="AE61" s="1528"/>
      <c r="AF61" s="1523"/>
      <c r="AG61" s="1408"/>
      <c r="AH61" s="19"/>
      <c r="AI61" s="19"/>
      <c r="AJ61" s="43"/>
      <c r="AK61" s="174"/>
      <c r="AL61" s="43"/>
    </row>
    <row r="62" spans="1:38">
      <c r="A62" s="1196" t="s">
        <v>1025</v>
      </c>
      <c r="B62" s="1197">
        <v>0.17747490347490338</v>
      </c>
      <c r="C62" s="1197">
        <v>0.25163529774760873</v>
      </c>
      <c r="D62" s="1197">
        <v>0.39874038083121499</v>
      </c>
      <c r="E62" s="1197">
        <v>0.4724253118735155</v>
      </c>
      <c r="F62" s="1197">
        <v>0.18019286376014162</v>
      </c>
      <c r="G62" s="1197">
        <v>0.31400503329489704</v>
      </c>
      <c r="H62" s="1197">
        <v>0.33915891846941471</v>
      </c>
      <c r="I62" s="1197">
        <v>0.43715193802759467</v>
      </c>
      <c r="J62" s="1197">
        <v>0.42621745587019666</v>
      </c>
      <c r="K62" s="1197">
        <v>0.39839726642847745</v>
      </c>
      <c r="L62" s="1197">
        <v>0.38099447681937826</v>
      </c>
      <c r="M62" s="1197">
        <v>0.48672522602726165</v>
      </c>
      <c r="N62" s="1197">
        <v>0.45311414365220232</v>
      </c>
      <c r="O62" s="1197">
        <v>0.48100391557177408</v>
      </c>
      <c r="P62" s="1198">
        <v>0.50599639296129773</v>
      </c>
      <c r="Q62" s="1198">
        <v>0.52228067775010256</v>
      </c>
      <c r="R62" s="1198">
        <v>0.5386715468991119</v>
      </c>
      <c r="S62" s="1198">
        <v>0.54904216504868153</v>
      </c>
      <c r="T62" s="1198">
        <v>0.5382124655077698</v>
      </c>
      <c r="U62" s="1198">
        <v>0.53147133751615816</v>
      </c>
      <c r="V62" s="1198">
        <v>0.53972533351735685</v>
      </c>
      <c r="W62" s="1198">
        <v>0.58944072423699867</v>
      </c>
      <c r="X62" s="1250"/>
      <c r="Y62" s="731"/>
      <c r="Z62" s="731"/>
      <c r="AA62" s="731"/>
      <c r="AB62" s="731"/>
      <c r="AC62" s="1198"/>
      <c r="AD62" s="1198"/>
      <c r="AE62" s="1181"/>
      <c r="AF62" s="1523"/>
      <c r="AG62" s="1408"/>
      <c r="AH62" s="13"/>
      <c r="AI62" s="13"/>
      <c r="AJ62" s="43"/>
      <c r="AK62" s="174"/>
      <c r="AL62" s="43"/>
    </row>
    <row r="63" spans="1:38" hidden="1" outlineLevel="1">
      <c r="A63" s="1552" t="s">
        <v>54</v>
      </c>
      <c r="B63" s="1197"/>
      <c r="C63" s="1197"/>
      <c r="D63" s="1197"/>
      <c r="E63" s="1197"/>
      <c r="F63" s="1197"/>
      <c r="G63" s="1197"/>
      <c r="H63" s="1197"/>
      <c r="I63" s="1197">
        <v>0.50694769822337737</v>
      </c>
      <c r="J63" s="1197">
        <v>0.4470533607586929</v>
      </c>
      <c r="K63" s="1197">
        <v>0.46265912960394645</v>
      </c>
      <c r="L63" s="1197">
        <v>0.39787328362023539</v>
      </c>
      <c r="M63" s="1197">
        <v>0.44095516950420838</v>
      </c>
      <c r="N63" s="1197">
        <v>0.41328879108307581</v>
      </c>
      <c r="O63" s="1197">
        <v>0.47555498805202379</v>
      </c>
      <c r="P63" s="1198">
        <v>0.57196353999689264</v>
      </c>
      <c r="Q63" s="1198">
        <v>0.54766053740408172</v>
      </c>
      <c r="R63" s="1198">
        <v>0.5834669773606771</v>
      </c>
      <c r="S63" s="1198">
        <v>0.60008180295015612</v>
      </c>
      <c r="T63" s="1198">
        <v>0.56073742320364839</v>
      </c>
      <c r="U63" s="1198">
        <v>0.51681113145224122</v>
      </c>
      <c r="V63" s="1198">
        <v>0.53661563313536687</v>
      </c>
      <c r="W63" s="1198">
        <v>0.59359298364986568</v>
      </c>
      <c r="X63" s="1250"/>
      <c r="Y63" s="731"/>
      <c r="Z63" s="731"/>
      <c r="AA63" s="731"/>
      <c r="AB63" s="731"/>
      <c r="AC63" s="1198"/>
      <c r="AD63" s="1198"/>
      <c r="AE63" s="1181"/>
      <c r="AF63" s="1523"/>
      <c r="AG63" s="1408"/>
      <c r="AH63" s="13"/>
      <c r="AI63" s="13"/>
      <c r="AJ63" s="43"/>
      <c r="AK63" s="174"/>
      <c r="AL63" s="43"/>
    </row>
    <row r="64" spans="1:38" hidden="1" outlineLevel="1">
      <c r="A64" s="1552" t="s">
        <v>42</v>
      </c>
      <c r="B64" s="1197"/>
      <c r="C64" s="1197"/>
      <c r="D64" s="1197"/>
      <c r="E64" s="1197"/>
      <c r="F64" s="1197"/>
      <c r="G64" s="1197"/>
      <c r="H64" s="1197"/>
      <c r="I64" s="1197">
        <v>0.45972523749469718</v>
      </c>
      <c r="J64" s="1197">
        <v>0.3396479695883739</v>
      </c>
      <c r="K64" s="1197">
        <v>0.32228846174972448</v>
      </c>
      <c r="L64" s="1197">
        <v>0.38692691881069935</v>
      </c>
      <c r="M64" s="1197">
        <v>0.41096032741339056</v>
      </c>
      <c r="N64" s="1197">
        <v>0.47118376352693708</v>
      </c>
      <c r="O64" s="1197">
        <v>0.43133983438226714</v>
      </c>
      <c r="P64" s="1198">
        <v>0.45708142817346165</v>
      </c>
      <c r="Q64" s="1198">
        <v>0.49558805568623437</v>
      </c>
      <c r="R64" s="1198">
        <v>0.48386706640459548</v>
      </c>
      <c r="S64" s="1198">
        <v>0.4828490260620012</v>
      </c>
      <c r="T64" s="1198">
        <v>0.51034599729689367</v>
      </c>
      <c r="U64" s="1198">
        <v>0.54119949772865072</v>
      </c>
      <c r="V64" s="1198">
        <v>0.53863970245506843</v>
      </c>
      <c r="W64" s="1198">
        <v>0.58876712103533757</v>
      </c>
      <c r="X64" s="1250"/>
      <c r="Y64" s="731"/>
      <c r="Z64" s="731"/>
      <c r="AA64" s="731"/>
      <c r="AB64" s="731"/>
      <c r="AC64" s="1198"/>
      <c r="AD64" s="1198"/>
      <c r="AE64" s="1181"/>
      <c r="AF64" s="1523"/>
      <c r="AG64" s="1408"/>
      <c r="AH64" s="13"/>
      <c r="AI64" s="13"/>
      <c r="AJ64" s="43"/>
      <c r="AK64" s="174"/>
      <c r="AL64" s="43"/>
    </row>
    <row r="65" spans="1:38" hidden="1" outlineLevel="1">
      <c r="A65" s="1552" t="s">
        <v>1052</v>
      </c>
      <c r="B65" s="1197"/>
      <c r="C65" s="1197"/>
      <c r="D65" s="1197"/>
      <c r="E65" s="1197"/>
      <c r="F65" s="1197"/>
      <c r="G65" s="1197"/>
      <c r="H65" s="1197"/>
      <c r="I65" s="2252" t="s">
        <v>972</v>
      </c>
      <c r="J65" s="2252" t="s">
        <v>972</v>
      </c>
      <c r="K65" s="2253">
        <v>0.60754818951540257</v>
      </c>
      <c r="L65" s="2253">
        <v>0.84884759230261553</v>
      </c>
      <c r="M65" s="2253">
        <v>0.92510866461499408</v>
      </c>
      <c r="N65" s="2253">
        <v>0.66510214309193683</v>
      </c>
      <c r="O65" s="2253">
        <v>0.55860713135072226</v>
      </c>
      <c r="P65" s="1198">
        <v>0.72877264635255101</v>
      </c>
      <c r="Q65" s="1198">
        <v>0.72877264635255101</v>
      </c>
      <c r="R65" s="1198">
        <v>0.72877264635255101</v>
      </c>
      <c r="S65" s="1198">
        <v>0.72877264635255101</v>
      </c>
      <c r="T65" s="1198">
        <v>0.718772646352551</v>
      </c>
      <c r="U65" s="1198">
        <v>0.718772646352551</v>
      </c>
      <c r="V65" s="1198">
        <v>0.718772646352551</v>
      </c>
      <c r="W65" s="1198">
        <v>0.718772646352551</v>
      </c>
      <c r="X65" s="1250"/>
      <c r="Y65" s="731"/>
      <c r="Z65" s="731"/>
      <c r="AA65" s="731"/>
      <c r="AB65" s="731"/>
      <c r="AC65" s="1198"/>
      <c r="AD65" s="1198"/>
      <c r="AE65" s="1181"/>
      <c r="AF65" s="1523"/>
      <c r="AG65" s="1408"/>
      <c r="AH65" s="13"/>
      <c r="AI65" s="13"/>
      <c r="AJ65" s="43"/>
      <c r="AK65" s="174"/>
      <c r="AL65" s="43"/>
    </row>
    <row r="66" spans="1:38" hidden="1" outlineLevel="1">
      <c r="A66" s="1552" t="s">
        <v>222</v>
      </c>
      <c r="B66" s="1197"/>
      <c r="C66" s="1197"/>
      <c r="D66" s="1197"/>
      <c r="E66" s="1197"/>
      <c r="F66" s="1197"/>
      <c r="G66" s="1197"/>
      <c r="H66" s="1197"/>
      <c r="I66" s="2252" t="s">
        <v>972</v>
      </c>
      <c r="J66" s="2252" t="s">
        <v>972</v>
      </c>
      <c r="K66" s="2253">
        <v>7.808193237528141E-2</v>
      </c>
      <c r="L66" s="2253">
        <v>0.14079006718419868</v>
      </c>
      <c r="M66" s="2253">
        <v>0.37457129756992208</v>
      </c>
      <c r="N66" s="2253">
        <v>0.71468465996222708</v>
      </c>
      <c r="O66" s="2253">
        <v>0.66659028764340167</v>
      </c>
      <c r="P66" s="1198">
        <v>-1.0091509667198646</v>
      </c>
      <c r="Q66" s="1198">
        <v>0.27684232815777571</v>
      </c>
      <c r="R66" s="1198">
        <v>0.37815720654218898</v>
      </c>
      <c r="S66" s="1198">
        <v>0.44550558083521424</v>
      </c>
      <c r="T66" s="1198">
        <v>0.5051403948155081</v>
      </c>
      <c r="U66" s="1198">
        <v>0.5373551591502892</v>
      </c>
      <c r="V66" s="1198">
        <v>0.55839655828055657</v>
      </c>
      <c r="W66" s="1198">
        <v>0.56930410983235247</v>
      </c>
      <c r="X66" s="1250"/>
      <c r="Y66" s="731"/>
      <c r="Z66" s="731"/>
      <c r="AA66" s="731"/>
      <c r="AB66" s="731"/>
      <c r="AC66" s="1198"/>
      <c r="AD66" s="1198"/>
      <c r="AE66" s="1181"/>
      <c r="AF66" s="1523"/>
      <c r="AG66" s="1408"/>
      <c r="AH66" s="13"/>
      <c r="AI66" s="13"/>
      <c r="AJ66" s="43"/>
      <c r="AK66" s="174"/>
      <c r="AL66" s="43"/>
    </row>
    <row r="67" spans="1:38" collapsed="1">
      <c r="A67" s="1196" t="s">
        <v>382</v>
      </c>
      <c r="B67" s="1194">
        <v>-70.400000000000006</v>
      </c>
      <c r="C67" s="1194">
        <v>-77.599999999999994</v>
      </c>
      <c r="D67" s="1194">
        <v>-87.3</v>
      </c>
      <c r="E67" s="1194">
        <v>-140.09100000000001</v>
      </c>
      <c r="F67" s="1194">
        <v>-191.21400000000003</v>
      </c>
      <c r="G67" s="1194">
        <v>-202.506</v>
      </c>
      <c r="H67" s="1194">
        <v>-277.01599999999996</v>
      </c>
      <c r="I67" s="1194">
        <v>-330.35499999999996</v>
      </c>
      <c r="J67" s="1200">
        <v>-351.62699999999995</v>
      </c>
      <c r="K67" s="1200">
        <v>-452.95</v>
      </c>
      <c r="L67" s="1200">
        <v>-448.28499999999997</v>
      </c>
      <c r="M67" s="1200">
        <v>-599.029</v>
      </c>
      <c r="N67" s="1200">
        <v>-723.76099999999997</v>
      </c>
      <c r="O67" s="1200">
        <v>-737.91100000000006</v>
      </c>
      <c r="P67" s="1195">
        <v>-1019.6840117796428</v>
      </c>
      <c r="Q67" s="1195">
        <v>-1097.536074173019</v>
      </c>
      <c r="R67" s="1195">
        <v>-1236.2672585030962</v>
      </c>
      <c r="S67" s="1195">
        <v>-1357.053834133349</v>
      </c>
      <c r="T67" s="1195">
        <v>-1326.0731553426417</v>
      </c>
      <c r="U67" s="1195">
        <v>-1296.2632905262108</v>
      </c>
      <c r="V67" s="1195">
        <v>-1391.6686373707016</v>
      </c>
      <c r="W67" s="1195">
        <v>-1536.098240198324</v>
      </c>
      <c r="X67" s="1250"/>
      <c r="Y67" s="731"/>
      <c r="Z67" s="731"/>
      <c r="AA67" s="731"/>
      <c r="AB67" s="731"/>
      <c r="AC67" s="1403"/>
      <c r="AD67" s="1403"/>
      <c r="AE67" s="1525"/>
      <c r="AF67" s="1523"/>
      <c r="AG67" s="1408"/>
      <c r="AH67" s="165"/>
      <c r="AI67" s="165"/>
      <c r="AJ67" s="43"/>
      <c r="AK67" s="174"/>
      <c r="AL67" s="43"/>
    </row>
    <row r="68" spans="1:38">
      <c r="A68" s="1120" t="s">
        <v>220</v>
      </c>
      <c r="B68" s="1187">
        <v>21.531999999999954</v>
      </c>
      <c r="C68" s="1187">
        <v>85.509999999999962</v>
      </c>
      <c r="D68" s="1187">
        <v>234.89099999999996</v>
      </c>
      <c r="E68" s="1187">
        <v>250.38599999999985</v>
      </c>
      <c r="F68" s="1187">
        <v>-62.840999999999923</v>
      </c>
      <c r="G68" s="1187">
        <v>40.672999999999945</v>
      </c>
      <c r="H68" s="1187">
        <v>124.30599999999981</v>
      </c>
      <c r="I68" s="1187">
        <v>235.76899999999983</v>
      </c>
      <c r="J68" s="1187">
        <v>231.00800000000015</v>
      </c>
      <c r="K68" s="1187">
        <v>198.80999999999977</v>
      </c>
      <c r="L68" s="1187">
        <v>302.91800000000001</v>
      </c>
      <c r="M68" s="1187">
        <v>532.68599999999969</v>
      </c>
      <c r="N68" s="1187">
        <v>512.05299999999988</v>
      </c>
      <c r="O68" s="1187">
        <v>706.48700000000008</v>
      </c>
      <c r="P68" s="1188">
        <v>993.85194202472621</v>
      </c>
      <c r="Q68" s="1188">
        <v>1139.4800824087986</v>
      </c>
      <c r="R68" s="1188">
        <v>1362.5920059245952</v>
      </c>
      <c r="S68" s="1188">
        <v>1550.6430622744883</v>
      </c>
      <c r="T68" s="1188">
        <v>1459.1987189721735</v>
      </c>
      <c r="U68" s="1188">
        <v>1392.294821924148</v>
      </c>
      <c r="V68" s="1188">
        <v>1539.5958163204427</v>
      </c>
      <c r="W68" s="1188">
        <v>1997.4049476329112</v>
      </c>
      <c r="X68" s="1524"/>
      <c r="Y68" s="1215">
        <v>0.28174527803290172</v>
      </c>
      <c r="Z68" s="1215">
        <v>0.17090611206698392</v>
      </c>
      <c r="AA68" s="1215">
        <v>5.1939725599087438E-2</v>
      </c>
      <c r="AB68" s="731"/>
      <c r="AC68" s="1188"/>
      <c r="AD68" s="1188"/>
      <c r="AE68" s="1525"/>
      <c r="AF68" s="1523"/>
      <c r="AG68" s="1408"/>
      <c r="AH68" s="19"/>
      <c r="AI68" s="19"/>
      <c r="AJ68" s="43"/>
      <c r="AK68" s="174"/>
      <c r="AL68" s="43"/>
    </row>
    <row r="69" spans="1:38" s="946" customFormat="1">
      <c r="A69" s="1189" t="s">
        <v>215</v>
      </c>
      <c r="B69" s="1190"/>
      <c r="C69" s="1205">
        <v>2.9712985324168746</v>
      </c>
      <c r="D69" s="1205">
        <v>1.7469418781429082</v>
      </c>
      <c r="E69" s="1205">
        <v>6.596676756452946E-2</v>
      </c>
      <c r="F69" s="1205">
        <v>-1.250976492295895</v>
      </c>
      <c r="G69" s="1205" t="s">
        <v>36</v>
      </c>
      <c r="H69" s="1205">
        <v>2.0562289479507285</v>
      </c>
      <c r="I69" s="1205">
        <v>0.89668238057696481</v>
      </c>
      <c r="J69" s="1205">
        <v>-2.0193494479764929E-2</v>
      </c>
      <c r="K69" s="1205">
        <v>-0.13938045435656066</v>
      </c>
      <c r="L69" s="1205">
        <v>0.52365575172275203</v>
      </c>
      <c r="M69" s="1205">
        <v>0.75851550584646565</v>
      </c>
      <c r="N69" s="1205">
        <v>-3.8733888256871407E-2</v>
      </c>
      <c r="O69" s="1205">
        <v>0.37971459985587486</v>
      </c>
      <c r="P69" s="1206">
        <v>0.40675191762159257</v>
      </c>
      <c r="Q69" s="1206">
        <v>0.1465290092278646</v>
      </c>
      <c r="R69" s="1206">
        <v>0.1958015124267467</v>
      </c>
      <c r="S69" s="1206">
        <v>0.13800980449924904</v>
      </c>
      <c r="T69" s="1206">
        <v>-5.8971884327901902E-2</v>
      </c>
      <c r="U69" s="1206">
        <v>-4.5849750399418632E-2</v>
      </c>
      <c r="V69" s="1206">
        <v>0.10579727229950131</v>
      </c>
      <c r="W69" s="1206">
        <v>0.29735670002443215</v>
      </c>
      <c r="X69" s="1191"/>
      <c r="Y69" s="1196"/>
      <c r="Z69" s="1196"/>
      <c r="AA69" s="1196"/>
      <c r="AB69" s="1196"/>
      <c r="AC69" s="1206"/>
      <c r="AD69" s="1206"/>
      <c r="AE69" s="1526"/>
      <c r="AF69" s="1523"/>
      <c r="AG69" s="1408"/>
      <c r="AH69" s="947"/>
      <c r="AI69" s="947"/>
      <c r="AJ69" s="945"/>
      <c r="AK69" s="947"/>
      <c r="AL69" s="945"/>
    </row>
    <row r="70" spans="1:38">
      <c r="A70" s="1196" t="s">
        <v>221</v>
      </c>
      <c r="B70" s="1163">
        <v>4.1567567567567479E-2</v>
      </c>
      <c r="C70" s="1163">
        <v>0.13191916075285401</v>
      </c>
      <c r="D70" s="1163">
        <v>0.29069876810284867</v>
      </c>
      <c r="E70" s="1163">
        <v>0.3029338069560103</v>
      </c>
      <c r="F70" s="1163">
        <v>-8.8207798770388132E-2</v>
      </c>
      <c r="G70" s="1163">
        <v>5.2519036262190948E-2</v>
      </c>
      <c r="H70" s="1163">
        <v>0.10505152600470202</v>
      </c>
      <c r="I70" s="1163">
        <v>0.18205706749197692</v>
      </c>
      <c r="J70" s="1163">
        <v>0.16899026327917552</v>
      </c>
      <c r="K70" s="1163">
        <v>0.12152534757985384</v>
      </c>
      <c r="L70" s="1163">
        <v>0.15363368480846382</v>
      </c>
      <c r="M70" s="1163">
        <v>0.22909629522588093</v>
      </c>
      <c r="N70" s="1163">
        <v>0.1877454508522651</v>
      </c>
      <c r="O70" s="1163">
        <v>0.23526965095531563</v>
      </c>
      <c r="P70" s="1164">
        <v>0.24975243022203894</v>
      </c>
      <c r="Q70" s="1164">
        <v>0.26603671501084381</v>
      </c>
      <c r="R70" s="1164">
        <v>0.28242758415985303</v>
      </c>
      <c r="S70" s="1164">
        <v>0.29279820230942277</v>
      </c>
      <c r="T70" s="1164">
        <v>0.28196850276851104</v>
      </c>
      <c r="U70" s="1164">
        <v>0.27522737477689946</v>
      </c>
      <c r="V70" s="1164">
        <v>0.28348137077809804</v>
      </c>
      <c r="W70" s="1164">
        <v>0.33319676149773991</v>
      </c>
      <c r="X70" s="1163"/>
      <c r="Y70" s="731"/>
      <c r="Z70" s="731"/>
      <c r="AA70" s="731"/>
      <c r="AB70" s="731"/>
      <c r="AC70" s="1164"/>
      <c r="AD70" s="1164"/>
      <c r="AE70" s="1181"/>
      <c r="AF70" s="1523"/>
      <c r="AG70" s="1408"/>
      <c r="AH70" s="166"/>
      <c r="AI70" s="166"/>
      <c r="AJ70" s="43"/>
      <c r="AK70" s="174"/>
      <c r="AL70" s="43"/>
    </row>
    <row r="71" spans="1:38">
      <c r="A71" s="731" t="s">
        <v>223</v>
      </c>
      <c r="B71" s="1717">
        <v>-41.234999999999999</v>
      </c>
      <c r="C71" s="1257">
        <v>-32.064</v>
      </c>
      <c r="D71" s="1201">
        <v>-33.197000000000003</v>
      </c>
      <c r="E71" s="1201">
        <v>-22.667000000000002</v>
      </c>
      <c r="F71" s="1200">
        <v>-9.4070000000000107</v>
      </c>
      <c r="G71" s="1200">
        <v>-102.31700000000002</v>
      </c>
      <c r="H71" s="1200">
        <v>-76.158999999999978</v>
      </c>
      <c r="I71" s="1200">
        <v>-62.14</v>
      </c>
      <c r="J71" s="1200">
        <v>-42.481999999999985</v>
      </c>
      <c r="K71" s="1200">
        <v>-84.881999999999962</v>
      </c>
      <c r="L71" s="1200">
        <v>-114.68599999999999</v>
      </c>
      <c r="M71" s="1200">
        <v>-168.55900000000003</v>
      </c>
      <c r="N71" s="1200">
        <v>-191.04699999999994</v>
      </c>
      <c r="O71" s="1200">
        <v>-211.01599999999996</v>
      </c>
      <c r="P71" s="1195">
        <v>-180.43742457982307</v>
      </c>
      <c r="Q71" s="1195">
        <v>-122.93613675092624</v>
      </c>
      <c r="R71" s="1195">
        <v>-75.075358380344227</v>
      </c>
      <c r="S71" s="1195">
        <v>-44.024066206711154</v>
      </c>
      <c r="T71" s="1195">
        <v>-15.560186292002271</v>
      </c>
      <c r="U71" s="1195">
        <v>14.893889287276778</v>
      </c>
      <c r="V71" s="1195">
        <v>8.8640377383738098</v>
      </c>
      <c r="W71" s="1195">
        <v>-2.3498077273465867</v>
      </c>
      <c r="X71" s="1250"/>
      <c r="Y71" s="731"/>
      <c r="Z71" s="731"/>
      <c r="AA71" s="731"/>
      <c r="AB71" s="731"/>
      <c r="AC71" s="1403"/>
      <c r="AD71" s="1403"/>
      <c r="AE71" s="1181"/>
      <c r="AF71" s="1523"/>
      <c r="AG71" s="1408"/>
      <c r="AH71" s="233"/>
      <c r="AI71" s="233"/>
      <c r="AJ71" s="43"/>
      <c r="AK71" s="174"/>
      <c r="AL71" s="43"/>
    </row>
    <row r="72" spans="1:38" ht="12.75" customHeight="1">
      <c r="A72" s="1207" t="s">
        <v>173</v>
      </c>
      <c r="B72" s="1717" t="s">
        <v>972</v>
      </c>
      <c r="C72" s="1717" t="s">
        <v>972</v>
      </c>
      <c r="D72" s="1717">
        <v>38.320999999999998</v>
      </c>
      <c r="E72" s="1194">
        <v>68.447000000000003</v>
      </c>
      <c r="F72" s="1194">
        <v>78.676999999999992</v>
      </c>
      <c r="G72" s="1194">
        <v>52.430999999999997</v>
      </c>
      <c r="H72" s="1194">
        <v>104.629</v>
      </c>
      <c r="I72" s="1194">
        <v>39.466999999999999</v>
      </c>
      <c r="J72" s="1194">
        <v>75.692000000000007</v>
      </c>
      <c r="K72" s="1194">
        <v>91.283000000000001</v>
      </c>
      <c r="L72" s="1194">
        <v>43.763999999999996</v>
      </c>
      <c r="M72" s="1194">
        <v>97.546000000000006</v>
      </c>
      <c r="N72" s="1194">
        <v>120.22499999999999</v>
      </c>
      <c r="O72" s="1194">
        <v>132.553</v>
      </c>
      <c r="P72" s="1195">
        <v>129.41674377322283</v>
      </c>
      <c r="Q72" s="1195">
        <v>134.61096555859424</v>
      </c>
      <c r="R72" s="1195">
        <v>166.92390227378047</v>
      </c>
      <c r="S72" s="1195">
        <v>197.97519444741354</v>
      </c>
      <c r="T72" s="1195">
        <v>226.43907436212243</v>
      </c>
      <c r="U72" s="1195">
        <v>256.89314994140148</v>
      </c>
      <c r="V72" s="1195">
        <v>250.86329839249851</v>
      </c>
      <c r="W72" s="1195">
        <v>239.64945292677811</v>
      </c>
      <c r="X72" s="1250"/>
      <c r="Y72" s="731"/>
      <c r="Z72" s="731"/>
      <c r="AA72" s="731"/>
      <c r="AB72" s="731"/>
      <c r="AC72" s="1403"/>
      <c r="AD72" s="1403"/>
      <c r="AE72" s="1181"/>
      <c r="AF72" s="1523"/>
      <c r="AG72" s="1408"/>
      <c r="AH72" s="233"/>
      <c r="AI72" s="233"/>
      <c r="AJ72" s="43"/>
      <c r="AK72" s="174"/>
      <c r="AL72" s="43"/>
    </row>
    <row r="73" spans="1:38" ht="12.75" customHeight="1">
      <c r="A73" s="1207" t="s">
        <v>174</v>
      </c>
      <c r="B73" s="1717" t="s">
        <v>972</v>
      </c>
      <c r="C73" s="1717" t="s">
        <v>972</v>
      </c>
      <c r="D73" s="1717">
        <v>-71.518000000000001</v>
      </c>
      <c r="E73" s="1200">
        <v>-91.114000000000004</v>
      </c>
      <c r="F73" s="1200">
        <v>-88.084000000000003</v>
      </c>
      <c r="G73" s="1200">
        <v>-154.74800000000002</v>
      </c>
      <c r="H73" s="1200">
        <v>-180.78799999999998</v>
      </c>
      <c r="I73" s="1200">
        <v>-101.607</v>
      </c>
      <c r="J73" s="1200">
        <v>-118.17399999999999</v>
      </c>
      <c r="K73" s="1200">
        <v>-176.16499999999996</v>
      </c>
      <c r="L73" s="1200">
        <v>-158.44999999999999</v>
      </c>
      <c r="M73" s="1200">
        <v>-266.10500000000002</v>
      </c>
      <c r="N73" s="1200">
        <v>-311.27199999999993</v>
      </c>
      <c r="O73" s="1200">
        <v>-343.56899999999996</v>
      </c>
      <c r="P73" s="1195">
        <v>-309.85416835304591</v>
      </c>
      <c r="Q73" s="1195">
        <v>-257.54710230952048</v>
      </c>
      <c r="R73" s="1195">
        <v>-241.9992606541247</v>
      </c>
      <c r="S73" s="1195">
        <v>-241.9992606541247</v>
      </c>
      <c r="T73" s="1195">
        <v>-241.9992606541247</v>
      </c>
      <c r="U73" s="1195">
        <v>-241.9992606541247</v>
      </c>
      <c r="V73" s="1195">
        <v>-241.9992606541247</v>
      </c>
      <c r="W73" s="1195">
        <v>-241.9992606541247</v>
      </c>
      <c r="X73" s="1250"/>
      <c r="Y73" s="731"/>
      <c r="Z73" s="731"/>
      <c r="AA73" s="731"/>
      <c r="AB73" s="731"/>
      <c r="AC73" s="1403"/>
      <c r="AD73" s="1403"/>
      <c r="AE73" s="1181"/>
      <c r="AF73" s="1523"/>
      <c r="AG73" s="1408"/>
      <c r="AH73" s="233"/>
      <c r="AI73" s="233"/>
      <c r="AJ73" s="43"/>
      <c r="AK73" s="174"/>
      <c r="AL73" s="43"/>
    </row>
    <row r="74" spans="1:38">
      <c r="A74" s="731" t="s">
        <v>914</v>
      </c>
      <c r="B74" s="1717">
        <v>-2.6379999999999999</v>
      </c>
      <c r="C74" s="1717">
        <v>1.0920000000000001</v>
      </c>
      <c r="D74" s="1717">
        <v>8.6990000000000016</v>
      </c>
      <c r="E74" s="1717">
        <v>7.6210000000000004</v>
      </c>
      <c r="F74" s="1200">
        <v>0.97700000000000042</v>
      </c>
      <c r="G74" s="1200">
        <v>-70.171999999999997</v>
      </c>
      <c r="H74" s="1200">
        <v>92.875999999999991</v>
      </c>
      <c r="I74" s="1200">
        <v>23.465000000000003</v>
      </c>
      <c r="J74" s="1200">
        <v>-22.323</v>
      </c>
      <c r="K74" s="1200">
        <v>-15.769000000000002</v>
      </c>
      <c r="L74" s="1200">
        <v>7.488999999999999</v>
      </c>
      <c r="M74" s="1200">
        <v>-12.562000000000001</v>
      </c>
      <c r="N74" s="1200">
        <v>-129.185</v>
      </c>
      <c r="O74" s="1589">
        <v>-49.898000000000003</v>
      </c>
      <c r="P74" s="1195">
        <v>10.859</v>
      </c>
      <c r="Q74" s="1195">
        <v>0</v>
      </c>
      <c r="R74" s="1195">
        <v>0</v>
      </c>
      <c r="S74" s="1195">
        <v>0</v>
      </c>
      <c r="T74" s="1195">
        <v>0</v>
      </c>
      <c r="U74" s="1195">
        <v>0</v>
      </c>
      <c r="V74" s="1195">
        <v>0</v>
      </c>
      <c r="W74" s="1195">
        <v>0</v>
      </c>
      <c r="X74" s="1250"/>
      <c r="Y74" s="731"/>
      <c r="Z74" s="731"/>
      <c r="AA74" s="731"/>
      <c r="AB74" s="731"/>
      <c r="AC74" s="1403"/>
      <c r="AD74" s="1403"/>
      <c r="AE74" s="1181"/>
      <c r="AF74" s="1523"/>
      <c r="AG74" s="1408"/>
      <c r="AH74" s="233"/>
      <c r="AI74" s="233"/>
      <c r="AJ74" s="43"/>
      <c r="AK74" s="174"/>
      <c r="AL74" s="43"/>
    </row>
    <row r="75" spans="1:38">
      <c r="A75" s="1120" t="s">
        <v>224</v>
      </c>
      <c r="B75" s="1209">
        <v>-22.341000000000044</v>
      </c>
      <c r="C75" s="1209">
        <v>54.537999999999961</v>
      </c>
      <c r="D75" s="1209">
        <v>210.39299999999997</v>
      </c>
      <c r="E75" s="1209">
        <v>235.33999999999986</v>
      </c>
      <c r="F75" s="1209">
        <v>-71.27099999999993</v>
      </c>
      <c r="G75" s="1209">
        <v>-131.81600000000009</v>
      </c>
      <c r="H75" s="1209">
        <v>141.02299999999983</v>
      </c>
      <c r="I75" s="1209">
        <v>197.09399999999985</v>
      </c>
      <c r="J75" s="1209">
        <v>166.20300000000017</v>
      </c>
      <c r="K75" s="1209">
        <v>98.158999999999807</v>
      </c>
      <c r="L75" s="1209">
        <v>195.72100000000003</v>
      </c>
      <c r="M75" s="1209">
        <v>351.56499999999966</v>
      </c>
      <c r="N75" s="1209">
        <v>191.82099999999997</v>
      </c>
      <c r="O75" s="1590">
        <v>445.57300000000009</v>
      </c>
      <c r="P75" s="1210">
        <v>824.27351744490318</v>
      </c>
      <c r="Q75" s="1210">
        <v>1016.5439456578723</v>
      </c>
      <c r="R75" s="1210">
        <v>1287.5166475442511</v>
      </c>
      <c r="S75" s="1210">
        <v>1506.6189960677771</v>
      </c>
      <c r="T75" s="1210">
        <v>1443.6385326801712</v>
      </c>
      <c r="U75" s="1210">
        <v>1407.1887112114248</v>
      </c>
      <c r="V75" s="1210">
        <v>1548.4598540588165</v>
      </c>
      <c r="W75" s="1210">
        <v>1995.0551399055646</v>
      </c>
      <c r="X75" s="1250"/>
      <c r="Y75" s="731"/>
      <c r="Z75" s="731"/>
      <c r="AA75" s="731"/>
      <c r="AB75" s="731"/>
      <c r="AC75" s="1404"/>
      <c r="AD75" s="1404"/>
      <c r="AE75" s="1525"/>
      <c r="AF75" s="1523"/>
      <c r="AG75" s="1408"/>
      <c r="AH75" s="19"/>
      <c r="AI75" s="19"/>
      <c r="AJ75" s="43"/>
      <c r="AK75" s="174"/>
      <c r="AL75" s="43"/>
    </row>
    <row r="76" spans="1:38">
      <c r="A76" s="731" t="s">
        <v>225</v>
      </c>
      <c r="B76" s="1194">
        <v>3.94</v>
      </c>
      <c r="C76" s="1194">
        <v>-18.835999999999999</v>
      </c>
      <c r="D76" s="1194">
        <v>-37.890999999999998</v>
      </c>
      <c r="E76" s="1194">
        <v>-36.573999999999998</v>
      </c>
      <c r="F76" s="1194">
        <v>22.477</v>
      </c>
      <c r="G76" s="1194">
        <v>53.556000000000004</v>
      </c>
      <c r="H76" s="1194">
        <v>-39.864999999999995</v>
      </c>
      <c r="I76" s="1194">
        <v>-54.802999999999997</v>
      </c>
      <c r="J76" s="1194">
        <v>-39.592000000000006</v>
      </c>
      <c r="K76" s="1194">
        <v>-25.209000000000003</v>
      </c>
      <c r="L76" s="1194">
        <v>-60.719000000000001</v>
      </c>
      <c r="M76" s="1194">
        <v>-32.067999999999998</v>
      </c>
      <c r="N76" s="1194">
        <v>7.6129999999999978</v>
      </c>
      <c r="O76" s="1591">
        <v>-161.685</v>
      </c>
      <c r="P76" s="1195">
        <v>-156.78306796563353</v>
      </c>
      <c r="Q76" s="1195">
        <v>-132.15071293552344</v>
      </c>
      <c r="R76" s="1195">
        <v>-167.37716418075257</v>
      </c>
      <c r="S76" s="1195">
        <v>-256.12522933152218</v>
      </c>
      <c r="T76" s="1195">
        <v>-274.29132120923259</v>
      </c>
      <c r="U76" s="1195">
        <v>-295.50962935439924</v>
      </c>
      <c r="V76" s="1195">
        <v>-356.14576643352774</v>
      </c>
      <c r="W76" s="1195">
        <v>-678.31874756789216</v>
      </c>
      <c r="X76" s="1798"/>
      <c r="Y76" s="731"/>
      <c r="Z76" s="731"/>
      <c r="AA76" s="731"/>
      <c r="AB76" s="731"/>
      <c r="AC76" s="1403"/>
      <c r="AD76" s="1403"/>
      <c r="AE76" s="1181"/>
      <c r="AF76" s="1523"/>
      <c r="AG76" s="1408"/>
      <c r="AH76" s="233"/>
      <c r="AI76" s="233"/>
      <c r="AJ76" s="43"/>
      <c r="AK76" s="174"/>
      <c r="AL76" s="43"/>
    </row>
    <row r="77" spans="1:38">
      <c r="A77" s="1196" t="s">
        <v>226</v>
      </c>
      <c r="B77" s="1163">
        <v>0.17635736985810807</v>
      </c>
      <c r="C77" s="1163">
        <v>0.34537386776192769</v>
      </c>
      <c r="D77" s="1163">
        <v>0.180096295979429</v>
      </c>
      <c r="E77" s="1163">
        <v>0.15540919520693472</v>
      </c>
      <c r="F77" s="1163">
        <v>0.31537371441399759</v>
      </c>
      <c r="G77" s="1163">
        <v>0.40629362141166453</v>
      </c>
      <c r="H77" s="1163">
        <v>0.28268438481666142</v>
      </c>
      <c r="I77" s="1163">
        <v>0.27805514120166031</v>
      </c>
      <c r="J77" s="1163">
        <v>0.23821471333249078</v>
      </c>
      <c r="K77" s="1163">
        <v>0.25681801974347795</v>
      </c>
      <c r="L77" s="1163">
        <v>0.31023242268330936</v>
      </c>
      <c r="M77" s="1163">
        <v>9.1214995804474369E-2</v>
      </c>
      <c r="N77" s="1250" t="s">
        <v>36</v>
      </c>
      <c r="O77" s="1649">
        <v>0.36286983277712065</v>
      </c>
      <c r="P77" s="1164">
        <v>0.17</v>
      </c>
      <c r="Q77" s="1164">
        <v>0.13</v>
      </c>
      <c r="R77" s="1164">
        <v>0.13</v>
      </c>
      <c r="S77" s="1164">
        <v>0.17</v>
      </c>
      <c r="T77" s="1164">
        <v>0.19</v>
      </c>
      <c r="U77" s="1164">
        <v>0.21</v>
      </c>
      <c r="V77" s="1164">
        <v>0.22999999999999998</v>
      </c>
      <c r="W77" s="1164">
        <v>0.34</v>
      </c>
      <c r="X77" s="1250"/>
      <c r="Y77" s="731"/>
      <c r="Z77" s="731"/>
      <c r="AA77" s="731"/>
      <c r="AB77" s="731"/>
      <c r="AC77" s="1164"/>
      <c r="AD77" s="1164"/>
      <c r="AE77" s="1181"/>
      <c r="AF77" s="1523"/>
      <c r="AG77" s="1408"/>
      <c r="AH77" s="174"/>
      <c r="AI77" s="174"/>
      <c r="AJ77" s="43"/>
      <c r="AK77" s="174"/>
      <c r="AL77" s="43"/>
    </row>
    <row r="78" spans="1:38">
      <c r="A78" s="1120" t="s">
        <v>354</v>
      </c>
      <c r="B78" s="1187">
        <v>-18.401000000000042</v>
      </c>
      <c r="C78" s="1187">
        <v>35.701999999999963</v>
      </c>
      <c r="D78" s="1187">
        <v>172.50199999999998</v>
      </c>
      <c r="E78" s="1187">
        <v>198.76599999999985</v>
      </c>
      <c r="F78" s="1187">
        <v>-48.793999999999926</v>
      </c>
      <c r="G78" s="1187">
        <v>-78.260000000000076</v>
      </c>
      <c r="H78" s="1187">
        <v>101.15799999999983</v>
      </c>
      <c r="I78" s="1187">
        <v>142.29099999999985</v>
      </c>
      <c r="J78" s="1187">
        <v>126.61100000000016</v>
      </c>
      <c r="K78" s="1187">
        <v>72.949999999999804</v>
      </c>
      <c r="L78" s="1187">
        <v>135.00200000000004</v>
      </c>
      <c r="M78" s="1187">
        <v>319.49699999999967</v>
      </c>
      <c r="N78" s="1187">
        <v>199.43399999999997</v>
      </c>
      <c r="O78" s="1592">
        <v>283.88800000000009</v>
      </c>
      <c r="P78" s="1188">
        <v>667.49044947926961</v>
      </c>
      <c r="Q78" s="1188">
        <v>884.3932327223489</v>
      </c>
      <c r="R78" s="1188">
        <v>1120.1394833634986</v>
      </c>
      <c r="S78" s="1188">
        <v>1250.4937667362549</v>
      </c>
      <c r="T78" s="1188">
        <v>1169.3472114709386</v>
      </c>
      <c r="U78" s="1188">
        <v>1111.6790818570255</v>
      </c>
      <c r="V78" s="1188">
        <v>1192.3140876252887</v>
      </c>
      <c r="W78" s="1188">
        <v>1316.7363923376724</v>
      </c>
      <c r="X78" s="1250"/>
      <c r="Y78" s="731"/>
      <c r="Z78" s="731"/>
      <c r="AA78" s="731"/>
      <c r="AB78" s="731"/>
      <c r="AC78" s="1188"/>
      <c r="AD78" s="1188"/>
      <c r="AE78" s="1525"/>
      <c r="AF78" s="1523"/>
      <c r="AG78" s="1408"/>
      <c r="AH78" s="20"/>
      <c r="AI78" s="20"/>
      <c r="AJ78" s="43"/>
      <c r="AK78" s="174"/>
      <c r="AL78" s="43"/>
    </row>
    <row r="79" spans="1:38">
      <c r="A79" s="1211" t="s">
        <v>355</v>
      </c>
      <c r="B79" s="1193">
        <v>0</v>
      </c>
      <c r="C79" s="1193">
        <v>0</v>
      </c>
      <c r="D79" s="1193">
        <v>0</v>
      </c>
      <c r="E79" s="1193">
        <v>0</v>
      </c>
      <c r="F79" s="1194">
        <v>0</v>
      </c>
      <c r="G79" s="1194">
        <v>6.3950000000000005</v>
      </c>
      <c r="H79" s="1194">
        <v>-3.0859999999999999</v>
      </c>
      <c r="I79" s="1194">
        <v>0</v>
      </c>
      <c r="J79" s="1194">
        <v>0</v>
      </c>
      <c r="K79" s="1194">
        <v>0</v>
      </c>
      <c r="L79" s="1194">
        <v>0</v>
      </c>
      <c r="M79" s="1194">
        <v>-2.2589999999999999</v>
      </c>
      <c r="N79" s="1194">
        <v>0</v>
      </c>
      <c r="O79" s="1591">
        <v>0</v>
      </c>
      <c r="P79" s="1238">
        <v>0</v>
      </c>
      <c r="Q79" s="1238">
        <v>0</v>
      </c>
      <c r="R79" s="1238">
        <v>0</v>
      </c>
      <c r="S79" s="1238">
        <v>0</v>
      </c>
      <c r="T79" s="1238">
        <v>0</v>
      </c>
      <c r="U79" s="1238">
        <v>0</v>
      </c>
      <c r="V79" s="1238">
        <v>0</v>
      </c>
      <c r="W79" s="1238">
        <v>0</v>
      </c>
      <c r="X79" s="1250"/>
      <c r="Y79" s="731"/>
      <c r="Z79" s="731"/>
      <c r="AA79" s="731"/>
      <c r="AB79" s="731"/>
      <c r="AC79" s="1405"/>
      <c r="AD79" s="1405"/>
      <c r="AE79" s="1181"/>
      <c r="AF79" s="1523"/>
      <c r="AG79" s="1408"/>
      <c r="AH79" s="232"/>
      <c r="AI79" s="232"/>
      <c r="AJ79" s="43"/>
      <c r="AK79" s="174"/>
      <c r="AL79" s="43"/>
    </row>
    <row r="80" spans="1:38">
      <c r="A80" s="1213" t="s">
        <v>356</v>
      </c>
      <c r="B80" s="1187">
        <v>-18.401000000000042</v>
      </c>
      <c r="C80" s="1187">
        <v>35.701999999999963</v>
      </c>
      <c r="D80" s="1187">
        <v>172.50199999999998</v>
      </c>
      <c r="E80" s="1187">
        <v>198.76599999999985</v>
      </c>
      <c r="F80" s="1187">
        <v>-48.793999999999926</v>
      </c>
      <c r="G80" s="1187">
        <v>-71.86500000000008</v>
      </c>
      <c r="H80" s="1187">
        <v>98.071999999999832</v>
      </c>
      <c r="I80" s="1187">
        <v>142.29099999999985</v>
      </c>
      <c r="J80" s="1187">
        <v>126.61100000000016</v>
      </c>
      <c r="K80" s="1187">
        <v>72.949999999999804</v>
      </c>
      <c r="L80" s="1187">
        <v>135.00200000000004</v>
      </c>
      <c r="M80" s="1187">
        <v>317.23799999999966</v>
      </c>
      <c r="N80" s="1187">
        <v>199.43399999999997</v>
      </c>
      <c r="O80" s="1592">
        <v>283.88800000000009</v>
      </c>
      <c r="P80" s="1188">
        <v>667.49044947926961</v>
      </c>
      <c r="Q80" s="1188">
        <v>884.3932327223489</v>
      </c>
      <c r="R80" s="1188">
        <v>1120.1394833634986</v>
      </c>
      <c r="S80" s="1188">
        <v>1250.4937667362549</v>
      </c>
      <c r="T80" s="1188">
        <v>1169.3472114709386</v>
      </c>
      <c r="U80" s="1188">
        <v>1111.6790818570255</v>
      </c>
      <c r="V80" s="1188">
        <v>1192.3140876252887</v>
      </c>
      <c r="W80" s="1188">
        <v>1316.7363923376724</v>
      </c>
      <c r="X80" s="1524"/>
      <c r="Y80" s="1215">
        <v>0.16397363507066465</v>
      </c>
      <c r="Z80" s="1215">
        <v>0.29542873063447828</v>
      </c>
      <c r="AA80" s="1215">
        <v>1.0377023375625516E-2</v>
      </c>
      <c r="AB80" s="1529"/>
      <c r="AC80" s="1188"/>
      <c r="AD80" s="1188"/>
      <c r="AE80" s="1530"/>
      <c r="AF80" s="1523"/>
      <c r="AG80" s="1408"/>
      <c r="AH80" s="20"/>
      <c r="AI80" s="20"/>
      <c r="AJ80" s="43"/>
      <c r="AK80" s="174"/>
      <c r="AL80" s="43"/>
    </row>
    <row r="81" spans="1:38" ht="12.75" customHeight="1">
      <c r="A81" s="1213" t="s">
        <v>1038</v>
      </c>
      <c r="B81" s="1187">
        <v>-18.401000000000042</v>
      </c>
      <c r="C81" s="1187">
        <v>35.701999999999963</v>
      </c>
      <c r="D81" s="1187">
        <v>172.50199999999998</v>
      </c>
      <c r="E81" s="1187">
        <v>198.76599999999985</v>
      </c>
      <c r="F81" s="1187">
        <v>-48.793999999999926</v>
      </c>
      <c r="G81" s="1187">
        <v>-71.86500000000008</v>
      </c>
      <c r="H81" s="1187">
        <v>98.071999999999832</v>
      </c>
      <c r="I81" s="1187">
        <v>142.29099999999985</v>
      </c>
      <c r="J81" s="1187">
        <v>126.61100000000016</v>
      </c>
      <c r="K81" s="1187">
        <v>72.949999999999804</v>
      </c>
      <c r="L81" s="1187">
        <v>135.00200000000004</v>
      </c>
      <c r="M81" s="1187">
        <v>317.23799999999966</v>
      </c>
      <c r="N81" s="1187">
        <v>199.43399999999997</v>
      </c>
      <c r="O81" s="1592">
        <v>283.88800000000009</v>
      </c>
      <c r="P81" s="1188">
        <v>667.49044947926961</v>
      </c>
      <c r="Q81" s="1188">
        <v>884.3932327223489</v>
      </c>
      <c r="R81" s="1188">
        <v>1120.1394833634986</v>
      </c>
      <c r="S81" s="1188">
        <v>1250.4937667362549</v>
      </c>
      <c r="T81" s="1188">
        <v>1169.3472114709386</v>
      </c>
      <c r="U81" s="1188">
        <v>1111.6790818570255</v>
      </c>
      <c r="V81" s="1188">
        <v>1192.3140876252887</v>
      </c>
      <c r="W81" s="1188">
        <v>1316.7363923376724</v>
      </c>
      <c r="X81" s="1524"/>
      <c r="Y81" s="1163"/>
      <c r="Z81" s="1531"/>
      <c r="AA81" s="1531"/>
      <c r="AB81" s="1529"/>
      <c r="AC81" s="1188"/>
      <c r="AD81" s="1188"/>
      <c r="AE81" s="1530"/>
      <c r="AF81" s="1523"/>
      <c r="AG81" s="1408"/>
      <c r="AH81" s="20"/>
      <c r="AI81" s="20"/>
      <c r="AJ81" s="43"/>
      <c r="AK81" s="174"/>
      <c r="AL81" s="43"/>
    </row>
    <row r="82" spans="1:38">
      <c r="A82" s="1211" t="s">
        <v>357</v>
      </c>
      <c r="B82" s="1214"/>
      <c r="C82" s="1214"/>
      <c r="D82" s="1214"/>
      <c r="E82" s="1214"/>
      <c r="F82" s="1215">
        <v>-6.8490497178630469E-2</v>
      </c>
      <c r="G82" s="1215">
        <v>-9.2795725443964347E-2</v>
      </c>
      <c r="H82" s="1215">
        <v>8.2881061721341964E-2</v>
      </c>
      <c r="I82" s="1215">
        <v>0.10987484440490852</v>
      </c>
      <c r="J82" s="1215">
        <v>9.262028251852622E-2</v>
      </c>
      <c r="K82" s="1215">
        <v>4.4591691091747515E-2</v>
      </c>
      <c r="L82" s="1215">
        <v>6.8470195618986776E-2</v>
      </c>
      <c r="M82" s="1215">
        <v>0.13643694503866813</v>
      </c>
      <c r="N82" s="1215">
        <v>7.3122950642356632E-2</v>
      </c>
      <c r="O82" s="1533">
        <v>9.4538513334856342E-2</v>
      </c>
      <c r="P82" s="1216">
        <v>0.16773862872152154</v>
      </c>
      <c r="Q82" s="1216">
        <v>0.20648107329256959</v>
      </c>
      <c r="R82" s="1216">
        <v>0.23217389125496293</v>
      </c>
      <c r="S82" s="1216">
        <v>0.23612289366094044</v>
      </c>
      <c r="T82" s="1216">
        <v>0.2259589993796326</v>
      </c>
      <c r="U82" s="1216">
        <v>0.21975555067500777</v>
      </c>
      <c r="V82" s="1216">
        <v>0.21953738011957871</v>
      </c>
      <c r="W82" s="1216">
        <v>0.2196511539600739</v>
      </c>
      <c r="X82" s="1214"/>
      <c r="Y82" s="1532"/>
      <c r="Z82" s="1214"/>
      <c r="AA82" s="1214"/>
      <c r="AB82" s="1533"/>
      <c r="AC82" s="1216"/>
      <c r="AD82" s="1216"/>
      <c r="AE82" s="1534"/>
      <c r="AF82" s="1523"/>
      <c r="AG82" s="1408"/>
      <c r="AH82" s="174"/>
      <c r="AI82" s="174"/>
      <c r="AJ82" s="43"/>
      <c r="AK82" s="174"/>
      <c r="AL82" s="43"/>
    </row>
    <row r="83" spans="1:38">
      <c r="A83" s="1211"/>
      <c r="B83" s="1214"/>
      <c r="C83" s="1214"/>
      <c r="D83" s="1214"/>
      <c r="E83" s="1214"/>
      <c r="F83" s="1215"/>
      <c r="G83" s="1215"/>
      <c r="H83" s="1215"/>
      <c r="I83" s="1215"/>
      <c r="J83" s="1215"/>
      <c r="K83" s="1215"/>
      <c r="L83" s="1215"/>
      <c r="M83" s="1215"/>
      <c r="N83" s="1215"/>
      <c r="O83" s="1533"/>
      <c r="P83" s="1216"/>
      <c r="Q83" s="1216"/>
      <c r="R83" s="1216"/>
      <c r="S83" s="1216"/>
      <c r="T83" s="1216"/>
      <c r="U83" s="1216"/>
      <c r="V83" s="1216"/>
      <c r="W83" s="1216"/>
      <c r="X83" s="1214"/>
      <c r="Y83" s="1532"/>
      <c r="Z83" s="1214"/>
      <c r="AA83" s="1214"/>
      <c r="AB83" s="1533"/>
      <c r="AC83" s="1216"/>
      <c r="AD83" s="1216"/>
      <c r="AE83" s="1534"/>
      <c r="AF83" s="1523"/>
      <c r="AG83" s="1408"/>
      <c r="AH83" s="174"/>
      <c r="AI83" s="174"/>
      <c r="AJ83" s="43"/>
      <c r="AK83" s="174"/>
      <c r="AL83" s="43"/>
    </row>
    <row r="84" spans="1:38">
      <c r="A84" s="1211" t="s">
        <v>358</v>
      </c>
      <c r="B84" s="1217">
        <v>300</v>
      </c>
      <c r="C84" s="1217">
        <v>300</v>
      </c>
      <c r="D84" s="1217">
        <v>300</v>
      </c>
      <c r="E84" s="1217">
        <v>339</v>
      </c>
      <c r="F84" s="1217">
        <v>339</v>
      </c>
      <c r="G84" s="1217">
        <v>338.58300000000003</v>
      </c>
      <c r="H84" s="1217">
        <v>338.58300000000003</v>
      </c>
      <c r="I84" s="1217">
        <v>338.58300000000003</v>
      </c>
      <c r="J84" s="1217">
        <v>338.16300000000001</v>
      </c>
      <c r="K84" s="1217">
        <v>336.65100000000001</v>
      </c>
      <c r="L84" s="1217">
        <v>336.72899999999998</v>
      </c>
      <c r="M84" s="1217">
        <v>337.71</v>
      </c>
      <c r="N84" s="1217">
        <v>338.928</v>
      </c>
      <c r="O84" s="1593">
        <v>339.98762099999999</v>
      </c>
      <c r="P84" s="1218">
        <v>351.45602329999997</v>
      </c>
      <c r="Q84" s="1218">
        <v>363.4678773</v>
      </c>
      <c r="R84" s="1218">
        <v>363.4678773</v>
      </c>
      <c r="S84" s="1218">
        <v>363.4678773</v>
      </c>
      <c r="T84" s="1218">
        <v>363.4678773</v>
      </c>
      <c r="U84" s="1218">
        <v>363.4678773</v>
      </c>
      <c r="V84" s="1218">
        <v>363.4678773</v>
      </c>
      <c r="W84" s="1218">
        <v>363.4678773</v>
      </c>
      <c r="X84" s="1214"/>
      <c r="Y84" s="731"/>
      <c r="Z84" s="1531"/>
      <c r="AA84" s="1531"/>
      <c r="AB84" s="1529"/>
      <c r="AC84" s="1218"/>
      <c r="AD84" s="1218"/>
      <c r="AE84" s="1292"/>
      <c r="AF84" s="1523"/>
      <c r="AG84" s="1408"/>
      <c r="AH84" s="43"/>
      <c r="AI84" s="43"/>
      <c r="AJ84" s="43"/>
      <c r="AK84" s="174"/>
      <c r="AL84" s="43"/>
    </row>
    <row r="85" spans="1:38" ht="12.75" customHeight="1">
      <c r="A85" s="1219" t="s">
        <v>359</v>
      </c>
      <c r="B85" s="1217">
        <v>300</v>
      </c>
      <c r="C85" s="1217">
        <v>300</v>
      </c>
      <c r="D85" s="1217">
        <v>300</v>
      </c>
      <c r="E85" s="1217">
        <v>339</v>
      </c>
      <c r="F85" s="1217">
        <v>339</v>
      </c>
      <c r="G85" s="1217">
        <v>338.58300000000003</v>
      </c>
      <c r="H85" s="1217">
        <v>338.58300000000003</v>
      </c>
      <c r="I85" s="1217">
        <v>338.58300000000003</v>
      </c>
      <c r="J85" s="1217">
        <v>338.16300000000001</v>
      </c>
      <c r="K85" s="1217">
        <v>337.101</v>
      </c>
      <c r="L85" s="1217">
        <v>337.45499999999998</v>
      </c>
      <c r="M85" s="1217">
        <v>338.58</v>
      </c>
      <c r="N85" s="1217">
        <v>339.60599999999999</v>
      </c>
      <c r="O85" s="1593">
        <v>338.05900000000003</v>
      </c>
      <c r="P85" s="1218">
        <v>352.98100694999999</v>
      </c>
      <c r="Q85" s="1218">
        <v>363.4678773</v>
      </c>
      <c r="R85" s="1218">
        <v>363.4678773</v>
      </c>
      <c r="S85" s="1218">
        <v>363.4678773</v>
      </c>
      <c r="T85" s="1218">
        <v>363.4678773</v>
      </c>
      <c r="U85" s="1218">
        <v>363.4678773</v>
      </c>
      <c r="V85" s="1218">
        <v>363.4678773</v>
      </c>
      <c r="W85" s="1218">
        <v>363.4678773</v>
      </c>
      <c r="X85" s="1532"/>
      <c r="Y85" s="731"/>
      <c r="Z85" s="1531"/>
      <c r="AA85" s="1531"/>
      <c r="AB85" s="1535"/>
      <c r="AC85" s="1218"/>
      <c r="AD85" s="1218"/>
      <c r="AE85" s="1536"/>
      <c r="AF85" s="1523"/>
      <c r="AG85" s="1408"/>
      <c r="AH85" s="21"/>
      <c r="AI85" s="21"/>
      <c r="AJ85" s="43"/>
      <c r="AK85" s="174"/>
      <c r="AL85" s="43"/>
    </row>
    <row r="86" spans="1:38" ht="12.75" customHeight="1">
      <c r="A86" s="1211" t="s">
        <v>967</v>
      </c>
      <c r="B86" s="1220">
        <v>-6.133666666666681E-2</v>
      </c>
      <c r="C86" s="1220">
        <v>0.11900666666666654</v>
      </c>
      <c r="D86" s="1220">
        <v>0.57500666666666655</v>
      </c>
      <c r="E86" s="1220">
        <v>0.58633038348082556</v>
      </c>
      <c r="F86" s="1220">
        <v>-0.14393510324483755</v>
      </c>
      <c r="G86" s="1220">
        <v>-0.21225223948042304</v>
      </c>
      <c r="H86" s="1220">
        <v>0.28965423544596103</v>
      </c>
      <c r="I86" s="1220">
        <v>0.42025441324579155</v>
      </c>
      <c r="J86" s="1220">
        <v>0.37440819959605326</v>
      </c>
      <c r="K86" s="1220">
        <v>0.21669325206222409</v>
      </c>
      <c r="L86" s="1220">
        <v>0.40092180952635514</v>
      </c>
      <c r="M86" s="1220">
        <v>0.9393799413698134</v>
      </c>
      <c r="N86" s="1220">
        <v>0.58842586035972233</v>
      </c>
      <c r="O86" s="1220">
        <v>0.83499510707185454</v>
      </c>
      <c r="P86" s="1221">
        <v>1.8992147103124344</v>
      </c>
      <c r="Q86" s="1221">
        <v>2.4332087866801673</v>
      </c>
      <c r="R86" s="1221">
        <v>3.0818114978533719</v>
      </c>
      <c r="S86" s="1221">
        <v>3.4404519486714347</v>
      </c>
      <c r="T86" s="1221">
        <v>3.2171954786138639</v>
      </c>
      <c r="U86" s="1221">
        <v>3.0585346086566685</v>
      </c>
      <c r="V86" s="1221">
        <v>3.2803836654901244</v>
      </c>
      <c r="W86" s="1221">
        <v>3.6227036130922277</v>
      </c>
      <c r="X86" s="1532"/>
      <c r="Y86" s="731"/>
      <c r="Z86" s="1531"/>
      <c r="AA86" s="1531"/>
      <c r="AB86" s="1535"/>
      <c r="AC86" s="1218"/>
      <c r="AD86" s="1406"/>
      <c r="AE86" s="1536"/>
      <c r="AF86" s="1523"/>
      <c r="AG86" s="1408"/>
      <c r="AH86" s="21"/>
      <c r="AI86" s="21"/>
      <c r="AJ86" s="43"/>
      <c r="AK86" s="174"/>
      <c r="AL86" s="43"/>
    </row>
    <row r="87" spans="1:38" s="763" customFormat="1">
      <c r="A87" s="1213" t="s">
        <v>360</v>
      </c>
      <c r="B87" s="1881">
        <v>-6.133666666666681E-2</v>
      </c>
      <c r="C87" s="1881">
        <v>0.11900666666666654</v>
      </c>
      <c r="D87" s="1881">
        <v>0.57500666666666655</v>
      </c>
      <c r="E87" s="1881">
        <v>0.58633038348082556</v>
      </c>
      <c r="F87" s="1881">
        <v>-0.14393510324483755</v>
      </c>
      <c r="G87" s="1881">
        <v>-0.21225223948042304</v>
      </c>
      <c r="H87" s="1881">
        <v>0.28965423544596103</v>
      </c>
      <c r="I87" s="1881">
        <v>0.42025441324579155</v>
      </c>
      <c r="J87" s="1881">
        <v>0.37440819959605326</v>
      </c>
      <c r="K87" s="1881">
        <v>0.2164039857490776</v>
      </c>
      <c r="L87" s="1881">
        <v>0.4000592671615476</v>
      </c>
      <c r="M87" s="1881">
        <v>0.93696615275562545</v>
      </c>
      <c r="N87" s="1881">
        <v>0.5872511086376565</v>
      </c>
      <c r="O87" s="1881">
        <v>0.83975874033822517</v>
      </c>
      <c r="P87" s="1882">
        <v>1.891009534045043</v>
      </c>
      <c r="Q87" s="1882">
        <v>2.4332087866801673</v>
      </c>
      <c r="R87" s="1882">
        <v>3.0818114978533719</v>
      </c>
      <c r="S87" s="1882">
        <v>3.4404519486714347</v>
      </c>
      <c r="T87" s="1882">
        <v>3.2171954786138639</v>
      </c>
      <c r="U87" s="1882">
        <v>3.0585346086566685</v>
      </c>
      <c r="V87" s="1882">
        <v>3.2803836654901244</v>
      </c>
      <c r="W87" s="1882">
        <v>3.6227036130922277</v>
      </c>
      <c r="X87" s="1524"/>
      <c r="Y87" s="1120">
        <v>0.16423120524286938</v>
      </c>
      <c r="Z87" s="1531">
        <v>0.2766039278512431</v>
      </c>
      <c r="AA87" s="1531">
        <v>1.0377023375625516E-2</v>
      </c>
      <c r="AB87" s="1529"/>
      <c r="AC87" s="1883"/>
      <c r="AD87" s="1884"/>
      <c r="AE87" s="1885"/>
      <c r="AF87" s="1886"/>
      <c r="AG87" s="1887"/>
      <c r="AH87" s="1888"/>
      <c r="AI87" s="1888"/>
      <c r="AJ87" s="1888"/>
      <c r="AK87" s="1888"/>
      <c r="AL87" s="1888"/>
    </row>
    <row r="88" spans="1:38" ht="12.75" customHeight="1">
      <c r="A88" s="1211" t="s">
        <v>1021</v>
      </c>
      <c r="B88" s="1223">
        <v>7</v>
      </c>
      <c r="C88" s="1223">
        <v>7.4</v>
      </c>
      <c r="D88" s="1223">
        <v>17.899999999999999</v>
      </c>
      <c r="E88" s="1223">
        <v>19.99979626</v>
      </c>
      <c r="F88" s="1223">
        <v>0</v>
      </c>
      <c r="G88" s="1223">
        <v>0</v>
      </c>
      <c r="H88" s="1223">
        <v>30.933</v>
      </c>
      <c r="I88" s="1223">
        <v>30.242050030000001</v>
      </c>
      <c r="J88" s="1223">
        <v>36.084000000000003</v>
      </c>
      <c r="K88" s="1223">
        <v>30</v>
      </c>
      <c r="L88" s="1223">
        <v>40.405000000000001</v>
      </c>
      <c r="M88" s="1223">
        <v>67.938999999999993</v>
      </c>
      <c r="N88" s="1223">
        <v>53.164000000000001</v>
      </c>
      <c r="O88" s="1223">
        <v>74.242000000000004</v>
      </c>
      <c r="P88" s="1224">
        <v>266.99617979170785</v>
      </c>
      <c r="Q88" s="1224">
        <v>442.19661636117445</v>
      </c>
      <c r="R88" s="1224">
        <v>784.09763835444892</v>
      </c>
      <c r="S88" s="1224">
        <v>875.34563671537842</v>
      </c>
      <c r="T88" s="1224">
        <v>818.54304802965703</v>
      </c>
      <c r="U88" s="1224">
        <v>1111.6790818570255</v>
      </c>
      <c r="V88" s="1224">
        <v>1192.3140876252887</v>
      </c>
      <c r="W88" s="1224">
        <v>1316.7363923376724</v>
      </c>
      <c r="X88" s="1524"/>
      <c r="Y88" s="731"/>
      <c r="Z88" s="1537"/>
      <c r="AA88" s="1537"/>
      <c r="AB88" s="990"/>
      <c r="AC88" s="1218"/>
      <c r="AD88" s="1407"/>
      <c r="AE88" s="1292"/>
      <c r="AF88" s="1523"/>
      <c r="AG88" s="1408"/>
      <c r="AH88" s="43"/>
      <c r="AI88" s="43"/>
      <c r="AJ88" s="43"/>
      <c r="AK88" s="43"/>
      <c r="AL88" s="43"/>
    </row>
    <row r="89" spans="1:38">
      <c r="A89" s="1211" t="s">
        <v>361</v>
      </c>
      <c r="B89" s="1225" t="s">
        <v>972</v>
      </c>
      <c r="C89" s="1225" t="s">
        <v>972</v>
      </c>
      <c r="D89" s="1225" t="s">
        <v>972</v>
      </c>
      <c r="E89" s="1225">
        <v>0.17699000000000001</v>
      </c>
      <c r="F89" s="1225">
        <v>0</v>
      </c>
      <c r="G89" s="1225">
        <v>0</v>
      </c>
      <c r="H89" s="1225">
        <v>0.27410000000000001</v>
      </c>
      <c r="I89" s="1225">
        <v>0.26789999999999997</v>
      </c>
      <c r="J89" s="1225">
        <v>0.32134299999999999</v>
      </c>
      <c r="K89" s="1225">
        <v>0.26730199999999998</v>
      </c>
      <c r="L89" s="1225">
        <v>0.35949999999999999</v>
      </c>
      <c r="M89" s="1225">
        <v>0.20117556483373308</v>
      </c>
      <c r="N89" s="1225">
        <v>0.15685927394608884</v>
      </c>
      <c r="O89" s="1225">
        <v>0.20699999999999999</v>
      </c>
      <c r="P89" s="1221">
        <v>0.75968588412497373</v>
      </c>
      <c r="Q89" s="1221">
        <v>1.2166043933400836</v>
      </c>
      <c r="R89" s="1221">
        <v>2.1572680484973601</v>
      </c>
      <c r="S89" s="1221">
        <v>2.408316364070004</v>
      </c>
      <c r="T89" s="1221">
        <v>2.2520368350297049</v>
      </c>
      <c r="U89" s="1221">
        <v>3.0585346086566685</v>
      </c>
      <c r="V89" s="1221">
        <v>3.2803836654901244</v>
      </c>
      <c r="W89" s="1221">
        <v>3.6227036130922277</v>
      </c>
      <c r="X89" s="731"/>
      <c r="Y89" s="731"/>
      <c r="Z89" s="731"/>
      <c r="AA89" s="731"/>
      <c r="AB89" s="1533"/>
      <c r="AC89" s="1406"/>
      <c r="AD89" s="1406"/>
      <c r="AE89" s="1534"/>
      <c r="AF89" s="1523"/>
      <c r="AG89" s="1408"/>
      <c r="AH89" s="174"/>
      <c r="AI89" s="174"/>
      <c r="AJ89" s="43"/>
      <c r="AK89" s="43"/>
      <c r="AL89" s="43"/>
    </row>
    <row r="90" spans="1:38" s="43" customFormat="1" ht="12.75" customHeight="1">
      <c r="A90" s="1705" t="s">
        <v>1018</v>
      </c>
      <c r="B90" s="1533">
        <v>-0.38041410792891606</v>
      </c>
      <c r="C90" s="1533">
        <v>0.20727130132765695</v>
      </c>
      <c r="D90" s="1533">
        <v>0.10376691284738727</v>
      </c>
      <c r="E90" s="1533">
        <v>0.10061980549993467</v>
      </c>
      <c r="F90" s="1533">
        <v>0</v>
      </c>
      <c r="G90" s="1533">
        <v>0</v>
      </c>
      <c r="H90" s="1533">
        <v>0.31541112651929248</v>
      </c>
      <c r="I90" s="1533">
        <v>0.21253663288612795</v>
      </c>
      <c r="J90" s="1533">
        <v>0.28499893374193364</v>
      </c>
      <c r="K90" s="1533">
        <v>0.41124057573680711</v>
      </c>
      <c r="L90" s="1533">
        <v>0.29929186234278005</v>
      </c>
      <c r="M90" s="1533">
        <v>0.21415782472465489</v>
      </c>
      <c r="N90" s="1533">
        <v>0.2665744055677568</v>
      </c>
      <c r="O90" s="1533">
        <v>0.26151862706419426</v>
      </c>
      <c r="P90" s="1706">
        <v>0.4</v>
      </c>
      <c r="Q90" s="1706">
        <v>0.5</v>
      </c>
      <c r="R90" s="1706">
        <v>0.7</v>
      </c>
      <c r="S90" s="1706">
        <v>0.7</v>
      </c>
      <c r="T90" s="1706">
        <v>0.7</v>
      </c>
      <c r="U90" s="1706">
        <v>1</v>
      </c>
      <c r="V90" s="1706">
        <v>1</v>
      </c>
      <c r="W90" s="1706">
        <v>1</v>
      </c>
      <c r="X90" s="990"/>
      <c r="Y90" s="990"/>
      <c r="Z90" s="990"/>
      <c r="AA90" s="990"/>
      <c r="AB90" s="990"/>
      <c r="AC90" s="1706"/>
      <c r="AD90" s="1706"/>
      <c r="AE90" s="1292"/>
      <c r="AF90" s="1534"/>
      <c r="AG90" s="174"/>
    </row>
    <row r="91" spans="1:38">
      <c r="A91" s="731"/>
      <c r="B91" s="731"/>
      <c r="C91" s="731"/>
      <c r="D91" s="731"/>
      <c r="E91" s="731"/>
      <c r="F91" s="731"/>
      <c r="G91" s="731"/>
      <c r="H91" s="731"/>
      <c r="I91" s="731"/>
      <c r="J91" s="1559"/>
      <c r="K91" s="1559"/>
      <c r="L91" s="1559"/>
      <c r="M91" s="1559"/>
      <c r="N91" s="1559"/>
      <c r="O91" s="1559"/>
      <c r="P91" s="1559"/>
      <c r="Q91" s="1559"/>
      <c r="R91" s="1559"/>
      <c r="S91" s="1559"/>
      <c r="T91" s="1559"/>
      <c r="U91" s="1559"/>
      <c r="V91" s="1559"/>
      <c r="W91" s="1559"/>
      <c r="X91" s="731"/>
      <c r="Y91" s="731"/>
      <c r="Z91" s="731"/>
      <c r="AA91" s="1538"/>
      <c r="AB91" s="1539"/>
      <c r="AC91" s="1540"/>
      <c r="AD91" s="1292"/>
      <c r="AE91" s="1292"/>
      <c r="AF91" s="1292"/>
      <c r="AG91" s="43"/>
      <c r="AH91" s="43"/>
      <c r="AI91" s="43"/>
      <c r="AJ91" s="43"/>
      <c r="AK91" s="43"/>
      <c r="AL91" s="43"/>
    </row>
    <row r="92" spans="1:38">
      <c r="A92" s="1342" t="s">
        <v>363</v>
      </c>
      <c r="B92" s="1343">
        <v>2004</v>
      </c>
      <c r="C92" s="1343">
        <v>2005</v>
      </c>
      <c r="D92" s="1343">
        <v>2006</v>
      </c>
      <c r="E92" s="1343">
        <v>2007</v>
      </c>
      <c r="F92" s="1343">
        <v>2008</v>
      </c>
      <c r="G92" s="1343">
        <v>2009</v>
      </c>
      <c r="H92" s="1343">
        <v>2010</v>
      </c>
      <c r="I92" s="1343">
        <v>2011</v>
      </c>
      <c r="J92" s="1343">
        <v>2012</v>
      </c>
      <c r="K92" s="1343">
        <v>2013</v>
      </c>
      <c r="L92" s="1343">
        <v>2014</v>
      </c>
      <c r="M92" s="1343">
        <v>2015</v>
      </c>
      <c r="N92" s="1343">
        <v>2016</v>
      </c>
      <c r="O92" s="1343">
        <v>2017</v>
      </c>
      <c r="P92" s="1344">
        <v>2018</v>
      </c>
      <c r="Q92" s="1344">
        <v>2019</v>
      </c>
      <c r="R92" s="1344">
        <v>2020</v>
      </c>
      <c r="S92" s="1344">
        <v>2021</v>
      </c>
      <c r="T92" s="1344">
        <v>2022</v>
      </c>
      <c r="U92" s="1344">
        <v>2023</v>
      </c>
      <c r="V92" s="1344">
        <v>2024</v>
      </c>
      <c r="W92" s="1344">
        <v>2025</v>
      </c>
      <c r="X92" s="731"/>
      <c r="Y92" s="731"/>
      <c r="Z92" s="731"/>
      <c r="AA92" s="1215"/>
      <c r="AB92" s="1533"/>
      <c r="AC92" s="1534"/>
      <c r="AD92" s="1292"/>
      <c r="AE92" s="1292"/>
      <c r="AF92" s="1292"/>
      <c r="AG92" s="43"/>
      <c r="AH92" s="43"/>
      <c r="AI92" s="43"/>
      <c r="AJ92" s="43"/>
      <c r="AK92" s="43"/>
      <c r="AL92" s="43"/>
    </row>
    <row r="93" spans="1:38">
      <c r="A93" s="1226" t="s">
        <v>364</v>
      </c>
      <c r="B93" s="1172"/>
      <c r="C93" s="1172"/>
      <c r="D93" s="1172"/>
      <c r="E93" s="1172"/>
      <c r="F93" s="1172"/>
      <c r="G93" s="1172"/>
      <c r="H93" s="1172"/>
      <c r="I93" s="1172"/>
      <c r="J93" s="1172"/>
      <c r="K93" s="1172"/>
      <c r="L93" s="1172"/>
      <c r="M93" s="1172"/>
      <c r="N93" s="1172"/>
      <c r="O93" s="1172"/>
      <c r="P93" s="1172"/>
      <c r="Q93" s="1172"/>
      <c r="R93" s="1172"/>
      <c r="S93" s="1172"/>
      <c r="T93" s="1172"/>
      <c r="U93" s="1172"/>
      <c r="V93" s="1172"/>
      <c r="W93" s="1172"/>
      <c r="X93" s="731"/>
      <c r="Y93" s="731"/>
      <c r="Z93" s="731"/>
      <c r="AA93" s="731"/>
      <c r="AB93" s="731"/>
      <c r="AC93" s="1181"/>
      <c r="AD93" s="1181"/>
      <c r="AE93" s="1181"/>
      <c r="AF93" s="1181"/>
    </row>
    <row r="94" spans="1:38">
      <c r="A94" s="1889" t="s">
        <v>365</v>
      </c>
      <c r="B94" s="1194">
        <v>0</v>
      </c>
      <c r="C94" s="1194">
        <v>0</v>
      </c>
      <c r="D94" s="1194">
        <v>0</v>
      </c>
      <c r="E94" s="1194">
        <v>7.65</v>
      </c>
      <c r="F94" s="1194">
        <v>74.141999999999996</v>
      </c>
      <c r="G94" s="1194">
        <v>80.706000000000003</v>
      </c>
      <c r="H94" s="1194">
        <v>37.167000000000002</v>
      </c>
      <c r="I94" s="1194">
        <v>36.725999999999999</v>
      </c>
      <c r="J94" s="1194">
        <v>69.41</v>
      </c>
      <c r="K94" s="1194">
        <v>242.946</v>
      </c>
      <c r="L94" s="1194">
        <v>202.48599999999999</v>
      </c>
      <c r="M94" s="1194">
        <v>500.67599999999999</v>
      </c>
      <c r="N94" s="1194">
        <v>489.63900000000001</v>
      </c>
      <c r="O94" s="1194">
        <v>473.94200000000001</v>
      </c>
      <c r="P94" s="1212">
        <v>468.40600000000001</v>
      </c>
      <c r="Q94" s="1212">
        <v>468.40600000000001</v>
      </c>
      <c r="R94" s="1212">
        <v>468.40600000000001</v>
      </c>
      <c r="S94" s="1212">
        <v>468.40600000000001</v>
      </c>
      <c r="T94" s="1212">
        <v>468.40600000000001</v>
      </c>
      <c r="U94" s="1212">
        <v>468.40600000000001</v>
      </c>
      <c r="V94" s="1212">
        <v>468.40600000000001</v>
      </c>
      <c r="W94" s="1212">
        <v>468.40600000000001</v>
      </c>
      <c r="X94" s="731"/>
      <c r="Y94" s="731"/>
      <c r="Z94" s="731"/>
      <c r="AA94" s="731"/>
      <c r="AB94" s="731"/>
      <c r="AC94" s="1181"/>
      <c r="AD94" s="1181"/>
      <c r="AE94" s="1525"/>
      <c r="AF94" s="1181"/>
    </row>
    <row r="95" spans="1:38">
      <c r="A95" s="1889" t="s">
        <v>366</v>
      </c>
      <c r="B95" s="1194">
        <v>1258.3920000000001</v>
      </c>
      <c r="C95" s="1194">
        <v>1247.6500000000001</v>
      </c>
      <c r="D95" s="1194">
        <v>1241.558</v>
      </c>
      <c r="E95" s="1194">
        <v>2033.703</v>
      </c>
      <c r="F95" s="1194">
        <v>2412.9249999999997</v>
      </c>
      <c r="G95" s="1194">
        <v>2505.6970000000001</v>
      </c>
      <c r="H95" s="1194">
        <v>3046.779</v>
      </c>
      <c r="I95" s="1194">
        <v>3116.8557919999998</v>
      </c>
      <c r="J95" s="1194">
        <v>3597.8986239999999</v>
      </c>
      <c r="K95" s="1194">
        <v>3783.2404000000001</v>
      </c>
      <c r="L95" s="1194">
        <v>3912.1806080000001</v>
      </c>
      <c r="M95" s="1194">
        <v>4417.7063479999997</v>
      </c>
      <c r="N95" s="1194">
        <v>4492.4620000000004</v>
      </c>
      <c r="O95" s="1194">
        <v>5289.8940000000002</v>
      </c>
      <c r="P95" s="1212">
        <v>5243.5216123159362</v>
      </c>
      <c r="Q95" s="1212">
        <v>5250.6779825009999</v>
      </c>
      <c r="R95" s="1212">
        <v>5368.6330543001995</v>
      </c>
      <c r="S95" s="1212">
        <v>5484.1932569486416</v>
      </c>
      <c r="T95" s="1212">
        <v>5607.2110388757646</v>
      </c>
      <c r="U95" s="1212">
        <v>5737.8538990956513</v>
      </c>
      <c r="V95" s="1212">
        <v>5868.4364794285639</v>
      </c>
      <c r="W95" s="1212">
        <v>5996.1144656519773</v>
      </c>
      <c r="X95" s="1533"/>
      <c r="Y95" s="1533"/>
      <c r="Z95" s="731"/>
      <c r="AA95" s="731"/>
      <c r="AB95" s="731"/>
      <c r="AC95" s="1181"/>
      <c r="AD95" s="1181"/>
      <c r="AE95" s="1525"/>
      <c r="AF95" s="1181"/>
    </row>
    <row r="96" spans="1:38">
      <c r="A96" s="1889" t="s">
        <v>367</v>
      </c>
      <c r="B96" s="1194">
        <v>106.429</v>
      </c>
      <c r="C96" s="1194">
        <v>92.368000000000009</v>
      </c>
      <c r="D96" s="1194">
        <v>78.088000000000008</v>
      </c>
      <c r="E96" s="1194">
        <v>0.14199999999999999</v>
      </c>
      <c r="F96" s="1194">
        <v>31.816000000000003</v>
      </c>
      <c r="G96" s="1194">
        <v>206.29600000000002</v>
      </c>
      <c r="H96" s="1194">
        <v>689.90200000000004</v>
      </c>
      <c r="I96" s="1194">
        <v>123.48599999999999</v>
      </c>
      <c r="J96" s="1194">
        <v>175.643</v>
      </c>
      <c r="K96" s="1194">
        <v>220.90300000000002</v>
      </c>
      <c r="L96" s="1194">
        <v>251.63500000000002</v>
      </c>
      <c r="M96" s="1194">
        <v>282.30699999999996</v>
      </c>
      <c r="N96" s="1194">
        <v>378.72200000000004</v>
      </c>
      <c r="O96" s="1194">
        <v>444.69300000000004</v>
      </c>
      <c r="P96" s="1212">
        <v>464.50700000000001</v>
      </c>
      <c r="Q96" s="1212">
        <v>464.50700000000001</v>
      </c>
      <c r="R96" s="1212">
        <v>464.50700000000001</v>
      </c>
      <c r="S96" s="1212">
        <v>464.50700000000001</v>
      </c>
      <c r="T96" s="1212">
        <v>464.50700000000001</v>
      </c>
      <c r="U96" s="1212">
        <v>464.50700000000001</v>
      </c>
      <c r="V96" s="1212">
        <v>464.50700000000001</v>
      </c>
      <c r="W96" s="1212">
        <v>464.50700000000001</v>
      </c>
      <c r="X96" s="731"/>
      <c r="Y96" s="731"/>
      <c r="Z96" s="731"/>
      <c r="AA96" s="731"/>
      <c r="AB96" s="731"/>
      <c r="AC96" s="1181"/>
      <c r="AD96" s="1181"/>
      <c r="AE96" s="1525"/>
      <c r="AF96" s="1181"/>
    </row>
    <row r="97" spans="1:32">
      <c r="A97" s="1228" t="s">
        <v>368</v>
      </c>
      <c r="B97" s="1187">
        <v>1364.8210000000001</v>
      </c>
      <c r="C97" s="1187">
        <v>1340.018</v>
      </c>
      <c r="D97" s="1187">
        <v>1319.646</v>
      </c>
      <c r="E97" s="1187">
        <v>2041.4950000000001</v>
      </c>
      <c r="F97" s="1187">
        <v>2518.8829999999994</v>
      </c>
      <c r="G97" s="1187">
        <v>2792.6990000000001</v>
      </c>
      <c r="H97" s="1187">
        <v>3773.848</v>
      </c>
      <c r="I97" s="1187">
        <v>3277.0677919999998</v>
      </c>
      <c r="J97" s="1187">
        <v>3842.9516239999998</v>
      </c>
      <c r="K97" s="1187">
        <v>4247.0893999999998</v>
      </c>
      <c r="L97" s="1187">
        <v>4366.3016080000007</v>
      </c>
      <c r="M97" s="1187">
        <v>5200.6893479999999</v>
      </c>
      <c r="N97" s="1187">
        <v>5360.8230000000003</v>
      </c>
      <c r="O97" s="1187">
        <v>6208.5290000000005</v>
      </c>
      <c r="P97" s="1188">
        <v>6176.4346123159357</v>
      </c>
      <c r="Q97" s="1188">
        <v>6183.5909825009994</v>
      </c>
      <c r="R97" s="1188">
        <v>6301.5460543001991</v>
      </c>
      <c r="S97" s="1188">
        <v>6417.1062569486412</v>
      </c>
      <c r="T97" s="1188">
        <v>6540.1240388757642</v>
      </c>
      <c r="U97" s="1188">
        <v>6670.7668990956508</v>
      </c>
      <c r="V97" s="1188">
        <v>6801.3494794285634</v>
      </c>
      <c r="W97" s="1188">
        <v>6929.0274656519769</v>
      </c>
      <c r="X97" s="731"/>
      <c r="Y97" s="731"/>
      <c r="Z97" s="731"/>
      <c r="AA97" s="731"/>
      <c r="AB97" s="731"/>
      <c r="AC97" s="1181"/>
      <c r="AD97" s="1181"/>
      <c r="AE97" s="1525"/>
      <c r="AF97" s="1181"/>
    </row>
    <row r="98" spans="1:32">
      <c r="A98" s="1889" t="s">
        <v>371</v>
      </c>
      <c r="B98" s="1194">
        <v>49.835000000000001</v>
      </c>
      <c r="C98" s="1194">
        <v>53.427</v>
      </c>
      <c r="D98" s="1194">
        <v>103.518</v>
      </c>
      <c r="E98" s="1194">
        <v>366.964</v>
      </c>
      <c r="F98" s="1194">
        <v>72.534000000000006</v>
      </c>
      <c r="G98" s="1194">
        <v>196.173</v>
      </c>
      <c r="H98" s="1194">
        <v>189.03799999999995</v>
      </c>
      <c r="I98" s="1194">
        <v>222.21899999999999</v>
      </c>
      <c r="J98" s="1194">
        <v>410.56700000000001</v>
      </c>
      <c r="K98" s="1194">
        <v>634.29</v>
      </c>
      <c r="L98" s="1194">
        <v>670.74099999999999</v>
      </c>
      <c r="M98" s="1194">
        <v>1126.5170000000001</v>
      </c>
      <c r="N98" s="1194">
        <v>1106.442</v>
      </c>
      <c r="O98" s="1194">
        <v>1172.115</v>
      </c>
      <c r="P98" s="1212">
        <v>1442.6640013202302</v>
      </c>
      <c r="Q98" s="1212">
        <v>1942.9891721899066</v>
      </c>
      <c r="R98" s="1212">
        <v>2259.4753333721992</v>
      </c>
      <c r="S98" s="1212">
        <v>2693.6957763739142</v>
      </c>
      <c r="T98" s="1212">
        <v>3134.8386494515212</v>
      </c>
      <c r="U98" s="1212">
        <v>3214.4334614864861</v>
      </c>
      <c r="V98" s="1212">
        <v>3000.8547290552569</v>
      </c>
      <c r="W98" s="1212">
        <v>2799.6784557483261</v>
      </c>
      <c r="X98" s="731"/>
      <c r="Y98" s="731"/>
      <c r="Z98" s="731"/>
      <c r="AA98" s="731"/>
      <c r="AB98" s="731"/>
      <c r="AC98" s="1181"/>
      <c r="AD98" s="1181"/>
      <c r="AE98" s="1525"/>
      <c r="AF98" s="1181"/>
    </row>
    <row r="99" spans="1:32">
      <c r="A99" s="1889" t="s">
        <v>370</v>
      </c>
      <c r="B99" s="1194">
        <v>54.155999999999999</v>
      </c>
      <c r="C99" s="1194">
        <v>36.188000000000002</v>
      </c>
      <c r="D99" s="1194">
        <v>45.05</v>
      </c>
      <c r="E99" s="1194">
        <v>22.707999999999998</v>
      </c>
      <c r="F99" s="1194">
        <v>94.224999999999994</v>
      </c>
      <c r="G99" s="1194">
        <v>45.543999999999997</v>
      </c>
      <c r="H99" s="1194">
        <v>41.628</v>
      </c>
      <c r="I99" s="1194">
        <v>59.673000000000002</v>
      </c>
      <c r="J99" s="1194">
        <v>38.399000000000001</v>
      </c>
      <c r="K99" s="1194">
        <v>62.667000000000002</v>
      </c>
      <c r="L99" s="1194">
        <v>95.051000000000002</v>
      </c>
      <c r="M99" s="1194">
        <v>168.03100000000001</v>
      </c>
      <c r="N99" s="1194">
        <v>116.965</v>
      </c>
      <c r="O99" s="1194">
        <v>169.12899999999999</v>
      </c>
      <c r="P99" s="1212">
        <v>230.90482410123676</v>
      </c>
      <c r="Q99" s="1212">
        <v>184.23185816859677</v>
      </c>
      <c r="R99" s="1212">
        <v>230.87514480221617</v>
      </c>
      <c r="S99" s="1212">
        <v>286.78822584914326</v>
      </c>
      <c r="T99" s="1212">
        <v>320.72404250409681</v>
      </c>
      <c r="U99" s="1212">
        <v>355.39761021071291</v>
      </c>
      <c r="V99" s="1212">
        <v>409.13303096829247</v>
      </c>
      <c r="W99" s="1212">
        <v>494.1078480399359</v>
      </c>
      <c r="X99" s="731"/>
      <c r="Y99" s="731"/>
      <c r="Z99" s="731"/>
      <c r="AA99" s="731"/>
      <c r="AB99" s="731"/>
      <c r="AC99" s="1181"/>
      <c r="AD99" s="1181"/>
      <c r="AE99" s="1525"/>
      <c r="AF99" s="1181"/>
    </row>
    <row r="100" spans="1:32">
      <c r="A100" s="1889" t="s">
        <v>369</v>
      </c>
      <c r="B100" s="1194">
        <v>116.495</v>
      </c>
      <c r="C100" s="1194">
        <v>149.80699999999999</v>
      </c>
      <c r="D100" s="1194">
        <v>142.69800000000001</v>
      </c>
      <c r="E100" s="1194">
        <v>168.89</v>
      </c>
      <c r="F100" s="1194">
        <v>173.625</v>
      </c>
      <c r="G100" s="1194">
        <v>296.404</v>
      </c>
      <c r="H100" s="1194">
        <v>105.069</v>
      </c>
      <c r="I100" s="1194">
        <v>139.10599999999999</v>
      </c>
      <c r="J100" s="1194">
        <v>137.375</v>
      </c>
      <c r="K100" s="1194">
        <v>148.661</v>
      </c>
      <c r="L100" s="1194">
        <v>145.02799999999999</v>
      </c>
      <c r="M100" s="1194">
        <v>212.97499999999999</v>
      </c>
      <c r="N100" s="1194">
        <v>270.35199999999998</v>
      </c>
      <c r="O100" s="1194">
        <v>256.57400000000001</v>
      </c>
      <c r="P100" s="1212">
        <v>332.12252051186414</v>
      </c>
      <c r="Q100" s="1212">
        <v>282.95073239178942</v>
      </c>
      <c r="R100" s="1212">
        <v>321.94135011547689</v>
      </c>
      <c r="S100" s="1212">
        <v>367.38647902502311</v>
      </c>
      <c r="T100" s="1212">
        <v>381.79993710087791</v>
      </c>
      <c r="U100" s="1212">
        <v>391.69229838058021</v>
      </c>
      <c r="V100" s="1212">
        <v>426.59844192456035</v>
      </c>
      <c r="W100" s="1212">
        <v>436.9142688769349</v>
      </c>
      <c r="X100" s="731"/>
      <c r="Y100" s="731"/>
      <c r="Z100" s="731"/>
      <c r="AA100" s="731"/>
      <c r="AB100" s="731"/>
      <c r="AC100" s="1181"/>
      <c r="AD100" s="1181"/>
      <c r="AE100" s="1525"/>
      <c r="AF100" s="1181"/>
    </row>
    <row r="101" spans="1:32">
      <c r="A101" s="1889" t="s">
        <v>92</v>
      </c>
      <c r="B101" s="1194">
        <v>40.866999999999997</v>
      </c>
      <c r="C101" s="1194">
        <v>23.012</v>
      </c>
      <c r="D101" s="1194">
        <v>35.143999999999998</v>
      </c>
      <c r="E101" s="1194">
        <v>42.869</v>
      </c>
      <c r="F101" s="1194">
        <v>57.356000000000002</v>
      </c>
      <c r="G101" s="1194">
        <v>63.872</v>
      </c>
      <c r="H101" s="1194">
        <v>6.0860000000000003</v>
      </c>
      <c r="I101" s="1194">
        <v>11.658999999999999</v>
      </c>
      <c r="J101" s="1194">
        <v>16.614000000000001</v>
      </c>
      <c r="K101" s="1194">
        <v>84.998000000000005</v>
      </c>
      <c r="L101" s="1194">
        <v>37.466999999999999</v>
      </c>
      <c r="M101" s="1194">
        <v>68.718000000000004</v>
      </c>
      <c r="N101" s="1194">
        <v>119.78100000000001</v>
      </c>
      <c r="O101" s="1194">
        <v>11.231999999999999</v>
      </c>
      <c r="P101" s="1212">
        <v>13.322704696091254</v>
      </c>
      <c r="Q101" s="1212">
        <v>10.769529321903573</v>
      </c>
      <c r="R101" s="1212">
        <v>11.657160812951348</v>
      </c>
      <c r="S101" s="1212">
        <v>12.685260325575767</v>
      </c>
      <c r="T101" s="1212">
        <v>12.598209324553734</v>
      </c>
      <c r="U101" s="1212">
        <v>12.375706360989364</v>
      </c>
      <c r="V101" s="1212">
        <v>12.929457470357942</v>
      </c>
      <c r="W101" s="1212">
        <v>12.723739733509388</v>
      </c>
      <c r="X101" s="731"/>
      <c r="Y101" s="731"/>
      <c r="Z101" s="731"/>
      <c r="AA101" s="731"/>
      <c r="AB101" s="731"/>
      <c r="AC101" s="1181"/>
      <c r="AD101" s="1181"/>
      <c r="AE101" s="1525"/>
      <c r="AF101" s="1181"/>
    </row>
    <row r="102" spans="1:32">
      <c r="A102" s="1889" t="s">
        <v>93</v>
      </c>
      <c r="B102" s="1194">
        <v>0</v>
      </c>
      <c r="C102" s="1194">
        <v>0</v>
      </c>
      <c r="D102" s="1194">
        <v>0</v>
      </c>
      <c r="E102" s="1194">
        <v>0</v>
      </c>
      <c r="F102" s="1194">
        <v>0</v>
      </c>
      <c r="G102" s="1194">
        <v>0</v>
      </c>
      <c r="H102" s="1194">
        <v>71.774000000000001</v>
      </c>
      <c r="I102" s="1194">
        <v>231.93320799999998</v>
      </c>
      <c r="J102" s="1194">
        <v>341.26037599999995</v>
      </c>
      <c r="K102" s="1194">
        <v>455.39559999999994</v>
      </c>
      <c r="L102" s="1194">
        <v>511.362392</v>
      </c>
      <c r="M102" s="1194">
        <v>842.10165199999983</v>
      </c>
      <c r="N102" s="1194">
        <v>781.22699999999986</v>
      </c>
      <c r="O102" s="1194">
        <v>873.94600000000014</v>
      </c>
      <c r="P102" s="1212">
        <v>746.10193203436643</v>
      </c>
      <c r="Q102" s="1212">
        <v>613.95121909884301</v>
      </c>
      <c r="R102" s="1212">
        <v>446.5740549180905</v>
      </c>
      <c r="S102" s="1212">
        <v>190.44882558656838</v>
      </c>
      <c r="T102" s="1212">
        <v>-83.842495622664273</v>
      </c>
      <c r="U102" s="1212">
        <v>-351.31534517362104</v>
      </c>
      <c r="V102" s="1212">
        <v>-351.31534517362104</v>
      </c>
      <c r="W102" s="1212">
        <v>-351.31534517362104</v>
      </c>
      <c r="X102" s="731"/>
      <c r="Y102" s="731"/>
      <c r="Z102" s="731"/>
      <c r="AA102" s="731"/>
      <c r="AB102" s="731"/>
      <c r="AC102" s="1181"/>
      <c r="AD102" s="1181"/>
      <c r="AE102" s="1525"/>
      <c r="AF102" s="1181"/>
    </row>
    <row r="103" spans="1:32">
      <c r="A103" s="1228" t="s">
        <v>372</v>
      </c>
      <c r="B103" s="1187">
        <v>1626.1740000000002</v>
      </c>
      <c r="C103" s="1187">
        <v>1602.452</v>
      </c>
      <c r="D103" s="1187">
        <v>1646.056</v>
      </c>
      <c r="E103" s="1187">
        <v>2642.9260000000004</v>
      </c>
      <c r="F103" s="1187">
        <v>2916.6229999999996</v>
      </c>
      <c r="G103" s="1187">
        <v>3394.692</v>
      </c>
      <c r="H103" s="1187">
        <v>4187.4430000000011</v>
      </c>
      <c r="I103" s="1187">
        <v>3941.6579999999994</v>
      </c>
      <c r="J103" s="1187">
        <v>4787.1670000000004</v>
      </c>
      <c r="K103" s="1187">
        <v>5633.1009999999997</v>
      </c>
      <c r="L103" s="1187">
        <v>5825.9510000000009</v>
      </c>
      <c r="M103" s="1187">
        <v>7619.0319999999992</v>
      </c>
      <c r="N103" s="1187">
        <v>7755.59</v>
      </c>
      <c r="O103" s="1187">
        <v>8691.5249999999996</v>
      </c>
      <c r="P103" s="1188">
        <v>8941.5505949797243</v>
      </c>
      <c r="Q103" s="1188">
        <v>9218.4834936720399</v>
      </c>
      <c r="R103" s="1188">
        <v>9572.0690983211316</v>
      </c>
      <c r="S103" s="1188">
        <v>9968.1108241088659</v>
      </c>
      <c r="T103" s="1188">
        <v>10306.242381634147</v>
      </c>
      <c r="U103" s="1188">
        <v>10293.350630360799</v>
      </c>
      <c r="V103" s="1188">
        <v>10299.54979367341</v>
      </c>
      <c r="W103" s="1188">
        <v>10321.136432877061</v>
      </c>
      <c r="X103" s="731"/>
      <c r="Y103" s="731"/>
      <c r="Z103" s="731"/>
      <c r="AA103" s="731"/>
      <c r="AB103" s="731"/>
      <c r="AC103" s="1181"/>
      <c r="AD103" s="1181"/>
      <c r="AE103" s="1525"/>
      <c r="AF103" s="1181"/>
    </row>
    <row r="104" spans="1:32">
      <c r="A104" s="1228" t="s">
        <v>373</v>
      </c>
      <c r="B104" s="1194"/>
      <c r="C104" s="1194"/>
      <c r="D104" s="1194"/>
      <c r="E104" s="1194"/>
      <c r="F104" s="1194"/>
      <c r="G104" s="1194"/>
      <c r="H104" s="1194"/>
      <c r="I104" s="1194"/>
      <c r="J104" s="1194"/>
      <c r="K104" s="1194"/>
      <c r="L104" s="1194"/>
      <c r="M104" s="1194"/>
      <c r="N104" s="1194"/>
      <c r="O104" s="1194"/>
      <c r="P104" s="1212"/>
      <c r="Q104" s="1212"/>
      <c r="R104" s="1212"/>
      <c r="S104" s="1212"/>
      <c r="T104" s="1212"/>
      <c r="U104" s="1212"/>
      <c r="V104" s="1212"/>
      <c r="W104" s="1212"/>
      <c r="X104" s="731"/>
      <c r="Y104" s="731"/>
      <c r="Z104" s="731"/>
      <c r="AA104" s="731"/>
      <c r="AB104" s="731"/>
      <c r="AC104" s="1181"/>
      <c r="AD104" s="1181"/>
      <c r="AE104" s="1525"/>
      <c r="AF104" s="1181"/>
    </row>
    <row r="105" spans="1:32">
      <c r="A105" s="1889" t="s">
        <v>378</v>
      </c>
      <c r="B105" s="1194">
        <v>258.00600000000003</v>
      </c>
      <c r="C105" s="1194">
        <v>223.90299999999999</v>
      </c>
      <c r="D105" s="1194">
        <v>241.31199999999998</v>
      </c>
      <c r="E105" s="1194">
        <v>322.803</v>
      </c>
      <c r="F105" s="1194">
        <v>591.34400000000005</v>
      </c>
      <c r="G105" s="1194">
        <v>1137.8699999999999</v>
      </c>
      <c r="H105" s="1194">
        <v>955.13900000000001</v>
      </c>
      <c r="I105" s="1194">
        <v>737.601</v>
      </c>
      <c r="J105" s="1194">
        <v>1246.6379999999999</v>
      </c>
      <c r="K105" s="1194">
        <v>1981.9259999999999</v>
      </c>
      <c r="L105" s="1194">
        <v>2209.2220000000002</v>
      </c>
      <c r="M105" s="1194">
        <v>3613.6010000000001</v>
      </c>
      <c r="N105" s="1194">
        <v>3825.48</v>
      </c>
      <c r="O105" s="1194">
        <v>3719.2429999999999</v>
      </c>
      <c r="P105" s="1212">
        <v>3527.7348000000002</v>
      </c>
      <c r="Q105" s="1212">
        <v>3527.7348000000002</v>
      </c>
      <c r="R105" s="1212">
        <v>3527.7348000000002</v>
      </c>
      <c r="S105" s="1212">
        <v>3527.7348000000002</v>
      </c>
      <c r="T105" s="1212">
        <v>3527.7348000000002</v>
      </c>
      <c r="U105" s="1212">
        <v>3527.7348000000002</v>
      </c>
      <c r="V105" s="1212">
        <v>3527.7348000000002</v>
      </c>
      <c r="W105" s="1212">
        <v>3527.7348000000002</v>
      </c>
      <c r="X105" s="731"/>
      <c r="Y105" s="731"/>
      <c r="Z105" s="731"/>
      <c r="AA105" s="731"/>
      <c r="AB105" s="731"/>
      <c r="AC105" s="1181"/>
      <c r="AD105" s="1181"/>
      <c r="AE105" s="1525"/>
      <c r="AF105" s="1181"/>
    </row>
    <row r="106" spans="1:32">
      <c r="A106" s="1889" t="s">
        <v>246</v>
      </c>
      <c r="B106" s="1194">
        <v>0</v>
      </c>
      <c r="C106" s="1194">
        <v>0</v>
      </c>
      <c r="D106" s="1194">
        <v>0</v>
      </c>
      <c r="E106" s="1194">
        <v>20</v>
      </c>
      <c r="F106" s="1194">
        <v>0</v>
      </c>
      <c r="G106" s="1194">
        <v>0</v>
      </c>
      <c r="H106" s="1194">
        <v>0</v>
      </c>
      <c r="I106" s="1194">
        <v>9.18</v>
      </c>
      <c r="J106" s="1194">
        <v>30.07</v>
      </c>
      <c r="K106" s="1194">
        <v>17.326000000000001</v>
      </c>
      <c r="L106" s="1194">
        <v>32.482999999999997</v>
      </c>
      <c r="M106" s="1194">
        <v>67.938999999999993</v>
      </c>
      <c r="N106" s="1194">
        <v>53.164000000000001</v>
      </c>
      <c r="O106" s="1194">
        <v>74.242999999999995</v>
      </c>
      <c r="P106" s="1212">
        <v>0</v>
      </c>
      <c r="Q106" s="1212">
        <v>0</v>
      </c>
      <c r="R106" s="1212">
        <v>0</v>
      </c>
      <c r="S106" s="1212">
        <v>0</v>
      </c>
      <c r="T106" s="1212">
        <v>0</v>
      </c>
      <c r="U106" s="1212">
        <v>0</v>
      </c>
      <c r="V106" s="1212">
        <v>0</v>
      </c>
      <c r="W106" s="1212">
        <v>0</v>
      </c>
      <c r="X106" s="731"/>
      <c r="Y106" s="731"/>
      <c r="Z106" s="731"/>
      <c r="AA106" s="731"/>
      <c r="AB106" s="731"/>
      <c r="AC106" s="1181"/>
      <c r="AD106" s="1181"/>
      <c r="AE106" s="1525"/>
      <c r="AF106" s="1181"/>
    </row>
    <row r="107" spans="1:32">
      <c r="A107" s="1889" t="s">
        <v>1202</v>
      </c>
      <c r="B107" s="1194">
        <v>101.21899999999999</v>
      </c>
      <c r="C107" s="1194">
        <v>66.53</v>
      </c>
      <c r="D107" s="1194">
        <v>47.046999999999997</v>
      </c>
      <c r="E107" s="1194">
        <v>57.701000000000001</v>
      </c>
      <c r="F107" s="1116">
        <v>133.15100000000001</v>
      </c>
      <c r="G107" s="1116">
        <v>78.353000000000009</v>
      </c>
      <c r="H107" s="1116">
        <v>76.375</v>
      </c>
      <c r="I107" s="1116">
        <v>63.298999999999999</v>
      </c>
      <c r="J107" s="1116">
        <v>79.010999999999996</v>
      </c>
      <c r="K107" s="1116">
        <v>98.234999999999999</v>
      </c>
      <c r="L107" s="1116">
        <v>90.602000000000004</v>
      </c>
      <c r="M107" s="1116">
        <v>115.727</v>
      </c>
      <c r="N107" s="1116">
        <v>137.71100000000001</v>
      </c>
      <c r="O107" s="1116">
        <v>138.93899999999999</v>
      </c>
      <c r="P107" s="1238">
        <v>176.05458761351159</v>
      </c>
      <c r="Q107" s="1238">
        <v>127.83884761609507</v>
      </c>
      <c r="R107" s="1238">
        <v>122.70576967064906</v>
      </c>
      <c r="S107" s="1238">
        <v>116.47614910633163</v>
      </c>
      <c r="T107" s="1238">
        <v>98.74224469710019</v>
      </c>
      <c r="U107" s="1238">
        <v>80.362799514184061</v>
      </c>
      <c r="V107" s="1238">
        <v>66.578766217284894</v>
      </c>
      <c r="W107" s="1238">
        <v>48.416105833822868</v>
      </c>
      <c r="X107" s="731"/>
      <c r="Y107" s="731"/>
      <c r="Z107" s="731"/>
      <c r="AA107" s="731"/>
      <c r="AB107" s="731"/>
      <c r="AC107" s="1181"/>
      <c r="AD107" s="1181"/>
      <c r="AE107" s="1525"/>
      <c r="AF107" s="1181"/>
    </row>
    <row r="108" spans="1:32">
      <c r="A108" s="1889" t="s">
        <v>379</v>
      </c>
      <c r="B108" s="1194">
        <v>383.23399999999998</v>
      </c>
      <c r="C108" s="1194">
        <v>401.84699999999998</v>
      </c>
      <c r="D108" s="1194">
        <v>421.74599999999998</v>
      </c>
      <c r="E108" s="1194">
        <v>563.3309999999999</v>
      </c>
      <c r="F108" s="1194">
        <v>560.93599999999992</v>
      </c>
      <c r="G108" s="1194">
        <v>585.02499999999998</v>
      </c>
      <c r="H108" s="1194">
        <v>1246.538</v>
      </c>
      <c r="I108" s="1194">
        <v>1178.0900000000001</v>
      </c>
      <c r="J108" s="1194">
        <v>1406.77</v>
      </c>
      <c r="K108" s="1194">
        <v>1435.0060000000001</v>
      </c>
      <c r="L108" s="1194">
        <v>1417.692</v>
      </c>
      <c r="M108" s="1194">
        <v>1205.6799999999996</v>
      </c>
      <c r="N108" s="1194">
        <v>1092.6380000000001</v>
      </c>
      <c r="O108" s="1194">
        <v>1355.7800000000002</v>
      </c>
      <c r="P108" s="1212">
        <v>1739.5299376786518</v>
      </c>
      <c r="Q108" s="1212">
        <v>1622.4819600072078</v>
      </c>
      <c r="R108" s="1212">
        <v>1645.1587975926986</v>
      </c>
      <c r="S108" s="1212">
        <v>1672.2820139238725</v>
      </c>
      <c r="T108" s="1212">
        <v>1677.3433124171061</v>
      </c>
      <c r="U108" s="1212">
        <v>1682.8310063266713</v>
      </c>
      <c r="V108" s="1212">
        <v>1702.8142029361823</v>
      </c>
      <c r="W108" s="1212">
        <v>1742.5635025232966</v>
      </c>
      <c r="X108" s="731"/>
      <c r="Y108" s="731"/>
      <c r="Z108" s="731"/>
      <c r="AA108" s="731"/>
      <c r="AB108" s="731"/>
      <c r="AC108" s="1181"/>
      <c r="AD108" s="1181"/>
      <c r="AE108" s="1525"/>
      <c r="AF108" s="1181"/>
    </row>
    <row r="109" spans="1:32">
      <c r="A109" s="1228" t="s">
        <v>377</v>
      </c>
      <c r="B109" s="1187">
        <v>883.71500000000003</v>
      </c>
      <c r="C109" s="1187">
        <v>910.17199999999991</v>
      </c>
      <c r="D109" s="1187">
        <v>935.95100000000002</v>
      </c>
      <c r="E109" s="1187">
        <v>1679.0909999999999</v>
      </c>
      <c r="F109" s="1187">
        <v>1632.1920000000002</v>
      </c>
      <c r="G109" s="1187">
        <v>1593.444</v>
      </c>
      <c r="H109" s="1187">
        <v>1909.3909999999998</v>
      </c>
      <c r="I109" s="1187">
        <v>1953.4260000000002</v>
      </c>
      <c r="J109" s="1187">
        <v>2024.7839999999999</v>
      </c>
      <c r="K109" s="1187">
        <v>2100.6170000000002</v>
      </c>
      <c r="L109" s="1187">
        <v>2075.9520000000002</v>
      </c>
      <c r="M109" s="1187">
        <v>2616.085</v>
      </c>
      <c r="N109" s="1187">
        <v>2646.5969999999998</v>
      </c>
      <c r="O109" s="1187">
        <v>3403.32</v>
      </c>
      <c r="P109" s="1188">
        <v>3498.2312696875615</v>
      </c>
      <c r="Q109" s="1188">
        <v>3940.4278860487366</v>
      </c>
      <c r="R109" s="1188">
        <v>4276.4697310577858</v>
      </c>
      <c r="S109" s="1188">
        <v>4651.6178610786619</v>
      </c>
      <c r="T109" s="1188">
        <v>5002.4220245199431</v>
      </c>
      <c r="U109" s="1188">
        <v>5002.4220245199431</v>
      </c>
      <c r="V109" s="1188">
        <v>5002.4220245199431</v>
      </c>
      <c r="W109" s="1188">
        <v>5002.4220245199431</v>
      </c>
      <c r="X109" s="731"/>
      <c r="Y109" s="731"/>
      <c r="Z109" s="731"/>
      <c r="AA109" s="731"/>
      <c r="AB109" s="731"/>
      <c r="AC109" s="1181"/>
      <c r="AD109" s="1181"/>
      <c r="AE109" s="1525"/>
      <c r="AF109" s="1181"/>
    </row>
    <row r="110" spans="1:32">
      <c r="A110" s="1889" t="s">
        <v>376</v>
      </c>
      <c r="B110" s="1194">
        <v>0</v>
      </c>
      <c r="C110" s="1194">
        <v>0</v>
      </c>
      <c r="D110" s="1194">
        <v>0</v>
      </c>
      <c r="E110" s="1194">
        <v>7.6109999999999998</v>
      </c>
      <c r="F110" s="1194">
        <v>7.6109999999999998</v>
      </c>
      <c r="G110" s="1194">
        <v>18.242999999999999</v>
      </c>
      <c r="H110" s="1194">
        <v>0</v>
      </c>
      <c r="I110" s="1194">
        <v>0</v>
      </c>
      <c r="J110" s="1194">
        <v>0</v>
      </c>
      <c r="K110" s="1194">
        <v>0</v>
      </c>
      <c r="L110" s="1194">
        <v>0</v>
      </c>
      <c r="M110" s="1194">
        <v>0</v>
      </c>
      <c r="N110" s="1194">
        <v>0</v>
      </c>
      <c r="O110" s="1194">
        <v>0</v>
      </c>
      <c r="P110" s="1212">
        <v>0</v>
      </c>
      <c r="Q110" s="1212">
        <v>0</v>
      </c>
      <c r="R110" s="1212">
        <v>0</v>
      </c>
      <c r="S110" s="1212">
        <v>0</v>
      </c>
      <c r="T110" s="1212">
        <v>0</v>
      </c>
      <c r="U110" s="1212">
        <v>0</v>
      </c>
      <c r="V110" s="1212">
        <v>0</v>
      </c>
      <c r="W110" s="1212">
        <v>0</v>
      </c>
      <c r="X110" s="731"/>
      <c r="Y110" s="731"/>
      <c r="Z110" s="731"/>
      <c r="AA110" s="731"/>
      <c r="AB110" s="731"/>
      <c r="AC110" s="1181"/>
      <c r="AD110" s="1181"/>
      <c r="AE110" s="1525"/>
      <c r="AF110" s="1181"/>
    </row>
    <row r="111" spans="1:32" s="43" customFormat="1">
      <c r="A111" s="1707" t="s">
        <v>380</v>
      </c>
      <c r="B111" s="1592">
        <v>1626.174</v>
      </c>
      <c r="C111" s="1592">
        <v>1602.4519999999998</v>
      </c>
      <c r="D111" s="1592">
        <v>1646.056</v>
      </c>
      <c r="E111" s="1592">
        <v>2642.9259999999999</v>
      </c>
      <c r="F111" s="1592">
        <v>2917.6230000000005</v>
      </c>
      <c r="G111" s="1592">
        <v>3394.692</v>
      </c>
      <c r="H111" s="1592">
        <v>4187.4430000000002</v>
      </c>
      <c r="I111" s="1592">
        <v>3941.5960000000005</v>
      </c>
      <c r="J111" s="1592">
        <v>4787.2729999999992</v>
      </c>
      <c r="K111" s="1592">
        <v>5633.1100000000006</v>
      </c>
      <c r="L111" s="1592">
        <v>5825.9510000000009</v>
      </c>
      <c r="M111" s="1592">
        <v>7619.0319999999992</v>
      </c>
      <c r="N111" s="1592">
        <v>7755.59</v>
      </c>
      <c r="O111" s="1592">
        <v>8691.5249999999996</v>
      </c>
      <c r="P111" s="1648">
        <v>8941.5505949797262</v>
      </c>
      <c r="Q111" s="1648">
        <v>9218.4834936720399</v>
      </c>
      <c r="R111" s="1648">
        <v>9572.0690983211352</v>
      </c>
      <c r="S111" s="1648">
        <v>9968.1108241088659</v>
      </c>
      <c r="T111" s="1648">
        <v>10306.242381634149</v>
      </c>
      <c r="U111" s="1648">
        <v>10293.350630360799</v>
      </c>
      <c r="V111" s="1648">
        <v>10299.54979367341</v>
      </c>
      <c r="W111" s="1648">
        <v>10321.136432877061</v>
      </c>
      <c r="X111" s="990"/>
      <c r="Y111" s="990"/>
      <c r="Z111" s="990"/>
      <c r="AA111" s="990"/>
      <c r="AB111" s="990"/>
      <c r="AC111" s="1292"/>
      <c r="AD111" s="1292"/>
      <c r="AE111" s="1708"/>
      <c r="AF111" s="1292"/>
    </row>
    <row r="112" spans="1:32" ht="12.75" customHeight="1">
      <c r="A112" s="731"/>
      <c r="B112" s="1169"/>
      <c r="C112" s="1169"/>
      <c r="D112" s="1169"/>
      <c r="E112" s="1169"/>
      <c r="F112" s="1169"/>
      <c r="G112" s="1169"/>
      <c r="H112" s="1169"/>
      <c r="I112" s="1169"/>
      <c r="J112" s="1169"/>
      <c r="K112" s="1169"/>
      <c r="L112" s="1169"/>
      <c r="M112" s="1169"/>
      <c r="N112" s="1169"/>
      <c r="O112" s="1169"/>
      <c r="P112" s="1169"/>
      <c r="Q112" s="1169"/>
      <c r="R112" s="1169"/>
      <c r="S112" s="1169"/>
      <c r="T112" s="1169"/>
      <c r="U112" s="1169"/>
      <c r="V112" s="1169"/>
      <c r="W112" s="1169"/>
      <c r="X112" s="731"/>
      <c r="Y112" s="731"/>
      <c r="Z112" s="731"/>
      <c r="AA112" s="731"/>
      <c r="AB112" s="731"/>
      <c r="AC112" s="1181"/>
      <c r="AD112" s="1181"/>
      <c r="AE112" s="1181"/>
      <c r="AF112" s="1181"/>
    </row>
    <row r="113" spans="1:32">
      <c r="A113" s="1342" t="s">
        <v>381</v>
      </c>
      <c r="B113" s="1343">
        <v>2004</v>
      </c>
      <c r="C113" s="1343">
        <v>2005</v>
      </c>
      <c r="D113" s="1343">
        <v>2006</v>
      </c>
      <c r="E113" s="1343">
        <v>2007</v>
      </c>
      <c r="F113" s="1343">
        <v>2008</v>
      </c>
      <c r="G113" s="1343">
        <v>2009</v>
      </c>
      <c r="H113" s="1343">
        <v>2010</v>
      </c>
      <c r="I113" s="1343">
        <v>2011</v>
      </c>
      <c r="J113" s="1343">
        <v>2012</v>
      </c>
      <c r="K113" s="1343">
        <v>2013</v>
      </c>
      <c r="L113" s="1343">
        <v>2014</v>
      </c>
      <c r="M113" s="1343">
        <v>2015</v>
      </c>
      <c r="N113" s="1343">
        <v>2016</v>
      </c>
      <c r="O113" s="1343">
        <v>2017</v>
      </c>
      <c r="P113" s="1344">
        <v>2018</v>
      </c>
      <c r="Q113" s="1344">
        <v>2019</v>
      </c>
      <c r="R113" s="1344">
        <v>2020</v>
      </c>
      <c r="S113" s="1344">
        <v>2021</v>
      </c>
      <c r="T113" s="1344">
        <v>2022</v>
      </c>
      <c r="U113" s="1344">
        <v>2023</v>
      </c>
      <c r="V113" s="1344">
        <v>2024</v>
      </c>
      <c r="W113" s="1344">
        <v>2025</v>
      </c>
      <c r="X113" s="731"/>
      <c r="Y113" s="731"/>
      <c r="Z113" s="731"/>
      <c r="AA113" s="731"/>
      <c r="AB113" s="731"/>
      <c r="AC113" s="1181"/>
      <c r="AD113" s="1181"/>
      <c r="AE113" s="1181"/>
      <c r="AF113" s="1181"/>
    </row>
    <row r="114" spans="1:32">
      <c r="A114" s="1229" t="s">
        <v>1429</v>
      </c>
      <c r="B114" s="1230"/>
      <c r="C114" s="1230">
        <v>35.701999999999963</v>
      </c>
      <c r="D114" s="1230">
        <v>172.50199999999998</v>
      </c>
      <c r="E114" s="1230">
        <v>198.76599999999985</v>
      </c>
      <c r="F114" s="1230">
        <v>-48.793999999999926</v>
      </c>
      <c r="G114" s="1230">
        <v>-71.86500000000008</v>
      </c>
      <c r="H114" s="1230">
        <v>98.071999999999832</v>
      </c>
      <c r="I114" s="1230">
        <v>142.29099999999985</v>
      </c>
      <c r="J114" s="1230">
        <v>126.61100000000016</v>
      </c>
      <c r="K114" s="1230">
        <v>72.949999999999804</v>
      </c>
      <c r="L114" s="1230">
        <v>135.00200000000004</v>
      </c>
      <c r="M114" s="1230">
        <v>317.23799999999966</v>
      </c>
      <c r="N114" s="1230">
        <v>199.43399999999997</v>
      </c>
      <c r="O114" s="1230">
        <v>283.88800000000009</v>
      </c>
      <c r="P114" s="1231">
        <v>667.49044947926961</v>
      </c>
      <c r="Q114" s="1231">
        <v>884.3932327223489</v>
      </c>
      <c r="R114" s="1231">
        <v>1120.1394833634986</v>
      </c>
      <c r="S114" s="1231">
        <v>1250.4937667362549</v>
      </c>
      <c r="T114" s="1231">
        <v>1169.3472114709386</v>
      </c>
      <c r="U114" s="1231">
        <v>1111.6790818570255</v>
      </c>
      <c r="V114" s="1231">
        <v>1192.3140876252887</v>
      </c>
      <c r="W114" s="1231">
        <v>1316.7363923376724</v>
      </c>
      <c r="X114" s="731"/>
      <c r="Y114" s="731"/>
      <c r="Z114" s="731"/>
      <c r="AA114" s="731"/>
      <c r="AB114" s="731"/>
      <c r="AC114" s="1181"/>
      <c r="AD114" s="1181"/>
      <c r="AE114" s="1181"/>
      <c r="AF114" s="1181"/>
    </row>
    <row r="115" spans="1:32">
      <c r="A115" s="1891" t="s">
        <v>382</v>
      </c>
      <c r="B115" s="1194"/>
      <c r="C115" s="1194">
        <v>77.599999999999994</v>
      </c>
      <c r="D115" s="1194">
        <v>87.3</v>
      </c>
      <c r="E115" s="1194">
        <v>140.09100000000001</v>
      </c>
      <c r="F115" s="1194">
        <v>191.21400000000003</v>
      </c>
      <c r="G115" s="1194">
        <v>202.506</v>
      </c>
      <c r="H115" s="1194">
        <v>277.01599999999996</v>
      </c>
      <c r="I115" s="1194">
        <v>330.35499999999996</v>
      </c>
      <c r="J115" s="1194">
        <v>351.62699999999995</v>
      </c>
      <c r="K115" s="1194">
        <v>452.95</v>
      </c>
      <c r="L115" s="1194">
        <v>448.28499999999997</v>
      </c>
      <c r="M115" s="1194">
        <v>599.029</v>
      </c>
      <c r="N115" s="1194">
        <v>723.76099999999997</v>
      </c>
      <c r="O115" s="1194">
        <v>737.91100000000006</v>
      </c>
      <c r="P115" s="1212">
        <v>1019.6840117796428</v>
      </c>
      <c r="Q115" s="1212">
        <v>1097.536074173019</v>
      </c>
      <c r="R115" s="1212">
        <v>1236.2672585030962</v>
      </c>
      <c r="S115" s="1212">
        <v>1357.053834133349</v>
      </c>
      <c r="T115" s="1212">
        <v>1326.0731553426417</v>
      </c>
      <c r="U115" s="1212">
        <v>1296.2632905262108</v>
      </c>
      <c r="V115" s="1212">
        <v>1391.6686373707016</v>
      </c>
      <c r="W115" s="1212">
        <v>1536.098240198324</v>
      </c>
      <c r="X115" s="731"/>
      <c r="Y115" s="731"/>
      <c r="Z115" s="731"/>
      <c r="AA115" s="731"/>
      <c r="AB115" s="731"/>
      <c r="AC115" s="1181"/>
      <c r="AD115" s="1181"/>
      <c r="AE115" s="1181"/>
      <c r="AF115" s="1181"/>
    </row>
    <row r="116" spans="1:32">
      <c r="A116" s="1891" t="s">
        <v>383</v>
      </c>
      <c r="B116" s="1194"/>
      <c r="C116" s="1194">
        <v>-13.564999999999998</v>
      </c>
      <c r="D116" s="1194">
        <v>-13.468999999999994</v>
      </c>
      <c r="E116" s="1194">
        <v>160.66399999999987</v>
      </c>
      <c r="F116" s="1194">
        <v>-30.394999999999982</v>
      </c>
      <c r="G116" s="1194">
        <v>-96.54200000000003</v>
      </c>
      <c r="H116" s="1194">
        <v>183.60699999999991</v>
      </c>
      <c r="I116" s="1194">
        <v>-198.31420799999978</v>
      </c>
      <c r="J116" s="1194">
        <v>-9.6651679999999658</v>
      </c>
      <c r="K116" s="1194">
        <v>-173.23622400000005</v>
      </c>
      <c r="L116" s="1194">
        <v>-28.566792000000191</v>
      </c>
      <c r="M116" s="1194">
        <v>-225.34625999999969</v>
      </c>
      <c r="N116" s="1194">
        <v>10.618652000000225</v>
      </c>
      <c r="O116" s="1194">
        <v>-126.29800000000012</v>
      </c>
      <c r="P116" s="1212">
        <v>39.776543948604512</v>
      </c>
      <c r="Q116" s="1212">
        <v>65.284924693565472</v>
      </c>
      <c r="R116" s="1212">
        <v>98.399387972443037</v>
      </c>
      <c r="S116" s="1212">
        <v>174.63251562928076</v>
      </c>
      <c r="T116" s="1212">
        <v>213.35649156344834</v>
      </c>
      <c r="U116" s="1212">
        <v>210.23767225485199</v>
      </c>
      <c r="V116" s="1212">
        <v>-82.996152098316543</v>
      </c>
      <c r="W116" s="1212">
        <v>-73.498287083517425</v>
      </c>
      <c r="X116" s="731"/>
      <c r="Y116" s="731"/>
      <c r="Z116" s="731"/>
      <c r="AA116" s="731"/>
      <c r="AB116" s="731"/>
      <c r="AC116" s="1181"/>
      <c r="AD116" s="1181"/>
      <c r="AE116" s="1181"/>
      <c r="AF116" s="1181"/>
    </row>
    <row r="117" spans="1:32">
      <c r="A117" s="1233" t="s">
        <v>1430</v>
      </c>
      <c r="B117" s="1187"/>
      <c r="C117" s="1187">
        <v>99.736999999999966</v>
      </c>
      <c r="D117" s="1187">
        <v>246.33299999999997</v>
      </c>
      <c r="E117" s="1187">
        <v>499.52099999999973</v>
      </c>
      <c r="F117" s="1187">
        <v>112.02500000000012</v>
      </c>
      <c r="G117" s="1187">
        <v>34.098999999999876</v>
      </c>
      <c r="H117" s="1187">
        <v>558.69499999999971</v>
      </c>
      <c r="I117" s="1187">
        <v>274.33179200000006</v>
      </c>
      <c r="J117" s="1187">
        <v>468.57283200000018</v>
      </c>
      <c r="K117" s="1187">
        <v>352.6637759999997</v>
      </c>
      <c r="L117" s="1187">
        <v>554.72020799999984</v>
      </c>
      <c r="M117" s="1187">
        <v>690.92073999999991</v>
      </c>
      <c r="N117" s="1187">
        <v>933.81365200000016</v>
      </c>
      <c r="O117" s="1187">
        <v>895.50100000000009</v>
      </c>
      <c r="P117" s="1188">
        <v>1726.9510052075168</v>
      </c>
      <c r="Q117" s="1188">
        <v>2047.2142315889334</v>
      </c>
      <c r="R117" s="1188">
        <v>2454.8061298390376</v>
      </c>
      <c r="S117" s="1188">
        <v>2782.1801164988847</v>
      </c>
      <c r="T117" s="1188">
        <v>2708.7768583770289</v>
      </c>
      <c r="U117" s="1188">
        <v>2618.180044638088</v>
      </c>
      <c r="V117" s="1188">
        <v>2500.9865728976738</v>
      </c>
      <c r="W117" s="1188">
        <v>2779.3363454524788</v>
      </c>
      <c r="X117" s="731"/>
      <c r="Y117" s="731"/>
      <c r="Z117" s="731"/>
      <c r="AA117" s="731"/>
      <c r="AB117" s="731"/>
      <c r="AC117" s="1181"/>
      <c r="AD117" s="1181"/>
      <c r="AE117" s="1181"/>
      <c r="AF117" s="1181"/>
    </row>
    <row r="118" spans="1:32">
      <c r="A118" s="1232" t="s">
        <v>385</v>
      </c>
      <c r="B118" s="1194"/>
      <c r="C118" s="1194">
        <v>-66.858000000000033</v>
      </c>
      <c r="D118" s="1194">
        <v>-81.207999999999899</v>
      </c>
      <c r="E118" s="1194">
        <v>-932.23599999999999</v>
      </c>
      <c r="F118" s="1194">
        <v>-519.18600000000004</v>
      </c>
      <c r="G118" s="1194">
        <v>-457.29100000000005</v>
      </c>
      <c r="H118" s="1194">
        <v>-334.346</v>
      </c>
      <c r="I118" s="1194">
        <v>-454.16899999999998</v>
      </c>
      <c r="J118" s="1194">
        <v>-631.06600000000003</v>
      </c>
      <c r="K118" s="1194">
        <v>-679.84099999999989</v>
      </c>
      <c r="L118" s="1194">
        <v>-658.44399999999996</v>
      </c>
      <c r="M118" s="1194">
        <v>-812.029</v>
      </c>
      <c r="N118" s="1194">
        <v>-840.81400000000008</v>
      </c>
      <c r="O118" s="1194">
        <v>-976.98</v>
      </c>
      <c r="P118" s="1212">
        <v>-1031.7756240955787</v>
      </c>
      <c r="Q118" s="1212">
        <v>-1104.6924443580826</v>
      </c>
      <c r="R118" s="1212">
        <v>-1354.2223303022959</v>
      </c>
      <c r="S118" s="1212">
        <v>-1472.6140367817911</v>
      </c>
      <c r="T118" s="1212">
        <v>-1449.0909372697647</v>
      </c>
      <c r="U118" s="1212">
        <v>-1426.9061507460974</v>
      </c>
      <c r="V118" s="1212">
        <v>-1522.2512177036142</v>
      </c>
      <c r="W118" s="1212">
        <v>-1663.7762264217374</v>
      </c>
      <c r="X118" s="731"/>
      <c r="Y118" s="731"/>
      <c r="Z118" s="731"/>
      <c r="AA118" s="731"/>
      <c r="AB118" s="731"/>
      <c r="AC118" s="1181"/>
      <c r="AD118" s="1181"/>
      <c r="AE118" s="1181"/>
      <c r="AF118" s="1181"/>
    </row>
    <row r="119" spans="1:32">
      <c r="A119" s="1232" t="s">
        <v>384</v>
      </c>
      <c r="B119" s="1194"/>
      <c r="C119" s="1931">
        <v>-35.701999999999963</v>
      </c>
      <c r="D119" s="1931">
        <v>-172.50199999999998</v>
      </c>
      <c r="E119" s="1931">
        <v>-198.76599999999985</v>
      </c>
      <c r="F119" s="1194">
        <v>48.793999999999969</v>
      </c>
      <c r="G119" s="1194">
        <v>71.865000000000038</v>
      </c>
      <c r="H119" s="1194">
        <v>120.55900000000003</v>
      </c>
      <c r="I119" s="1194">
        <v>-166.40599999999989</v>
      </c>
      <c r="J119" s="1194">
        <v>-12.259999999999962</v>
      </c>
      <c r="K119" s="1194">
        <v>-381.81700000000001</v>
      </c>
      <c r="L119" s="1194">
        <v>95.274999999999949</v>
      </c>
      <c r="M119" s="1194">
        <v>-125.77300000000008</v>
      </c>
      <c r="N119" s="1194">
        <v>-159.14699999999988</v>
      </c>
      <c r="O119" s="1194">
        <v>-108.57700000000007</v>
      </c>
      <c r="P119" s="1212">
        <v>-263.57117979170789</v>
      </c>
      <c r="Q119" s="1212">
        <v>-442.19661636117456</v>
      </c>
      <c r="R119" s="1212">
        <v>-784.09763835444858</v>
      </c>
      <c r="S119" s="1212">
        <v>-875.34563671537865</v>
      </c>
      <c r="T119" s="1212">
        <v>-818.54304802965748</v>
      </c>
      <c r="U119" s="1212">
        <v>-1111.6790818570257</v>
      </c>
      <c r="V119" s="1212">
        <v>-1192.3140876252887</v>
      </c>
      <c r="W119" s="1212">
        <v>-1316.7363923376729</v>
      </c>
      <c r="X119" s="731"/>
      <c r="Y119" s="731"/>
      <c r="Z119" s="731"/>
      <c r="AA119" s="731"/>
      <c r="AB119" s="731"/>
      <c r="AC119" s="1181"/>
      <c r="AD119" s="1181"/>
      <c r="AE119" s="1181"/>
      <c r="AF119" s="1181"/>
    </row>
    <row r="120" spans="1:32">
      <c r="A120" s="1232" t="s">
        <v>1431</v>
      </c>
      <c r="B120" s="1194"/>
      <c r="C120" s="1931">
        <v>26.45699999999988</v>
      </c>
      <c r="D120" s="1931">
        <v>62.245000000000118</v>
      </c>
      <c r="E120" s="1931">
        <v>393.25999999999976</v>
      </c>
      <c r="F120" s="1194">
        <v>-46.898999999999987</v>
      </c>
      <c r="G120" s="1194">
        <v>-47.480999999999995</v>
      </c>
      <c r="H120" s="1194">
        <v>115.55899999999997</v>
      </c>
      <c r="I120" s="1194">
        <v>-29.649000000000001</v>
      </c>
      <c r="J120" s="1194">
        <v>-42.993000000000166</v>
      </c>
      <c r="K120" s="1194">
        <v>226.44999999999982</v>
      </c>
      <c r="L120" s="1194">
        <v>-377.99199999999996</v>
      </c>
      <c r="M120" s="1194">
        <v>294.9369999999999</v>
      </c>
      <c r="N120" s="1194">
        <v>-129.57399999999984</v>
      </c>
      <c r="O120" s="1194">
        <v>74.555000000000064</v>
      </c>
      <c r="P120" s="1212">
        <v>-309.00800000000004</v>
      </c>
      <c r="Q120" s="1212">
        <v>0</v>
      </c>
      <c r="R120" s="1212">
        <v>0</v>
      </c>
      <c r="S120" s="1212">
        <v>0</v>
      </c>
      <c r="T120" s="1212">
        <v>0</v>
      </c>
      <c r="U120" s="1212">
        <v>0</v>
      </c>
      <c r="V120" s="1212">
        <v>0</v>
      </c>
      <c r="W120" s="1212">
        <v>0</v>
      </c>
      <c r="X120" s="731"/>
      <c r="Y120" s="731"/>
      <c r="Z120" s="731"/>
      <c r="AA120" s="731"/>
      <c r="AB120" s="731"/>
      <c r="AC120" s="1181"/>
      <c r="AD120" s="1181"/>
      <c r="AE120" s="1181"/>
      <c r="AF120" s="1181"/>
    </row>
    <row r="121" spans="1:32">
      <c r="A121" s="1232" t="s">
        <v>1452</v>
      </c>
      <c r="B121" s="1194"/>
      <c r="C121" s="1931">
        <v>0</v>
      </c>
      <c r="D121" s="1931">
        <v>-36.466000000000001</v>
      </c>
      <c r="E121" s="1931">
        <v>342.26900000000001</v>
      </c>
      <c r="F121" s="1194">
        <v>0</v>
      </c>
      <c r="G121" s="1194">
        <v>-1.8990000000000009</v>
      </c>
      <c r="H121" s="1194">
        <v>0</v>
      </c>
      <c r="I121" s="1194">
        <v>97.798999999999978</v>
      </c>
      <c r="J121" s="1194">
        <v>0</v>
      </c>
      <c r="K121" s="1194">
        <v>158.25</v>
      </c>
      <c r="L121" s="1194">
        <v>123.05000000000007</v>
      </c>
      <c r="M121" s="1194">
        <v>84.910999999999945</v>
      </c>
      <c r="N121" s="1194">
        <v>119.75999999999999</v>
      </c>
      <c r="O121" s="1194">
        <v>506.85800000000006</v>
      </c>
      <c r="P121" s="1212">
        <v>0</v>
      </c>
      <c r="Q121" s="1212">
        <v>0</v>
      </c>
      <c r="R121" s="1212">
        <v>0</v>
      </c>
      <c r="S121" s="1212">
        <v>0</v>
      </c>
      <c r="T121" s="1212">
        <v>0</v>
      </c>
      <c r="U121" s="1212">
        <v>0</v>
      </c>
      <c r="V121" s="1212">
        <v>0</v>
      </c>
      <c r="W121" s="1212">
        <v>0</v>
      </c>
      <c r="X121" s="731"/>
      <c r="Y121" s="731"/>
      <c r="Z121" s="731"/>
      <c r="AA121" s="731"/>
      <c r="AB121" s="731"/>
      <c r="AC121" s="1181"/>
      <c r="AD121" s="1181"/>
      <c r="AE121" s="1181"/>
      <c r="AF121" s="1181"/>
    </row>
    <row r="122" spans="1:32">
      <c r="A122" s="1232" t="s">
        <v>833</v>
      </c>
      <c r="B122" s="1194"/>
      <c r="C122" s="1194"/>
      <c r="D122" s="1194"/>
      <c r="E122" s="1194"/>
      <c r="F122" s="1194">
        <v>-157.70499999999993</v>
      </c>
      <c r="G122" s="1194">
        <v>-22.180000000000216</v>
      </c>
      <c r="H122" s="1194">
        <v>-284.87099999999987</v>
      </c>
      <c r="I122" s="1194">
        <v>528.75020799999993</v>
      </c>
      <c r="J122" s="1194">
        <v>-102.77483199999985</v>
      </c>
      <c r="K122" s="1194">
        <v>-187.36777600000039</v>
      </c>
      <c r="L122" s="1194">
        <v>72.536791999999906</v>
      </c>
      <c r="M122" s="1194">
        <v>-1050.3897399999996</v>
      </c>
      <c r="N122" s="1194">
        <v>-156.03165200000024</v>
      </c>
      <c r="O122" s="1194">
        <v>-219.44600000000025</v>
      </c>
      <c r="P122" s="1212">
        <v>339.46100000000035</v>
      </c>
      <c r="Q122" s="1212">
        <v>0</v>
      </c>
      <c r="R122" s="1212">
        <v>0</v>
      </c>
      <c r="S122" s="1212">
        <v>0</v>
      </c>
      <c r="T122" s="1212">
        <v>0</v>
      </c>
      <c r="U122" s="1212">
        <v>0</v>
      </c>
      <c r="V122" s="1212">
        <v>0</v>
      </c>
      <c r="W122" s="1212">
        <v>0</v>
      </c>
      <c r="X122" s="731"/>
      <c r="Y122" s="731"/>
      <c r="Z122" s="731"/>
      <c r="AA122" s="731"/>
      <c r="AB122" s="731"/>
      <c r="AC122" s="1181"/>
      <c r="AD122" s="1181"/>
      <c r="AE122" s="1181"/>
      <c r="AF122" s="1181"/>
    </row>
    <row r="123" spans="1:32" s="43" customFormat="1">
      <c r="A123" s="1709" t="s">
        <v>386</v>
      </c>
      <c r="B123" s="1592"/>
      <c r="C123" s="1592">
        <v>23.633999999999851</v>
      </c>
      <c r="D123" s="1592">
        <v>18.402000000000193</v>
      </c>
      <c r="E123" s="1592">
        <v>104.04799999999966</v>
      </c>
      <c r="F123" s="1592">
        <v>-562.97099999999989</v>
      </c>
      <c r="G123" s="1592">
        <v>-422.88700000000034</v>
      </c>
      <c r="H123" s="1592">
        <v>175.59599999999983</v>
      </c>
      <c r="I123" s="1592">
        <v>250.6570000000001</v>
      </c>
      <c r="J123" s="1592">
        <v>-320.52099999999984</v>
      </c>
      <c r="K123" s="1592">
        <v>-511.66200000000083</v>
      </c>
      <c r="L123" s="1592">
        <v>-190.85400000000013</v>
      </c>
      <c r="M123" s="1592">
        <v>-917.423</v>
      </c>
      <c r="N123" s="1592">
        <v>-231.99299999999988</v>
      </c>
      <c r="O123" s="1592">
        <v>171.91099999999989</v>
      </c>
      <c r="P123" s="1648">
        <v>462.05720132023055</v>
      </c>
      <c r="Q123" s="1648">
        <v>500.32517086967624</v>
      </c>
      <c r="R123" s="1648">
        <v>316.48616118229313</v>
      </c>
      <c r="S123" s="1648">
        <v>434.2204430017149</v>
      </c>
      <c r="T123" s="1648">
        <v>441.14287307760674</v>
      </c>
      <c r="U123" s="1648">
        <v>79.594812034964889</v>
      </c>
      <c r="V123" s="1648">
        <v>-213.57873243122913</v>
      </c>
      <c r="W123" s="1648">
        <v>-201.17627330693153</v>
      </c>
      <c r="X123" s="990"/>
      <c r="Y123" s="990"/>
      <c r="Z123" s="990"/>
      <c r="AA123" s="990"/>
      <c r="AB123" s="990"/>
      <c r="AC123" s="1292"/>
      <c r="AD123" s="1292"/>
      <c r="AE123" s="1292"/>
      <c r="AF123" s="1292"/>
    </row>
    <row r="124" spans="1:32" ht="12.75" customHeight="1">
      <c r="A124" s="990"/>
      <c r="B124" s="990"/>
      <c r="C124" s="990"/>
      <c r="D124" s="990"/>
      <c r="E124" s="990"/>
      <c r="F124" s="990"/>
      <c r="G124" s="990"/>
      <c r="H124" s="990"/>
      <c r="I124" s="990"/>
      <c r="J124" s="990"/>
      <c r="K124" s="990"/>
      <c r="L124" s="990"/>
      <c r="M124" s="1591"/>
      <c r="N124" s="1591"/>
      <c r="O124" s="1591"/>
      <c r="P124" s="1591"/>
      <c r="Q124" s="990"/>
      <c r="R124" s="990"/>
      <c r="S124" s="990"/>
      <c r="T124" s="990"/>
      <c r="U124" s="990"/>
      <c r="V124" s="990"/>
      <c r="W124" s="990"/>
      <c r="X124" s="731"/>
      <c r="Y124" s="731"/>
      <c r="Z124" s="731"/>
      <c r="AA124" s="731"/>
      <c r="AB124" s="731"/>
      <c r="AC124" s="1181"/>
      <c r="AD124" s="1181"/>
      <c r="AE124" s="1181"/>
      <c r="AF124" s="1181"/>
    </row>
    <row r="125" spans="1:32">
      <c r="A125" s="1342" t="s">
        <v>1039</v>
      </c>
      <c r="B125" s="1343">
        <v>2004</v>
      </c>
      <c r="C125" s="1343">
        <v>2005</v>
      </c>
      <c r="D125" s="1343">
        <v>2006</v>
      </c>
      <c r="E125" s="1343">
        <v>2007</v>
      </c>
      <c r="F125" s="1343">
        <v>2008</v>
      </c>
      <c r="G125" s="1343">
        <v>2009</v>
      </c>
      <c r="H125" s="1343">
        <v>2010</v>
      </c>
      <c r="I125" s="1343">
        <v>2011</v>
      </c>
      <c r="J125" s="1343">
        <v>2012</v>
      </c>
      <c r="K125" s="1343">
        <v>2013</v>
      </c>
      <c r="L125" s="1343">
        <v>2014</v>
      </c>
      <c r="M125" s="1343">
        <v>2015</v>
      </c>
      <c r="N125" s="1343">
        <v>2016</v>
      </c>
      <c r="O125" s="1343">
        <v>2017</v>
      </c>
      <c r="P125" s="1344">
        <v>2018</v>
      </c>
      <c r="Q125" s="1344">
        <v>2019</v>
      </c>
      <c r="R125" s="1344">
        <v>2020</v>
      </c>
      <c r="S125" s="1344">
        <v>2021</v>
      </c>
      <c r="T125" s="1344">
        <v>2022</v>
      </c>
      <c r="U125" s="1344">
        <v>2023</v>
      </c>
      <c r="V125" s="1344">
        <v>2024</v>
      </c>
      <c r="W125" s="1344">
        <v>2025</v>
      </c>
      <c r="X125" s="731"/>
      <c r="Y125" s="731"/>
      <c r="Z125" s="731"/>
      <c r="AA125" s="731"/>
      <c r="AB125" s="731"/>
      <c r="AC125" s="1181"/>
      <c r="AD125" s="1181"/>
      <c r="AE125" s="1181"/>
      <c r="AF125" s="1181"/>
    </row>
    <row r="126" spans="1:32">
      <c r="A126" s="990" t="s">
        <v>1427</v>
      </c>
      <c r="B126" s="1089">
        <v>208.17100000000002</v>
      </c>
      <c r="C126" s="1089">
        <v>170.476</v>
      </c>
      <c r="D126" s="1089">
        <v>137.79399999999998</v>
      </c>
      <c r="E126" s="1089">
        <v>-44.161000000000001</v>
      </c>
      <c r="F126" s="1089">
        <v>518.81000000000006</v>
      </c>
      <c r="G126" s="1089">
        <v>941.69699999999989</v>
      </c>
      <c r="H126" s="1089">
        <v>766.10100000000011</v>
      </c>
      <c r="I126" s="1089">
        <v>515.38200000000006</v>
      </c>
      <c r="J126" s="1089">
        <v>836.07099999999991</v>
      </c>
      <c r="K126" s="1089">
        <v>1347.636</v>
      </c>
      <c r="L126" s="1089">
        <v>1538.4810000000002</v>
      </c>
      <c r="M126" s="1089">
        <v>2487.0839999999998</v>
      </c>
      <c r="N126" s="1089">
        <v>2719.038</v>
      </c>
      <c r="O126" s="1089">
        <v>2547.1279999999997</v>
      </c>
      <c r="P126" s="1234">
        <v>2085.0707986797697</v>
      </c>
      <c r="Q126" s="1234">
        <v>1584.7456278100935</v>
      </c>
      <c r="R126" s="1235">
        <v>1268.259466627801</v>
      </c>
      <c r="S126" s="1235">
        <v>834.03902362608596</v>
      </c>
      <c r="T126" s="1235">
        <v>392.896150548479</v>
      </c>
      <c r="U126" s="1235">
        <v>313.30133851351411</v>
      </c>
      <c r="V126" s="1235">
        <v>526.88007094474324</v>
      </c>
      <c r="W126" s="1235">
        <v>728.05634425167409</v>
      </c>
      <c r="X126" s="731"/>
      <c r="Y126" s="460"/>
      <c r="Z126" s="731"/>
      <c r="AA126" s="731"/>
      <c r="AB126" s="731"/>
      <c r="AC126" s="1181"/>
      <c r="AD126" s="1181"/>
      <c r="AE126" s="1181"/>
      <c r="AF126" s="1181"/>
    </row>
    <row r="127" spans="1:32">
      <c r="A127" s="731" t="s">
        <v>1428</v>
      </c>
      <c r="B127" s="1236">
        <v>0.23556350180770952</v>
      </c>
      <c r="C127" s="1236">
        <v>0.18730086181512948</v>
      </c>
      <c r="D127" s="1236">
        <v>0.14722351917995705</v>
      </c>
      <c r="E127" s="1236">
        <v>-2.6420298178859457E-2</v>
      </c>
      <c r="F127" s="1236">
        <v>0.31935003548607305</v>
      </c>
      <c r="G127" s="1236">
        <v>0.59782656308623461</v>
      </c>
      <c r="H127" s="1236">
        <v>0.40122793079049823</v>
      </c>
      <c r="I127" s="1236">
        <v>0.26383492387221219</v>
      </c>
      <c r="J127" s="1236">
        <v>0.41291861255324025</v>
      </c>
      <c r="K127" s="1236">
        <v>0.64154293714656208</v>
      </c>
      <c r="L127" s="1236">
        <v>0.74109661495063472</v>
      </c>
      <c r="M127" s="1236">
        <v>0.95068929335247132</v>
      </c>
      <c r="N127" s="1236">
        <v>1.027371375392627</v>
      </c>
      <c r="O127" s="1236">
        <v>0.74842447962577707</v>
      </c>
      <c r="P127" s="1224">
        <v>0.59603572146503458</v>
      </c>
      <c r="Q127" s="1224">
        <v>0.40217602596432667</v>
      </c>
      <c r="R127" s="1224">
        <v>0.29656692234183002</v>
      </c>
      <c r="S127" s="1224">
        <v>0.17930084726106046</v>
      </c>
      <c r="T127" s="1224">
        <v>7.8541184374819564E-2</v>
      </c>
      <c r="U127" s="1224">
        <v>6.262992945773703E-2</v>
      </c>
      <c r="V127" s="1224">
        <v>0.10532499424522369</v>
      </c>
      <c r="W127" s="1224">
        <v>0.14554076818849404</v>
      </c>
      <c r="X127" s="731"/>
      <c r="Y127" s="731"/>
      <c r="Z127" s="731"/>
      <c r="AA127" s="731"/>
      <c r="AB127" s="731"/>
      <c r="AC127" s="1181"/>
      <c r="AD127" s="1181"/>
      <c r="AE127" s="1181"/>
      <c r="AF127" s="1181"/>
    </row>
    <row r="128" spans="1:32" ht="12.75" customHeight="1">
      <c r="A128" s="731" t="s">
        <v>1040</v>
      </c>
      <c r="B128" s="1236">
        <v>2.2644019492668508</v>
      </c>
      <c r="C128" s="1236">
        <v>1.0451597081723993</v>
      </c>
      <c r="D128" s="1236">
        <v>0.42767799224683495</v>
      </c>
      <c r="E128" s="1236">
        <v>-0.1130950094371756</v>
      </c>
      <c r="F128" s="1236">
        <v>3.9123877321710019</v>
      </c>
      <c r="G128" s="1236">
        <v>4.9617317905918048</v>
      </c>
      <c r="H128" s="1236">
        <v>1.6935161912846259</v>
      </c>
      <c r="I128" s="1236">
        <v>0.84132736515274698</v>
      </c>
      <c r="J128" s="1236">
        <v>1.5685575936317466</v>
      </c>
      <c r="K128" s="1236">
        <v>2.0674939899144094</v>
      </c>
      <c r="L128" s="1236">
        <v>2.0078317498433917</v>
      </c>
      <c r="M128" s="1236">
        <v>2.2785405739676143</v>
      </c>
      <c r="N128" s="1236">
        <v>2.0880132512883836</v>
      </c>
      <c r="O128" s="1236">
        <v>1.7626109967005468</v>
      </c>
      <c r="P128" s="1224">
        <v>1.0355269766801247</v>
      </c>
      <c r="Q128" s="1224">
        <v>0.70841939301484536</v>
      </c>
      <c r="R128" s="1224">
        <v>0.48800621256691679</v>
      </c>
      <c r="S128" s="1224">
        <v>0.28683836498104598</v>
      </c>
      <c r="T128" s="1224">
        <v>0.14106204646364462</v>
      </c>
      <c r="U128" s="1224">
        <v>0.116531361945519</v>
      </c>
      <c r="V128" s="1224">
        <v>0.17974498011644038</v>
      </c>
      <c r="W128" s="1224">
        <v>0.20604377739320354</v>
      </c>
      <c r="X128" s="731"/>
      <c r="Y128" s="731"/>
      <c r="Z128" s="731"/>
      <c r="AA128" s="731"/>
      <c r="AB128" s="731"/>
      <c r="AC128" s="1181"/>
      <c r="AD128" s="1181"/>
      <c r="AE128" s="1181"/>
      <c r="AF128" s="1181"/>
    </row>
    <row r="129" spans="1:32">
      <c r="A129" s="731" t="s">
        <v>388</v>
      </c>
      <c r="B129" s="849">
        <v>-1.1315517281668529E-2</v>
      </c>
      <c r="C129" s="849">
        <v>2.2279606503034077E-2</v>
      </c>
      <c r="D129" s="849">
        <v>0.10479716364449325</v>
      </c>
      <c r="E129" s="849">
        <v>7.520679731479421E-2</v>
      </c>
      <c r="F129" s="849">
        <v>-1.6729621894910632E-2</v>
      </c>
      <c r="G129" s="849">
        <v>-2.1169814522201152E-2</v>
      </c>
      <c r="H129" s="849">
        <v>2.342049790289678E-2</v>
      </c>
      <c r="I129" s="849">
        <v>3.6099275989951406E-2</v>
      </c>
      <c r="J129" s="849">
        <v>2.6448001500678827E-2</v>
      </c>
      <c r="K129" s="849">
        <v>1.295023824355356E-2</v>
      </c>
      <c r="L129" s="849">
        <v>2.3172525824539207E-2</v>
      </c>
      <c r="M129" s="849">
        <v>4.1637572857024317E-2</v>
      </c>
      <c r="N129" s="849">
        <v>2.5714871466903221E-2</v>
      </c>
      <c r="O129" s="849">
        <v>3.2662622497202747E-2</v>
      </c>
      <c r="P129" s="1237">
        <v>7.4650413526042708E-2</v>
      </c>
      <c r="Q129" s="1237">
        <v>9.5936954633528831E-2</v>
      </c>
      <c r="R129" s="1237">
        <v>0.11702166708762712</v>
      </c>
      <c r="S129" s="1237">
        <v>0.12544942455011751</v>
      </c>
      <c r="T129" s="1237">
        <v>0.11346009225969012</v>
      </c>
      <c r="U129" s="1237">
        <v>0.10799972931827148</v>
      </c>
      <c r="V129" s="1237">
        <v>0.11576370924073577</v>
      </c>
      <c r="W129" s="1237">
        <v>0.12757668701513583</v>
      </c>
      <c r="X129" s="731"/>
      <c r="Y129" s="731"/>
      <c r="Z129" s="731"/>
      <c r="AA129" s="731"/>
      <c r="AB129" s="731"/>
      <c r="AC129" s="1181"/>
      <c r="AD129" s="1181"/>
      <c r="AE129" s="1181"/>
      <c r="AF129" s="1181"/>
    </row>
    <row r="130" spans="1:32">
      <c r="A130" s="731" t="s">
        <v>389</v>
      </c>
      <c r="B130" s="1115" t="s">
        <v>972</v>
      </c>
      <c r="C130" s="849">
        <v>4.0399902683557441E-2</v>
      </c>
      <c r="D130" s="849">
        <v>0.18952681471194455</v>
      </c>
      <c r="E130" s="849">
        <v>0.21236795516004561</v>
      </c>
      <c r="F130" s="849">
        <v>-2.9059771030873208E-2</v>
      </c>
      <c r="G130" s="849">
        <v>-4.4029746500411762E-2</v>
      </c>
      <c r="H130" s="849">
        <v>6.1547189609424513E-2</v>
      </c>
      <c r="I130" s="849">
        <v>7.4521666856081262E-2</v>
      </c>
      <c r="J130" s="849">
        <v>6.4814843254876381E-2</v>
      </c>
      <c r="K130" s="849">
        <v>3.6028534401694109E-2</v>
      </c>
      <c r="L130" s="849">
        <v>6.4267784179600579E-2</v>
      </c>
      <c r="M130" s="849">
        <v>0.15281567203865967</v>
      </c>
      <c r="N130" s="849">
        <v>7.6233761517687681E-2</v>
      </c>
      <c r="O130" s="849">
        <v>0.10726529199572134</v>
      </c>
      <c r="P130" s="1237">
        <v>0.19612920603389325</v>
      </c>
      <c r="Q130" s="1237">
        <v>0.25281153947301399</v>
      </c>
      <c r="R130" s="1237">
        <v>0.28426848955399059</v>
      </c>
      <c r="S130" s="1237">
        <v>0.29241263130066514</v>
      </c>
      <c r="T130" s="1237">
        <v>0.25138505491931773</v>
      </c>
      <c r="U130" s="1237">
        <v>0.22222816795704231</v>
      </c>
      <c r="V130" s="1237">
        <v>0.23834736089458766</v>
      </c>
      <c r="W130" s="1237">
        <v>0.26321977351841541</v>
      </c>
      <c r="X130" s="731"/>
      <c r="Y130" s="731"/>
      <c r="Z130" s="731"/>
      <c r="AA130" s="731"/>
      <c r="AB130" s="731"/>
      <c r="AC130" s="1181"/>
      <c r="AD130" s="1181"/>
      <c r="AE130" s="1181"/>
      <c r="AF130" s="1181"/>
    </row>
    <row r="131" spans="1:32" s="41" customFormat="1">
      <c r="A131" s="731" t="s">
        <v>390</v>
      </c>
      <c r="B131" s="1115" t="s">
        <v>972</v>
      </c>
      <c r="C131" s="849">
        <v>4.9597239822901505E-2</v>
      </c>
      <c r="D131" s="849">
        <v>0.13414572857799245</v>
      </c>
      <c r="E131" s="849">
        <v>0.10421085489537274</v>
      </c>
      <c r="F131" s="849">
        <v>-1.9702142982009414E-2</v>
      </c>
      <c r="G131" s="849">
        <v>1.089235211389904E-2</v>
      </c>
      <c r="H131" s="849">
        <v>2.9418368219598305E-2</v>
      </c>
      <c r="I131" s="849">
        <v>5.6018699835137992E-2</v>
      </c>
      <c r="J131" s="849">
        <v>5.1141831150253898E-2</v>
      </c>
      <c r="K131" s="849">
        <v>3.5685402364574716E-2</v>
      </c>
      <c r="L131" s="849">
        <v>4.7785048179808179E-2</v>
      </c>
      <c r="M131" s="849">
        <v>6.6871600763110439E-2</v>
      </c>
      <c r="N131" s="849">
        <v>5.3213869602196151E-2</v>
      </c>
      <c r="O131" s="849">
        <v>6.8597832675230827E-2</v>
      </c>
      <c r="P131" s="1237">
        <v>9.272232873191591E-2</v>
      </c>
      <c r="Q131" s="1237">
        <v>0.10377399939850371</v>
      </c>
      <c r="R131" s="1237">
        <v>0.11776965694000836</v>
      </c>
      <c r="S131" s="1237">
        <v>0.12805965640798209</v>
      </c>
      <c r="T131" s="1237">
        <v>0.11527222332309332</v>
      </c>
      <c r="U131" s="1237">
        <v>0.10772540310496014</v>
      </c>
      <c r="V131" s="1237">
        <v>0.11912245691082914</v>
      </c>
      <c r="W131" s="1237">
        <v>0.15454431759663589</v>
      </c>
      <c r="X131" s="731"/>
      <c r="Y131" s="731"/>
      <c r="Z131" s="731"/>
      <c r="AA131" s="731"/>
      <c r="AB131" s="731"/>
      <c r="AC131" s="1181"/>
      <c r="AD131" s="1181"/>
      <c r="AE131" s="1181"/>
      <c r="AF131" s="1181"/>
    </row>
    <row r="132" spans="1:32" s="41" customFormat="1" ht="12.75" customHeight="1">
      <c r="A132" s="1243" t="s">
        <v>1456</v>
      </c>
      <c r="B132" s="1116" t="s">
        <v>972</v>
      </c>
      <c r="C132" s="1116">
        <v>31.786999999999935</v>
      </c>
      <c r="D132" s="1116">
        <v>156.4260000000001</v>
      </c>
      <c r="E132" s="1116">
        <v>-440.33600000000035</v>
      </c>
      <c r="F132" s="1116">
        <v>-403.904</v>
      </c>
      <c r="G132" s="1116">
        <v>-412.80200000000013</v>
      </c>
      <c r="H132" s="1116">
        <v>185.6099999999999</v>
      </c>
      <c r="I132" s="1116">
        <v>-156.84420799999975</v>
      </c>
      <c r="J132" s="1116">
        <v>-189.78616799999995</v>
      </c>
      <c r="K132" s="1116">
        <v>-311.34722399999993</v>
      </c>
      <c r="L132" s="1116">
        <v>-96.175792000000342</v>
      </c>
      <c r="M132" s="1116">
        <v>-146.47725999999977</v>
      </c>
      <c r="N132" s="1116">
        <v>288.58365200000037</v>
      </c>
      <c r="O132" s="1116">
        <v>-30.890999999999963</v>
      </c>
      <c r="P132" s="1238">
        <v>684.3163811119382</v>
      </c>
      <c r="Q132" s="1238">
        <v>942.52178723085058</v>
      </c>
      <c r="R132" s="1238">
        <v>1100.5837995367417</v>
      </c>
      <c r="S132" s="1238">
        <v>1309.5660797170938</v>
      </c>
      <c r="T132" s="1238">
        <v>1259.6859211072642</v>
      </c>
      <c r="U132" s="1238">
        <v>1191.2738938919906</v>
      </c>
      <c r="V132" s="1238">
        <v>978.73535519406005</v>
      </c>
      <c r="W132" s="1238">
        <v>1115.5601190307414</v>
      </c>
      <c r="X132" s="731"/>
      <c r="Y132" s="731"/>
      <c r="Z132" s="731"/>
      <c r="AA132" s="731"/>
      <c r="AB132" s="731"/>
      <c r="AC132" s="1181"/>
      <c r="AD132" s="1181"/>
      <c r="AE132" s="1181"/>
      <c r="AF132" s="1181"/>
    </row>
    <row r="133" spans="1:32">
      <c r="A133" s="731" t="s">
        <v>391</v>
      </c>
      <c r="B133" s="1124">
        <v>0</v>
      </c>
      <c r="C133" s="1124">
        <v>0.10314409132983653</v>
      </c>
      <c r="D133" s="1124">
        <v>0.10050221404862728</v>
      </c>
      <c r="E133" s="1124">
        <v>1.1278817524200369</v>
      </c>
      <c r="F133" s="1124">
        <v>0.72876393138878748</v>
      </c>
      <c r="G133" s="1124">
        <v>0.590477284964807</v>
      </c>
      <c r="H133" s="1124">
        <v>0.28255721778166903</v>
      </c>
      <c r="I133" s="1124">
        <v>0.35070206976219825</v>
      </c>
      <c r="J133" s="1124">
        <v>0.46164639097579357</v>
      </c>
      <c r="K133" s="1124">
        <v>0.41556216399595342</v>
      </c>
      <c r="L133" s="1124">
        <v>0.33394904878555959</v>
      </c>
      <c r="M133" s="1124">
        <v>0.34923545112125526</v>
      </c>
      <c r="N133" s="1124">
        <v>0.30828645377118474</v>
      </c>
      <c r="O133" s="1124">
        <v>0.32534744955013217</v>
      </c>
      <c r="P133" s="1239">
        <v>0.25928255373406578</v>
      </c>
      <c r="Q133" s="1239">
        <v>0.25791477493231729</v>
      </c>
      <c r="R133" s="1239">
        <v>0.28069278221185273</v>
      </c>
      <c r="S133" s="1239">
        <v>0.27806447089949649</v>
      </c>
      <c r="T133" s="1239">
        <v>0.28001532392050144</v>
      </c>
      <c r="U133" s="1239">
        <v>0.28206930582426215</v>
      </c>
      <c r="V133" s="1239">
        <v>0.28028775948130613</v>
      </c>
      <c r="W133" s="1239">
        <v>0.27754254396817291</v>
      </c>
      <c r="X133" s="731"/>
      <c r="Y133" s="731"/>
      <c r="Z133" s="731"/>
      <c r="AA133" s="731"/>
      <c r="AB133" s="731"/>
      <c r="AC133" s="1181"/>
      <c r="AD133" s="1181"/>
      <c r="AE133" s="1181"/>
      <c r="AF133" s="1181"/>
    </row>
    <row r="134" spans="1:32" s="41" customFormat="1">
      <c r="A134" s="1232" t="s">
        <v>317</v>
      </c>
      <c r="B134" s="1194">
        <v>69.432000000000016</v>
      </c>
      <c r="C134" s="1931">
        <v>119.465</v>
      </c>
      <c r="D134" s="1931">
        <v>140.70099999999999</v>
      </c>
      <c r="E134" s="1931">
        <v>133.89699999999999</v>
      </c>
      <c r="F134" s="1194">
        <v>168.72899999999998</v>
      </c>
      <c r="G134" s="1194">
        <v>270.33589999999998</v>
      </c>
      <c r="H134" s="1194">
        <v>16.206849999999996</v>
      </c>
      <c r="I134" s="1194">
        <v>95.288999999999959</v>
      </c>
      <c r="J134" s="1194">
        <v>44.109499999999997</v>
      </c>
      <c r="K134" s="1194">
        <v>98.373750000000001</v>
      </c>
      <c r="L134" s="1194">
        <v>102.71949999999998</v>
      </c>
      <c r="M134" s="1194">
        <v>50.075100000000077</v>
      </c>
      <c r="N134" s="1194">
        <v>104.51290000000006</v>
      </c>
      <c r="O134" s="1194">
        <v>175.51204999999993</v>
      </c>
      <c r="P134" s="1212">
        <v>233.98594570360791</v>
      </c>
      <c r="Q134" s="1212">
        <v>316.04273816692097</v>
      </c>
      <c r="R134" s="1212">
        <v>412.0906515302753</v>
      </c>
      <c r="S134" s="1212">
        <v>517.15203282941127</v>
      </c>
      <c r="T134" s="1212">
        <v>576.04170955539144</v>
      </c>
      <c r="U134" s="1212">
        <v>631.46019082132239</v>
      </c>
      <c r="V134" s="1212">
        <v>737.07245894918378</v>
      </c>
      <c r="W134" s="1212">
        <v>842.75279592056268</v>
      </c>
      <c r="X134" s="731"/>
      <c r="Y134" s="731"/>
      <c r="Z134" s="731"/>
      <c r="AA134" s="731"/>
      <c r="AB134" s="731"/>
      <c r="AC134" s="1181"/>
      <c r="AD134" s="1181"/>
      <c r="AE134" s="1181"/>
      <c r="AF134" s="1181"/>
    </row>
    <row r="135" spans="1:32" s="43" customFormat="1">
      <c r="A135" s="990" t="s">
        <v>392</v>
      </c>
      <c r="B135" s="1514">
        <v>0.13403861003861006</v>
      </c>
      <c r="C135" s="1514">
        <v>0.18430268435668007</v>
      </c>
      <c r="D135" s="1514">
        <v>0.17413015982238109</v>
      </c>
      <c r="E135" s="1514">
        <v>0.16199758752481741</v>
      </c>
      <c r="F135" s="1514">
        <v>0.23683922405322699</v>
      </c>
      <c r="G135" s="1514">
        <v>0.34907139712025287</v>
      </c>
      <c r="H135" s="1514">
        <v>1.369647743656225E-2</v>
      </c>
      <c r="I135" s="1514">
        <v>7.3580648449299915E-2</v>
      </c>
      <c r="J135" s="1514">
        <v>3.2267609858155508E-2</v>
      </c>
      <c r="K135" s="1514">
        <v>6.0132308040257834E-2</v>
      </c>
      <c r="L135" s="1514">
        <v>5.2097185663060611E-2</v>
      </c>
      <c r="M135" s="1514">
        <v>2.1536176834130304E-2</v>
      </c>
      <c r="N135" s="1514">
        <v>3.8319903467761561E-2</v>
      </c>
      <c r="O135" s="1514">
        <v>5.844786774838303E-2</v>
      </c>
      <c r="P135" s="2402">
        <v>5.880006478452323E-2</v>
      </c>
      <c r="Q135" s="2402">
        <v>7.3787136048241872E-2</v>
      </c>
      <c r="R135" s="2402">
        <v>8.5414978702727101E-2</v>
      </c>
      <c r="S135" s="2402">
        <v>9.7650574279170413E-2</v>
      </c>
      <c r="T135" s="2402">
        <v>0.11131151382174742</v>
      </c>
      <c r="U135" s="2402">
        <v>0.12482638580504674</v>
      </c>
      <c r="V135" s="2402">
        <v>0.13571504209791194</v>
      </c>
      <c r="W135" s="2402">
        <v>0.14058366215457271</v>
      </c>
      <c r="X135" s="731"/>
      <c r="Y135" s="731"/>
      <c r="Z135" s="731"/>
      <c r="AA135" s="731"/>
      <c r="AB135" s="731"/>
      <c r="AC135" s="1181"/>
      <c r="AD135" s="1181"/>
      <c r="AE135" s="1181"/>
      <c r="AF135" s="1181"/>
    </row>
    <row r="136" spans="1:32">
      <c r="A136" s="731" t="s">
        <v>152</v>
      </c>
      <c r="B136" s="1514" t="s">
        <v>972</v>
      </c>
      <c r="C136" s="1514"/>
      <c r="D136" s="1514"/>
      <c r="E136" s="1514"/>
      <c r="F136" s="1514">
        <v>-2.4368349009626911E-2</v>
      </c>
      <c r="G136" s="1514">
        <v>1.1682550178458401E-2</v>
      </c>
      <c r="H136" s="1514">
        <v>3.9837629891448741E-2</v>
      </c>
      <c r="I136" s="1514">
        <v>7.3199103359875339E-2</v>
      </c>
      <c r="J136" s="1514">
        <v>7.1813301572123275E-2</v>
      </c>
      <c r="K136" s="1514">
        <v>5.1990518147452251E-2</v>
      </c>
      <c r="L136" s="1514">
        <v>6.8428918410521844E-2</v>
      </c>
      <c r="M136" s="1514">
        <v>0.13547845897417959</v>
      </c>
      <c r="N136" s="1514">
        <v>0.11753171306316995</v>
      </c>
      <c r="O136" s="1514">
        <v>9.9586075258512818E-2</v>
      </c>
      <c r="P136" s="2402">
        <v>0.17589423541409963</v>
      </c>
      <c r="Q136" s="2402">
        <v>0.20233220347884537</v>
      </c>
      <c r="R136" s="2402">
        <v>0.24290530925642284</v>
      </c>
      <c r="S136" s="2402">
        <v>0.26479128796120904</v>
      </c>
      <c r="T136" s="2402">
        <v>0.24696763191621202</v>
      </c>
      <c r="U136" s="2402">
        <v>0.23397986732323792</v>
      </c>
      <c r="V136" s="2402">
        <v>0.24864070505109326</v>
      </c>
      <c r="W136" s="2402">
        <v>0.2649687073268055</v>
      </c>
      <c r="X136" s="731"/>
      <c r="Y136" s="731"/>
      <c r="Z136" s="731"/>
      <c r="AA136" s="731"/>
      <c r="AB136" s="731"/>
      <c r="AC136" s="1181"/>
      <c r="AD136" s="1181"/>
      <c r="AE136" s="1181"/>
      <c r="AF136" s="1181"/>
    </row>
    <row r="137" spans="1:32">
      <c r="A137" s="731"/>
      <c r="B137" s="731"/>
      <c r="C137" s="731"/>
      <c r="D137" s="1116"/>
      <c r="E137" s="1116"/>
      <c r="F137" s="1116"/>
      <c r="G137" s="1116"/>
      <c r="H137" s="1116"/>
      <c r="I137" s="1116"/>
      <c r="J137" s="1116"/>
      <c r="K137" s="1116"/>
      <c r="L137" s="1116"/>
      <c r="M137" s="1116"/>
      <c r="N137" s="1116"/>
      <c r="O137" s="1116"/>
      <c r="P137" s="731"/>
      <c r="Q137" s="731"/>
      <c r="R137" s="731"/>
      <c r="S137" s="731"/>
      <c r="T137" s="731"/>
      <c r="U137" s="731"/>
      <c r="V137" s="731"/>
      <c r="W137" s="731"/>
      <c r="X137" s="731"/>
      <c r="Y137" s="731"/>
      <c r="Z137" s="731"/>
      <c r="AA137" s="731"/>
      <c r="AB137" s="731"/>
      <c r="AC137" s="1181"/>
      <c r="AD137" s="1181"/>
      <c r="AE137" s="1181"/>
      <c r="AF137" s="1181"/>
    </row>
    <row r="138" spans="1:32">
      <c r="A138" s="1342" t="s">
        <v>567</v>
      </c>
      <c r="B138" s="1343">
        <v>2004</v>
      </c>
      <c r="C138" s="1343">
        <v>2005</v>
      </c>
      <c r="D138" s="1343">
        <v>2006</v>
      </c>
      <c r="E138" s="1343">
        <v>2007</v>
      </c>
      <c r="F138" s="1343">
        <v>2008</v>
      </c>
      <c r="G138" s="1343">
        <v>2009</v>
      </c>
      <c r="H138" s="1343">
        <v>2010</v>
      </c>
      <c r="I138" s="1343">
        <v>2011</v>
      </c>
      <c r="J138" s="1343">
        <v>2012</v>
      </c>
      <c r="K138" s="1343">
        <v>2013</v>
      </c>
      <c r="L138" s="1343">
        <v>2014</v>
      </c>
      <c r="M138" s="1343">
        <v>2015</v>
      </c>
      <c r="N138" s="1343">
        <v>2016</v>
      </c>
      <c r="O138" s="1343">
        <v>2017</v>
      </c>
      <c r="P138" s="1344">
        <v>2018</v>
      </c>
      <c r="Q138" s="1344">
        <v>2019</v>
      </c>
      <c r="R138" s="1344">
        <v>2020</v>
      </c>
      <c r="S138" s="1344">
        <v>2021</v>
      </c>
      <c r="T138" s="1344">
        <v>2022</v>
      </c>
      <c r="U138" s="1344">
        <v>2023</v>
      </c>
      <c r="V138" s="1344">
        <v>2024</v>
      </c>
      <c r="W138" s="1344">
        <v>2025</v>
      </c>
      <c r="X138" s="731"/>
      <c r="Y138" s="731"/>
      <c r="Z138" s="731"/>
      <c r="AA138" s="731"/>
      <c r="AB138" s="731"/>
      <c r="AC138" s="1181"/>
      <c r="AD138" s="1181"/>
      <c r="AE138" s="1181"/>
      <c r="AF138" s="1181"/>
    </row>
    <row r="139" spans="1:32">
      <c r="A139" s="1240" t="s">
        <v>568</v>
      </c>
      <c r="B139" s="1241"/>
      <c r="C139" s="1241"/>
      <c r="D139" s="1241"/>
      <c r="E139" s="1710">
        <v>26.31</v>
      </c>
      <c r="F139" s="1710">
        <v>23.77</v>
      </c>
      <c r="G139" s="1710">
        <v>3.47</v>
      </c>
      <c r="H139" s="1710">
        <v>4.96</v>
      </c>
      <c r="I139" s="1710">
        <v>7.92</v>
      </c>
      <c r="J139" s="1710">
        <v>7.33</v>
      </c>
      <c r="K139" s="1710">
        <v>8.9</v>
      </c>
      <c r="L139" s="1710">
        <v>9.8000000000000007</v>
      </c>
      <c r="M139" s="1710">
        <v>12.35</v>
      </c>
      <c r="N139" s="1710">
        <v>15.69</v>
      </c>
      <c r="O139" s="1710">
        <v>17.010000000000002</v>
      </c>
      <c r="P139" s="1242">
        <v>18.399994</v>
      </c>
      <c r="Q139" s="1242">
        <v>18.399994</v>
      </c>
      <c r="R139" s="1242">
        <v>18.399994</v>
      </c>
      <c r="S139" s="1242">
        <v>18.399994</v>
      </c>
      <c r="T139" s="1242">
        <v>18.399994</v>
      </c>
      <c r="U139" s="1242">
        <v>18.399994</v>
      </c>
      <c r="V139" s="1242">
        <v>18.399994</v>
      </c>
      <c r="W139" s="1242">
        <v>18.399994</v>
      </c>
      <c r="X139" s="731"/>
      <c r="Y139" s="731"/>
      <c r="Z139" s="731"/>
      <c r="AA139" s="731"/>
      <c r="AB139" s="731"/>
      <c r="AC139" s="1181"/>
      <c r="AD139" s="1181"/>
      <c r="AE139" s="1181"/>
      <c r="AF139" s="1181"/>
    </row>
    <row r="140" spans="1:32">
      <c r="A140" s="1243" t="s">
        <v>279</v>
      </c>
      <c r="B140" s="1116"/>
      <c r="C140" s="1116"/>
      <c r="D140" s="1116"/>
      <c r="E140" s="1116">
        <v>8919.09</v>
      </c>
      <c r="F140" s="1116">
        <v>8058.03</v>
      </c>
      <c r="G140" s="1116">
        <v>1174.8830100000002</v>
      </c>
      <c r="H140" s="1116">
        <v>1679.3716800000002</v>
      </c>
      <c r="I140" s="1116">
        <v>2681.5773600000002</v>
      </c>
      <c r="J140" s="1116">
        <v>2478.73479</v>
      </c>
      <c r="K140" s="1116">
        <v>3000.1989000000003</v>
      </c>
      <c r="L140" s="1116">
        <v>3307.0590000000002</v>
      </c>
      <c r="M140" s="1116">
        <v>4181.4629999999997</v>
      </c>
      <c r="N140" s="1116">
        <v>5328.4181399999998</v>
      </c>
      <c r="O140" s="1116">
        <v>5750.3835900000013</v>
      </c>
      <c r="P140" s="1238">
        <v>6494.8484099939578</v>
      </c>
      <c r="Q140" s="1238">
        <v>6687.8067615127356</v>
      </c>
      <c r="R140" s="1238">
        <v>6687.8067615127356</v>
      </c>
      <c r="S140" s="1238">
        <v>6687.8067615127356</v>
      </c>
      <c r="T140" s="1238">
        <v>6687.8067615127356</v>
      </c>
      <c r="U140" s="1238">
        <v>6687.8067615127356</v>
      </c>
      <c r="V140" s="1238">
        <v>6687.8067615127356</v>
      </c>
      <c r="W140" s="1238">
        <v>6687.8067615127356</v>
      </c>
      <c r="X140" s="731"/>
      <c r="Y140" s="731"/>
      <c r="Z140" s="731"/>
      <c r="AA140" s="731"/>
      <c r="AB140" s="731"/>
      <c r="AC140" s="1181"/>
      <c r="AD140" s="1181"/>
      <c r="AE140" s="1181"/>
      <c r="AF140" s="1181"/>
    </row>
    <row r="141" spans="1:32">
      <c r="A141" s="1243" t="s">
        <v>569</v>
      </c>
      <c r="B141" s="1244"/>
      <c r="C141" s="1244"/>
      <c r="D141" s="1244"/>
      <c r="E141" s="1244">
        <v>8882.5400000000009</v>
      </c>
      <c r="F141" s="1244">
        <v>8584.4510000000009</v>
      </c>
      <c r="G141" s="1244">
        <v>2134.8230100000001</v>
      </c>
      <c r="H141" s="1244">
        <v>2445.4726800000003</v>
      </c>
      <c r="I141" s="1244">
        <v>3196.9593600000003</v>
      </c>
      <c r="J141" s="1244">
        <v>3314.8057899999999</v>
      </c>
      <c r="K141" s="1244">
        <v>4347.8348999999998</v>
      </c>
      <c r="L141" s="1244">
        <v>4845.5400000000009</v>
      </c>
      <c r="M141" s="1244">
        <v>6668.5469999999996</v>
      </c>
      <c r="N141" s="1244">
        <v>8047.4561400000002</v>
      </c>
      <c r="O141" s="1244">
        <v>8297.5115900000019</v>
      </c>
      <c r="P141" s="1245">
        <v>8579.9192086737276</v>
      </c>
      <c r="Q141" s="1245">
        <v>8272.5523893228292</v>
      </c>
      <c r="R141" s="1245">
        <v>7956.0662281405366</v>
      </c>
      <c r="S141" s="1245">
        <v>7521.8457851388212</v>
      </c>
      <c r="T141" s="1245">
        <v>7080.7029120612151</v>
      </c>
      <c r="U141" s="1245">
        <v>7001.1081000262493</v>
      </c>
      <c r="V141" s="1245">
        <v>7214.6868324574789</v>
      </c>
      <c r="W141" s="1245">
        <v>7415.8631057644097</v>
      </c>
      <c r="X141" s="731"/>
      <c r="Y141" s="731"/>
      <c r="Z141" s="731"/>
      <c r="AA141" s="731"/>
      <c r="AB141" s="731"/>
      <c r="AC141" s="1181"/>
      <c r="AD141" s="1181"/>
      <c r="AE141" s="1181"/>
      <c r="AF141" s="1181"/>
    </row>
    <row r="142" spans="1:32">
      <c r="A142" s="1243" t="s">
        <v>265</v>
      </c>
      <c r="B142" s="1236"/>
      <c r="C142" s="1246"/>
      <c r="D142" s="1246"/>
      <c r="E142" s="1246">
        <v>22.747921132358638</v>
      </c>
      <c r="F142" s="1246">
        <v>64.736032034507986</v>
      </c>
      <c r="G142" s="1246">
        <v>11.248224424633284</v>
      </c>
      <c r="H142" s="1246">
        <v>5.4058767433069619</v>
      </c>
      <c r="I142" s="1246">
        <v>5.2188268019628401</v>
      </c>
      <c r="J142" s="1246">
        <v>6.2189261358413113</v>
      </c>
      <c r="K142" s="1246">
        <v>6.6702896960975488</v>
      </c>
      <c r="L142" s="1246">
        <v>6.3237888912090225</v>
      </c>
      <c r="M142" s="1246">
        <v>6.109385492773872</v>
      </c>
      <c r="N142" s="1246">
        <v>6.1798309032393313</v>
      </c>
      <c r="O142" s="1246">
        <v>5.7418728755619046</v>
      </c>
      <c r="P142" s="1247">
        <v>4.2611204396240616</v>
      </c>
      <c r="Q142" s="1247">
        <v>3.6980297907027055</v>
      </c>
      <c r="R142" s="1247">
        <v>3.0613686308606574</v>
      </c>
      <c r="S142" s="1247">
        <v>2.5868740976514073</v>
      </c>
      <c r="T142" s="1247">
        <v>2.5421945259125156</v>
      </c>
      <c r="U142" s="1247">
        <v>2.6040382268863893</v>
      </c>
      <c r="V142" s="1247">
        <v>2.4612882755673948</v>
      </c>
      <c r="W142" s="1247">
        <v>2.0987282907521752</v>
      </c>
      <c r="X142" s="731"/>
      <c r="Y142" s="731"/>
      <c r="Z142" s="731"/>
      <c r="AA142" s="731"/>
      <c r="AB142" s="731"/>
      <c r="AC142" s="1181"/>
      <c r="AD142" s="1181"/>
      <c r="AE142" s="1181"/>
      <c r="AF142" s="1181"/>
    </row>
    <row r="143" spans="1:32">
      <c r="A143" s="1243" t="s">
        <v>570</v>
      </c>
      <c r="B143" s="1248"/>
      <c r="C143" s="1246"/>
      <c r="D143" s="1246"/>
      <c r="E143" s="1246">
        <v>44.872312166064653</v>
      </c>
      <c r="F143" s="1246" t="s">
        <v>36</v>
      </c>
      <c r="G143" s="1246" t="s">
        <v>36</v>
      </c>
      <c r="H143" s="1246">
        <v>17.123864915572263</v>
      </c>
      <c r="I143" s="1246">
        <v>18.845727136642534</v>
      </c>
      <c r="J143" s="1246">
        <v>19.577562692025154</v>
      </c>
      <c r="K143" s="1246">
        <v>41.126784098697854</v>
      </c>
      <c r="L143" s="1246">
        <v>24.496370424141858</v>
      </c>
      <c r="M143" s="1246">
        <v>13.180838991545793</v>
      </c>
      <c r="N143" s="1246">
        <v>26.717701796082917</v>
      </c>
      <c r="O143" s="1246">
        <v>20.255817752071238</v>
      </c>
      <c r="P143" s="1221">
        <v>9.7302491969147944</v>
      </c>
      <c r="Q143" s="1247">
        <v>7.5620284213689155</v>
      </c>
      <c r="R143" s="1247">
        <v>5.9705124770987679</v>
      </c>
      <c r="S143" s="1247">
        <v>5.3481328251380873</v>
      </c>
      <c r="T143" s="1247">
        <v>5.7192651557273972</v>
      </c>
      <c r="U143" s="1247">
        <v>6.0159508896586971</v>
      </c>
      <c r="V143" s="1247">
        <v>5.609098165427806</v>
      </c>
      <c r="W143" s="1247">
        <v>5.079077938781289</v>
      </c>
      <c r="X143" s="731"/>
      <c r="Y143" s="731"/>
      <c r="Z143" s="731"/>
      <c r="AA143" s="731"/>
      <c r="AB143" s="731"/>
      <c r="AC143" s="1181"/>
      <c r="AD143" s="1181"/>
      <c r="AE143" s="1181"/>
      <c r="AF143" s="1181"/>
    </row>
    <row r="144" spans="1:32">
      <c r="A144" s="1243" t="s">
        <v>267</v>
      </c>
      <c r="B144" s="1236"/>
      <c r="C144" s="1246"/>
      <c r="D144" s="1246"/>
      <c r="E144" s="1246">
        <v>5.3360435063536515</v>
      </c>
      <c r="F144" s="1246">
        <v>4.9600666264101321</v>
      </c>
      <c r="G144" s="1246">
        <v>0.74586228043278302</v>
      </c>
      <c r="H144" s="1246">
        <v>0.87953262584771807</v>
      </c>
      <c r="I144" s="1246">
        <v>1.3727560501396008</v>
      </c>
      <c r="J144" s="1246">
        <v>1.2241971439916555</v>
      </c>
      <c r="K144" s="1246">
        <v>1.4282465104300308</v>
      </c>
      <c r="L144" s="1246">
        <v>1.5930324978612223</v>
      </c>
      <c r="M144" s="1246">
        <v>1.5983666432856729</v>
      </c>
      <c r="N144" s="1246">
        <v>2.0133092193484692</v>
      </c>
      <c r="O144" s="1246">
        <v>1.6896394079898456</v>
      </c>
      <c r="P144" s="2301">
        <v>1.8566092145686051</v>
      </c>
      <c r="Q144" s="2301">
        <v>1.6972285637281217</v>
      </c>
      <c r="R144" s="2301">
        <v>1.5638615919440881</v>
      </c>
      <c r="S144" s="2301">
        <v>1.4377377852706719</v>
      </c>
      <c r="T144" s="2301">
        <v>1.336913744728391</v>
      </c>
      <c r="U144" s="2301">
        <v>1.336913744728391</v>
      </c>
      <c r="V144" s="2301">
        <v>1.336913744728391</v>
      </c>
      <c r="W144" s="2301">
        <v>1.336913744728391</v>
      </c>
      <c r="X144" s="731"/>
      <c r="Y144" s="731"/>
      <c r="Z144" s="731"/>
      <c r="AA144" s="731"/>
      <c r="AB144" s="731"/>
      <c r="AC144" s="1181"/>
      <c r="AD144" s="1181"/>
      <c r="AE144" s="1181"/>
      <c r="AF144" s="1181"/>
    </row>
    <row r="145" spans="1:32">
      <c r="A145" s="731" t="s">
        <v>660</v>
      </c>
      <c r="B145" s="1249"/>
      <c r="C145" s="1117"/>
      <c r="D145" s="1117"/>
      <c r="E145" s="1117">
        <v>798.63240465702245</v>
      </c>
      <c r="F145" s="1117">
        <v>700.67580886363714</v>
      </c>
      <c r="G145" s="1117">
        <v>148.35935457108198</v>
      </c>
      <c r="H145" s="1117">
        <v>157.82288097510812</v>
      </c>
      <c r="I145" s="1117">
        <v>204.04770773781993</v>
      </c>
      <c r="J145" s="1117">
        <v>261.05536597010706</v>
      </c>
      <c r="K145" s="1117">
        <v>281.42269474526086</v>
      </c>
      <c r="L145" s="1117">
        <v>259.16896837304131</v>
      </c>
      <c r="M145" s="1117">
        <v>297.12710353126323</v>
      </c>
      <c r="N145" s="1117">
        <v>335.18013971655836</v>
      </c>
      <c r="O145" s="1117">
        <v>358.91268593833138</v>
      </c>
      <c r="P145" s="1224">
        <v>320.88456781690581</v>
      </c>
      <c r="Q145" s="1224">
        <v>294.65638740758334</v>
      </c>
      <c r="R145" s="1224">
        <v>277.82706539907338</v>
      </c>
      <c r="S145" s="1224">
        <v>255.01361189452925</v>
      </c>
      <c r="T145" s="1224">
        <v>234.98190804149388</v>
      </c>
      <c r="U145" s="1224">
        <v>227.42801046000415</v>
      </c>
      <c r="V145" s="1224">
        <v>229.41075223737406</v>
      </c>
      <c r="W145" s="1224">
        <v>230.82194941336721</v>
      </c>
      <c r="X145" s="731"/>
      <c r="Y145" s="731"/>
      <c r="Z145" s="731"/>
      <c r="AA145" s="731"/>
      <c r="AB145" s="731"/>
      <c r="AC145" s="1181"/>
      <c r="AD145" s="1181"/>
      <c r="AE145" s="1181"/>
      <c r="AF145" s="1181"/>
    </row>
    <row r="146" spans="1:32">
      <c r="A146" s="731" t="s">
        <v>661</v>
      </c>
      <c r="B146" s="460"/>
      <c r="C146" s="1118"/>
      <c r="D146" s="1118"/>
      <c r="E146" s="1118">
        <v>390.3384186984469</v>
      </c>
      <c r="F146" s="1118">
        <v>399.95194295544104</v>
      </c>
      <c r="G146" s="1118">
        <v>63.870912076408636</v>
      </c>
      <c r="H146" s="1118">
        <v>88.634663020952559</v>
      </c>
      <c r="I146" s="1118">
        <v>125.31333767599334</v>
      </c>
      <c r="J146" s="1118">
        <v>143.29529364919696</v>
      </c>
      <c r="K146" s="1118">
        <v>139.76791395344469</v>
      </c>
      <c r="L146" s="1118">
        <v>114.53969521944637</v>
      </c>
      <c r="M146" s="1117">
        <v>74.461143296495393</v>
      </c>
      <c r="N146" s="1117">
        <v>86.389466555765139</v>
      </c>
      <c r="O146" s="1117">
        <v>78.504225208864796</v>
      </c>
      <c r="P146" s="1224">
        <v>89.897209619853399</v>
      </c>
      <c r="Q146" s="1224">
        <v>80.567999701593379</v>
      </c>
      <c r="R146" s="1224">
        <v>75.009269204500953</v>
      </c>
      <c r="S146" s="1224">
        <v>68.245805723420446</v>
      </c>
      <c r="T146" s="1224">
        <v>61.66531312067238</v>
      </c>
      <c r="U146" s="1224">
        <v>59.55176325255961</v>
      </c>
      <c r="V146" s="1224">
        <v>60.87044047456655</v>
      </c>
      <c r="W146" s="1224">
        <v>62.001080727359998</v>
      </c>
      <c r="X146" s="731"/>
      <c r="Y146" s="731"/>
      <c r="Z146" s="731"/>
      <c r="AA146" s="731"/>
      <c r="AB146" s="731"/>
      <c r="AC146" s="1181"/>
      <c r="AD146" s="1181"/>
      <c r="AE146" s="1181"/>
      <c r="AF146" s="1181"/>
    </row>
    <row r="147" spans="1:32">
      <c r="A147" s="1243" t="s">
        <v>571</v>
      </c>
      <c r="B147" s="1250"/>
      <c r="C147" s="1250"/>
      <c r="D147" s="1250"/>
      <c r="E147" s="1250">
        <v>-4.9370059053109719E-2</v>
      </c>
      <c r="F147" s="1250">
        <v>-5.0124410060523476E-2</v>
      </c>
      <c r="G147" s="1250">
        <v>-0.3513558341438609</v>
      </c>
      <c r="H147" s="1250">
        <v>0.11052347863815346</v>
      </c>
      <c r="I147" s="1250">
        <v>-5.848953319027117E-2</v>
      </c>
      <c r="J147" s="1250">
        <v>-7.6565741831541384E-2</v>
      </c>
      <c r="K147" s="1250">
        <v>-0.10377552768251461</v>
      </c>
      <c r="L147" s="1250">
        <v>-2.9081970415405452E-2</v>
      </c>
      <c r="M147" s="1250">
        <v>-3.5030146147412948E-2</v>
      </c>
      <c r="N147" s="1250">
        <v>5.4159347937359957E-2</v>
      </c>
      <c r="O147" s="1250">
        <v>-5.3719894536635518E-3</v>
      </c>
      <c r="P147" s="1251">
        <v>0.10536294889638152</v>
      </c>
      <c r="Q147" s="1251">
        <v>0.14093137269678807</v>
      </c>
      <c r="R147" s="1251">
        <v>0.16456572966049593</v>
      </c>
      <c r="S147" s="1251">
        <v>0.19581398303154307</v>
      </c>
      <c r="T147" s="1251">
        <v>0.18835560984754468</v>
      </c>
      <c r="U147" s="1251">
        <v>0.17812624323232279</v>
      </c>
      <c r="V147" s="1251">
        <v>0.14634623727864363</v>
      </c>
      <c r="W147" s="1251">
        <v>0.1668050765836436</v>
      </c>
      <c r="X147" s="731"/>
      <c r="Y147" s="731"/>
      <c r="Z147" s="731"/>
      <c r="AA147" s="731"/>
      <c r="AB147" s="731"/>
      <c r="AC147" s="1181"/>
      <c r="AD147" s="1181"/>
      <c r="AE147" s="1181"/>
      <c r="AF147" s="1181"/>
    </row>
    <row r="148" spans="1:32">
      <c r="A148" s="1243" t="s">
        <v>288</v>
      </c>
      <c r="B148" s="1163"/>
      <c r="C148" s="1163"/>
      <c r="D148" s="1163"/>
      <c r="E148" s="1163">
        <v>6.7270999619916385E-3</v>
      </c>
      <c r="F148" s="1163">
        <v>0</v>
      </c>
      <c r="G148" s="1163">
        <v>0</v>
      </c>
      <c r="H148" s="1163">
        <v>5.5262096774193553E-2</v>
      </c>
      <c r="I148" s="1163">
        <v>3.3825757575757572E-2</v>
      </c>
      <c r="J148" s="1163">
        <v>4.3839427012278304E-2</v>
      </c>
      <c r="K148" s="1163">
        <v>3.003393258426966E-2</v>
      </c>
      <c r="L148" s="1163">
        <v>3.6683673469387751E-2</v>
      </c>
      <c r="M148" s="1163">
        <v>1.6289519419735474E-2</v>
      </c>
      <c r="N148" s="1163">
        <v>9.9974043305346618E-3</v>
      </c>
      <c r="O148" s="1163">
        <v>1.2169312169312168E-2</v>
      </c>
      <c r="P148" s="1164">
        <v>4.1287289774386546E-2</v>
      </c>
      <c r="Q148" s="1164">
        <v>6.6119825546686786E-2</v>
      </c>
      <c r="R148" s="1164">
        <v>0.11724286695405227</v>
      </c>
      <c r="S148" s="1164">
        <v>0.13088680159732682</v>
      </c>
      <c r="T148" s="1164">
        <v>0.12239334616248815</v>
      </c>
      <c r="U148" s="1164">
        <v>0.16622476119593674</v>
      </c>
      <c r="V148" s="1164">
        <v>0.178281779085913</v>
      </c>
      <c r="W148" s="1164">
        <v>0.19688613013092437</v>
      </c>
      <c r="X148" s="731"/>
      <c r="Y148" s="731"/>
      <c r="Z148" s="731"/>
      <c r="AA148" s="731"/>
      <c r="AB148" s="731"/>
      <c r="AC148" s="1181"/>
      <c r="AD148" s="1181"/>
      <c r="AE148" s="1181"/>
      <c r="AF148" s="1181"/>
    </row>
    <row r="149" spans="1:32">
      <c r="A149" s="1342" t="s">
        <v>1139</v>
      </c>
      <c r="B149" s="1343"/>
      <c r="C149" s="1343"/>
      <c r="D149" s="1343"/>
      <c r="E149" s="1343"/>
      <c r="F149" s="1343"/>
      <c r="G149" s="1343"/>
      <c r="H149" s="1343"/>
      <c r="I149" s="1343"/>
      <c r="J149" s="1343"/>
      <c r="K149" s="2308"/>
      <c r="L149" s="1343"/>
      <c r="M149" s="1343"/>
      <c r="N149" s="1343"/>
      <c r="O149" s="1343"/>
      <c r="P149" s="1344"/>
      <c r="Q149" s="1344"/>
      <c r="R149" s="1344"/>
      <c r="S149" s="1344"/>
      <c r="T149" s="1344"/>
      <c r="U149" s="1344"/>
      <c r="V149" s="1344"/>
      <c r="W149" s="1344"/>
      <c r="X149" s="731"/>
      <c r="Y149" s="731"/>
      <c r="Z149" s="731"/>
      <c r="AA149" s="731"/>
      <c r="AB149" s="731"/>
      <c r="AC149" s="1181"/>
      <c r="AD149" s="1181"/>
      <c r="AE149" s="1181"/>
      <c r="AF149" s="1181"/>
    </row>
    <row r="150" spans="1:32">
      <c r="A150" s="1240" t="s">
        <v>572</v>
      </c>
      <c r="B150" s="1561"/>
      <c r="C150" s="1561"/>
      <c r="D150" s="1561"/>
      <c r="E150" s="228">
        <v>26.31</v>
      </c>
      <c r="F150" s="228">
        <v>23.77</v>
      </c>
      <c r="G150" s="228">
        <v>3.47</v>
      </c>
      <c r="H150" s="228">
        <v>4.96</v>
      </c>
      <c r="I150" s="228">
        <v>7.92</v>
      </c>
      <c r="J150" s="228">
        <v>7.33</v>
      </c>
      <c r="K150" s="228">
        <v>8.9</v>
      </c>
      <c r="L150" s="228">
        <v>9.8000000000000007</v>
      </c>
      <c r="M150" s="228">
        <v>12.35</v>
      </c>
      <c r="N150" s="228">
        <v>15.69</v>
      </c>
      <c r="O150" s="228">
        <v>17.010000000000002</v>
      </c>
      <c r="P150" s="1568">
        <v>27</v>
      </c>
      <c r="Q150" s="1568">
        <v>27</v>
      </c>
      <c r="R150" s="1568">
        <v>27</v>
      </c>
      <c r="S150" s="1568">
        <v>27</v>
      </c>
      <c r="T150" s="1568">
        <v>27</v>
      </c>
      <c r="U150" s="1568">
        <v>27</v>
      </c>
      <c r="V150" s="1568">
        <v>27</v>
      </c>
      <c r="W150" s="1568">
        <v>27</v>
      </c>
      <c r="X150" s="731"/>
      <c r="Y150" s="731"/>
      <c r="Z150" s="731"/>
      <c r="AA150" s="731"/>
      <c r="AB150" s="731"/>
      <c r="AC150" s="1181"/>
      <c r="AD150" s="1181"/>
      <c r="AE150" s="1181"/>
      <c r="AF150" s="1181"/>
    </row>
    <row r="151" spans="1:32">
      <c r="A151" s="1243" t="s">
        <v>279</v>
      </c>
      <c r="B151" s="1562"/>
      <c r="C151" s="1562"/>
      <c r="D151" s="1562"/>
      <c r="E151" s="229">
        <v>8919.09</v>
      </c>
      <c r="F151" s="229">
        <v>8058.03</v>
      </c>
      <c r="G151" s="229">
        <v>1174.8830100000002</v>
      </c>
      <c r="H151" s="229">
        <v>1679.3716800000002</v>
      </c>
      <c r="I151" s="229">
        <v>2681.5773600000002</v>
      </c>
      <c r="J151" s="229">
        <v>2478.73479</v>
      </c>
      <c r="K151" s="229">
        <v>3000.1989000000003</v>
      </c>
      <c r="L151" s="229">
        <v>3307.0590000000002</v>
      </c>
      <c r="M151" s="229">
        <v>4181.4629999999997</v>
      </c>
      <c r="N151" s="229">
        <v>5328.4181399999998</v>
      </c>
      <c r="O151" s="229">
        <v>5750.3835900000013</v>
      </c>
      <c r="P151" s="1569">
        <v>9530.4871876500001</v>
      </c>
      <c r="Q151" s="1569">
        <v>9813.6326871000001</v>
      </c>
      <c r="R151" s="1569">
        <v>9813.6326871000001</v>
      </c>
      <c r="S151" s="1569">
        <v>9813.6326871000001</v>
      </c>
      <c r="T151" s="1569">
        <v>9813.6326871000001</v>
      </c>
      <c r="U151" s="1569">
        <v>9813.6326871000001</v>
      </c>
      <c r="V151" s="1569">
        <v>9813.6326871000001</v>
      </c>
      <c r="W151" s="1569">
        <v>9813.6326871000001</v>
      </c>
      <c r="X151" s="731"/>
      <c r="Y151" s="731"/>
      <c r="Z151" s="731"/>
      <c r="AA151" s="731"/>
      <c r="AB151" s="731"/>
      <c r="AC151" s="1181"/>
      <c r="AD151" s="1181"/>
      <c r="AE151" s="1181"/>
      <c r="AF151" s="1181"/>
    </row>
    <row r="152" spans="1:32">
      <c r="A152" s="1243" t="s">
        <v>569</v>
      </c>
      <c r="B152" s="1562"/>
      <c r="C152" s="1562"/>
      <c r="D152" s="1562"/>
      <c r="E152" s="229">
        <v>8882.5400000000009</v>
      </c>
      <c r="F152" s="229">
        <v>8584.4510000000009</v>
      </c>
      <c r="G152" s="229">
        <v>2134.8230100000001</v>
      </c>
      <c r="H152" s="229">
        <v>2445.4726800000003</v>
      </c>
      <c r="I152" s="229">
        <v>3196.9593600000003</v>
      </c>
      <c r="J152" s="229">
        <v>3314.8057899999999</v>
      </c>
      <c r="K152" s="229">
        <v>4347.8348999999998</v>
      </c>
      <c r="L152" s="229">
        <v>4845.5400000000009</v>
      </c>
      <c r="M152" s="229">
        <v>6668.5469999999996</v>
      </c>
      <c r="N152" s="229">
        <v>8047.4561400000002</v>
      </c>
      <c r="O152" s="229">
        <v>8297.5115900000019</v>
      </c>
      <c r="P152" s="1569">
        <v>11615.55798632977</v>
      </c>
      <c r="Q152" s="1569">
        <v>11398.378314910093</v>
      </c>
      <c r="R152" s="1569">
        <v>11081.8921537278</v>
      </c>
      <c r="S152" s="1569">
        <v>10647.671710726087</v>
      </c>
      <c r="T152" s="1569">
        <v>10206.528837648479</v>
      </c>
      <c r="U152" s="1569">
        <v>10126.934025613515</v>
      </c>
      <c r="V152" s="1569">
        <v>10340.512758044744</v>
      </c>
      <c r="W152" s="1569">
        <v>10541.689031351674</v>
      </c>
      <c r="X152" s="731"/>
      <c r="Y152" s="731"/>
      <c r="Z152" s="731"/>
      <c r="AA152" s="731"/>
      <c r="AB152" s="731"/>
      <c r="AC152" s="1181"/>
      <c r="AD152" s="1181"/>
      <c r="AE152" s="1181"/>
      <c r="AF152" s="1181"/>
    </row>
    <row r="153" spans="1:32">
      <c r="A153" s="1243" t="s">
        <v>265</v>
      </c>
      <c r="B153" s="1246"/>
      <c r="C153" s="1246"/>
      <c r="D153" s="1246"/>
      <c r="E153" s="230">
        <v>22.747921132358638</v>
      </c>
      <c r="F153" s="230">
        <v>64.736032034507986</v>
      </c>
      <c r="G153" s="230">
        <v>11.248224424633284</v>
      </c>
      <c r="H153" s="230">
        <v>5.4058767433069619</v>
      </c>
      <c r="I153" s="230">
        <v>5.2188268019628401</v>
      </c>
      <c r="J153" s="230">
        <v>6.2189261358413113</v>
      </c>
      <c r="K153" s="230">
        <v>6.6702896960975488</v>
      </c>
      <c r="L153" s="230">
        <v>6.3237888912090225</v>
      </c>
      <c r="M153" s="230">
        <v>6.109385492773872</v>
      </c>
      <c r="N153" s="230">
        <v>6.1798309032393313</v>
      </c>
      <c r="O153" s="230">
        <v>5.7418728755619046</v>
      </c>
      <c r="P153" s="1247">
        <v>5.7687363190030796</v>
      </c>
      <c r="Q153" s="1247">
        <v>5.0953491244904221</v>
      </c>
      <c r="R153" s="1247">
        <v>4.2641370794536666</v>
      </c>
      <c r="S153" s="1247">
        <v>3.6618918993517506</v>
      </c>
      <c r="T153" s="1247">
        <v>3.6644641163295106</v>
      </c>
      <c r="U153" s="1247">
        <v>3.7666784953306442</v>
      </c>
      <c r="V153" s="1247">
        <v>3.5276628640666083</v>
      </c>
      <c r="W153" s="1247">
        <v>2.9833534798144234</v>
      </c>
      <c r="X153" s="731"/>
      <c r="Y153" s="731"/>
      <c r="Z153" s="731"/>
      <c r="AA153" s="731"/>
      <c r="AB153" s="731"/>
      <c r="AC153" s="1181"/>
      <c r="AD153" s="1181"/>
      <c r="AE153" s="1181"/>
      <c r="AF153" s="1181"/>
    </row>
    <row r="154" spans="1:32">
      <c r="A154" s="1243" t="s">
        <v>570</v>
      </c>
      <c r="B154" s="1246"/>
      <c r="C154" s="1246"/>
      <c r="D154" s="1246"/>
      <c r="E154" s="230">
        <v>44.872312166064653</v>
      </c>
      <c r="F154" s="230" t="s">
        <v>36</v>
      </c>
      <c r="G154" s="230" t="s">
        <v>36</v>
      </c>
      <c r="H154" s="230">
        <v>17.123864915572263</v>
      </c>
      <c r="I154" s="230">
        <v>18.845727136642534</v>
      </c>
      <c r="J154" s="230">
        <v>19.577562692025154</v>
      </c>
      <c r="K154" s="230">
        <v>41.126784098697854</v>
      </c>
      <c r="L154" s="230">
        <v>24.496370424141858</v>
      </c>
      <c r="M154" s="230">
        <v>13.180838991545793</v>
      </c>
      <c r="N154" s="230">
        <v>26.717701796082917</v>
      </c>
      <c r="O154" s="230">
        <v>20.255817752071238</v>
      </c>
      <c r="P154" s="1939">
        <v>14.278087716588356</v>
      </c>
      <c r="Q154" s="1939">
        <v>11.096458367158203</v>
      </c>
      <c r="R154" s="1247">
        <v>8.7610809482691536</v>
      </c>
      <c r="S154" s="1247">
        <v>7.8478061611720298</v>
      </c>
      <c r="T154" s="1247">
        <v>8.392402693426952</v>
      </c>
      <c r="U154" s="1247">
        <v>8.827756901485122</v>
      </c>
      <c r="V154" s="1247">
        <v>8.2307445571205502</v>
      </c>
      <c r="W154" s="1247">
        <v>7.4529972317977284</v>
      </c>
      <c r="X154" s="731"/>
      <c r="Y154" s="731"/>
      <c r="Z154" s="731"/>
      <c r="AA154" s="731"/>
      <c r="AB154" s="731"/>
      <c r="AC154" s="1181"/>
      <c r="AD154" s="1181"/>
      <c r="AE154" s="1181"/>
      <c r="AF154" s="1181"/>
    </row>
    <row r="155" spans="1:32">
      <c r="A155" s="1243" t="s">
        <v>267</v>
      </c>
      <c r="B155" s="1246"/>
      <c r="C155" s="1246"/>
      <c r="D155" s="1246"/>
      <c r="E155" s="230">
        <v>5.3360435063536515</v>
      </c>
      <c r="F155" s="230">
        <v>4.9600666264101321</v>
      </c>
      <c r="G155" s="230">
        <v>0.74586228043278302</v>
      </c>
      <c r="H155" s="230">
        <v>0.87953262584771807</v>
      </c>
      <c r="I155" s="230">
        <v>1.3727560501396008</v>
      </c>
      <c r="J155" s="230">
        <v>1.2241971439916555</v>
      </c>
      <c r="K155" s="230">
        <v>1.4282465104300308</v>
      </c>
      <c r="L155" s="230">
        <v>1.5930324978612223</v>
      </c>
      <c r="M155" s="230">
        <v>1.5983666432856729</v>
      </c>
      <c r="N155" s="230">
        <v>2.0133092193484692</v>
      </c>
      <c r="O155" s="230">
        <v>1.6896394079898456</v>
      </c>
      <c r="P155" s="1247">
        <v>2.7243731054125528</v>
      </c>
      <c r="Q155" s="1247">
        <v>2.4904992480247161</v>
      </c>
      <c r="R155" s="1247">
        <v>2.2947976495258851</v>
      </c>
      <c r="S155" s="1247">
        <v>2.109724611992164</v>
      </c>
      <c r="T155" s="1247">
        <v>1.9617762433871748</v>
      </c>
      <c r="U155" s="1247">
        <v>1.9617762433871748</v>
      </c>
      <c r="V155" s="1247">
        <v>1.9617762433871748</v>
      </c>
      <c r="W155" s="1247">
        <v>1.9617762433871748</v>
      </c>
      <c r="X155" s="731"/>
      <c r="Y155" s="731"/>
      <c r="Z155" s="731"/>
      <c r="AA155" s="731"/>
      <c r="AB155" s="731"/>
      <c r="AC155" s="1181"/>
      <c r="AD155" s="1181"/>
      <c r="AE155" s="1181"/>
      <c r="AF155" s="1181"/>
    </row>
    <row r="156" spans="1:32">
      <c r="A156" s="731" t="s">
        <v>660</v>
      </c>
      <c r="B156" s="1562"/>
      <c r="C156" s="1562"/>
      <c r="D156" s="1562"/>
      <c r="E156" s="229">
        <v>798.63240465702245</v>
      </c>
      <c r="F156" s="229">
        <v>700.67580886363714</v>
      </c>
      <c r="G156" s="229">
        <v>148.35935457108198</v>
      </c>
      <c r="H156" s="229">
        <v>157.82288097510812</v>
      </c>
      <c r="I156" s="229">
        <v>204.04770773781993</v>
      </c>
      <c r="J156" s="229">
        <v>261.05536597010706</v>
      </c>
      <c r="K156" s="229">
        <v>281.42269474526086</v>
      </c>
      <c r="L156" s="229">
        <v>259.16896837304131</v>
      </c>
      <c r="M156" s="229">
        <v>297.12710353126323</v>
      </c>
      <c r="N156" s="229">
        <v>335.18013971655836</v>
      </c>
      <c r="O156" s="229">
        <v>358.91268593833138</v>
      </c>
      <c r="P156" s="1238">
        <v>405.1662988905473</v>
      </c>
      <c r="Q156" s="1238">
        <v>396.11714591472742</v>
      </c>
      <c r="R156" s="1238">
        <v>375.11532003147613</v>
      </c>
      <c r="S156" s="1238">
        <v>350.24419591077805</v>
      </c>
      <c r="T156" s="1238">
        <v>326.07694214477817</v>
      </c>
      <c r="U156" s="1238">
        <v>316.7448927944954</v>
      </c>
      <c r="V156" s="1238">
        <v>318.82814887124943</v>
      </c>
      <c r="W156" s="1238">
        <v>320.37489697759406</v>
      </c>
      <c r="X156" s="731"/>
      <c r="Y156" s="731"/>
      <c r="Z156" s="731"/>
      <c r="AA156" s="731"/>
      <c r="AB156" s="731"/>
      <c r="AC156" s="1181"/>
      <c r="AD156" s="1181"/>
      <c r="AE156" s="1181"/>
      <c r="AF156" s="1181"/>
    </row>
    <row r="157" spans="1:32">
      <c r="A157" s="731" t="s">
        <v>661</v>
      </c>
      <c r="B157" s="1562"/>
      <c r="C157" s="1562"/>
      <c r="D157" s="1562"/>
      <c r="E157" s="229">
        <v>390.3384186984469</v>
      </c>
      <c r="F157" s="229">
        <v>399.95194295544104</v>
      </c>
      <c r="G157" s="229">
        <v>63.870912076408636</v>
      </c>
      <c r="H157" s="229">
        <v>88.634663020952559</v>
      </c>
      <c r="I157" s="229">
        <v>125.31333767599334</v>
      </c>
      <c r="J157" s="229">
        <v>143.29529364919696</v>
      </c>
      <c r="K157" s="229">
        <v>139.76791395344469</v>
      </c>
      <c r="L157" s="229">
        <v>114.53969521944637</v>
      </c>
      <c r="M157" s="229">
        <v>74.461143296495393</v>
      </c>
      <c r="N157" s="229">
        <v>86.389466555765139</v>
      </c>
      <c r="O157" s="229">
        <v>78.504225208864796</v>
      </c>
      <c r="P157" s="1245">
        <v>130.69880609372493</v>
      </c>
      <c r="Q157" s="1245">
        <v>120.03549876203861</v>
      </c>
      <c r="R157" s="1245">
        <v>113.67130910044732</v>
      </c>
      <c r="S157" s="1245">
        <v>106.13460482144789</v>
      </c>
      <c r="T157" s="1245">
        <v>98.811194589326718</v>
      </c>
      <c r="U157" s="1245">
        <v>95.983300846816789</v>
      </c>
      <c r="V157" s="1245">
        <v>96.614590567045283</v>
      </c>
      <c r="W157" s="1245">
        <v>97.083302114422452</v>
      </c>
      <c r="X157" s="731"/>
      <c r="Y157" s="731"/>
      <c r="Z157" s="731"/>
      <c r="AA157" s="731"/>
      <c r="AB157" s="731"/>
      <c r="AC157" s="1181"/>
      <c r="AD157" s="1181"/>
      <c r="AE157" s="1181"/>
      <c r="AF157" s="1181"/>
    </row>
    <row r="158" spans="1:32">
      <c r="A158" s="1243" t="s">
        <v>571</v>
      </c>
      <c r="B158" s="1250"/>
      <c r="C158" s="1250"/>
      <c r="D158" s="1250"/>
      <c r="E158" s="653">
        <v>-4.9370059053109719E-2</v>
      </c>
      <c r="F158" s="653">
        <v>-5.0124410060523476E-2</v>
      </c>
      <c r="G158" s="653">
        <v>-0.3513558341438609</v>
      </c>
      <c r="H158" s="653">
        <v>0.11052347863815346</v>
      </c>
      <c r="I158" s="653">
        <v>-5.848953319027117E-2</v>
      </c>
      <c r="J158" s="653">
        <v>-7.6565741831541384E-2</v>
      </c>
      <c r="K158" s="653">
        <v>-0.10377552768251461</v>
      </c>
      <c r="L158" s="653">
        <v>-2.9081970415405452E-2</v>
      </c>
      <c r="M158" s="653">
        <v>-3.5030146147412948E-2</v>
      </c>
      <c r="N158" s="653">
        <v>5.4159347937359957E-2</v>
      </c>
      <c r="O158" s="653">
        <v>-5.3719894536635518E-3</v>
      </c>
      <c r="P158" s="1251">
        <v>7.1802875093175053E-2</v>
      </c>
      <c r="Q158" s="1251">
        <v>9.6042089334543113E-2</v>
      </c>
      <c r="R158" s="1251">
        <v>0.1121484606799536</v>
      </c>
      <c r="S158" s="1251">
        <v>0.13344355973690719</v>
      </c>
      <c r="T158" s="1251">
        <v>0.12836081818745049</v>
      </c>
      <c r="U158" s="1251">
        <v>0.12138969654508444</v>
      </c>
      <c r="V158" s="1251">
        <v>9.9732218068504408E-2</v>
      </c>
      <c r="W158" s="1251">
        <v>0.1136745336410586</v>
      </c>
      <c r="X158" s="731"/>
      <c r="Y158" s="731"/>
      <c r="Z158" s="731"/>
      <c r="AA158" s="731"/>
      <c r="AB158" s="731"/>
      <c r="AC158" s="1181"/>
      <c r="AD158" s="1181"/>
      <c r="AE158" s="1181"/>
      <c r="AF158" s="1181"/>
    </row>
    <row r="159" spans="1:32">
      <c r="A159" s="990" t="s">
        <v>288</v>
      </c>
      <c r="B159" s="990"/>
      <c r="C159" s="990"/>
      <c r="D159" s="990"/>
      <c r="E159" s="1166">
        <v>6.7270999619916385E-3</v>
      </c>
      <c r="F159" s="1166">
        <v>0</v>
      </c>
      <c r="G159" s="1166">
        <v>0</v>
      </c>
      <c r="H159" s="1166">
        <v>5.5262096774193553E-2</v>
      </c>
      <c r="I159" s="1166">
        <v>3.3825757575757572E-2</v>
      </c>
      <c r="J159" s="1166">
        <v>4.3839427012278304E-2</v>
      </c>
      <c r="K159" s="1166">
        <v>3.003393258426966E-2</v>
      </c>
      <c r="L159" s="1166">
        <v>3.6683673469387751E-2</v>
      </c>
      <c r="M159" s="1166">
        <v>1.6289519419735474E-2</v>
      </c>
      <c r="N159" s="1166">
        <v>9.9974043305346618E-3</v>
      </c>
      <c r="O159" s="1166">
        <v>1.2169312169312168E-2</v>
      </c>
      <c r="P159" s="1167">
        <v>2.813651422685088E-2</v>
      </c>
      <c r="Q159" s="1167">
        <v>4.505942197555865E-2</v>
      </c>
      <c r="R159" s="1167">
        <v>7.9898816611013335E-2</v>
      </c>
      <c r="S159" s="1167">
        <v>8.9196902372963113E-2</v>
      </c>
      <c r="T159" s="1167">
        <v>8.3408771667766848E-2</v>
      </c>
      <c r="U159" s="1167">
        <v>0.11327905957987661</v>
      </c>
      <c r="V159" s="1167">
        <v>0.12149569131444905</v>
      </c>
      <c r="W159" s="1167">
        <v>0.13417420789230472</v>
      </c>
      <c r="X159" s="731"/>
      <c r="Y159" s="731"/>
      <c r="Z159" s="731"/>
      <c r="AA159" s="731"/>
      <c r="AB159" s="731"/>
      <c r="AC159" s="1181"/>
      <c r="AD159" s="1181"/>
      <c r="AE159" s="1181"/>
      <c r="AF159" s="1181"/>
    </row>
    <row r="160" spans="1:32">
      <c r="A160" s="1553" t="s">
        <v>201</v>
      </c>
      <c r="B160" s="1553"/>
      <c r="C160" s="1553"/>
      <c r="D160" s="1553"/>
      <c r="E160" s="1553"/>
      <c r="F160" s="1571"/>
      <c r="G160" s="1571"/>
      <c r="H160" s="1571"/>
      <c r="I160" s="1571"/>
      <c r="J160" s="1571"/>
      <c r="K160" s="1571"/>
      <c r="L160" s="1571"/>
      <c r="M160" s="1571"/>
      <c r="N160" s="1571"/>
      <c r="O160" s="1571"/>
      <c r="P160" s="1172"/>
      <c r="Q160" s="1172"/>
      <c r="R160" s="1172"/>
      <c r="S160" s="1172"/>
      <c r="T160" s="1172"/>
      <c r="U160" s="1172"/>
      <c r="V160" s="1553"/>
      <c r="W160" s="2391" t="s">
        <v>200</v>
      </c>
      <c r="X160" s="731"/>
      <c r="Y160" s="731"/>
      <c r="Z160" s="731"/>
      <c r="AA160" s="731"/>
      <c r="AB160" s="731"/>
      <c r="AC160" s="1181"/>
      <c r="AD160" s="1181"/>
      <c r="AE160" s="1181"/>
      <c r="AF160" s="1181"/>
    </row>
    <row r="161" spans="1:32">
      <c r="A161" s="1554"/>
      <c r="B161" s="1554"/>
      <c r="C161" s="1554"/>
      <c r="D161" s="1554"/>
      <c r="E161" s="1181"/>
      <c r="F161" s="1181"/>
      <c r="G161" s="1181"/>
      <c r="H161" s="1181"/>
      <c r="I161" s="1181"/>
      <c r="J161" s="1181"/>
      <c r="K161" s="1181"/>
      <c r="L161" s="1181"/>
      <c r="M161" s="1181"/>
      <c r="N161" s="1181"/>
      <c r="O161" s="1181"/>
      <c r="P161" s="1181"/>
      <c r="Q161" s="1181"/>
      <c r="R161" s="1181"/>
      <c r="S161" s="1181"/>
      <c r="T161" s="1181"/>
      <c r="U161" s="1181"/>
      <c r="V161" s="1181"/>
      <c r="W161" s="1181"/>
      <c r="X161" s="731"/>
      <c r="Y161" s="731"/>
      <c r="Z161" s="731"/>
      <c r="AA161" s="731"/>
      <c r="AB161" s="731"/>
      <c r="AC161" s="1181"/>
      <c r="AD161" s="1181"/>
      <c r="AE161" s="1181"/>
      <c r="AF161" s="1181"/>
    </row>
    <row r="162" spans="1:32">
      <c r="A162" s="1555" t="s">
        <v>558</v>
      </c>
      <c r="B162" s="1563"/>
      <c r="C162" s="1563"/>
      <c r="D162" s="1563"/>
      <c r="E162" s="1563"/>
      <c r="F162" s="1563"/>
      <c r="G162" s="1563"/>
      <c r="H162" s="1563"/>
      <c r="I162" s="1563"/>
      <c r="J162" s="1563"/>
      <c r="K162" s="1563"/>
      <c r="L162" s="1563"/>
      <c r="M162" s="1563"/>
      <c r="N162" s="1563"/>
      <c r="O162" s="1563"/>
      <c r="P162" s="1570"/>
      <c r="Q162" s="1570"/>
      <c r="R162" s="1570"/>
      <c r="S162" s="1570"/>
      <c r="T162" s="1570"/>
      <c r="U162" s="1570"/>
      <c r="V162" s="1570"/>
      <c r="W162" s="1570"/>
      <c r="X162" s="731"/>
      <c r="Y162" s="731"/>
      <c r="Z162" s="731"/>
      <c r="AA162" s="731"/>
      <c r="AB162" s="731"/>
      <c r="AC162" s="1181"/>
      <c r="AD162" s="1181"/>
      <c r="AE162" s="1181"/>
      <c r="AF162" s="1181"/>
    </row>
    <row r="163" spans="1:32" ht="12.75" hidden="1" customHeight="1" outlineLevel="1">
      <c r="A163" s="1556" t="s">
        <v>559</v>
      </c>
      <c r="B163" s="1564">
        <v>0</v>
      </c>
      <c r="C163" s="1564">
        <v>0</v>
      </c>
      <c r="D163" s="1564">
        <v>0</v>
      </c>
      <c r="E163" s="1564">
        <v>0</v>
      </c>
      <c r="F163" s="1564">
        <v>-1.0000000000009095</v>
      </c>
      <c r="G163" s="1564">
        <v>0</v>
      </c>
      <c r="H163" s="1564">
        <v>0</v>
      </c>
      <c r="I163" s="1564">
        <v>6.1999999998988642E-2</v>
      </c>
      <c r="J163" s="1564">
        <v>-0.10599999999885767</v>
      </c>
      <c r="K163" s="1564">
        <v>-9.0000000009240466E-3</v>
      </c>
      <c r="L163" s="1564">
        <v>0</v>
      </c>
      <c r="M163" s="1564">
        <v>0</v>
      </c>
      <c r="N163" s="1564">
        <v>0</v>
      </c>
      <c r="O163" s="1564">
        <v>0</v>
      </c>
      <c r="P163" s="1564">
        <v>0</v>
      </c>
      <c r="Q163" s="1564">
        <v>0</v>
      </c>
      <c r="R163" s="1564">
        <v>0</v>
      </c>
      <c r="S163" s="1564">
        <v>0</v>
      </c>
      <c r="T163" s="1564">
        <v>0</v>
      </c>
      <c r="U163" s="1564">
        <v>0</v>
      </c>
      <c r="V163" s="1564">
        <v>0</v>
      </c>
      <c r="W163" s="1564">
        <v>0</v>
      </c>
      <c r="X163" s="731"/>
      <c r="Y163" s="731"/>
      <c r="Z163" s="731"/>
      <c r="AA163" s="731"/>
      <c r="AB163" s="731"/>
      <c r="AC163" s="1181"/>
      <c r="AD163" s="1181"/>
      <c r="AE163" s="1181"/>
      <c r="AF163" s="1181"/>
    </row>
    <row r="164" spans="1:32" ht="12.75" hidden="1" customHeight="1" outlineLevel="1">
      <c r="A164" s="1557" t="s">
        <v>560</v>
      </c>
      <c r="B164" s="1565">
        <v>0</v>
      </c>
      <c r="C164" s="1565">
        <v>0</v>
      </c>
      <c r="D164" s="1565">
        <v>0</v>
      </c>
      <c r="E164" s="1565">
        <v>0</v>
      </c>
      <c r="F164" s="1565">
        <v>0</v>
      </c>
      <c r="G164" s="1565">
        <v>0</v>
      </c>
      <c r="H164" s="1565">
        <v>0</v>
      </c>
      <c r="I164" s="1565">
        <v>0</v>
      </c>
      <c r="J164" s="1565">
        <v>0</v>
      </c>
      <c r="K164" s="1565">
        <v>0</v>
      </c>
      <c r="L164" s="1565">
        <v>0</v>
      </c>
      <c r="M164" s="1565">
        <v>0</v>
      </c>
      <c r="N164" s="1565">
        <v>0</v>
      </c>
      <c r="O164" s="1565">
        <v>0</v>
      </c>
      <c r="P164" s="1565">
        <v>0</v>
      </c>
      <c r="Q164" s="1565">
        <v>0</v>
      </c>
      <c r="R164" s="1565">
        <v>0</v>
      </c>
      <c r="S164" s="1565">
        <v>0</v>
      </c>
      <c r="T164" s="1565">
        <v>0</v>
      </c>
      <c r="U164" s="1565">
        <v>0</v>
      </c>
      <c r="V164" s="1565">
        <v>0</v>
      </c>
      <c r="W164" s="1565">
        <v>0</v>
      </c>
      <c r="X164" s="731"/>
      <c r="Y164" s="731"/>
      <c r="Z164" s="731"/>
      <c r="AA164" s="731"/>
      <c r="AB164" s="731"/>
      <c r="AC164" s="1181"/>
      <c r="AD164" s="1181"/>
      <c r="AE164" s="1181"/>
      <c r="AF164" s="1181"/>
    </row>
    <row r="165" spans="1:32" ht="12.75" hidden="1" customHeight="1" outlineLevel="1">
      <c r="A165" s="1557" t="s">
        <v>561</v>
      </c>
      <c r="B165" s="1565">
        <v>0</v>
      </c>
      <c r="C165" s="1565">
        <v>0</v>
      </c>
      <c r="D165" s="1565">
        <v>0</v>
      </c>
      <c r="E165" s="1565">
        <v>0</v>
      </c>
      <c r="F165" s="1565">
        <v>0</v>
      </c>
      <c r="G165" s="1565">
        <v>0</v>
      </c>
      <c r="H165" s="1565">
        <v>0</v>
      </c>
      <c r="I165" s="1565">
        <v>0</v>
      </c>
      <c r="J165" s="1565">
        <v>0</v>
      </c>
      <c r="K165" s="1565">
        <v>0</v>
      </c>
      <c r="L165" s="1565">
        <v>0</v>
      </c>
      <c r="M165" s="1565">
        <v>0</v>
      </c>
      <c r="N165" s="1565">
        <v>0</v>
      </c>
      <c r="O165" s="1565">
        <v>0</v>
      </c>
      <c r="P165" s="1565">
        <v>0</v>
      </c>
      <c r="Q165" s="1565">
        <v>0</v>
      </c>
      <c r="R165" s="1565">
        <v>0</v>
      </c>
      <c r="S165" s="1565">
        <v>0</v>
      </c>
      <c r="T165" s="1565">
        <v>0</v>
      </c>
      <c r="U165" s="1565">
        <v>0</v>
      </c>
      <c r="V165" s="1565">
        <v>0</v>
      </c>
      <c r="W165" s="1565">
        <v>0</v>
      </c>
      <c r="X165" s="731"/>
      <c r="Y165" s="731"/>
      <c r="Z165" s="731"/>
      <c r="AA165" s="731"/>
      <c r="AB165" s="731"/>
      <c r="AC165" s="1181"/>
      <c r="AD165" s="1181"/>
      <c r="AE165" s="1181"/>
      <c r="AF165" s="1181"/>
    </row>
    <row r="166" spans="1:32" ht="12.75" hidden="1" customHeight="1" outlineLevel="1">
      <c r="A166" s="1557" t="s">
        <v>562</v>
      </c>
      <c r="B166" s="1565"/>
      <c r="C166" s="1565">
        <v>14.06100000000017</v>
      </c>
      <c r="D166" s="1565">
        <v>14.279999999999824</v>
      </c>
      <c r="E166" s="1565">
        <v>77.907000000000323</v>
      </c>
      <c r="F166" s="1932">
        <v>0</v>
      </c>
      <c r="G166" s="1565">
        <v>5.1159076974727213E-13</v>
      </c>
      <c r="H166" s="1565">
        <v>0</v>
      </c>
      <c r="I166" s="1565">
        <v>6.199999999995498E-2</v>
      </c>
      <c r="J166" s="1565">
        <v>-0.16800000000000637</v>
      </c>
      <c r="K166" s="1565">
        <v>9.7000000000775799E-2</v>
      </c>
      <c r="L166" s="1565">
        <v>8.9999999998724434E-3</v>
      </c>
      <c r="M166" s="1565">
        <v>-31.179999999999609</v>
      </c>
      <c r="N166" s="1565">
        <v>3.899999999970305E-2</v>
      </c>
      <c r="O166" s="1565">
        <v>-9.9999999957844921E-4</v>
      </c>
      <c r="P166" s="1565">
        <v>-5.6843418860808015E-13</v>
      </c>
      <c r="Q166" s="1565">
        <v>0</v>
      </c>
      <c r="R166" s="1565">
        <v>-5.6843418860808015E-13</v>
      </c>
      <c r="S166" s="1565">
        <v>0</v>
      </c>
      <c r="T166" s="1565">
        <v>0</v>
      </c>
      <c r="U166" s="1565">
        <v>0</v>
      </c>
      <c r="V166" s="1565">
        <v>0</v>
      </c>
      <c r="W166" s="1565">
        <v>6.8212102632969618E-13</v>
      </c>
      <c r="X166" s="731"/>
      <c r="Y166" s="731"/>
      <c r="Z166" s="731"/>
      <c r="AA166" s="731"/>
      <c r="AB166" s="731"/>
      <c r="AC166" s="1181"/>
      <c r="AD166" s="1181"/>
      <c r="AE166" s="1181"/>
      <c r="AF166" s="1181"/>
    </row>
    <row r="167" spans="1:32" ht="12.75" hidden="1" customHeight="1" outlineLevel="1">
      <c r="A167" s="1557" t="s">
        <v>1575</v>
      </c>
      <c r="B167" s="1565"/>
      <c r="C167" s="1565"/>
      <c r="D167" s="1565"/>
      <c r="E167" s="1565"/>
      <c r="F167" s="1932"/>
      <c r="G167" s="1565"/>
      <c r="H167" s="1565"/>
      <c r="I167" s="1565"/>
      <c r="J167" s="1565"/>
      <c r="K167" s="1565">
        <v>0</v>
      </c>
      <c r="L167" s="1565">
        <v>0.51300000000014734</v>
      </c>
      <c r="M167" s="1565">
        <v>31.177999999999884</v>
      </c>
      <c r="N167" s="1565">
        <v>-3.9000000000214641E-2</v>
      </c>
      <c r="O167" s="1565">
        <v>1.0000000002037268E-3</v>
      </c>
      <c r="P167" s="225"/>
      <c r="Q167" s="225"/>
      <c r="R167" s="225"/>
      <c r="S167" s="225"/>
      <c r="T167" s="225"/>
      <c r="U167" s="225"/>
      <c r="V167" s="225"/>
      <c r="W167" s="225"/>
      <c r="X167" s="731"/>
      <c r="Y167" s="731"/>
      <c r="Z167" s="731"/>
      <c r="AA167" s="731"/>
      <c r="AB167" s="731"/>
      <c r="AC167" s="1181"/>
      <c r="AD167" s="1181"/>
      <c r="AE167" s="1181"/>
      <c r="AF167" s="1181"/>
    </row>
    <row r="168" spans="1:32" ht="12.75" hidden="1" customHeight="1" outlineLevel="1">
      <c r="A168" s="1557" t="s">
        <v>682</v>
      </c>
      <c r="B168" s="1565"/>
      <c r="C168" s="1565"/>
      <c r="D168" s="1565"/>
      <c r="E168" s="1565"/>
      <c r="F168" s="1565">
        <v>-0.18600000000000705</v>
      </c>
      <c r="G168" s="1565">
        <v>0</v>
      </c>
      <c r="H168" s="1565">
        <v>0</v>
      </c>
      <c r="I168" s="1565">
        <v>-3.0000000000427463E-3</v>
      </c>
      <c r="J168" s="1565">
        <v>-4.0950000000000273</v>
      </c>
      <c r="K168" s="1565">
        <v>1.7189999999999372</v>
      </c>
      <c r="L168" s="1565">
        <v>-0.36100000000010368</v>
      </c>
      <c r="M168" s="1565">
        <v>-6.700000000023465E-2</v>
      </c>
      <c r="N168" s="1565">
        <v>0.97300000000018372</v>
      </c>
      <c r="O168" s="1565">
        <v>4.9999999998817657E-3</v>
      </c>
      <c r="P168" s="225"/>
      <c r="Q168" s="225"/>
      <c r="R168" s="225"/>
      <c r="S168" s="225"/>
      <c r="T168" s="225"/>
      <c r="U168" s="225"/>
      <c r="V168" s="225"/>
      <c r="W168" s="225"/>
      <c r="X168" s="731"/>
      <c r="Y168" s="731"/>
      <c r="Z168" s="731"/>
      <c r="AA168" s="731"/>
      <c r="AB168" s="731"/>
      <c r="AC168" s="1181"/>
      <c r="AD168" s="1181"/>
      <c r="AE168" s="1181"/>
      <c r="AF168" s="1181"/>
    </row>
    <row r="169" spans="1:32" ht="12.75" hidden="1" customHeight="1" outlineLevel="1">
      <c r="A169" s="1557" t="s">
        <v>563</v>
      </c>
      <c r="B169" s="1565"/>
      <c r="C169" s="1565"/>
      <c r="D169" s="1565">
        <v>81.577999999999975</v>
      </c>
      <c r="E169" s="1565">
        <v>134.24099999999987</v>
      </c>
      <c r="F169" s="1565">
        <v>-0.51899999999989177</v>
      </c>
      <c r="G169" s="1565">
        <v>0</v>
      </c>
      <c r="H169" s="1565">
        <v>-61.734000000000208</v>
      </c>
      <c r="I169" s="1565">
        <v>-1.0000000002037268E-3</v>
      </c>
      <c r="J169" s="1565">
        <v>-5.5469999999999118</v>
      </c>
      <c r="K169" s="1565">
        <v>0</v>
      </c>
      <c r="L169" s="1565">
        <v>0.51299999999991996</v>
      </c>
      <c r="M169" s="1565">
        <v>31.179999999999609</v>
      </c>
      <c r="N169" s="1565">
        <v>-7.0920000000000982</v>
      </c>
      <c r="O169" s="1565">
        <v>2.1000000000185537E-2</v>
      </c>
      <c r="P169" s="225"/>
      <c r="Q169" s="225"/>
      <c r="R169" s="225"/>
      <c r="S169" s="225"/>
      <c r="T169" s="225"/>
      <c r="U169" s="225"/>
      <c r="V169" s="225"/>
      <c r="W169" s="225"/>
      <c r="X169" s="731"/>
      <c r="Y169" s="731"/>
      <c r="Z169" s="731"/>
      <c r="AA169" s="731"/>
      <c r="AB169" s="731"/>
      <c r="AC169" s="1181"/>
      <c r="AD169" s="1181"/>
      <c r="AE169" s="1181"/>
      <c r="AF169" s="1181"/>
    </row>
    <row r="170" spans="1:32" ht="12.75" hidden="1" customHeight="1" outlineLevel="1">
      <c r="A170" s="1557" t="s">
        <v>564</v>
      </c>
      <c r="B170" s="1565"/>
      <c r="C170" s="1565"/>
      <c r="D170" s="1565">
        <v>86.73399999999998</v>
      </c>
      <c r="E170" s="1565">
        <v>134.24099999999984</v>
      </c>
      <c r="F170" s="1565">
        <v>7.1054273576010019E-14</v>
      </c>
      <c r="G170" s="1565">
        <v>0</v>
      </c>
      <c r="H170" s="1565">
        <v>-5.6070000000001698</v>
      </c>
      <c r="I170" s="1565">
        <v>2.9999999998437943E-3</v>
      </c>
      <c r="J170" s="1565">
        <v>1.5631940186722204E-13</v>
      </c>
      <c r="K170" s="1565">
        <v>-1.9895196601282805E-13</v>
      </c>
      <c r="L170" s="1565">
        <v>1.0000000000331966E-3</v>
      </c>
      <c r="M170" s="1565">
        <v>31.179999999999666</v>
      </c>
      <c r="N170" s="1565">
        <v>5.1029999999999802</v>
      </c>
      <c r="O170" s="1565">
        <v>2.100000000007185E-2</v>
      </c>
      <c r="P170" s="225"/>
      <c r="Q170" s="225"/>
      <c r="R170" s="225"/>
      <c r="S170" s="225"/>
      <c r="T170" s="225"/>
      <c r="U170" s="225"/>
      <c r="V170" s="225"/>
      <c r="W170" s="225"/>
      <c r="X170" s="731"/>
      <c r="Y170" s="731"/>
      <c r="Z170" s="731"/>
      <c r="AA170" s="731"/>
      <c r="AB170" s="731"/>
      <c r="AC170" s="1181"/>
      <c r="AD170" s="1181"/>
      <c r="AE170" s="1181"/>
      <c r="AF170" s="1181"/>
    </row>
    <row r="171" spans="1:32" ht="12.75" hidden="1" customHeight="1" outlineLevel="1">
      <c r="A171" s="1557" t="s">
        <v>565</v>
      </c>
      <c r="B171" s="1565"/>
      <c r="C171" s="1565"/>
      <c r="D171" s="1565">
        <v>0</v>
      </c>
      <c r="E171" s="1565">
        <v>0</v>
      </c>
      <c r="F171" s="1565">
        <v>0</v>
      </c>
      <c r="G171" s="1565">
        <v>0</v>
      </c>
      <c r="H171" s="1565">
        <v>0</v>
      </c>
      <c r="I171" s="1565">
        <v>0</v>
      </c>
      <c r="J171" s="1565">
        <v>0</v>
      </c>
      <c r="K171" s="1565">
        <v>-9.0000000000145519E-3</v>
      </c>
      <c r="L171" s="1565">
        <v>0</v>
      </c>
      <c r="M171" s="1565">
        <v>0</v>
      </c>
      <c r="N171" s="1565">
        <v>-2.6790000000000873</v>
      </c>
      <c r="O171" s="1565">
        <v>0</v>
      </c>
      <c r="P171" s="226"/>
      <c r="Q171" s="226"/>
      <c r="R171" s="226"/>
      <c r="S171" s="226"/>
      <c r="T171" s="226"/>
      <c r="U171" s="226"/>
      <c r="V171" s="226"/>
      <c r="W171" s="226"/>
      <c r="X171" s="731"/>
      <c r="Y171" s="731"/>
      <c r="Z171" s="731"/>
      <c r="AA171" s="731"/>
      <c r="AB171" s="731"/>
      <c r="AC171" s="1181"/>
      <c r="AD171" s="1181"/>
      <c r="AE171" s="1181"/>
      <c r="AF171" s="1181"/>
    </row>
    <row r="172" spans="1:32" ht="12.75" hidden="1" customHeight="1" outlineLevel="1">
      <c r="A172" s="1557" t="s">
        <v>566</v>
      </c>
      <c r="B172" s="1565"/>
      <c r="C172" s="1565"/>
      <c r="D172" s="1565"/>
      <c r="E172" s="1565">
        <v>0.17699000000000001</v>
      </c>
      <c r="F172" s="1565">
        <v>0</v>
      </c>
      <c r="G172" s="1565">
        <v>0</v>
      </c>
      <c r="H172" s="1565">
        <v>0.27410000000000001</v>
      </c>
      <c r="I172" s="1565">
        <v>-6.2000000000000388E-3</v>
      </c>
      <c r="J172" s="1565">
        <v>0</v>
      </c>
      <c r="K172" s="1565">
        <v>0</v>
      </c>
      <c r="L172" s="1565">
        <v>0</v>
      </c>
      <c r="M172" s="1565">
        <v>-0.47821443516626694</v>
      </c>
      <c r="N172" s="1565">
        <v>-0.37478072605391116</v>
      </c>
      <c r="O172" s="1565">
        <v>0</v>
      </c>
      <c r="P172" s="226"/>
      <c r="Q172" s="226"/>
      <c r="R172" s="226"/>
      <c r="S172" s="226"/>
      <c r="T172" s="226"/>
      <c r="U172" s="226"/>
      <c r="V172" s="226"/>
      <c r="W172" s="226"/>
      <c r="X172" s="731"/>
      <c r="Y172" s="731"/>
      <c r="Z172" s="731"/>
      <c r="AA172" s="731"/>
      <c r="AB172" s="731"/>
      <c r="AC172" s="1181"/>
      <c r="AD172" s="1181"/>
      <c r="AE172" s="1181"/>
      <c r="AF172" s="1181"/>
    </row>
    <row r="173" spans="1:32" ht="12.75" hidden="1" customHeight="1" outlineLevel="1">
      <c r="A173" s="1558" t="s">
        <v>1149</v>
      </c>
      <c r="B173" s="1566"/>
      <c r="C173" s="1566"/>
      <c r="D173" s="1566"/>
      <c r="E173" s="1566"/>
      <c r="F173" s="1566"/>
      <c r="G173" s="1566">
        <v>0</v>
      </c>
      <c r="H173" s="1566">
        <v>0</v>
      </c>
      <c r="I173" s="1566">
        <v>0</v>
      </c>
      <c r="J173" s="1566">
        <v>0</v>
      </c>
      <c r="K173" s="1566">
        <v>0</v>
      </c>
      <c r="L173" s="1566">
        <v>0</v>
      </c>
      <c r="M173" s="1566">
        <v>0</v>
      </c>
      <c r="N173" s="1566">
        <v>0</v>
      </c>
      <c r="O173" s="1566">
        <v>2.6676209999999969</v>
      </c>
      <c r="P173" s="227"/>
      <c r="Q173" s="227"/>
      <c r="R173" s="227"/>
      <c r="S173" s="227"/>
      <c r="T173" s="227"/>
      <c r="U173" s="227"/>
      <c r="V173" s="227"/>
      <c r="W173" s="227"/>
      <c r="X173" s="731"/>
      <c r="Y173" s="731"/>
      <c r="Z173" s="731"/>
      <c r="AA173" s="731"/>
      <c r="AB173" s="731"/>
      <c r="AC173" s="1181"/>
      <c r="AD173" s="1181"/>
      <c r="AE173" s="1181"/>
      <c r="AF173" s="1181"/>
    </row>
    <row r="174" spans="1:32" ht="12.75" hidden="1" customHeight="1" outlineLevel="1">
      <c r="A174" s="1558" t="s">
        <v>394</v>
      </c>
      <c r="B174" s="1858">
        <v>0</v>
      </c>
      <c r="C174" s="1414">
        <v>0</v>
      </c>
      <c r="D174" s="1414">
        <v>0</v>
      </c>
      <c r="E174" s="1414">
        <v>9.9999999997635314E-4</v>
      </c>
      <c r="F174" s="1414">
        <v>1.00000000009004E-3</v>
      </c>
      <c r="G174" s="1414">
        <v>0</v>
      </c>
      <c r="H174" s="1414">
        <v>-9.9999999997635314E-4</v>
      </c>
      <c r="I174" s="1414">
        <v>-1.7000000000052751E-2</v>
      </c>
      <c r="J174" s="1414">
        <v>0</v>
      </c>
      <c r="K174" s="1414">
        <v>9.9999999997635314E-4</v>
      </c>
      <c r="L174" s="1414">
        <v>0.5180000000000291</v>
      </c>
      <c r="M174" s="1414">
        <v>31.17699999999968</v>
      </c>
      <c r="N174" s="1414">
        <v>0</v>
      </c>
      <c r="O174" s="1414">
        <v>0</v>
      </c>
      <c r="P174" s="227"/>
      <c r="Q174" s="227"/>
      <c r="R174" s="227"/>
      <c r="S174" s="227"/>
      <c r="T174" s="227"/>
      <c r="U174" s="227"/>
      <c r="V174" s="227"/>
      <c r="W174" s="227"/>
      <c r="X174" s="1181"/>
      <c r="Y174" s="1181"/>
      <c r="Z174" s="1181"/>
      <c r="AA174" s="1181"/>
      <c r="AB174" s="1181"/>
      <c r="AC174" s="1181"/>
      <c r="AD174" s="1181"/>
      <c r="AE174" s="1181"/>
      <c r="AF174" s="1181"/>
    </row>
    <row r="175" spans="1:32" ht="12.75" hidden="1" customHeight="1" outlineLevel="1">
      <c r="A175" s="1558" t="s">
        <v>766</v>
      </c>
      <c r="B175" s="1181"/>
      <c r="C175" s="1181"/>
      <c r="D175" s="1181"/>
      <c r="E175" s="1572">
        <v>134.23999999999987</v>
      </c>
      <c r="F175" s="1572">
        <v>0</v>
      </c>
      <c r="G175" s="1572">
        <v>0</v>
      </c>
      <c r="H175" s="1572">
        <v>-1.4210854715202004E-13</v>
      </c>
      <c r="I175" s="1572">
        <v>0</v>
      </c>
      <c r="J175" s="1572">
        <v>1.5631940186722204E-13</v>
      </c>
      <c r="K175" s="1572">
        <v>-1.8474111129762605E-13</v>
      </c>
      <c r="L175" s="1572">
        <v>0</v>
      </c>
      <c r="M175" s="1572">
        <v>31.179999999999552</v>
      </c>
      <c r="N175" s="1572">
        <v>-3.8999999999902002E-2</v>
      </c>
      <c r="O175" s="1572">
        <v>1.00000000009004E-3</v>
      </c>
      <c r="P175" s="2395">
        <v>0</v>
      </c>
      <c r="Q175" s="1414">
        <v>0</v>
      </c>
      <c r="R175" s="1414">
        <v>0</v>
      </c>
      <c r="S175" s="1414">
        <v>0</v>
      </c>
      <c r="T175" s="1414">
        <v>0</v>
      </c>
      <c r="U175" s="1414">
        <v>0</v>
      </c>
      <c r="V175" s="1414">
        <v>0</v>
      </c>
      <c r="W175" s="1414">
        <v>0</v>
      </c>
      <c r="X175" s="731"/>
      <c r="Y175" s="731"/>
      <c r="Z175" s="731"/>
      <c r="AA175" s="731"/>
      <c r="AB175" s="731"/>
      <c r="AC175" s="1181"/>
      <c r="AD175" s="1181"/>
      <c r="AE175" s="1181"/>
      <c r="AF175" s="1181"/>
    </row>
    <row r="176" spans="1:32" ht="12.75" hidden="1" customHeight="1" outlineLevel="1">
      <c r="A176" s="1558" t="s">
        <v>295</v>
      </c>
      <c r="B176" s="1181"/>
      <c r="C176" s="1181"/>
      <c r="D176" s="1414">
        <v>0</v>
      </c>
      <c r="E176" s="1414">
        <v>-9.9999999997635314E-4</v>
      </c>
      <c r="F176" s="1414">
        <v>-1.00000000009004E-3</v>
      </c>
      <c r="G176" s="1414">
        <v>0</v>
      </c>
      <c r="H176" s="1414">
        <v>9.9999999997635314E-4</v>
      </c>
      <c r="I176" s="1414">
        <v>1.7000000000052751E-2</v>
      </c>
      <c r="J176" s="1414">
        <v>0</v>
      </c>
      <c r="K176" s="1414">
        <v>-9.9999999997635314E-4</v>
      </c>
      <c r="L176" s="1414">
        <v>-0.5180000000000291</v>
      </c>
      <c r="M176" s="1414">
        <v>0</v>
      </c>
      <c r="N176" s="1414">
        <v>0</v>
      </c>
      <c r="O176" s="1414">
        <v>0</v>
      </c>
      <c r="P176" s="1414">
        <v>0</v>
      </c>
      <c r="Q176" s="1414">
        <v>0</v>
      </c>
      <c r="R176" s="1414">
        <v>0</v>
      </c>
      <c r="S176" s="1414">
        <v>0</v>
      </c>
      <c r="T176" s="1414">
        <v>0</v>
      </c>
      <c r="U176" s="1414">
        <v>0</v>
      </c>
      <c r="V176" s="1414">
        <v>0</v>
      </c>
      <c r="W176" s="1414">
        <v>0</v>
      </c>
      <c r="X176" s="1181"/>
      <c r="Y176" s="1181"/>
      <c r="Z176" s="1181"/>
      <c r="AA176" s="1181"/>
      <c r="AB176" s="1181"/>
      <c r="AC176" s="1181"/>
      <c r="AD176" s="1181"/>
      <c r="AE176" s="1181"/>
      <c r="AF176" s="1181"/>
    </row>
    <row r="177" spans="1:32" s="994" customFormat="1" ht="12.75" hidden="1" customHeight="1" outlineLevel="1">
      <c r="A177" s="1558" t="s">
        <v>680</v>
      </c>
      <c r="B177" s="1414"/>
      <c r="C177" s="1414"/>
      <c r="D177" s="1414">
        <v>0</v>
      </c>
      <c r="E177" s="1414">
        <v>0</v>
      </c>
      <c r="F177" s="1414">
        <v>0</v>
      </c>
      <c r="G177" s="1414">
        <v>0</v>
      </c>
      <c r="H177" s="1414">
        <v>0</v>
      </c>
      <c r="I177" s="1414">
        <v>2.9999999999290594E-3</v>
      </c>
      <c r="J177" s="1414">
        <v>4.0960000000000036</v>
      </c>
      <c r="K177" s="1414">
        <v>-1.7189999999998236</v>
      </c>
      <c r="L177" s="1414">
        <v>0.36100000000021737</v>
      </c>
      <c r="M177" s="1414">
        <v>6.7000000000007276E-2</v>
      </c>
      <c r="N177" s="1414">
        <v>-0.97299999999995634</v>
      </c>
      <c r="O177" s="1414">
        <v>-3.9999999999054126E-3</v>
      </c>
      <c r="P177" s="1414">
        <v>0.6899999999998272</v>
      </c>
      <c r="Q177" s="1414">
        <v>0.69000000000005457</v>
      </c>
      <c r="R177" s="1414">
        <v>0.69000000000005457</v>
      </c>
      <c r="S177" s="1414">
        <v>0.69000000000050932</v>
      </c>
      <c r="T177" s="1414">
        <v>0.69000000000050932</v>
      </c>
      <c r="U177" s="1414">
        <v>0.68999999999959982</v>
      </c>
      <c r="V177" s="1414">
        <v>0.69000000000005457</v>
      </c>
      <c r="W177" s="1414">
        <v>0.68999999999959982</v>
      </c>
      <c r="X177" s="1541"/>
      <c r="Y177" s="1541"/>
      <c r="Z177" s="1541"/>
      <c r="AA177" s="1541"/>
      <c r="AB177" s="1541"/>
      <c r="AC177" s="1541"/>
      <c r="AD177" s="1541"/>
      <c r="AE177" s="1541"/>
      <c r="AF177" s="1541"/>
    </row>
    <row r="178" spans="1:32" collapsed="1">
      <c r="A178" s="1558" t="s">
        <v>80</v>
      </c>
      <c r="B178" s="1414"/>
      <c r="C178" s="1414"/>
      <c r="D178" s="1414"/>
      <c r="E178" s="1414"/>
      <c r="F178" s="1414"/>
      <c r="G178" s="1414"/>
      <c r="H178" s="1414"/>
      <c r="I178" s="1414"/>
      <c r="J178" s="1414"/>
      <c r="K178" s="1414">
        <v>25.909990505201009</v>
      </c>
      <c r="L178" s="1414">
        <v>48.292985014382523</v>
      </c>
      <c r="M178" s="1414">
        <v>-23.66904874489768</v>
      </c>
      <c r="N178" s="1414">
        <v>120.71891224666868</v>
      </c>
      <c r="O178" s="1414">
        <v>95.367819549209798</v>
      </c>
      <c r="P178" s="1414">
        <v>12.171762178569907</v>
      </c>
      <c r="Q178" s="1414">
        <v>15.981697777619814</v>
      </c>
      <c r="R178" s="1414">
        <v>9.7597965894445622</v>
      </c>
      <c r="S178" s="1414">
        <v>7.4840912551413794</v>
      </c>
      <c r="T178" s="1414">
        <v>2.9564353954803835</v>
      </c>
      <c r="U178" s="1414">
        <v>-3.1277167503287444</v>
      </c>
      <c r="V178" s="1414">
        <v>-2.0387286798252546</v>
      </c>
      <c r="W178" s="1414">
        <v>0.79893462729793896</v>
      </c>
      <c r="X178" s="1181"/>
      <c r="Y178" s="1181"/>
      <c r="Z178" s="1181"/>
      <c r="AA178" s="1181"/>
      <c r="AB178" s="1181"/>
      <c r="AC178" s="1181"/>
      <c r="AD178" s="1181"/>
      <c r="AE178" s="1181"/>
      <c r="AF178" s="1181"/>
    </row>
    <row r="179" spans="1:32">
      <c r="A179" s="1120"/>
      <c r="B179" s="1181"/>
      <c r="C179" s="1181"/>
      <c r="D179" s="1181"/>
      <c r="E179" s="1181"/>
      <c r="F179" s="1181"/>
      <c r="G179" s="1181"/>
      <c r="H179" s="1181"/>
      <c r="I179" s="1181"/>
      <c r="J179" s="1181"/>
      <c r="K179" s="1181"/>
      <c r="L179" s="1181"/>
      <c r="M179" s="1181"/>
      <c r="N179" s="1181"/>
      <c r="O179" s="1181"/>
      <c r="P179" s="1181"/>
      <c r="Q179" s="1181"/>
      <c r="R179" s="1181"/>
      <c r="S179" s="1181"/>
      <c r="T179" s="1181"/>
      <c r="U179" s="1181"/>
      <c r="V179" s="1181"/>
      <c r="W179" s="1181"/>
      <c r="X179" s="731"/>
      <c r="Y179" s="731"/>
      <c r="Z179" s="731"/>
      <c r="AA179" s="731"/>
      <c r="AB179" s="731"/>
      <c r="AC179" s="1181"/>
      <c r="AD179" s="1181"/>
      <c r="AE179" s="1181"/>
      <c r="AF179" s="1181"/>
    </row>
    <row r="180" spans="1:32">
      <c r="A180" s="1553" t="s">
        <v>556</v>
      </c>
      <c r="B180" s="1567"/>
      <c r="C180" s="1567"/>
      <c r="D180" s="1567"/>
      <c r="E180" s="1567"/>
      <c r="F180" s="1567"/>
      <c r="G180" s="1567"/>
      <c r="H180" s="1567"/>
      <c r="I180" s="1567"/>
      <c r="J180" s="1567"/>
      <c r="K180" s="1567"/>
      <c r="L180" s="1567"/>
      <c r="M180" s="1567"/>
      <c r="N180" s="1567"/>
      <c r="O180" s="1567"/>
      <c r="P180" s="1567"/>
      <c r="Q180" s="1573"/>
      <c r="R180" s="1567"/>
      <c r="S180" s="1567"/>
      <c r="T180" s="1567"/>
      <c r="U180" s="1567"/>
      <c r="V180" s="1567"/>
      <c r="W180" s="1574" t="s">
        <v>557</v>
      </c>
      <c r="X180" s="1181"/>
      <c r="Y180" s="1181"/>
      <c r="Z180" s="1181"/>
      <c r="AA180" s="1181"/>
      <c r="AB180" s="1181"/>
      <c r="AC180" s="1181"/>
      <c r="AD180" s="1181"/>
      <c r="AE180" s="1181"/>
      <c r="AF180" s="1181"/>
    </row>
    <row r="181" spans="1:32">
      <c r="A181" s="1181"/>
      <c r="B181" s="1181"/>
      <c r="C181" s="1181"/>
      <c r="D181" s="1181"/>
      <c r="E181" s="1181"/>
      <c r="F181" s="1181"/>
      <c r="G181" s="1181"/>
      <c r="H181" s="1181"/>
      <c r="I181" s="1181"/>
      <c r="J181" s="1181"/>
      <c r="K181" s="1181"/>
      <c r="L181" s="1181"/>
      <c r="M181" s="1181"/>
      <c r="N181" s="1181"/>
      <c r="O181" s="1181"/>
      <c r="P181" s="1181"/>
      <c r="Q181" s="1181"/>
      <c r="R181" s="1181"/>
      <c r="S181" s="1181"/>
      <c r="T181" s="1181"/>
      <c r="U181" s="1181"/>
      <c r="V181" s="1181"/>
      <c r="W181" s="1181"/>
      <c r="X181" s="1181"/>
      <c r="Y181" s="1181"/>
      <c r="Z181" s="1181"/>
      <c r="AA181" s="1181"/>
      <c r="AB181" s="1181"/>
      <c r="AC181" s="1181"/>
      <c r="AD181" s="1181"/>
      <c r="AE181" s="1181"/>
      <c r="AF181" s="1181"/>
    </row>
    <row r="182" spans="1:32">
      <c r="A182" s="1181"/>
      <c r="B182" s="1181"/>
      <c r="C182" s="1181"/>
      <c r="D182" s="1181"/>
      <c r="E182" s="1181"/>
      <c r="F182" s="1181"/>
      <c r="G182" s="1181"/>
      <c r="H182" s="1181"/>
      <c r="I182" s="1181"/>
      <c r="J182" s="1181"/>
      <c r="K182" s="1181"/>
      <c r="L182" s="1181"/>
      <c r="M182" s="1181"/>
      <c r="N182" s="1181"/>
      <c r="O182" s="1181"/>
      <c r="P182" s="1181"/>
      <c r="Q182" s="1181"/>
      <c r="R182" s="1181"/>
      <c r="S182" s="1181"/>
      <c r="T182" s="1181"/>
      <c r="U182" s="1181"/>
      <c r="V182" s="1181"/>
      <c r="W182" s="1181"/>
      <c r="X182" s="1181"/>
      <c r="Y182" s="1181"/>
      <c r="Z182" s="1181"/>
      <c r="AA182" s="1181"/>
      <c r="AB182" s="1181"/>
      <c r="AC182" s="1181"/>
      <c r="AD182" s="1181"/>
      <c r="AE182" s="1181"/>
      <c r="AF182" s="1181"/>
    </row>
    <row r="183" spans="1:32">
      <c r="A183" s="1181"/>
      <c r="B183" s="1181"/>
      <c r="C183" s="1181"/>
      <c r="D183" s="1181"/>
      <c r="E183" s="1181"/>
      <c r="F183" s="1181"/>
      <c r="G183" s="1181"/>
      <c r="H183" s="1181"/>
      <c r="I183" s="1181"/>
      <c r="J183" s="1181"/>
      <c r="K183" s="1181"/>
      <c r="L183" s="1181"/>
      <c r="M183" s="1181"/>
      <c r="N183" s="1181"/>
      <c r="O183" s="1181"/>
      <c r="P183" s="1181"/>
      <c r="Q183" s="1181"/>
      <c r="R183" s="1181"/>
      <c r="S183" s="1181"/>
      <c r="T183" s="1181"/>
      <c r="U183" s="1181"/>
      <c r="V183" s="1181"/>
      <c r="W183" s="1181"/>
      <c r="X183" s="1181"/>
      <c r="Y183" s="1181"/>
      <c r="Z183" s="1181"/>
      <c r="AA183" s="1181"/>
      <c r="AB183" s="1181"/>
      <c r="AC183" s="1181"/>
      <c r="AD183" s="1181"/>
      <c r="AE183" s="1181"/>
      <c r="AF183" s="1181"/>
    </row>
    <row r="184" spans="1:32">
      <c r="A184" s="1181"/>
      <c r="B184" s="1181"/>
      <c r="C184" s="1181"/>
      <c r="D184" s="1181"/>
      <c r="E184" s="1181"/>
      <c r="F184" s="1181"/>
      <c r="G184" s="1181"/>
      <c r="H184" s="1181"/>
      <c r="I184" s="1181"/>
      <c r="J184" s="1181"/>
      <c r="K184" s="1181"/>
      <c r="L184" s="1181"/>
      <c r="M184" s="1181"/>
      <c r="N184" s="1181"/>
      <c r="O184" s="1181"/>
      <c r="P184" s="1181"/>
      <c r="Q184" s="1181"/>
      <c r="R184" s="1181"/>
      <c r="S184" s="1181"/>
      <c r="T184" s="1181"/>
      <c r="U184" s="1181"/>
      <c r="V184" s="1181"/>
      <c r="W184" s="1181"/>
      <c r="X184" s="1181"/>
      <c r="Y184" s="1181"/>
      <c r="Z184" s="1181"/>
      <c r="AA184" s="1181"/>
      <c r="AB184" s="1181"/>
      <c r="AC184" s="1181"/>
      <c r="AD184" s="1181"/>
      <c r="AE184" s="1181"/>
      <c r="AF184" s="1181"/>
    </row>
    <row r="185" spans="1:32">
      <c r="A185" s="1181"/>
      <c r="B185" s="1181"/>
      <c r="C185" s="1181"/>
      <c r="D185" s="1181"/>
      <c r="E185" s="1181"/>
      <c r="F185" s="1181"/>
      <c r="G185" s="1181"/>
      <c r="H185" s="1181"/>
      <c r="I185" s="1181"/>
      <c r="J185" s="1181"/>
      <c r="K185" s="1181"/>
      <c r="L185" s="1181"/>
      <c r="M185" s="1181"/>
      <c r="N185" s="1181"/>
      <c r="O185" s="1181"/>
      <c r="P185" s="1181"/>
      <c r="Q185" s="1181"/>
      <c r="R185" s="1181"/>
      <c r="S185" s="1181"/>
      <c r="T185" s="1181"/>
      <c r="U185" s="1181"/>
      <c r="V185" s="1181"/>
      <c r="W185" s="1181"/>
      <c r="X185" s="1181"/>
      <c r="Y185" s="1181"/>
      <c r="Z185" s="1181"/>
      <c r="AA185" s="1181"/>
      <c r="AB185" s="1181"/>
      <c r="AC185" s="1181"/>
      <c r="AD185" s="1181"/>
      <c r="AE185" s="1181"/>
      <c r="AF185" s="1181"/>
    </row>
    <row r="186" spans="1:32">
      <c r="A186" s="1181"/>
      <c r="B186" s="1181"/>
      <c r="C186" s="1181"/>
      <c r="D186" s="1181"/>
      <c r="E186" s="1181"/>
      <c r="F186" s="1181"/>
      <c r="G186" s="1181"/>
      <c r="H186" s="1181"/>
      <c r="I186" s="1181"/>
      <c r="J186" s="1181"/>
      <c r="K186" s="1181"/>
      <c r="L186" s="1181"/>
      <c r="M186" s="1181"/>
      <c r="N186" s="1181"/>
      <c r="O186" s="1181"/>
      <c r="P186" s="1181"/>
      <c r="Q186" s="1181"/>
      <c r="R186" s="1181"/>
      <c r="S186" s="1181"/>
      <c r="T186" s="1181"/>
      <c r="U186" s="1181"/>
      <c r="V186" s="1181"/>
      <c r="W186" s="1181"/>
      <c r="X186" s="1181"/>
      <c r="Y186" s="1181"/>
      <c r="Z186" s="1181"/>
      <c r="AA186" s="1181"/>
      <c r="AB186" s="1181"/>
      <c r="AC186" s="1181"/>
      <c r="AD186" s="1181"/>
      <c r="AE186" s="1181"/>
      <c r="AF186" s="1181"/>
    </row>
    <row r="187" spans="1:32">
      <c r="A187" s="1181"/>
      <c r="B187" s="1181"/>
      <c r="C187" s="1181"/>
      <c r="D187" s="1181"/>
      <c r="E187" s="1181"/>
      <c r="F187" s="1181"/>
      <c r="G187" s="1181"/>
      <c r="H187" s="1181"/>
      <c r="I187" s="1181"/>
      <c r="J187" s="1181"/>
      <c r="K187" s="1181"/>
      <c r="L187" s="1181"/>
      <c r="M187" s="1181"/>
      <c r="N187" s="1181"/>
      <c r="O187" s="1181"/>
      <c r="P187" s="1181"/>
      <c r="Q187" s="1181"/>
      <c r="R187" s="1181"/>
      <c r="S187" s="1181"/>
      <c r="T187" s="1181"/>
      <c r="U187" s="1181"/>
      <c r="V187" s="1181"/>
      <c r="W187" s="1181"/>
      <c r="X187" s="1181"/>
      <c r="Y187" s="1181"/>
      <c r="Z187" s="1181"/>
      <c r="AA187" s="1181"/>
      <c r="AB187" s="1181"/>
      <c r="AC187" s="1181"/>
      <c r="AD187" s="1181"/>
      <c r="AE187" s="1181"/>
      <c r="AF187" s="1181"/>
    </row>
    <row r="188" spans="1:32">
      <c r="A188" s="1181"/>
      <c r="B188" s="1181"/>
      <c r="C188" s="1181"/>
      <c r="D188" s="1181"/>
      <c r="E188" s="1181"/>
      <c r="F188" s="1181"/>
      <c r="G188" s="1181"/>
      <c r="H188" s="1181"/>
      <c r="I188" s="1181"/>
      <c r="J188" s="1181"/>
      <c r="K188" s="1181"/>
      <c r="L188" s="1181"/>
      <c r="M188" s="1181"/>
      <c r="N188" s="1181"/>
      <c r="O188" s="1181"/>
      <c r="P188" s="1181"/>
      <c r="Q188" s="1181"/>
      <c r="R188" s="1181"/>
      <c r="S188" s="1181"/>
      <c r="T188" s="1181"/>
      <c r="U188" s="1181"/>
      <c r="V188" s="1181"/>
      <c r="W188" s="1181"/>
      <c r="X188" s="1181"/>
      <c r="Y188" s="1181"/>
      <c r="Z188" s="1181"/>
      <c r="AA188" s="1181"/>
      <c r="AB188" s="1181"/>
      <c r="AC188" s="1181"/>
      <c r="AD188" s="1181"/>
      <c r="AE188" s="1181"/>
      <c r="AF188" s="1181"/>
    </row>
    <row r="189" spans="1:32">
      <c r="A189" s="1181"/>
      <c r="B189" s="1181"/>
      <c r="C189" s="1181"/>
      <c r="D189" s="1181"/>
      <c r="E189" s="1181"/>
      <c r="F189" s="1181"/>
      <c r="G189" s="1181"/>
      <c r="H189" s="1181"/>
      <c r="I189" s="1181"/>
      <c r="J189" s="1181"/>
      <c r="K189" s="1181"/>
      <c r="L189" s="1181"/>
      <c r="M189" s="1181"/>
      <c r="N189" s="1181"/>
      <c r="O189" s="1181"/>
      <c r="P189" s="1181"/>
      <c r="Q189" s="1181"/>
      <c r="R189" s="1181"/>
      <c r="S189" s="1181"/>
      <c r="T189" s="1181"/>
      <c r="U189" s="1181"/>
      <c r="V189" s="1181"/>
      <c r="W189" s="1181"/>
      <c r="X189" s="1181"/>
      <c r="Y189" s="1181"/>
      <c r="Z189" s="1181"/>
      <c r="AA189" s="1181"/>
      <c r="AB189" s="1181"/>
      <c r="AC189" s="1181"/>
      <c r="AD189" s="1181"/>
      <c r="AE189" s="1181"/>
      <c r="AF189" s="1181"/>
    </row>
    <row r="190" spans="1:32">
      <c r="A190" s="1181"/>
      <c r="B190" s="1181"/>
      <c r="C190" s="1181"/>
      <c r="D190" s="1181"/>
      <c r="E190" s="1181"/>
      <c r="F190" s="1181"/>
      <c r="G190" s="1181"/>
      <c r="H190" s="1181"/>
      <c r="I190" s="1181"/>
      <c r="J190" s="1181"/>
      <c r="K190" s="1181"/>
      <c r="L190" s="1181"/>
      <c r="M190" s="1181"/>
      <c r="N190" s="1181"/>
      <c r="O190" s="1181"/>
      <c r="P190" s="1181"/>
      <c r="Q190" s="1181"/>
      <c r="R190" s="1181"/>
      <c r="S190" s="1181"/>
      <c r="T190" s="1181"/>
      <c r="U190" s="1181"/>
      <c r="V190" s="1181"/>
      <c r="W190" s="1181"/>
      <c r="X190" s="1181"/>
      <c r="Y190" s="1181"/>
      <c r="Z190" s="1181"/>
      <c r="AA190" s="1181"/>
      <c r="AB190" s="1181"/>
      <c r="AC190" s="1181"/>
      <c r="AD190" s="1181"/>
      <c r="AE190" s="1181"/>
      <c r="AF190" s="1181"/>
    </row>
    <row r="191" spans="1:32">
      <c r="A191" s="1181"/>
      <c r="B191" s="1181"/>
      <c r="C191" s="1181"/>
      <c r="D191" s="1181"/>
      <c r="E191" s="1181"/>
      <c r="F191" s="1181"/>
      <c r="G191" s="1181"/>
      <c r="H191" s="1181"/>
      <c r="I191" s="1181"/>
      <c r="J191" s="1181"/>
      <c r="K191" s="1181"/>
      <c r="L191" s="1181"/>
      <c r="M191" s="1181"/>
      <c r="N191" s="1181"/>
      <c r="O191" s="1181"/>
      <c r="P191" s="1181"/>
      <c r="Q191" s="1181"/>
      <c r="R191" s="1181"/>
      <c r="S191" s="1181"/>
      <c r="T191" s="1181"/>
      <c r="U191" s="1181"/>
      <c r="V191" s="1181"/>
      <c r="W191" s="1181"/>
      <c r="X191" s="1181"/>
      <c r="Y191" s="1181"/>
      <c r="Z191" s="1181"/>
      <c r="AA191" s="1181"/>
      <c r="AB191" s="1181"/>
      <c r="AC191" s="1181"/>
      <c r="AD191" s="1181"/>
      <c r="AE191" s="1181"/>
      <c r="AF191" s="1181"/>
    </row>
    <row r="192" spans="1:32">
      <c r="A192" s="1181"/>
      <c r="B192" s="1181"/>
      <c r="C192" s="1181"/>
      <c r="D192" s="1181"/>
      <c r="E192" s="1181"/>
      <c r="F192" s="1181"/>
      <c r="G192" s="1181"/>
      <c r="H192" s="1181"/>
      <c r="I192" s="1181"/>
      <c r="J192" s="1181"/>
      <c r="K192" s="1181"/>
      <c r="L192" s="1181"/>
      <c r="M192" s="1181"/>
      <c r="N192" s="1181"/>
      <c r="O192" s="1181"/>
      <c r="P192" s="1181"/>
      <c r="Q192" s="1181"/>
      <c r="R192" s="1181"/>
      <c r="S192" s="1181"/>
      <c r="T192" s="1181"/>
      <c r="U192" s="1181"/>
      <c r="V192" s="1181"/>
      <c r="W192" s="1181"/>
      <c r="X192" s="1181"/>
      <c r="Y192" s="1181"/>
      <c r="Z192" s="1181"/>
      <c r="AA192" s="1181"/>
      <c r="AB192" s="1181"/>
      <c r="AC192" s="1181"/>
      <c r="AD192" s="1181"/>
      <c r="AE192" s="1181"/>
      <c r="AF192" s="1181"/>
    </row>
    <row r="193" spans="1:32">
      <c r="A193" s="1181"/>
      <c r="B193" s="1181"/>
      <c r="C193" s="1181"/>
      <c r="D193" s="1181"/>
      <c r="E193" s="1181"/>
      <c r="F193" s="1181"/>
      <c r="G193" s="1181"/>
      <c r="H193" s="1181"/>
      <c r="I193" s="1181"/>
      <c r="J193" s="1181"/>
      <c r="K193" s="1181"/>
      <c r="L193" s="1181"/>
      <c r="M193" s="1181"/>
      <c r="N193" s="1181"/>
      <c r="O193" s="1181"/>
      <c r="P193" s="1181"/>
      <c r="Q193" s="1181"/>
      <c r="R193" s="1181"/>
      <c r="S193" s="1181"/>
      <c r="T193" s="1181"/>
      <c r="U193" s="1181"/>
      <c r="V193" s="1181"/>
      <c r="W193" s="1181"/>
      <c r="X193" s="1181"/>
      <c r="Y193" s="1181"/>
      <c r="Z193" s="1181"/>
      <c r="AA193" s="1181"/>
      <c r="AB193" s="1181"/>
      <c r="AC193" s="1181"/>
      <c r="AD193" s="1181"/>
      <c r="AE193" s="1181"/>
      <c r="AF193" s="1181"/>
    </row>
    <row r="194" spans="1:32">
      <c r="A194" s="1181"/>
      <c r="B194" s="1181"/>
      <c r="C194" s="1181"/>
      <c r="D194" s="1181"/>
      <c r="E194" s="1181"/>
      <c r="F194" s="1181"/>
      <c r="G194" s="1181"/>
      <c r="H194" s="1181"/>
      <c r="I194" s="1181"/>
      <c r="J194" s="1181"/>
      <c r="K194" s="1181"/>
      <c r="L194" s="1181"/>
      <c r="M194" s="1181"/>
      <c r="N194" s="1181"/>
      <c r="O194" s="1181"/>
      <c r="P194" s="1181"/>
      <c r="Q194" s="1181"/>
      <c r="R194" s="1181"/>
      <c r="S194" s="1181"/>
      <c r="T194" s="1181"/>
      <c r="U194" s="1181"/>
      <c r="V194" s="1181"/>
      <c r="W194" s="1181"/>
      <c r="X194" s="1181"/>
      <c r="Y194" s="1181"/>
      <c r="Z194" s="1181"/>
      <c r="AA194" s="1181"/>
      <c r="AB194" s="1181"/>
      <c r="AC194" s="1181"/>
      <c r="AD194" s="1181"/>
      <c r="AE194" s="1181"/>
      <c r="AF194" s="1181"/>
    </row>
    <row r="195" spans="1:32">
      <c r="A195" s="1181"/>
      <c r="B195" s="1181"/>
      <c r="C195" s="1181"/>
      <c r="D195" s="1181"/>
      <c r="E195" s="1181"/>
      <c r="F195" s="1181"/>
      <c r="G195" s="1181"/>
      <c r="H195" s="1181"/>
      <c r="I195" s="1181"/>
      <c r="J195" s="1181"/>
      <c r="K195" s="1181"/>
      <c r="L195" s="1181"/>
      <c r="M195" s="1181"/>
      <c r="N195" s="1181"/>
      <c r="O195" s="1181"/>
      <c r="P195" s="1181"/>
      <c r="Q195" s="1181"/>
      <c r="R195" s="1181"/>
      <c r="S195" s="1181"/>
      <c r="T195" s="1181"/>
      <c r="U195" s="1181"/>
      <c r="V195" s="1181"/>
      <c r="W195" s="1181"/>
      <c r="X195" s="1181"/>
      <c r="Y195" s="1181"/>
      <c r="Z195" s="1181"/>
      <c r="AA195" s="1181"/>
      <c r="AB195" s="1181"/>
      <c r="AC195" s="1181"/>
      <c r="AD195" s="1181"/>
      <c r="AE195" s="1181"/>
      <c r="AF195" s="1181"/>
    </row>
    <row r="196" spans="1:32">
      <c r="A196" s="1181"/>
      <c r="B196" s="1181"/>
      <c r="C196" s="1181"/>
      <c r="D196" s="1181"/>
      <c r="E196" s="1181"/>
      <c r="F196" s="1181"/>
      <c r="G196" s="1181"/>
      <c r="H196" s="1181"/>
      <c r="I196" s="1181"/>
      <c r="J196" s="1181"/>
      <c r="K196" s="1181"/>
      <c r="L196" s="1181"/>
      <c r="M196" s="1181"/>
      <c r="N196" s="1181"/>
      <c r="O196" s="1181"/>
      <c r="P196" s="1181"/>
      <c r="Q196" s="1181"/>
      <c r="R196" s="1181"/>
      <c r="S196" s="1181"/>
      <c r="T196" s="1181"/>
      <c r="U196" s="1181"/>
      <c r="V196" s="1181"/>
      <c r="W196" s="1181"/>
      <c r="X196" s="1181"/>
      <c r="Y196" s="1181"/>
      <c r="Z196" s="1181"/>
      <c r="AA196" s="1181"/>
      <c r="AB196" s="1181"/>
      <c r="AC196" s="1181"/>
      <c r="AD196" s="1181"/>
      <c r="AE196" s="1181"/>
      <c r="AF196" s="1181"/>
    </row>
    <row r="197" spans="1:32">
      <c r="A197" s="1181"/>
      <c r="B197" s="1181"/>
      <c r="C197" s="1181"/>
      <c r="D197" s="1181"/>
      <c r="E197" s="1181"/>
      <c r="F197" s="1181"/>
      <c r="G197" s="1181"/>
      <c r="H197" s="1181"/>
      <c r="I197" s="1181"/>
      <c r="J197" s="1181"/>
      <c r="K197" s="1181"/>
      <c r="L197" s="1181"/>
      <c r="M197" s="1181"/>
      <c r="N197" s="1181"/>
      <c r="O197" s="1181"/>
      <c r="P197" s="1181"/>
      <c r="Q197" s="1181"/>
      <c r="R197" s="1181"/>
      <c r="S197" s="1181"/>
      <c r="T197" s="1181"/>
      <c r="U197" s="1181"/>
      <c r="V197" s="1181"/>
      <c r="W197" s="1181"/>
      <c r="X197" s="1181"/>
      <c r="Y197" s="1181"/>
      <c r="Z197" s="1181"/>
      <c r="AA197" s="1181"/>
      <c r="AB197" s="1181"/>
      <c r="AC197" s="1181"/>
      <c r="AD197" s="1181"/>
      <c r="AE197" s="1181"/>
      <c r="AF197" s="1181"/>
    </row>
    <row r="198" spans="1:32">
      <c r="A198" s="1181"/>
      <c r="B198" s="1181"/>
      <c r="C198" s="1181"/>
      <c r="D198" s="1181"/>
      <c r="E198" s="1181"/>
      <c r="F198" s="1181"/>
      <c r="G198" s="1181"/>
      <c r="H198" s="1181"/>
      <c r="I198" s="1181"/>
      <c r="J198" s="1181"/>
      <c r="K198" s="1181"/>
      <c r="L198" s="1181"/>
      <c r="M198" s="1181"/>
      <c r="N198" s="1181"/>
      <c r="O198" s="1181"/>
      <c r="P198" s="1181"/>
      <c r="Q198" s="1181"/>
      <c r="R198" s="1181"/>
      <c r="S198" s="1181"/>
      <c r="T198" s="1181"/>
      <c r="U198" s="1181"/>
      <c r="V198" s="1181"/>
      <c r="W198" s="1181"/>
      <c r="X198" s="1181"/>
      <c r="Y198" s="1181"/>
      <c r="Z198" s="1181"/>
      <c r="AA198" s="1181"/>
      <c r="AB198" s="1181"/>
      <c r="AC198" s="1181"/>
      <c r="AD198" s="1181"/>
      <c r="AE198" s="1181"/>
      <c r="AF198" s="1181"/>
    </row>
    <row r="199" spans="1:32">
      <c r="A199" s="1181"/>
      <c r="B199" s="1181"/>
      <c r="C199" s="1181"/>
      <c r="D199" s="1181"/>
      <c r="E199" s="1181"/>
      <c r="F199" s="1181"/>
      <c r="G199" s="1181"/>
      <c r="H199" s="1181"/>
      <c r="I199" s="1181"/>
      <c r="J199" s="1181"/>
      <c r="K199" s="1181"/>
      <c r="L199" s="1181"/>
      <c r="M199" s="1181"/>
      <c r="N199" s="1181"/>
      <c r="O199" s="1181"/>
      <c r="P199" s="1181"/>
      <c r="Q199" s="1181"/>
      <c r="R199" s="1181"/>
      <c r="S199" s="1181"/>
      <c r="T199" s="1181"/>
      <c r="U199" s="1181"/>
      <c r="V199" s="1181"/>
      <c r="W199" s="1181"/>
      <c r="X199" s="1181"/>
      <c r="Y199" s="1181"/>
      <c r="Z199" s="1181"/>
      <c r="AA199" s="1181"/>
      <c r="AB199" s="1181"/>
      <c r="AC199" s="1181"/>
      <c r="AD199" s="1181"/>
      <c r="AE199" s="1181"/>
      <c r="AF199" s="1181"/>
    </row>
    <row r="200" spans="1:32">
      <c r="A200" s="1181"/>
      <c r="B200" s="1181"/>
      <c r="C200" s="1181"/>
      <c r="D200" s="1181"/>
      <c r="E200" s="1181"/>
      <c r="F200" s="1181"/>
      <c r="G200" s="1181"/>
      <c r="H200" s="1181"/>
      <c r="I200" s="1181"/>
      <c r="J200" s="1181"/>
      <c r="K200" s="1181"/>
      <c r="L200" s="1181"/>
      <c r="M200" s="1181"/>
      <c r="N200" s="1181"/>
      <c r="O200" s="1181"/>
      <c r="P200" s="1181"/>
      <c r="Q200" s="1181"/>
      <c r="R200" s="1181"/>
      <c r="S200" s="1181"/>
      <c r="T200" s="1181"/>
      <c r="U200" s="1181"/>
      <c r="V200" s="1181"/>
      <c r="W200" s="1181"/>
      <c r="X200" s="1181"/>
      <c r="Y200" s="1181"/>
      <c r="Z200" s="1181"/>
      <c r="AA200" s="1181"/>
      <c r="AB200" s="1181"/>
      <c r="AC200" s="1181"/>
      <c r="AD200" s="1181"/>
      <c r="AE200" s="1181"/>
      <c r="AF200" s="1181"/>
    </row>
    <row r="201" spans="1:32">
      <c r="A201" s="1181"/>
      <c r="B201" s="1181"/>
      <c r="C201" s="1181"/>
      <c r="D201" s="1181"/>
      <c r="E201" s="1181"/>
      <c r="F201" s="1181"/>
      <c r="G201" s="1181"/>
      <c r="H201" s="1181"/>
      <c r="I201" s="1181"/>
      <c r="J201" s="1181"/>
      <c r="K201" s="1181"/>
      <c r="L201" s="1181"/>
      <c r="M201" s="1181"/>
      <c r="N201" s="1181"/>
      <c r="O201" s="1181"/>
      <c r="P201" s="1181"/>
      <c r="Q201" s="1181"/>
      <c r="R201" s="1181"/>
      <c r="S201" s="1181"/>
      <c r="T201" s="1181"/>
      <c r="U201" s="1181"/>
      <c r="V201" s="1181"/>
      <c r="W201" s="1181"/>
      <c r="X201" s="1181"/>
      <c r="Y201" s="1181"/>
      <c r="Z201" s="1181"/>
      <c r="AA201" s="1181"/>
      <c r="AB201" s="1181"/>
      <c r="AC201" s="1181"/>
      <c r="AD201" s="1181"/>
      <c r="AE201" s="1181"/>
      <c r="AF201" s="1181"/>
    </row>
    <row r="202" spans="1:32">
      <c r="A202" s="1181"/>
      <c r="B202" s="1181"/>
      <c r="C202" s="1181"/>
      <c r="D202" s="1181"/>
      <c r="E202" s="1181"/>
      <c r="F202" s="1181"/>
      <c r="G202" s="1181"/>
      <c r="H202" s="1181"/>
      <c r="I202" s="1181"/>
      <c r="J202" s="1181"/>
      <c r="K202" s="1181"/>
      <c r="L202" s="1181"/>
      <c r="M202" s="1181"/>
      <c r="N202" s="1181"/>
      <c r="O202" s="1181"/>
      <c r="P202" s="1181"/>
      <c r="Q202" s="1181"/>
      <c r="R202" s="1181"/>
      <c r="S202" s="1181"/>
      <c r="T202" s="1181"/>
      <c r="U202" s="1181"/>
      <c r="V202" s="1181"/>
      <c r="W202" s="1181"/>
      <c r="X202" s="1181"/>
      <c r="Y202" s="1181"/>
      <c r="Z202" s="1181"/>
      <c r="AA202" s="1181"/>
      <c r="AB202" s="1181"/>
      <c r="AC202" s="1181"/>
      <c r="AD202" s="1181"/>
      <c r="AE202" s="1181"/>
      <c r="AF202" s="1181"/>
    </row>
    <row r="203" spans="1:32">
      <c r="A203" s="1181"/>
      <c r="B203" s="1181"/>
      <c r="C203" s="1181"/>
      <c r="D203" s="1181"/>
      <c r="E203" s="1181"/>
      <c r="F203" s="1181"/>
      <c r="G203" s="1181"/>
      <c r="H203" s="1181"/>
      <c r="I203" s="1181"/>
      <c r="J203" s="1181"/>
      <c r="K203" s="1181"/>
      <c r="L203" s="1181"/>
      <c r="M203" s="1181"/>
      <c r="N203" s="1181"/>
      <c r="O203" s="1181"/>
      <c r="P203" s="1181"/>
      <c r="Q203" s="1181"/>
      <c r="R203" s="1181"/>
      <c r="S203" s="1181"/>
      <c r="T203" s="1181"/>
      <c r="U203" s="1181"/>
      <c r="V203" s="1181"/>
      <c r="W203" s="1181"/>
      <c r="X203" s="1181"/>
      <c r="Y203" s="1181"/>
      <c r="Z203" s="1181"/>
      <c r="AA203" s="1181"/>
      <c r="AB203" s="1181"/>
      <c r="AC203" s="1181"/>
      <c r="AD203" s="1181"/>
      <c r="AE203" s="1181"/>
      <c r="AF203" s="1181"/>
    </row>
    <row r="204" spans="1:32">
      <c r="A204" s="1181"/>
      <c r="B204" s="1181"/>
      <c r="C204" s="1181"/>
      <c r="D204" s="1181"/>
      <c r="E204" s="1181"/>
      <c r="F204" s="1181"/>
      <c r="G204" s="1181"/>
      <c r="H204" s="1181"/>
      <c r="I204" s="1181"/>
      <c r="J204" s="1181"/>
      <c r="K204" s="1181"/>
      <c r="L204" s="1181"/>
      <c r="M204" s="1181"/>
      <c r="N204" s="1181"/>
      <c r="O204" s="1181"/>
      <c r="P204" s="1181"/>
      <c r="Q204" s="1181"/>
      <c r="R204" s="1181"/>
      <c r="S204" s="1181"/>
      <c r="T204" s="1181"/>
      <c r="U204" s="1181"/>
      <c r="V204" s="1181"/>
      <c r="W204" s="1181"/>
      <c r="X204" s="1181"/>
      <c r="Y204" s="1181"/>
      <c r="Z204" s="1181"/>
      <c r="AA204" s="1181"/>
      <c r="AB204" s="1181"/>
      <c r="AC204" s="1181"/>
      <c r="AD204" s="1181"/>
      <c r="AE204" s="1181"/>
      <c r="AF204" s="1181"/>
    </row>
    <row r="205" spans="1:32">
      <c r="A205" s="1181"/>
      <c r="B205" s="1181"/>
      <c r="C205" s="1181"/>
      <c r="D205" s="1181"/>
      <c r="E205" s="1181"/>
      <c r="F205" s="1181"/>
      <c r="G205" s="1181"/>
      <c r="H205" s="1181"/>
      <c r="I205" s="1181"/>
      <c r="J205" s="1181"/>
      <c r="K205" s="1181"/>
      <c r="L205" s="1181"/>
      <c r="M205" s="1181"/>
      <c r="N205" s="1181"/>
      <c r="O205" s="1181"/>
      <c r="P205" s="1181"/>
      <c r="Q205" s="1181"/>
      <c r="R205" s="1181"/>
      <c r="S205" s="1181"/>
      <c r="T205" s="1181"/>
      <c r="U205" s="1181"/>
      <c r="V205" s="1181"/>
      <c r="W205" s="1181"/>
      <c r="X205" s="1181"/>
      <c r="Y205" s="1181"/>
      <c r="Z205" s="1181"/>
      <c r="AA205" s="1181"/>
      <c r="AB205" s="1181"/>
      <c r="AC205" s="1181"/>
      <c r="AD205" s="1181"/>
      <c r="AE205" s="1181"/>
      <c r="AF205" s="1181"/>
    </row>
    <row r="206" spans="1:32">
      <c r="A206" s="1181"/>
      <c r="B206" s="1181"/>
      <c r="C206" s="1181"/>
      <c r="D206" s="1181"/>
      <c r="E206" s="1181"/>
      <c r="F206" s="1181"/>
      <c r="G206" s="1181"/>
      <c r="H206" s="1181"/>
      <c r="I206" s="1181"/>
      <c r="J206" s="1181"/>
      <c r="K206" s="1181"/>
      <c r="L206" s="1181"/>
      <c r="M206" s="1181"/>
      <c r="N206" s="1181"/>
      <c r="O206" s="1181"/>
      <c r="P206" s="1181"/>
      <c r="Q206" s="1181"/>
      <c r="R206" s="1181"/>
      <c r="S206" s="1181"/>
      <c r="T206" s="1181"/>
      <c r="U206" s="1181"/>
      <c r="V206" s="1181"/>
      <c r="W206" s="1181"/>
      <c r="X206" s="1181"/>
      <c r="Y206" s="1181"/>
      <c r="Z206" s="1181"/>
      <c r="AA206" s="1181"/>
      <c r="AB206" s="1181"/>
      <c r="AC206" s="1181"/>
      <c r="AD206" s="1181"/>
      <c r="AE206" s="1181"/>
      <c r="AF206" s="1181"/>
    </row>
    <row r="207" spans="1:32">
      <c r="A207" s="1181"/>
      <c r="B207" s="1181"/>
      <c r="C207" s="1181"/>
      <c r="D207" s="1181"/>
      <c r="E207" s="1181"/>
      <c r="F207" s="1181"/>
      <c r="G207" s="1181"/>
      <c r="H207" s="1181"/>
      <c r="I207" s="1181"/>
      <c r="J207" s="1181"/>
      <c r="K207" s="1181"/>
      <c r="L207" s="1181"/>
      <c r="M207" s="1181"/>
      <c r="N207" s="1181"/>
      <c r="O207" s="1181"/>
      <c r="P207" s="1181"/>
      <c r="Q207" s="1181"/>
      <c r="R207" s="1181"/>
      <c r="S207" s="1181"/>
      <c r="T207" s="1181"/>
      <c r="U207" s="1181"/>
      <c r="V207" s="1181"/>
      <c r="W207" s="1181"/>
      <c r="X207" s="1181"/>
      <c r="Y207" s="1181"/>
      <c r="Z207" s="1181"/>
      <c r="AA207" s="1181"/>
      <c r="AB207" s="1181"/>
      <c r="AC207" s="1181"/>
      <c r="AD207" s="1181"/>
      <c r="AE207" s="1181"/>
      <c r="AF207" s="1181"/>
    </row>
    <row r="208" spans="1:32">
      <c r="A208" s="1181"/>
      <c r="B208" s="1181"/>
      <c r="C208" s="1181"/>
      <c r="D208" s="1181"/>
      <c r="E208" s="1181"/>
      <c r="F208" s="1181"/>
      <c r="G208" s="1181"/>
      <c r="H208" s="1181"/>
      <c r="I208" s="1181"/>
      <c r="J208" s="1181"/>
      <c r="K208" s="1181"/>
      <c r="L208" s="1181"/>
      <c r="M208" s="1181"/>
      <c r="N208" s="1181"/>
      <c r="O208" s="1181"/>
      <c r="P208" s="1181"/>
      <c r="Q208" s="1181"/>
      <c r="R208" s="1181"/>
      <c r="S208" s="1181"/>
      <c r="T208" s="1181"/>
      <c r="U208" s="1181"/>
      <c r="V208" s="1181"/>
      <c r="W208" s="1181"/>
      <c r="X208" s="1181"/>
      <c r="Y208" s="1181"/>
      <c r="Z208" s="1181"/>
      <c r="AA208" s="1181"/>
      <c r="AB208" s="1181"/>
      <c r="AC208" s="1181"/>
      <c r="AD208" s="1181"/>
      <c r="AE208" s="1181"/>
      <c r="AF208" s="1181"/>
    </row>
    <row r="209" spans="1:32">
      <c r="A209" s="1181"/>
      <c r="B209" s="1181"/>
      <c r="C209" s="1181"/>
      <c r="D209" s="1181"/>
      <c r="E209" s="1181"/>
      <c r="F209" s="1181"/>
      <c r="G209" s="1181"/>
      <c r="H209" s="1181"/>
      <c r="I209" s="1181"/>
      <c r="J209" s="1181"/>
      <c r="K209" s="1181"/>
      <c r="L209" s="1181"/>
      <c r="M209" s="1181"/>
      <c r="N209" s="1181"/>
      <c r="O209" s="1181"/>
      <c r="P209" s="1181"/>
      <c r="Q209" s="1181"/>
      <c r="R209" s="1181"/>
      <c r="S209" s="1181"/>
      <c r="T209" s="1181"/>
      <c r="U209" s="1181"/>
      <c r="V209" s="1181"/>
      <c r="W209" s="1181"/>
      <c r="X209" s="1181"/>
      <c r="Y209" s="1181"/>
      <c r="Z209" s="1181"/>
      <c r="AA209" s="1181"/>
      <c r="AB209" s="1181"/>
      <c r="AC209" s="1181"/>
      <c r="AD209" s="1181"/>
      <c r="AE209" s="1181"/>
      <c r="AF209" s="1181"/>
    </row>
    <row r="210" spans="1:32">
      <c r="A210" s="1181"/>
      <c r="B210" s="1181"/>
      <c r="C210" s="1181"/>
      <c r="D210" s="1181"/>
      <c r="E210" s="1181"/>
      <c r="F210" s="1181"/>
      <c r="G210" s="1181"/>
      <c r="H210" s="1181"/>
      <c r="I210" s="1181"/>
      <c r="J210" s="1181"/>
      <c r="K210" s="1181"/>
      <c r="L210" s="1181"/>
      <c r="M210" s="1181"/>
      <c r="N210" s="1181"/>
      <c r="O210" s="1181"/>
      <c r="P210" s="1181"/>
      <c r="Q210" s="1181"/>
      <c r="R210" s="1181"/>
      <c r="S210" s="1181"/>
      <c r="T210" s="1181"/>
      <c r="U210" s="1181"/>
      <c r="V210" s="1181"/>
      <c r="W210" s="1181"/>
      <c r="X210" s="1181"/>
      <c r="Y210" s="1181"/>
      <c r="Z210" s="1181"/>
      <c r="AA210" s="1181"/>
      <c r="AB210" s="1181"/>
      <c r="AC210" s="1181"/>
      <c r="AD210" s="1181"/>
      <c r="AE210" s="1181"/>
      <c r="AF210" s="1181"/>
    </row>
    <row r="211" spans="1:32">
      <c r="A211" s="1181"/>
      <c r="B211" s="1181"/>
      <c r="C211" s="1181"/>
      <c r="D211" s="1181"/>
      <c r="E211" s="1181"/>
      <c r="F211" s="1181"/>
      <c r="G211" s="1181"/>
      <c r="H211" s="1181"/>
      <c r="I211" s="1181"/>
      <c r="J211" s="1181"/>
      <c r="K211" s="1181"/>
      <c r="L211" s="1181"/>
      <c r="M211" s="1181"/>
      <c r="N211" s="1181"/>
      <c r="O211" s="1181"/>
      <c r="P211" s="1181"/>
      <c r="Q211" s="1181"/>
      <c r="R211" s="1181"/>
      <c r="S211" s="1181"/>
      <c r="T211" s="1181"/>
      <c r="U211" s="1181"/>
      <c r="V211" s="1181"/>
      <c r="W211" s="1181"/>
      <c r="X211" s="1181"/>
      <c r="Y211" s="1181"/>
      <c r="Z211" s="1181"/>
      <c r="AA211" s="1181"/>
      <c r="AB211" s="1181"/>
      <c r="AC211" s="1181"/>
      <c r="AD211" s="1181"/>
      <c r="AE211" s="1181"/>
      <c r="AF211" s="1181"/>
    </row>
    <row r="212" spans="1:32">
      <c r="A212" s="1181"/>
      <c r="B212" s="1181"/>
      <c r="C212" s="1181"/>
      <c r="D212" s="1181"/>
      <c r="E212" s="1181"/>
      <c r="F212" s="1181"/>
      <c r="G212" s="1181"/>
      <c r="H212" s="1181"/>
      <c r="I212" s="1181"/>
      <c r="J212" s="1181"/>
      <c r="K212" s="1181"/>
      <c r="L212" s="1181"/>
      <c r="M212" s="1181"/>
      <c r="N212" s="1181"/>
      <c r="O212" s="1181"/>
      <c r="P212" s="1181"/>
      <c r="Q212" s="1181"/>
      <c r="R212" s="1181"/>
      <c r="S212" s="1181"/>
      <c r="T212" s="1181"/>
      <c r="U212" s="1181"/>
      <c r="V212" s="1181"/>
      <c r="W212" s="1181"/>
      <c r="X212" s="1181"/>
      <c r="Y212" s="1181"/>
      <c r="Z212" s="1181"/>
      <c r="AA212" s="1181"/>
      <c r="AB212" s="1181"/>
      <c r="AC212" s="1181"/>
      <c r="AD212" s="1181"/>
      <c r="AE212" s="1181"/>
      <c r="AF212" s="1181"/>
    </row>
    <row r="213" spans="1:32">
      <c r="A213" s="1181"/>
      <c r="B213" s="1181"/>
      <c r="C213" s="1181"/>
      <c r="D213" s="1181"/>
      <c r="E213" s="1181"/>
      <c r="F213" s="1181"/>
      <c r="G213" s="1181"/>
      <c r="H213" s="1181"/>
      <c r="I213" s="1181"/>
      <c r="J213" s="1181"/>
      <c r="K213" s="1181"/>
      <c r="L213" s="1181"/>
      <c r="M213" s="1181"/>
      <c r="N213" s="1181"/>
      <c r="O213" s="1181"/>
      <c r="P213" s="1181"/>
      <c r="Q213" s="1181"/>
      <c r="R213" s="1181"/>
      <c r="S213" s="1181"/>
      <c r="T213" s="1181"/>
      <c r="U213" s="1181"/>
      <c r="V213" s="1181"/>
      <c r="W213" s="1181"/>
      <c r="X213" s="1181"/>
      <c r="Y213" s="1181"/>
      <c r="Z213" s="1181"/>
      <c r="AA213" s="1181"/>
      <c r="AB213" s="1181"/>
      <c r="AC213" s="1181"/>
      <c r="AD213" s="1181"/>
      <c r="AE213" s="1181"/>
      <c r="AF213" s="1181"/>
    </row>
    <row r="214" spans="1:32">
      <c r="A214" s="1181"/>
      <c r="B214" s="1181"/>
      <c r="C214" s="1181"/>
      <c r="D214" s="1181"/>
      <c r="E214" s="1181"/>
      <c r="F214" s="1181"/>
      <c r="G214" s="1181"/>
      <c r="H214" s="1181"/>
      <c r="I214" s="1181"/>
      <c r="J214" s="1181"/>
      <c r="K214" s="1181"/>
      <c r="L214" s="1181"/>
      <c r="M214" s="1181"/>
      <c r="N214" s="1181"/>
      <c r="O214" s="1181"/>
      <c r="P214" s="1181"/>
      <c r="Q214" s="1181"/>
      <c r="R214" s="1181"/>
      <c r="S214" s="1181"/>
      <c r="T214" s="1181"/>
      <c r="U214" s="1181"/>
      <c r="V214" s="1181"/>
      <c r="W214" s="1181"/>
      <c r="X214" s="1181"/>
      <c r="Y214" s="1181"/>
      <c r="Z214" s="1181"/>
      <c r="AA214" s="1181"/>
      <c r="AB214" s="1181"/>
      <c r="AC214" s="1181"/>
      <c r="AD214" s="1181"/>
      <c r="AE214" s="1181"/>
      <c r="AF214" s="1181"/>
    </row>
    <row r="215" spans="1:32">
      <c r="A215" s="1181"/>
      <c r="B215" s="1181"/>
      <c r="C215" s="1181"/>
      <c r="D215" s="1181"/>
      <c r="E215" s="1181"/>
      <c r="F215" s="1181"/>
      <c r="G215" s="1181"/>
      <c r="H215" s="1181"/>
      <c r="I215" s="1181"/>
      <c r="J215" s="1181"/>
      <c r="K215" s="1181"/>
      <c r="L215" s="1181"/>
      <c r="M215" s="1181"/>
      <c r="N215" s="1181"/>
      <c r="O215" s="1181"/>
      <c r="P215" s="1181"/>
      <c r="Q215" s="1181"/>
      <c r="R215" s="1181"/>
      <c r="S215" s="1181"/>
      <c r="T215" s="1181"/>
      <c r="U215" s="1181"/>
      <c r="V215" s="1181"/>
      <c r="W215" s="1181"/>
      <c r="X215" s="1181"/>
      <c r="Y215" s="1181"/>
      <c r="Z215" s="1181"/>
      <c r="AA215" s="1181"/>
      <c r="AB215" s="1181"/>
      <c r="AC215" s="1181"/>
      <c r="AD215" s="1181"/>
      <c r="AE215" s="1181"/>
      <c r="AF215" s="1181"/>
    </row>
    <row r="216" spans="1:32">
      <c r="N216" s="31"/>
    </row>
    <row r="217" spans="1:32">
      <c r="N217" s="31"/>
    </row>
    <row r="218" spans="1:32">
      <c r="N218" s="31"/>
    </row>
    <row r="219" spans="1:32">
      <c r="N219" s="31"/>
    </row>
    <row r="220" spans="1:32">
      <c r="N220" s="31"/>
    </row>
    <row r="221" spans="1:32">
      <c r="N221" s="31"/>
    </row>
    <row r="222" spans="1:32">
      <c r="N222" s="31"/>
    </row>
    <row r="223" spans="1:32">
      <c r="N223" s="31"/>
    </row>
    <row r="224" spans="1:32">
      <c r="N224" s="31"/>
    </row>
    <row r="225" spans="14:14">
      <c r="N225" s="31"/>
    </row>
    <row r="226" spans="14:14">
      <c r="N226" s="31"/>
    </row>
    <row r="227" spans="14:14">
      <c r="N227" s="31"/>
    </row>
    <row r="228" spans="14:14">
      <c r="N228" s="31"/>
    </row>
    <row r="229" spans="14:14">
      <c r="N229" s="31"/>
    </row>
    <row r="230" spans="14:14">
      <c r="N230" s="31"/>
    </row>
    <row r="231" spans="14:14">
      <c r="N231" s="31"/>
    </row>
    <row r="232" spans="14:14">
      <c r="N232" s="31"/>
    </row>
    <row r="233" spans="14:14">
      <c r="N233" s="31"/>
    </row>
    <row r="234" spans="14:14">
      <c r="N234" s="31"/>
    </row>
    <row r="235" spans="14:14">
      <c r="N235" s="31"/>
    </row>
    <row r="236" spans="14:14">
      <c r="N236" s="31"/>
    </row>
    <row r="237" spans="14:14">
      <c r="N237" s="31"/>
    </row>
    <row r="238" spans="14:14">
      <c r="N238" s="31"/>
    </row>
    <row r="239" spans="14:14">
      <c r="N239" s="31"/>
    </row>
    <row r="240" spans="14:14">
      <c r="N240" s="31"/>
    </row>
    <row r="241" spans="14:14">
      <c r="N241" s="31"/>
    </row>
    <row r="242" spans="14:14">
      <c r="N242" s="31"/>
    </row>
    <row r="243" spans="14:14">
      <c r="N243" s="31"/>
    </row>
    <row r="244" spans="14:14">
      <c r="N244" s="31"/>
    </row>
    <row r="245" spans="14:14">
      <c r="N245" s="31"/>
    </row>
    <row r="246" spans="14:14">
      <c r="N246" s="31"/>
    </row>
    <row r="247" spans="14:14">
      <c r="N247" s="31"/>
    </row>
    <row r="248" spans="14:14">
      <c r="N248" s="31"/>
    </row>
    <row r="249" spans="14:14">
      <c r="N249" s="31"/>
    </row>
    <row r="250" spans="14:14">
      <c r="N250" s="31"/>
    </row>
    <row r="251" spans="14:14">
      <c r="N251" s="31"/>
    </row>
    <row r="252" spans="14:14">
      <c r="N252" s="31"/>
    </row>
    <row r="253" spans="14:14">
      <c r="N253" s="31"/>
    </row>
    <row r="254" spans="14:14">
      <c r="N254" s="31"/>
    </row>
    <row r="255" spans="14:14">
      <c r="N255" s="31"/>
    </row>
    <row r="256" spans="14:14">
      <c r="N256" s="31"/>
    </row>
    <row r="257" spans="14:14">
      <c r="N257" s="31"/>
    </row>
    <row r="258" spans="14:14">
      <c r="N258" s="31"/>
    </row>
    <row r="259" spans="14:14">
      <c r="N259" s="31"/>
    </row>
    <row r="260" spans="14:14">
      <c r="N260" s="31"/>
    </row>
    <row r="261" spans="14:14">
      <c r="N261" s="31"/>
    </row>
    <row r="262" spans="14:14">
      <c r="N262" s="31"/>
    </row>
    <row r="263" spans="14:14">
      <c r="N263" s="31"/>
    </row>
    <row r="264" spans="14:14">
      <c r="N264" s="31"/>
    </row>
    <row r="265" spans="14:14">
      <c r="N265" s="31"/>
    </row>
    <row r="266" spans="14:14">
      <c r="N266" s="31"/>
    </row>
    <row r="267" spans="14:14">
      <c r="N267" s="31"/>
    </row>
    <row r="268" spans="14:14">
      <c r="N268" s="31"/>
    </row>
    <row r="269" spans="14:14">
      <c r="N269" s="31"/>
    </row>
    <row r="270" spans="14:14">
      <c r="N270" s="31"/>
    </row>
    <row r="271" spans="14:14">
      <c r="N271" s="31"/>
    </row>
    <row r="272" spans="14:14">
      <c r="N272" s="31"/>
    </row>
    <row r="273" spans="14:14">
      <c r="N273" s="31"/>
    </row>
    <row r="274" spans="14:14">
      <c r="N274" s="31"/>
    </row>
    <row r="275" spans="14:14">
      <c r="N275" s="31"/>
    </row>
    <row r="276" spans="14:14">
      <c r="N276" s="31"/>
    </row>
    <row r="277" spans="14:14">
      <c r="N277" s="31"/>
    </row>
    <row r="278" spans="14:14">
      <c r="N278" s="31"/>
    </row>
    <row r="279" spans="14:14">
      <c r="N279" s="31"/>
    </row>
    <row r="280" spans="14:14">
      <c r="N280" s="31"/>
    </row>
    <row r="281" spans="14:14">
      <c r="N281" s="31"/>
    </row>
    <row r="282" spans="14:14">
      <c r="N282" s="31"/>
    </row>
    <row r="283" spans="14:14">
      <c r="N283" s="31"/>
    </row>
    <row r="284" spans="14:14">
      <c r="N284" s="31"/>
    </row>
    <row r="285" spans="14:14">
      <c r="N285" s="31"/>
    </row>
    <row r="286" spans="14:14">
      <c r="N286" s="31"/>
    </row>
    <row r="287" spans="14:14">
      <c r="N287" s="31"/>
    </row>
    <row r="288" spans="14:14">
      <c r="N288" s="31"/>
    </row>
    <row r="289" spans="14:14">
      <c r="N289" s="31"/>
    </row>
    <row r="290" spans="14:14">
      <c r="N290" s="31"/>
    </row>
    <row r="291" spans="14:14">
      <c r="N291" s="31"/>
    </row>
    <row r="292" spans="14:14">
      <c r="N292" s="31"/>
    </row>
    <row r="293" spans="14:14">
      <c r="N293" s="31"/>
    </row>
    <row r="294" spans="14:14">
      <c r="N294" s="31"/>
    </row>
    <row r="295" spans="14:14">
      <c r="N295" s="31"/>
    </row>
    <row r="296" spans="14:14">
      <c r="N296" s="31"/>
    </row>
    <row r="297" spans="14:14">
      <c r="N297" s="31"/>
    </row>
    <row r="298" spans="14:14">
      <c r="N298" s="31"/>
    </row>
    <row r="299" spans="14:14">
      <c r="N299" s="31"/>
    </row>
    <row r="300" spans="14:14">
      <c r="N300" s="31"/>
    </row>
    <row r="301" spans="14:14">
      <c r="N301" s="31"/>
    </row>
    <row r="302" spans="14:14">
      <c r="N302" s="31"/>
    </row>
    <row r="303" spans="14:14">
      <c r="N303" s="31"/>
    </row>
    <row r="304" spans="14:14">
      <c r="N304" s="31"/>
    </row>
    <row r="305" spans="14:14">
      <c r="N305" s="31"/>
    </row>
    <row r="306" spans="14:14">
      <c r="N306" s="31"/>
    </row>
    <row r="307" spans="14:14">
      <c r="N307" s="31"/>
    </row>
    <row r="308" spans="14:14">
      <c r="N308" s="31"/>
    </row>
    <row r="309" spans="14:14">
      <c r="N309" s="31"/>
    </row>
    <row r="310" spans="14:14">
      <c r="N310" s="31"/>
    </row>
    <row r="311" spans="14:14">
      <c r="N311" s="31"/>
    </row>
    <row r="312" spans="14:14">
      <c r="N312" s="31"/>
    </row>
    <row r="313" spans="14:14">
      <c r="N313" s="31"/>
    </row>
    <row r="314" spans="14:14">
      <c r="N314" s="31"/>
    </row>
    <row r="315" spans="14:14">
      <c r="N315" s="31"/>
    </row>
    <row r="316" spans="14:14">
      <c r="N316" s="31"/>
    </row>
    <row r="317" spans="14:14">
      <c r="N317" s="31"/>
    </row>
    <row r="318" spans="14:14">
      <c r="N318" s="31"/>
    </row>
    <row r="319" spans="14:14">
      <c r="N319" s="31"/>
    </row>
    <row r="320" spans="14:14">
      <c r="N320" s="31"/>
    </row>
    <row r="321" spans="14:14">
      <c r="N321" s="31"/>
    </row>
    <row r="322" spans="14:14">
      <c r="N322" s="31"/>
    </row>
    <row r="323" spans="14:14">
      <c r="N323" s="31"/>
    </row>
    <row r="324" spans="14:14">
      <c r="N324" s="31"/>
    </row>
    <row r="325" spans="14:14">
      <c r="N325" s="31"/>
    </row>
    <row r="326" spans="14:14">
      <c r="N326" s="31"/>
    </row>
    <row r="327" spans="14:14">
      <c r="N327" s="31"/>
    </row>
    <row r="328" spans="14:14">
      <c r="N328" s="31"/>
    </row>
    <row r="329" spans="14:14">
      <c r="N329" s="31"/>
    </row>
    <row r="330" spans="14:14">
      <c r="N330" s="31"/>
    </row>
    <row r="331" spans="14:14">
      <c r="N331" s="31"/>
    </row>
    <row r="332" spans="14:14">
      <c r="N332" s="31"/>
    </row>
    <row r="333" spans="14:14">
      <c r="N333" s="31"/>
    </row>
    <row r="334" spans="14:14">
      <c r="N334" s="31"/>
    </row>
    <row r="335" spans="14:14">
      <c r="N335" s="31"/>
    </row>
    <row r="336" spans="14:14">
      <c r="N336" s="31"/>
    </row>
    <row r="337" spans="14:14">
      <c r="N337" s="31"/>
    </row>
    <row r="338" spans="14:14">
      <c r="N338" s="31"/>
    </row>
    <row r="339" spans="14:14">
      <c r="N339" s="31"/>
    </row>
    <row r="340" spans="14:14">
      <c r="N340" s="31"/>
    </row>
    <row r="341" spans="14:14">
      <c r="N341" s="31"/>
    </row>
    <row r="342" spans="14:14">
      <c r="N342" s="31"/>
    </row>
    <row r="343" spans="14:14">
      <c r="N343" s="31"/>
    </row>
    <row r="344" spans="14:14">
      <c r="N344" s="31"/>
    </row>
    <row r="345" spans="14:14">
      <c r="N345" s="31"/>
    </row>
    <row r="346" spans="14:14">
      <c r="N346" s="31"/>
    </row>
    <row r="347" spans="14:14">
      <c r="N347" s="31"/>
    </row>
    <row r="348" spans="14:14">
      <c r="N348" s="31"/>
    </row>
    <row r="349" spans="14:14">
      <c r="N349" s="31"/>
    </row>
    <row r="350" spans="14:14">
      <c r="N350" s="31"/>
    </row>
    <row r="351" spans="14:14">
      <c r="N351" s="31"/>
    </row>
    <row r="352" spans="14:14">
      <c r="N352" s="31"/>
    </row>
    <row r="353" spans="14:14">
      <c r="N353" s="31"/>
    </row>
    <row r="354" spans="14:14">
      <c r="N354" s="31"/>
    </row>
    <row r="355" spans="14:14">
      <c r="N355" s="31"/>
    </row>
    <row r="356" spans="14:14">
      <c r="N356" s="31"/>
    </row>
    <row r="357" spans="14:14">
      <c r="N357" s="31"/>
    </row>
    <row r="358" spans="14:14">
      <c r="N358" s="31"/>
    </row>
    <row r="359" spans="14:14">
      <c r="N359" s="31"/>
    </row>
    <row r="360" spans="14:14">
      <c r="N360" s="31"/>
    </row>
    <row r="361" spans="14:14">
      <c r="N361" s="31"/>
    </row>
    <row r="362" spans="14:14">
      <c r="N362" s="31"/>
    </row>
    <row r="363" spans="14:14">
      <c r="N363" s="31"/>
    </row>
    <row r="364" spans="14:14">
      <c r="N364" s="31"/>
    </row>
    <row r="365" spans="14:14">
      <c r="N365" s="31"/>
    </row>
    <row r="366" spans="14:14">
      <c r="N366" s="31"/>
    </row>
    <row r="367" spans="14:14">
      <c r="N367" s="31"/>
    </row>
    <row r="368" spans="14:14">
      <c r="N368" s="31"/>
    </row>
    <row r="369" spans="14:14">
      <c r="N369" s="31"/>
    </row>
    <row r="370" spans="14:14">
      <c r="N370" s="31"/>
    </row>
    <row r="371" spans="14:14">
      <c r="N371" s="31"/>
    </row>
    <row r="372" spans="14:14">
      <c r="N372" s="31"/>
    </row>
    <row r="373" spans="14:14">
      <c r="N373" s="31"/>
    </row>
    <row r="374" spans="14:14">
      <c r="N374" s="31"/>
    </row>
    <row r="375" spans="14:14">
      <c r="N375" s="31"/>
    </row>
    <row r="376" spans="14:14">
      <c r="N376" s="31"/>
    </row>
    <row r="377" spans="14:14">
      <c r="N377" s="31"/>
    </row>
    <row r="378" spans="14:14">
      <c r="N378" s="31"/>
    </row>
    <row r="379" spans="14:14">
      <c r="N379" s="31"/>
    </row>
    <row r="380" spans="14:14">
      <c r="N380" s="31"/>
    </row>
    <row r="381" spans="14:14">
      <c r="N381" s="31"/>
    </row>
    <row r="382" spans="14:14">
      <c r="N382" s="31"/>
    </row>
    <row r="383" spans="14:14">
      <c r="N383" s="31"/>
    </row>
    <row r="384" spans="14:14">
      <c r="N384" s="31"/>
    </row>
    <row r="385" spans="14:14">
      <c r="N385" s="31"/>
    </row>
    <row r="386" spans="14:14">
      <c r="N386" s="31"/>
    </row>
    <row r="387" spans="14:14">
      <c r="N387" s="31"/>
    </row>
    <row r="388" spans="14:14">
      <c r="N388" s="31"/>
    </row>
    <row r="389" spans="14:14">
      <c r="N389" s="31"/>
    </row>
    <row r="390" spans="14:14">
      <c r="N390" s="31"/>
    </row>
    <row r="391" spans="14:14">
      <c r="N391" s="31"/>
    </row>
    <row r="392" spans="14:14">
      <c r="N392" s="31"/>
    </row>
    <row r="393" spans="14:14">
      <c r="N393" s="31"/>
    </row>
    <row r="394" spans="14:14">
      <c r="N394" s="31"/>
    </row>
    <row r="395" spans="14:14">
      <c r="N395" s="31"/>
    </row>
    <row r="396" spans="14:14">
      <c r="N396" s="31"/>
    </row>
    <row r="397" spans="14:14">
      <c r="N397" s="31"/>
    </row>
    <row r="398" spans="14:14">
      <c r="N398" s="31"/>
    </row>
    <row r="399" spans="14:14">
      <c r="N399" s="31"/>
    </row>
    <row r="400" spans="14:14">
      <c r="N400" s="31"/>
    </row>
    <row r="401" spans="14:14">
      <c r="N401" s="31"/>
    </row>
    <row r="402" spans="14:14">
      <c r="N402" s="31"/>
    </row>
    <row r="403" spans="14:14">
      <c r="N403" s="31"/>
    </row>
    <row r="404" spans="14:14">
      <c r="N404" s="31"/>
    </row>
    <row r="405" spans="14:14">
      <c r="N405" s="31"/>
    </row>
    <row r="406" spans="14:14">
      <c r="N406" s="31"/>
    </row>
    <row r="407" spans="14:14">
      <c r="N407" s="31"/>
    </row>
    <row r="408" spans="14:14">
      <c r="N408" s="31"/>
    </row>
    <row r="409" spans="14:14">
      <c r="N409" s="31"/>
    </row>
    <row r="410" spans="14:14">
      <c r="N410" s="31"/>
    </row>
    <row r="411" spans="14:14">
      <c r="N411" s="31"/>
    </row>
    <row r="412" spans="14:14">
      <c r="N412" s="31"/>
    </row>
    <row r="413" spans="14:14">
      <c r="N413" s="31"/>
    </row>
    <row r="414" spans="14:14">
      <c r="N414" s="31"/>
    </row>
    <row r="415" spans="14:14">
      <c r="N415" s="31"/>
    </row>
    <row r="416" spans="14:14">
      <c r="N416" s="31"/>
    </row>
    <row r="417" spans="14:14">
      <c r="N417" s="31"/>
    </row>
    <row r="418" spans="14:14">
      <c r="N418" s="31"/>
    </row>
    <row r="419" spans="14:14">
      <c r="N419" s="31"/>
    </row>
    <row r="420" spans="14:14">
      <c r="N420" s="31"/>
    </row>
    <row r="421" spans="14:14">
      <c r="N421" s="31"/>
    </row>
    <row r="422" spans="14:14">
      <c r="N422" s="31"/>
    </row>
    <row r="423" spans="14:14">
      <c r="N423" s="31"/>
    </row>
    <row r="424" spans="14:14">
      <c r="N424" s="31"/>
    </row>
    <row r="425" spans="14:14">
      <c r="N425" s="31"/>
    </row>
    <row r="426" spans="14:14">
      <c r="N426" s="31"/>
    </row>
    <row r="427" spans="14:14">
      <c r="N427" s="31"/>
    </row>
    <row r="428" spans="14:14">
      <c r="N428" s="31"/>
    </row>
    <row r="429" spans="14:14">
      <c r="N429" s="31"/>
    </row>
    <row r="430" spans="14:14">
      <c r="N430" s="31"/>
    </row>
    <row r="431" spans="14:14">
      <c r="N431" s="31"/>
    </row>
    <row r="432" spans="14:14">
      <c r="N432" s="31"/>
    </row>
    <row r="433" spans="14:14">
      <c r="N433" s="31"/>
    </row>
    <row r="434" spans="14:14">
      <c r="N434" s="31"/>
    </row>
    <row r="435" spans="14:14">
      <c r="N435" s="31"/>
    </row>
    <row r="436" spans="14:14">
      <c r="N436" s="31"/>
    </row>
    <row r="437" spans="14:14">
      <c r="N437" s="31"/>
    </row>
    <row r="438" spans="14:14">
      <c r="N438" s="31"/>
    </row>
    <row r="439" spans="14:14">
      <c r="N439" s="31"/>
    </row>
    <row r="440" spans="14:14">
      <c r="N440" s="31"/>
    </row>
    <row r="441" spans="14:14">
      <c r="N441" s="31"/>
    </row>
    <row r="442" spans="14:14">
      <c r="N442" s="31"/>
    </row>
    <row r="443" spans="14:14">
      <c r="N443" s="31"/>
    </row>
    <row r="444" spans="14:14">
      <c r="N444" s="31"/>
    </row>
    <row r="445" spans="14:14">
      <c r="N445" s="31"/>
    </row>
    <row r="446" spans="14:14">
      <c r="N446" s="31"/>
    </row>
    <row r="447" spans="14:14">
      <c r="N447" s="31"/>
    </row>
    <row r="448" spans="14:14">
      <c r="N448" s="31"/>
    </row>
    <row r="449" spans="14:14">
      <c r="N449" s="31"/>
    </row>
    <row r="450" spans="14:14">
      <c r="N450" s="31"/>
    </row>
    <row r="451" spans="14:14">
      <c r="N451" s="31"/>
    </row>
    <row r="452" spans="14:14">
      <c r="N452" s="31"/>
    </row>
    <row r="453" spans="14:14">
      <c r="N453" s="31"/>
    </row>
    <row r="454" spans="14:14">
      <c r="N454" s="31"/>
    </row>
    <row r="455" spans="14:14">
      <c r="N455" s="31"/>
    </row>
    <row r="456" spans="14:14">
      <c r="N456" s="31"/>
    </row>
    <row r="457" spans="14:14">
      <c r="N457" s="31"/>
    </row>
    <row r="458" spans="14:14">
      <c r="N458" s="31"/>
    </row>
    <row r="459" spans="14:14">
      <c r="N459" s="31"/>
    </row>
    <row r="460" spans="14:14">
      <c r="N460" s="31"/>
    </row>
    <row r="461" spans="14:14">
      <c r="N461" s="31"/>
    </row>
    <row r="462" spans="14:14">
      <c r="N462" s="31"/>
    </row>
    <row r="463" spans="14:14">
      <c r="N463" s="31"/>
    </row>
    <row r="464" spans="14:14">
      <c r="N464" s="31"/>
    </row>
    <row r="465" spans="14:14">
      <c r="N465" s="31"/>
    </row>
    <row r="466" spans="14:14">
      <c r="N466" s="31"/>
    </row>
    <row r="467" spans="14:14">
      <c r="N467" s="31"/>
    </row>
    <row r="468" spans="14:14">
      <c r="N468" s="31"/>
    </row>
    <row r="469" spans="14:14">
      <c r="N469" s="31"/>
    </row>
    <row r="470" spans="14:14">
      <c r="N470" s="31"/>
    </row>
    <row r="471" spans="14:14">
      <c r="N471" s="31"/>
    </row>
    <row r="472" spans="14:14">
      <c r="N472" s="31"/>
    </row>
    <row r="473" spans="14:14">
      <c r="N473" s="31"/>
    </row>
    <row r="474" spans="14:14">
      <c r="N474" s="31"/>
    </row>
    <row r="475" spans="14:14">
      <c r="N475" s="31"/>
    </row>
    <row r="476" spans="14:14">
      <c r="N476" s="31"/>
    </row>
    <row r="477" spans="14:14">
      <c r="N477" s="31"/>
    </row>
    <row r="478" spans="14:14">
      <c r="N478" s="31"/>
    </row>
    <row r="479" spans="14:14">
      <c r="N479" s="31"/>
    </row>
    <row r="480" spans="14:14">
      <c r="N480" s="31"/>
    </row>
    <row r="481" spans="14:14">
      <c r="N481" s="31"/>
    </row>
    <row r="482" spans="14:14">
      <c r="N482" s="31"/>
    </row>
    <row r="483" spans="14:14">
      <c r="N483" s="31"/>
    </row>
    <row r="484" spans="14:14">
      <c r="N484" s="31"/>
    </row>
    <row r="485" spans="14:14">
      <c r="N485" s="31"/>
    </row>
    <row r="486" spans="14:14">
      <c r="N486" s="31"/>
    </row>
    <row r="487" spans="14:14">
      <c r="N487" s="31"/>
    </row>
    <row r="488" spans="14:14">
      <c r="N488" s="31"/>
    </row>
    <row r="489" spans="14:14">
      <c r="N489" s="31"/>
    </row>
    <row r="490" spans="14:14">
      <c r="N490" s="31"/>
    </row>
    <row r="491" spans="14:14">
      <c r="N491" s="31"/>
    </row>
    <row r="492" spans="14:14">
      <c r="N492" s="31"/>
    </row>
    <row r="493" spans="14:14">
      <c r="N493" s="31"/>
    </row>
    <row r="494" spans="14:14">
      <c r="N494" s="31"/>
    </row>
    <row r="495" spans="14:14">
      <c r="N495" s="31"/>
    </row>
    <row r="496" spans="14:14">
      <c r="N496" s="31"/>
    </row>
    <row r="497" spans="14:14">
      <c r="N497" s="31"/>
    </row>
    <row r="498" spans="14:14">
      <c r="N498" s="31"/>
    </row>
    <row r="499" spans="14:14">
      <c r="N499" s="31"/>
    </row>
    <row r="500" spans="14:14">
      <c r="N500" s="31"/>
    </row>
    <row r="501" spans="14:14">
      <c r="N501" s="31"/>
    </row>
    <row r="502" spans="14:14">
      <c r="N502" s="31"/>
    </row>
    <row r="503" spans="14:14">
      <c r="N503" s="31"/>
    </row>
    <row r="504" spans="14:14">
      <c r="N504" s="31"/>
    </row>
    <row r="505" spans="14:14">
      <c r="N505" s="31"/>
    </row>
    <row r="506" spans="14:14">
      <c r="N506" s="31"/>
    </row>
    <row r="507" spans="14:14">
      <c r="N507" s="31"/>
    </row>
    <row r="508" spans="14:14">
      <c r="N508" s="31"/>
    </row>
    <row r="509" spans="14:14">
      <c r="N509" s="31"/>
    </row>
    <row r="510" spans="14:14">
      <c r="N510" s="31"/>
    </row>
    <row r="511" spans="14:14">
      <c r="N511" s="31"/>
    </row>
    <row r="512" spans="14:14">
      <c r="N512" s="31"/>
    </row>
    <row r="513" spans="14:14">
      <c r="N513" s="31"/>
    </row>
    <row r="514" spans="14:14">
      <c r="N514" s="31"/>
    </row>
    <row r="515" spans="14:14">
      <c r="N515" s="31"/>
    </row>
    <row r="516" spans="14:14">
      <c r="N516" s="31"/>
    </row>
    <row r="517" spans="14:14">
      <c r="N517" s="31"/>
    </row>
    <row r="518" spans="14:14">
      <c r="N518" s="31"/>
    </row>
    <row r="519" spans="14:14">
      <c r="N519" s="31"/>
    </row>
    <row r="520" spans="14:14">
      <c r="N520" s="31"/>
    </row>
    <row r="521" spans="14:14">
      <c r="N521" s="31"/>
    </row>
    <row r="522" spans="14:14">
      <c r="N522" s="31"/>
    </row>
    <row r="523" spans="14:14">
      <c r="N523" s="31"/>
    </row>
    <row r="524" spans="14:14">
      <c r="N524" s="31"/>
    </row>
    <row r="525" spans="14:14">
      <c r="N525" s="31"/>
    </row>
    <row r="526" spans="14:14">
      <c r="N526" s="31"/>
    </row>
    <row r="527" spans="14:14">
      <c r="N527" s="31"/>
    </row>
    <row r="528" spans="14:14">
      <c r="N528" s="31"/>
    </row>
    <row r="529" spans="14:14">
      <c r="N529" s="31"/>
    </row>
    <row r="530" spans="14:14">
      <c r="N530" s="31"/>
    </row>
    <row r="531" spans="14:14">
      <c r="N531" s="31"/>
    </row>
    <row r="532" spans="14:14">
      <c r="N532" s="31"/>
    </row>
    <row r="533" spans="14:14">
      <c r="N533" s="31"/>
    </row>
    <row r="534" spans="14:14">
      <c r="N534" s="31"/>
    </row>
    <row r="535" spans="14:14">
      <c r="N535" s="31"/>
    </row>
    <row r="536" spans="14:14">
      <c r="N536" s="31"/>
    </row>
    <row r="537" spans="14:14">
      <c r="N537" s="31"/>
    </row>
    <row r="538" spans="14:14">
      <c r="N538" s="31"/>
    </row>
    <row r="539" spans="14:14">
      <c r="N539" s="31"/>
    </row>
    <row r="540" spans="14:14">
      <c r="N540" s="31"/>
    </row>
    <row r="541" spans="14:14">
      <c r="N541" s="31"/>
    </row>
    <row r="542" spans="14:14">
      <c r="N542" s="31"/>
    </row>
    <row r="543" spans="14:14">
      <c r="N543" s="31"/>
    </row>
    <row r="544" spans="14:14">
      <c r="N544" s="31"/>
    </row>
    <row r="545" spans="14:14">
      <c r="N545" s="31"/>
    </row>
    <row r="546" spans="14:14">
      <c r="N546" s="31"/>
    </row>
    <row r="547" spans="14:14">
      <c r="N547" s="31"/>
    </row>
    <row r="548" spans="14:14">
      <c r="N548" s="31"/>
    </row>
    <row r="549" spans="14:14">
      <c r="N549" s="31"/>
    </row>
    <row r="550" spans="14:14">
      <c r="N550" s="31"/>
    </row>
    <row r="551" spans="14:14">
      <c r="N551" s="31"/>
    </row>
    <row r="552" spans="14:14">
      <c r="N552" s="31"/>
    </row>
    <row r="553" spans="14:14">
      <c r="N553" s="31"/>
    </row>
    <row r="554" spans="14:14">
      <c r="N554" s="31"/>
    </row>
    <row r="555" spans="14:14">
      <c r="N555" s="31"/>
    </row>
    <row r="556" spans="14:14">
      <c r="N556" s="31"/>
    </row>
    <row r="557" spans="14:14">
      <c r="N557" s="31"/>
    </row>
    <row r="558" spans="14:14">
      <c r="N558" s="31"/>
    </row>
    <row r="559" spans="14:14">
      <c r="N559" s="31"/>
    </row>
    <row r="560" spans="14:14">
      <c r="N560" s="31"/>
    </row>
    <row r="561" spans="14:14">
      <c r="N561" s="31"/>
    </row>
    <row r="562" spans="14:14">
      <c r="N562" s="31"/>
    </row>
    <row r="563" spans="14:14">
      <c r="N563" s="31"/>
    </row>
    <row r="564" spans="14:14">
      <c r="N564" s="31"/>
    </row>
    <row r="565" spans="14:14">
      <c r="N565" s="31"/>
    </row>
    <row r="566" spans="14:14">
      <c r="N566" s="31"/>
    </row>
    <row r="567" spans="14:14">
      <c r="N567" s="31"/>
    </row>
    <row r="568" spans="14:14">
      <c r="N568" s="31"/>
    </row>
    <row r="569" spans="14:14">
      <c r="N569" s="31"/>
    </row>
    <row r="570" spans="14:14">
      <c r="N570" s="31"/>
    </row>
    <row r="571" spans="14:14">
      <c r="N571" s="31"/>
    </row>
    <row r="572" spans="14:14">
      <c r="N572" s="31"/>
    </row>
    <row r="573" spans="14:14">
      <c r="N573" s="31"/>
    </row>
    <row r="574" spans="14:14">
      <c r="N574" s="31"/>
    </row>
    <row r="575" spans="14:14">
      <c r="N575" s="31"/>
    </row>
    <row r="576" spans="14:14">
      <c r="N576" s="31"/>
    </row>
    <row r="577" spans="14:14">
      <c r="N577" s="31"/>
    </row>
    <row r="578" spans="14:14">
      <c r="N578" s="31"/>
    </row>
    <row r="579" spans="14:14">
      <c r="N579" s="31"/>
    </row>
    <row r="580" spans="14:14">
      <c r="N580" s="31"/>
    </row>
    <row r="581" spans="14:14">
      <c r="N581" s="31"/>
    </row>
    <row r="582" spans="14:14">
      <c r="N582" s="31"/>
    </row>
    <row r="583" spans="14:14">
      <c r="N583" s="31"/>
    </row>
    <row r="584" spans="14:14">
      <c r="N584" s="31"/>
    </row>
    <row r="585" spans="14:14">
      <c r="N585" s="31"/>
    </row>
    <row r="586" spans="14:14">
      <c r="N586" s="31"/>
    </row>
    <row r="587" spans="14:14">
      <c r="N587" s="31"/>
    </row>
    <row r="588" spans="14:14">
      <c r="N588" s="31"/>
    </row>
    <row r="589" spans="14:14">
      <c r="N589" s="31"/>
    </row>
    <row r="590" spans="14:14">
      <c r="N590" s="31"/>
    </row>
    <row r="591" spans="14:14">
      <c r="N591" s="31"/>
    </row>
    <row r="592" spans="14:14">
      <c r="N592" s="31"/>
    </row>
    <row r="593" spans="14:14">
      <c r="N593" s="31"/>
    </row>
    <row r="594" spans="14:14">
      <c r="N594" s="31"/>
    </row>
    <row r="595" spans="14:14">
      <c r="N595" s="31"/>
    </row>
    <row r="596" spans="14:14">
      <c r="N596" s="31"/>
    </row>
    <row r="597" spans="14:14">
      <c r="N597" s="31"/>
    </row>
    <row r="598" spans="14:14">
      <c r="N598" s="31"/>
    </row>
    <row r="599" spans="14:14">
      <c r="N599" s="31"/>
    </row>
    <row r="600" spans="14:14">
      <c r="N600" s="31"/>
    </row>
    <row r="601" spans="14:14">
      <c r="N601" s="31"/>
    </row>
    <row r="602" spans="14:14">
      <c r="N602" s="31"/>
    </row>
    <row r="603" spans="14:14">
      <c r="N603" s="31"/>
    </row>
    <row r="604" spans="14:14">
      <c r="N604" s="31"/>
    </row>
    <row r="605" spans="14:14">
      <c r="N605" s="31"/>
    </row>
    <row r="606" spans="14:14">
      <c r="N606" s="31"/>
    </row>
    <row r="607" spans="14:14">
      <c r="N607" s="31"/>
    </row>
    <row r="608" spans="14:14">
      <c r="N608" s="31"/>
    </row>
    <row r="609" spans="14:14">
      <c r="N609" s="31"/>
    </row>
    <row r="610" spans="14:14">
      <c r="N610" s="31"/>
    </row>
    <row r="611" spans="14:14">
      <c r="N611" s="31"/>
    </row>
    <row r="612" spans="14:14">
      <c r="N612" s="31"/>
    </row>
    <row r="613" spans="14:14">
      <c r="N613" s="31"/>
    </row>
    <row r="614" spans="14:14">
      <c r="N614" s="31"/>
    </row>
    <row r="615" spans="14:14">
      <c r="N615" s="31"/>
    </row>
    <row r="616" spans="14:14">
      <c r="N616" s="31"/>
    </row>
    <row r="617" spans="14:14">
      <c r="N617" s="31"/>
    </row>
    <row r="618" spans="14:14">
      <c r="N618" s="31"/>
    </row>
    <row r="619" spans="14:14">
      <c r="N619" s="31"/>
    </row>
    <row r="620" spans="14:14">
      <c r="N620" s="31"/>
    </row>
    <row r="621" spans="14:14">
      <c r="N621" s="31"/>
    </row>
    <row r="622" spans="14:14">
      <c r="N622" s="31"/>
    </row>
    <row r="623" spans="14:14">
      <c r="N623" s="31"/>
    </row>
    <row r="624" spans="14:14">
      <c r="N624" s="31"/>
    </row>
    <row r="625" spans="14:14">
      <c r="N625" s="31"/>
    </row>
    <row r="626" spans="14:14">
      <c r="N626" s="31"/>
    </row>
    <row r="627" spans="14:14">
      <c r="N627" s="31"/>
    </row>
    <row r="628" spans="14:14">
      <c r="N628" s="31"/>
    </row>
    <row r="629" spans="14:14">
      <c r="N629" s="31"/>
    </row>
    <row r="630" spans="14:14">
      <c r="N630" s="31"/>
    </row>
    <row r="631" spans="14:14">
      <c r="N631" s="31"/>
    </row>
    <row r="632" spans="14:14">
      <c r="N632" s="31"/>
    </row>
    <row r="633" spans="14:14">
      <c r="N633" s="31"/>
    </row>
    <row r="634" spans="14:14">
      <c r="N634" s="31"/>
    </row>
    <row r="635" spans="14:14">
      <c r="N635" s="31"/>
    </row>
    <row r="636" spans="14:14">
      <c r="N636" s="31"/>
    </row>
    <row r="637" spans="14:14">
      <c r="N637" s="31"/>
    </row>
    <row r="638" spans="14:14">
      <c r="N638" s="31"/>
    </row>
    <row r="639" spans="14:14">
      <c r="N639" s="31"/>
    </row>
    <row r="640" spans="14:14">
      <c r="N640" s="31"/>
    </row>
    <row r="641" spans="14:14">
      <c r="N641" s="31"/>
    </row>
    <row r="642" spans="14:14">
      <c r="N642" s="31"/>
    </row>
    <row r="643" spans="14:14">
      <c r="N643" s="31"/>
    </row>
    <row r="644" spans="14:14">
      <c r="N644" s="31"/>
    </row>
    <row r="645" spans="14:14">
      <c r="N645" s="31"/>
    </row>
    <row r="646" spans="14:14">
      <c r="N646" s="31"/>
    </row>
    <row r="647" spans="14:14">
      <c r="N647" s="31"/>
    </row>
    <row r="648" spans="14:14">
      <c r="N648" s="31"/>
    </row>
    <row r="649" spans="14:14">
      <c r="N649" s="31"/>
    </row>
    <row r="650" spans="14:14">
      <c r="N650" s="31"/>
    </row>
    <row r="651" spans="14:14">
      <c r="N651" s="31"/>
    </row>
    <row r="652" spans="14:14">
      <c r="N652" s="31"/>
    </row>
    <row r="653" spans="14:14">
      <c r="N653" s="31"/>
    </row>
    <row r="654" spans="14:14">
      <c r="N654" s="31"/>
    </row>
    <row r="655" spans="14:14">
      <c r="N655" s="31"/>
    </row>
    <row r="656" spans="14:14">
      <c r="N656" s="31"/>
    </row>
    <row r="657" spans="14:14">
      <c r="N657" s="31"/>
    </row>
    <row r="658" spans="14:14">
      <c r="N658" s="31"/>
    </row>
    <row r="659" spans="14:14">
      <c r="N659" s="31"/>
    </row>
    <row r="660" spans="14:14">
      <c r="N660" s="31"/>
    </row>
    <row r="661" spans="14:14">
      <c r="N661" s="31"/>
    </row>
    <row r="662" spans="14:14">
      <c r="N662" s="31"/>
    </row>
    <row r="663" spans="14:14">
      <c r="N663" s="31"/>
    </row>
    <row r="664" spans="14:14">
      <c r="N664" s="31"/>
    </row>
    <row r="665" spans="14:14">
      <c r="N665" s="31"/>
    </row>
    <row r="666" spans="14:14">
      <c r="N666" s="31"/>
    </row>
    <row r="667" spans="14:14">
      <c r="N667" s="31"/>
    </row>
    <row r="668" spans="14:14">
      <c r="N668" s="31"/>
    </row>
    <row r="669" spans="14:14">
      <c r="N669" s="31"/>
    </row>
    <row r="670" spans="14:14">
      <c r="N670" s="31"/>
    </row>
    <row r="671" spans="14:14">
      <c r="N671" s="31"/>
    </row>
    <row r="672" spans="14:14">
      <c r="N672" s="31"/>
    </row>
    <row r="673" spans="14:14">
      <c r="N673" s="31"/>
    </row>
    <row r="674" spans="14:14">
      <c r="N674" s="31"/>
    </row>
    <row r="675" spans="14:14">
      <c r="N675" s="31"/>
    </row>
    <row r="676" spans="14:14">
      <c r="N676" s="31"/>
    </row>
    <row r="677" spans="14:14">
      <c r="N677" s="31"/>
    </row>
    <row r="678" spans="14:14">
      <c r="N678" s="31"/>
    </row>
    <row r="679" spans="14:14">
      <c r="N679" s="31"/>
    </row>
    <row r="680" spans="14:14">
      <c r="N680" s="31"/>
    </row>
    <row r="681" spans="14:14">
      <c r="N681" s="31"/>
    </row>
    <row r="682" spans="14:14">
      <c r="N682" s="31"/>
    </row>
  </sheetData>
  <mergeCells count="1">
    <mergeCell ref="Y2:AA2"/>
  </mergeCells>
  <pageMargins left="0.7" right="0.7" top="0.75" bottom="0.75" header="0.3" footer="0.3"/>
  <pageSetup scale="60" orientation="portrait" r:id="rId1"/>
  <headerFooter alignWithMargins="0"/>
  <rowBreaks count="1" manualBreakCount="1">
    <brk id="91" max="22" man="1"/>
  </rowBreaks>
  <colBreaks count="1" manualBreakCount="1">
    <brk id="23" max="1048575" man="1"/>
  </colBreaks>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8" tint="0.59999389629810485"/>
  </sheetPr>
  <dimension ref="A1:AL682"/>
  <sheetViews>
    <sheetView showGridLines="0" workbookViewId="0">
      <pane xSplit="10" ySplit="4" topLeftCell="K5" activePane="bottomRight" state="frozen"/>
      <selection activeCell="AC362" sqref="AC362"/>
      <selection pane="topRight" activeCell="AC362" sqref="AC362"/>
      <selection pane="bottomLeft" activeCell="AC362" sqref="AC362"/>
      <selection pane="bottomRight"/>
    </sheetView>
  </sheetViews>
  <sheetFormatPr defaultRowHeight="12.75" outlineLevelRow="1" outlineLevelCol="1"/>
  <cols>
    <col min="1" max="1" width="27.42578125" style="31" customWidth="1"/>
    <col min="2" max="3" width="7.85546875" style="31" hidden="1" customWidth="1" outlineLevel="1"/>
    <col min="4" max="4" width="7.85546875" style="31" hidden="1" customWidth="1" outlineLevel="1" collapsed="1"/>
    <col min="5" max="5" width="7.85546875" style="31" hidden="1" customWidth="1" outlineLevel="1"/>
    <col min="6" max="6" width="7.85546875" style="31" hidden="1" customWidth="1" outlineLevel="1" collapsed="1"/>
    <col min="7" max="10" width="7.85546875" style="31" hidden="1" customWidth="1" outlineLevel="1"/>
    <col min="11" max="11" width="7.85546875" style="31" customWidth="1" collapsed="1"/>
    <col min="12" max="13" width="7.85546875" style="31" customWidth="1"/>
    <col min="14" max="14" width="7.85546875" style="784" customWidth="1"/>
    <col min="15" max="23" width="7.85546875" style="31" customWidth="1"/>
    <col min="24" max="29" width="9.140625" style="31" customWidth="1"/>
    <col min="30" max="16384" width="9.140625" style="31"/>
  </cols>
  <sheetData>
    <row r="1" spans="1:32" s="43" customFormat="1" ht="18">
      <c r="A1" s="112" t="s">
        <v>25</v>
      </c>
      <c r="B1" s="126"/>
      <c r="C1" s="126"/>
      <c r="D1" s="126"/>
      <c r="E1" s="126"/>
      <c r="F1" s="126"/>
      <c r="G1" s="126"/>
      <c r="H1" s="126"/>
      <c r="I1" s="126"/>
      <c r="J1" s="126"/>
      <c r="K1" s="126"/>
      <c r="L1" s="126"/>
      <c r="M1" s="126"/>
      <c r="N1" s="126"/>
      <c r="O1" s="126"/>
      <c r="P1" s="126"/>
      <c r="Q1" s="169"/>
      <c r="R1" s="169"/>
      <c r="S1" s="169"/>
      <c r="T1" s="169"/>
      <c r="U1" s="169"/>
      <c r="V1" s="169"/>
      <c r="W1" s="169"/>
      <c r="X1" s="1292"/>
      <c r="Y1" s="1519"/>
      <c r="Z1" s="1519"/>
      <c r="AA1" s="1519"/>
      <c r="AB1" s="1292"/>
      <c r="AC1" s="1292"/>
      <c r="AD1" s="1292"/>
      <c r="AE1" s="1292"/>
      <c r="AF1" s="1292"/>
    </row>
    <row r="2" spans="1:32">
      <c r="A2" s="170" t="s">
        <v>1416</v>
      </c>
      <c r="B2" s="1841"/>
      <c r="C2" s="126"/>
      <c r="D2" s="126"/>
      <c r="E2" s="126"/>
      <c r="F2" s="126"/>
      <c r="G2" s="126"/>
      <c r="H2" s="126"/>
      <c r="I2" s="126"/>
      <c r="J2" s="126"/>
      <c r="K2" s="126"/>
      <c r="L2" s="126"/>
      <c r="M2" s="126"/>
      <c r="N2" s="126"/>
      <c r="O2" s="126"/>
      <c r="P2" s="126"/>
      <c r="Q2" s="126"/>
      <c r="R2" s="126"/>
      <c r="S2" s="126"/>
      <c r="T2" s="438"/>
      <c r="U2" s="438"/>
      <c r="V2" s="438"/>
      <c r="W2" s="438" t="s">
        <v>27</v>
      </c>
      <c r="X2" s="1181"/>
      <c r="Y2" s="2535" t="s">
        <v>340</v>
      </c>
      <c r="Z2" s="2535"/>
      <c r="AA2" s="2535"/>
      <c r="AB2" s="1181"/>
      <c r="AC2" s="1181"/>
      <c r="AD2" s="1181"/>
      <c r="AE2" s="1181"/>
      <c r="AF2" s="1181"/>
    </row>
    <row r="3" spans="1:32" s="41" customFormat="1">
      <c r="A3" s="2169"/>
      <c r="B3" s="2170"/>
      <c r="C3" s="2170"/>
      <c r="D3" s="2170"/>
      <c r="E3" s="2170"/>
      <c r="F3" s="2170"/>
      <c r="G3" s="2170"/>
      <c r="H3" s="2170"/>
      <c r="I3" s="2170"/>
      <c r="J3" s="2170"/>
      <c r="K3" s="2170"/>
      <c r="L3" s="2170"/>
      <c r="M3" s="2170"/>
      <c r="N3" s="2340"/>
      <c r="O3" s="2340"/>
      <c r="P3" s="2340"/>
      <c r="Q3" s="2340"/>
      <c r="R3" s="2340"/>
      <c r="S3" s="2340"/>
      <c r="T3" s="2171"/>
      <c r="U3" s="2171"/>
      <c r="V3" s="2171"/>
      <c r="W3" s="2171"/>
      <c r="X3" s="1181"/>
      <c r="Y3" s="2172" t="s">
        <v>1538</v>
      </c>
      <c r="Z3" s="2389"/>
      <c r="AA3" s="2389"/>
      <c r="AB3" s="1181"/>
      <c r="AC3" s="1181"/>
      <c r="AD3" s="1181"/>
      <c r="AE3" s="1181"/>
      <c r="AF3" s="1181"/>
    </row>
    <row r="4" spans="1:32">
      <c r="A4" s="1342" t="s">
        <v>202</v>
      </c>
      <c r="B4" s="1343">
        <v>2004</v>
      </c>
      <c r="C4" s="1343">
        <v>2005</v>
      </c>
      <c r="D4" s="1343">
        <v>2006</v>
      </c>
      <c r="E4" s="1343">
        <v>2007</v>
      </c>
      <c r="F4" s="1343">
        <v>2008</v>
      </c>
      <c r="G4" s="1343">
        <v>2009</v>
      </c>
      <c r="H4" s="1343">
        <v>2010</v>
      </c>
      <c r="I4" s="1343">
        <v>2011</v>
      </c>
      <c r="J4" s="1343">
        <v>2012</v>
      </c>
      <c r="K4" s="1343">
        <v>2013</v>
      </c>
      <c r="L4" s="1343">
        <v>2014</v>
      </c>
      <c r="M4" s="1343">
        <v>2015</v>
      </c>
      <c r="N4" s="1343">
        <v>2016</v>
      </c>
      <c r="O4" s="1343">
        <v>2017</v>
      </c>
      <c r="P4" s="1344">
        <v>2018</v>
      </c>
      <c r="Q4" s="1344">
        <v>2019</v>
      </c>
      <c r="R4" s="1344">
        <v>2020</v>
      </c>
      <c r="S4" s="1344">
        <v>2021</v>
      </c>
      <c r="T4" s="1344">
        <v>2022</v>
      </c>
      <c r="U4" s="1344">
        <v>2023</v>
      </c>
      <c r="V4" s="1344">
        <v>2024</v>
      </c>
      <c r="W4" s="1344">
        <v>2025</v>
      </c>
      <c r="X4" s="731"/>
      <c r="Y4" s="1519" t="s">
        <v>1687</v>
      </c>
      <c r="Z4" s="1519" t="s">
        <v>1717</v>
      </c>
      <c r="AA4" s="1519" t="s">
        <v>1688</v>
      </c>
      <c r="AB4" s="731"/>
      <c r="AC4" s="1181"/>
      <c r="AD4" s="1181"/>
      <c r="AE4" s="1181"/>
      <c r="AF4" s="1181"/>
    </row>
    <row r="5" spans="1:32" ht="12.75" customHeight="1">
      <c r="A5" s="990" t="s">
        <v>974</v>
      </c>
      <c r="B5" s="1175"/>
      <c r="C5" s="1175"/>
      <c r="D5" s="1340">
        <v>9000</v>
      </c>
      <c r="E5" s="1340">
        <v>9500</v>
      </c>
      <c r="F5" s="1340">
        <v>12000</v>
      </c>
      <c r="G5" s="1340">
        <v>12900</v>
      </c>
      <c r="H5" s="1340">
        <v>13100</v>
      </c>
      <c r="I5" s="1340">
        <v>14500</v>
      </c>
      <c r="J5" s="1340">
        <v>14800</v>
      </c>
      <c r="K5" s="1340">
        <v>16000</v>
      </c>
      <c r="L5" s="1340">
        <v>20000</v>
      </c>
      <c r="M5" s="1340">
        <v>20000</v>
      </c>
      <c r="N5" s="1340">
        <v>20024</v>
      </c>
      <c r="O5" s="1340">
        <v>24000</v>
      </c>
      <c r="P5" s="1341">
        <v>24000</v>
      </c>
      <c r="Q5" s="1341">
        <v>24000</v>
      </c>
      <c r="R5" s="1341">
        <v>24000</v>
      </c>
      <c r="S5" s="1341">
        <v>24500</v>
      </c>
      <c r="T5" s="1341">
        <v>25000</v>
      </c>
      <c r="U5" s="1341">
        <v>25500</v>
      </c>
      <c r="V5" s="1341">
        <v>26000</v>
      </c>
      <c r="W5" s="1341">
        <v>26500</v>
      </c>
      <c r="X5" s="731"/>
      <c r="Y5" s="1215">
        <v>9.0342271131966578E-2</v>
      </c>
      <c r="Z5" s="1215">
        <v>0</v>
      </c>
      <c r="AA5" s="1215">
        <v>1.5818125795518556E-2</v>
      </c>
      <c r="AB5" s="731"/>
      <c r="AC5" s="1181"/>
      <c r="AD5" s="1181"/>
      <c r="AE5" s="1181"/>
      <c r="AF5" s="1181"/>
    </row>
    <row r="6" spans="1:32">
      <c r="A6" s="1120" t="s">
        <v>965</v>
      </c>
      <c r="B6" s="2240"/>
      <c r="C6" s="2240"/>
      <c r="D6" s="2240">
        <v>9739</v>
      </c>
      <c r="E6" s="2240">
        <v>9276</v>
      </c>
      <c r="F6" s="2240">
        <v>10218</v>
      </c>
      <c r="G6" s="2240">
        <v>12001</v>
      </c>
      <c r="H6" s="2240">
        <v>12923</v>
      </c>
      <c r="I6" s="2240">
        <v>13067</v>
      </c>
      <c r="J6" s="2240">
        <v>10590</v>
      </c>
      <c r="K6" s="2240">
        <v>12885</v>
      </c>
      <c r="L6" s="2240">
        <v>15593</v>
      </c>
      <c r="M6" s="2240">
        <v>18718</v>
      </c>
      <c r="N6" s="2240">
        <v>20024</v>
      </c>
      <c r="O6" s="2240">
        <v>19281</v>
      </c>
      <c r="P6" s="2241">
        <v>21998.1</v>
      </c>
      <c r="Q6" s="2241">
        <v>22988.014499999997</v>
      </c>
      <c r="R6" s="2241">
        <v>23401.798760999998</v>
      </c>
      <c r="S6" s="2241">
        <v>24033.647327546994</v>
      </c>
      <c r="T6" s="2241">
        <v>24422.992414253255</v>
      </c>
      <c r="U6" s="2241">
        <v>24818.644891364158</v>
      </c>
      <c r="V6" s="2241">
        <v>25220.706938604257</v>
      </c>
      <c r="W6" s="2241">
        <v>25629.282391009645</v>
      </c>
      <c r="X6" s="731"/>
      <c r="Y6" s="1215">
        <v>5.8823920970006549E-2</v>
      </c>
      <c r="Z6" s="1215">
        <v>3.1411653996598954E-2</v>
      </c>
      <c r="AA6" s="1215">
        <v>1.2939139649127629E-2</v>
      </c>
      <c r="AB6" s="731"/>
      <c r="AC6" s="1181"/>
      <c r="AD6" s="1181"/>
      <c r="AE6" s="1181"/>
      <c r="AF6" s="1181"/>
    </row>
    <row r="7" spans="1:32" ht="12.75" customHeight="1">
      <c r="A7" s="1141" t="s">
        <v>204</v>
      </c>
      <c r="B7" s="1127"/>
      <c r="C7" s="1127"/>
      <c r="D7" s="1127">
        <v>6745</v>
      </c>
      <c r="E7" s="1127">
        <v>6191</v>
      </c>
      <c r="F7" s="1127">
        <v>6673</v>
      </c>
      <c r="G7" s="1127">
        <v>7212</v>
      </c>
      <c r="H7" s="1127">
        <v>7584</v>
      </c>
      <c r="I7" s="1127">
        <v>8511</v>
      </c>
      <c r="J7" s="1127">
        <v>6886</v>
      </c>
      <c r="K7" s="1127">
        <v>8206</v>
      </c>
      <c r="L7" s="1127">
        <v>10315</v>
      </c>
      <c r="M7" s="1127">
        <v>12326</v>
      </c>
      <c r="N7" s="1127">
        <v>12985</v>
      </c>
      <c r="O7" s="1127">
        <v>13398</v>
      </c>
      <c r="P7" s="1173">
        <v>15286.061086043255</v>
      </c>
      <c r="Q7" s="1173">
        <v>15973.9338349152</v>
      </c>
      <c r="R7" s="1173">
        <v>16261.464643943675</v>
      </c>
      <c r="S7" s="1173">
        <v>16700.52418933015</v>
      </c>
      <c r="T7" s="1173">
        <v>16971.072681197296</v>
      </c>
      <c r="U7" s="1173">
        <v>17246.004058632694</v>
      </c>
      <c r="V7" s="1173">
        <v>17525.389324382544</v>
      </c>
      <c r="W7" s="1173">
        <v>17809.300631437542</v>
      </c>
      <c r="X7" s="731"/>
      <c r="Y7" s="1215">
        <v>8.4690783139507397E-2</v>
      </c>
      <c r="Z7" s="1215">
        <v>3.1411653996598954E-2</v>
      </c>
      <c r="AA7" s="1215">
        <v>1.2939139649127629E-2</v>
      </c>
      <c r="AB7" s="731"/>
      <c r="AC7" s="1181"/>
      <c r="AD7" s="1181"/>
      <c r="AE7" s="1181"/>
      <c r="AF7" s="1181"/>
    </row>
    <row r="8" spans="1:32" ht="12.75" customHeight="1">
      <c r="A8" s="1141" t="s">
        <v>205</v>
      </c>
      <c r="B8" s="1127"/>
      <c r="C8" s="1127"/>
      <c r="D8" s="1127">
        <v>2994</v>
      </c>
      <c r="E8" s="1127">
        <v>3085</v>
      </c>
      <c r="F8" s="1127">
        <v>3545</v>
      </c>
      <c r="G8" s="1127">
        <v>4789</v>
      </c>
      <c r="H8" s="1127">
        <v>5339</v>
      </c>
      <c r="I8" s="1127">
        <v>4556</v>
      </c>
      <c r="J8" s="1127">
        <v>3704</v>
      </c>
      <c r="K8" s="1127">
        <v>4679</v>
      </c>
      <c r="L8" s="1127">
        <v>5278</v>
      </c>
      <c r="M8" s="1127">
        <v>6392</v>
      </c>
      <c r="N8" s="1127">
        <v>7039</v>
      </c>
      <c r="O8" s="1127">
        <v>5883</v>
      </c>
      <c r="P8" s="1173">
        <v>6712.0389139567442</v>
      </c>
      <c r="Q8" s="1173">
        <v>7014.0806650847981</v>
      </c>
      <c r="R8" s="1173">
        <v>7140.3341170563244</v>
      </c>
      <c r="S8" s="1173">
        <v>7333.1231382168444</v>
      </c>
      <c r="T8" s="1173">
        <v>7451.9197330559564</v>
      </c>
      <c r="U8" s="1173">
        <v>7572.640832731463</v>
      </c>
      <c r="V8" s="1173">
        <v>7695.3176142217126</v>
      </c>
      <c r="W8" s="1173">
        <v>7819.9817595721042</v>
      </c>
      <c r="X8" s="731"/>
      <c r="Y8" s="1215">
        <v>1.3957721453403904E-2</v>
      </c>
      <c r="Z8" s="1215">
        <v>3.1411653996598954E-2</v>
      </c>
      <c r="AA8" s="1215">
        <v>1.2939139649127629E-2</v>
      </c>
      <c r="AB8" s="731"/>
      <c r="AC8" s="1181"/>
      <c r="AD8" s="1181"/>
      <c r="AE8" s="1181"/>
      <c r="AF8" s="1181"/>
    </row>
    <row r="9" spans="1:32" ht="12.75" customHeight="1">
      <c r="A9" s="731" t="s">
        <v>671</v>
      </c>
      <c r="B9" s="1126"/>
      <c r="C9" s="1126"/>
      <c r="D9" s="1126" t="e">
        <v>#N/A</v>
      </c>
      <c r="E9" s="1126" t="e">
        <v>#N/A</v>
      </c>
      <c r="F9" s="1126" t="e">
        <v>#N/A</v>
      </c>
      <c r="G9" s="1126" t="e">
        <v>#N/A</v>
      </c>
      <c r="H9" s="1126" t="e">
        <v>#N/A</v>
      </c>
      <c r="I9" s="1126" t="e">
        <v>#N/A</v>
      </c>
      <c r="J9" s="1126" t="e">
        <v>#N/A</v>
      </c>
      <c r="K9" s="1126">
        <v>139.13999999999999</v>
      </c>
      <c r="L9" s="1126">
        <v>136.94999999999999</v>
      </c>
      <c r="M9" s="1126">
        <v>141.6</v>
      </c>
      <c r="N9" s="1126">
        <v>128.9</v>
      </c>
      <c r="O9" s="1126">
        <v>130.30000000000001</v>
      </c>
      <c r="P9" s="1174">
        <v>133</v>
      </c>
      <c r="Q9" s="1174">
        <v>134.56499999999997</v>
      </c>
      <c r="R9" s="1174">
        <v>135.24032499999996</v>
      </c>
      <c r="S9" s="1174">
        <v>135.91902662499993</v>
      </c>
      <c r="T9" s="1174">
        <v>136.60112175812492</v>
      </c>
      <c r="U9" s="1174">
        <v>137.28662736691552</v>
      </c>
      <c r="V9" s="1174">
        <v>137.97556050375007</v>
      </c>
      <c r="W9" s="1174">
        <v>138.66793830626881</v>
      </c>
      <c r="X9" s="731"/>
      <c r="Y9" s="1520" t="s">
        <v>972</v>
      </c>
      <c r="Z9" s="1215">
        <v>8.3871026903210577E-3</v>
      </c>
      <c r="AA9" s="1215">
        <v>4.012594199766184E-3</v>
      </c>
      <c r="AB9" s="731"/>
      <c r="AC9" s="1181"/>
      <c r="AD9" s="1181"/>
      <c r="AE9" s="1181"/>
      <c r="AF9" s="1181"/>
    </row>
    <row r="10" spans="1:32">
      <c r="A10" s="1120" t="s">
        <v>1558</v>
      </c>
      <c r="B10" s="2239"/>
      <c r="C10" s="2239"/>
      <c r="D10" s="2240" t="s">
        <v>972</v>
      </c>
      <c r="E10" s="2240">
        <v>1403</v>
      </c>
      <c r="F10" s="2240">
        <v>1569</v>
      </c>
      <c r="G10" s="2240">
        <v>1514</v>
      </c>
      <c r="H10" s="2240">
        <v>1906</v>
      </c>
      <c r="I10" s="2240">
        <v>1774</v>
      </c>
      <c r="J10" s="2240">
        <v>1461</v>
      </c>
      <c r="K10" s="2240">
        <v>1793</v>
      </c>
      <c r="L10" s="2240">
        <v>2136</v>
      </c>
      <c r="M10" s="2240">
        <v>2650</v>
      </c>
      <c r="N10" s="2240">
        <v>2581</v>
      </c>
      <c r="O10" s="2240">
        <v>2512</v>
      </c>
      <c r="P10" s="2241">
        <v>2925.7473</v>
      </c>
      <c r="Q10" s="2241">
        <v>3093.3821711924988</v>
      </c>
      <c r="R10" s="2241">
        <v>3164.8668700222361</v>
      </c>
      <c r="S10" s="2241">
        <v>3266.6299510087183</v>
      </c>
      <c r="T10" s="2241">
        <v>3336.2081604771702</v>
      </c>
      <c r="U10" s="2241">
        <v>3407.2680529525128</v>
      </c>
      <c r="V10" s="2241">
        <v>3479.8411761547409</v>
      </c>
      <c r="W10" s="2241">
        <v>3553.9597494304671</v>
      </c>
      <c r="X10" s="731"/>
      <c r="Y10" s="1520"/>
      <c r="Z10" s="1215"/>
      <c r="AA10" s="1215"/>
      <c r="AB10" s="731"/>
      <c r="AC10" s="1181"/>
      <c r="AD10" s="1181"/>
      <c r="AE10" s="1181"/>
      <c r="AF10" s="1181"/>
    </row>
    <row r="11" spans="1:32" s="1417" customFormat="1" ht="12.75" hidden="1" customHeight="1" outlineLevel="1" collapsed="1">
      <c r="A11" s="1416" t="s">
        <v>1198</v>
      </c>
      <c r="B11" s="1175"/>
      <c r="C11" s="1175"/>
      <c r="D11" s="1175" t="e">
        <v>#N/A</v>
      </c>
      <c r="E11" s="1175" t="e">
        <v>#N/A</v>
      </c>
      <c r="F11" s="1175" t="e">
        <v>#N/A</v>
      </c>
      <c r="G11" s="1175" t="e">
        <v>#N/A</v>
      </c>
      <c r="H11" s="1175" t="e">
        <v>#N/A</v>
      </c>
      <c r="I11" s="1175" t="e">
        <v>#N/A</v>
      </c>
      <c r="J11" s="1175" t="e">
        <v>#N/A</v>
      </c>
      <c r="K11" s="1175">
        <v>88.58</v>
      </c>
      <c r="L11" s="1175">
        <v>99.47</v>
      </c>
      <c r="M11" s="1175">
        <v>87.6</v>
      </c>
      <c r="N11" s="1175">
        <v>85.9</v>
      </c>
      <c r="O11" s="1175">
        <v>78.752876712328785</v>
      </c>
      <c r="P11" s="1176">
        <v>89.850819833280411</v>
      </c>
      <c r="Q11" s="1176">
        <v>93.894106725778016</v>
      </c>
      <c r="R11" s="1176">
        <v>95.584200646842035</v>
      </c>
      <c r="S11" s="1176">
        <v>96.240170651281119</v>
      </c>
      <c r="T11" s="1176">
        <v>95.918506388604328</v>
      </c>
      <c r="U11" s="1176">
        <v>95.633284565833691</v>
      </c>
      <c r="V11" s="1176">
        <v>95.38286703921132</v>
      </c>
      <c r="W11" s="1176">
        <v>95.165740949151157</v>
      </c>
      <c r="X11" s="1416"/>
      <c r="Y11" s="1520" t="s">
        <v>972</v>
      </c>
      <c r="Z11" s="1215">
        <v>6.6694105621369681E-2</v>
      </c>
      <c r="AA11" s="1215">
        <v>-2.242847410263038E-3</v>
      </c>
      <c r="AB11" s="1416"/>
      <c r="AC11" s="1521"/>
      <c r="AD11" s="1521"/>
      <c r="AE11" s="1521"/>
      <c r="AF11" s="1521"/>
    </row>
    <row r="12" spans="1:32" ht="12.75" customHeight="1" collapsed="1">
      <c r="A12" s="2242" t="s">
        <v>1566</v>
      </c>
      <c r="B12" s="1179"/>
      <c r="C12" s="1179"/>
      <c r="D12" s="1179">
        <v>0.4276852678359338</v>
      </c>
      <c r="E12" s="1179">
        <v>0.50519321281368457</v>
      </c>
      <c r="F12" s="1179">
        <v>0.40447370691386925</v>
      </c>
      <c r="G12" s="1179">
        <v>0.28880521854426672</v>
      </c>
      <c r="H12" s="1179">
        <v>0.44983986789117447</v>
      </c>
      <c r="I12" s="1179">
        <v>0.49178107921508046</v>
      </c>
      <c r="J12" s="1179">
        <v>0.56000000000000005</v>
      </c>
      <c r="K12" s="1179">
        <v>0.56999999999999995</v>
      </c>
      <c r="L12" s="1179">
        <v>0.48</v>
      </c>
      <c r="M12" s="1179">
        <v>0.49</v>
      </c>
      <c r="N12" s="1179">
        <v>0.5</v>
      </c>
      <c r="O12" s="1179">
        <v>0.63</v>
      </c>
      <c r="P12" s="1180">
        <v>0.49</v>
      </c>
      <c r="Q12" s="1180">
        <v>0.49</v>
      </c>
      <c r="R12" s="1180">
        <v>0.49</v>
      </c>
      <c r="S12" s="1180">
        <v>0.49</v>
      </c>
      <c r="T12" s="1180">
        <v>0.49</v>
      </c>
      <c r="U12" s="1180">
        <v>0.49</v>
      </c>
      <c r="V12" s="1180">
        <v>0.49</v>
      </c>
      <c r="W12" s="1180">
        <v>0.49</v>
      </c>
      <c r="X12" s="731"/>
      <c r="Y12" s="1520"/>
      <c r="Z12" s="1215"/>
      <c r="AA12" s="1215"/>
      <c r="AB12" s="731"/>
      <c r="AC12" s="1181"/>
      <c r="AD12" s="1181"/>
      <c r="AE12" s="1181"/>
      <c r="AF12" s="1181"/>
    </row>
    <row r="13" spans="1:32" ht="12.75" customHeight="1">
      <c r="A13" s="2242" t="s">
        <v>1567</v>
      </c>
      <c r="B13" s="1179"/>
      <c r="C13" s="1179"/>
      <c r="D13" s="2243">
        <v>0.57231473216406625</v>
      </c>
      <c r="E13" s="2243">
        <v>0.49480678718631554</v>
      </c>
      <c r="F13" s="2243">
        <v>0.5955262930861307</v>
      </c>
      <c r="G13" s="2243">
        <v>0.71119478145573334</v>
      </c>
      <c r="H13" s="2243">
        <v>0.55016013210882564</v>
      </c>
      <c r="I13" s="2243">
        <v>0.50821892078491948</v>
      </c>
      <c r="J13" s="2243">
        <v>0.44</v>
      </c>
      <c r="K13" s="2243">
        <v>0.43</v>
      </c>
      <c r="L13" s="2243">
        <v>0.52</v>
      </c>
      <c r="M13" s="2243">
        <v>0.51</v>
      </c>
      <c r="N13" s="2243">
        <v>0.5</v>
      </c>
      <c r="O13" s="2243">
        <v>0.37</v>
      </c>
      <c r="P13" s="2244">
        <v>0.51</v>
      </c>
      <c r="Q13" s="2244">
        <v>0.51</v>
      </c>
      <c r="R13" s="2244">
        <v>0.51</v>
      </c>
      <c r="S13" s="2244">
        <v>0.51</v>
      </c>
      <c r="T13" s="2244">
        <v>0.51</v>
      </c>
      <c r="U13" s="2244">
        <v>0.51</v>
      </c>
      <c r="V13" s="2244">
        <v>0.51</v>
      </c>
      <c r="W13" s="2244">
        <v>0.51</v>
      </c>
      <c r="X13" s="731"/>
      <c r="Y13" s="1520"/>
      <c r="Z13" s="1215"/>
      <c r="AA13" s="1215"/>
      <c r="AB13" s="731"/>
      <c r="AC13" s="1181"/>
      <c r="AD13" s="1181"/>
      <c r="AE13" s="1181"/>
      <c r="AF13" s="1181"/>
    </row>
    <row r="14" spans="1:32" s="763" customFormat="1" ht="12.75" customHeight="1">
      <c r="A14" s="1171" t="s">
        <v>54</v>
      </c>
      <c r="B14" s="1542"/>
      <c r="C14" s="1542"/>
      <c r="D14" s="1542"/>
      <c r="E14" s="1542"/>
      <c r="F14" s="1542"/>
      <c r="G14" s="1542"/>
      <c r="H14" s="1542"/>
      <c r="I14" s="1542"/>
      <c r="J14" s="1542"/>
      <c r="K14" s="1542"/>
      <c r="L14" s="1542"/>
      <c r="M14" s="1542"/>
      <c r="N14" s="1542"/>
      <c r="O14" s="1542"/>
      <c r="P14" s="1543"/>
      <c r="Q14" s="1543"/>
      <c r="R14" s="1543"/>
      <c r="S14" s="1543"/>
      <c r="T14" s="1543"/>
      <c r="U14" s="1543"/>
      <c r="V14" s="1543"/>
      <c r="W14" s="1543"/>
      <c r="X14" s="1120"/>
      <c r="Y14" s="1520"/>
      <c r="Z14" s="1215"/>
      <c r="AA14" s="1215"/>
      <c r="AB14" s="1120"/>
      <c r="AC14" s="1522"/>
      <c r="AD14" s="1522"/>
      <c r="AE14" s="1522"/>
      <c r="AF14" s="1522"/>
    </row>
    <row r="15" spans="1:32" s="763" customFormat="1" ht="12.75" customHeight="1">
      <c r="A15" s="1141" t="s">
        <v>1718</v>
      </c>
      <c r="B15" s="1544"/>
      <c r="C15" s="1544"/>
      <c r="D15" s="1544">
        <v>2.1706000000000003</v>
      </c>
      <c r="E15" s="1544">
        <v>2.0460000000000003</v>
      </c>
      <c r="F15" s="1544">
        <v>1.7519</v>
      </c>
      <c r="G15" s="1544">
        <v>2.3228</v>
      </c>
      <c r="H15" s="1544">
        <v>1.7806</v>
      </c>
      <c r="I15" s="1544">
        <v>1.6282999999999999</v>
      </c>
      <c r="J15" s="1544">
        <v>1.8218000000000001</v>
      </c>
      <c r="K15" s="1544">
        <v>2.0134999999999996</v>
      </c>
      <c r="L15" s="1544">
        <v>2.2627000000000002</v>
      </c>
      <c r="M15" s="1544">
        <v>3.2077</v>
      </c>
      <c r="N15" s="1544">
        <v>3.5586000000000002</v>
      </c>
      <c r="O15" s="1544">
        <v>3.4</v>
      </c>
      <c r="P15" s="1545">
        <v>3.1</v>
      </c>
      <c r="Q15" s="1545">
        <v>3.3</v>
      </c>
      <c r="R15" s="1545">
        <v>3.3</v>
      </c>
      <c r="S15" s="1545">
        <v>3.3</v>
      </c>
      <c r="T15" s="1545">
        <v>3.3</v>
      </c>
      <c r="U15" s="1545">
        <v>3.3</v>
      </c>
      <c r="V15" s="1545">
        <v>3.3</v>
      </c>
      <c r="W15" s="1545">
        <v>3.3</v>
      </c>
      <c r="X15" s="1120"/>
      <c r="Y15" s="1520"/>
      <c r="Z15" s="1215"/>
      <c r="AA15" s="1215"/>
      <c r="AB15" s="1120"/>
      <c r="AC15" s="1522"/>
      <c r="AD15" s="1522"/>
      <c r="AE15" s="1522"/>
      <c r="AF15" s="1522"/>
    </row>
    <row r="16" spans="1:32" s="41" customFormat="1">
      <c r="A16" s="1141" t="s">
        <v>210</v>
      </c>
      <c r="B16" s="1544"/>
      <c r="C16" s="1544"/>
      <c r="D16" s="1544">
        <v>13.545</v>
      </c>
      <c r="E16" s="1544">
        <v>10.401666666666666</v>
      </c>
      <c r="F16" s="1544">
        <v>12.4</v>
      </c>
      <c r="G16" s="1544">
        <v>18.787500000000001</v>
      </c>
      <c r="H16" s="1544">
        <v>23.440833333333334</v>
      </c>
      <c r="I16" s="1544">
        <v>25.258333333333336</v>
      </c>
      <c r="J16" s="1544">
        <v>20.410833333333333</v>
      </c>
      <c r="K16" s="1544">
        <v>17.066666666666666</v>
      </c>
      <c r="L16" s="1544">
        <v>15.978333333333333</v>
      </c>
      <c r="M16" s="1544">
        <v>13.149166666666668</v>
      </c>
      <c r="N16" s="1544">
        <v>19.252499999999998</v>
      </c>
      <c r="O16" s="1544">
        <v>17.805000000000003</v>
      </c>
      <c r="P16" s="1545">
        <v>13.497954874874125</v>
      </c>
      <c r="Q16" s="1545">
        <v>13.366639357923361</v>
      </c>
      <c r="R16" s="1545">
        <v>15.861959162142835</v>
      </c>
      <c r="S16" s="1545">
        <v>18.892211851030282</v>
      </c>
      <c r="T16" s="1545">
        <v>16.97027604733838</v>
      </c>
      <c r="U16" s="1545">
        <v>14.237621843699179</v>
      </c>
      <c r="V16" s="1545">
        <v>15.336772509203714</v>
      </c>
      <c r="W16" s="1545">
        <v>15.695358267740904</v>
      </c>
      <c r="X16" s="731"/>
      <c r="Y16" s="1520">
        <v>-3.8524064867703323E-2</v>
      </c>
      <c r="Z16" s="1215">
        <v>8.403780398451377E-2</v>
      </c>
      <c r="AA16" s="1215">
        <v>-3.6398016457282245E-2</v>
      </c>
      <c r="AB16" s="731"/>
      <c r="AC16" s="1181"/>
      <c r="AD16" s="1181"/>
      <c r="AE16" s="1181"/>
      <c r="AF16" s="1181"/>
    </row>
    <row r="17" spans="1:38" ht="12.75" customHeight="1">
      <c r="A17" s="1182" t="s">
        <v>1565</v>
      </c>
      <c r="B17" s="1546"/>
      <c r="C17" s="1546"/>
      <c r="D17" s="1155">
        <v>549.87709759784548</v>
      </c>
      <c r="E17" s="1155">
        <v>624.90574295252998</v>
      </c>
      <c r="F17" s="1155">
        <v>452.08478127006822</v>
      </c>
      <c r="G17" s="1155">
        <v>548.48455829542741</v>
      </c>
      <c r="H17" s="1155">
        <v>711.1921338707707</v>
      </c>
      <c r="I17" s="1155">
        <v>839.72135852666827</v>
      </c>
      <c r="J17" s="1155">
        <v>928.64219961240303</v>
      </c>
      <c r="K17" s="1155">
        <v>973.49518541282532</v>
      </c>
      <c r="L17" s="1155">
        <v>892.12469733656167</v>
      </c>
      <c r="M17" s="1155">
        <v>925.27992523999671</v>
      </c>
      <c r="N17" s="1155">
        <v>1048.068276436303</v>
      </c>
      <c r="O17" s="1155">
        <v>1251.9068280429321</v>
      </c>
      <c r="P17" s="1156">
        <v>1334.0124224886811</v>
      </c>
      <c r="Q17" s="1156">
        <v>981.49476904872654</v>
      </c>
      <c r="R17" s="1156">
        <v>1191.809401620608</v>
      </c>
      <c r="S17" s="1156">
        <v>1419.4914683177394</v>
      </c>
      <c r="T17" s="1156">
        <v>1275.0842651004903</v>
      </c>
      <c r="U17" s="1156">
        <v>1074.4747427831817</v>
      </c>
      <c r="V17" s="1156">
        <v>1162.5005267417669</v>
      </c>
      <c r="W17" s="1156">
        <v>1194.8752390162472</v>
      </c>
      <c r="X17" s="731"/>
      <c r="Y17" s="1520">
        <v>8.4135537198038124E-2</v>
      </c>
      <c r="Z17" s="1215">
        <v>-5.4800536132829092E-2</v>
      </c>
      <c r="AA17" s="1215">
        <v>-3.3864689721339936E-2</v>
      </c>
      <c r="AB17" s="731"/>
      <c r="AC17" s="1181"/>
      <c r="AD17" s="1181"/>
      <c r="AE17" s="1181"/>
      <c r="AF17" s="1181"/>
    </row>
    <row r="18" spans="1:38" hidden="1" outlineLevel="1">
      <c r="A18" s="1141" t="s">
        <v>1581</v>
      </c>
      <c r="B18" s="1195"/>
      <c r="C18" s="1194"/>
      <c r="D18" s="1185" t="s">
        <v>972</v>
      </c>
      <c r="E18" s="1185" t="s">
        <v>972</v>
      </c>
      <c r="F18" s="1185" t="s">
        <v>972</v>
      </c>
      <c r="G18" s="1185" t="s">
        <v>972</v>
      </c>
      <c r="H18" s="1194">
        <v>-335.65811965811963</v>
      </c>
      <c r="I18" s="1194">
        <v>-294.35051546391753</v>
      </c>
      <c r="J18" s="1194">
        <v>-421.47545219638238</v>
      </c>
      <c r="K18" s="1194">
        <v>-404.72858617131061</v>
      </c>
      <c r="L18" s="1194">
        <v>-419.89350912778906</v>
      </c>
      <c r="M18" s="1194">
        <v>-380.00568643379364</v>
      </c>
      <c r="N18" s="1194">
        <v>-464.8130081300813</v>
      </c>
      <c r="O18" s="1194">
        <v>-540.44734819369705</v>
      </c>
      <c r="P18" s="1195">
        <v>-479.91831690064578</v>
      </c>
      <c r="Q18" s="1195">
        <v>-486.08876544259061</v>
      </c>
      <c r="R18" s="1195">
        <v>-544.47384605578645</v>
      </c>
      <c r="S18" s="1195">
        <v>-604.81004024030096</v>
      </c>
      <c r="T18" s="1195">
        <v>-600.27840526943953</v>
      </c>
      <c r="U18" s="1195">
        <v>-581.54349688836533</v>
      </c>
      <c r="V18" s="1195">
        <v>-618.80890643268424</v>
      </c>
      <c r="W18" s="1195">
        <v>-597.15059470754022</v>
      </c>
      <c r="X18" s="1250"/>
      <c r="Y18" s="1215"/>
      <c r="Z18" s="731">
        <v>6.5135473231145102E-2</v>
      </c>
      <c r="AA18" s="731"/>
      <c r="AB18" s="731"/>
      <c r="AC18" s="1195"/>
      <c r="AD18" s="1195"/>
      <c r="AE18" s="1181"/>
      <c r="AF18" s="1523"/>
      <c r="AG18" s="1408"/>
      <c r="AH18" s="165"/>
      <c r="AI18" s="165"/>
      <c r="AJ18" s="43"/>
      <c r="AK18" s="174"/>
      <c r="AL18" s="43"/>
    </row>
    <row r="19" spans="1:38" ht="12.75" customHeight="1" collapsed="1">
      <c r="A19" s="1182" t="s">
        <v>1568</v>
      </c>
      <c r="B19" s="1546"/>
      <c r="C19" s="1546"/>
      <c r="D19" s="1547">
        <v>629.76800000000003</v>
      </c>
      <c r="E19" s="1547">
        <v>676.34199999999998</v>
      </c>
      <c r="F19" s="1547">
        <v>605.74699999999996</v>
      </c>
      <c r="G19" s="1547">
        <v>417.7</v>
      </c>
      <c r="H19" s="1547">
        <v>818.7</v>
      </c>
      <c r="I19" s="1547">
        <v>836.2</v>
      </c>
      <c r="J19" s="1547">
        <v>825.6</v>
      </c>
      <c r="K19" s="1547">
        <v>976.19999999999993</v>
      </c>
      <c r="L19" s="1547">
        <v>991.2</v>
      </c>
      <c r="M19" s="1547">
        <v>1177.0999999999999</v>
      </c>
      <c r="N19" s="1547">
        <v>1201</v>
      </c>
      <c r="O19" s="1547">
        <v>1313.7</v>
      </c>
      <c r="P19" s="1548">
        <v>1370.9955396799971</v>
      </c>
      <c r="Q19" s="1548">
        <v>1445.244496429229</v>
      </c>
      <c r="R19" s="1548">
        <v>1478.9803395854756</v>
      </c>
      <c r="S19" s="1548">
        <v>1526.5105401030817</v>
      </c>
      <c r="T19" s="1548">
        <v>1559.0264393983268</v>
      </c>
      <c r="U19" s="1548">
        <v>1592.2329674796097</v>
      </c>
      <c r="V19" s="1548">
        <v>1626.1467481627099</v>
      </c>
      <c r="W19" s="1548">
        <v>1660.7827184628845</v>
      </c>
      <c r="X19" s="990"/>
      <c r="Y19" s="1520">
        <v>6.9889124209381315E-2</v>
      </c>
      <c r="Z19" s="1215">
        <v>3.8635540719546446E-2</v>
      </c>
      <c r="AA19" s="1215">
        <v>1.7003861583377633E-2</v>
      </c>
      <c r="AB19" s="731"/>
      <c r="AC19" s="1181"/>
      <c r="AD19" s="1181"/>
      <c r="AE19" s="1181"/>
      <c r="AF19" s="1181"/>
    </row>
    <row r="20" spans="1:38" ht="12.75" hidden="1" customHeight="1" outlineLevel="1">
      <c r="A20" s="1182" t="s">
        <v>192</v>
      </c>
      <c r="B20" s="1291"/>
      <c r="C20" s="1291"/>
      <c r="D20" s="1291">
        <v>0.67055169522744873</v>
      </c>
      <c r="E20" s="1291">
        <v>0.70873463425308492</v>
      </c>
      <c r="F20" s="1291">
        <v>0.66949733139412992</v>
      </c>
      <c r="G20" s="1291">
        <v>0.88747905195116117</v>
      </c>
      <c r="H20" s="1291">
        <v>0.92402589471112739</v>
      </c>
      <c r="I20" s="1291">
        <v>0.93231284381726853</v>
      </c>
      <c r="J20" s="1291">
        <v>0.92599321705426352</v>
      </c>
      <c r="K20" s="1291">
        <v>0.9314689612784266</v>
      </c>
      <c r="L20" s="1291">
        <v>0.92877320419693299</v>
      </c>
      <c r="M20" s="1291">
        <v>0.91750913261405154</v>
      </c>
      <c r="N20" s="1291">
        <v>0.91923397169025811</v>
      </c>
      <c r="O20" s="1291">
        <v>0.89518154829869834</v>
      </c>
      <c r="P20" s="1549">
        <v>0.91064203284489875</v>
      </c>
      <c r="Q20" s="1549">
        <v>0.91064203284489864</v>
      </c>
      <c r="R20" s="1549">
        <v>0.91064203284489875</v>
      </c>
      <c r="S20" s="1549">
        <v>0.91064203284489875</v>
      </c>
      <c r="T20" s="1549">
        <v>0.91064203284489875</v>
      </c>
      <c r="U20" s="1549">
        <v>0.91064203284489875</v>
      </c>
      <c r="V20" s="1549">
        <v>0.91064203284489875</v>
      </c>
      <c r="W20" s="1549">
        <v>0.91064203284489875</v>
      </c>
      <c r="X20" s="990"/>
      <c r="Y20" s="1520"/>
      <c r="Z20" s="1215"/>
      <c r="AA20" s="1215"/>
      <c r="AB20" s="731"/>
      <c r="AC20" s="1181"/>
      <c r="AD20" s="1181"/>
      <c r="AE20" s="1181"/>
      <c r="AF20" s="1181"/>
    </row>
    <row r="21" spans="1:38" s="763" customFormat="1" ht="12.75" customHeight="1" collapsed="1">
      <c r="A21" s="1171" t="s">
        <v>1367</v>
      </c>
      <c r="B21" s="1542"/>
      <c r="C21" s="1542"/>
      <c r="D21" s="1542"/>
      <c r="E21" s="1542"/>
      <c r="F21" s="1542"/>
      <c r="G21" s="1542"/>
      <c r="H21" s="1542"/>
      <c r="I21" s="1542"/>
      <c r="J21" s="1542"/>
      <c r="K21" s="1542"/>
      <c r="L21" s="1542"/>
      <c r="M21" s="1542"/>
      <c r="N21" s="1542"/>
      <c r="O21" s="1542"/>
      <c r="P21" s="1543"/>
      <c r="Q21" s="1543"/>
      <c r="R21" s="1543"/>
      <c r="S21" s="1543"/>
      <c r="T21" s="1543"/>
      <c r="U21" s="1543"/>
      <c r="V21" s="1543"/>
      <c r="W21" s="1543"/>
      <c r="X21" s="1171"/>
      <c r="Y21" s="1520"/>
      <c r="Z21" s="1215"/>
      <c r="AA21" s="1215"/>
      <c r="AB21" s="1120"/>
      <c r="AC21" s="1522"/>
      <c r="AD21" s="1522"/>
      <c r="AE21" s="1522"/>
      <c r="AF21" s="1522"/>
    </row>
    <row r="22" spans="1:38" ht="12.75" customHeight="1">
      <c r="A22" s="1182" t="s">
        <v>1569</v>
      </c>
      <c r="B22" s="1546"/>
      <c r="C22" s="1546"/>
      <c r="D22" s="1155">
        <v>850.76573527607229</v>
      </c>
      <c r="E22" s="1155">
        <v>916.0210009941004</v>
      </c>
      <c r="F22" s="1155">
        <v>749.30788867466026</v>
      </c>
      <c r="G22" s="1155">
        <v>769.57647434872933</v>
      </c>
      <c r="H22" s="1155">
        <v>857.95536593370525</v>
      </c>
      <c r="I22" s="1155">
        <v>994.76608745464966</v>
      </c>
      <c r="J22" s="1155">
        <v>1258.2710513203785</v>
      </c>
      <c r="K22" s="1155">
        <v>1211.548358473824</v>
      </c>
      <c r="L22" s="1155">
        <v>1317.1515815847165</v>
      </c>
      <c r="M22" s="1155">
        <v>1349.1070927950659</v>
      </c>
      <c r="N22" s="1155">
        <v>1637.3106918238993</v>
      </c>
      <c r="O22" s="1155">
        <v>1773.8788659793813</v>
      </c>
      <c r="P22" s="1156">
        <v>1520.9713825885462</v>
      </c>
      <c r="Q22" s="1156">
        <v>1661.8613632914855</v>
      </c>
      <c r="R22" s="1156">
        <v>1812.3574790423527</v>
      </c>
      <c r="S22" s="1156">
        <v>1892.2585657610014</v>
      </c>
      <c r="T22" s="1156">
        <v>1937.6727713392652</v>
      </c>
      <c r="U22" s="1156">
        <v>1984.1769178514078</v>
      </c>
      <c r="V22" s="1156">
        <v>2031.7971638798419</v>
      </c>
      <c r="W22" s="1156">
        <v>2168.6139092866474</v>
      </c>
      <c r="X22" s="990"/>
      <c r="Y22" s="1520">
        <v>0.10934239193841244</v>
      </c>
      <c r="Z22" s="1215">
        <v>9.1594680899655945E-2</v>
      </c>
      <c r="AA22" s="1215">
        <v>2.7638465176881954E-2</v>
      </c>
      <c r="AB22" s="731"/>
      <c r="AC22" s="1181"/>
      <c r="AD22" s="1181"/>
      <c r="AE22" s="1181"/>
      <c r="AF22" s="1181"/>
    </row>
    <row r="23" spans="1:38" hidden="1" outlineLevel="1">
      <c r="A23" s="1141" t="s">
        <v>1582</v>
      </c>
      <c r="B23" s="1195"/>
      <c r="C23" s="1194"/>
      <c r="D23" s="1185" t="s">
        <v>972</v>
      </c>
      <c r="E23" s="1185" t="s">
        <v>972</v>
      </c>
      <c r="F23" s="1185" t="s">
        <v>972</v>
      </c>
      <c r="G23" s="1185" t="s">
        <v>972</v>
      </c>
      <c r="H23" s="1194">
        <v>-491.00674536256315</v>
      </c>
      <c r="I23" s="1194">
        <v>-403.21238938053096</v>
      </c>
      <c r="J23" s="1194">
        <v>-749.8733509234828</v>
      </c>
      <c r="K23" s="1194">
        <v>-691.68292682926835</v>
      </c>
      <c r="L23" s="1194">
        <v>-676.73593749999998</v>
      </c>
      <c r="M23" s="1194">
        <v>-612.83059418457651</v>
      </c>
      <c r="N23" s="1194">
        <v>-833.66577896138483</v>
      </c>
      <c r="O23" s="1194">
        <v>-943.14992503748135</v>
      </c>
      <c r="P23" s="1195">
        <v>-837.51900369531154</v>
      </c>
      <c r="Q23" s="1195">
        <v>-848.28722764762358</v>
      </c>
      <c r="R23" s="1195">
        <v>-950.17668013117475</v>
      </c>
      <c r="S23" s="1195">
        <v>-1055.4710759911329</v>
      </c>
      <c r="T23" s="1195">
        <v>-1047.5627918680818</v>
      </c>
      <c r="U23" s="1195">
        <v>-1014.8679743354378</v>
      </c>
      <c r="V23" s="1195">
        <v>-1079.9008925941444</v>
      </c>
      <c r="W23" s="1195">
        <v>-1042.1043613533493</v>
      </c>
      <c r="X23" s="1250"/>
      <c r="Y23" s="1215"/>
      <c r="Z23" s="731">
        <v>6.5135473231145102E-2</v>
      </c>
      <c r="AA23" s="731"/>
      <c r="AB23" s="731"/>
      <c r="AC23" s="1195"/>
      <c r="AD23" s="1195"/>
      <c r="AE23" s="1181"/>
      <c r="AF23" s="1523"/>
      <c r="AG23" s="1408"/>
      <c r="AH23" s="165"/>
      <c r="AI23" s="165"/>
      <c r="AJ23" s="43"/>
      <c r="AK23" s="174"/>
      <c r="AL23" s="43"/>
    </row>
    <row r="24" spans="1:38" ht="12.75" customHeight="1" collapsed="1">
      <c r="A24" s="1182" t="s">
        <v>1570</v>
      </c>
      <c r="B24" s="1546"/>
      <c r="C24" s="1546"/>
      <c r="D24" s="1547">
        <v>505.26600000000002</v>
      </c>
      <c r="E24" s="1547">
        <v>400.36199999999997</v>
      </c>
      <c r="F24" s="1547">
        <v>537.84699999999998</v>
      </c>
      <c r="G24" s="1547">
        <v>625.69999999999993</v>
      </c>
      <c r="H24" s="1547">
        <v>609.4</v>
      </c>
      <c r="I24" s="1547">
        <v>523.70000000000005</v>
      </c>
      <c r="J24" s="1547">
        <v>401.40000000000003</v>
      </c>
      <c r="K24" s="1547">
        <v>450.8</v>
      </c>
      <c r="L24" s="1547">
        <v>638.6</v>
      </c>
      <c r="M24" s="1547">
        <v>713.39999999999986</v>
      </c>
      <c r="N24" s="1547">
        <v>795.00000000000011</v>
      </c>
      <c r="O24" s="1547">
        <v>698.4</v>
      </c>
      <c r="P24" s="1548">
        <v>864.39912213065668</v>
      </c>
      <c r="Q24" s="1548">
        <v>917.03643071029592</v>
      </c>
      <c r="R24" s="1548">
        <v>937.98259204286251</v>
      </c>
      <c r="S24" s="1548">
        <v>968.16056908443056</v>
      </c>
      <c r="T24" s="1548">
        <v>988.78085798222094</v>
      </c>
      <c r="U24" s="1548">
        <v>1009.8415713728516</v>
      </c>
      <c r="V24" s="1548">
        <v>1031.3506923264661</v>
      </c>
      <c r="W24" s="1548">
        <v>1053.3178566094314</v>
      </c>
      <c r="X24" s="990"/>
      <c r="Y24" s="1520">
        <v>1.9664729661517999E-2</v>
      </c>
      <c r="Z24" s="1215">
        <v>4.1694162943046953E-2</v>
      </c>
      <c r="AA24" s="1215">
        <v>1.7003414828667074E-2</v>
      </c>
      <c r="AB24" s="731"/>
      <c r="AC24" s="1181"/>
      <c r="AD24" s="1181"/>
      <c r="AE24" s="1181"/>
      <c r="AF24" s="1181"/>
    </row>
    <row r="25" spans="1:38" ht="12.75" hidden="1" customHeight="1" outlineLevel="1">
      <c r="A25" s="1182" t="s">
        <v>192</v>
      </c>
      <c r="B25" s="1291"/>
      <c r="C25" s="1291"/>
      <c r="D25" s="1291">
        <v>0.17739171050496172</v>
      </c>
      <c r="E25" s="1291">
        <v>0.30257367082790082</v>
      </c>
      <c r="F25" s="1291">
        <v>0.26400630662623387</v>
      </c>
      <c r="G25" s="1291">
        <v>8.9819402269458212E-2</v>
      </c>
      <c r="H25" s="1291">
        <v>0.14243518214637349</v>
      </c>
      <c r="I25" s="1291">
        <v>9.9866335688371194E-2</v>
      </c>
      <c r="J25" s="1291">
        <v>0.13602391629297458</v>
      </c>
      <c r="K25" s="1291">
        <v>0.20629991126885536</v>
      </c>
      <c r="L25" s="1291">
        <v>0.26980895709364233</v>
      </c>
      <c r="M25" s="1291">
        <v>0.12643678160919541</v>
      </c>
      <c r="N25" s="1291">
        <v>0.17408805031446539</v>
      </c>
      <c r="O25" s="1291">
        <v>9.8797250859106539E-2</v>
      </c>
      <c r="P25" s="1549">
        <v>0.13309733143461586</v>
      </c>
      <c r="Q25" s="1549">
        <v>0.13309733143461588</v>
      </c>
      <c r="R25" s="1549">
        <v>0.13309733143461588</v>
      </c>
      <c r="S25" s="1549">
        <v>0.13309733143461588</v>
      </c>
      <c r="T25" s="1549">
        <v>0.13309733143461588</v>
      </c>
      <c r="U25" s="1549">
        <v>0.13309733143461588</v>
      </c>
      <c r="V25" s="1549">
        <v>0.13309733143461588</v>
      </c>
      <c r="W25" s="1549">
        <v>0.13309733143461586</v>
      </c>
      <c r="X25" s="990"/>
      <c r="Y25" s="1125"/>
      <c r="Z25" s="731"/>
      <c r="AA25" s="731"/>
      <c r="AB25" s="731"/>
      <c r="AC25" s="1181"/>
      <c r="AD25" s="1181"/>
      <c r="AE25" s="1181"/>
      <c r="AF25" s="1181"/>
    </row>
    <row r="26" spans="1:38" ht="12.75" customHeight="1" collapsed="1">
      <c r="A26" s="1141" t="s">
        <v>1571</v>
      </c>
      <c r="B26" s="1179"/>
      <c r="C26" s="1179"/>
      <c r="D26" s="1179">
        <v>0.74622562857709751</v>
      </c>
      <c r="E26" s="1179">
        <v>0.55625722996109961</v>
      </c>
      <c r="F26" s="1179">
        <v>0.61105429439039072</v>
      </c>
      <c r="G26" s="1179">
        <v>0.38774640744154415</v>
      </c>
      <c r="H26" s="1179">
        <v>0.37191642266622787</v>
      </c>
      <c r="I26" s="1179">
        <v>0.47138787997344889</v>
      </c>
      <c r="J26" s="1179">
        <v>0.51</v>
      </c>
      <c r="K26" s="1179">
        <v>0.62</v>
      </c>
      <c r="L26" s="1179">
        <v>0.62</v>
      </c>
      <c r="M26" s="1179">
        <v>0.56000000000000005</v>
      </c>
      <c r="N26" s="1179">
        <v>0.6</v>
      </c>
      <c r="O26" s="1179">
        <v>0.54</v>
      </c>
      <c r="P26" s="1180">
        <v>0.5876873570332416</v>
      </c>
      <c r="Q26" s="1180">
        <v>0.5876873570332416</v>
      </c>
      <c r="R26" s="1180">
        <v>0.5876873570332416</v>
      </c>
      <c r="S26" s="1180">
        <v>0.5876873570332416</v>
      </c>
      <c r="T26" s="1180">
        <v>0.5876873570332416</v>
      </c>
      <c r="U26" s="1180">
        <v>0.5876873570332416</v>
      </c>
      <c r="V26" s="1180">
        <v>0.5876873570332416</v>
      </c>
      <c r="W26" s="1180">
        <v>0.5876873570332416</v>
      </c>
      <c r="X26" s="731"/>
      <c r="Y26" s="1520"/>
      <c r="Z26" s="1215"/>
      <c r="AA26" s="1215"/>
      <c r="AB26" s="731"/>
      <c r="AC26" s="1181"/>
      <c r="AD26" s="1181"/>
      <c r="AE26" s="1181"/>
      <c r="AF26" s="1181"/>
    </row>
    <row r="27" spans="1:38" ht="12.75" customHeight="1">
      <c r="A27" s="1141" t="s">
        <v>1572</v>
      </c>
      <c r="B27" s="1179"/>
      <c r="C27" s="1179"/>
      <c r="D27" s="2243">
        <v>0.25377437142290249</v>
      </c>
      <c r="E27" s="2243">
        <v>0.44374277003890045</v>
      </c>
      <c r="F27" s="2243">
        <v>0.38894570560960928</v>
      </c>
      <c r="G27" s="2243">
        <v>0.61225359255845591</v>
      </c>
      <c r="H27" s="2243">
        <v>0.62808357733377207</v>
      </c>
      <c r="I27" s="2243">
        <v>0.52861212002655111</v>
      </c>
      <c r="J27" s="2243">
        <v>0.49</v>
      </c>
      <c r="K27" s="2243">
        <v>0.38</v>
      </c>
      <c r="L27" s="2243">
        <v>0.38</v>
      </c>
      <c r="M27" s="2243">
        <v>0.44</v>
      </c>
      <c r="N27" s="2243">
        <v>0.4</v>
      </c>
      <c r="O27" s="2243">
        <v>0.46</v>
      </c>
      <c r="P27" s="2244">
        <v>0.4123126429667584</v>
      </c>
      <c r="Q27" s="2244">
        <v>0.4123126429667584</v>
      </c>
      <c r="R27" s="2244">
        <v>0.4123126429667584</v>
      </c>
      <c r="S27" s="2244">
        <v>0.4123126429667584</v>
      </c>
      <c r="T27" s="2244">
        <v>0.4123126429667584</v>
      </c>
      <c r="U27" s="2244">
        <v>0.4123126429667584</v>
      </c>
      <c r="V27" s="2244">
        <v>0.4123126429667584</v>
      </c>
      <c r="W27" s="2244">
        <v>0.4123126429667584</v>
      </c>
      <c r="X27" s="731"/>
      <c r="Y27" s="1520"/>
      <c r="Z27" s="1215"/>
      <c r="AA27" s="1215"/>
      <c r="AB27" s="731"/>
      <c r="AC27" s="1181"/>
      <c r="AD27" s="1181"/>
      <c r="AE27" s="1181"/>
      <c r="AF27" s="1181"/>
    </row>
    <row r="28" spans="1:38" s="763" customFormat="1" ht="12.75" customHeight="1">
      <c r="A28" s="1171" t="s">
        <v>1564</v>
      </c>
      <c r="B28" s="1542"/>
      <c r="C28" s="1542"/>
      <c r="D28" s="1542"/>
      <c r="E28" s="1542"/>
      <c r="F28" s="1542"/>
      <c r="G28" s="1542"/>
      <c r="H28" s="1542"/>
      <c r="I28" s="1542"/>
      <c r="J28" s="1542"/>
      <c r="K28" s="1542"/>
      <c r="L28" s="1542"/>
      <c r="M28" s="1542"/>
      <c r="N28" s="1542"/>
      <c r="O28" s="1542"/>
      <c r="P28" s="1543"/>
      <c r="Q28" s="1543"/>
      <c r="R28" s="1543"/>
      <c r="S28" s="1543"/>
      <c r="T28" s="1543"/>
      <c r="U28" s="1543"/>
      <c r="V28" s="1543"/>
      <c r="W28" s="1543"/>
      <c r="X28" s="1171"/>
      <c r="Y28" s="1520"/>
      <c r="Z28" s="1215"/>
      <c r="AA28" s="1215"/>
      <c r="AB28" s="1120"/>
      <c r="AC28" s="1522"/>
      <c r="AD28" s="1522"/>
      <c r="AE28" s="1522"/>
      <c r="AF28" s="1522"/>
    </row>
    <row r="29" spans="1:38" ht="12.75" customHeight="1">
      <c r="A29" s="1182" t="s">
        <v>1573</v>
      </c>
      <c r="B29" s="1546"/>
      <c r="C29" s="1546"/>
      <c r="D29" s="1155" t="s">
        <v>972</v>
      </c>
      <c r="E29" s="1155" t="s">
        <v>972</v>
      </c>
      <c r="F29" s="1155" t="s">
        <v>972</v>
      </c>
      <c r="G29" s="1155" t="s">
        <v>972</v>
      </c>
      <c r="H29" s="1155" t="s">
        <v>972</v>
      </c>
      <c r="I29" s="1155">
        <v>129.8590021691974</v>
      </c>
      <c r="J29" s="1155">
        <v>110.63753007217322</v>
      </c>
      <c r="K29" s="1155">
        <v>170.40675364543361</v>
      </c>
      <c r="L29" s="1155">
        <v>173.45230078563412</v>
      </c>
      <c r="M29" s="1155">
        <v>295.95305164319251</v>
      </c>
      <c r="N29" s="1155">
        <v>223.25914340712222</v>
      </c>
      <c r="O29" s="1155">
        <v>166.30836522689995</v>
      </c>
      <c r="P29" s="1156">
        <v>181.39415386322037</v>
      </c>
      <c r="Q29" s="1156">
        <v>177.75503355704697</v>
      </c>
      <c r="R29" s="1156">
        <v>183.95171667868433</v>
      </c>
      <c r="S29" s="1156">
        <v>190.45203727328192</v>
      </c>
      <c r="T29" s="1156">
        <v>196.99255372788281</v>
      </c>
      <c r="U29" s="1156">
        <v>203.84047445584997</v>
      </c>
      <c r="V29" s="1156">
        <v>211.01024745803159</v>
      </c>
      <c r="W29" s="1156">
        <v>218.51699979131573</v>
      </c>
      <c r="X29" s="990"/>
      <c r="Y29" s="1796">
        <v>4.2094264246646862E-2</v>
      </c>
      <c r="Z29" s="1215">
        <v>7.0250630618500232E-3</v>
      </c>
      <c r="AA29" s="1215">
        <v>2.7874095920646047E-2</v>
      </c>
      <c r="AB29" s="731"/>
      <c r="AC29" s="1181"/>
      <c r="AD29" s="1181"/>
      <c r="AE29" s="1181"/>
      <c r="AF29" s="1181"/>
    </row>
    <row r="30" spans="1:38" ht="12.75" customHeight="1">
      <c r="A30" s="1182" t="s">
        <v>1574</v>
      </c>
      <c r="B30" s="1546"/>
      <c r="C30" s="1546"/>
      <c r="D30" s="1547" t="s">
        <v>972</v>
      </c>
      <c r="E30" s="1547" t="s">
        <v>972</v>
      </c>
      <c r="F30" s="1547" t="s">
        <v>972</v>
      </c>
      <c r="G30" s="1547" t="s">
        <v>972</v>
      </c>
      <c r="H30" s="1547" t="s">
        <v>972</v>
      </c>
      <c r="I30" s="1547">
        <v>184.4</v>
      </c>
      <c r="J30" s="1547">
        <v>249.4</v>
      </c>
      <c r="K30" s="1547">
        <v>260.60000000000002</v>
      </c>
      <c r="L30" s="1547">
        <v>445.5</v>
      </c>
      <c r="M30" s="1547">
        <v>639</v>
      </c>
      <c r="N30" s="1547">
        <v>831.2</v>
      </c>
      <c r="O30" s="1547">
        <v>914.5</v>
      </c>
      <c r="P30" s="1548">
        <v>901.45</v>
      </c>
      <c r="Q30" s="1548">
        <v>901.45</v>
      </c>
      <c r="R30" s="1548">
        <v>901.45</v>
      </c>
      <c r="S30" s="1548">
        <v>918.3521874999999</v>
      </c>
      <c r="T30" s="1548">
        <v>935.21988073979583</v>
      </c>
      <c r="U30" s="1548">
        <v>952.05383859311212</v>
      </c>
      <c r="V30" s="1548">
        <v>968.85478868593168</v>
      </c>
      <c r="W30" s="1548">
        <v>985.62342925934195</v>
      </c>
      <c r="X30" s="990"/>
      <c r="Y30" s="1796">
        <v>0.30588158851624647</v>
      </c>
      <c r="Z30" s="1215">
        <v>0</v>
      </c>
      <c r="AA30" s="1215">
        <v>1.4239103967415456E-2</v>
      </c>
      <c r="AB30" s="731"/>
      <c r="AC30" s="1181"/>
      <c r="AD30" s="1181"/>
      <c r="AE30" s="1181"/>
      <c r="AF30" s="1181"/>
    </row>
    <row r="31" spans="1:38" ht="12.75" customHeight="1">
      <c r="A31" s="1171"/>
      <c r="B31" s="1550"/>
      <c r="C31" s="1550"/>
      <c r="D31" s="1550"/>
      <c r="E31" s="1550"/>
      <c r="F31" s="1550"/>
      <c r="G31" s="1550"/>
      <c r="H31" s="1550"/>
      <c r="I31" s="1550"/>
      <c r="J31" s="1550"/>
      <c r="K31" s="1550"/>
      <c r="L31" s="1550"/>
      <c r="M31" s="1550"/>
      <c r="N31" s="1550"/>
      <c r="O31" s="1550"/>
      <c r="P31" s="1551"/>
      <c r="Q31" s="1551"/>
      <c r="R31" s="1551"/>
      <c r="S31" s="1551"/>
      <c r="T31" s="1551"/>
      <c r="U31" s="1551"/>
      <c r="V31" s="1551"/>
      <c r="W31" s="1551"/>
      <c r="X31" s="990"/>
      <c r="Y31" s="1215"/>
      <c r="Z31" s="1215"/>
      <c r="AA31" s="1215"/>
      <c r="AB31" s="731"/>
      <c r="AC31" s="1181"/>
      <c r="AD31" s="1181"/>
      <c r="AE31" s="1181"/>
      <c r="AF31" s="1181"/>
    </row>
    <row r="32" spans="1:38" ht="12.75" customHeight="1">
      <c r="A32" s="990"/>
      <c r="B32" s="1291"/>
      <c r="C32" s="1291"/>
      <c r="D32" s="1291"/>
      <c r="E32" s="1291"/>
      <c r="F32" s="1291"/>
      <c r="G32" s="1291"/>
      <c r="H32" s="1291"/>
      <c r="I32" s="1291"/>
      <c r="J32" s="1291"/>
      <c r="K32" s="1291"/>
      <c r="L32" s="1291"/>
      <c r="M32" s="1291"/>
      <c r="N32" s="1291"/>
      <c r="O32" s="1187"/>
      <c r="P32" s="1549"/>
      <c r="Q32" s="1549"/>
      <c r="R32" s="1549"/>
      <c r="S32" s="1549"/>
      <c r="T32" s="1549"/>
      <c r="U32" s="1549"/>
      <c r="V32" s="1549"/>
      <c r="W32" s="1549"/>
      <c r="X32" s="990"/>
      <c r="Y32" s="731"/>
      <c r="Z32" s="731"/>
      <c r="AA32" s="731"/>
      <c r="AB32" s="731"/>
      <c r="AC32" s="1181"/>
      <c r="AD32" s="1181"/>
      <c r="AE32" s="1181"/>
      <c r="AF32" s="1181"/>
    </row>
    <row r="33" spans="1:38" hidden="1" outlineLevel="1">
      <c r="A33" s="1125"/>
      <c r="B33" s="1316"/>
      <c r="C33" s="1316"/>
      <c r="D33" s="1316"/>
      <c r="E33" s="1316"/>
      <c r="F33" s="1316"/>
      <c r="G33" s="1316"/>
      <c r="H33" s="1316"/>
      <c r="I33" s="1316"/>
      <c r="J33" s="1316"/>
      <c r="K33" s="1316" t="s">
        <v>212</v>
      </c>
      <c r="L33" s="1316" t="s">
        <v>1157</v>
      </c>
      <c r="M33" s="1316" t="s">
        <v>1157</v>
      </c>
      <c r="N33" s="1316" t="s">
        <v>1157</v>
      </c>
      <c r="O33" s="1316" t="s">
        <v>1157</v>
      </c>
      <c r="P33" s="1316" t="s">
        <v>1157</v>
      </c>
      <c r="Q33" s="1316" t="s">
        <v>1157</v>
      </c>
      <c r="R33" s="1316" t="s">
        <v>1157</v>
      </c>
      <c r="S33" s="1316" t="s">
        <v>1157</v>
      </c>
      <c r="T33" s="1316" t="s">
        <v>1157</v>
      </c>
      <c r="U33" s="1316" t="s">
        <v>1157</v>
      </c>
      <c r="V33" s="1316" t="s">
        <v>1157</v>
      </c>
      <c r="W33" s="1316" t="s">
        <v>1157</v>
      </c>
      <c r="X33" s="1181"/>
      <c r="Y33" s="1181"/>
      <c r="Z33" s="1181"/>
      <c r="AA33" s="1181"/>
      <c r="AB33" s="1181"/>
      <c r="AC33" s="1181"/>
      <c r="AD33" s="1181"/>
      <c r="AE33" s="1181"/>
      <c r="AF33" s="1181"/>
    </row>
    <row r="34" spans="1:38" ht="12.75" hidden="1" customHeight="1" outlineLevel="1">
      <c r="A34" s="731"/>
      <c r="B34" s="1316" t="s">
        <v>211</v>
      </c>
      <c r="C34" s="1316" t="s">
        <v>211</v>
      </c>
      <c r="D34" s="1316" t="s">
        <v>211</v>
      </c>
      <c r="E34" s="1316" t="s">
        <v>211</v>
      </c>
      <c r="F34" s="1316" t="s">
        <v>211</v>
      </c>
      <c r="G34" s="1316" t="s">
        <v>211</v>
      </c>
      <c r="H34" s="1316" t="s">
        <v>212</v>
      </c>
      <c r="I34" s="1316" t="s">
        <v>212</v>
      </c>
      <c r="J34" s="1316" t="s">
        <v>212</v>
      </c>
      <c r="K34" s="1316" t="s">
        <v>212</v>
      </c>
      <c r="L34" s="1316" t="s">
        <v>212</v>
      </c>
      <c r="M34" s="1316" t="s">
        <v>212</v>
      </c>
      <c r="N34" s="1316" t="s">
        <v>212</v>
      </c>
      <c r="O34" s="1316" t="s">
        <v>212</v>
      </c>
      <c r="P34" s="1316" t="s">
        <v>212</v>
      </c>
      <c r="Q34" s="1316" t="s">
        <v>212</v>
      </c>
      <c r="R34" s="1316" t="s">
        <v>212</v>
      </c>
      <c r="S34" s="1316" t="s">
        <v>212</v>
      </c>
      <c r="T34" s="1316" t="s">
        <v>212</v>
      </c>
      <c r="U34" s="1316" t="s">
        <v>212</v>
      </c>
      <c r="V34" s="1316" t="s">
        <v>212</v>
      </c>
      <c r="W34" s="1316" t="s">
        <v>212</v>
      </c>
      <c r="X34" s="731"/>
      <c r="Y34" s="731"/>
      <c r="Z34" s="731"/>
      <c r="AA34" s="731"/>
      <c r="AB34" s="731"/>
      <c r="AC34" s="1181"/>
      <c r="AD34" s="1181"/>
      <c r="AE34" s="1181"/>
      <c r="AF34" s="1181"/>
      <c r="AG34" s="43"/>
      <c r="AH34" s="43"/>
      <c r="AI34" s="43"/>
      <c r="AJ34" s="43"/>
      <c r="AK34" s="43"/>
      <c r="AL34" s="43"/>
    </row>
    <row r="35" spans="1:38" collapsed="1">
      <c r="A35" s="1342" t="s">
        <v>213</v>
      </c>
      <c r="B35" s="1343">
        <v>2004</v>
      </c>
      <c r="C35" s="1343">
        <v>2005</v>
      </c>
      <c r="D35" s="1343">
        <v>2006</v>
      </c>
      <c r="E35" s="1343">
        <v>2007</v>
      </c>
      <c r="F35" s="1343">
        <v>2008</v>
      </c>
      <c r="G35" s="1343">
        <v>2009</v>
      </c>
      <c r="H35" s="1343">
        <v>2010</v>
      </c>
      <c r="I35" s="1343">
        <v>2011</v>
      </c>
      <c r="J35" s="1343">
        <v>2012</v>
      </c>
      <c r="K35" s="1343">
        <v>2013</v>
      </c>
      <c r="L35" s="1343">
        <v>2014</v>
      </c>
      <c r="M35" s="1343">
        <v>2015</v>
      </c>
      <c r="N35" s="1343">
        <v>2016</v>
      </c>
      <c r="O35" s="1343">
        <v>2017</v>
      </c>
      <c r="P35" s="1344">
        <v>2018</v>
      </c>
      <c r="Q35" s="1344">
        <v>2019</v>
      </c>
      <c r="R35" s="1344">
        <v>2020</v>
      </c>
      <c r="S35" s="1344">
        <v>2021</v>
      </c>
      <c r="T35" s="1344">
        <v>2022</v>
      </c>
      <c r="U35" s="1344">
        <v>2023</v>
      </c>
      <c r="V35" s="1344">
        <v>2024</v>
      </c>
      <c r="W35" s="1344">
        <v>2025</v>
      </c>
      <c r="X35" s="731"/>
      <c r="Y35" s="731"/>
      <c r="Z35" s="731"/>
      <c r="AA35" s="731"/>
      <c r="AB35" s="731"/>
      <c r="AC35" s="1411"/>
      <c r="AD35" s="1411"/>
      <c r="AE35" s="1181"/>
      <c r="AF35" s="1181"/>
      <c r="AG35" s="231"/>
      <c r="AH35" s="231"/>
      <c r="AI35" s="231"/>
      <c r="AJ35" s="43"/>
      <c r="AK35" s="43"/>
      <c r="AL35" s="43"/>
    </row>
    <row r="36" spans="1:38">
      <c r="A36" s="1120" t="s">
        <v>295</v>
      </c>
      <c r="B36" s="1187">
        <v>518</v>
      </c>
      <c r="C36" s="1187">
        <v>648.19999999999993</v>
      </c>
      <c r="D36" s="1187">
        <v>808.02199999999993</v>
      </c>
      <c r="E36" s="1187">
        <v>826.53699999999992</v>
      </c>
      <c r="F36" s="1187">
        <v>712.42000000000007</v>
      </c>
      <c r="G36" s="1187">
        <v>774.44299999999998</v>
      </c>
      <c r="H36" s="1187">
        <v>1183.2859999999998</v>
      </c>
      <c r="I36" s="1187">
        <v>1295.0279999999998</v>
      </c>
      <c r="J36" s="1187">
        <v>1366.99</v>
      </c>
      <c r="K36" s="1187">
        <v>1635.9549999999999</v>
      </c>
      <c r="L36" s="1187">
        <v>1971.69</v>
      </c>
      <c r="M36" s="1187">
        <v>2325.1619999999998</v>
      </c>
      <c r="N36" s="1187">
        <v>2727.3789999999999</v>
      </c>
      <c r="O36" s="1187">
        <v>3002.8820000000001</v>
      </c>
      <c r="P36" s="1188">
        <v>3345.3523290050807</v>
      </c>
      <c r="Q36" s="1188">
        <v>3213.2813499699196</v>
      </c>
      <c r="R36" s="1188">
        <v>3754.4804080624235</v>
      </c>
      <c r="S36" s="1188">
        <v>4312.4190258944391</v>
      </c>
      <c r="T36" s="1188">
        <v>4238.4775865398869</v>
      </c>
      <c r="U36" s="1188">
        <v>4068.7854142497249</v>
      </c>
      <c r="V36" s="1188">
        <v>4357.7390087878084</v>
      </c>
      <c r="W36" s="1188">
        <v>4655.6374556782703</v>
      </c>
      <c r="X36" s="1524"/>
      <c r="Y36" s="1215">
        <v>0.14229522909060632</v>
      </c>
      <c r="Z36" s="1215">
        <v>5.9385414256361901E-2</v>
      </c>
      <c r="AA36" s="1215">
        <v>1.5433857679492569E-2</v>
      </c>
      <c r="AB36" s="731"/>
      <c r="AC36" s="1188"/>
      <c r="AD36" s="1188"/>
      <c r="AE36" s="1525"/>
      <c r="AF36" s="1523"/>
      <c r="AG36" s="1408"/>
      <c r="AH36" s="19"/>
      <c r="AI36" s="19"/>
      <c r="AJ36" s="43"/>
      <c r="AK36" s="174"/>
      <c r="AL36" s="43"/>
    </row>
    <row r="37" spans="1:38" ht="12.75" hidden="1" customHeight="1" outlineLevel="1">
      <c r="A37" s="1182" t="s">
        <v>54</v>
      </c>
      <c r="B37" s="1183">
        <v>293.2</v>
      </c>
      <c r="C37" s="1183">
        <v>312.7</v>
      </c>
      <c r="D37" s="1183">
        <v>346.29500000000002</v>
      </c>
      <c r="E37" s="1183">
        <v>422.65</v>
      </c>
      <c r="F37" s="1183">
        <v>273.84899999999999</v>
      </c>
      <c r="G37" s="1183">
        <v>229.102</v>
      </c>
      <c r="H37" s="1183">
        <v>582.25300000000004</v>
      </c>
      <c r="I37" s="1183">
        <v>702.17499999999995</v>
      </c>
      <c r="J37" s="1183">
        <v>766.68700000000001</v>
      </c>
      <c r="K37" s="1183">
        <v>950.32600000000002</v>
      </c>
      <c r="L37" s="1183">
        <v>884.274</v>
      </c>
      <c r="M37" s="1183">
        <v>1089.1469999999999</v>
      </c>
      <c r="N37" s="1183">
        <v>1258.73</v>
      </c>
      <c r="O37" s="1183">
        <v>1644.63</v>
      </c>
      <c r="P37" s="1184">
        <v>1828.9250811096897</v>
      </c>
      <c r="Q37" s="1184">
        <v>1418.4999132417493</v>
      </c>
      <c r="R37" s="1184">
        <v>1762.6626735300094</v>
      </c>
      <c r="S37" s="1184">
        <v>2166.8686879734291</v>
      </c>
      <c r="T37" s="1184">
        <v>1987.8900817524498</v>
      </c>
      <c r="U37" s="1184">
        <v>1710.8141081835556</v>
      </c>
      <c r="V37" s="1184">
        <v>1890.3964512985615</v>
      </c>
      <c r="W37" s="1184">
        <v>1984.4281476773917</v>
      </c>
      <c r="X37" s="1250"/>
      <c r="Y37" s="460"/>
      <c r="Z37" s="731"/>
      <c r="AA37" s="731"/>
      <c r="AB37" s="731"/>
      <c r="AC37" s="1184"/>
      <c r="AD37" s="1184"/>
      <c r="AE37" s="1181"/>
      <c r="AF37" s="1523"/>
      <c r="AG37" s="1408"/>
      <c r="AH37" s="43"/>
      <c r="AI37" s="43"/>
      <c r="AJ37" s="43"/>
      <c r="AK37" s="43"/>
      <c r="AL37" s="43"/>
    </row>
    <row r="38" spans="1:38" ht="12.75" hidden="1" customHeight="1" outlineLevel="1">
      <c r="A38" s="1141" t="s">
        <v>42</v>
      </c>
      <c r="B38" s="1185">
        <v>195</v>
      </c>
      <c r="C38" s="1185">
        <v>304.2</v>
      </c>
      <c r="D38" s="1185">
        <v>429.86299999999994</v>
      </c>
      <c r="E38" s="1185">
        <v>366.74</v>
      </c>
      <c r="F38" s="1185">
        <v>403.01299999999998</v>
      </c>
      <c r="G38" s="1183">
        <v>481.524</v>
      </c>
      <c r="H38" s="1183">
        <v>522.83799999999997</v>
      </c>
      <c r="I38" s="1183">
        <v>520.95900000000006</v>
      </c>
      <c r="J38" s="1183">
        <v>505.07</v>
      </c>
      <c r="K38" s="1183">
        <v>546.16599999999994</v>
      </c>
      <c r="L38" s="1183">
        <v>841.13300000000004</v>
      </c>
      <c r="M38" s="1183">
        <v>962.45299999999997</v>
      </c>
      <c r="N38" s="1183">
        <v>1301.662</v>
      </c>
      <c r="O38" s="1183">
        <v>1238.877</v>
      </c>
      <c r="P38" s="1184">
        <v>1314.7263278953906</v>
      </c>
      <c r="Q38" s="1184">
        <v>1523.9874129281702</v>
      </c>
      <c r="R38" s="1184">
        <v>1699.9597659004137</v>
      </c>
      <c r="S38" s="1184">
        <v>1832.0101298820596</v>
      </c>
      <c r="T38" s="1184">
        <v>1915.9337453336263</v>
      </c>
      <c r="U38" s="1184">
        <v>2003.7043366048072</v>
      </c>
      <c r="V38" s="1184">
        <v>2095.4954116344252</v>
      </c>
      <c r="W38" s="1184">
        <v>2284.2397547432115</v>
      </c>
      <c r="X38" s="1250"/>
      <c r="Y38" s="460"/>
      <c r="Z38" s="731"/>
      <c r="AA38" s="731"/>
      <c r="AB38" s="731"/>
      <c r="AC38" s="1184"/>
      <c r="AD38" s="1184"/>
      <c r="AE38" s="1181"/>
      <c r="AF38" s="1523"/>
      <c r="AG38" s="1408"/>
      <c r="AH38" s="43"/>
      <c r="AI38" s="43"/>
      <c r="AJ38" s="43"/>
      <c r="AK38" s="43"/>
      <c r="AL38" s="43"/>
    </row>
    <row r="39" spans="1:38" ht="12.75" hidden="1" customHeight="1" outlineLevel="1">
      <c r="A39" s="1141" t="s">
        <v>214</v>
      </c>
      <c r="B39" s="1185">
        <v>0</v>
      </c>
      <c r="C39" s="1185">
        <v>0</v>
      </c>
      <c r="D39" s="1185">
        <v>0</v>
      </c>
      <c r="E39" s="1185">
        <v>0</v>
      </c>
      <c r="F39" s="1185">
        <v>0</v>
      </c>
      <c r="G39" s="1183">
        <v>16.445</v>
      </c>
      <c r="H39" s="1183">
        <v>22.300999999999998</v>
      </c>
      <c r="I39" s="1183">
        <v>23.946000000000002</v>
      </c>
      <c r="J39" s="1183">
        <v>27.593</v>
      </c>
      <c r="K39" s="1183">
        <v>44.408000000000001</v>
      </c>
      <c r="L39" s="1183">
        <v>77.272999999999996</v>
      </c>
      <c r="M39" s="1183">
        <v>189.114</v>
      </c>
      <c r="N39" s="1183">
        <v>185.57300000000001</v>
      </c>
      <c r="O39" s="1183">
        <v>152.089</v>
      </c>
      <c r="P39" s="1184">
        <v>163.51776000000001</v>
      </c>
      <c r="Q39" s="1184">
        <v>160.23727500000001</v>
      </c>
      <c r="R39" s="1184">
        <v>165.823275</v>
      </c>
      <c r="S39" s="1184">
        <v>174.90204504374998</v>
      </c>
      <c r="T39" s="1184">
        <v>184.23135260401838</v>
      </c>
      <c r="U39" s="1184">
        <v>194.06710616633319</v>
      </c>
      <c r="V39" s="1184">
        <v>204.43828871151734</v>
      </c>
      <c r="W39" s="1184">
        <v>215.37547468577952</v>
      </c>
      <c r="X39" s="1250"/>
      <c r="Y39" s="460"/>
      <c r="Z39" s="731"/>
      <c r="AA39" s="731"/>
      <c r="AB39" s="731"/>
      <c r="AC39" s="1184"/>
      <c r="AD39" s="1184"/>
      <c r="AE39" s="1181"/>
      <c r="AF39" s="1523"/>
      <c r="AG39" s="1408"/>
      <c r="AH39" s="43"/>
      <c r="AI39" s="43"/>
      <c r="AJ39" s="43"/>
      <c r="AK39" s="43"/>
      <c r="AL39" s="43"/>
    </row>
    <row r="40" spans="1:38" ht="12.75" hidden="1" customHeight="1" outlineLevel="1">
      <c r="A40" s="1141" t="s">
        <v>46</v>
      </c>
      <c r="B40" s="1183">
        <v>29.799999999999997</v>
      </c>
      <c r="C40" s="1183">
        <v>31.299999999999997</v>
      </c>
      <c r="D40" s="1183">
        <v>31.863999999999997</v>
      </c>
      <c r="E40" s="1183">
        <v>37.146000000000001</v>
      </c>
      <c r="F40" s="1183">
        <v>35.557000000000002</v>
      </c>
      <c r="G40" s="1183">
        <v>47.372</v>
      </c>
      <c r="H40" s="1183">
        <v>55.895000000000003</v>
      </c>
      <c r="I40" s="1183">
        <v>47.965000000000003</v>
      </c>
      <c r="J40" s="1183">
        <v>67.64</v>
      </c>
      <c r="K40" s="1183">
        <v>95.054000000000002</v>
      </c>
      <c r="L40" s="1183">
        <v>168.49199999999999</v>
      </c>
      <c r="M40" s="1183">
        <v>84.448000000000008</v>
      </c>
      <c r="N40" s="1183">
        <v>-18.586000000000006</v>
      </c>
      <c r="O40" s="1183">
        <v>-32.714000000000013</v>
      </c>
      <c r="P40" s="1186">
        <v>38.183160000000001</v>
      </c>
      <c r="Q40" s="1186">
        <v>110.55674880000001</v>
      </c>
      <c r="R40" s="1186">
        <v>126.03469363200001</v>
      </c>
      <c r="S40" s="1186">
        <v>138.63816299520002</v>
      </c>
      <c r="T40" s="1186">
        <v>150.42240684979203</v>
      </c>
      <c r="U40" s="1186">
        <v>160.19986329502851</v>
      </c>
      <c r="V40" s="1186">
        <v>167.40885714330477</v>
      </c>
      <c r="W40" s="1186">
        <v>171.59407857188739</v>
      </c>
      <c r="X40" s="1250"/>
      <c r="Y40" s="731"/>
      <c r="Z40" s="731"/>
      <c r="AA40" s="731"/>
      <c r="AB40" s="731"/>
      <c r="AC40" s="1186"/>
      <c r="AD40" s="1186"/>
      <c r="AE40" s="1181"/>
      <c r="AF40" s="1523"/>
      <c r="AG40" s="1408"/>
      <c r="AH40" s="43"/>
      <c r="AI40" s="43"/>
      <c r="AJ40" s="43"/>
      <c r="AK40" s="43"/>
      <c r="AL40" s="43"/>
    </row>
    <row r="41" spans="1:38" s="946" customFormat="1" collapsed="1">
      <c r="A41" s="1711" t="s">
        <v>215</v>
      </c>
      <c r="B41" s="1190"/>
      <c r="C41" s="1191">
        <v>0.25135135135135123</v>
      </c>
      <c r="D41" s="1191">
        <v>0.24656278926257325</v>
      </c>
      <c r="E41" s="1191">
        <v>2.2913980064899198E-2</v>
      </c>
      <c r="F41" s="1191">
        <v>-0.1380664144496857</v>
      </c>
      <c r="G41" s="1191">
        <v>8.7059599674349286E-2</v>
      </c>
      <c r="H41" s="1191">
        <v>0.52791877517131658</v>
      </c>
      <c r="I41" s="1191">
        <v>9.4433636500389495E-2</v>
      </c>
      <c r="J41" s="1191">
        <v>5.5567910500776918E-2</v>
      </c>
      <c r="K41" s="1191">
        <v>0.19675710868404295</v>
      </c>
      <c r="L41" s="1191">
        <v>0.20522263754198633</v>
      </c>
      <c r="M41" s="1191">
        <v>0.17927361806369135</v>
      </c>
      <c r="N41" s="1191">
        <v>0.17298450602581683</v>
      </c>
      <c r="O41" s="1191">
        <v>0.10101383049440504</v>
      </c>
      <c r="P41" s="1192">
        <v>0.11404721497717207</v>
      </c>
      <c r="Q41" s="1192">
        <v>-3.9478944531513571E-2</v>
      </c>
      <c r="R41" s="1192">
        <v>0.16842566807838666</v>
      </c>
      <c r="S41" s="1192">
        <v>0.14860608052019408</v>
      </c>
      <c r="T41" s="1192">
        <v>-1.7146162956466426E-2</v>
      </c>
      <c r="U41" s="1192">
        <v>-4.0036114105935772E-2</v>
      </c>
      <c r="V41" s="1192">
        <v>7.1017162400874856E-2</v>
      </c>
      <c r="W41" s="1192">
        <v>6.8360782114238683E-2</v>
      </c>
      <c r="X41" s="1191"/>
      <c r="Y41" s="1196"/>
      <c r="Z41" s="1196"/>
      <c r="AA41" s="1196"/>
      <c r="AB41" s="1196"/>
      <c r="AC41" s="1192"/>
      <c r="AD41" s="1192"/>
      <c r="AE41" s="1526"/>
      <c r="AF41" s="1523"/>
      <c r="AG41" s="1408"/>
      <c r="AH41" s="947"/>
      <c r="AI41" s="947"/>
      <c r="AJ41" s="945"/>
      <c r="AK41" s="947"/>
      <c r="AL41" s="945"/>
    </row>
    <row r="42" spans="1:38">
      <c r="A42" s="731" t="s">
        <v>1194</v>
      </c>
      <c r="B42" s="1194">
        <v>-295.76800000000003</v>
      </c>
      <c r="C42" s="1194">
        <v>-355.28999999999996</v>
      </c>
      <c r="D42" s="1194">
        <v>-372.45499999999998</v>
      </c>
      <c r="E42" s="1194">
        <v>-296.49299999999999</v>
      </c>
      <c r="F42" s="1194">
        <v>-432.36899999999997</v>
      </c>
      <c r="G42" s="1194">
        <v>-434.53500000000003</v>
      </c>
      <c r="H42" s="1194">
        <v>-627.75300000000004</v>
      </c>
      <c r="I42" s="1194">
        <v>-565.33400000000006</v>
      </c>
      <c r="J42" s="1194">
        <v>-638.81099999999992</v>
      </c>
      <c r="K42" s="1194">
        <v>-780.74500000000012</v>
      </c>
      <c r="L42" s="1194">
        <v>-992.93300000000011</v>
      </c>
      <c r="M42" s="1194">
        <v>-1044.027</v>
      </c>
      <c r="N42" s="1194">
        <v>-1237.6200000000001</v>
      </c>
      <c r="O42" s="1194">
        <v>-1436.1219999999998</v>
      </c>
      <c r="P42" s="1195">
        <v>-1502.6456070583663</v>
      </c>
      <c r="Q42" s="1195">
        <v>-1575.1691631388087</v>
      </c>
      <c r="R42" s="1195">
        <v>-1796.1227659559995</v>
      </c>
      <c r="S42" s="1195">
        <v>-2050.7163842963969</v>
      </c>
      <c r="T42" s="1195">
        <v>-2083.8398804303165</v>
      </c>
      <c r="U42" s="1195">
        <v>-2069.6079869084651</v>
      </c>
      <c r="V42" s="1195">
        <v>-2244.7778760302826</v>
      </c>
      <c r="W42" s="1195">
        <v>-2220.4066041250517</v>
      </c>
      <c r="X42" s="1250"/>
      <c r="Y42" s="1215"/>
      <c r="Z42" s="731"/>
      <c r="AA42" s="731"/>
      <c r="AB42" s="731"/>
      <c r="AC42" s="1195"/>
      <c r="AD42" s="1195"/>
      <c r="AE42" s="1181"/>
      <c r="AF42" s="1523"/>
      <c r="AG42" s="1408"/>
      <c r="AH42" s="165"/>
      <c r="AI42" s="165"/>
      <c r="AJ42" s="43"/>
      <c r="AK42" s="174"/>
      <c r="AL42" s="43"/>
    </row>
    <row r="43" spans="1:38">
      <c r="A43" s="1120" t="s">
        <v>216</v>
      </c>
      <c r="B43" s="1187">
        <v>222.23199999999997</v>
      </c>
      <c r="C43" s="1187">
        <v>292.90999999999997</v>
      </c>
      <c r="D43" s="1187">
        <v>435.56699999999995</v>
      </c>
      <c r="E43" s="1187">
        <v>530.04399999999987</v>
      </c>
      <c r="F43" s="1187">
        <v>280.0510000000001</v>
      </c>
      <c r="G43" s="1187">
        <v>339.90799999999996</v>
      </c>
      <c r="H43" s="1187">
        <v>555.53299999999979</v>
      </c>
      <c r="I43" s="1187">
        <v>729.69399999999973</v>
      </c>
      <c r="J43" s="1187">
        <v>728.17900000000009</v>
      </c>
      <c r="K43" s="1187">
        <v>855.20999999999981</v>
      </c>
      <c r="L43" s="1187">
        <v>978.75699999999995</v>
      </c>
      <c r="M43" s="1187">
        <v>1281.1349999999998</v>
      </c>
      <c r="N43" s="1187">
        <v>1489.7589999999998</v>
      </c>
      <c r="O43" s="1187">
        <v>1566.7600000000002</v>
      </c>
      <c r="P43" s="1188">
        <v>1842.7067219467144</v>
      </c>
      <c r="Q43" s="1188">
        <v>1638.1121868311109</v>
      </c>
      <c r="R43" s="1188">
        <v>1958.357642106424</v>
      </c>
      <c r="S43" s="1188">
        <v>2261.7026415980422</v>
      </c>
      <c r="T43" s="1188">
        <v>2154.6377061095704</v>
      </c>
      <c r="U43" s="1188">
        <v>1999.1774273412598</v>
      </c>
      <c r="V43" s="1188">
        <v>2112.9611327575258</v>
      </c>
      <c r="W43" s="1188">
        <v>2435.2308515532186</v>
      </c>
      <c r="X43" s="1524"/>
      <c r="Y43" s="731"/>
      <c r="Z43" s="731"/>
      <c r="AA43" s="731"/>
      <c r="AB43" s="731"/>
      <c r="AC43" s="1188"/>
      <c r="AD43" s="1188"/>
      <c r="AE43" s="1525"/>
      <c r="AF43" s="1523"/>
      <c r="AG43" s="1408"/>
      <c r="AH43" s="19"/>
      <c r="AI43" s="19"/>
      <c r="AJ43" s="43"/>
      <c r="AK43" s="174"/>
      <c r="AL43" s="43"/>
    </row>
    <row r="44" spans="1:38">
      <c r="A44" s="1196" t="s">
        <v>217</v>
      </c>
      <c r="B44" s="1197">
        <v>0.42901930501930496</v>
      </c>
      <c r="C44" s="1197">
        <v>0.45188213514347425</v>
      </c>
      <c r="D44" s="1197">
        <v>0.53905339211061087</v>
      </c>
      <c r="E44" s="1197">
        <v>0.64128284638195254</v>
      </c>
      <c r="F44" s="1197">
        <v>0.39309817242637779</v>
      </c>
      <c r="G44" s="1197">
        <v>0.43890641402917963</v>
      </c>
      <c r="H44" s="1197">
        <v>0.46948328637370834</v>
      </c>
      <c r="I44" s="1197">
        <v>0.56345808739270486</v>
      </c>
      <c r="J44" s="1197">
        <v>0.53268787628292824</v>
      </c>
      <c r="K44" s="1197">
        <v>0.52275887784199437</v>
      </c>
      <c r="L44" s="1197">
        <v>0.49640511439425056</v>
      </c>
      <c r="M44" s="1197">
        <v>0.55098741507043369</v>
      </c>
      <c r="N44" s="1197">
        <v>0.54622368215051886</v>
      </c>
      <c r="O44" s="1197">
        <v>0.5217521034792576</v>
      </c>
      <c r="P44" s="1198">
        <v>0.55082590433598422</v>
      </c>
      <c r="Q44" s="1198">
        <v>0.50979419740087362</v>
      </c>
      <c r="R44" s="1198">
        <v>0.52160550309465448</v>
      </c>
      <c r="S44" s="1198">
        <v>0.52446263408480864</v>
      </c>
      <c r="T44" s="1198">
        <v>0.50835179899312033</v>
      </c>
      <c r="U44" s="1198">
        <v>0.49134501424914878</v>
      </c>
      <c r="V44" s="1198">
        <v>0.48487555782861991</v>
      </c>
      <c r="W44" s="1198">
        <v>0.52307141067934271</v>
      </c>
      <c r="X44" s="1197"/>
      <c r="Y44" s="731"/>
      <c r="Z44" s="731"/>
      <c r="AA44" s="731"/>
      <c r="AB44" s="731"/>
      <c r="AC44" s="1198"/>
      <c r="AD44" s="1198"/>
      <c r="AE44" s="1181"/>
      <c r="AF44" s="1523"/>
      <c r="AG44" s="1408"/>
      <c r="AH44" s="13"/>
      <c r="AI44" s="13"/>
      <c r="AJ44" s="43"/>
      <c r="AK44" s="174"/>
      <c r="AL44" s="43"/>
    </row>
    <row r="45" spans="1:38" hidden="1" outlineLevel="1">
      <c r="A45" s="1182" t="s">
        <v>54</v>
      </c>
      <c r="B45" s="1197"/>
      <c r="C45" s="1197"/>
      <c r="D45" s="1197"/>
      <c r="E45" s="1197"/>
      <c r="F45" s="1197"/>
      <c r="G45" s="1197"/>
      <c r="H45" s="1197">
        <v>0.59530994258509617</v>
      </c>
      <c r="I45" s="1197">
        <v>0.63403994730658308</v>
      </c>
      <c r="J45" s="1197">
        <v>0.57450432836346521</v>
      </c>
      <c r="K45" s="1197">
        <v>0.58731845703474383</v>
      </c>
      <c r="L45" s="1197">
        <v>0.53180235990202129</v>
      </c>
      <c r="M45" s="1197">
        <v>0.57050150255199705</v>
      </c>
      <c r="N45" s="1197">
        <v>0.54579615962120553</v>
      </c>
      <c r="O45" s="1197">
        <v>0.57247405191441236</v>
      </c>
      <c r="P45" s="1198">
        <v>0.640244491872625</v>
      </c>
      <c r="Q45" s="1198">
        <v>0.5032715014847019</v>
      </c>
      <c r="R45" s="1198">
        <v>0.54189768089738022</v>
      </c>
      <c r="S45" s="1198">
        <v>0.57274656120645362</v>
      </c>
      <c r="T45" s="1198">
        <v>0.52792312960717924</v>
      </c>
      <c r="U45" s="1198">
        <v>0.45726864725449379</v>
      </c>
      <c r="V45" s="1198">
        <v>0.46621997936047932</v>
      </c>
      <c r="W45" s="1198">
        <v>0.49885866632133968</v>
      </c>
      <c r="X45" s="1197"/>
      <c r="Y45" s="731"/>
      <c r="Z45" s="731"/>
      <c r="AA45" s="731"/>
      <c r="AB45" s="731"/>
      <c r="AC45" s="1198"/>
      <c r="AD45" s="1198"/>
      <c r="AE45" s="1181"/>
      <c r="AF45" s="1523"/>
      <c r="AG45" s="1408"/>
      <c r="AH45" s="13"/>
      <c r="AI45" s="13"/>
      <c r="AJ45" s="43"/>
      <c r="AK45" s="174"/>
      <c r="AL45" s="43"/>
    </row>
    <row r="46" spans="1:38" hidden="1" outlineLevel="1">
      <c r="A46" s="1182" t="s">
        <v>42</v>
      </c>
      <c r="B46" s="1197"/>
      <c r="C46" s="1197"/>
      <c r="D46" s="1197"/>
      <c r="E46" s="1197"/>
      <c r="F46" s="1197"/>
      <c r="G46" s="1197"/>
      <c r="H46" s="1197">
        <v>0.44310283491253505</v>
      </c>
      <c r="I46" s="1197">
        <v>0.56270071157231194</v>
      </c>
      <c r="J46" s="1197">
        <v>0.43730176015205813</v>
      </c>
      <c r="K46" s="1197">
        <v>0.42883848500272803</v>
      </c>
      <c r="L46" s="1197">
        <v>0.485086187321149</v>
      </c>
      <c r="M46" s="1197">
        <v>0.49634008102213817</v>
      </c>
      <c r="N46" s="1197">
        <v>0.51901261617839356</v>
      </c>
      <c r="O46" s="1197">
        <v>0.49221674145213767</v>
      </c>
      <c r="P46" s="1198">
        <v>0.45179745481281891</v>
      </c>
      <c r="Q46" s="1198">
        <v>0.4935459475828804</v>
      </c>
      <c r="R46" s="1198">
        <v>0.47968530065734849</v>
      </c>
      <c r="S46" s="1198">
        <v>0.44644174728489028</v>
      </c>
      <c r="T46" s="1198">
        <v>0.46346551307372225</v>
      </c>
      <c r="U46" s="1198">
        <v>0.49239354585817013</v>
      </c>
      <c r="V46" s="1198">
        <v>0.4725254224022285</v>
      </c>
      <c r="W46" s="1198">
        <v>0.5231004012229008</v>
      </c>
      <c r="X46" s="1197"/>
      <c r="Y46" s="731"/>
      <c r="Z46" s="731"/>
      <c r="AA46" s="731"/>
      <c r="AB46" s="731"/>
      <c r="AC46" s="1198"/>
      <c r="AD46" s="1198"/>
      <c r="AE46" s="1181"/>
      <c r="AF46" s="1523"/>
      <c r="AG46" s="1408"/>
      <c r="AH46" s="13"/>
      <c r="AI46" s="13"/>
      <c r="AJ46" s="43"/>
      <c r="AK46" s="174"/>
      <c r="AL46" s="43"/>
    </row>
    <row r="47" spans="1:38" hidden="1" outlineLevel="1">
      <c r="A47" s="1182" t="s">
        <v>1052</v>
      </c>
      <c r="B47" s="1197"/>
      <c r="C47" s="1197"/>
      <c r="D47" s="1197"/>
      <c r="E47" s="1197"/>
      <c r="F47" s="1197"/>
      <c r="G47" s="1197"/>
      <c r="H47" s="1197">
        <v>0.8</v>
      </c>
      <c r="I47" s="1197">
        <v>0.8</v>
      </c>
      <c r="J47" s="1197">
        <v>0.8</v>
      </c>
      <c r="K47" s="1197">
        <v>0.8</v>
      </c>
      <c r="L47" s="1197">
        <v>0.8</v>
      </c>
      <c r="M47" s="1197">
        <v>0.8</v>
      </c>
      <c r="N47" s="1197">
        <v>0.8</v>
      </c>
      <c r="O47" s="1197">
        <v>0.8</v>
      </c>
      <c r="P47" s="1198">
        <v>0.5</v>
      </c>
      <c r="Q47" s="1198">
        <v>0.5</v>
      </c>
      <c r="R47" s="1198">
        <v>0.5</v>
      </c>
      <c r="S47" s="1198">
        <v>0.5</v>
      </c>
      <c r="T47" s="1198">
        <v>0.5</v>
      </c>
      <c r="U47" s="1198">
        <v>0.5</v>
      </c>
      <c r="V47" s="1198">
        <v>0.5</v>
      </c>
      <c r="W47" s="1198">
        <v>0.5</v>
      </c>
      <c r="X47" s="1197"/>
      <c r="Y47" s="731"/>
      <c r="Z47" s="731"/>
      <c r="AA47" s="731"/>
      <c r="AB47" s="731"/>
      <c r="AC47" s="1198"/>
      <c r="AD47" s="1198"/>
      <c r="AE47" s="1181"/>
      <c r="AF47" s="1523"/>
      <c r="AG47" s="1408"/>
      <c r="AH47" s="13"/>
      <c r="AI47" s="13"/>
      <c r="AJ47" s="43"/>
      <c r="AK47" s="174"/>
      <c r="AL47" s="43"/>
    </row>
    <row r="48" spans="1:38" hidden="1" outlineLevel="1">
      <c r="A48" s="1182" t="s">
        <v>1017</v>
      </c>
      <c r="B48" s="1197"/>
      <c r="C48" s="1197"/>
      <c r="D48" s="1197"/>
      <c r="E48" s="1197"/>
      <c r="F48" s="1197"/>
      <c r="G48" s="1197"/>
      <c r="H48" s="1197">
        <v>2.7263404597906793</v>
      </c>
      <c r="I48" s="1197">
        <v>2.5795225685395571</v>
      </c>
      <c r="J48" s="1197">
        <v>1.3380898876404479</v>
      </c>
      <c r="K48" s="1197">
        <v>1.712567593157571</v>
      </c>
      <c r="L48" s="1197">
        <v>1.7736414785271699</v>
      </c>
      <c r="M48" s="1197">
        <v>1.3827237265291275</v>
      </c>
      <c r="N48" s="1197">
        <v>1.0317335807137262</v>
      </c>
      <c r="O48" s="1197">
        <v>1.8472565473994829</v>
      </c>
      <c r="P48" s="1198">
        <v>1.4502461678757324</v>
      </c>
      <c r="Q48" s="1198">
        <v>1.168344245665806</v>
      </c>
      <c r="R48" s="1198">
        <v>1.168344245665806</v>
      </c>
      <c r="S48" s="1198">
        <v>1.168344245665806</v>
      </c>
      <c r="T48" s="1198">
        <v>1.168344245665806</v>
      </c>
      <c r="U48" s="1198">
        <v>1.168344245665806</v>
      </c>
      <c r="V48" s="1198">
        <v>1.168344245665806</v>
      </c>
      <c r="W48" s="1198">
        <v>1.168344245665806</v>
      </c>
      <c r="X48" s="1197"/>
      <c r="Y48" s="731"/>
      <c r="Z48" s="731"/>
      <c r="AA48" s="731"/>
      <c r="AB48" s="731"/>
      <c r="AC48" s="1198"/>
      <c r="AD48" s="1198"/>
      <c r="AE48" s="1181"/>
      <c r="AF48" s="1523"/>
      <c r="AG48" s="1408"/>
      <c r="AH48" s="13"/>
      <c r="AI48" s="13"/>
      <c r="AJ48" s="43"/>
      <c r="AK48" s="174"/>
      <c r="AL48" s="43"/>
    </row>
    <row r="49" spans="1:38" collapsed="1">
      <c r="A49" s="731" t="s">
        <v>218</v>
      </c>
      <c r="B49" s="1200">
        <v>-130.30000000000001</v>
      </c>
      <c r="C49" s="1200">
        <v>-129.80000000000001</v>
      </c>
      <c r="D49" s="1200">
        <v>-113.37599999999999</v>
      </c>
      <c r="E49" s="1200">
        <v>-139.56699999999998</v>
      </c>
      <c r="F49" s="1200">
        <v>-151.678</v>
      </c>
      <c r="G49" s="1200">
        <v>-96.729000000000013</v>
      </c>
      <c r="H49" s="1200">
        <v>-154.21100000000001</v>
      </c>
      <c r="I49" s="1200">
        <v>-163.57</v>
      </c>
      <c r="J49" s="1200">
        <v>-145.54400000000001</v>
      </c>
      <c r="K49" s="1200">
        <v>-203.45</v>
      </c>
      <c r="L49" s="1200">
        <v>-227.554</v>
      </c>
      <c r="M49" s="1200">
        <v>-149.41999999999999</v>
      </c>
      <c r="N49" s="1200">
        <v>-253.94499999999996</v>
      </c>
      <c r="O49" s="1200">
        <v>-122.36199999999999</v>
      </c>
      <c r="P49" s="1195">
        <v>-289.5245923701404</v>
      </c>
      <c r="Q49" s="1195">
        <v>-309.16983376342023</v>
      </c>
      <c r="R49" s="1195">
        <v>-326.97149328763459</v>
      </c>
      <c r="S49" s="1195">
        <v>-347.11039496488553</v>
      </c>
      <c r="T49" s="1195">
        <v>-366.27617749526132</v>
      </c>
      <c r="U49" s="1195">
        <v>-386.50158316634702</v>
      </c>
      <c r="V49" s="1195">
        <v>-407.84030757054012</v>
      </c>
      <c r="W49" s="1195">
        <v>-430.35282965383192</v>
      </c>
      <c r="X49" s="1250"/>
      <c r="Y49" s="731"/>
      <c r="Z49" s="731"/>
      <c r="AA49" s="731"/>
      <c r="AB49" s="731"/>
      <c r="AC49" s="1195"/>
      <c r="AD49" s="1195"/>
      <c r="AE49" s="1181"/>
      <c r="AF49" s="1523"/>
      <c r="AG49" s="1408"/>
      <c r="AH49" s="165"/>
      <c r="AI49" s="165"/>
      <c r="AJ49" s="43"/>
      <c r="AK49" s="174"/>
      <c r="AL49" s="43"/>
    </row>
    <row r="50" spans="1:38">
      <c r="A50" s="1141" t="s">
        <v>168</v>
      </c>
      <c r="B50" s="1201">
        <v>-130.30000000000001</v>
      </c>
      <c r="C50" s="1201">
        <v>-129.80000000000001</v>
      </c>
      <c r="D50" s="1201">
        <v>-108.011</v>
      </c>
      <c r="E50" s="1201">
        <v>-129.761</v>
      </c>
      <c r="F50" s="1200">
        <v>-133.84700000000001</v>
      </c>
      <c r="G50" s="1200">
        <v>-135.155</v>
      </c>
      <c r="H50" s="1200">
        <v>-154.39099999999999</v>
      </c>
      <c r="I50" s="1200">
        <v>-159.32599999999999</v>
      </c>
      <c r="J50" s="1200">
        <v>-172.07900000000001</v>
      </c>
      <c r="K50" s="1200">
        <v>-200.02699999999999</v>
      </c>
      <c r="L50" s="1200">
        <v>-228.37900000000002</v>
      </c>
      <c r="M50" s="1200">
        <v>-257.88499999999999</v>
      </c>
      <c r="N50" s="1200">
        <v>-265.12799999999999</v>
      </c>
      <c r="O50" s="1200">
        <v>-271.05899999999997</v>
      </c>
      <c r="P50" s="1195">
        <v>-289.79159237014039</v>
      </c>
      <c r="Q50" s="1195">
        <v>-309.79583376342021</v>
      </c>
      <c r="R50" s="1195">
        <v>-327.59749328763456</v>
      </c>
      <c r="S50" s="1195">
        <v>-347.73639496488551</v>
      </c>
      <c r="T50" s="1195">
        <v>-366.9021774952613</v>
      </c>
      <c r="U50" s="1195">
        <v>-387.12758316634699</v>
      </c>
      <c r="V50" s="1195">
        <v>-408.4663075705401</v>
      </c>
      <c r="W50" s="1195">
        <v>-430.97882965383189</v>
      </c>
      <c r="X50" s="1250"/>
      <c r="Y50" s="731"/>
      <c r="Z50" s="731"/>
      <c r="AA50" s="731"/>
      <c r="AB50" s="731"/>
      <c r="AC50" s="1403"/>
      <c r="AD50" s="1403"/>
      <c r="AE50" s="1525"/>
      <c r="AF50" s="1523"/>
      <c r="AG50" s="1408"/>
      <c r="AH50" s="165"/>
      <c r="AI50" s="165"/>
      <c r="AJ50" s="43"/>
      <c r="AK50" s="174"/>
      <c r="AL50" s="43"/>
    </row>
    <row r="51" spans="1:38" ht="12.75" hidden="1" customHeight="1" outlineLevel="1">
      <c r="A51" s="1202" t="s">
        <v>169</v>
      </c>
      <c r="B51" s="1257">
        <v>-57.6</v>
      </c>
      <c r="C51" s="1257">
        <v>-54.4</v>
      </c>
      <c r="D51" s="1257">
        <v>-39.162999999999997</v>
      </c>
      <c r="E51" s="1257">
        <v>-54.848999999999997</v>
      </c>
      <c r="F51" s="1200">
        <v>-42.623999999999995</v>
      </c>
      <c r="G51" s="1200">
        <v>-34.978999999999999</v>
      </c>
      <c r="H51" s="1200">
        <v>-61.453000000000003</v>
      </c>
      <c r="I51" s="1200">
        <v>-58.196000000000005</v>
      </c>
      <c r="J51" s="1200">
        <v>-53.747999999999998</v>
      </c>
      <c r="K51" s="1200">
        <v>-72.466000000000008</v>
      </c>
      <c r="L51" s="1200">
        <v>-90.329000000000008</v>
      </c>
      <c r="M51" s="1200">
        <v>-94.218000000000004</v>
      </c>
      <c r="N51" s="1200">
        <v>-109.145</v>
      </c>
      <c r="O51" s="1200">
        <v>-121.62100000000001</v>
      </c>
      <c r="P51" s="1195">
        <v>-118.86382987014044</v>
      </c>
      <c r="Q51" s="1195">
        <v>-131.0489079009202</v>
      </c>
      <c r="R51" s="1195">
        <v>-140.64826505787212</v>
      </c>
      <c r="S51" s="1195">
        <v>-152.1829515518647</v>
      </c>
      <c r="T51" s="1195">
        <v>-162.69131324182854</v>
      </c>
      <c r="U51" s="1195">
        <v>-173.85239929300292</v>
      </c>
      <c r="V51" s="1195">
        <v>-185.70078105514887</v>
      </c>
      <c r="W51" s="1195">
        <v>-198.27691439221729</v>
      </c>
      <c r="X51" s="1250"/>
      <c r="Y51" s="731"/>
      <c r="Z51" s="731"/>
      <c r="AA51" s="731"/>
      <c r="AB51" s="731"/>
      <c r="AC51" s="1403"/>
      <c r="AD51" s="1403"/>
      <c r="AE51" s="1525"/>
      <c r="AF51" s="1523"/>
      <c r="AG51" s="1408"/>
      <c r="AH51" s="165"/>
      <c r="AI51" s="165"/>
      <c r="AJ51" s="43"/>
      <c r="AK51" s="174"/>
      <c r="AL51" s="43"/>
    </row>
    <row r="52" spans="1:38" ht="12.75" hidden="1" customHeight="1" outlineLevel="1">
      <c r="A52" s="1202" t="s">
        <v>170</v>
      </c>
      <c r="B52" s="1257">
        <v>-72.7</v>
      </c>
      <c r="C52" s="1257">
        <v>-75.400000000000006</v>
      </c>
      <c r="D52" s="1257">
        <v>-68.847999999999999</v>
      </c>
      <c r="E52" s="1257">
        <v>-74.912000000000006</v>
      </c>
      <c r="F52" s="1200">
        <v>-91.222999999999985</v>
      </c>
      <c r="G52" s="1200">
        <v>-100.17599999999999</v>
      </c>
      <c r="H52" s="1200">
        <v>-92.937999999999988</v>
      </c>
      <c r="I52" s="1200">
        <v>-101.13</v>
      </c>
      <c r="J52" s="1200">
        <v>-118.331</v>
      </c>
      <c r="K52" s="1200">
        <v>-127.56100000000001</v>
      </c>
      <c r="L52" s="1200">
        <v>-138.05000000000001</v>
      </c>
      <c r="M52" s="1200">
        <v>-163.66700000000003</v>
      </c>
      <c r="N52" s="1200">
        <v>-155.983</v>
      </c>
      <c r="O52" s="1200">
        <v>-164.23899999999998</v>
      </c>
      <c r="P52" s="1195">
        <v>-170.92776249999994</v>
      </c>
      <c r="Q52" s="1195">
        <v>-178.74692586249998</v>
      </c>
      <c r="R52" s="1195">
        <v>-186.94922822976244</v>
      </c>
      <c r="S52" s="1195">
        <v>-195.5534434130208</v>
      </c>
      <c r="T52" s="1195">
        <v>-204.21086425343273</v>
      </c>
      <c r="U52" s="1195">
        <v>-213.27518387334408</v>
      </c>
      <c r="V52" s="1195">
        <v>-222.76552651539123</v>
      </c>
      <c r="W52" s="1195">
        <v>-232.7019152616146</v>
      </c>
      <c r="X52" s="1250"/>
      <c r="Y52" s="731"/>
      <c r="Z52" s="731"/>
      <c r="AA52" s="731"/>
      <c r="AB52" s="731"/>
      <c r="AC52" s="1403"/>
      <c r="AD52" s="1403"/>
      <c r="AE52" s="1525"/>
      <c r="AF52" s="1523"/>
      <c r="AG52" s="1408"/>
      <c r="AH52" s="165"/>
      <c r="AI52" s="165"/>
      <c r="AJ52" s="43"/>
      <c r="AK52" s="174"/>
      <c r="AL52" s="43"/>
    </row>
    <row r="53" spans="1:38" collapsed="1">
      <c r="A53" s="1141" t="s">
        <v>175</v>
      </c>
      <c r="B53" s="1257">
        <v>0</v>
      </c>
      <c r="C53" s="1257">
        <v>0</v>
      </c>
      <c r="D53" s="1257">
        <v>-6.28</v>
      </c>
      <c r="E53" s="1200">
        <v>-8.2789999999999999</v>
      </c>
      <c r="F53" s="1200">
        <v>-8.1720000000000006</v>
      </c>
      <c r="G53" s="1200">
        <v>-8.4719999999999995</v>
      </c>
      <c r="H53" s="1200">
        <v>-5.6750000000000007</v>
      </c>
      <c r="I53" s="1200">
        <v>0</v>
      </c>
      <c r="J53" s="1200">
        <v>-0.45099999999999973</v>
      </c>
      <c r="K53" s="1200">
        <v>-3.6150000000000011</v>
      </c>
      <c r="L53" s="1200">
        <v>0.8600000000000001</v>
      </c>
      <c r="M53" s="1200">
        <v>0.54499999999999993</v>
      </c>
      <c r="N53" s="1200">
        <v>0.45599999999999996</v>
      </c>
      <c r="O53" s="1200">
        <v>0.62600000000000011</v>
      </c>
      <c r="P53" s="1238">
        <v>0.62600000000000011</v>
      </c>
      <c r="Q53" s="1238">
        <v>0.62600000000000011</v>
      </c>
      <c r="R53" s="1238">
        <v>0.62600000000000011</v>
      </c>
      <c r="S53" s="1238">
        <v>0.62600000000000011</v>
      </c>
      <c r="T53" s="1238">
        <v>0.62600000000000011</v>
      </c>
      <c r="U53" s="1238">
        <v>0.62600000000000011</v>
      </c>
      <c r="V53" s="1238">
        <v>0.62600000000000011</v>
      </c>
      <c r="W53" s="1238">
        <v>0.62600000000000011</v>
      </c>
      <c r="X53" s="1250"/>
      <c r="Y53" s="731"/>
      <c r="Z53" s="731"/>
      <c r="AA53" s="731"/>
      <c r="AB53" s="731"/>
      <c r="AC53" s="1403"/>
      <c r="AD53" s="1403"/>
      <c r="AE53" s="1181"/>
      <c r="AF53" s="1523"/>
      <c r="AG53" s="1408"/>
      <c r="AH53" s="165"/>
      <c r="AI53" s="165"/>
      <c r="AJ53" s="43"/>
      <c r="AK53" s="174"/>
      <c r="AL53" s="43"/>
    </row>
    <row r="54" spans="1:38">
      <c r="A54" s="1141" t="s">
        <v>821</v>
      </c>
      <c r="B54" s="1257">
        <v>0</v>
      </c>
      <c r="C54" s="1257">
        <v>0</v>
      </c>
      <c r="D54" s="1257">
        <v>0.91500000000000004</v>
      </c>
      <c r="E54" s="1257">
        <v>-1.5269999999999999</v>
      </c>
      <c r="F54" s="1200">
        <v>-9.6590000000000025</v>
      </c>
      <c r="G54" s="1200">
        <v>46.898000000000003</v>
      </c>
      <c r="H54" s="1200">
        <v>5.8550000000000004</v>
      </c>
      <c r="I54" s="1200">
        <v>-4.2439999999999998</v>
      </c>
      <c r="J54" s="1200">
        <v>26.985999999999997</v>
      </c>
      <c r="K54" s="1200">
        <v>0.19200000000000017</v>
      </c>
      <c r="L54" s="1200">
        <v>-3.5000000000000142E-2</v>
      </c>
      <c r="M54" s="1200">
        <v>107.91999999999999</v>
      </c>
      <c r="N54" s="1200">
        <v>10.727</v>
      </c>
      <c r="O54" s="1200">
        <v>148.071</v>
      </c>
      <c r="P54" s="1195">
        <v>-0.35899999999999999</v>
      </c>
      <c r="Q54" s="1195">
        <v>0</v>
      </c>
      <c r="R54" s="1195">
        <v>0</v>
      </c>
      <c r="S54" s="1195">
        <v>0</v>
      </c>
      <c r="T54" s="1195">
        <v>0</v>
      </c>
      <c r="U54" s="1195">
        <v>0</v>
      </c>
      <c r="V54" s="1195">
        <v>0</v>
      </c>
      <c r="W54" s="1195">
        <v>0</v>
      </c>
      <c r="X54" s="1250"/>
      <c r="Y54" s="731"/>
      <c r="Z54" s="731"/>
      <c r="AA54" s="731"/>
      <c r="AB54" s="731"/>
      <c r="AC54" s="1403"/>
      <c r="AD54" s="1403"/>
      <c r="AE54" s="1181"/>
      <c r="AF54" s="1523"/>
      <c r="AG54" s="1408"/>
      <c r="AH54" s="165"/>
      <c r="AI54" s="165"/>
      <c r="AJ54" s="43"/>
      <c r="AK54" s="174"/>
      <c r="AL54" s="43"/>
    </row>
    <row r="55" spans="1:38">
      <c r="A55" s="1120" t="s">
        <v>681</v>
      </c>
      <c r="B55" s="1187">
        <v>91.93199999999996</v>
      </c>
      <c r="C55" s="1187">
        <v>163.10999999999996</v>
      </c>
      <c r="D55" s="1187">
        <v>322.19099999999997</v>
      </c>
      <c r="E55" s="1187">
        <v>390.47699999999986</v>
      </c>
      <c r="F55" s="1187">
        <v>132.607</v>
      </c>
      <c r="G55" s="1187">
        <v>189.792</v>
      </c>
      <c r="H55" s="1187">
        <v>452.37299999999999</v>
      </c>
      <c r="I55" s="1187">
        <v>612.58199999999999</v>
      </c>
      <c r="J55" s="1187">
        <v>533.01900000000001</v>
      </c>
      <c r="K55" s="1187">
        <v>651.82099999999991</v>
      </c>
      <c r="L55" s="1187">
        <v>766.2399999999999</v>
      </c>
      <c r="M55" s="1187">
        <v>1091.5249999999999</v>
      </c>
      <c r="N55" s="1187">
        <v>1302.2130000000002</v>
      </c>
      <c r="O55" s="1187">
        <v>1445.088</v>
      </c>
      <c r="P55" s="1188">
        <v>1553.182129576574</v>
      </c>
      <c r="Q55" s="1188">
        <v>1328.9423530676906</v>
      </c>
      <c r="R55" s="1188">
        <v>1631.3861488187895</v>
      </c>
      <c r="S55" s="1188">
        <v>1914.5922466331567</v>
      </c>
      <c r="T55" s="1188">
        <v>1788.361528614309</v>
      </c>
      <c r="U55" s="1188">
        <v>1612.6758441749128</v>
      </c>
      <c r="V55" s="1188">
        <v>1705.1208251869857</v>
      </c>
      <c r="W55" s="1188">
        <v>2004.8780218993866</v>
      </c>
      <c r="X55" s="1250"/>
      <c r="Y55" s="731"/>
      <c r="Z55" s="731"/>
      <c r="AA55" s="731"/>
      <c r="AB55" s="731"/>
      <c r="AC55" s="1188"/>
      <c r="AD55" s="1188"/>
      <c r="AE55" s="1527"/>
      <c r="AF55" s="1523"/>
      <c r="AG55" s="1408"/>
      <c r="AH55" s="165"/>
      <c r="AI55" s="165"/>
      <c r="AJ55" s="43"/>
      <c r="AK55" s="174"/>
      <c r="AL55" s="43"/>
    </row>
    <row r="56" spans="1:38">
      <c r="A56" s="1552" t="s">
        <v>54</v>
      </c>
      <c r="B56" s="1187"/>
      <c r="C56" s="1187"/>
      <c r="D56" s="1717" t="s">
        <v>972</v>
      </c>
      <c r="E56" s="1717" t="s">
        <v>972</v>
      </c>
      <c r="F56" s="2251" t="s">
        <v>972</v>
      </c>
      <c r="G56" s="2251" t="s">
        <v>972</v>
      </c>
      <c r="H56" s="2251" t="s">
        <v>972</v>
      </c>
      <c r="I56" s="1200">
        <v>355.96600000000001</v>
      </c>
      <c r="J56" s="1200">
        <v>342.75</v>
      </c>
      <c r="K56" s="1200">
        <v>439.67700000000002</v>
      </c>
      <c r="L56" s="1200">
        <v>351.82900000000001</v>
      </c>
      <c r="M56" s="1200">
        <v>480.26499999999999</v>
      </c>
      <c r="N56" s="1200">
        <v>520.21900000000005</v>
      </c>
      <c r="O56" s="1200">
        <v>782.11199999999997</v>
      </c>
      <c r="P56" s="1173">
        <v>1000.6398744803656</v>
      </c>
      <c r="Q56" s="1173">
        <v>529.85632328581437</v>
      </c>
      <c r="R56" s="1173">
        <v>759.5717480778103</v>
      </c>
      <c r="S56" s="1173">
        <v>1032.0883674915622</v>
      </c>
      <c r="T56" s="1173">
        <v>827.9438937211612</v>
      </c>
      <c r="U56" s="1173">
        <v>547.48482727491796</v>
      </c>
      <c r="V56" s="1173">
        <v>632.39001162862223</v>
      </c>
      <c r="W56" s="1173">
        <v>725.9859182244362</v>
      </c>
      <c r="X56" s="1250"/>
      <c r="Y56" s="731"/>
      <c r="Z56" s="731"/>
      <c r="AA56" s="731"/>
      <c r="AB56" s="731"/>
      <c r="AC56" s="1188"/>
      <c r="AD56" s="1188"/>
      <c r="AE56" s="1181"/>
      <c r="AF56" s="1523"/>
      <c r="AG56" s="1408"/>
      <c r="AH56" s="165"/>
      <c r="AI56" s="165"/>
      <c r="AJ56" s="43"/>
      <c r="AK56" s="174"/>
      <c r="AL56" s="43"/>
    </row>
    <row r="57" spans="1:38">
      <c r="A57" s="1552" t="s">
        <v>42</v>
      </c>
      <c r="B57" s="1187"/>
      <c r="C57" s="1187"/>
      <c r="D57" s="1717" t="s">
        <v>972</v>
      </c>
      <c r="E57" s="1717" t="s">
        <v>972</v>
      </c>
      <c r="F57" s="2251" t="s">
        <v>972</v>
      </c>
      <c r="G57" s="2251" t="s">
        <v>972</v>
      </c>
      <c r="H57" s="2251" t="s">
        <v>972</v>
      </c>
      <c r="I57" s="1200">
        <v>239.49799999999999</v>
      </c>
      <c r="J57" s="1200">
        <v>171.54599999999999</v>
      </c>
      <c r="K57" s="1200">
        <v>176.023</v>
      </c>
      <c r="L57" s="1200">
        <v>325.45699999999999</v>
      </c>
      <c r="M57" s="1200">
        <v>395.53</v>
      </c>
      <c r="N57" s="1200">
        <v>613.322</v>
      </c>
      <c r="O57" s="1200">
        <v>534.37699999999995</v>
      </c>
      <c r="P57" s="1173">
        <v>512.08906250957091</v>
      </c>
      <c r="Q57" s="1173">
        <v>665.18481723644686</v>
      </c>
      <c r="R57" s="1173">
        <v>723.76901998418998</v>
      </c>
      <c r="S57" s="1173">
        <v>721.04891299854967</v>
      </c>
      <c r="T57" s="1173">
        <v>786.1030727919341</v>
      </c>
      <c r="U57" s="1173">
        <v>879.44616193143111</v>
      </c>
      <c r="V57" s="1173">
        <v>877.42670010902384</v>
      </c>
      <c r="W57" s="1173">
        <v>1076.255063513888</v>
      </c>
      <c r="X57" s="1250"/>
      <c r="Y57" s="731"/>
      <c r="Z57" s="731"/>
      <c r="AA57" s="731"/>
      <c r="AB57" s="731"/>
      <c r="AC57" s="1188"/>
      <c r="AD57" s="1188"/>
      <c r="AE57" s="1181"/>
      <c r="AF57" s="1523"/>
      <c r="AG57" s="1408"/>
      <c r="AH57" s="165"/>
      <c r="AI57" s="165"/>
      <c r="AJ57" s="43"/>
      <c r="AK57" s="174"/>
      <c r="AL57" s="43"/>
    </row>
    <row r="58" spans="1:38">
      <c r="A58" s="1552" t="s">
        <v>1052</v>
      </c>
      <c r="B58" s="1187"/>
      <c r="C58" s="1187"/>
      <c r="D58" s="1127" t="s">
        <v>972</v>
      </c>
      <c r="E58" s="1127" t="s">
        <v>972</v>
      </c>
      <c r="F58" s="1127" t="s">
        <v>972</v>
      </c>
      <c r="G58" s="1127" t="s">
        <v>972</v>
      </c>
      <c r="H58" s="1127" t="s">
        <v>972</v>
      </c>
      <c r="I58" s="1127" t="s">
        <v>972</v>
      </c>
      <c r="J58" s="1127" t="s">
        <v>972</v>
      </c>
      <c r="K58" s="1127">
        <v>26.98</v>
      </c>
      <c r="L58" s="1127">
        <v>65.593000000000004</v>
      </c>
      <c r="M58" s="1127">
        <v>174.95099999999999</v>
      </c>
      <c r="N58" s="1127">
        <v>123.425</v>
      </c>
      <c r="O58" s="1127">
        <v>84.957999999999998</v>
      </c>
      <c r="P58" s="1173">
        <v>116.30570988084132</v>
      </c>
      <c r="Q58" s="1173">
        <v>113.97239063357148</v>
      </c>
      <c r="R58" s="1173">
        <v>117.94555963609682</v>
      </c>
      <c r="S58" s="1173">
        <v>124.40304043074113</v>
      </c>
      <c r="T58" s="1173">
        <v>131.03872170777009</v>
      </c>
      <c r="U58" s="1173">
        <v>138.03462417290928</v>
      </c>
      <c r="V58" s="1173">
        <v>145.4113626276278</v>
      </c>
      <c r="W58" s="1173">
        <v>153.19068383919128</v>
      </c>
      <c r="X58" s="1250"/>
      <c r="Y58" s="731"/>
      <c r="Z58" s="731"/>
      <c r="AA58" s="731"/>
      <c r="AB58" s="731"/>
      <c r="AC58" s="1188"/>
      <c r="AD58" s="1188"/>
      <c r="AE58" s="1181"/>
      <c r="AF58" s="1523"/>
      <c r="AG58" s="1408"/>
      <c r="AH58" s="165"/>
      <c r="AI58" s="165"/>
      <c r="AJ58" s="43"/>
      <c r="AK58" s="174"/>
      <c r="AL58" s="43"/>
    </row>
    <row r="59" spans="1:38">
      <c r="A59" s="1552" t="s">
        <v>222</v>
      </c>
      <c r="B59" s="1187"/>
      <c r="C59" s="1187"/>
      <c r="D59" s="1127" t="s">
        <v>972</v>
      </c>
      <c r="E59" s="1127" t="s">
        <v>972</v>
      </c>
      <c r="F59" s="1127" t="s">
        <v>972</v>
      </c>
      <c r="G59" s="1127" t="s">
        <v>972</v>
      </c>
      <c r="H59" s="1127" t="s">
        <v>972</v>
      </c>
      <c r="I59" s="1127" t="s">
        <v>972</v>
      </c>
      <c r="J59" s="1127" t="s">
        <v>972</v>
      </c>
      <c r="K59" s="1127">
        <v>7.4219999999999997</v>
      </c>
      <c r="L59" s="1127">
        <v>23.722000000000001</v>
      </c>
      <c r="M59" s="1127">
        <v>40.847000000000001</v>
      </c>
      <c r="N59" s="1127">
        <v>44.274000000000001</v>
      </c>
      <c r="O59" s="1127">
        <v>43.637</v>
      </c>
      <c r="P59" s="1173">
        <v>-75.16251729420469</v>
      </c>
      <c r="Q59" s="1173">
        <v>20.61882191185768</v>
      </c>
      <c r="R59" s="1173">
        <v>30.789821120691983</v>
      </c>
      <c r="S59" s="1173">
        <v>37.741925712303242</v>
      </c>
      <c r="T59" s="1173">
        <v>43.965840393443244</v>
      </c>
      <c r="U59" s="1173">
        <v>48.400230795653869</v>
      </c>
      <c r="V59" s="1173">
        <v>50.582750821712153</v>
      </c>
      <c r="W59" s="1173">
        <v>50.136356321870807</v>
      </c>
      <c r="X59" s="1250"/>
      <c r="Y59" s="731"/>
      <c r="Z59" s="731"/>
      <c r="AA59" s="731"/>
      <c r="AB59" s="731"/>
      <c r="AC59" s="1188"/>
      <c r="AD59" s="1188"/>
      <c r="AE59" s="1181"/>
      <c r="AF59" s="1523"/>
      <c r="AG59" s="1408"/>
      <c r="AH59" s="165"/>
      <c r="AI59" s="165"/>
      <c r="AJ59" s="43"/>
      <c r="AK59" s="174"/>
      <c r="AL59" s="43"/>
    </row>
    <row r="60" spans="1:38">
      <c r="A60" s="1196" t="s">
        <v>1715</v>
      </c>
      <c r="B60" s="1203">
        <v>0.17747490347490338</v>
      </c>
      <c r="C60" s="1203">
        <v>0.25163529774760873</v>
      </c>
      <c r="D60" s="1203">
        <v>0.39874038083121499</v>
      </c>
      <c r="E60" s="1203">
        <v>0.4724253118735155</v>
      </c>
      <c r="F60" s="1203">
        <v>0.18613598719856261</v>
      </c>
      <c r="G60" s="1203">
        <v>0.24506903671412875</v>
      </c>
      <c r="H60" s="1203">
        <v>0.38230233434689503</v>
      </c>
      <c r="I60" s="1203">
        <v>0.47302606584568063</v>
      </c>
      <c r="J60" s="1203">
        <v>0.38992165268217033</v>
      </c>
      <c r="K60" s="1203">
        <v>0.3984345535176701</v>
      </c>
      <c r="L60" s="1203">
        <v>0.38862092925358444</v>
      </c>
      <c r="M60" s="1203">
        <v>0.46944040888333799</v>
      </c>
      <c r="N60" s="1203">
        <v>0.47745949499501178</v>
      </c>
      <c r="O60" s="1203">
        <v>0.48123369483049949</v>
      </c>
      <c r="P60" s="1204">
        <v>0.46428058297778629</v>
      </c>
      <c r="Q60" s="1204">
        <v>0.41357796231572791</v>
      </c>
      <c r="R60" s="1204">
        <v>0.43451715590672096</v>
      </c>
      <c r="S60" s="1204">
        <v>0.44397175579106696</v>
      </c>
      <c r="T60" s="1204">
        <v>0.42193487923437417</v>
      </c>
      <c r="U60" s="1204">
        <v>0.39635313244266696</v>
      </c>
      <c r="V60" s="1204">
        <v>0.39128566941444687</v>
      </c>
      <c r="W60" s="1204">
        <v>0.43063448152607492</v>
      </c>
      <c r="X60" s="1250"/>
      <c r="Y60" s="731"/>
      <c r="Z60" s="731"/>
      <c r="AA60" s="731"/>
      <c r="AB60" s="731"/>
      <c r="AC60" s="1204"/>
      <c r="AD60" s="1204"/>
      <c r="AE60" s="1181"/>
      <c r="AF60" s="1523"/>
      <c r="AG60" s="1408"/>
      <c r="AH60" s="165"/>
      <c r="AI60" s="165"/>
      <c r="AJ60" s="43"/>
      <c r="AK60" s="174"/>
      <c r="AL60" s="43"/>
    </row>
    <row r="61" spans="1:38">
      <c r="A61" s="1120" t="s">
        <v>219</v>
      </c>
      <c r="B61" s="1187">
        <v>91.93199999999996</v>
      </c>
      <c r="C61" s="1187">
        <v>163.10999999999996</v>
      </c>
      <c r="D61" s="1187">
        <v>322.19099999999997</v>
      </c>
      <c r="E61" s="1187">
        <v>390.47699999999986</v>
      </c>
      <c r="F61" s="1187">
        <v>128.3730000000001</v>
      </c>
      <c r="G61" s="1187">
        <v>243.17899999999995</v>
      </c>
      <c r="H61" s="1187">
        <v>401.32199999999978</v>
      </c>
      <c r="I61" s="1187">
        <v>566.1239999999998</v>
      </c>
      <c r="J61" s="1187">
        <v>582.6350000000001</v>
      </c>
      <c r="K61" s="1187">
        <v>651.75999999999976</v>
      </c>
      <c r="L61" s="1187">
        <v>751.20299999999997</v>
      </c>
      <c r="M61" s="1187">
        <v>1131.7149999999997</v>
      </c>
      <c r="N61" s="1187">
        <v>1235.8139999999999</v>
      </c>
      <c r="O61" s="1187">
        <v>1444.3980000000001</v>
      </c>
      <c r="P61" s="1188">
        <v>1553.182129576574</v>
      </c>
      <c r="Q61" s="1188">
        <v>1328.9423530676906</v>
      </c>
      <c r="R61" s="1188">
        <v>1631.3861488187895</v>
      </c>
      <c r="S61" s="1188">
        <v>1914.5922466331567</v>
      </c>
      <c r="T61" s="1188">
        <v>1788.361528614309</v>
      </c>
      <c r="U61" s="1188">
        <v>1612.6758441749128</v>
      </c>
      <c r="V61" s="1188">
        <v>1705.1208251869857</v>
      </c>
      <c r="W61" s="1188">
        <v>2004.8780218993866</v>
      </c>
      <c r="X61" s="1524"/>
      <c r="Y61" s="1215">
        <v>0.2007601680293043</v>
      </c>
      <c r="Z61" s="1215">
        <v>2.4866252912602027E-2</v>
      </c>
      <c r="AA61" s="1215">
        <v>9.2583050060583982E-3</v>
      </c>
      <c r="AB61" s="731"/>
      <c r="AC61" s="1188"/>
      <c r="AD61" s="1188"/>
      <c r="AE61" s="1528"/>
      <c r="AF61" s="1523"/>
      <c r="AG61" s="1408"/>
      <c r="AH61" s="19"/>
      <c r="AI61" s="19"/>
      <c r="AJ61" s="43"/>
      <c r="AK61" s="174"/>
      <c r="AL61" s="43"/>
    </row>
    <row r="62" spans="1:38">
      <c r="A62" s="1196" t="s">
        <v>1025</v>
      </c>
      <c r="B62" s="1197">
        <v>0.17747490347490338</v>
      </c>
      <c r="C62" s="1197">
        <v>0.25163529774760873</v>
      </c>
      <c r="D62" s="1197">
        <v>0.39874038083121499</v>
      </c>
      <c r="E62" s="1197">
        <v>0.4724253118735155</v>
      </c>
      <c r="F62" s="1197">
        <v>0.18019286376014162</v>
      </c>
      <c r="G62" s="1197">
        <v>0.31400503329489704</v>
      </c>
      <c r="H62" s="1197">
        <v>0.33915891846941471</v>
      </c>
      <c r="I62" s="1197">
        <v>0.43715193802759467</v>
      </c>
      <c r="J62" s="1197">
        <v>0.42621745587019666</v>
      </c>
      <c r="K62" s="1197">
        <v>0.39839726642847745</v>
      </c>
      <c r="L62" s="1197">
        <v>0.38099447681937826</v>
      </c>
      <c r="M62" s="1197">
        <v>0.48672522602726165</v>
      </c>
      <c r="N62" s="1197">
        <v>0.45311414365220232</v>
      </c>
      <c r="O62" s="1197">
        <v>0.48100391557177408</v>
      </c>
      <c r="P62" s="1198">
        <v>0.46428058297778629</v>
      </c>
      <c r="Q62" s="1198">
        <v>0.41357796231572791</v>
      </c>
      <c r="R62" s="1198">
        <v>0.43451715590672096</v>
      </c>
      <c r="S62" s="1198">
        <v>0.44397175579106696</v>
      </c>
      <c r="T62" s="1198">
        <v>0.42193487923437417</v>
      </c>
      <c r="U62" s="1198">
        <v>0.39635313244266696</v>
      </c>
      <c r="V62" s="1198">
        <v>0.39128566941444687</v>
      </c>
      <c r="W62" s="1198">
        <v>0.43063448152607492</v>
      </c>
      <c r="X62" s="1250"/>
      <c r="Y62" s="731"/>
      <c r="Z62" s="731"/>
      <c r="AA62" s="731"/>
      <c r="AB62" s="731"/>
      <c r="AC62" s="1198"/>
      <c r="AD62" s="1198"/>
      <c r="AE62" s="1181"/>
      <c r="AF62" s="1523"/>
      <c r="AG62" s="1408"/>
      <c r="AH62" s="13"/>
      <c r="AI62" s="13"/>
      <c r="AJ62" s="43"/>
      <c r="AK62" s="174"/>
      <c r="AL62" s="43"/>
    </row>
    <row r="63" spans="1:38" hidden="1" outlineLevel="1">
      <c r="A63" s="1552" t="s">
        <v>54</v>
      </c>
      <c r="B63" s="1197"/>
      <c r="C63" s="1197"/>
      <c r="D63" s="1197"/>
      <c r="E63" s="1197"/>
      <c r="F63" s="1197"/>
      <c r="G63" s="1197"/>
      <c r="H63" s="1197"/>
      <c r="I63" s="1197">
        <v>0.50694769822337737</v>
      </c>
      <c r="J63" s="1197">
        <v>0.4470533607586929</v>
      </c>
      <c r="K63" s="1197">
        <v>0.46265912960394645</v>
      </c>
      <c r="L63" s="1197">
        <v>0.39787328362023539</v>
      </c>
      <c r="M63" s="1197">
        <v>0.44095516950420838</v>
      </c>
      <c r="N63" s="1197">
        <v>0.41328879108307581</v>
      </c>
      <c r="O63" s="1197">
        <v>0.47555498805202379</v>
      </c>
      <c r="P63" s="1198">
        <v>0.5471191164775504</v>
      </c>
      <c r="Q63" s="1198">
        <v>0.37353285561711069</v>
      </c>
      <c r="R63" s="1198">
        <v>0.43092292103550833</v>
      </c>
      <c r="S63" s="1198">
        <v>0.47630406642537537</v>
      </c>
      <c r="T63" s="1198">
        <v>0.41649379979363688</v>
      </c>
      <c r="U63" s="1198">
        <v>0.3200142111618462</v>
      </c>
      <c r="V63" s="1198">
        <v>0.33452771834935335</v>
      </c>
      <c r="W63" s="1198">
        <v>0.36584137302937492</v>
      </c>
      <c r="X63" s="1250"/>
      <c r="Y63" s="731"/>
      <c r="Z63" s="731"/>
      <c r="AA63" s="731"/>
      <c r="AB63" s="731"/>
      <c r="AC63" s="1198"/>
      <c r="AD63" s="1198"/>
      <c r="AE63" s="1181"/>
      <c r="AF63" s="1523"/>
      <c r="AG63" s="1408"/>
      <c r="AH63" s="13"/>
      <c r="AI63" s="13"/>
      <c r="AJ63" s="43"/>
      <c r="AK63" s="174"/>
      <c r="AL63" s="43"/>
    </row>
    <row r="64" spans="1:38" hidden="1" outlineLevel="1">
      <c r="A64" s="1552" t="s">
        <v>42</v>
      </c>
      <c r="B64" s="1197"/>
      <c r="C64" s="1197"/>
      <c r="D64" s="1197"/>
      <c r="E64" s="1197"/>
      <c r="F64" s="1197"/>
      <c r="G64" s="1197"/>
      <c r="H64" s="1197"/>
      <c r="I64" s="1197">
        <v>0.45972523749469718</v>
      </c>
      <c r="J64" s="1197">
        <v>0.3396479695883739</v>
      </c>
      <c r="K64" s="1197">
        <v>0.32228846174972448</v>
      </c>
      <c r="L64" s="1197">
        <v>0.38692691881069935</v>
      </c>
      <c r="M64" s="1197">
        <v>0.41096032741339056</v>
      </c>
      <c r="N64" s="1197">
        <v>0.47118376352693708</v>
      </c>
      <c r="O64" s="1197">
        <v>0.43133983438226714</v>
      </c>
      <c r="P64" s="1198">
        <v>0.38950240186436469</v>
      </c>
      <c r="Q64" s="1198">
        <v>0.43647658215127194</v>
      </c>
      <c r="R64" s="1198">
        <v>0.42575655877410307</v>
      </c>
      <c r="S64" s="1198">
        <v>0.39358347491504814</v>
      </c>
      <c r="T64" s="1198">
        <v>0.41029762887497345</v>
      </c>
      <c r="U64" s="1198">
        <v>0.4389101455066049</v>
      </c>
      <c r="V64" s="1198">
        <v>0.4187204110481238</v>
      </c>
      <c r="W64" s="1198">
        <v>0.47116554261830446</v>
      </c>
      <c r="X64" s="1250"/>
      <c r="Y64" s="731"/>
      <c r="Z64" s="731"/>
      <c r="AA64" s="731"/>
      <c r="AB64" s="731"/>
      <c r="AC64" s="1198"/>
      <c r="AD64" s="1198"/>
      <c r="AE64" s="1181"/>
      <c r="AF64" s="1523"/>
      <c r="AG64" s="1408"/>
      <c r="AH64" s="13"/>
      <c r="AI64" s="13"/>
      <c r="AJ64" s="43"/>
      <c r="AK64" s="174"/>
      <c r="AL64" s="43"/>
    </row>
    <row r="65" spans="1:38" hidden="1" outlineLevel="1">
      <c r="A65" s="1552" t="s">
        <v>1052</v>
      </c>
      <c r="B65" s="1197"/>
      <c r="C65" s="1197"/>
      <c r="D65" s="1197"/>
      <c r="E65" s="1197"/>
      <c r="F65" s="1197"/>
      <c r="G65" s="1197"/>
      <c r="H65" s="1197"/>
      <c r="I65" s="2252" t="s">
        <v>972</v>
      </c>
      <c r="J65" s="2252" t="s">
        <v>972</v>
      </c>
      <c r="K65" s="2253">
        <v>0.60754818951540257</v>
      </c>
      <c r="L65" s="2253">
        <v>0.84884759230261553</v>
      </c>
      <c r="M65" s="2253">
        <v>0.92510866461499408</v>
      </c>
      <c r="N65" s="2253">
        <v>0.66510214309193683</v>
      </c>
      <c r="O65" s="2253">
        <v>0.55860713135072226</v>
      </c>
      <c r="P65" s="1198">
        <v>0.71127264635255105</v>
      </c>
      <c r="Q65" s="1198">
        <v>0.71127264635255105</v>
      </c>
      <c r="R65" s="1198">
        <v>0.71127264635255105</v>
      </c>
      <c r="S65" s="1198">
        <v>0.71127264635255105</v>
      </c>
      <c r="T65" s="1198">
        <v>0.71127264635255105</v>
      </c>
      <c r="U65" s="1198">
        <v>0.71127264635255105</v>
      </c>
      <c r="V65" s="1198">
        <v>0.71127264635255105</v>
      </c>
      <c r="W65" s="1198">
        <v>0.71127264635255105</v>
      </c>
      <c r="X65" s="1250"/>
      <c r="Y65" s="731"/>
      <c r="Z65" s="731"/>
      <c r="AA65" s="731"/>
      <c r="AB65" s="731"/>
      <c r="AC65" s="1198"/>
      <c r="AD65" s="1198"/>
      <c r="AE65" s="1181"/>
      <c r="AF65" s="1523"/>
      <c r="AG65" s="1408"/>
      <c r="AH65" s="13"/>
      <c r="AI65" s="13"/>
      <c r="AJ65" s="43"/>
      <c r="AK65" s="174"/>
      <c r="AL65" s="43"/>
    </row>
    <row r="66" spans="1:38" hidden="1" outlineLevel="1">
      <c r="A66" s="1552" t="s">
        <v>222</v>
      </c>
      <c r="B66" s="1197"/>
      <c r="C66" s="1197"/>
      <c r="D66" s="1197"/>
      <c r="E66" s="1197"/>
      <c r="F66" s="1197"/>
      <c r="G66" s="1197"/>
      <c r="H66" s="1197"/>
      <c r="I66" s="2252" t="s">
        <v>972</v>
      </c>
      <c r="J66" s="2252" t="s">
        <v>972</v>
      </c>
      <c r="K66" s="2253">
        <v>7.808193237528141E-2</v>
      </c>
      <c r="L66" s="2253">
        <v>0.14079006718419868</v>
      </c>
      <c r="M66" s="2253">
        <v>0.37457129756992208</v>
      </c>
      <c r="N66" s="2253">
        <v>0.71468465996222708</v>
      </c>
      <c r="O66" s="2253">
        <v>0.66659028764340167</v>
      </c>
      <c r="P66" s="1198">
        <v>-1.0631184550136703</v>
      </c>
      <c r="Q66" s="1198">
        <v>0.24715089116505187</v>
      </c>
      <c r="R66" s="1198">
        <v>0.32374319441747273</v>
      </c>
      <c r="S66" s="1198">
        <v>0.36076537779016948</v>
      </c>
      <c r="T66" s="1198">
        <v>0.38733472835126048</v>
      </c>
      <c r="U66" s="1198">
        <v>0.40037678077344119</v>
      </c>
      <c r="V66" s="1198">
        <v>0.40041247903429633</v>
      </c>
      <c r="W66" s="1198">
        <v>0.38719885391309561</v>
      </c>
      <c r="X66" s="1250"/>
      <c r="Y66" s="731"/>
      <c r="Z66" s="731"/>
      <c r="AA66" s="731"/>
      <c r="AB66" s="731"/>
      <c r="AC66" s="1198"/>
      <c r="AD66" s="1198"/>
      <c r="AE66" s="1181"/>
      <c r="AF66" s="1523"/>
      <c r="AG66" s="1408"/>
      <c r="AH66" s="13"/>
      <c r="AI66" s="13"/>
      <c r="AJ66" s="43"/>
      <c r="AK66" s="174"/>
      <c r="AL66" s="43"/>
    </row>
    <row r="67" spans="1:38" collapsed="1">
      <c r="A67" s="1196" t="s">
        <v>382</v>
      </c>
      <c r="B67" s="1194">
        <v>-70.400000000000006</v>
      </c>
      <c r="C67" s="1194">
        <v>-77.599999999999994</v>
      </c>
      <c r="D67" s="1194">
        <v>-87.3</v>
      </c>
      <c r="E67" s="1194">
        <v>-140.09100000000001</v>
      </c>
      <c r="F67" s="1194">
        <v>-191.21400000000003</v>
      </c>
      <c r="G67" s="1194">
        <v>-202.506</v>
      </c>
      <c r="H67" s="1194">
        <v>-277.01599999999996</v>
      </c>
      <c r="I67" s="1194">
        <v>-330.35499999999996</v>
      </c>
      <c r="J67" s="1200">
        <v>-351.62699999999995</v>
      </c>
      <c r="K67" s="1200">
        <v>-452.95</v>
      </c>
      <c r="L67" s="1200">
        <v>-448.28499999999997</v>
      </c>
      <c r="M67" s="1200">
        <v>-599.029</v>
      </c>
      <c r="N67" s="1200">
        <v>-723.76099999999997</v>
      </c>
      <c r="O67" s="1200">
        <v>-737.91100000000006</v>
      </c>
      <c r="P67" s="1195">
        <v>-857.22633754327057</v>
      </c>
      <c r="Q67" s="1195">
        <v>-823.38394651244732</v>
      </c>
      <c r="R67" s="1195">
        <v>-962.06293778882491</v>
      </c>
      <c r="S67" s="1195">
        <v>-1105.0313401873655</v>
      </c>
      <c r="T67" s="1195">
        <v>-1086.0842927565102</v>
      </c>
      <c r="U67" s="1195">
        <v>-1042.6016980830461</v>
      </c>
      <c r="V67" s="1195">
        <v>-1116.6443121952377</v>
      </c>
      <c r="W67" s="1195">
        <v>-1192.9789907203201</v>
      </c>
      <c r="X67" s="1250"/>
      <c r="Y67" s="731"/>
      <c r="Z67" s="731"/>
      <c r="AA67" s="731"/>
      <c r="AB67" s="731"/>
      <c r="AC67" s="1403"/>
      <c r="AD67" s="1403"/>
      <c r="AE67" s="1525"/>
      <c r="AF67" s="1523"/>
      <c r="AG67" s="1408"/>
      <c r="AH67" s="165"/>
      <c r="AI67" s="165"/>
      <c r="AJ67" s="43"/>
      <c r="AK67" s="174"/>
      <c r="AL67" s="43"/>
    </row>
    <row r="68" spans="1:38">
      <c r="A68" s="1120" t="s">
        <v>220</v>
      </c>
      <c r="B68" s="1187">
        <v>21.531999999999954</v>
      </c>
      <c r="C68" s="1187">
        <v>85.509999999999962</v>
      </c>
      <c r="D68" s="1187">
        <v>234.89099999999996</v>
      </c>
      <c r="E68" s="1187">
        <v>250.38599999999985</v>
      </c>
      <c r="F68" s="1187">
        <v>-62.840999999999923</v>
      </c>
      <c r="G68" s="1187">
        <v>40.672999999999945</v>
      </c>
      <c r="H68" s="1187">
        <v>124.30599999999981</v>
      </c>
      <c r="I68" s="1187">
        <v>235.76899999999983</v>
      </c>
      <c r="J68" s="1187">
        <v>231.00800000000015</v>
      </c>
      <c r="K68" s="1187">
        <v>198.80999999999977</v>
      </c>
      <c r="L68" s="1187">
        <v>302.91800000000001</v>
      </c>
      <c r="M68" s="1187">
        <v>532.68599999999969</v>
      </c>
      <c r="N68" s="1187">
        <v>512.05299999999988</v>
      </c>
      <c r="O68" s="1187">
        <v>706.48700000000008</v>
      </c>
      <c r="P68" s="1188">
        <v>695.9557920333034</v>
      </c>
      <c r="Q68" s="1188">
        <v>505.55840655524332</v>
      </c>
      <c r="R68" s="1188">
        <v>669.32321102996457</v>
      </c>
      <c r="S68" s="1188">
        <v>809.56090644579126</v>
      </c>
      <c r="T68" s="1188">
        <v>702.27723585779881</v>
      </c>
      <c r="U68" s="1188">
        <v>570.07414609186662</v>
      </c>
      <c r="V68" s="1188">
        <v>588.476512991748</v>
      </c>
      <c r="W68" s="1188">
        <v>811.89903117906647</v>
      </c>
      <c r="X68" s="1524"/>
      <c r="Y68" s="1215">
        <v>0.28174527803290172</v>
      </c>
      <c r="Z68" s="1215">
        <v>-1.9320456644307704E-2</v>
      </c>
      <c r="AA68" s="1215">
        <v>5.7696172182719607E-4</v>
      </c>
      <c r="AB68" s="731"/>
      <c r="AC68" s="1188"/>
      <c r="AD68" s="1188"/>
      <c r="AE68" s="1525"/>
      <c r="AF68" s="1523"/>
      <c r="AG68" s="1408"/>
      <c r="AH68" s="19"/>
      <c r="AI68" s="19"/>
      <c r="AJ68" s="43"/>
      <c r="AK68" s="174"/>
      <c r="AL68" s="43"/>
    </row>
    <row r="69" spans="1:38" s="946" customFormat="1">
      <c r="A69" s="1189" t="s">
        <v>215</v>
      </c>
      <c r="B69" s="1190"/>
      <c r="C69" s="1205">
        <v>2.9712985324168746</v>
      </c>
      <c r="D69" s="1205">
        <v>1.7469418781429082</v>
      </c>
      <c r="E69" s="1205">
        <v>6.596676756452946E-2</v>
      </c>
      <c r="F69" s="1205">
        <v>-1.250976492295895</v>
      </c>
      <c r="G69" s="1205" t="s">
        <v>36</v>
      </c>
      <c r="H69" s="1205">
        <v>2.0562289479507285</v>
      </c>
      <c r="I69" s="1205">
        <v>0.89668238057696481</v>
      </c>
      <c r="J69" s="1205">
        <v>-2.0193494479764929E-2</v>
      </c>
      <c r="K69" s="1205">
        <v>-0.13938045435656066</v>
      </c>
      <c r="L69" s="1205">
        <v>0.52365575172275203</v>
      </c>
      <c r="M69" s="1205">
        <v>0.75851550584646565</v>
      </c>
      <c r="N69" s="1205">
        <v>-3.8733888256871407E-2</v>
      </c>
      <c r="O69" s="1205">
        <v>0.37971459985587486</v>
      </c>
      <c r="P69" s="1206">
        <v>-1.4906442675798215E-2</v>
      </c>
      <c r="Q69" s="1206">
        <v>-0.27357683872677507</v>
      </c>
      <c r="R69" s="1206">
        <v>0.32392855573419554</v>
      </c>
      <c r="S69" s="1206">
        <v>0.20952163783477173</v>
      </c>
      <c r="T69" s="1206">
        <v>-0.13252081434984186</v>
      </c>
      <c r="U69" s="1206">
        <v>-0.18824914580130492</v>
      </c>
      <c r="V69" s="1206">
        <v>3.2280655114845125E-2</v>
      </c>
      <c r="W69" s="1206">
        <v>0.3796625918874208</v>
      </c>
      <c r="X69" s="1191"/>
      <c r="Y69" s="1196"/>
      <c r="Z69" s="1196"/>
      <c r="AA69" s="1196"/>
      <c r="AB69" s="1196"/>
      <c r="AC69" s="1206"/>
      <c r="AD69" s="1206"/>
      <c r="AE69" s="1526"/>
      <c r="AF69" s="1523"/>
      <c r="AG69" s="1408"/>
      <c r="AH69" s="947"/>
      <c r="AI69" s="947"/>
      <c r="AJ69" s="945"/>
      <c r="AK69" s="947"/>
      <c r="AL69" s="945"/>
    </row>
    <row r="70" spans="1:38">
      <c r="A70" s="1196" t="s">
        <v>221</v>
      </c>
      <c r="B70" s="1163">
        <v>4.1567567567567479E-2</v>
      </c>
      <c r="C70" s="1163">
        <v>0.13191916075285401</v>
      </c>
      <c r="D70" s="1163">
        <v>0.29069876810284867</v>
      </c>
      <c r="E70" s="1163">
        <v>0.3029338069560103</v>
      </c>
      <c r="F70" s="1163">
        <v>-8.8207798770388132E-2</v>
      </c>
      <c r="G70" s="1163">
        <v>5.2519036262190948E-2</v>
      </c>
      <c r="H70" s="1163">
        <v>0.10505152600470202</v>
      </c>
      <c r="I70" s="1163">
        <v>0.18205706749197692</v>
      </c>
      <c r="J70" s="1163">
        <v>0.16899026327917552</v>
      </c>
      <c r="K70" s="1163">
        <v>0.12152534757985384</v>
      </c>
      <c r="L70" s="1163">
        <v>0.15363368480846382</v>
      </c>
      <c r="M70" s="1163">
        <v>0.22909629522588093</v>
      </c>
      <c r="N70" s="1163">
        <v>0.1877454508522651</v>
      </c>
      <c r="O70" s="1163">
        <v>0.23526965095531563</v>
      </c>
      <c r="P70" s="1164">
        <v>0.20803662023852748</v>
      </c>
      <c r="Q70" s="1164">
        <v>0.15733399957646907</v>
      </c>
      <c r="R70" s="1164">
        <v>0.17827319316746215</v>
      </c>
      <c r="S70" s="1164">
        <v>0.18772779305180812</v>
      </c>
      <c r="T70" s="1164">
        <v>0.16569091649511544</v>
      </c>
      <c r="U70" s="1164">
        <v>0.14010916970340817</v>
      </c>
      <c r="V70" s="1164">
        <v>0.13504170667518806</v>
      </c>
      <c r="W70" s="1164">
        <v>0.17439051878681619</v>
      </c>
      <c r="X70" s="1163"/>
      <c r="Y70" s="731"/>
      <c r="Z70" s="731"/>
      <c r="AA70" s="731"/>
      <c r="AB70" s="731"/>
      <c r="AC70" s="1164"/>
      <c r="AD70" s="1164"/>
      <c r="AE70" s="1181"/>
      <c r="AF70" s="1523"/>
      <c r="AG70" s="1408"/>
      <c r="AH70" s="166"/>
      <c r="AI70" s="166"/>
      <c r="AJ70" s="43"/>
      <c r="AK70" s="174"/>
      <c r="AL70" s="43"/>
    </row>
    <row r="71" spans="1:38">
      <c r="A71" s="731" t="s">
        <v>223</v>
      </c>
      <c r="B71" s="1717">
        <v>-41.234999999999999</v>
      </c>
      <c r="C71" s="1257">
        <v>-32.064</v>
      </c>
      <c r="D71" s="1201">
        <v>-33.197000000000003</v>
      </c>
      <c r="E71" s="1201">
        <v>-22.667000000000002</v>
      </c>
      <c r="F71" s="1200">
        <v>-9.4070000000000107</v>
      </c>
      <c r="G71" s="1200">
        <v>-102.31700000000002</v>
      </c>
      <c r="H71" s="1200">
        <v>-76.158999999999978</v>
      </c>
      <c r="I71" s="1200">
        <v>-62.14</v>
      </c>
      <c r="J71" s="1200">
        <v>-42.481999999999985</v>
      </c>
      <c r="K71" s="1200">
        <v>-84.881999999999962</v>
      </c>
      <c r="L71" s="1200">
        <v>-114.68599999999999</v>
      </c>
      <c r="M71" s="1200">
        <v>-168.55900000000003</v>
      </c>
      <c r="N71" s="1200">
        <v>-191.04699999999994</v>
      </c>
      <c r="O71" s="1200">
        <v>-211.01599999999996</v>
      </c>
      <c r="P71" s="1195">
        <v>-183.82285319222629</v>
      </c>
      <c r="Q71" s="1195">
        <v>-175.07361046329993</v>
      </c>
      <c r="R71" s="1195">
        <v>-160.71378826670423</v>
      </c>
      <c r="S71" s="1195">
        <v>-158.49849157707584</v>
      </c>
      <c r="T71" s="1195">
        <v>-169.20254384176019</v>
      </c>
      <c r="U71" s="1195">
        <v>-182.44475952817223</v>
      </c>
      <c r="V71" s="1195">
        <v>-209.02508689978052</v>
      </c>
      <c r="W71" s="1195">
        <v>-232.91075225403151</v>
      </c>
      <c r="X71" s="1250"/>
      <c r="Y71" s="731"/>
      <c r="Z71" s="731"/>
      <c r="AA71" s="731"/>
      <c r="AB71" s="731"/>
      <c r="AC71" s="1403"/>
      <c r="AD71" s="1403"/>
      <c r="AE71" s="1181"/>
      <c r="AF71" s="1523"/>
      <c r="AG71" s="1408"/>
      <c r="AH71" s="233"/>
      <c r="AI71" s="233"/>
      <c r="AJ71" s="43"/>
      <c r="AK71" s="174"/>
      <c r="AL71" s="43"/>
    </row>
    <row r="72" spans="1:38" ht="12.75" customHeight="1">
      <c r="A72" s="1207" t="s">
        <v>173</v>
      </c>
      <c r="B72" s="1717" t="s">
        <v>972</v>
      </c>
      <c r="C72" s="1717" t="s">
        <v>972</v>
      </c>
      <c r="D72" s="1717">
        <v>38.320999999999998</v>
      </c>
      <c r="E72" s="1194">
        <v>68.447000000000003</v>
      </c>
      <c r="F72" s="1194">
        <v>78.676999999999992</v>
      </c>
      <c r="G72" s="1194">
        <v>52.430999999999997</v>
      </c>
      <c r="H72" s="1194">
        <v>104.629</v>
      </c>
      <c r="I72" s="1194">
        <v>39.466999999999999</v>
      </c>
      <c r="J72" s="1194">
        <v>75.692000000000007</v>
      </c>
      <c r="K72" s="1194">
        <v>91.283000000000001</v>
      </c>
      <c r="L72" s="1194">
        <v>43.763999999999996</v>
      </c>
      <c r="M72" s="1194">
        <v>97.546000000000006</v>
      </c>
      <c r="N72" s="1194">
        <v>120.22499999999999</v>
      </c>
      <c r="O72" s="1194">
        <v>132.553</v>
      </c>
      <c r="P72" s="1195">
        <v>126.03131516081962</v>
      </c>
      <c r="Q72" s="1195">
        <v>82.473491846220568</v>
      </c>
      <c r="R72" s="1195">
        <v>81.285472387420469</v>
      </c>
      <c r="S72" s="1195">
        <v>83.500769077048858</v>
      </c>
      <c r="T72" s="1195">
        <v>72.796716812364494</v>
      </c>
      <c r="U72" s="1195">
        <v>59.55450112595247</v>
      </c>
      <c r="V72" s="1195">
        <v>32.974173754344172</v>
      </c>
      <c r="W72" s="1195">
        <v>9.0885084000931862</v>
      </c>
      <c r="X72" s="1250"/>
      <c r="Y72" s="731"/>
      <c r="Z72" s="731"/>
      <c r="AA72" s="731"/>
      <c r="AB72" s="731"/>
      <c r="AC72" s="1403"/>
      <c r="AD72" s="1403"/>
      <c r="AE72" s="1181"/>
      <c r="AF72" s="1523"/>
      <c r="AG72" s="1408"/>
      <c r="AH72" s="233"/>
      <c r="AI72" s="233"/>
      <c r="AJ72" s="43"/>
      <c r="AK72" s="174"/>
      <c r="AL72" s="43"/>
    </row>
    <row r="73" spans="1:38" ht="12.75" customHeight="1">
      <c r="A73" s="1207" t="s">
        <v>174</v>
      </c>
      <c r="B73" s="1717" t="s">
        <v>972</v>
      </c>
      <c r="C73" s="1717" t="s">
        <v>972</v>
      </c>
      <c r="D73" s="1717">
        <v>-71.518000000000001</v>
      </c>
      <c r="E73" s="1200">
        <v>-91.114000000000004</v>
      </c>
      <c r="F73" s="1200">
        <v>-88.084000000000003</v>
      </c>
      <c r="G73" s="1200">
        <v>-154.74800000000002</v>
      </c>
      <c r="H73" s="1200">
        <v>-180.78799999999998</v>
      </c>
      <c r="I73" s="1200">
        <v>-101.607</v>
      </c>
      <c r="J73" s="1200">
        <v>-118.17399999999999</v>
      </c>
      <c r="K73" s="1200">
        <v>-176.16499999999996</v>
      </c>
      <c r="L73" s="1200">
        <v>-158.44999999999999</v>
      </c>
      <c r="M73" s="1200">
        <v>-266.10500000000002</v>
      </c>
      <c r="N73" s="1200">
        <v>-311.27199999999993</v>
      </c>
      <c r="O73" s="1200">
        <v>-343.56899999999996</v>
      </c>
      <c r="P73" s="1195">
        <v>-309.85416835304591</v>
      </c>
      <c r="Q73" s="1195">
        <v>-257.54710230952048</v>
      </c>
      <c r="R73" s="1195">
        <v>-241.9992606541247</v>
      </c>
      <c r="S73" s="1195">
        <v>-241.9992606541247</v>
      </c>
      <c r="T73" s="1195">
        <v>-241.9992606541247</v>
      </c>
      <c r="U73" s="1195">
        <v>-241.9992606541247</v>
      </c>
      <c r="V73" s="1195">
        <v>-241.9992606541247</v>
      </c>
      <c r="W73" s="1195">
        <v>-241.9992606541247</v>
      </c>
      <c r="X73" s="1250"/>
      <c r="Y73" s="731"/>
      <c r="Z73" s="731"/>
      <c r="AA73" s="731"/>
      <c r="AB73" s="731"/>
      <c r="AC73" s="1403"/>
      <c r="AD73" s="1403"/>
      <c r="AE73" s="1181"/>
      <c r="AF73" s="1523"/>
      <c r="AG73" s="1408"/>
      <c r="AH73" s="233"/>
      <c r="AI73" s="233"/>
      <c r="AJ73" s="43"/>
      <c r="AK73" s="174"/>
      <c r="AL73" s="43"/>
    </row>
    <row r="74" spans="1:38">
      <c r="A74" s="731" t="s">
        <v>914</v>
      </c>
      <c r="B74" s="1717">
        <v>-2.6379999999999999</v>
      </c>
      <c r="C74" s="1717">
        <v>1.0920000000000001</v>
      </c>
      <c r="D74" s="1717">
        <v>8.6990000000000016</v>
      </c>
      <c r="E74" s="1717">
        <v>7.6210000000000004</v>
      </c>
      <c r="F74" s="1200">
        <v>0.97700000000000042</v>
      </c>
      <c r="G74" s="1200">
        <v>-70.171999999999997</v>
      </c>
      <c r="H74" s="1200">
        <v>92.875999999999991</v>
      </c>
      <c r="I74" s="1200">
        <v>23.465000000000003</v>
      </c>
      <c r="J74" s="1200">
        <v>-22.323</v>
      </c>
      <c r="K74" s="1200">
        <v>-15.769000000000002</v>
      </c>
      <c r="L74" s="1200">
        <v>7.488999999999999</v>
      </c>
      <c r="M74" s="1200">
        <v>-12.562000000000001</v>
      </c>
      <c r="N74" s="1200">
        <v>-129.185</v>
      </c>
      <c r="O74" s="1589">
        <v>-49.898000000000003</v>
      </c>
      <c r="P74" s="1195">
        <v>10.859</v>
      </c>
      <c r="Q74" s="1195">
        <v>0</v>
      </c>
      <c r="R74" s="1195">
        <v>0</v>
      </c>
      <c r="S74" s="1195">
        <v>0</v>
      </c>
      <c r="T74" s="1195">
        <v>0</v>
      </c>
      <c r="U74" s="1195">
        <v>0</v>
      </c>
      <c r="V74" s="1195">
        <v>0</v>
      </c>
      <c r="W74" s="1195">
        <v>0</v>
      </c>
      <c r="X74" s="1250"/>
      <c r="Y74" s="731"/>
      <c r="Z74" s="731"/>
      <c r="AA74" s="731"/>
      <c r="AB74" s="731"/>
      <c r="AC74" s="1403"/>
      <c r="AD74" s="1403"/>
      <c r="AE74" s="1181"/>
      <c r="AF74" s="1523"/>
      <c r="AG74" s="1408"/>
      <c r="AH74" s="233"/>
      <c r="AI74" s="233"/>
      <c r="AJ74" s="43"/>
      <c r="AK74" s="174"/>
      <c r="AL74" s="43"/>
    </row>
    <row r="75" spans="1:38">
      <c r="A75" s="1120" t="s">
        <v>224</v>
      </c>
      <c r="B75" s="1209">
        <v>-22.341000000000044</v>
      </c>
      <c r="C75" s="1209">
        <v>54.537999999999961</v>
      </c>
      <c r="D75" s="1209">
        <v>210.39299999999997</v>
      </c>
      <c r="E75" s="1209">
        <v>235.33999999999986</v>
      </c>
      <c r="F75" s="1209">
        <v>-71.27099999999993</v>
      </c>
      <c r="G75" s="1209">
        <v>-131.81600000000009</v>
      </c>
      <c r="H75" s="1209">
        <v>141.02299999999983</v>
      </c>
      <c r="I75" s="1209">
        <v>197.09399999999985</v>
      </c>
      <c r="J75" s="1209">
        <v>166.20300000000017</v>
      </c>
      <c r="K75" s="1209">
        <v>98.158999999999807</v>
      </c>
      <c r="L75" s="1209">
        <v>195.72100000000003</v>
      </c>
      <c r="M75" s="1209">
        <v>351.56499999999966</v>
      </c>
      <c r="N75" s="1209">
        <v>191.82099999999997</v>
      </c>
      <c r="O75" s="1590">
        <v>445.57300000000009</v>
      </c>
      <c r="P75" s="1210">
        <v>522.99193884107717</v>
      </c>
      <c r="Q75" s="1210">
        <v>330.48479609194339</v>
      </c>
      <c r="R75" s="1210">
        <v>508.60942276326034</v>
      </c>
      <c r="S75" s="1210">
        <v>651.06241486871545</v>
      </c>
      <c r="T75" s="1210">
        <v>533.07469201603863</v>
      </c>
      <c r="U75" s="1210">
        <v>387.62938656369442</v>
      </c>
      <c r="V75" s="1210">
        <v>379.45142609196751</v>
      </c>
      <c r="W75" s="1210">
        <v>578.98827892503493</v>
      </c>
      <c r="X75" s="1250"/>
      <c r="Y75" s="731"/>
      <c r="Z75" s="731"/>
      <c r="AA75" s="731"/>
      <c r="AB75" s="731"/>
      <c r="AC75" s="1404"/>
      <c r="AD75" s="1404"/>
      <c r="AE75" s="1525"/>
      <c r="AF75" s="1523"/>
      <c r="AG75" s="1408"/>
      <c r="AH75" s="19"/>
      <c r="AI75" s="19"/>
      <c r="AJ75" s="43"/>
      <c r="AK75" s="174"/>
      <c r="AL75" s="43"/>
    </row>
    <row r="76" spans="1:38">
      <c r="A76" s="731" t="s">
        <v>225</v>
      </c>
      <c r="B76" s="1194">
        <v>3.94</v>
      </c>
      <c r="C76" s="1194">
        <v>-18.835999999999999</v>
      </c>
      <c r="D76" s="1194">
        <v>-37.890999999999998</v>
      </c>
      <c r="E76" s="1194">
        <v>-36.573999999999998</v>
      </c>
      <c r="F76" s="1194">
        <v>22.477</v>
      </c>
      <c r="G76" s="1194">
        <v>53.556000000000004</v>
      </c>
      <c r="H76" s="1194">
        <v>-39.864999999999995</v>
      </c>
      <c r="I76" s="1194">
        <v>-54.802999999999997</v>
      </c>
      <c r="J76" s="1194">
        <v>-39.592000000000006</v>
      </c>
      <c r="K76" s="1194">
        <v>-25.209000000000003</v>
      </c>
      <c r="L76" s="1194">
        <v>-60.719000000000001</v>
      </c>
      <c r="M76" s="1194">
        <v>-32.067999999999998</v>
      </c>
      <c r="N76" s="1194">
        <v>7.6129999999999978</v>
      </c>
      <c r="O76" s="1591">
        <v>-161.685</v>
      </c>
      <c r="P76" s="1195">
        <v>-105.56519960298306</v>
      </c>
      <c r="Q76" s="1195">
        <v>-42.963023491952654</v>
      </c>
      <c r="R76" s="1195">
        <v>-66.119224959223814</v>
      </c>
      <c r="S76" s="1195">
        <v>-110.68061052768142</v>
      </c>
      <c r="T76" s="1195">
        <v>-101.28419148304725</v>
      </c>
      <c r="U76" s="1195">
        <v>-81.402171178375809</v>
      </c>
      <c r="V76" s="1195">
        <v>-87.273828001152495</v>
      </c>
      <c r="W76" s="1195">
        <v>-196.85601483451191</v>
      </c>
      <c r="X76" s="1798"/>
      <c r="Y76" s="731"/>
      <c r="Z76" s="731"/>
      <c r="AA76" s="731"/>
      <c r="AB76" s="731"/>
      <c r="AC76" s="1403"/>
      <c r="AD76" s="1403"/>
      <c r="AE76" s="1181"/>
      <c r="AF76" s="1523"/>
      <c r="AG76" s="1408"/>
      <c r="AH76" s="233"/>
      <c r="AI76" s="233"/>
      <c r="AJ76" s="43"/>
      <c r="AK76" s="174"/>
      <c r="AL76" s="43"/>
    </row>
    <row r="77" spans="1:38">
      <c r="A77" s="1196" t="s">
        <v>226</v>
      </c>
      <c r="B77" s="1163">
        <v>0.17635736985810807</v>
      </c>
      <c r="C77" s="1163">
        <v>0.34537386776192769</v>
      </c>
      <c r="D77" s="1163">
        <v>0.180096295979429</v>
      </c>
      <c r="E77" s="1163">
        <v>0.15540919520693472</v>
      </c>
      <c r="F77" s="1163">
        <v>0.31537371441399759</v>
      </c>
      <c r="G77" s="1163">
        <v>0.40629362141166453</v>
      </c>
      <c r="H77" s="1163">
        <v>0.28268438481666142</v>
      </c>
      <c r="I77" s="1163">
        <v>0.27805514120166031</v>
      </c>
      <c r="J77" s="1163">
        <v>0.23821471333249078</v>
      </c>
      <c r="K77" s="1163">
        <v>0.25681801974347795</v>
      </c>
      <c r="L77" s="1163">
        <v>0.31023242268330936</v>
      </c>
      <c r="M77" s="1163">
        <v>9.1214995804474369E-2</v>
      </c>
      <c r="N77" s="1250" t="s">
        <v>36</v>
      </c>
      <c r="O77" s="1649">
        <v>0.36286983277712065</v>
      </c>
      <c r="P77" s="1164">
        <v>0.17</v>
      </c>
      <c r="Q77" s="1164">
        <v>0.13</v>
      </c>
      <c r="R77" s="1164">
        <v>0.13</v>
      </c>
      <c r="S77" s="1164">
        <v>0.17</v>
      </c>
      <c r="T77" s="1164">
        <v>0.19</v>
      </c>
      <c r="U77" s="1164">
        <v>0.21</v>
      </c>
      <c r="V77" s="1164">
        <v>0.22999999999999998</v>
      </c>
      <c r="W77" s="1164">
        <v>0.34</v>
      </c>
      <c r="X77" s="1250"/>
      <c r="Y77" s="731"/>
      <c r="Z77" s="731"/>
      <c r="AA77" s="731"/>
      <c r="AB77" s="731"/>
      <c r="AC77" s="1164"/>
      <c r="AD77" s="1164"/>
      <c r="AE77" s="1181"/>
      <c r="AF77" s="1523"/>
      <c r="AG77" s="1408"/>
      <c r="AH77" s="174"/>
      <c r="AI77" s="174"/>
      <c r="AJ77" s="43"/>
      <c r="AK77" s="174"/>
      <c r="AL77" s="43"/>
    </row>
    <row r="78" spans="1:38">
      <c r="A78" s="1120" t="s">
        <v>354</v>
      </c>
      <c r="B78" s="1187">
        <v>-18.401000000000042</v>
      </c>
      <c r="C78" s="1187">
        <v>35.701999999999963</v>
      </c>
      <c r="D78" s="1187">
        <v>172.50199999999998</v>
      </c>
      <c r="E78" s="1187">
        <v>198.76599999999985</v>
      </c>
      <c r="F78" s="1187">
        <v>-48.793999999999926</v>
      </c>
      <c r="G78" s="1187">
        <v>-78.260000000000076</v>
      </c>
      <c r="H78" s="1187">
        <v>101.15799999999983</v>
      </c>
      <c r="I78" s="1187">
        <v>142.29099999999985</v>
      </c>
      <c r="J78" s="1187">
        <v>126.61100000000016</v>
      </c>
      <c r="K78" s="1187">
        <v>72.949999999999804</v>
      </c>
      <c r="L78" s="1187">
        <v>135.00200000000004</v>
      </c>
      <c r="M78" s="1187">
        <v>319.49699999999967</v>
      </c>
      <c r="N78" s="1187">
        <v>199.43399999999997</v>
      </c>
      <c r="O78" s="1592">
        <v>283.88800000000009</v>
      </c>
      <c r="P78" s="1188">
        <v>417.42673923809411</v>
      </c>
      <c r="Q78" s="1188">
        <v>287.52177259999075</v>
      </c>
      <c r="R78" s="1188">
        <v>442.49019780403654</v>
      </c>
      <c r="S78" s="1188">
        <v>540.38180434103401</v>
      </c>
      <c r="T78" s="1188">
        <v>431.79050053299136</v>
      </c>
      <c r="U78" s="1188">
        <v>306.22721538531863</v>
      </c>
      <c r="V78" s="1188">
        <v>292.17759809081502</v>
      </c>
      <c r="W78" s="1188">
        <v>382.13226409052299</v>
      </c>
      <c r="X78" s="1250"/>
      <c r="Y78" s="731"/>
      <c r="Z78" s="731"/>
      <c r="AA78" s="731"/>
      <c r="AB78" s="731"/>
      <c r="AC78" s="1188"/>
      <c r="AD78" s="1188"/>
      <c r="AE78" s="1525"/>
      <c r="AF78" s="1523"/>
      <c r="AG78" s="1408"/>
      <c r="AH78" s="20"/>
      <c r="AI78" s="20"/>
      <c r="AJ78" s="43"/>
      <c r="AK78" s="174"/>
      <c r="AL78" s="43"/>
    </row>
    <row r="79" spans="1:38">
      <c r="A79" s="1211" t="s">
        <v>355</v>
      </c>
      <c r="B79" s="1193">
        <v>0</v>
      </c>
      <c r="C79" s="1193">
        <v>0</v>
      </c>
      <c r="D79" s="1193">
        <v>0</v>
      </c>
      <c r="E79" s="1193">
        <v>0</v>
      </c>
      <c r="F79" s="1194">
        <v>0</v>
      </c>
      <c r="G79" s="1194">
        <v>6.3950000000000005</v>
      </c>
      <c r="H79" s="1194">
        <v>-3.0859999999999999</v>
      </c>
      <c r="I79" s="1194">
        <v>0</v>
      </c>
      <c r="J79" s="1194">
        <v>0</v>
      </c>
      <c r="K79" s="1194">
        <v>0</v>
      </c>
      <c r="L79" s="1194">
        <v>0</v>
      </c>
      <c r="M79" s="1194">
        <v>-2.2589999999999999</v>
      </c>
      <c r="N79" s="1194">
        <v>0</v>
      </c>
      <c r="O79" s="1591">
        <v>0</v>
      </c>
      <c r="P79" s="1238">
        <v>0</v>
      </c>
      <c r="Q79" s="1238">
        <v>0</v>
      </c>
      <c r="R79" s="1238">
        <v>0</v>
      </c>
      <c r="S79" s="1238">
        <v>0</v>
      </c>
      <c r="T79" s="1238">
        <v>0</v>
      </c>
      <c r="U79" s="1238">
        <v>0</v>
      </c>
      <c r="V79" s="1238">
        <v>0</v>
      </c>
      <c r="W79" s="1238">
        <v>0</v>
      </c>
      <c r="X79" s="1250"/>
      <c r="Y79" s="731"/>
      <c r="Z79" s="731"/>
      <c r="AA79" s="731"/>
      <c r="AB79" s="731"/>
      <c r="AC79" s="1405"/>
      <c r="AD79" s="1405"/>
      <c r="AE79" s="1181"/>
      <c r="AF79" s="1523"/>
      <c r="AG79" s="1408"/>
      <c r="AH79" s="232"/>
      <c r="AI79" s="232"/>
      <c r="AJ79" s="43"/>
      <c r="AK79" s="174"/>
      <c r="AL79" s="43"/>
    </row>
    <row r="80" spans="1:38">
      <c r="A80" s="1213" t="s">
        <v>356</v>
      </c>
      <c r="B80" s="1187">
        <v>-18.401000000000042</v>
      </c>
      <c r="C80" s="1187">
        <v>35.701999999999963</v>
      </c>
      <c r="D80" s="1187">
        <v>172.50199999999998</v>
      </c>
      <c r="E80" s="1187">
        <v>198.76599999999985</v>
      </c>
      <c r="F80" s="1187">
        <v>-48.793999999999926</v>
      </c>
      <c r="G80" s="1187">
        <v>-71.86500000000008</v>
      </c>
      <c r="H80" s="1187">
        <v>98.071999999999832</v>
      </c>
      <c r="I80" s="1187">
        <v>142.29099999999985</v>
      </c>
      <c r="J80" s="1187">
        <v>126.61100000000016</v>
      </c>
      <c r="K80" s="1187">
        <v>72.949999999999804</v>
      </c>
      <c r="L80" s="1187">
        <v>135.00200000000004</v>
      </c>
      <c r="M80" s="1187">
        <v>317.23799999999966</v>
      </c>
      <c r="N80" s="1187">
        <v>199.43399999999997</v>
      </c>
      <c r="O80" s="1592">
        <v>283.88800000000009</v>
      </c>
      <c r="P80" s="1188">
        <v>417.42673923809411</v>
      </c>
      <c r="Q80" s="1188">
        <v>287.52177259999075</v>
      </c>
      <c r="R80" s="1188">
        <v>442.49019780403654</v>
      </c>
      <c r="S80" s="1188">
        <v>540.38180434103401</v>
      </c>
      <c r="T80" s="1188">
        <v>431.79050053299136</v>
      </c>
      <c r="U80" s="1188">
        <v>306.22721538531863</v>
      </c>
      <c r="V80" s="1188">
        <v>292.17759809081502</v>
      </c>
      <c r="W80" s="1188">
        <v>382.13226409052299</v>
      </c>
      <c r="X80" s="1524"/>
      <c r="Y80" s="1215">
        <v>0.16397363507066465</v>
      </c>
      <c r="Z80" s="1215">
        <v>2.9583785849527144E-2</v>
      </c>
      <c r="AA80" s="1215">
        <v>-6.6954982479067504E-2</v>
      </c>
      <c r="AB80" s="1529"/>
      <c r="AC80" s="1188"/>
      <c r="AD80" s="1188"/>
      <c r="AE80" s="1530"/>
      <c r="AF80" s="1523"/>
      <c r="AG80" s="1408"/>
      <c r="AH80" s="20"/>
      <c r="AI80" s="20"/>
      <c r="AJ80" s="43"/>
      <c r="AK80" s="174"/>
      <c r="AL80" s="43"/>
    </row>
    <row r="81" spans="1:38" ht="12.75" customHeight="1">
      <c r="A81" s="1213" t="s">
        <v>1038</v>
      </c>
      <c r="B81" s="1187">
        <v>-18.401000000000042</v>
      </c>
      <c r="C81" s="1187">
        <v>35.701999999999963</v>
      </c>
      <c r="D81" s="1187">
        <v>172.50199999999998</v>
      </c>
      <c r="E81" s="1187">
        <v>198.76599999999985</v>
      </c>
      <c r="F81" s="1187">
        <v>-48.793999999999926</v>
      </c>
      <c r="G81" s="1187">
        <v>-71.86500000000008</v>
      </c>
      <c r="H81" s="1187">
        <v>98.071999999999832</v>
      </c>
      <c r="I81" s="1187">
        <v>142.29099999999985</v>
      </c>
      <c r="J81" s="1187">
        <v>126.61100000000016</v>
      </c>
      <c r="K81" s="1187">
        <v>72.949999999999804</v>
      </c>
      <c r="L81" s="1187">
        <v>135.00200000000004</v>
      </c>
      <c r="M81" s="1187">
        <v>317.23799999999966</v>
      </c>
      <c r="N81" s="1187">
        <v>199.43399999999997</v>
      </c>
      <c r="O81" s="1592">
        <v>283.88800000000009</v>
      </c>
      <c r="P81" s="1188">
        <v>417.42673923809411</v>
      </c>
      <c r="Q81" s="1188">
        <v>287.52177259999075</v>
      </c>
      <c r="R81" s="1188">
        <v>442.49019780403654</v>
      </c>
      <c r="S81" s="1188">
        <v>540.38180434103401</v>
      </c>
      <c r="T81" s="1188">
        <v>431.79050053299136</v>
      </c>
      <c r="U81" s="1188">
        <v>306.22721538531863</v>
      </c>
      <c r="V81" s="1188">
        <v>292.17759809081502</v>
      </c>
      <c r="W81" s="1188">
        <v>382.13226409052299</v>
      </c>
      <c r="X81" s="1524"/>
      <c r="Y81" s="1163"/>
      <c r="Z81" s="1531"/>
      <c r="AA81" s="1531"/>
      <c r="AB81" s="1529"/>
      <c r="AC81" s="1188"/>
      <c r="AD81" s="1188"/>
      <c r="AE81" s="1530"/>
      <c r="AF81" s="1523"/>
      <c r="AG81" s="1408"/>
      <c r="AH81" s="20"/>
      <c r="AI81" s="20"/>
      <c r="AJ81" s="43"/>
      <c r="AK81" s="174"/>
      <c r="AL81" s="43"/>
    </row>
    <row r="82" spans="1:38">
      <c r="A82" s="1211" t="s">
        <v>357</v>
      </c>
      <c r="B82" s="1214"/>
      <c r="C82" s="1214"/>
      <c r="D82" s="1214"/>
      <c r="E82" s="1214"/>
      <c r="F82" s="1215">
        <v>-6.8490497178630469E-2</v>
      </c>
      <c r="G82" s="1215">
        <v>-9.2795725443964347E-2</v>
      </c>
      <c r="H82" s="1215">
        <v>8.2881061721341964E-2</v>
      </c>
      <c r="I82" s="1215">
        <v>0.10987484440490852</v>
      </c>
      <c r="J82" s="1215">
        <v>9.262028251852622E-2</v>
      </c>
      <c r="K82" s="1215">
        <v>4.4591691091747515E-2</v>
      </c>
      <c r="L82" s="1215">
        <v>6.8470195618986776E-2</v>
      </c>
      <c r="M82" s="1215">
        <v>0.13643694503866813</v>
      </c>
      <c r="N82" s="1215">
        <v>7.3122950642356632E-2</v>
      </c>
      <c r="O82" s="1533">
        <v>9.4538513334856342E-2</v>
      </c>
      <c r="P82" s="1216">
        <v>0.12477810950401097</v>
      </c>
      <c r="Q82" s="1216">
        <v>8.947917760226079E-2</v>
      </c>
      <c r="R82" s="1216">
        <v>0.11785657393599043</v>
      </c>
      <c r="S82" s="1216">
        <v>0.12530827850824477</v>
      </c>
      <c r="T82" s="1216">
        <v>0.10187396104304677</v>
      </c>
      <c r="U82" s="1216">
        <v>7.5262562216441259E-2</v>
      </c>
      <c r="V82" s="1216">
        <v>6.7047980042313271E-2</v>
      </c>
      <c r="W82" s="1216">
        <v>8.2079471979600471E-2</v>
      </c>
      <c r="X82" s="1214"/>
      <c r="Y82" s="1532"/>
      <c r="Z82" s="1214"/>
      <c r="AA82" s="1214"/>
      <c r="AB82" s="1533"/>
      <c r="AC82" s="1216"/>
      <c r="AD82" s="1216"/>
      <c r="AE82" s="1534"/>
      <c r="AF82" s="1523"/>
      <c r="AG82" s="1408"/>
      <c r="AH82" s="174"/>
      <c r="AI82" s="174"/>
      <c r="AJ82" s="43"/>
      <c r="AK82" s="174"/>
      <c r="AL82" s="43"/>
    </row>
    <row r="83" spans="1:38">
      <c r="A83" s="1211"/>
      <c r="B83" s="1214"/>
      <c r="C83" s="1214"/>
      <c r="D83" s="1214"/>
      <c r="E83" s="1214"/>
      <c r="F83" s="1215"/>
      <c r="G83" s="1215"/>
      <c r="H83" s="1215"/>
      <c r="I83" s="1215"/>
      <c r="J83" s="1215"/>
      <c r="K83" s="1215"/>
      <c r="L83" s="1215"/>
      <c r="M83" s="1215"/>
      <c r="N83" s="1215"/>
      <c r="O83" s="1533"/>
      <c r="P83" s="1216"/>
      <c r="Q83" s="1216"/>
      <c r="R83" s="1216"/>
      <c r="S83" s="1216"/>
      <c r="T83" s="1216"/>
      <c r="U83" s="1216"/>
      <c r="V83" s="1216"/>
      <c r="W83" s="1216"/>
      <c r="X83" s="1214"/>
      <c r="Y83" s="1532"/>
      <c r="Z83" s="1214"/>
      <c r="AA83" s="1214"/>
      <c r="AB83" s="1533"/>
      <c r="AC83" s="1216"/>
      <c r="AD83" s="1216"/>
      <c r="AE83" s="1534"/>
      <c r="AF83" s="1523"/>
      <c r="AG83" s="1408"/>
      <c r="AH83" s="174"/>
      <c r="AI83" s="174"/>
      <c r="AJ83" s="43"/>
      <c r="AK83" s="174"/>
      <c r="AL83" s="43"/>
    </row>
    <row r="84" spans="1:38">
      <c r="A84" s="1211" t="s">
        <v>358</v>
      </c>
      <c r="B84" s="1217">
        <v>300</v>
      </c>
      <c r="C84" s="1217">
        <v>300</v>
      </c>
      <c r="D84" s="1217">
        <v>300</v>
      </c>
      <c r="E84" s="1217">
        <v>339</v>
      </c>
      <c r="F84" s="1217">
        <v>339</v>
      </c>
      <c r="G84" s="1217">
        <v>338.58300000000003</v>
      </c>
      <c r="H84" s="1217">
        <v>338.58300000000003</v>
      </c>
      <c r="I84" s="1217">
        <v>338.58300000000003</v>
      </c>
      <c r="J84" s="1217">
        <v>338.16300000000001</v>
      </c>
      <c r="K84" s="1217">
        <v>336.65100000000001</v>
      </c>
      <c r="L84" s="1217">
        <v>336.72899999999998</v>
      </c>
      <c r="M84" s="1217">
        <v>337.71</v>
      </c>
      <c r="N84" s="1217">
        <v>338.928</v>
      </c>
      <c r="O84" s="1593">
        <v>339.98762099999999</v>
      </c>
      <c r="P84" s="1218">
        <v>351.45602329999997</v>
      </c>
      <c r="Q84" s="1218">
        <v>363.4678773</v>
      </c>
      <c r="R84" s="1218">
        <v>363.4678773</v>
      </c>
      <c r="S84" s="1218">
        <v>363.4678773</v>
      </c>
      <c r="T84" s="1218">
        <v>363.4678773</v>
      </c>
      <c r="U84" s="1218">
        <v>363.4678773</v>
      </c>
      <c r="V84" s="1218">
        <v>363.4678773</v>
      </c>
      <c r="W84" s="1218">
        <v>363.4678773</v>
      </c>
      <c r="X84" s="1214"/>
      <c r="Y84" s="731"/>
      <c r="Z84" s="1531"/>
      <c r="AA84" s="1531"/>
      <c r="AB84" s="1529"/>
      <c r="AC84" s="1218"/>
      <c r="AD84" s="1218"/>
      <c r="AE84" s="1292"/>
      <c r="AF84" s="1523"/>
      <c r="AG84" s="1408"/>
      <c r="AH84" s="43"/>
      <c r="AI84" s="43"/>
      <c r="AJ84" s="43"/>
      <c r="AK84" s="174"/>
      <c r="AL84" s="43"/>
    </row>
    <row r="85" spans="1:38" ht="12.75" customHeight="1">
      <c r="A85" s="1219" t="s">
        <v>359</v>
      </c>
      <c r="B85" s="1217">
        <v>300</v>
      </c>
      <c r="C85" s="1217">
        <v>300</v>
      </c>
      <c r="D85" s="1217">
        <v>300</v>
      </c>
      <c r="E85" s="1217">
        <v>339</v>
      </c>
      <c r="F85" s="1217">
        <v>339</v>
      </c>
      <c r="G85" s="1217">
        <v>338.58300000000003</v>
      </c>
      <c r="H85" s="1217">
        <v>338.58300000000003</v>
      </c>
      <c r="I85" s="1217">
        <v>338.58300000000003</v>
      </c>
      <c r="J85" s="1217">
        <v>338.16300000000001</v>
      </c>
      <c r="K85" s="1217">
        <v>337.101</v>
      </c>
      <c r="L85" s="1217">
        <v>337.45499999999998</v>
      </c>
      <c r="M85" s="1217">
        <v>338.58</v>
      </c>
      <c r="N85" s="1217">
        <v>339.60599999999999</v>
      </c>
      <c r="O85" s="1593">
        <v>338.05900000000003</v>
      </c>
      <c r="P85" s="1218">
        <v>352.98100694999999</v>
      </c>
      <c r="Q85" s="1218">
        <v>363.4678773</v>
      </c>
      <c r="R85" s="1218">
        <v>363.4678773</v>
      </c>
      <c r="S85" s="1218">
        <v>363.4678773</v>
      </c>
      <c r="T85" s="1218">
        <v>363.4678773</v>
      </c>
      <c r="U85" s="1218">
        <v>363.4678773</v>
      </c>
      <c r="V85" s="1218">
        <v>363.4678773</v>
      </c>
      <c r="W85" s="1218">
        <v>363.4678773</v>
      </c>
      <c r="X85" s="1532"/>
      <c r="Y85" s="731"/>
      <c r="Z85" s="1531"/>
      <c r="AA85" s="1531"/>
      <c r="AB85" s="1535"/>
      <c r="AC85" s="1218"/>
      <c r="AD85" s="1218"/>
      <c r="AE85" s="1536"/>
      <c r="AF85" s="1523"/>
      <c r="AG85" s="1408"/>
      <c r="AH85" s="21"/>
      <c r="AI85" s="21"/>
      <c r="AJ85" s="43"/>
      <c r="AK85" s="174"/>
      <c r="AL85" s="43"/>
    </row>
    <row r="86" spans="1:38" ht="12.75" customHeight="1">
      <c r="A86" s="1211" t="s">
        <v>967</v>
      </c>
      <c r="B86" s="1220">
        <v>-6.133666666666681E-2</v>
      </c>
      <c r="C86" s="1220">
        <v>0.11900666666666654</v>
      </c>
      <c r="D86" s="1220">
        <v>0.57500666666666655</v>
      </c>
      <c r="E86" s="1220">
        <v>0.58633038348082556</v>
      </c>
      <c r="F86" s="1220">
        <v>-0.14393510324483755</v>
      </c>
      <c r="G86" s="1220">
        <v>-0.21225223948042304</v>
      </c>
      <c r="H86" s="1220">
        <v>0.28965423544596103</v>
      </c>
      <c r="I86" s="1220">
        <v>0.42025441324579155</v>
      </c>
      <c r="J86" s="1220">
        <v>0.37440819959605326</v>
      </c>
      <c r="K86" s="1220">
        <v>0.21669325206222409</v>
      </c>
      <c r="L86" s="1220">
        <v>0.40092180952635514</v>
      </c>
      <c r="M86" s="1220">
        <v>0.9393799413698134</v>
      </c>
      <c r="N86" s="1220">
        <v>0.58842586035972233</v>
      </c>
      <c r="O86" s="1220">
        <v>0.83499510707185454</v>
      </c>
      <c r="P86" s="1221">
        <v>1.1877068866786276</v>
      </c>
      <c r="Q86" s="1221">
        <v>0.79105139836793703</v>
      </c>
      <c r="R86" s="1221">
        <v>1.2174121165563496</v>
      </c>
      <c r="S86" s="1221">
        <v>1.486738823676053</v>
      </c>
      <c r="T86" s="1221">
        <v>1.1879743094232205</v>
      </c>
      <c r="U86" s="1221">
        <v>0.84251521113807826</v>
      </c>
      <c r="V86" s="1221">
        <v>0.80386085356769166</v>
      </c>
      <c r="W86" s="1221">
        <v>1.0513508564475362</v>
      </c>
      <c r="X86" s="1532"/>
      <c r="Y86" s="731"/>
      <c r="Z86" s="1531"/>
      <c r="AA86" s="1531"/>
      <c r="AB86" s="1535"/>
      <c r="AC86" s="1218"/>
      <c r="AD86" s="1406"/>
      <c r="AE86" s="1536"/>
      <c r="AF86" s="1523"/>
      <c r="AG86" s="1408"/>
      <c r="AH86" s="21"/>
      <c r="AI86" s="21"/>
      <c r="AJ86" s="43"/>
      <c r="AK86" s="174"/>
      <c r="AL86" s="43"/>
    </row>
    <row r="87" spans="1:38" s="763" customFormat="1">
      <c r="A87" s="1213" t="s">
        <v>360</v>
      </c>
      <c r="B87" s="1881">
        <v>-6.133666666666681E-2</v>
      </c>
      <c r="C87" s="1881">
        <v>0.11900666666666654</v>
      </c>
      <c r="D87" s="1881">
        <v>0.57500666666666655</v>
      </c>
      <c r="E87" s="1881">
        <v>0.58633038348082556</v>
      </c>
      <c r="F87" s="1881">
        <v>-0.14393510324483755</v>
      </c>
      <c r="G87" s="1881">
        <v>-0.21225223948042304</v>
      </c>
      <c r="H87" s="1881">
        <v>0.28965423544596103</v>
      </c>
      <c r="I87" s="1881">
        <v>0.42025441324579155</v>
      </c>
      <c r="J87" s="1881">
        <v>0.37440819959605326</v>
      </c>
      <c r="K87" s="1881">
        <v>0.2164039857490776</v>
      </c>
      <c r="L87" s="1881">
        <v>0.4000592671615476</v>
      </c>
      <c r="M87" s="1881">
        <v>0.93696615275562545</v>
      </c>
      <c r="N87" s="1881">
        <v>0.5872511086376565</v>
      </c>
      <c r="O87" s="1881">
        <v>0.83975874033822517</v>
      </c>
      <c r="P87" s="1882">
        <v>1.1825756372699761</v>
      </c>
      <c r="Q87" s="1882">
        <v>0.79105139836793703</v>
      </c>
      <c r="R87" s="1882">
        <v>1.2174121165563496</v>
      </c>
      <c r="S87" s="1882">
        <v>1.486738823676053</v>
      </c>
      <c r="T87" s="1882">
        <v>1.1879743094232205</v>
      </c>
      <c r="U87" s="1882">
        <v>0.84251521113807826</v>
      </c>
      <c r="V87" s="1882">
        <v>0.80386085356769166</v>
      </c>
      <c r="W87" s="1882">
        <v>1.0513508564475362</v>
      </c>
      <c r="X87" s="1524"/>
      <c r="Y87" s="1120">
        <v>0.16423120524286938</v>
      </c>
      <c r="Z87" s="1531">
        <v>1.4622166380163559E-2</v>
      </c>
      <c r="AA87" s="1531">
        <v>-6.6954982479067504E-2</v>
      </c>
      <c r="AB87" s="1529"/>
      <c r="AC87" s="1883"/>
      <c r="AD87" s="1884"/>
      <c r="AE87" s="1885"/>
      <c r="AF87" s="1886"/>
      <c r="AG87" s="1887"/>
      <c r="AH87" s="1888"/>
      <c r="AI87" s="1888"/>
      <c r="AJ87" s="1888"/>
      <c r="AK87" s="1888"/>
      <c r="AL87" s="1888"/>
    </row>
    <row r="88" spans="1:38" ht="12.75" customHeight="1">
      <c r="A88" s="1211" t="s">
        <v>1021</v>
      </c>
      <c r="B88" s="1223">
        <v>7</v>
      </c>
      <c r="C88" s="1223">
        <v>7.4</v>
      </c>
      <c r="D88" s="1223">
        <v>17.899999999999999</v>
      </c>
      <c r="E88" s="1223">
        <v>19.99979626</v>
      </c>
      <c r="F88" s="1223">
        <v>0</v>
      </c>
      <c r="G88" s="1223">
        <v>0</v>
      </c>
      <c r="H88" s="1223">
        <v>30.933</v>
      </c>
      <c r="I88" s="1223">
        <v>30.242050030000001</v>
      </c>
      <c r="J88" s="1223">
        <v>36.084000000000003</v>
      </c>
      <c r="K88" s="1223">
        <v>30</v>
      </c>
      <c r="L88" s="1223">
        <v>40.405000000000001</v>
      </c>
      <c r="M88" s="1223">
        <v>67.938999999999993</v>
      </c>
      <c r="N88" s="1223">
        <v>53.164000000000001</v>
      </c>
      <c r="O88" s="1223">
        <v>74.242000000000004</v>
      </c>
      <c r="P88" s="1224">
        <v>166.97069569523765</v>
      </c>
      <c r="Q88" s="1224">
        <v>143.76088629999538</v>
      </c>
      <c r="R88" s="1224">
        <v>309.74313846282558</v>
      </c>
      <c r="S88" s="1224">
        <v>378.2672630387238</v>
      </c>
      <c r="T88" s="1224">
        <v>302.25335037309395</v>
      </c>
      <c r="U88" s="1224">
        <v>306.22721538531863</v>
      </c>
      <c r="V88" s="1224">
        <v>292.17759809081502</v>
      </c>
      <c r="W88" s="1224">
        <v>382.13226409052299</v>
      </c>
      <c r="X88" s="1524"/>
      <c r="Y88" s="731"/>
      <c r="Z88" s="1537"/>
      <c r="AA88" s="1537"/>
      <c r="AB88" s="990"/>
      <c r="AC88" s="1218"/>
      <c r="AD88" s="1407"/>
      <c r="AE88" s="1292"/>
      <c r="AF88" s="1523"/>
      <c r="AG88" s="1408"/>
      <c r="AH88" s="43"/>
      <c r="AI88" s="43"/>
      <c r="AJ88" s="43"/>
      <c r="AK88" s="43"/>
      <c r="AL88" s="43"/>
    </row>
    <row r="89" spans="1:38">
      <c r="A89" s="1211" t="s">
        <v>361</v>
      </c>
      <c r="B89" s="1225" t="s">
        <v>972</v>
      </c>
      <c r="C89" s="1225" t="s">
        <v>972</v>
      </c>
      <c r="D89" s="1225" t="s">
        <v>972</v>
      </c>
      <c r="E89" s="1225">
        <v>0.17699000000000001</v>
      </c>
      <c r="F89" s="1225">
        <v>0</v>
      </c>
      <c r="G89" s="1225">
        <v>0</v>
      </c>
      <c r="H89" s="1225">
        <v>0.27410000000000001</v>
      </c>
      <c r="I89" s="1225">
        <v>0.26789999999999997</v>
      </c>
      <c r="J89" s="1225">
        <v>0.32134299999999999</v>
      </c>
      <c r="K89" s="1225">
        <v>0.26730199999999998</v>
      </c>
      <c r="L89" s="1225">
        <v>0.35949999999999999</v>
      </c>
      <c r="M89" s="1225">
        <v>0.20117556483373308</v>
      </c>
      <c r="N89" s="1225">
        <v>0.15685927394608884</v>
      </c>
      <c r="O89" s="1225">
        <v>0.20699999999999999</v>
      </c>
      <c r="P89" s="1221">
        <v>0.475082754671451</v>
      </c>
      <c r="Q89" s="1221">
        <v>0.39552569918396852</v>
      </c>
      <c r="R89" s="1221">
        <v>0.85218848158944471</v>
      </c>
      <c r="S89" s="1221">
        <v>1.0407171765732373</v>
      </c>
      <c r="T89" s="1221">
        <v>0.83158201659625441</v>
      </c>
      <c r="U89" s="1221">
        <v>0.84251521113807826</v>
      </c>
      <c r="V89" s="1221">
        <v>0.80386085356769166</v>
      </c>
      <c r="W89" s="1221">
        <v>1.0513508564475362</v>
      </c>
      <c r="X89" s="731"/>
      <c r="Y89" s="731"/>
      <c r="Z89" s="731"/>
      <c r="AA89" s="731"/>
      <c r="AB89" s="1533"/>
      <c r="AC89" s="1406"/>
      <c r="AD89" s="1406"/>
      <c r="AE89" s="1534"/>
      <c r="AF89" s="1523"/>
      <c r="AG89" s="1408"/>
      <c r="AH89" s="174"/>
      <c r="AI89" s="174"/>
      <c r="AJ89" s="43"/>
      <c r="AK89" s="43"/>
      <c r="AL89" s="43"/>
    </row>
    <row r="90" spans="1:38" s="43" customFormat="1" ht="12.75" customHeight="1">
      <c r="A90" s="1705" t="s">
        <v>1018</v>
      </c>
      <c r="B90" s="1533">
        <v>-0.38041410792891606</v>
      </c>
      <c r="C90" s="1533">
        <v>0.20727130132765695</v>
      </c>
      <c r="D90" s="1533">
        <v>0.10376691284738727</v>
      </c>
      <c r="E90" s="1533">
        <v>0.10061980549993467</v>
      </c>
      <c r="F90" s="1533">
        <v>0</v>
      </c>
      <c r="G90" s="1533">
        <v>0</v>
      </c>
      <c r="H90" s="1533">
        <v>0.31541112651929248</v>
      </c>
      <c r="I90" s="1533">
        <v>0.21253663288612795</v>
      </c>
      <c r="J90" s="1533">
        <v>0.28499893374193364</v>
      </c>
      <c r="K90" s="1533">
        <v>0.41124057573680711</v>
      </c>
      <c r="L90" s="1533">
        <v>0.29929186234278005</v>
      </c>
      <c r="M90" s="1533">
        <v>0.21415782472465489</v>
      </c>
      <c r="N90" s="1533">
        <v>0.2665744055677568</v>
      </c>
      <c r="O90" s="1533">
        <v>0.26151862706419426</v>
      </c>
      <c r="P90" s="1706">
        <v>0.4</v>
      </c>
      <c r="Q90" s="1706">
        <v>0.5</v>
      </c>
      <c r="R90" s="1706">
        <v>0.7</v>
      </c>
      <c r="S90" s="1706">
        <v>0.7</v>
      </c>
      <c r="T90" s="1706">
        <v>0.7</v>
      </c>
      <c r="U90" s="1706">
        <v>1</v>
      </c>
      <c r="V90" s="1706">
        <v>1</v>
      </c>
      <c r="W90" s="1706">
        <v>1</v>
      </c>
      <c r="X90" s="990"/>
      <c r="Y90" s="990"/>
      <c r="Z90" s="990"/>
      <c r="AA90" s="990"/>
      <c r="AB90" s="990"/>
      <c r="AC90" s="1706"/>
      <c r="AD90" s="1706"/>
      <c r="AE90" s="1292"/>
      <c r="AF90" s="1534"/>
      <c r="AG90" s="174"/>
    </row>
    <row r="91" spans="1:38">
      <c r="A91" s="731"/>
      <c r="B91" s="731"/>
      <c r="C91" s="731"/>
      <c r="D91" s="731"/>
      <c r="E91" s="731"/>
      <c r="F91" s="731"/>
      <c r="G91" s="731"/>
      <c r="H91" s="731"/>
      <c r="I91" s="731"/>
      <c r="J91" s="1559"/>
      <c r="K91" s="1559"/>
      <c r="L91" s="1559"/>
      <c r="M91" s="1559"/>
      <c r="N91" s="1559"/>
      <c r="O91" s="1559"/>
      <c r="P91" s="1559"/>
      <c r="Q91" s="1559"/>
      <c r="R91" s="1559"/>
      <c r="S91" s="1559"/>
      <c r="T91" s="1559"/>
      <c r="U91" s="1559"/>
      <c r="V91" s="1559"/>
      <c r="W91" s="1559"/>
      <c r="X91" s="731"/>
      <c r="Y91" s="731"/>
      <c r="Z91" s="731"/>
      <c r="AA91" s="1538"/>
      <c r="AB91" s="1539"/>
      <c r="AC91" s="1540"/>
      <c r="AD91" s="1292"/>
      <c r="AE91" s="1292"/>
      <c r="AF91" s="1292"/>
      <c r="AG91" s="43"/>
      <c r="AH91" s="43"/>
      <c r="AI91" s="43"/>
      <c r="AJ91" s="43"/>
      <c r="AK91" s="43"/>
      <c r="AL91" s="43"/>
    </row>
    <row r="92" spans="1:38">
      <c r="A92" s="1342" t="s">
        <v>363</v>
      </c>
      <c r="B92" s="1343">
        <v>2004</v>
      </c>
      <c r="C92" s="1343">
        <v>2005</v>
      </c>
      <c r="D92" s="1343">
        <v>2006</v>
      </c>
      <c r="E92" s="1343">
        <v>2007</v>
      </c>
      <c r="F92" s="1343">
        <v>2008</v>
      </c>
      <c r="G92" s="1343">
        <v>2009</v>
      </c>
      <c r="H92" s="1343">
        <v>2010</v>
      </c>
      <c r="I92" s="1343">
        <v>2011</v>
      </c>
      <c r="J92" s="1343">
        <v>2012</v>
      </c>
      <c r="K92" s="1343">
        <v>2013</v>
      </c>
      <c r="L92" s="1343">
        <v>2014</v>
      </c>
      <c r="M92" s="1343">
        <v>2015</v>
      </c>
      <c r="N92" s="1343">
        <v>2016</v>
      </c>
      <c r="O92" s="1343">
        <v>2017</v>
      </c>
      <c r="P92" s="1344">
        <v>2018</v>
      </c>
      <c r="Q92" s="1344">
        <v>2019</v>
      </c>
      <c r="R92" s="1344">
        <v>2020</v>
      </c>
      <c r="S92" s="1344">
        <v>2021</v>
      </c>
      <c r="T92" s="1344">
        <v>2022</v>
      </c>
      <c r="U92" s="1344">
        <v>2023</v>
      </c>
      <c r="V92" s="1344">
        <v>2024</v>
      </c>
      <c r="W92" s="1344">
        <v>2025</v>
      </c>
      <c r="X92" s="731"/>
      <c r="Y92" s="731"/>
      <c r="Z92" s="731"/>
      <c r="AA92" s="1215"/>
      <c r="AB92" s="1533"/>
      <c r="AC92" s="1534"/>
      <c r="AD92" s="1292"/>
      <c r="AE92" s="1292"/>
      <c r="AF92" s="1292"/>
      <c r="AG92" s="43"/>
      <c r="AH92" s="43"/>
      <c r="AI92" s="43"/>
      <c r="AJ92" s="43"/>
      <c r="AK92" s="43"/>
      <c r="AL92" s="43"/>
    </row>
    <row r="93" spans="1:38">
      <c r="A93" s="1226" t="s">
        <v>364</v>
      </c>
      <c r="B93" s="1172"/>
      <c r="C93" s="1172"/>
      <c r="D93" s="1172"/>
      <c r="E93" s="1172"/>
      <c r="F93" s="1172"/>
      <c r="G93" s="1172"/>
      <c r="H93" s="1172"/>
      <c r="I93" s="1172"/>
      <c r="J93" s="1172"/>
      <c r="K93" s="1172"/>
      <c r="L93" s="1172"/>
      <c r="M93" s="1172"/>
      <c r="N93" s="1172"/>
      <c r="O93" s="1172"/>
      <c r="P93" s="1172"/>
      <c r="Q93" s="1172"/>
      <c r="R93" s="1172"/>
      <c r="S93" s="1172"/>
      <c r="T93" s="1172"/>
      <c r="U93" s="1172"/>
      <c r="V93" s="1172"/>
      <c r="W93" s="1172"/>
      <c r="X93" s="731"/>
      <c r="Y93" s="731"/>
      <c r="Z93" s="731"/>
      <c r="AA93" s="731"/>
      <c r="AB93" s="731"/>
      <c r="AC93" s="1181"/>
      <c r="AD93" s="1181"/>
      <c r="AE93" s="1181"/>
      <c r="AF93" s="1181"/>
    </row>
    <row r="94" spans="1:38">
      <c r="A94" s="1889" t="s">
        <v>365</v>
      </c>
      <c r="B94" s="1194">
        <v>0</v>
      </c>
      <c r="C94" s="1194">
        <v>0</v>
      </c>
      <c r="D94" s="1194">
        <v>0</v>
      </c>
      <c r="E94" s="1194">
        <v>7.65</v>
      </c>
      <c r="F94" s="1194">
        <v>74.141999999999996</v>
      </c>
      <c r="G94" s="1194">
        <v>80.706000000000003</v>
      </c>
      <c r="H94" s="1194">
        <v>37.167000000000002</v>
      </c>
      <c r="I94" s="1194">
        <v>36.725999999999999</v>
      </c>
      <c r="J94" s="1194">
        <v>69.41</v>
      </c>
      <c r="K94" s="1194">
        <v>242.946</v>
      </c>
      <c r="L94" s="1194">
        <v>202.48599999999999</v>
      </c>
      <c r="M94" s="1194">
        <v>500.67599999999999</v>
      </c>
      <c r="N94" s="1194">
        <v>489.63900000000001</v>
      </c>
      <c r="O94" s="1194">
        <v>473.94200000000001</v>
      </c>
      <c r="P94" s="1212">
        <v>468.40600000000001</v>
      </c>
      <c r="Q94" s="1212">
        <v>468.40600000000001</v>
      </c>
      <c r="R94" s="1212">
        <v>468.40600000000001</v>
      </c>
      <c r="S94" s="1212">
        <v>468.40600000000001</v>
      </c>
      <c r="T94" s="1212">
        <v>468.40600000000001</v>
      </c>
      <c r="U94" s="1212">
        <v>468.40600000000001</v>
      </c>
      <c r="V94" s="1212">
        <v>468.40600000000001</v>
      </c>
      <c r="W94" s="1212">
        <v>468.40600000000001</v>
      </c>
      <c r="X94" s="731"/>
      <c r="Y94" s="731"/>
      <c r="Z94" s="731"/>
      <c r="AA94" s="731"/>
      <c r="AB94" s="731"/>
      <c r="AC94" s="1181"/>
      <c r="AD94" s="1181"/>
      <c r="AE94" s="1525"/>
      <c r="AF94" s="1181"/>
    </row>
    <row r="95" spans="1:38">
      <c r="A95" s="1889" t="s">
        <v>366</v>
      </c>
      <c r="B95" s="1194">
        <v>1258.3920000000001</v>
      </c>
      <c r="C95" s="1194">
        <v>1247.6500000000001</v>
      </c>
      <c r="D95" s="1194">
        <v>1241.558</v>
      </c>
      <c r="E95" s="1194">
        <v>2033.703</v>
      </c>
      <c r="F95" s="1194">
        <v>2412.9249999999997</v>
      </c>
      <c r="G95" s="1194">
        <v>2505.6970000000001</v>
      </c>
      <c r="H95" s="1194">
        <v>3046.779</v>
      </c>
      <c r="I95" s="1194">
        <v>3116.8557919999998</v>
      </c>
      <c r="J95" s="1194">
        <v>3597.8986239999999</v>
      </c>
      <c r="K95" s="1194">
        <v>3783.2404000000001</v>
      </c>
      <c r="L95" s="1194">
        <v>3912.1806080000001</v>
      </c>
      <c r="M95" s="1194">
        <v>4417.7063479999997</v>
      </c>
      <c r="N95" s="1194">
        <v>4492.4620000000004</v>
      </c>
      <c r="O95" s="1194">
        <v>5289.8940000000002</v>
      </c>
      <c r="P95" s="1212">
        <v>5320.7072679980502</v>
      </c>
      <c r="Q95" s="1212">
        <v>5409.4884724777821</v>
      </c>
      <c r="R95" s="1212">
        <v>5500.302440785189</v>
      </c>
      <c r="S95" s="1212">
        <v>5737.7813763575778</v>
      </c>
      <c r="T95" s="1212">
        <v>5981.3436356058355</v>
      </c>
      <c r="U95" s="1212">
        <v>6230.9094614303085</v>
      </c>
      <c r="V95" s="1212">
        <v>6488.4937456354046</v>
      </c>
      <c r="W95" s="1212">
        <v>6754.43514348802</v>
      </c>
      <c r="X95" s="1533"/>
      <c r="Y95" s="1533"/>
      <c r="Z95" s="731"/>
      <c r="AA95" s="731"/>
      <c r="AB95" s="731"/>
      <c r="AC95" s="1181"/>
      <c r="AD95" s="1181"/>
      <c r="AE95" s="1525"/>
      <c r="AF95" s="1181"/>
    </row>
    <row r="96" spans="1:38">
      <c r="A96" s="1889" t="s">
        <v>367</v>
      </c>
      <c r="B96" s="1194">
        <v>106.429</v>
      </c>
      <c r="C96" s="1194">
        <v>92.368000000000009</v>
      </c>
      <c r="D96" s="1194">
        <v>78.088000000000008</v>
      </c>
      <c r="E96" s="1194">
        <v>0.14199999999999999</v>
      </c>
      <c r="F96" s="1194">
        <v>31.816000000000003</v>
      </c>
      <c r="G96" s="1194">
        <v>206.29600000000002</v>
      </c>
      <c r="H96" s="1194">
        <v>689.90200000000004</v>
      </c>
      <c r="I96" s="1194">
        <v>123.48599999999999</v>
      </c>
      <c r="J96" s="1194">
        <v>175.643</v>
      </c>
      <c r="K96" s="1194">
        <v>220.90300000000002</v>
      </c>
      <c r="L96" s="1194">
        <v>251.63500000000002</v>
      </c>
      <c r="M96" s="1194">
        <v>282.30699999999996</v>
      </c>
      <c r="N96" s="1194">
        <v>378.72200000000004</v>
      </c>
      <c r="O96" s="1194">
        <v>444.69300000000004</v>
      </c>
      <c r="P96" s="1212">
        <v>464.50700000000001</v>
      </c>
      <c r="Q96" s="1212">
        <v>464.50700000000001</v>
      </c>
      <c r="R96" s="1212">
        <v>464.50700000000001</v>
      </c>
      <c r="S96" s="1212">
        <v>464.50700000000001</v>
      </c>
      <c r="T96" s="1212">
        <v>464.50700000000001</v>
      </c>
      <c r="U96" s="1212">
        <v>464.50700000000001</v>
      </c>
      <c r="V96" s="1212">
        <v>464.50700000000001</v>
      </c>
      <c r="W96" s="1212">
        <v>464.50700000000001</v>
      </c>
      <c r="X96" s="731"/>
      <c r="Y96" s="731"/>
      <c r="Z96" s="731"/>
      <c r="AA96" s="731"/>
      <c r="AB96" s="731"/>
      <c r="AC96" s="1181"/>
      <c r="AD96" s="1181"/>
      <c r="AE96" s="1525"/>
      <c r="AF96" s="1181"/>
    </row>
    <row r="97" spans="1:32">
      <c r="A97" s="1228" t="s">
        <v>368</v>
      </c>
      <c r="B97" s="1187">
        <v>1364.8210000000001</v>
      </c>
      <c r="C97" s="1187">
        <v>1340.018</v>
      </c>
      <c r="D97" s="1187">
        <v>1319.646</v>
      </c>
      <c r="E97" s="1187">
        <v>2041.4950000000001</v>
      </c>
      <c r="F97" s="1187">
        <v>2518.8829999999994</v>
      </c>
      <c r="G97" s="1187">
        <v>2792.6990000000001</v>
      </c>
      <c r="H97" s="1187">
        <v>3773.848</v>
      </c>
      <c r="I97" s="1187">
        <v>3277.0677919999998</v>
      </c>
      <c r="J97" s="1187">
        <v>3842.9516239999998</v>
      </c>
      <c r="K97" s="1187">
        <v>4247.0893999999998</v>
      </c>
      <c r="L97" s="1187">
        <v>4366.3016080000007</v>
      </c>
      <c r="M97" s="1187">
        <v>5200.6893479999999</v>
      </c>
      <c r="N97" s="1187">
        <v>5360.8230000000003</v>
      </c>
      <c r="O97" s="1187">
        <v>6208.5290000000005</v>
      </c>
      <c r="P97" s="1188">
        <v>6253.6202679980497</v>
      </c>
      <c r="Q97" s="1188">
        <v>6342.4014724777817</v>
      </c>
      <c r="R97" s="1188">
        <v>6433.2154407851885</v>
      </c>
      <c r="S97" s="1188">
        <v>6670.6943763575773</v>
      </c>
      <c r="T97" s="1188">
        <v>6914.2566356058351</v>
      </c>
      <c r="U97" s="1188">
        <v>7163.8224614303081</v>
      </c>
      <c r="V97" s="1188">
        <v>7421.4067456354041</v>
      </c>
      <c r="W97" s="1188">
        <v>7687.3481434880196</v>
      </c>
      <c r="X97" s="731"/>
      <c r="Y97" s="731"/>
      <c r="Z97" s="731"/>
      <c r="AA97" s="731"/>
      <c r="AB97" s="731"/>
      <c r="AC97" s="1181"/>
      <c r="AD97" s="1181"/>
      <c r="AE97" s="1525"/>
      <c r="AF97" s="1181"/>
    </row>
    <row r="98" spans="1:32">
      <c r="A98" s="1889" t="s">
        <v>371</v>
      </c>
      <c r="B98" s="1194">
        <v>49.835000000000001</v>
      </c>
      <c r="C98" s="1194">
        <v>53.427</v>
      </c>
      <c r="D98" s="1194">
        <v>103.518</v>
      </c>
      <c r="E98" s="1194">
        <v>366.964</v>
      </c>
      <c r="F98" s="1194">
        <v>72.534000000000006</v>
      </c>
      <c r="G98" s="1194">
        <v>196.173</v>
      </c>
      <c r="H98" s="1194">
        <v>189.03799999999995</v>
      </c>
      <c r="I98" s="1194">
        <v>222.21899999999999</v>
      </c>
      <c r="J98" s="1194">
        <v>410.56700000000001</v>
      </c>
      <c r="K98" s="1194">
        <v>634.29</v>
      </c>
      <c r="L98" s="1194">
        <v>670.74099999999999</v>
      </c>
      <c r="M98" s="1194">
        <v>1126.5170000000001</v>
      </c>
      <c r="N98" s="1194">
        <v>1106.442</v>
      </c>
      <c r="O98" s="1194">
        <v>1172.115</v>
      </c>
      <c r="P98" s="1212">
        <v>1156.5660534690285</v>
      </c>
      <c r="Q98" s="1212">
        <v>1196.5302123966289</v>
      </c>
      <c r="R98" s="1212">
        <v>1238.4422882567435</v>
      </c>
      <c r="S98" s="1212">
        <v>1185.9123857137204</v>
      </c>
      <c r="T98" s="1212">
        <v>1110.8253064456596</v>
      </c>
      <c r="U98" s="1212">
        <v>900.42324911979949</v>
      </c>
      <c r="V98" s="1212">
        <v>554.68046535422161</v>
      </c>
      <c r="W98" s="1212">
        <v>217.82920202489657</v>
      </c>
      <c r="X98" s="731"/>
      <c r="Y98" s="731"/>
      <c r="Z98" s="731"/>
      <c r="AA98" s="731"/>
      <c r="AB98" s="731"/>
      <c r="AC98" s="1181"/>
      <c r="AD98" s="1181"/>
      <c r="AE98" s="1525"/>
      <c r="AF98" s="1181"/>
    </row>
    <row r="99" spans="1:32">
      <c r="A99" s="1889" t="s">
        <v>370</v>
      </c>
      <c r="B99" s="1194">
        <v>54.155999999999999</v>
      </c>
      <c r="C99" s="1194">
        <v>36.188000000000002</v>
      </c>
      <c r="D99" s="1194">
        <v>45.05</v>
      </c>
      <c r="E99" s="1194">
        <v>22.707999999999998</v>
      </c>
      <c r="F99" s="1194">
        <v>94.224999999999994</v>
      </c>
      <c r="G99" s="1194">
        <v>45.543999999999997</v>
      </c>
      <c r="H99" s="1194">
        <v>41.628</v>
      </c>
      <c r="I99" s="1194">
        <v>59.673000000000002</v>
      </c>
      <c r="J99" s="1194">
        <v>38.399000000000001</v>
      </c>
      <c r="K99" s="1194">
        <v>62.667000000000002</v>
      </c>
      <c r="L99" s="1194">
        <v>95.051000000000002</v>
      </c>
      <c r="M99" s="1194">
        <v>168.03100000000001</v>
      </c>
      <c r="N99" s="1194">
        <v>116.965</v>
      </c>
      <c r="O99" s="1194">
        <v>169.12899999999999</v>
      </c>
      <c r="P99" s="1212">
        <v>168.89936836786424</v>
      </c>
      <c r="Q99" s="1212">
        <v>142.92529547172634</v>
      </c>
      <c r="R99" s="1212">
        <v>186.24736072029509</v>
      </c>
      <c r="S99" s="1212">
        <v>238.43803969253935</v>
      </c>
      <c r="T99" s="1212">
        <v>267.31645304363389</v>
      </c>
      <c r="U99" s="1212">
        <v>292.6466747982156</v>
      </c>
      <c r="V99" s="1212">
        <v>335.61370075259532</v>
      </c>
      <c r="W99" s="1212">
        <v>396.59761449031794</v>
      </c>
      <c r="X99" s="731"/>
      <c r="Y99" s="731"/>
      <c r="Z99" s="731"/>
      <c r="AA99" s="731"/>
      <c r="AB99" s="731"/>
      <c r="AC99" s="1181"/>
      <c r="AD99" s="1181"/>
      <c r="AE99" s="1525"/>
      <c r="AF99" s="1181"/>
    </row>
    <row r="100" spans="1:32">
      <c r="A100" s="1889" t="s">
        <v>369</v>
      </c>
      <c r="B100" s="1194">
        <v>116.495</v>
      </c>
      <c r="C100" s="1194">
        <v>149.80699999999999</v>
      </c>
      <c r="D100" s="1194">
        <v>142.69800000000001</v>
      </c>
      <c r="E100" s="1194">
        <v>168.89</v>
      </c>
      <c r="F100" s="1194">
        <v>173.625</v>
      </c>
      <c r="G100" s="1194">
        <v>296.404</v>
      </c>
      <c r="H100" s="1194">
        <v>105.069</v>
      </c>
      <c r="I100" s="1194">
        <v>139.10599999999999</v>
      </c>
      <c r="J100" s="1194">
        <v>137.375</v>
      </c>
      <c r="K100" s="1194">
        <v>148.661</v>
      </c>
      <c r="L100" s="1194">
        <v>145.02799999999999</v>
      </c>
      <c r="M100" s="1194">
        <v>212.97499999999999</v>
      </c>
      <c r="N100" s="1194">
        <v>270.35199999999998</v>
      </c>
      <c r="O100" s="1194">
        <v>256.57400000000001</v>
      </c>
      <c r="P100" s="1212">
        <v>276.38581980047724</v>
      </c>
      <c r="Q100" s="1212">
        <v>256.37560665025057</v>
      </c>
      <c r="R100" s="1212">
        <v>303.91806020299498</v>
      </c>
      <c r="S100" s="1212">
        <v>367.92964929874455</v>
      </c>
      <c r="T100" s="1212">
        <v>391.22516132481252</v>
      </c>
      <c r="U100" s="1212">
        <v>405.78737254169403</v>
      </c>
      <c r="V100" s="1212">
        <v>453.78366050706273</v>
      </c>
      <c r="W100" s="1212">
        <v>472.33416722436135</v>
      </c>
      <c r="X100" s="731"/>
      <c r="Y100" s="731"/>
      <c r="Z100" s="731"/>
      <c r="AA100" s="731"/>
      <c r="AB100" s="731"/>
      <c r="AC100" s="1181"/>
      <c r="AD100" s="1181"/>
      <c r="AE100" s="1525"/>
      <c r="AF100" s="1181"/>
    </row>
    <row r="101" spans="1:32">
      <c r="A101" s="1889" t="s">
        <v>92</v>
      </c>
      <c r="B101" s="1194">
        <v>40.866999999999997</v>
      </c>
      <c r="C101" s="1194">
        <v>23.012</v>
      </c>
      <c r="D101" s="1194">
        <v>35.143999999999998</v>
      </c>
      <c r="E101" s="1194">
        <v>42.869</v>
      </c>
      <c r="F101" s="1194">
        <v>57.356000000000002</v>
      </c>
      <c r="G101" s="1194">
        <v>63.872</v>
      </c>
      <c r="H101" s="1194">
        <v>6.0860000000000003</v>
      </c>
      <c r="I101" s="1194">
        <v>11.658999999999999</v>
      </c>
      <c r="J101" s="1194">
        <v>16.614000000000001</v>
      </c>
      <c r="K101" s="1194">
        <v>84.998000000000005</v>
      </c>
      <c r="L101" s="1194">
        <v>37.466999999999999</v>
      </c>
      <c r="M101" s="1194">
        <v>68.718000000000004</v>
      </c>
      <c r="N101" s="1194">
        <v>119.78100000000001</v>
      </c>
      <c r="O101" s="1194">
        <v>11.231999999999999</v>
      </c>
      <c r="P101" s="1212">
        <v>11.086892432689799</v>
      </c>
      <c r="Q101" s="1212">
        <v>9.7580401715221328</v>
      </c>
      <c r="R101" s="1212">
        <v>11.004556266151489</v>
      </c>
      <c r="S101" s="1212">
        <v>12.704015115739944</v>
      </c>
      <c r="T101" s="1212">
        <v>12.909212381824036</v>
      </c>
      <c r="U101" s="1212">
        <v>12.821047001271305</v>
      </c>
      <c r="V101" s="1212">
        <v>13.753394205567599</v>
      </c>
      <c r="W101" s="1212">
        <v>13.755231721899801</v>
      </c>
      <c r="X101" s="731"/>
      <c r="Y101" s="731"/>
      <c r="Z101" s="731"/>
      <c r="AA101" s="731"/>
      <c r="AB101" s="731"/>
      <c r="AC101" s="1181"/>
      <c r="AD101" s="1181"/>
      <c r="AE101" s="1525"/>
      <c r="AF101" s="1181"/>
    </row>
    <row r="102" spans="1:32">
      <c r="A102" s="1889" t="s">
        <v>93</v>
      </c>
      <c r="B102" s="1194">
        <v>0</v>
      </c>
      <c r="C102" s="1194">
        <v>0</v>
      </c>
      <c r="D102" s="1194">
        <v>0</v>
      </c>
      <c r="E102" s="1194">
        <v>0</v>
      </c>
      <c r="F102" s="1194">
        <v>0</v>
      </c>
      <c r="G102" s="1194">
        <v>0</v>
      </c>
      <c r="H102" s="1194">
        <v>71.774000000000001</v>
      </c>
      <c r="I102" s="1194">
        <v>231.93320799999998</v>
      </c>
      <c r="J102" s="1194">
        <v>341.26037599999995</v>
      </c>
      <c r="K102" s="1194">
        <v>455.39559999999994</v>
      </c>
      <c r="L102" s="1194">
        <v>511.362392</v>
      </c>
      <c r="M102" s="1194">
        <v>842.10165199999983</v>
      </c>
      <c r="N102" s="1194">
        <v>781.22699999999986</v>
      </c>
      <c r="O102" s="1194">
        <v>873.94600000000014</v>
      </c>
      <c r="P102" s="1212">
        <v>797.31980039701671</v>
      </c>
      <c r="Q102" s="1212">
        <v>754.35677690506418</v>
      </c>
      <c r="R102" s="1212">
        <v>688.23755194584044</v>
      </c>
      <c r="S102" s="1212">
        <v>577.556941418159</v>
      </c>
      <c r="T102" s="1212">
        <v>476.27274993511168</v>
      </c>
      <c r="U102" s="1212">
        <v>381.60065450213892</v>
      </c>
      <c r="V102" s="1212">
        <v>381.60065450213892</v>
      </c>
      <c r="W102" s="1212">
        <v>381.60065450213892</v>
      </c>
      <c r="X102" s="731"/>
      <c r="Y102" s="731"/>
      <c r="Z102" s="731"/>
      <c r="AA102" s="731"/>
      <c r="AB102" s="731"/>
      <c r="AC102" s="1181"/>
      <c r="AD102" s="1181"/>
      <c r="AE102" s="1525"/>
      <c r="AF102" s="1181"/>
    </row>
    <row r="103" spans="1:32">
      <c r="A103" s="1228" t="s">
        <v>372</v>
      </c>
      <c r="B103" s="1187">
        <v>1626.1740000000002</v>
      </c>
      <c r="C103" s="1187">
        <v>1602.452</v>
      </c>
      <c r="D103" s="1187">
        <v>1646.056</v>
      </c>
      <c r="E103" s="1187">
        <v>2642.9260000000004</v>
      </c>
      <c r="F103" s="1187">
        <v>2916.6229999999996</v>
      </c>
      <c r="G103" s="1187">
        <v>3394.692</v>
      </c>
      <c r="H103" s="1187">
        <v>4187.4430000000011</v>
      </c>
      <c r="I103" s="1187">
        <v>3941.6579999999994</v>
      </c>
      <c r="J103" s="1187">
        <v>4787.1670000000004</v>
      </c>
      <c r="K103" s="1187">
        <v>5633.1009999999997</v>
      </c>
      <c r="L103" s="1187">
        <v>5825.9510000000009</v>
      </c>
      <c r="M103" s="1187">
        <v>7619.0319999999992</v>
      </c>
      <c r="N103" s="1187">
        <v>7755.59</v>
      </c>
      <c r="O103" s="1187">
        <v>8691.5249999999996</v>
      </c>
      <c r="P103" s="1188">
        <v>8663.8782024651264</v>
      </c>
      <c r="Q103" s="1188">
        <v>8702.3474040729743</v>
      </c>
      <c r="R103" s="1188">
        <v>8861.0652581772138</v>
      </c>
      <c r="S103" s="1188">
        <v>9053.2354075964795</v>
      </c>
      <c r="T103" s="1188">
        <v>9172.8055187368755</v>
      </c>
      <c r="U103" s="1188">
        <v>9157.1014593934269</v>
      </c>
      <c r="V103" s="1188">
        <v>9160.838620956989</v>
      </c>
      <c r="W103" s="1188">
        <v>9169.4650134516323</v>
      </c>
      <c r="X103" s="731"/>
      <c r="Y103" s="731"/>
      <c r="Z103" s="731"/>
      <c r="AA103" s="731"/>
      <c r="AB103" s="731"/>
      <c r="AC103" s="1181"/>
      <c r="AD103" s="1181"/>
      <c r="AE103" s="1525"/>
      <c r="AF103" s="1181"/>
    </row>
    <row r="104" spans="1:32">
      <c r="A104" s="1228" t="s">
        <v>373</v>
      </c>
      <c r="B104" s="1194"/>
      <c r="C104" s="1194"/>
      <c r="D104" s="1194"/>
      <c r="E104" s="1194"/>
      <c r="F104" s="1194"/>
      <c r="G104" s="1194"/>
      <c r="H104" s="1194"/>
      <c r="I104" s="1194"/>
      <c r="J104" s="1194"/>
      <c r="K104" s="1194"/>
      <c r="L104" s="1194"/>
      <c r="M104" s="1194"/>
      <c r="N104" s="1194"/>
      <c r="O104" s="1194"/>
      <c r="P104" s="1212"/>
      <c r="Q104" s="1212"/>
      <c r="R104" s="1212"/>
      <c r="S104" s="1212"/>
      <c r="T104" s="1212"/>
      <c r="U104" s="1212"/>
      <c r="V104" s="1212"/>
      <c r="W104" s="1212"/>
      <c r="X104" s="731"/>
      <c r="Y104" s="731"/>
      <c r="Z104" s="731"/>
      <c r="AA104" s="731"/>
      <c r="AB104" s="731"/>
      <c r="AC104" s="1181"/>
      <c r="AD104" s="1181"/>
      <c r="AE104" s="1525"/>
      <c r="AF104" s="1181"/>
    </row>
    <row r="105" spans="1:32">
      <c r="A105" s="1889" t="s">
        <v>378</v>
      </c>
      <c r="B105" s="1194">
        <v>258.00600000000003</v>
      </c>
      <c r="C105" s="1194">
        <v>223.90299999999999</v>
      </c>
      <c r="D105" s="1194">
        <v>241.31199999999998</v>
      </c>
      <c r="E105" s="1194">
        <v>322.803</v>
      </c>
      <c r="F105" s="1194">
        <v>591.34400000000005</v>
      </c>
      <c r="G105" s="1194">
        <v>1137.8699999999999</v>
      </c>
      <c r="H105" s="1194">
        <v>955.13900000000001</v>
      </c>
      <c r="I105" s="1194">
        <v>737.601</v>
      </c>
      <c r="J105" s="1194">
        <v>1246.6379999999999</v>
      </c>
      <c r="K105" s="1194">
        <v>1981.9259999999999</v>
      </c>
      <c r="L105" s="1194">
        <v>2209.2220000000002</v>
      </c>
      <c r="M105" s="1194">
        <v>3613.6010000000001</v>
      </c>
      <c r="N105" s="1194">
        <v>3825.48</v>
      </c>
      <c r="O105" s="1194">
        <v>3719.2429999999999</v>
      </c>
      <c r="P105" s="1212">
        <v>3527.7348000000002</v>
      </c>
      <c r="Q105" s="1212">
        <v>3527.7348000000002</v>
      </c>
      <c r="R105" s="1212">
        <v>3527.7348000000002</v>
      </c>
      <c r="S105" s="1212">
        <v>3527.7348000000002</v>
      </c>
      <c r="T105" s="1212">
        <v>3527.7348000000002</v>
      </c>
      <c r="U105" s="1212">
        <v>3527.7348000000002</v>
      </c>
      <c r="V105" s="1212">
        <v>3527.7348000000002</v>
      </c>
      <c r="W105" s="1212">
        <v>3527.7348000000002</v>
      </c>
      <c r="X105" s="731"/>
      <c r="Y105" s="731"/>
      <c r="Z105" s="731"/>
      <c r="AA105" s="731"/>
      <c r="AB105" s="731"/>
      <c r="AC105" s="1181"/>
      <c r="AD105" s="1181"/>
      <c r="AE105" s="1525"/>
      <c r="AF105" s="1181"/>
    </row>
    <row r="106" spans="1:32">
      <c r="A106" s="1889" t="s">
        <v>246</v>
      </c>
      <c r="B106" s="1194">
        <v>0</v>
      </c>
      <c r="C106" s="1194">
        <v>0</v>
      </c>
      <c r="D106" s="1194">
        <v>0</v>
      </c>
      <c r="E106" s="1194">
        <v>20</v>
      </c>
      <c r="F106" s="1194">
        <v>0</v>
      </c>
      <c r="G106" s="1194">
        <v>0</v>
      </c>
      <c r="H106" s="1194">
        <v>0</v>
      </c>
      <c r="I106" s="1194">
        <v>9.18</v>
      </c>
      <c r="J106" s="1194">
        <v>30.07</v>
      </c>
      <c r="K106" s="1194">
        <v>17.326000000000001</v>
      </c>
      <c r="L106" s="1194">
        <v>32.482999999999997</v>
      </c>
      <c r="M106" s="1194">
        <v>67.938999999999993</v>
      </c>
      <c r="N106" s="1194">
        <v>53.164000000000001</v>
      </c>
      <c r="O106" s="1194">
        <v>74.242999999999995</v>
      </c>
      <c r="P106" s="1212">
        <v>0</v>
      </c>
      <c r="Q106" s="1212">
        <v>0</v>
      </c>
      <c r="R106" s="1212">
        <v>0</v>
      </c>
      <c r="S106" s="1212">
        <v>0</v>
      </c>
      <c r="T106" s="1212">
        <v>0</v>
      </c>
      <c r="U106" s="1212">
        <v>0</v>
      </c>
      <c r="V106" s="1212">
        <v>0</v>
      </c>
      <c r="W106" s="1212">
        <v>0</v>
      </c>
      <c r="X106" s="731"/>
      <c r="Y106" s="731"/>
      <c r="Z106" s="731"/>
      <c r="AA106" s="731"/>
      <c r="AB106" s="731"/>
      <c r="AC106" s="1181"/>
      <c r="AD106" s="1181"/>
      <c r="AE106" s="1525"/>
      <c r="AF106" s="1181"/>
    </row>
    <row r="107" spans="1:32">
      <c r="A107" s="1889" t="s">
        <v>1202</v>
      </c>
      <c r="B107" s="1194">
        <v>101.21899999999999</v>
      </c>
      <c r="C107" s="1194">
        <v>66.53</v>
      </c>
      <c r="D107" s="1194">
        <v>47.046999999999997</v>
      </c>
      <c r="E107" s="1194">
        <v>57.701000000000001</v>
      </c>
      <c r="F107" s="1116">
        <v>133.15100000000001</v>
      </c>
      <c r="G107" s="1116">
        <v>78.353000000000009</v>
      </c>
      <c r="H107" s="1116">
        <v>76.375</v>
      </c>
      <c r="I107" s="1116">
        <v>63.298999999999999</v>
      </c>
      <c r="J107" s="1116">
        <v>79.010999999999996</v>
      </c>
      <c r="K107" s="1116">
        <v>98.234999999999999</v>
      </c>
      <c r="L107" s="1116">
        <v>90.602000000000004</v>
      </c>
      <c r="M107" s="1116">
        <v>115.727</v>
      </c>
      <c r="N107" s="1116">
        <v>137.71100000000001</v>
      </c>
      <c r="O107" s="1116">
        <v>138.93899999999999</v>
      </c>
      <c r="P107" s="1238">
        <v>146.50916009008529</v>
      </c>
      <c r="Q107" s="1238">
        <v>115.83204550841573</v>
      </c>
      <c r="R107" s="1238">
        <v>115.83631453568402</v>
      </c>
      <c r="S107" s="1238">
        <v>116.64835572090276</v>
      </c>
      <c r="T107" s="1238">
        <v>101.17982445081002</v>
      </c>
      <c r="U107" s="1238">
        <v>83.254660354007257</v>
      </c>
      <c r="V107" s="1238">
        <v>70.821534438389378</v>
      </c>
      <c r="W107" s="1238">
        <v>52.341117373089574</v>
      </c>
      <c r="X107" s="731"/>
      <c r="Y107" s="731"/>
      <c r="Z107" s="731"/>
      <c r="AA107" s="731"/>
      <c r="AB107" s="731"/>
      <c r="AC107" s="1181"/>
      <c r="AD107" s="1181"/>
      <c r="AE107" s="1525"/>
      <c r="AF107" s="1181"/>
    </row>
    <row r="108" spans="1:32">
      <c r="A108" s="1889" t="s">
        <v>379</v>
      </c>
      <c r="B108" s="1194">
        <v>383.23399999999998</v>
      </c>
      <c r="C108" s="1194">
        <v>401.84699999999998</v>
      </c>
      <c r="D108" s="1194">
        <v>421.74599999999998</v>
      </c>
      <c r="E108" s="1194">
        <v>563.3309999999999</v>
      </c>
      <c r="F108" s="1194">
        <v>560.93599999999992</v>
      </c>
      <c r="G108" s="1194">
        <v>585.02499999999998</v>
      </c>
      <c r="H108" s="1194">
        <v>1246.538</v>
      </c>
      <c r="I108" s="1194">
        <v>1178.0900000000001</v>
      </c>
      <c r="J108" s="1194">
        <v>1406.77</v>
      </c>
      <c r="K108" s="1194">
        <v>1435.0060000000001</v>
      </c>
      <c r="L108" s="1194">
        <v>1417.692</v>
      </c>
      <c r="M108" s="1194">
        <v>1205.6799999999996</v>
      </c>
      <c r="N108" s="1194">
        <v>1092.6380000000001</v>
      </c>
      <c r="O108" s="1194">
        <v>1355.7800000000002</v>
      </c>
      <c r="P108" s="1212">
        <v>1641.4411988321851</v>
      </c>
      <c r="Q108" s="1212">
        <v>1566.8266287217068</v>
      </c>
      <c r="R108" s="1212">
        <v>1592.7931544574681</v>
      </c>
      <c r="S108" s="1212">
        <v>1622.0367213892057</v>
      </c>
      <c r="T108" s="1212">
        <v>1627.538213639797</v>
      </c>
      <c r="U108" s="1212">
        <v>1629.7593183931501</v>
      </c>
      <c r="V108" s="1212">
        <v>1645.929605872331</v>
      </c>
      <c r="W108" s="1212">
        <v>1673.0364154322749</v>
      </c>
      <c r="X108" s="731"/>
      <c r="Y108" s="731"/>
      <c r="Z108" s="731"/>
      <c r="AA108" s="731"/>
      <c r="AB108" s="731"/>
      <c r="AC108" s="1181"/>
      <c r="AD108" s="1181"/>
      <c r="AE108" s="1525"/>
      <c r="AF108" s="1181"/>
    </row>
    <row r="109" spans="1:32">
      <c r="A109" s="1228" t="s">
        <v>377</v>
      </c>
      <c r="B109" s="1187">
        <v>883.71500000000003</v>
      </c>
      <c r="C109" s="1187">
        <v>910.17199999999991</v>
      </c>
      <c r="D109" s="1187">
        <v>935.95100000000002</v>
      </c>
      <c r="E109" s="1187">
        <v>1679.0909999999999</v>
      </c>
      <c r="F109" s="1187">
        <v>1632.1920000000002</v>
      </c>
      <c r="G109" s="1187">
        <v>1593.444</v>
      </c>
      <c r="H109" s="1187">
        <v>1909.3909999999998</v>
      </c>
      <c r="I109" s="1187">
        <v>1953.4260000000002</v>
      </c>
      <c r="J109" s="1187">
        <v>2024.7839999999999</v>
      </c>
      <c r="K109" s="1187">
        <v>2100.6170000000002</v>
      </c>
      <c r="L109" s="1187">
        <v>2075.9520000000002</v>
      </c>
      <c r="M109" s="1187">
        <v>2616.085</v>
      </c>
      <c r="N109" s="1187">
        <v>2646.5969999999998</v>
      </c>
      <c r="O109" s="1187">
        <v>3403.32</v>
      </c>
      <c r="P109" s="1188">
        <v>3348.1930435428562</v>
      </c>
      <c r="Q109" s="1188">
        <v>3491.9539298428517</v>
      </c>
      <c r="R109" s="1188">
        <v>3624.7009891840626</v>
      </c>
      <c r="S109" s="1188">
        <v>3786.8155304863726</v>
      </c>
      <c r="T109" s="1188">
        <v>3916.3526806462701</v>
      </c>
      <c r="U109" s="1188">
        <v>3916.3526806462701</v>
      </c>
      <c r="V109" s="1188">
        <v>3916.3526806462701</v>
      </c>
      <c r="W109" s="1188">
        <v>3916.3526806462701</v>
      </c>
      <c r="X109" s="731"/>
      <c r="Y109" s="731"/>
      <c r="Z109" s="731"/>
      <c r="AA109" s="731"/>
      <c r="AB109" s="731"/>
      <c r="AC109" s="1181"/>
      <c r="AD109" s="1181"/>
      <c r="AE109" s="1525"/>
      <c r="AF109" s="1181"/>
    </row>
    <row r="110" spans="1:32">
      <c r="A110" s="1889" t="s">
        <v>376</v>
      </c>
      <c r="B110" s="1194">
        <v>0</v>
      </c>
      <c r="C110" s="1194">
        <v>0</v>
      </c>
      <c r="D110" s="1194">
        <v>0</v>
      </c>
      <c r="E110" s="1194">
        <v>7.6109999999999998</v>
      </c>
      <c r="F110" s="1194">
        <v>7.6109999999999998</v>
      </c>
      <c r="G110" s="1194">
        <v>18.242999999999999</v>
      </c>
      <c r="H110" s="1194">
        <v>0</v>
      </c>
      <c r="I110" s="1194">
        <v>0</v>
      </c>
      <c r="J110" s="1194">
        <v>0</v>
      </c>
      <c r="K110" s="1194">
        <v>0</v>
      </c>
      <c r="L110" s="1194">
        <v>0</v>
      </c>
      <c r="M110" s="1194">
        <v>0</v>
      </c>
      <c r="N110" s="1194">
        <v>0</v>
      </c>
      <c r="O110" s="1194">
        <v>0</v>
      </c>
      <c r="P110" s="1212">
        <v>0</v>
      </c>
      <c r="Q110" s="1212">
        <v>0</v>
      </c>
      <c r="R110" s="1212">
        <v>0</v>
      </c>
      <c r="S110" s="1212">
        <v>0</v>
      </c>
      <c r="T110" s="1212">
        <v>0</v>
      </c>
      <c r="U110" s="1212">
        <v>0</v>
      </c>
      <c r="V110" s="1212">
        <v>0</v>
      </c>
      <c r="W110" s="1212">
        <v>0</v>
      </c>
      <c r="X110" s="731"/>
      <c r="Y110" s="731"/>
      <c r="Z110" s="731"/>
      <c r="AA110" s="731"/>
      <c r="AB110" s="731"/>
      <c r="AC110" s="1181"/>
      <c r="AD110" s="1181"/>
      <c r="AE110" s="1525"/>
      <c r="AF110" s="1181"/>
    </row>
    <row r="111" spans="1:32" s="43" customFormat="1">
      <c r="A111" s="1707" t="s">
        <v>380</v>
      </c>
      <c r="B111" s="1592">
        <v>1626.174</v>
      </c>
      <c r="C111" s="1592">
        <v>1602.4519999999998</v>
      </c>
      <c r="D111" s="1592">
        <v>1646.056</v>
      </c>
      <c r="E111" s="1592">
        <v>2642.9259999999999</v>
      </c>
      <c r="F111" s="1592">
        <v>2917.6230000000005</v>
      </c>
      <c r="G111" s="1592">
        <v>3394.692</v>
      </c>
      <c r="H111" s="1592">
        <v>4187.4430000000002</v>
      </c>
      <c r="I111" s="1592">
        <v>3941.5960000000005</v>
      </c>
      <c r="J111" s="1592">
        <v>4787.2729999999992</v>
      </c>
      <c r="K111" s="1592">
        <v>5633.1100000000006</v>
      </c>
      <c r="L111" s="1592">
        <v>5825.9510000000009</v>
      </c>
      <c r="M111" s="1592">
        <v>7619.0319999999992</v>
      </c>
      <c r="N111" s="1592">
        <v>7755.59</v>
      </c>
      <c r="O111" s="1592">
        <v>8691.5249999999996</v>
      </c>
      <c r="P111" s="1648">
        <v>8663.8782024651264</v>
      </c>
      <c r="Q111" s="1648">
        <v>8702.3474040729743</v>
      </c>
      <c r="R111" s="1648">
        <v>8861.0652581772156</v>
      </c>
      <c r="S111" s="1648">
        <v>9053.2354075964813</v>
      </c>
      <c r="T111" s="1648">
        <v>9172.8055187368773</v>
      </c>
      <c r="U111" s="1648">
        <v>9157.1014593934269</v>
      </c>
      <c r="V111" s="1648">
        <v>9160.8386209569908</v>
      </c>
      <c r="W111" s="1648">
        <v>9169.4650134516341</v>
      </c>
      <c r="X111" s="990"/>
      <c r="Y111" s="990"/>
      <c r="Z111" s="990"/>
      <c r="AA111" s="990"/>
      <c r="AB111" s="990"/>
      <c r="AC111" s="1292"/>
      <c r="AD111" s="1292"/>
      <c r="AE111" s="1708"/>
      <c r="AF111" s="1292"/>
    </row>
    <row r="112" spans="1:32" ht="12.75" customHeight="1">
      <c r="A112" s="731"/>
      <c r="B112" s="1169"/>
      <c r="C112" s="1169"/>
      <c r="D112" s="1169"/>
      <c r="E112" s="1169"/>
      <c r="F112" s="1169"/>
      <c r="G112" s="1169"/>
      <c r="H112" s="1169"/>
      <c r="I112" s="1169"/>
      <c r="J112" s="1169"/>
      <c r="K112" s="1169"/>
      <c r="L112" s="1169"/>
      <c r="M112" s="1169"/>
      <c r="N112" s="1169"/>
      <c r="O112" s="1169"/>
      <c r="P112" s="1169"/>
      <c r="Q112" s="1169"/>
      <c r="R112" s="1169"/>
      <c r="S112" s="1169"/>
      <c r="T112" s="1169"/>
      <c r="U112" s="1169"/>
      <c r="V112" s="1169"/>
      <c r="W112" s="1169"/>
      <c r="X112" s="731"/>
      <c r="Y112" s="731"/>
      <c r="Z112" s="731"/>
      <c r="AA112" s="731"/>
      <c r="AB112" s="731"/>
      <c r="AC112" s="1181"/>
      <c r="AD112" s="1181"/>
      <c r="AE112" s="1181"/>
      <c r="AF112" s="1181"/>
    </row>
    <row r="113" spans="1:32">
      <c r="A113" s="1342" t="s">
        <v>381</v>
      </c>
      <c r="B113" s="1343">
        <v>2004</v>
      </c>
      <c r="C113" s="1343">
        <v>2005</v>
      </c>
      <c r="D113" s="1343">
        <v>2006</v>
      </c>
      <c r="E113" s="1343">
        <v>2007</v>
      </c>
      <c r="F113" s="1343">
        <v>2008</v>
      </c>
      <c r="G113" s="1343">
        <v>2009</v>
      </c>
      <c r="H113" s="1343">
        <v>2010</v>
      </c>
      <c r="I113" s="1343">
        <v>2011</v>
      </c>
      <c r="J113" s="1343">
        <v>2012</v>
      </c>
      <c r="K113" s="1343">
        <v>2013</v>
      </c>
      <c r="L113" s="1343">
        <v>2014</v>
      </c>
      <c r="M113" s="1343">
        <v>2015</v>
      </c>
      <c r="N113" s="1343">
        <v>2016</v>
      </c>
      <c r="O113" s="1343">
        <v>2017</v>
      </c>
      <c r="P113" s="1344">
        <v>2018</v>
      </c>
      <c r="Q113" s="1344">
        <v>2019</v>
      </c>
      <c r="R113" s="1344">
        <v>2020</v>
      </c>
      <c r="S113" s="1344">
        <v>2021</v>
      </c>
      <c r="T113" s="1344">
        <v>2022</v>
      </c>
      <c r="U113" s="1344">
        <v>2023</v>
      </c>
      <c r="V113" s="1344">
        <v>2024</v>
      </c>
      <c r="W113" s="1344">
        <v>2025</v>
      </c>
      <c r="X113" s="731"/>
      <c r="Y113" s="731"/>
      <c r="Z113" s="731"/>
      <c r="AA113" s="731"/>
      <c r="AB113" s="731"/>
      <c r="AC113" s="1181"/>
      <c r="AD113" s="1181"/>
      <c r="AE113" s="1181"/>
      <c r="AF113" s="1181"/>
    </row>
    <row r="114" spans="1:32">
      <c r="A114" s="1229" t="s">
        <v>1429</v>
      </c>
      <c r="B114" s="1230"/>
      <c r="C114" s="1230">
        <v>35.701999999999963</v>
      </c>
      <c r="D114" s="1230">
        <v>172.50199999999998</v>
      </c>
      <c r="E114" s="1230">
        <v>198.76599999999985</v>
      </c>
      <c r="F114" s="1230">
        <v>-48.793999999999926</v>
      </c>
      <c r="G114" s="1230">
        <v>-71.86500000000008</v>
      </c>
      <c r="H114" s="1230">
        <v>98.071999999999832</v>
      </c>
      <c r="I114" s="1230">
        <v>142.29099999999985</v>
      </c>
      <c r="J114" s="1230">
        <v>126.61100000000016</v>
      </c>
      <c r="K114" s="1230">
        <v>72.949999999999804</v>
      </c>
      <c r="L114" s="1230">
        <v>135.00200000000004</v>
      </c>
      <c r="M114" s="1230">
        <v>317.23799999999966</v>
      </c>
      <c r="N114" s="1230">
        <v>199.43399999999997</v>
      </c>
      <c r="O114" s="1230">
        <v>283.88800000000009</v>
      </c>
      <c r="P114" s="1231">
        <v>417.42673923809411</v>
      </c>
      <c r="Q114" s="1231">
        <v>287.52177259999075</v>
      </c>
      <c r="R114" s="1231">
        <v>442.49019780403654</v>
      </c>
      <c r="S114" s="1231">
        <v>540.38180434103401</v>
      </c>
      <c r="T114" s="1231">
        <v>431.79050053299136</v>
      </c>
      <c r="U114" s="1231">
        <v>306.22721538531863</v>
      </c>
      <c r="V114" s="1231">
        <v>292.17759809081502</v>
      </c>
      <c r="W114" s="1231">
        <v>382.13226409052299</v>
      </c>
      <c r="X114" s="731"/>
      <c r="Y114" s="731"/>
      <c r="Z114" s="731"/>
      <c r="AA114" s="731"/>
      <c r="AB114" s="731"/>
      <c r="AC114" s="1181"/>
      <c r="AD114" s="1181"/>
      <c r="AE114" s="1181"/>
      <c r="AF114" s="1181"/>
    </row>
    <row r="115" spans="1:32">
      <c r="A115" s="1891" t="s">
        <v>382</v>
      </c>
      <c r="B115" s="1194"/>
      <c r="C115" s="1194">
        <v>77.599999999999994</v>
      </c>
      <c r="D115" s="1194">
        <v>87.3</v>
      </c>
      <c r="E115" s="1194">
        <v>140.09100000000001</v>
      </c>
      <c r="F115" s="1194">
        <v>191.21400000000003</v>
      </c>
      <c r="G115" s="1194">
        <v>202.506</v>
      </c>
      <c r="H115" s="1194">
        <v>277.01599999999996</v>
      </c>
      <c r="I115" s="1194">
        <v>330.35499999999996</v>
      </c>
      <c r="J115" s="1194">
        <v>351.62699999999995</v>
      </c>
      <c r="K115" s="1194">
        <v>452.95</v>
      </c>
      <c r="L115" s="1194">
        <v>448.28499999999997</v>
      </c>
      <c r="M115" s="1194">
        <v>599.029</v>
      </c>
      <c r="N115" s="1194">
        <v>723.76099999999997</v>
      </c>
      <c r="O115" s="1194">
        <v>737.91100000000006</v>
      </c>
      <c r="P115" s="1212">
        <v>857.22633754327057</v>
      </c>
      <c r="Q115" s="1212">
        <v>823.38394651244732</v>
      </c>
      <c r="R115" s="1212">
        <v>962.06293778882491</v>
      </c>
      <c r="S115" s="1212">
        <v>1105.0313401873655</v>
      </c>
      <c r="T115" s="1212">
        <v>1086.0842927565102</v>
      </c>
      <c r="U115" s="1212">
        <v>1042.6016980830461</v>
      </c>
      <c r="V115" s="1212">
        <v>1116.6443121952377</v>
      </c>
      <c r="W115" s="1212">
        <v>1192.9789907203201</v>
      </c>
      <c r="X115" s="731"/>
      <c r="Y115" s="731"/>
      <c r="Z115" s="731"/>
      <c r="AA115" s="731"/>
      <c r="AB115" s="731"/>
      <c r="AC115" s="1181"/>
      <c r="AD115" s="1181"/>
      <c r="AE115" s="1181"/>
      <c r="AF115" s="1181"/>
    </row>
    <row r="116" spans="1:32">
      <c r="A116" s="1891" t="s">
        <v>383</v>
      </c>
      <c r="B116" s="1194"/>
      <c r="C116" s="1194">
        <v>-13.564999999999998</v>
      </c>
      <c r="D116" s="1194">
        <v>-13.468999999999994</v>
      </c>
      <c r="E116" s="1194">
        <v>160.66399999999987</v>
      </c>
      <c r="F116" s="1194">
        <v>-30.394999999999982</v>
      </c>
      <c r="G116" s="1194">
        <v>-96.54200000000003</v>
      </c>
      <c r="H116" s="1194">
        <v>183.60699999999991</v>
      </c>
      <c r="I116" s="1194">
        <v>-198.31420799999978</v>
      </c>
      <c r="J116" s="1194">
        <v>-9.6651679999999658</v>
      </c>
      <c r="K116" s="1194">
        <v>-173.23622400000005</v>
      </c>
      <c r="L116" s="1194">
        <v>-28.566792000000191</v>
      </c>
      <c r="M116" s="1194">
        <v>-225.34625999999969</v>
      </c>
      <c r="N116" s="1194">
        <v>10.618652000000225</v>
      </c>
      <c r="O116" s="1194">
        <v>-126.29800000000012</v>
      </c>
      <c r="P116" s="1212">
        <v>-19.097522075777761</v>
      </c>
      <c r="Q116" s="1212">
        <v>-15.015522892663057</v>
      </c>
      <c r="R116" s="1212">
        <v>-2.1015173689420408E-2</v>
      </c>
      <c r="S116" s="1212">
        <v>22.834491727055592</v>
      </c>
      <c r="T116" s="1212">
        <v>38.938029820299562</v>
      </c>
      <c r="U116" s="1212">
        <v>39.163768498612853</v>
      </c>
      <c r="V116" s="1212">
        <v>-88.158499560481914</v>
      </c>
      <c r="W116" s="1212">
        <v>-70.909865476709683</v>
      </c>
      <c r="X116" s="731"/>
      <c r="Y116" s="731"/>
      <c r="Z116" s="731"/>
      <c r="AA116" s="731"/>
      <c r="AB116" s="731"/>
      <c r="AC116" s="1181"/>
      <c r="AD116" s="1181"/>
      <c r="AE116" s="1181"/>
      <c r="AF116" s="1181"/>
    </row>
    <row r="117" spans="1:32">
      <c r="A117" s="1233" t="s">
        <v>1430</v>
      </c>
      <c r="B117" s="1187"/>
      <c r="C117" s="1187">
        <v>99.736999999999966</v>
      </c>
      <c r="D117" s="1187">
        <v>246.33299999999997</v>
      </c>
      <c r="E117" s="1187">
        <v>499.52099999999973</v>
      </c>
      <c r="F117" s="1187">
        <v>112.02500000000012</v>
      </c>
      <c r="G117" s="1187">
        <v>34.098999999999876</v>
      </c>
      <c r="H117" s="1187">
        <v>558.69499999999971</v>
      </c>
      <c r="I117" s="1187">
        <v>274.33179200000006</v>
      </c>
      <c r="J117" s="1187">
        <v>468.57283200000018</v>
      </c>
      <c r="K117" s="1187">
        <v>352.6637759999997</v>
      </c>
      <c r="L117" s="1187">
        <v>554.72020799999984</v>
      </c>
      <c r="M117" s="1187">
        <v>690.92073999999991</v>
      </c>
      <c r="N117" s="1187">
        <v>933.81365200000016</v>
      </c>
      <c r="O117" s="1187">
        <v>895.50100000000009</v>
      </c>
      <c r="P117" s="1188">
        <v>1255.5555547055869</v>
      </c>
      <c r="Q117" s="1188">
        <v>1095.8901962197749</v>
      </c>
      <c r="R117" s="1188">
        <v>1404.5321204191721</v>
      </c>
      <c r="S117" s="1188">
        <v>1668.2476362554551</v>
      </c>
      <c r="T117" s="1188">
        <v>1556.8128231098012</v>
      </c>
      <c r="U117" s="1188">
        <v>1387.9926819669777</v>
      </c>
      <c r="V117" s="1188">
        <v>1320.6634107255709</v>
      </c>
      <c r="W117" s="1188">
        <v>1504.2013893341334</v>
      </c>
      <c r="X117" s="731"/>
      <c r="Y117" s="731"/>
      <c r="Z117" s="731"/>
      <c r="AA117" s="731"/>
      <c r="AB117" s="731"/>
      <c r="AC117" s="1181"/>
      <c r="AD117" s="1181"/>
      <c r="AE117" s="1181"/>
      <c r="AF117" s="1181"/>
    </row>
    <row r="118" spans="1:32">
      <c r="A118" s="1232" t="s">
        <v>385</v>
      </c>
      <c r="B118" s="1194"/>
      <c r="C118" s="1194">
        <v>-66.858000000000033</v>
      </c>
      <c r="D118" s="1194">
        <v>-81.207999999999899</v>
      </c>
      <c r="E118" s="1194">
        <v>-932.23599999999999</v>
      </c>
      <c r="F118" s="1194">
        <v>-519.18600000000004</v>
      </c>
      <c r="G118" s="1194">
        <v>-457.29100000000005</v>
      </c>
      <c r="H118" s="1194">
        <v>-334.346</v>
      </c>
      <c r="I118" s="1194">
        <v>-454.16899999999998</v>
      </c>
      <c r="J118" s="1194">
        <v>-631.06600000000003</v>
      </c>
      <c r="K118" s="1194">
        <v>-679.84099999999989</v>
      </c>
      <c r="L118" s="1194">
        <v>-658.44399999999996</v>
      </c>
      <c r="M118" s="1194">
        <v>-812.029</v>
      </c>
      <c r="N118" s="1194">
        <v>-840.81400000000008</v>
      </c>
      <c r="O118" s="1194">
        <v>-976.98</v>
      </c>
      <c r="P118" s="1212">
        <v>-946.50360554132044</v>
      </c>
      <c r="Q118" s="1212">
        <v>-912.16515099217929</v>
      </c>
      <c r="R118" s="1212">
        <v>-1052.8769060962318</v>
      </c>
      <c r="S118" s="1212">
        <v>-1342.5102757597542</v>
      </c>
      <c r="T118" s="1212">
        <v>-1329.646552004768</v>
      </c>
      <c r="U118" s="1212">
        <v>-1292.1675239075191</v>
      </c>
      <c r="V118" s="1212">
        <v>-1374.2285964003338</v>
      </c>
      <c r="W118" s="1212">
        <v>-1458.9203885729355</v>
      </c>
      <c r="X118" s="731"/>
      <c r="Y118" s="731"/>
      <c r="Z118" s="731"/>
      <c r="AA118" s="731"/>
      <c r="AB118" s="731"/>
      <c r="AC118" s="1181"/>
      <c r="AD118" s="1181"/>
      <c r="AE118" s="1181"/>
      <c r="AF118" s="1181"/>
    </row>
    <row r="119" spans="1:32">
      <c r="A119" s="1232" t="s">
        <v>384</v>
      </c>
      <c r="B119" s="1194"/>
      <c r="C119" s="1931">
        <v>-35.701999999999963</v>
      </c>
      <c r="D119" s="1931">
        <v>-172.50199999999998</v>
      </c>
      <c r="E119" s="1931">
        <v>-198.76599999999985</v>
      </c>
      <c r="F119" s="1194">
        <v>48.793999999999969</v>
      </c>
      <c r="G119" s="1194">
        <v>71.865000000000038</v>
      </c>
      <c r="H119" s="1194">
        <v>120.55900000000003</v>
      </c>
      <c r="I119" s="1194">
        <v>-166.40599999999989</v>
      </c>
      <c r="J119" s="1194">
        <v>-12.259999999999962</v>
      </c>
      <c r="K119" s="1194">
        <v>-381.81700000000001</v>
      </c>
      <c r="L119" s="1194">
        <v>95.274999999999949</v>
      </c>
      <c r="M119" s="1194">
        <v>-125.77300000000008</v>
      </c>
      <c r="N119" s="1194">
        <v>-159.14699999999988</v>
      </c>
      <c r="O119" s="1194">
        <v>-108.57700000000007</v>
      </c>
      <c r="P119" s="1212">
        <v>-163.54569569523758</v>
      </c>
      <c r="Q119" s="1212">
        <v>-143.76088629999541</v>
      </c>
      <c r="R119" s="1212">
        <v>-309.74313846282547</v>
      </c>
      <c r="S119" s="1212">
        <v>-378.26726303872289</v>
      </c>
      <c r="T119" s="1212">
        <v>-302.2533503730935</v>
      </c>
      <c r="U119" s="1212">
        <v>-306.22721538531857</v>
      </c>
      <c r="V119" s="1212">
        <v>-292.17759809081485</v>
      </c>
      <c r="W119" s="1212">
        <v>-382.13226409052294</v>
      </c>
      <c r="X119" s="731"/>
      <c r="Y119" s="731"/>
      <c r="Z119" s="731"/>
      <c r="AA119" s="731"/>
      <c r="AB119" s="731"/>
      <c r="AC119" s="1181"/>
      <c r="AD119" s="1181"/>
      <c r="AE119" s="1181"/>
      <c r="AF119" s="1181"/>
    </row>
    <row r="120" spans="1:32">
      <c r="A120" s="1232" t="s">
        <v>1431</v>
      </c>
      <c r="B120" s="1194"/>
      <c r="C120" s="1931">
        <v>26.45699999999988</v>
      </c>
      <c r="D120" s="1931">
        <v>62.245000000000118</v>
      </c>
      <c r="E120" s="1931">
        <v>393.25999999999976</v>
      </c>
      <c r="F120" s="1194">
        <v>-46.898999999999987</v>
      </c>
      <c r="G120" s="1194">
        <v>-47.480999999999995</v>
      </c>
      <c r="H120" s="1194">
        <v>115.55899999999997</v>
      </c>
      <c r="I120" s="1194">
        <v>-29.649000000000001</v>
      </c>
      <c r="J120" s="1194">
        <v>-42.993000000000166</v>
      </c>
      <c r="K120" s="1194">
        <v>226.44999999999982</v>
      </c>
      <c r="L120" s="1194">
        <v>-377.99199999999996</v>
      </c>
      <c r="M120" s="1194">
        <v>294.9369999999999</v>
      </c>
      <c r="N120" s="1194">
        <v>-129.57399999999984</v>
      </c>
      <c r="O120" s="1194">
        <v>74.555000000000064</v>
      </c>
      <c r="P120" s="1212">
        <v>-309.00800000000004</v>
      </c>
      <c r="Q120" s="1212">
        <v>0</v>
      </c>
      <c r="R120" s="1212">
        <v>0</v>
      </c>
      <c r="S120" s="1212">
        <v>0</v>
      </c>
      <c r="T120" s="1212">
        <v>0</v>
      </c>
      <c r="U120" s="1212">
        <v>0</v>
      </c>
      <c r="V120" s="1212">
        <v>0</v>
      </c>
      <c r="W120" s="1212">
        <v>0</v>
      </c>
      <c r="X120" s="731"/>
      <c r="Y120" s="731"/>
      <c r="Z120" s="731"/>
      <c r="AA120" s="731"/>
      <c r="AB120" s="731"/>
      <c r="AC120" s="1181"/>
      <c r="AD120" s="1181"/>
      <c r="AE120" s="1181"/>
      <c r="AF120" s="1181"/>
    </row>
    <row r="121" spans="1:32">
      <c r="A121" s="1232" t="s">
        <v>1452</v>
      </c>
      <c r="B121" s="1194"/>
      <c r="C121" s="1931">
        <v>0</v>
      </c>
      <c r="D121" s="1931">
        <v>-36.466000000000001</v>
      </c>
      <c r="E121" s="1931">
        <v>342.26900000000001</v>
      </c>
      <c r="F121" s="1194">
        <v>0</v>
      </c>
      <c r="G121" s="1194">
        <v>-1.8990000000000009</v>
      </c>
      <c r="H121" s="1194">
        <v>0</v>
      </c>
      <c r="I121" s="1194">
        <v>97.798999999999978</v>
      </c>
      <c r="J121" s="1194">
        <v>0</v>
      </c>
      <c r="K121" s="1194">
        <v>158.25</v>
      </c>
      <c r="L121" s="1194">
        <v>123.05000000000007</v>
      </c>
      <c r="M121" s="1194">
        <v>84.910999999999945</v>
      </c>
      <c r="N121" s="1194">
        <v>119.75999999999999</v>
      </c>
      <c r="O121" s="1194">
        <v>506.85800000000006</v>
      </c>
      <c r="P121" s="1212">
        <v>0</v>
      </c>
      <c r="Q121" s="1212">
        <v>0</v>
      </c>
      <c r="R121" s="1212">
        <v>0</v>
      </c>
      <c r="S121" s="1212">
        <v>0</v>
      </c>
      <c r="T121" s="1212">
        <v>0</v>
      </c>
      <c r="U121" s="1212">
        <v>0</v>
      </c>
      <c r="V121" s="1212">
        <v>0</v>
      </c>
      <c r="W121" s="1212">
        <v>0</v>
      </c>
      <c r="X121" s="731"/>
      <c r="Y121" s="731"/>
      <c r="Z121" s="731"/>
      <c r="AA121" s="731"/>
      <c r="AB121" s="731"/>
      <c r="AC121" s="1181"/>
      <c r="AD121" s="1181"/>
      <c r="AE121" s="1181"/>
      <c r="AF121" s="1181"/>
    </row>
    <row r="122" spans="1:32">
      <c r="A122" s="1232" t="s">
        <v>833</v>
      </c>
      <c r="B122" s="1194"/>
      <c r="C122" s="1194"/>
      <c r="D122" s="1194"/>
      <c r="E122" s="1194"/>
      <c r="F122" s="1194">
        <v>-157.70499999999993</v>
      </c>
      <c r="G122" s="1194">
        <v>-22.180000000000216</v>
      </c>
      <c r="H122" s="1194">
        <v>-284.87099999999987</v>
      </c>
      <c r="I122" s="1194">
        <v>528.75020799999993</v>
      </c>
      <c r="J122" s="1194">
        <v>-102.77483199999985</v>
      </c>
      <c r="K122" s="1194">
        <v>-187.36777600000039</v>
      </c>
      <c r="L122" s="1194">
        <v>72.536791999999906</v>
      </c>
      <c r="M122" s="1194">
        <v>-1050.3897399999996</v>
      </c>
      <c r="N122" s="1194">
        <v>-156.03165200000024</v>
      </c>
      <c r="O122" s="1194">
        <v>-219.44600000000025</v>
      </c>
      <c r="P122" s="1212">
        <v>339.46100000000035</v>
      </c>
      <c r="Q122" s="1212">
        <v>0</v>
      </c>
      <c r="R122" s="1212">
        <v>0</v>
      </c>
      <c r="S122" s="1212">
        <v>0</v>
      </c>
      <c r="T122" s="1212">
        <v>0</v>
      </c>
      <c r="U122" s="1212">
        <v>0</v>
      </c>
      <c r="V122" s="1212">
        <v>0</v>
      </c>
      <c r="W122" s="1212">
        <v>0</v>
      </c>
      <c r="X122" s="731"/>
      <c r="Y122" s="731"/>
      <c r="Z122" s="731"/>
      <c r="AA122" s="731"/>
      <c r="AB122" s="731"/>
      <c r="AC122" s="1181"/>
      <c r="AD122" s="1181"/>
      <c r="AE122" s="1181"/>
      <c r="AF122" s="1181"/>
    </row>
    <row r="123" spans="1:32" s="43" customFormat="1">
      <c r="A123" s="1709" t="s">
        <v>386</v>
      </c>
      <c r="B123" s="1592"/>
      <c r="C123" s="1592">
        <v>23.633999999999851</v>
      </c>
      <c r="D123" s="1592">
        <v>18.402000000000193</v>
      </c>
      <c r="E123" s="1592">
        <v>104.04799999999966</v>
      </c>
      <c r="F123" s="1592">
        <v>-562.97099999999989</v>
      </c>
      <c r="G123" s="1592">
        <v>-422.88700000000034</v>
      </c>
      <c r="H123" s="1592">
        <v>175.59599999999983</v>
      </c>
      <c r="I123" s="1592">
        <v>250.6570000000001</v>
      </c>
      <c r="J123" s="1592">
        <v>-320.52099999999984</v>
      </c>
      <c r="K123" s="1592">
        <v>-511.66200000000083</v>
      </c>
      <c r="L123" s="1592">
        <v>-190.85400000000013</v>
      </c>
      <c r="M123" s="1592">
        <v>-917.423</v>
      </c>
      <c r="N123" s="1592">
        <v>-231.99299999999988</v>
      </c>
      <c r="O123" s="1592">
        <v>171.91099999999989</v>
      </c>
      <c r="P123" s="1648">
        <v>175.95925346902922</v>
      </c>
      <c r="Q123" s="1648">
        <v>39.964158927600209</v>
      </c>
      <c r="R123" s="1648">
        <v>41.91207586011484</v>
      </c>
      <c r="S123" s="1648">
        <v>-52.529902543022047</v>
      </c>
      <c r="T123" s="1648">
        <v>-75.087079268060222</v>
      </c>
      <c r="U123" s="1648">
        <v>-210.40205732586003</v>
      </c>
      <c r="V123" s="1648">
        <v>-345.74278376557777</v>
      </c>
      <c r="W123" s="1648">
        <v>-336.85126332932504</v>
      </c>
      <c r="X123" s="990"/>
      <c r="Y123" s="990"/>
      <c r="Z123" s="990"/>
      <c r="AA123" s="990"/>
      <c r="AB123" s="990"/>
      <c r="AC123" s="1292"/>
      <c r="AD123" s="1292"/>
      <c r="AE123" s="1292"/>
      <c r="AF123" s="1292"/>
    </row>
    <row r="124" spans="1:32" ht="12.75" customHeight="1">
      <c r="A124" s="990"/>
      <c r="B124" s="990"/>
      <c r="C124" s="990"/>
      <c r="D124" s="990"/>
      <c r="E124" s="990"/>
      <c r="F124" s="990"/>
      <c r="G124" s="990"/>
      <c r="H124" s="990"/>
      <c r="I124" s="990"/>
      <c r="J124" s="990"/>
      <c r="K124" s="990"/>
      <c r="L124" s="990"/>
      <c r="M124" s="1591"/>
      <c r="N124" s="1591"/>
      <c r="O124" s="1591"/>
      <c r="P124" s="1591"/>
      <c r="Q124" s="990"/>
      <c r="R124" s="990"/>
      <c r="S124" s="990"/>
      <c r="T124" s="990"/>
      <c r="U124" s="990"/>
      <c r="V124" s="990"/>
      <c r="W124" s="990"/>
      <c r="X124" s="731"/>
      <c r="Y124" s="731"/>
      <c r="Z124" s="731"/>
      <c r="AA124" s="731"/>
      <c r="AB124" s="731"/>
      <c r="AC124" s="1181"/>
      <c r="AD124" s="1181"/>
      <c r="AE124" s="1181"/>
      <c r="AF124" s="1181"/>
    </row>
    <row r="125" spans="1:32">
      <c r="A125" s="1342" t="s">
        <v>1039</v>
      </c>
      <c r="B125" s="1343">
        <v>2004</v>
      </c>
      <c r="C125" s="1343">
        <v>2005</v>
      </c>
      <c r="D125" s="1343">
        <v>2006</v>
      </c>
      <c r="E125" s="1343">
        <v>2007</v>
      </c>
      <c r="F125" s="1343">
        <v>2008</v>
      </c>
      <c r="G125" s="1343">
        <v>2009</v>
      </c>
      <c r="H125" s="1343">
        <v>2010</v>
      </c>
      <c r="I125" s="1343">
        <v>2011</v>
      </c>
      <c r="J125" s="1343">
        <v>2012</v>
      </c>
      <c r="K125" s="1343">
        <v>2013</v>
      </c>
      <c r="L125" s="1343">
        <v>2014</v>
      </c>
      <c r="M125" s="1343">
        <v>2015</v>
      </c>
      <c r="N125" s="1343">
        <v>2016</v>
      </c>
      <c r="O125" s="1343">
        <v>2017</v>
      </c>
      <c r="P125" s="1344">
        <v>2018</v>
      </c>
      <c r="Q125" s="1344">
        <v>2019</v>
      </c>
      <c r="R125" s="1344">
        <v>2020</v>
      </c>
      <c r="S125" s="1344">
        <v>2021</v>
      </c>
      <c r="T125" s="1344">
        <v>2022</v>
      </c>
      <c r="U125" s="1344">
        <v>2023</v>
      </c>
      <c r="V125" s="1344">
        <v>2024</v>
      </c>
      <c r="W125" s="1344">
        <v>2025</v>
      </c>
      <c r="X125" s="731"/>
      <c r="Y125" s="731"/>
      <c r="Z125" s="731"/>
      <c r="AA125" s="731"/>
      <c r="AB125" s="731"/>
      <c r="AC125" s="1181"/>
      <c r="AD125" s="1181"/>
      <c r="AE125" s="1181"/>
      <c r="AF125" s="1181"/>
    </row>
    <row r="126" spans="1:32">
      <c r="A126" s="990" t="s">
        <v>1427</v>
      </c>
      <c r="B126" s="1089">
        <v>208.17100000000002</v>
      </c>
      <c r="C126" s="1089">
        <v>170.476</v>
      </c>
      <c r="D126" s="1089">
        <v>137.79399999999998</v>
      </c>
      <c r="E126" s="1089">
        <v>-44.161000000000001</v>
      </c>
      <c r="F126" s="1089">
        <v>518.81000000000006</v>
      </c>
      <c r="G126" s="1089">
        <v>941.69699999999989</v>
      </c>
      <c r="H126" s="1089">
        <v>766.10100000000011</v>
      </c>
      <c r="I126" s="1089">
        <v>515.38200000000006</v>
      </c>
      <c r="J126" s="1089">
        <v>836.07099999999991</v>
      </c>
      <c r="K126" s="1089">
        <v>1347.636</v>
      </c>
      <c r="L126" s="1089">
        <v>1538.4810000000002</v>
      </c>
      <c r="M126" s="1089">
        <v>2487.0839999999998</v>
      </c>
      <c r="N126" s="1089">
        <v>2719.038</v>
      </c>
      <c r="O126" s="1089">
        <v>2547.1279999999997</v>
      </c>
      <c r="P126" s="1234">
        <v>2371.1687465309715</v>
      </c>
      <c r="Q126" s="1234">
        <v>2331.2045876033712</v>
      </c>
      <c r="R126" s="1235">
        <v>2289.2925117432569</v>
      </c>
      <c r="S126" s="1235">
        <v>2341.82241428628</v>
      </c>
      <c r="T126" s="1235">
        <v>2416.9094935543408</v>
      </c>
      <c r="U126" s="1235">
        <v>2627.3115508802007</v>
      </c>
      <c r="V126" s="1235">
        <v>2973.0543346457785</v>
      </c>
      <c r="W126" s="1235">
        <v>3309.9055979751038</v>
      </c>
      <c r="X126" s="731"/>
      <c r="Y126" s="460"/>
      <c r="Z126" s="731"/>
      <c r="AA126" s="731"/>
      <c r="AB126" s="731"/>
      <c r="AC126" s="1181"/>
      <c r="AD126" s="1181"/>
      <c r="AE126" s="1181"/>
      <c r="AF126" s="1181"/>
    </row>
    <row r="127" spans="1:32">
      <c r="A127" s="731" t="s">
        <v>1428</v>
      </c>
      <c r="B127" s="1236">
        <v>0.23556350180770952</v>
      </c>
      <c r="C127" s="1236">
        <v>0.18730086181512948</v>
      </c>
      <c r="D127" s="1236">
        <v>0.14722351917995705</v>
      </c>
      <c r="E127" s="1236">
        <v>-2.6420298178859457E-2</v>
      </c>
      <c r="F127" s="1236">
        <v>0.31935003548607305</v>
      </c>
      <c r="G127" s="1236">
        <v>0.59782656308623461</v>
      </c>
      <c r="H127" s="1236">
        <v>0.40122793079049823</v>
      </c>
      <c r="I127" s="1236">
        <v>0.26383492387221219</v>
      </c>
      <c r="J127" s="1236">
        <v>0.41291861255324025</v>
      </c>
      <c r="K127" s="1236">
        <v>0.64154293714656208</v>
      </c>
      <c r="L127" s="1236">
        <v>0.74109661495063472</v>
      </c>
      <c r="M127" s="1236">
        <v>0.95068929335247132</v>
      </c>
      <c r="N127" s="1236">
        <v>1.027371375392627</v>
      </c>
      <c r="O127" s="1236">
        <v>0.74842447962577707</v>
      </c>
      <c r="P127" s="1224">
        <v>0.7081935586431849</v>
      </c>
      <c r="Q127" s="1224">
        <v>0.66759316830628468</v>
      </c>
      <c r="R127" s="1224">
        <v>0.63158106518976276</v>
      </c>
      <c r="S127" s="1224">
        <v>0.61841470634971751</v>
      </c>
      <c r="T127" s="1224">
        <v>0.6171327484110819</v>
      </c>
      <c r="U127" s="1224">
        <v>0.67085672949317887</v>
      </c>
      <c r="V127" s="1224">
        <v>0.75913856005306701</v>
      </c>
      <c r="W127" s="1224">
        <v>0.84515003317548731</v>
      </c>
      <c r="X127" s="731"/>
      <c r="Y127" s="731"/>
      <c r="Z127" s="731"/>
      <c r="AA127" s="731"/>
      <c r="AB127" s="731"/>
      <c r="AC127" s="1181"/>
      <c r="AD127" s="1181"/>
      <c r="AE127" s="1181"/>
      <c r="AF127" s="1181"/>
    </row>
    <row r="128" spans="1:32" ht="12.75" customHeight="1">
      <c r="A128" s="731" t="s">
        <v>1040</v>
      </c>
      <c r="B128" s="1236">
        <v>2.2644019492668508</v>
      </c>
      <c r="C128" s="1236">
        <v>1.0451597081723993</v>
      </c>
      <c r="D128" s="1236">
        <v>0.42767799224683495</v>
      </c>
      <c r="E128" s="1236">
        <v>-0.1130950094371756</v>
      </c>
      <c r="F128" s="1236">
        <v>3.9123877321710019</v>
      </c>
      <c r="G128" s="1236">
        <v>4.9617317905918048</v>
      </c>
      <c r="H128" s="1236">
        <v>1.6935161912846259</v>
      </c>
      <c r="I128" s="1236">
        <v>0.84132736515274698</v>
      </c>
      <c r="J128" s="1236">
        <v>1.5685575936317466</v>
      </c>
      <c r="K128" s="1236">
        <v>2.0674939899144094</v>
      </c>
      <c r="L128" s="1236">
        <v>2.0078317498433917</v>
      </c>
      <c r="M128" s="1236">
        <v>2.2785405739676143</v>
      </c>
      <c r="N128" s="1236">
        <v>2.0880132512883836</v>
      </c>
      <c r="O128" s="1236">
        <v>1.7626109967005468</v>
      </c>
      <c r="P128" s="1224">
        <v>1.526652091456522</v>
      </c>
      <c r="Q128" s="1224">
        <v>1.7541803692403124</v>
      </c>
      <c r="R128" s="1224">
        <v>1.4032805865127804</v>
      </c>
      <c r="S128" s="1224">
        <v>1.2231442065037164</v>
      </c>
      <c r="T128" s="1224">
        <v>1.3514658277328604</v>
      </c>
      <c r="U128" s="1224">
        <v>1.6291628354019292</v>
      </c>
      <c r="V128" s="1224">
        <v>1.743603321670621</v>
      </c>
      <c r="W128" s="1224">
        <v>1.6509261719769648</v>
      </c>
      <c r="X128" s="731"/>
      <c r="Y128" s="731"/>
      <c r="Z128" s="731"/>
      <c r="AA128" s="731"/>
      <c r="AB128" s="731"/>
      <c r="AC128" s="1181"/>
      <c r="AD128" s="1181"/>
      <c r="AE128" s="1181"/>
      <c r="AF128" s="1181"/>
    </row>
    <row r="129" spans="1:32">
      <c r="A129" s="731" t="s">
        <v>388</v>
      </c>
      <c r="B129" s="849">
        <v>-1.1315517281668529E-2</v>
      </c>
      <c r="C129" s="849">
        <v>2.2279606503034077E-2</v>
      </c>
      <c r="D129" s="849">
        <v>0.10479716364449325</v>
      </c>
      <c r="E129" s="849">
        <v>7.520679731479421E-2</v>
      </c>
      <c r="F129" s="849">
        <v>-1.6729621894910632E-2</v>
      </c>
      <c r="G129" s="849">
        <v>-2.1169814522201152E-2</v>
      </c>
      <c r="H129" s="849">
        <v>2.342049790289678E-2</v>
      </c>
      <c r="I129" s="849">
        <v>3.6099275989951406E-2</v>
      </c>
      <c r="J129" s="849">
        <v>2.6448001500678827E-2</v>
      </c>
      <c r="K129" s="849">
        <v>1.295023824355356E-2</v>
      </c>
      <c r="L129" s="849">
        <v>2.3172525824539207E-2</v>
      </c>
      <c r="M129" s="849">
        <v>4.1637572857024317E-2</v>
      </c>
      <c r="N129" s="849">
        <v>2.5714871466903221E-2</v>
      </c>
      <c r="O129" s="849">
        <v>3.2662622497202747E-2</v>
      </c>
      <c r="P129" s="1237">
        <v>4.8180125514613537E-2</v>
      </c>
      <c r="Q129" s="1237">
        <v>3.3039564987421839E-2</v>
      </c>
      <c r="R129" s="1237">
        <v>4.9936456273775374E-2</v>
      </c>
      <c r="S129" s="1237">
        <v>5.9689357451989486E-2</v>
      </c>
      <c r="T129" s="1237">
        <v>4.7072893854665558E-2</v>
      </c>
      <c r="U129" s="1237">
        <v>3.3441500756900354E-2</v>
      </c>
      <c r="V129" s="1237">
        <v>3.1894197701770301E-2</v>
      </c>
      <c r="W129" s="1237">
        <v>4.1674433953336844E-2</v>
      </c>
      <c r="X129" s="731"/>
      <c r="Y129" s="731"/>
      <c r="Z129" s="731"/>
      <c r="AA129" s="731"/>
      <c r="AB129" s="731"/>
      <c r="AC129" s="1181"/>
      <c r="AD129" s="1181"/>
      <c r="AE129" s="1181"/>
      <c r="AF129" s="1181"/>
    </row>
    <row r="130" spans="1:32">
      <c r="A130" s="731" t="s">
        <v>389</v>
      </c>
      <c r="B130" s="1115" t="s">
        <v>972</v>
      </c>
      <c r="C130" s="849">
        <v>4.0399902683557441E-2</v>
      </c>
      <c r="D130" s="849">
        <v>0.18952681471194455</v>
      </c>
      <c r="E130" s="849">
        <v>0.21236795516004561</v>
      </c>
      <c r="F130" s="849">
        <v>-2.9059771030873208E-2</v>
      </c>
      <c r="G130" s="849">
        <v>-4.4029746500411762E-2</v>
      </c>
      <c r="H130" s="849">
        <v>6.1547189609424513E-2</v>
      </c>
      <c r="I130" s="849">
        <v>7.4521666856081262E-2</v>
      </c>
      <c r="J130" s="849">
        <v>6.4814843254876381E-2</v>
      </c>
      <c r="K130" s="849">
        <v>3.6028534401694109E-2</v>
      </c>
      <c r="L130" s="849">
        <v>6.4267784179600579E-2</v>
      </c>
      <c r="M130" s="849">
        <v>0.15281567203865967</v>
      </c>
      <c r="N130" s="849">
        <v>7.6233761517687681E-2</v>
      </c>
      <c r="O130" s="849">
        <v>0.10726529199572134</v>
      </c>
      <c r="P130" s="1237">
        <v>0.12265280350895423</v>
      </c>
      <c r="Q130" s="1237">
        <v>8.5873714227586037E-2</v>
      </c>
      <c r="R130" s="1237">
        <v>0.12671707780060831</v>
      </c>
      <c r="S130" s="1237">
        <v>0.14908313981029275</v>
      </c>
      <c r="T130" s="1237">
        <v>0.11402469886816295</v>
      </c>
      <c r="U130" s="1237">
        <v>7.8191940398683782E-2</v>
      </c>
      <c r="V130" s="1237">
        <v>7.4604516476437552E-2</v>
      </c>
      <c r="W130" s="1237">
        <v>9.7573506589162487E-2</v>
      </c>
      <c r="X130" s="731"/>
      <c r="Y130" s="731"/>
      <c r="Z130" s="731"/>
      <c r="AA130" s="731"/>
      <c r="AB130" s="731"/>
      <c r="AC130" s="1181"/>
      <c r="AD130" s="1181"/>
      <c r="AE130" s="1181"/>
      <c r="AF130" s="1181"/>
    </row>
    <row r="131" spans="1:32" s="41" customFormat="1">
      <c r="A131" s="731" t="s">
        <v>390</v>
      </c>
      <c r="B131" s="1115" t="s">
        <v>972</v>
      </c>
      <c r="C131" s="849">
        <v>4.9597239822901505E-2</v>
      </c>
      <c r="D131" s="849">
        <v>0.13414572857799245</v>
      </c>
      <c r="E131" s="849">
        <v>0.10421085489537274</v>
      </c>
      <c r="F131" s="849">
        <v>-1.9702142982009414E-2</v>
      </c>
      <c r="G131" s="849">
        <v>1.089235211389904E-2</v>
      </c>
      <c r="H131" s="849">
        <v>2.9418368219598305E-2</v>
      </c>
      <c r="I131" s="849">
        <v>5.6018699835137992E-2</v>
      </c>
      <c r="J131" s="849">
        <v>5.1141831150253898E-2</v>
      </c>
      <c r="K131" s="849">
        <v>3.5685402364574716E-2</v>
      </c>
      <c r="L131" s="849">
        <v>4.7785048179808179E-2</v>
      </c>
      <c r="M131" s="849">
        <v>6.6871600763110439E-2</v>
      </c>
      <c r="N131" s="849">
        <v>5.3213869602196151E-2</v>
      </c>
      <c r="O131" s="849">
        <v>6.8597832675230827E-2</v>
      </c>
      <c r="P131" s="1237">
        <v>6.5625763216305227E-2</v>
      </c>
      <c r="Q131" s="1237">
        <v>4.8025007967697715E-2</v>
      </c>
      <c r="R131" s="1237">
        <v>6.2341156922054511E-2</v>
      </c>
      <c r="S131" s="1237">
        <v>7.3866138231477627E-2</v>
      </c>
      <c r="T131" s="1237">
        <v>6.2811078040890811E-2</v>
      </c>
      <c r="U131" s="1237">
        <v>5.0543325477949284E-2</v>
      </c>
      <c r="V131" s="1237">
        <v>5.2174897136060321E-2</v>
      </c>
      <c r="W131" s="1237">
        <v>7.1983753814196555E-2</v>
      </c>
      <c r="X131" s="731"/>
      <c r="Y131" s="731"/>
      <c r="Z131" s="731"/>
      <c r="AA131" s="731"/>
      <c r="AB131" s="731"/>
      <c r="AC131" s="1181"/>
      <c r="AD131" s="1181"/>
      <c r="AE131" s="1181"/>
      <c r="AF131" s="1181"/>
    </row>
    <row r="132" spans="1:32" s="41" customFormat="1" ht="12.75" customHeight="1">
      <c r="A132" s="1243" t="s">
        <v>1456</v>
      </c>
      <c r="B132" s="1116" t="s">
        <v>972</v>
      </c>
      <c r="C132" s="1116">
        <v>31.786999999999935</v>
      </c>
      <c r="D132" s="1116">
        <v>156.4260000000001</v>
      </c>
      <c r="E132" s="1116">
        <v>-440.33600000000035</v>
      </c>
      <c r="F132" s="1116">
        <v>-403.904</v>
      </c>
      <c r="G132" s="1116">
        <v>-412.80200000000013</v>
      </c>
      <c r="H132" s="1116">
        <v>185.6099999999999</v>
      </c>
      <c r="I132" s="1116">
        <v>-156.84420799999975</v>
      </c>
      <c r="J132" s="1116">
        <v>-189.78616799999995</v>
      </c>
      <c r="K132" s="1116">
        <v>-311.34722399999993</v>
      </c>
      <c r="L132" s="1116">
        <v>-96.175792000000342</v>
      </c>
      <c r="M132" s="1116">
        <v>-146.47725999999977</v>
      </c>
      <c r="N132" s="1116">
        <v>288.58365200000037</v>
      </c>
      <c r="O132" s="1116">
        <v>-30.890999999999963</v>
      </c>
      <c r="P132" s="1238">
        <v>298.19294916426634</v>
      </c>
      <c r="Q132" s="1238">
        <v>183.72504522759561</v>
      </c>
      <c r="R132" s="1238">
        <v>351.65521432294008</v>
      </c>
      <c r="S132" s="1238">
        <v>325.73736049570084</v>
      </c>
      <c r="T132" s="1238">
        <v>227.16627110503327</v>
      </c>
      <c r="U132" s="1238">
        <v>95.825158059458545</v>
      </c>
      <c r="V132" s="1238">
        <v>-53.565185674762915</v>
      </c>
      <c r="W132" s="1238">
        <v>45.281000761198129</v>
      </c>
      <c r="X132" s="731"/>
      <c r="Y132" s="731"/>
      <c r="Z132" s="731"/>
      <c r="AA132" s="731"/>
      <c r="AB132" s="731"/>
      <c r="AC132" s="1181"/>
      <c r="AD132" s="1181"/>
      <c r="AE132" s="1181"/>
      <c r="AF132" s="1181"/>
    </row>
    <row r="133" spans="1:32">
      <c r="A133" s="731" t="s">
        <v>391</v>
      </c>
      <c r="B133" s="1124">
        <v>0</v>
      </c>
      <c r="C133" s="1124">
        <v>0.10314409132983653</v>
      </c>
      <c r="D133" s="1124">
        <v>0.10050221404862728</v>
      </c>
      <c r="E133" s="1124">
        <v>1.1278817524200369</v>
      </c>
      <c r="F133" s="1124">
        <v>0.72876393138878748</v>
      </c>
      <c r="G133" s="1124">
        <v>0.590477284964807</v>
      </c>
      <c r="H133" s="1124">
        <v>0.28255721778166903</v>
      </c>
      <c r="I133" s="1124">
        <v>0.35070206976219825</v>
      </c>
      <c r="J133" s="1124">
        <v>0.46164639097579357</v>
      </c>
      <c r="K133" s="1124">
        <v>0.41556216399595342</v>
      </c>
      <c r="L133" s="1124">
        <v>0.33394904878555959</v>
      </c>
      <c r="M133" s="1124">
        <v>0.34923545112125526</v>
      </c>
      <c r="N133" s="1124">
        <v>0.30828645377118474</v>
      </c>
      <c r="O133" s="1124">
        <v>0.32534744955013217</v>
      </c>
      <c r="P133" s="1239">
        <v>0.28293091801867515</v>
      </c>
      <c r="Q133" s="1239">
        <v>0.28387341525531784</v>
      </c>
      <c r="R133" s="1239">
        <v>0.28043212153545116</v>
      </c>
      <c r="S133" s="1239">
        <v>0.31131257600397588</v>
      </c>
      <c r="T133" s="1239">
        <v>0.31370852502023844</v>
      </c>
      <c r="U133" s="1239">
        <v>0.31758065180387302</v>
      </c>
      <c r="V133" s="1239">
        <v>0.31535357983327295</v>
      </c>
      <c r="W133" s="1239">
        <v>0.31336640845896546</v>
      </c>
      <c r="X133" s="731"/>
      <c r="Y133" s="731"/>
      <c r="Z133" s="731"/>
      <c r="AA133" s="731"/>
      <c r="AB133" s="731"/>
      <c r="AC133" s="1181"/>
      <c r="AD133" s="1181"/>
      <c r="AE133" s="1181"/>
      <c r="AF133" s="1181"/>
    </row>
    <row r="134" spans="1:32" s="41" customFormat="1">
      <c r="A134" s="1232" t="s">
        <v>317</v>
      </c>
      <c r="B134" s="1194">
        <v>69.432000000000016</v>
      </c>
      <c r="C134" s="1931">
        <v>119.465</v>
      </c>
      <c r="D134" s="1931">
        <v>140.70099999999999</v>
      </c>
      <c r="E134" s="1931">
        <v>133.89699999999999</v>
      </c>
      <c r="F134" s="1194">
        <v>168.72899999999998</v>
      </c>
      <c r="G134" s="1194">
        <v>270.33589999999998</v>
      </c>
      <c r="H134" s="1194">
        <v>16.206849999999996</v>
      </c>
      <c r="I134" s="1194">
        <v>95.288999999999959</v>
      </c>
      <c r="J134" s="1194">
        <v>44.109499999999997</v>
      </c>
      <c r="K134" s="1194">
        <v>98.373750000000001</v>
      </c>
      <c r="L134" s="1194">
        <v>102.71949999999998</v>
      </c>
      <c r="M134" s="1194">
        <v>50.075100000000077</v>
      </c>
      <c r="N134" s="1194">
        <v>104.51290000000006</v>
      </c>
      <c r="O134" s="1194">
        <v>175.51204999999993</v>
      </c>
      <c r="P134" s="1212">
        <v>209.94233812901484</v>
      </c>
      <c r="Q134" s="1212">
        <v>261.31733556187248</v>
      </c>
      <c r="R134" s="1212">
        <v>354.51752859941087</v>
      </c>
      <c r="S134" s="1212">
        <v>470.2605782916375</v>
      </c>
      <c r="T134" s="1212">
        <v>532.90966798665784</v>
      </c>
      <c r="U134" s="1212">
        <v>583.93338630650987</v>
      </c>
      <c r="V134" s="1212">
        <v>690.53956559389587</v>
      </c>
      <c r="W134" s="1212">
        <v>780.34435341512813</v>
      </c>
      <c r="X134" s="731"/>
      <c r="Y134" s="731"/>
      <c r="Z134" s="731"/>
      <c r="AA134" s="731"/>
      <c r="AB134" s="731"/>
      <c r="AC134" s="1181"/>
      <c r="AD134" s="1181"/>
      <c r="AE134" s="1181"/>
      <c r="AF134" s="1181"/>
    </row>
    <row r="135" spans="1:32" s="43" customFormat="1">
      <c r="A135" s="990" t="s">
        <v>392</v>
      </c>
      <c r="B135" s="1514">
        <v>0.13403861003861006</v>
      </c>
      <c r="C135" s="1514">
        <v>0.18430268435668007</v>
      </c>
      <c r="D135" s="1514">
        <v>0.17413015982238109</v>
      </c>
      <c r="E135" s="1514">
        <v>0.16199758752481741</v>
      </c>
      <c r="F135" s="1514">
        <v>0.23683922405322699</v>
      </c>
      <c r="G135" s="1514">
        <v>0.34907139712025287</v>
      </c>
      <c r="H135" s="1514">
        <v>1.369647743656225E-2</v>
      </c>
      <c r="I135" s="1514">
        <v>7.3580648449299915E-2</v>
      </c>
      <c r="J135" s="1514">
        <v>3.2267609858155508E-2</v>
      </c>
      <c r="K135" s="1514">
        <v>6.0132308040257834E-2</v>
      </c>
      <c r="L135" s="1514">
        <v>5.2097185663060611E-2</v>
      </c>
      <c r="M135" s="1514">
        <v>2.1536176834130304E-2</v>
      </c>
      <c r="N135" s="1514">
        <v>3.8319903467761561E-2</v>
      </c>
      <c r="O135" s="1514">
        <v>5.844786774838303E-2</v>
      </c>
      <c r="P135" s="2402">
        <v>6.2756420694095441E-2</v>
      </c>
      <c r="Q135" s="2402">
        <v>8.132413788301443E-2</v>
      </c>
      <c r="R135" s="2402">
        <v>9.4425190723625832E-2</v>
      </c>
      <c r="S135" s="2402">
        <v>0.10904797874879534</v>
      </c>
      <c r="T135" s="2402">
        <v>0.12573138753382029</v>
      </c>
      <c r="U135" s="2402">
        <v>0.14351540493176534</v>
      </c>
      <c r="V135" s="2402">
        <v>0.15846280931495785</v>
      </c>
      <c r="W135" s="2402">
        <v>0.16761278360783385</v>
      </c>
      <c r="X135" s="731"/>
      <c r="Y135" s="731"/>
      <c r="Z135" s="731"/>
      <c r="AA135" s="731"/>
      <c r="AB135" s="731"/>
      <c r="AC135" s="1181"/>
      <c r="AD135" s="1181"/>
      <c r="AE135" s="1181"/>
      <c r="AF135" s="1181"/>
    </row>
    <row r="136" spans="1:32">
      <c r="A136" s="731" t="s">
        <v>152</v>
      </c>
      <c r="B136" s="1514" t="s">
        <v>972</v>
      </c>
      <c r="C136" s="1514"/>
      <c r="D136" s="1514"/>
      <c r="E136" s="1514"/>
      <c r="F136" s="1514">
        <v>-2.4368349009626911E-2</v>
      </c>
      <c r="G136" s="1514">
        <v>1.1682550178458401E-2</v>
      </c>
      <c r="H136" s="1514">
        <v>3.9837629891448741E-2</v>
      </c>
      <c r="I136" s="1514">
        <v>7.3199103359875339E-2</v>
      </c>
      <c r="J136" s="1514">
        <v>7.1813301572123275E-2</v>
      </c>
      <c r="K136" s="1514">
        <v>5.1990518147452251E-2</v>
      </c>
      <c r="L136" s="1514">
        <v>6.8428918410521844E-2</v>
      </c>
      <c r="M136" s="1514">
        <v>0.13547845897417959</v>
      </c>
      <c r="N136" s="1514">
        <v>0.11753171306316995</v>
      </c>
      <c r="O136" s="1514">
        <v>9.9586075258512818E-2</v>
      </c>
      <c r="P136" s="2402">
        <v>0.12141068129809592</v>
      </c>
      <c r="Q136" s="2402">
        <v>8.5962074088103399E-2</v>
      </c>
      <c r="R136" s="2402">
        <v>0.11168347676927809</v>
      </c>
      <c r="S136" s="2402">
        <v>0.12520502649673973</v>
      </c>
      <c r="T136" s="2402">
        <v>0.10201081405257065</v>
      </c>
      <c r="U136" s="2402">
        <v>7.7865120847029942E-2</v>
      </c>
      <c r="V136" s="2402">
        <v>7.4749959369814392E-2</v>
      </c>
      <c r="W136" s="2402">
        <v>8.3685260037311235E-2</v>
      </c>
      <c r="X136" s="731"/>
      <c r="Y136" s="731"/>
      <c r="Z136" s="731"/>
      <c r="AA136" s="731"/>
      <c r="AB136" s="731"/>
      <c r="AC136" s="1181"/>
      <c r="AD136" s="1181"/>
      <c r="AE136" s="1181"/>
      <c r="AF136" s="1181"/>
    </row>
    <row r="137" spans="1:32">
      <c r="A137" s="731"/>
      <c r="B137" s="731"/>
      <c r="C137" s="731"/>
      <c r="D137" s="1116"/>
      <c r="E137" s="1116"/>
      <c r="F137" s="1116"/>
      <c r="G137" s="1116"/>
      <c r="H137" s="1116"/>
      <c r="I137" s="1116"/>
      <c r="J137" s="1116"/>
      <c r="K137" s="1116"/>
      <c r="L137" s="1116"/>
      <c r="M137" s="1116"/>
      <c r="N137" s="1116"/>
      <c r="O137" s="1116"/>
      <c r="P137" s="731"/>
      <c r="Q137" s="731"/>
      <c r="R137" s="731"/>
      <c r="S137" s="731"/>
      <c r="T137" s="731"/>
      <c r="U137" s="731"/>
      <c r="V137" s="731"/>
      <c r="W137" s="731"/>
      <c r="X137" s="731"/>
      <c r="Y137" s="731"/>
      <c r="Z137" s="731"/>
      <c r="AA137" s="731"/>
      <c r="AB137" s="731"/>
      <c r="AC137" s="1181"/>
      <c r="AD137" s="1181"/>
      <c r="AE137" s="1181"/>
      <c r="AF137" s="1181"/>
    </row>
    <row r="138" spans="1:32">
      <c r="A138" s="1342" t="s">
        <v>567</v>
      </c>
      <c r="B138" s="1343">
        <v>2004</v>
      </c>
      <c r="C138" s="1343">
        <v>2005</v>
      </c>
      <c r="D138" s="1343">
        <v>2006</v>
      </c>
      <c r="E138" s="1343">
        <v>2007</v>
      </c>
      <c r="F138" s="1343">
        <v>2008</v>
      </c>
      <c r="G138" s="1343">
        <v>2009</v>
      </c>
      <c r="H138" s="1343">
        <v>2010</v>
      </c>
      <c r="I138" s="1343">
        <v>2011</v>
      </c>
      <c r="J138" s="1343">
        <v>2012</v>
      </c>
      <c r="K138" s="1343">
        <v>2013</v>
      </c>
      <c r="L138" s="1343">
        <v>2014</v>
      </c>
      <c r="M138" s="1343">
        <v>2015</v>
      </c>
      <c r="N138" s="1343">
        <v>2016</v>
      </c>
      <c r="O138" s="1343">
        <v>2017</v>
      </c>
      <c r="P138" s="1344">
        <v>2018</v>
      </c>
      <c r="Q138" s="1344">
        <v>2019</v>
      </c>
      <c r="R138" s="1344">
        <v>2020</v>
      </c>
      <c r="S138" s="1344">
        <v>2021</v>
      </c>
      <c r="T138" s="1344">
        <v>2022</v>
      </c>
      <c r="U138" s="1344">
        <v>2023</v>
      </c>
      <c r="V138" s="1344">
        <v>2024</v>
      </c>
      <c r="W138" s="1344">
        <v>2025</v>
      </c>
      <c r="X138" s="731"/>
      <c r="Y138" s="731"/>
      <c r="Z138" s="731"/>
      <c r="AA138" s="731"/>
      <c r="AB138" s="731"/>
      <c r="AC138" s="1181"/>
      <c r="AD138" s="1181"/>
      <c r="AE138" s="1181"/>
      <c r="AF138" s="1181"/>
    </row>
    <row r="139" spans="1:32">
      <c r="A139" s="1240" t="s">
        <v>568</v>
      </c>
      <c r="B139" s="1241"/>
      <c r="C139" s="1241"/>
      <c r="D139" s="1241"/>
      <c r="E139" s="1710">
        <v>26.31</v>
      </c>
      <c r="F139" s="1710">
        <v>23.77</v>
      </c>
      <c r="G139" s="1710">
        <v>3.47</v>
      </c>
      <c r="H139" s="1710">
        <v>4.96</v>
      </c>
      <c r="I139" s="1710">
        <v>7.92</v>
      </c>
      <c r="J139" s="1710">
        <v>7.33</v>
      </c>
      <c r="K139" s="1710">
        <v>8.9</v>
      </c>
      <c r="L139" s="1710">
        <v>9.8000000000000007</v>
      </c>
      <c r="M139" s="1710">
        <v>12.35</v>
      </c>
      <c r="N139" s="1710">
        <v>15.69</v>
      </c>
      <c r="O139" s="1710">
        <v>17.010000000000002</v>
      </c>
      <c r="P139" s="1242">
        <v>18.399994</v>
      </c>
      <c r="Q139" s="1242">
        <v>18.399994</v>
      </c>
      <c r="R139" s="1242">
        <v>18.399994</v>
      </c>
      <c r="S139" s="1242">
        <v>18.399994</v>
      </c>
      <c r="T139" s="1242">
        <v>18.399994</v>
      </c>
      <c r="U139" s="1242">
        <v>18.399994</v>
      </c>
      <c r="V139" s="1242">
        <v>18.399994</v>
      </c>
      <c r="W139" s="1242">
        <v>18.399994</v>
      </c>
      <c r="X139" s="731"/>
      <c r="Y139" s="731"/>
      <c r="Z139" s="731"/>
      <c r="AA139" s="731"/>
      <c r="AB139" s="731"/>
      <c r="AC139" s="1181"/>
      <c r="AD139" s="1181"/>
      <c r="AE139" s="1181"/>
      <c r="AF139" s="1181"/>
    </row>
    <row r="140" spans="1:32">
      <c r="A140" s="1243" t="s">
        <v>279</v>
      </c>
      <c r="B140" s="1116"/>
      <c r="C140" s="1116"/>
      <c r="D140" s="1116"/>
      <c r="E140" s="1116">
        <v>8919.09</v>
      </c>
      <c r="F140" s="1116">
        <v>8058.03</v>
      </c>
      <c r="G140" s="1116">
        <v>1174.8830100000002</v>
      </c>
      <c r="H140" s="1116">
        <v>1679.3716800000002</v>
      </c>
      <c r="I140" s="1116">
        <v>2681.5773600000002</v>
      </c>
      <c r="J140" s="1116">
        <v>2478.73479</v>
      </c>
      <c r="K140" s="1116">
        <v>3000.1989000000003</v>
      </c>
      <c r="L140" s="1116">
        <v>3307.0590000000002</v>
      </c>
      <c r="M140" s="1116">
        <v>4181.4629999999997</v>
      </c>
      <c r="N140" s="1116">
        <v>5328.4181399999998</v>
      </c>
      <c r="O140" s="1116">
        <v>5750.3835900000013</v>
      </c>
      <c r="P140" s="1238">
        <v>6494.8484099939578</v>
      </c>
      <c r="Q140" s="1238">
        <v>6687.8067615127356</v>
      </c>
      <c r="R140" s="1238">
        <v>6687.8067615127356</v>
      </c>
      <c r="S140" s="1238">
        <v>6687.8067615127356</v>
      </c>
      <c r="T140" s="1238">
        <v>6687.8067615127356</v>
      </c>
      <c r="U140" s="1238">
        <v>6687.8067615127356</v>
      </c>
      <c r="V140" s="1238">
        <v>6687.8067615127356</v>
      </c>
      <c r="W140" s="1238">
        <v>6687.8067615127356</v>
      </c>
      <c r="X140" s="731"/>
      <c r="Y140" s="731"/>
      <c r="Z140" s="731"/>
      <c r="AA140" s="731"/>
      <c r="AB140" s="731"/>
      <c r="AC140" s="1181"/>
      <c r="AD140" s="1181"/>
      <c r="AE140" s="1181"/>
      <c r="AF140" s="1181"/>
    </row>
    <row r="141" spans="1:32">
      <c r="A141" s="1243" t="s">
        <v>569</v>
      </c>
      <c r="B141" s="1244"/>
      <c r="C141" s="1244"/>
      <c r="D141" s="1244"/>
      <c r="E141" s="1244">
        <v>8882.5400000000009</v>
      </c>
      <c r="F141" s="1244">
        <v>8584.4510000000009</v>
      </c>
      <c r="G141" s="1244">
        <v>2134.8230100000001</v>
      </c>
      <c r="H141" s="1244">
        <v>2445.4726800000003</v>
      </c>
      <c r="I141" s="1244">
        <v>3196.9593600000003</v>
      </c>
      <c r="J141" s="1244">
        <v>3314.8057899999999</v>
      </c>
      <c r="K141" s="1244">
        <v>4347.8348999999998</v>
      </c>
      <c r="L141" s="1244">
        <v>4845.5400000000009</v>
      </c>
      <c r="M141" s="1244">
        <v>6668.5469999999996</v>
      </c>
      <c r="N141" s="1244">
        <v>8047.4561400000002</v>
      </c>
      <c r="O141" s="1244">
        <v>8297.5115900000019</v>
      </c>
      <c r="P141" s="1245">
        <v>8866.0171565249293</v>
      </c>
      <c r="Q141" s="1245">
        <v>9019.0113491161064</v>
      </c>
      <c r="R141" s="1245">
        <v>8977.0992732559935</v>
      </c>
      <c r="S141" s="1245">
        <v>9029.6291757990148</v>
      </c>
      <c r="T141" s="1245">
        <v>9104.7162550670764</v>
      </c>
      <c r="U141" s="1245">
        <v>9315.1183123929368</v>
      </c>
      <c r="V141" s="1245">
        <v>9660.8610961585146</v>
      </c>
      <c r="W141" s="1245">
        <v>9997.7123594878394</v>
      </c>
      <c r="X141" s="731"/>
      <c r="Y141" s="731"/>
      <c r="Z141" s="731"/>
      <c r="AA141" s="731"/>
      <c r="AB141" s="731"/>
      <c r="AC141" s="1181"/>
      <c r="AD141" s="1181"/>
      <c r="AE141" s="1181"/>
      <c r="AF141" s="1181"/>
    </row>
    <row r="142" spans="1:32">
      <c r="A142" s="1243" t="s">
        <v>265</v>
      </c>
      <c r="B142" s="1236"/>
      <c r="C142" s="1246"/>
      <c r="D142" s="1246"/>
      <c r="E142" s="1246">
        <v>22.747921132358638</v>
      </c>
      <c r="F142" s="1246">
        <v>64.736032034507986</v>
      </c>
      <c r="G142" s="1246">
        <v>11.248224424633284</v>
      </c>
      <c r="H142" s="1246">
        <v>5.4058767433069619</v>
      </c>
      <c r="I142" s="1246">
        <v>5.2188268019628401</v>
      </c>
      <c r="J142" s="1246">
        <v>6.2189261358413113</v>
      </c>
      <c r="K142" s="1246">
        <v>6.6702896960975488</v>
      </c>
      <c r="L142" s="1246">
        <v>6.3237888912090225</v>
      </c>
      <c r="M142" s="1246">
        <v>6.109385492773872</v>
      </c>
      <c r="N142" s="1246">
        <v>6.1798309032393313</v>
      </c>
      <c r="O142" s="1246">
        <v>5.7418728755619046</v>
      </c>
      <c r="P142" s="1247">
        <v>5.7082920204225944</v>
      </c>
      <c r="Q142" s="1247">
        <v>6.7866084095347636</v>
      </c>
      <c r="R142" s="1247">
        <v>5.5027433448272758</v>
      </c>
      <c r="S142" s="1247">
        <v>4.7162152628988094</v>
      </c>
      <c r="T142" s="1247">
        <v>5.0910937801942984</v>
      </c>
      <c r="U142" s="1247">
        <v>5.7761876610477758</v>
      </c>
      <c r="V142" s="1247">
        <v>5.6657926836938914</v>
      </c>
      <c r="W142" s="1247">
        <v>4.9866935795007521</v>
      </c>
      <c r="X142" s="731"/>
      <c r="Y142" s="731"/>
      <c r="Z142" s="731"/>
      <c r="AA142" s="731"/>
      <c r="AB142" s="731"/>
      <c r="AC142" s="1181"/>
      <c r="AD142" s="1181"/>
      <c r="AE142" s="1181"/>
      <c r="AF142" s="1181"/>
    </row>
    <row r="143" spans="1:32">
      <c r="A143" s="1243" t="s">
        <v>570</v>
      </c>
      <c r="B143" s="1248"/>
      <c r="C143" s="1246"/>
      <c r="D143" s="1246"/>
      <c r="E143" s="1246">
        <v>44.872312166064653</v>
      </c>
      <c r="F143" s="1246" t="s">
        <v>36</v>
      </c>
      <c r="G143" s="1246" t="s">
        <v>36</v>
      </c>
      <c r="H143" s="1246">
        <v>17.123864915572263</v>
      </c>
      <c r="I143" s="1246">
        <v>18.845727136642534</v>
      </c>
      <c r="J143" s="1246">
        <v>19.577562692025154</v>
      </c>
      <c r="K143" s="1246">
        <v>41.126784098697854</v>
      </c>
      <c r="L143" s="1246">
        <v>24.496370424141858</v>
      </c>
      <c r="M143" s="1246">
        <v>13.180838991545793</v>
      </c>
      <c r="N143" s="1246">
        <v>26.717701796082917</v>
      </c>
      <c r="O143" s="1246">
        <v>20.255817752071238</v>
      </c>
      <c r="P143" s="1221">
        <v>15.559253395814185</v>
      </c>
      <c r="Q143" s="1247">
        <v>23.260175050523983</v>
      </c>
      <c r="R143" s="1247">
        <v>15.11402240027593</v>
      </c>
      <c r="S143" s="1247">
        <v>12.376076891908212</v>
      </c>
      <c r="T143" s="1247">
        <v>15.488545378505258</v>
      </c>
      <c r="U143" s="1247">
        <v>21.839361185117472</v>
      </c>
      <c r="V143" s="1247">
        <v>22.889526114298548</v>
      </c>
      <c r="W143" s="1247">
        <v>17.501287878503938</v>
      </c>
      <c r="X143" s="731"/>
      <c r="Y143" s="731"/>
      <c r="Z143" s="731"/>
      <c r="AA143" s="731"/>
      <c r="AB143" s="731"/>
      <c r="AC143" s="1181"/>
      <c r="AD143" s="1181"/>
      <c r="AE143" s="1181"/>
      <c r="AF143" s="1181"/>
    </row>
    <row r="144" spans="1:32">
      <c r="A144" s="1243" t="s">
        <v>267</v>
      </c>
      <c r="B144" s="1236"/>
      <c r="C144" s="1246"/>
      <c r="D144" s="1246"/>
      <c r="E144" s="1246">
        <v>5.3360435063536515</v>
      </c>
      <c r="F144" s="1246">
        <v>4.9600666264101321</v>
      </c>
      <c r="G144" s="1246">
        <v>0.74586228043278302</v>
      </c>
      <c r="H144" s="1246">
        <v>0.87953262584771807</v>
      </c>
      <c r="I144" s="1246">
        <v>1.3727560501396008</v>
      </c>
      <c r="J144" s="1246">
        <v>1.2241971439916555</v>
      </c>
      <c r="K144" s="1246">
        <v>1.4282465104300308</v>
      </c>
      <c r="L144" s="1246">
        <v>1.5930324978612223</v>
      </c>
      <c r="M144" s="1246">
        <v>1.5983666432856729</v>
      </c>
      <c r="N144" s="1246">
        <v>2.0133092193484692</v>
      </c>
      <c r="O144" s="1246">
        <v>1.6896394079898456</v>
      </c>
      <c r="P144" s="2301">
        <v>1.9398070318912974</v>
      </c>
      <c r="Q144" s="2301">
        <v>1.9152047523759017</v>
      </c>
      <c r="R144" s="2301">
        <v>1.8450644015792852</v>
      </c>
      <c r="S144" s="2301">
        <v>1.766076722689939</v>
      </c>
      <c r="T144" s="2301">
        <v>1.7076620281320336</v>
      </c>
      <c r="U144" s="2301">
        <v>1.7076620281320336</v>
      </c>
      <c r="V144" s="2301">
        <v>1.7076620281320336</v>
      </c>
      <c r="W144" s="2301">
        <v>1.7076620281320336</v>
      </c>
      <c r="X144" s="731"/>
      <c r="Y144" s="731"/>
      <c r="Z144" s="731"/>
      <c r="AA144" s="731"/>
      <c r="AB144" s="731"/>
      <c r="AC144" s="1181"/>
      <c r="AD144" s="1181"/>
      <c r="AE144" s="1181"/>
      <c r="AF144" s="1181"/>
    </row>
    <row r="145" spans="1:32">
      <c r="A145" s="731" t="s">
        <v>660</v>
      </c>
      <c r="B145" s="1249"/>
      <c r="C145" s="1117"/>
      <c r="D145" s="1117"/>
      <c r="E145" s="1117">
        <v>696.38421890387986</v>
      </c>
      <c r="F145" s="1117">
        <v>610.96891763350959</v>
      </c>
      <c r="G145" s="1117">
        <v>129.36504034598491</v>
      </c>
      <c r="H145" s="1117">
        <v>137.61696000829093</v>
      </c>
      <c r="I145" s="1117">
        <v>177.9236639329113</v>
      </c>
      <c r="J145" s="1117">
        <v>227.63268314892929</v>
      </c>
      <c r="K145" s="1117">
        <v>245.39240120887354</v>
      </c>
      <c r="L145" s="1117">
        <v>225.98779933315308</v>
      </c>
      <c r="M145" s="1117">
        <v>259.08618871613618</v>
      </c>
      <c r="N145" s="1117">
        <v>292.26732903337415</v>
      </c>
      <c r="O145" s="1117">
        <v>312.96141878840632</v>
      </c>
      <c r="P145" s="1224">
        <v>293.1000444426021</v>
      </c>
      <c r="Q145" s="1224">
        <v>285.31851823607104</v>
      </c>
      <c r="R145" s="1224">
        <v>278.97113947376016</v>
      </c>
      <c r="S145" s="1224">
        <v>273.22643789456311</v>
      </c>
      <c r="T145" s="1224">
        <v>271.10656227580591</v>
      </c>
      <c r="U145" s="1224">
        <v>272.94981169425517</v>
      </c>
      <c r="V145" s="1224">
        <v>278.56790049990508</v>
      </c>
      <c r="W145" s="1224">
        <v>283.68520080370939</v>
      </c>
      <c r="X145" s="731"/>
      <c r="Y145" s="731"/>
      <c r="Z145" s="731"/>
      <c r="AA145" s="731"/>
      <c r="AB145" s="731"/>
      <c r="AC145" s="1181"/>
      <c r="AD145" s="1181"/>
      <c r="AE145" s="1181"/>
      <c r="AF145" s="1181"/>
    </row>
    <row r="146" spans="1:32">
      <c r="A146" s="731" t="s">
        <v>661</v>
      </c>
      <c r="B146" s="460"/>
      <c r="C146" s="1118"/>
      <c r="D146" s="1118"/>
      <c r="E146" s="1118">
        <v>340.36374335477996</v>
      </c>
      <c r="F146" s="1118">
        <v>348.74645678035824</v>
      </c>
      <c r="G146" s="1118">
        <v>55.693576866706088</v>
      </c>
      <c r="H146" s="1118">
        <v>77.286847134837103</v>
      </c>
      <c r="I146" s="1118">
        <v>109.26958418774876</v>
      </c>
      <c r="J146" s="1118">
        <v>124.94932657203276</v>
      </c>
      <c r="K146" s="1118">
        <v>121.87355411416617</v>
      </c>
      <c r="L146" s="1118">
        <v>99.875281448337418</v>
      </c>
      <c r="M146" s="1117">
        <v>73.847968417682651</v>
      </c>
      <c r="N146" s="1117">
        <v>85.837416977163684</v>
      </c>
      <c r="O146" s="1117">
        <v>78.022146517990393</v>
      </c>
      <c r="P146" s="1224">
        <v>93.213880677324482</v>
      </c>
      <c r="Q146" s="1224">
        <v>89.496299431617672</v>
      </c>
      <c r="R146" s="1224">
        <v>88.967106554596043</v>
      </c>
      <c r="S146" s="1224">
        <v>87.801171820247731</v>
      </c>
      <c r="T146" s="1224">
        <v>86.95529479921322</v>
      </c>
      <c r="U146" s="1224">
        <v>87.750610555685682</v>
      </c>
      <c r="V146" s="1224">
        <v>90.092734988654172</v>
      </c>
      <c r="W146" s="1224">
        <v>92.244801890861666</v>
      </c>
      <c r="X146" s="731"/>
      <c r="Y146" s="731"/>
      <c r="Z146" s="731"/>
      <c r="AA146" s="731"/>
      <c r="AB146" s="731"/>
      <c r="AC146" s="1181"/>
      <c r="AD146" s="1181"/>
      <c r="AE146" s="1181"/>
      <c r="AF146" s="1181"/>
    </row>
    <row r="147" spans="1:32">
      <c r="A147" s="1243" t="s">
        <v>571</v>
      </c>
      <c r="B147" s="1250"/>
      <c r="C147" s="1250"/>
      <c r="D147" s="1250"/>
      <c r="E147" s="1250">
        <v>-4.9370059053109719E-2</v>
      </c>
      <c r="F147" s="1250">
        <v>-5.0124410060523476E-2</v>
      </c>
      <c r="G147" s="1250">
        <v>-0.3513558341438609</v>
      </c>
      <c r="H147" s="1250">
        <v>0.11052347863815346</v>
      </c>
      <c r="I147" s="1250">
        <v>-5.848953319027117E-2</v>
      </c>
      <c r="J147" s="1250">
        <v>-7.6565741831541384E-2</v>
      </c>
      <c r="K147" s="1250">
        <v>-0.10377552768251461</v>
      </c>
      <c r="L147" s="1250">
        <v>-2.9081970415405452E-2</v>
      </c>
      <c r="M147" s="1250">
        <v>-3.5030146147412948E-2</v>
      </c>
      <c r="N147" s="1250">
        <v>5.4159347937359957E-2</v>
      </c>
      <c r="O147" s="1250">
        <v>-5.3719894536635518E-3</v>
      </c>
      <c r="P147" s="1251">
        <v>4.5912226173812076E-2</v>
      </c>
      <c r="Q147" s="1251">
        <v>2.747164381077875E-2</v>
      </c>
      <c r="R147" s="1251">
        <v>5.2581545320157859E-2</v>
      </c>
      <c r="S147" s="1251">
        <v>4.8706156160232911E-2</v>
      </c>
      <c r="T147" s="1251">
        <v>3.3967230095872242E-2</v>
      </c>
      <c r="U147" s="1251">
        <v>1.4328338344181398E-2</v>
      </c>
      <c r="V147" s="1251">
        <v>-8.0093799933069303E-3</v>
      </c>
      <c r="W147" s="1251">
        <v>6.7706801909682987E-3</v>
      </c>
      <c r="X147" s="731"/>
      <c r="Y147" s="731"/>
      <c r="Z147" s="731"/>
      <c r="AA147" s="731"/>
      <c r="AB147" s="731"/>
      <c r="AC147" s="1181"/>
      <c r="AD147" s="1181"/>
      <c r="AE147" s="1181"/>
      <c r="AF147" s="1181"/>
    </row>
    <row r="148" spans="1:32">
      <c r="A148" s="1243" t="s">
        <v>288</v>
      </c>
      <c r="B148" s="1163"/>
      <c r="C148" s="1163"/>
      <c r="D148" s="1163"/>
      <c r="E148" s="1163">
        <v>6.7270999619916385E-3</v>
      </c>
      <c r="F148" s="1163">
        <v>0</v>
      </c>
      <c r="G148" s="1163">
        <v>0</v>
      </c>
      <c r="H148" s="1163">
        <v>5.5262096774193553E-2</v>
      </c>
      <c r="I148" s="1163">
        <v>3.3825757575757572E-2</v>
      </c>
      <c r="J148" s="1163">
        <v>4.3839427012278304E-2</v>
      </c>
      <c r="K148" s="1163">
        <v>3.003393258426966E-2</v>
      </c>
      <c r="L148" s="1163">
        <v>3.6683673469387751E-2</v>
      </c>
      <c r="M148" s="1163">
        <v>1.6289519419735474E-2</v>
      </c>
      <c r="N148" s="1163">
        <v>9.9974043305346618E-3</v>
      </c>
      <c r="O148" s="1163">
        <v>1.2169312169312168E-2</v>
      </c>
      <c r="P148" s="1164">
        <v>2.5819723347271256E-2</v>
      </c>
      <c r="Q148" s="1164">
        <v>2.1495968921727285E-2</v>
      </c>
      <c r="R148" s="1164">
        <v>4.6314606493319768E-2</v>
      </c>
      <c r="S148" s="1164">
        <v>5.6560734561828516E-2</v>
      </c>
      <c r="T148" s="1164">
        <v>4.5194689552412598E-2</v>
      </c>
      <c r="U148" s="1164">
        <v>4.5788885101705916E-2</v>
      </c>
      <c r="V148" s="1164">
        <v>4.3688104113930239E-2</v>
      </c>
      <c r="W148" s="1164">
        <v>5.7138652134752665E-2</v>
      </c>
      <c r="X148" s="731"/>
      <c r="Y148" s="731"/>
      <c r="Z148" s="731"/>
      <c r="AA148" s="731"/>
      <c r="AB148" s="731"/>
      <c r="AC148" s="1181"/>
      <c r="AD148" s="1181"/>
      <c r="AE148" s="1181"/>
      <c r="AF148" s="1181"/>
    </row>
    <row r="149" spans="1:32">
      <c r="A149" s="1342" t="s">
        <v>1139</v>
      </c>
      <c r="B149" s="1343"/>
      <c r="C149" s="1343"/>
      <c r="D149" s="1343"/>
      <c r="E149" s="1343"/>
      <c r="F149" s="1343"/>
      <c r="G149" s="1343"/>
      <c r="H149" s="1343"/>
      <c r="I149" s="1343"/>
      <c r="J149" s="1343"/>
      <c r="K149" s="2308"/>
      <c r="L149" s="1343"/>
      <c r="M149" s="1343"/>
      <c r="N149" s="1343"/>
      <c r="O149" s="1343"/>
      <c r="P149" s="1344"/>
      <c r="Q149" s="1344"/>
      <c r="R149" s="1344"/>
      <c r="S149" s="1344"/>
      <c r="T149" s="1344"/>
      <c r="U149" s="1344"/>
      <c r="V149" s="1344"/>
      <c r="W149" s="1344"/>
      <c r="X149" s="731"/>
      <c r="Y149" s="731"/>
      <c r="Z149" s="731"/>
      <c r="AA149" s="731"/>
      <c r="AB149" s="731"/>
      <c r="AC149" s="1181"/>
      <c r="AD149" s="1181"/>
      <c r="AE149" s="1181"/>
      <c r="AF149" s="1181"/>
    </row>
    <row r="150" spans="1:32">
      <c r="A150" s="1240" t="s">
        <v>572</v>
      </c>
      <c r="B150" s="1561"/>
      <c r="C150" s="1561"/>
      <c r="D150" s="1561"/>
      <c r="E150" s="228">
        <v>26.31</v>
      </c>
      <c r="F150" s="228">
        <v>23.77</v>
      </c>
      <c r="G150" s="228">
        <v>3.47</v>
      </c>
      <c r="H150" s="228">
        <v>4.96</v>
      </c>
      <c r="I150" s="228">
        <v>7.92</v>
      </c>
      <c r="J150" s="228">
        <v>7.33</v>
      </c>
      <c r="K150" s="228">
        <v>8.9</v>
      </c>
      <c r="L150" s="228">
        <v>9.8000000000000007</v>
      </c>
      <c r="M150" s="228">
        <v>12.35</v>
      </c>
      <c r="N150" s="228">
        <v>15.69</v>
      </c>
      <c r="O150" s="228">
        <v>17.010000000000002</v>
      </c>
      <c r="P150" s="1568">
        <v>13.1</v>
      </c>
      <c r="Q150" s="1568">
        <v>13.1</v>
      </c>
      <c r="R150" s="1568">
        <v>13.1</v>
      </c>
      <c r="S150" s="1568">
        <v>13.1</v>
      </c>
      <c r="T150" s="1568">
        <v>13.1</v>
      </c>
      <c r="U150" s="1568">
        <v>13.1</v>
      </c>
      <c r="V150" s="1568">
        <v>13.1</v>
      </c>
      <c r="W150" s="1568">
        <v>13.1</v>
      </c>
      <c r="X150" s="731"/>
      <c r="Y150" s="731"/>
      <c r="Z150" s="731"/>
      <c r="AA150" s="731"/>
      <c r="AB150" s="731"/>
      <c r="AC150" s="1181"/>
      <c r="AD150" s="1181"/>
      <c r="AE150" s="1181"/>
      <c r="AF150" s="1181"/>
    </row>
    <row r="151" spans="1:32">
      <c r="A151" s="1243" t="s">
        <v>279</v>
      </c>
      <c r="B151" s="1562"/>
      <c r="C151" s="1562"/>
      <c r="D151" s="1562"/>
      <c r="E151" s="229">
        <v>8919.09</v>
      </c>
      <c r="F151" s="229">
        <v>8058.03</v>
      </c>
      <c r="G151" s="229">
        <v>1174.8830100000002</v>
      </c>
      <c r="H151" s="229">
        <v>1679.3716800000002</v>
      </c>
      <c r="I151" s="229">
        <v>2681.5773600000002</v>
      </c>
      <c r="J151" s="229">
        <v>2478.73479</v>
      </c>
      <c r="K151" s="229">
        <v>3000.1989000000003</v>
      </c>
      <c r="L151" s="229">
        <v>3307.0590000000002</v>
      </c>
      <c r="M151" s="229">
        <v>4181.4629999999997</v>
      </c>
      <c r="N151" s="229">
        <v>5328.4181399999998</v>
      </c>
      <c r="O151" s="229">
        <v>5750.3835900000013</v>
      </c>
      <c r="P151" s="1569">
        <v>4624.0511910449995</v>
      </c>
      <c r="Q151" s="1569">
        <v>4761.4291926300002</v>
      </c>
      <c r="R151" s="1569">
        <v>4761.4291926300002</v>
      </c>
      <c r="S151" s="1569">
        <v>4761.4291926300002</v>
      </c>
      <c r="T151" s="1569">
        <v>4761.4291926300002</v>
      </c>
      <c r="U151" s="1569">
        <v>4761.4291926300002</v>
      </c>
      <c r="V151" s="1569">
        <v>4761.4291926300002</v>
      </c>
      <c r="W151" s="1569">
        <v>4761.4291926300002</v>
      </c>
      <c r="X151" s="731"/>
      <c r="Y151" s="731"/>
      <c r="Z151" s="731"/>
      <c r="AA151" s="731"/>
      <c r="AB151" s="731"/>
      <c r="AC151" s="1181"/>
      <c r="AD151" s="1181"/>
      <c r="AE151" s="1181"/>
      <c r="AF151" s="1181"/>
    </row>
    <row r="152" spans="1:32">
      <c r="A152" s="1243" t="s">
        <v>569</v>
      </c>
      <c r="B152" s="1562"/>
      <c r="C152" s="1562"/>
      <c r="D152" s="1562"/>
      <c r="E152" s="229">
        <v>8882.5400000000009</v>
      </c>
      <c r="F152" s="229">
        <v>8584.4510000000009</v>
      </c>
      <c r="G152" s="229">
        <v>2134.8230100000001</v>
      </c>
      <c r="H152" s="229">
        <v>2445.4726800000003</v>
      </c>
      <c r="I152" s="229">
        <v>3196.9593600000003</v>
      </c>
      <c r="J152" s="229">
        <v>3314.8057899999999</v>
      </c>
      <c r="K152" s="229">
        <v>4347.8348999999998</v>
      </c>
      <c r="L152" s="229">
        <v>4845.5400000000009</v>
      </c>
      <c r="M152" s="229">
        <v>6668.5469999999996</v>
      </c>
      <c r="N152" s="229">
        <v>8047.4561400000002</v>
      </c>
      <c r="O152" s="229">
        <v>8297.5115900000019</v>
      </c>
      <c r="P152" s="1569">
        <v>6995.219937575971</v>
      </c>
      <c r="Q152" s="1569">
        <v>7092.633780233371</v>
      </c>
      <c r="R152" s="1569">
        <v>7050.7217043732571</v>
      </c>
      <c r="S152" s="1569">
        <v>7103.2516069162803</v>
      </c>
      <c r="T152" s="1569">
        <v>7178.338686184341</v>
      </c>
      <c r="U152" s="1569">
        <v>7388.7407435102014</v>
      </c>
      <c r="V152" s="1569">
        <v>7734.4835272757791</v>
      </c>
      <c r="W152" s="1569">
        <v>8071.334790605104</v>
      </c>
      <c r="X152" s="731"/>
      <c r="Y152" s="731"/>
      <c r="Z152" s="731"/>
      <c r="AA152" s="731"/>
      <c r="AB152" s="731"/>
      <c r="AC152" s="1181"/>
      <c r="AD152" s="1181"/>
      <c r="AE152" s="1181"/>
      <c r="AF152" s="1181"/>
    </row>
    <row r="153" spans="1:32">
      <c r="A153" s="1243" t="s">
        <v>265</v>
      </c>
      <c r="B153" s="1246"/>
      <c r="C153" s="1246"/>
      <c r="D153" s="1246"/>
      <c r="E153" s="230">
        <v>22.747921132358638</v>
      </c>
      <c r="F153" s="230">
        <v>64.736032034507986</v>
      </c>
      <c r="G153" s="230">
        <v>11.248224424633284</v>
      </c>
      <c r="H153" s="230">
        <v>5.4058767433069619</v>
      </c>
      <c r="I153" s="230">
        <v>5.2188268019628401</v>
      </c>
      <c r="J153" s="230">
        <v>6.2189261358413113</v>
      </c>
      <c r="K153" s="230">
        <v>6.6702896960975488</v>
      </c>
      <c r="L153" s="230">
        <v>6.3237888912090225</v>
      </c>
      <c r="M153" s="230">
        <v>6.109385492773872</v>
      </c>
      <c r="N153" s="230">
        <v>6.1798309032393313</v>
      </c>
      <c r="O153" s="230">
        <v>5.7418728755619046</v>
      </c>
      <c r="P153" s="1247">
        <v>4.5037988812574072</v>
      </c>
      <c r="Q153" s="1247">
        <v>5.3370515010383617</v>
      </c>
      <c r="R153" s="1247">
        <v>4.3219207846519696</v>
      </c>
      <c r="S153" s="1247">
        <v>3.7100597369531134</v>
      </c>
      <c r="T153" s="1247">
        <v>4.013919205557051</v>
      </c>
      <c r="U153" s="1247">
        <v>4.5816651686070706</v>
      </c>
      <c r="V153" s="1247">
        <v>4.5360325280336697</v>
      </c>
      <c r="W153" s="1247">
        <v>4.0258483071994879</v>
      </c>
      <c r="X153" s="731"/>
      <c r="Y153" s="731"/>
      <c r="Z153" s="731"/>
      <c r="AA153" s="731"/>
      <c r="AB153" s="731"/>
      <c r="AC153" s="1181"/>
      <c r="AD153" s="1181"/>
      <c r="AE153" s="1181"/>
      <c r="AF153" s="1181"/>
    </row>
    <row r="154" spans="1:32">
      <c r="A154" s="1243" t="s">
        <v>570</v>
      </c>
      <c r="B154" s="1246"/>
      <c r="C154" s="1246"/>
      <c r="D154" s="1246"/>
      <c r="E154" s="230">
        <v>44.872312166064653</v>
      </c>
      <c r="F154" s="230" t="s">
        <v>36</v>
      </c>
      <c r="G154" s="230" t="s">
        <v>36</v>
      </c>
      <c r="H154" s="230">
        <v>17.123864915572263</v>
      </c>
      <c r="I154" s="230">
        <v>18.845727136642534</v>
      </c>
      <c r="J154" s="230">
        <v>19.577562692025154</v>
      </c>
      <c r="K154" s="230">
        <v>41.126784098697854</v>
      </c>
      <c r="L154" s="230">
        <v>24.496370424141858</v>
      </c>
      <c r="M154" s="230">
        <v>13.180838991545793</v>
      </c>
      <c r="N154" s="230">
        <v>26.717701796082917</v>
      </c>
      <c r="O154" s="230">
        <v>20.255817752071238</v>
      </c>
      <c r="P154" s="1939">
        <v>11.077515540774948</v>
      </c>
      <c r="Q154" s="1939">
        <v>16.560238724092205</v>
      </c>
      <c r="R154" s="1247">
        <v>10.76053032645634</v>
      </c>
      <c r="S154" s="1247">
        <v>8.8112315299666726</v>
      </c>
      <c r="T154" s="1247">
        <v>11.027174490297057</v>
      </c>
      <c r="U154" s="1247">
        <v>15.548680696582776</v>
      </c>
      <c r="V154" s="1247">
        <v>16.296352710621047</v>
      </c>
      <c r="W154" s="1247">
        <v>12.460160107030557</v>
      </c>
      <c r="X154" s="731"/>
      <c r="Y154" s="731"/>
      <c r="Z154" s="731"/>
      <c r="AA154" s="731"/>
      <c r="AB154" s="731"/>
      <c r="AC154" s="1181"/>
      <c r="AD154" s="1181"/>
      <c r="AE154" s="1181"/>
      <c r="AF154" s="1181"/>
    </row>
    <row r="155" spans="1:32">
      <c r="A155" s="1243" t="s">
        <v>267</v>
      </c>
      <c r="B155" s="1246"/>
      <c r="C155" s="1246"/>
      <c r="D155" s="1246"/>
      <c r="E155" s="230">
        <v>5.3360435063536515</v>
      </c>
      <c r="F155" s="230">
        <v>4.9600666264101321</v>
      </c>
      <c r="G155" s="230">
        <v>0.74586228043278302</v>
      </c>
      <c r="H155" s="230">
        <v>0.87953262584771807</v>
      </c>
      <c r="I155" s="230">
        <v>1.3727560501396008</v>
      </c>
      <c r="J155" s="230">
        <v>1.2241971439916555</v>
      </c>
      <c r="K155" s="230">
        <v>1.4282465104300308</v>
      </c>
      <c r="L155" s="230">
        <v>1.5930324978612223</v>
      </c>
      <c r="M155" s="230">
        <v>1.5983666432856729</v>
      </c>
      <c r="N155" s="230">
        <v>2.0133092193484692</v>
      </c>
      <c r="O155" s="230">
        <v>1.6896394079898456</v>
      </c>
      <c r="P155" s="1247">
        <v>1.3810587176156686</v>
      </c>
      <c r="Q155" s="1247">
        <v>1.3635429585533732</v>
      </c>
      <c r="R155" s="1247">
        <v>1.3136060620828811</v>
      </c>
      <c r="S155" s="1247">
        <v>1.2573702506228102</v>
      </c>
      <c r="T155" s="1247">
        <v>1.2157815143053656</v>
      </c>
      <c r="U155" s="1247">
        <v>1.2157815143053656</v>
      </c>
      <c r="V155" s="1247">
        <v>1.2157815143053656</v>
      </c>
      <c r="W155" s="1247">
        <v>1.2157815143053656</v>
      </c>
      <c r="X155" s="731"/>
      <c r="Y155" s="731"/>
      <c r="Z155" s="731"/>
      <c r="AA155" s="731"/>
      <c r="AB155" s="731"/>
      <c r="AC155" s="1181"/>
      <c r="AD155" s="1181"/>
      <c r="AE155" s="1181"/>
      <c r="AF155" s="1181"/>
    </row>
    <row r="156" spans="1:32">
      <c r="A156" s="731" t="s">
        <v>660</v>
      </c>
      <c r="B156" s="1562"/>
      <c r="C156" s="1562"/>
      <c r="D156" s="1562"/>
      <c r="E156" s="229">
        <v>696.38421890387986</v>
      </c>
      <c r="F156" s="229">
        <v>610.96891763350959</v>
      </c>
      <c r="G156" s="229">
        <v>129.36504034598491</v>
      </c>
      <c r="H156" s="229">
        <v>137.61696000829093</v>
      </c>
      <c r="I156" s="229">
        <v>177.9236639329113</v>
      </c>
      <c r="J156" s="229">
        <v>227.63268314892929</v>
      </c>
      <c r="K156" s="229">
        <v>245.39240120887354</v>
      </c>
      <c r="L156" s="229">
        <v>225.98779933315308</v>
      </c>
      <c r="M156" s="229">
        <v>259.08618871613618</v>
      </c>
      <c r="N156" s="229">
        <v>292.26732903337415</v>
      </c>
      <c r="O156" s="229">
        <v>312.96141878840632</v>
      </c>
      <c r="P156" s="1238">
        <v>211.01314597683267</v>
      </c>
      <c r="Q156" s="1238">
        <v>215.07205608755768</v>
      </c>
      <c r="R156" s="1238">
        <v>213.32571959338625</v>
      </c>
      <c r="S156" s="1238">
        <v>211.1162111340528</v>
      </c>
      <c r="T156" s="1238">
        <v>209.89737008209417</v>
      </c>
      <c r="U156" s="1238">
        <v>214.03279644620449</v>
      </c>
      <c r="V156" s="1238">
        <v>223.21458050553048</v>
      </c>
      <c r="W156" s="1238">
        <v>231.71435307445725</v>
      </c>
      <c r="X156" s="731"/>
      <c r="Y156" s="731"/>
      <c r="Z156" s="731"/>
      <c r="AA156" s="731"/>
      <c r="AB156" s="731"/>
      <c r="AC156" s="1181"/>
      <c r="AD156" s="1181"/>
      <c r="AE156" s="1181"/>
      <c r="AF156" s="1181"/>
    </row>
    <row r="157" spans="1:32">
      <c r="A157" s="731" t="s">
        <v>661</v>
      </c>
      <c r="B157" s="1562"/>
      <c r="C157" s="1562"/>
      <c r="D157" s="1562"/>
      <c r="E157" s="229">
        <v>340.36374335477996</v>
      </c>
      <c r="F157" s="229">
        <v>348.74645678035824</v>
      </c>
      <c r="G157" s="229">
        <v>55.693576866706088</v>
      </c>
      <c r="H157" s="229">
        <v>77.286847134837103</v>
      </c>
      <c r="I157" s="229">
        <v>109.26958418774876</v>
      </c>
      <c r="J157" s="229">
        <v>124.94932657203276</v>
      </c>
      <c r="K157" s="229">
        <v>121.87355411416617</v>
      </c>
      <c r="L157" s="229">
        <v>99.875281448337418</v>
      </c>
      <c r="M157" s="229">
        <v>73.847968417682651</v>
      </c>
      <c r="N157" s="229">
        <v>85.837416977163684</v>
      </c>
      <c r="O157" s="229">
        <v>78.022146517990393</v>
      </c>
      <c r="P157" s="1245">
        <v>68.068756766720213</v>
      </c>
      <c r="Q157" s="1245">
        <v>65.173350329562936</v>
      </c>
      <c r="R157" s="1245">
        <v>64.644157452541293</v>
      </c>
      <c r="S157" s="1245">
        <v>63.974609434561458</v>
      </c>
      <c r="T157" s="1245">
        <v>63.605263661240663</v>
      </c>
      <c r="U157" s="1245">
        <v>64.858423165516513</v>
      </c>
      <c r="V157" s="1245">
        <v>67.640781971372874</v>
      </c>
      <c r="W157" s="1245">
        <v>70.216470628623412</v>
      </c>
      <c r="X157" s="731"/>
      <c r="Y157" s="731"/>
      <c r="Z157" s="731"/>
      <c r="AA157" s="731"/>
      <c r="AB157" s="731"/>
      <c r="AC157" s="1181"/>
      <c r="AD157" s="1181"/>
      <c r="AE157" s="1181"/>
      <c r="AF157" s="1181"/>
    </row>
    <row r="158" spans="1:32">
      <c r="A158" s="1243" t="s">
        <v>571</v>
      </c>
      <c r="B158" s="1250"/>
      <c r="C158" s="1250"/>
      <c r="D158" s="1250"/>
      <c r="E158" s="653">
        <v>-4.9370059053109719E-2</v>
      </c>
      <c r="F158" s="653">
        <v>-5.0124410060523476E-2</v>
      </c>
      <c r="G158" s="653">
        <v>-0.3513558341438609</v>
      </c>
      <c r="H158" s="653">
        <v>0.11052347863815346</v>
      </c>
      <c r="I158" s="653">
        <v>-5.848953319027117E-2</v>
      </c>
      <c r="J158" s="653">
        <v>-7.6565741831541384E-2</v>
      </c>
      <c r="K158" s="653">
        <v>-0.10377552768251461</v>
      </c>
      <c r="L158" s="653">
        <v>-2.9081970415405452E-2</v>
      </c>
      <c r="M158" s="653">
        <v>-3.5030146147412948E-2</v>
      </c>
      <c r="N158" s="653">
        <v>5.4159347937359957E-2</v>
      </c>
      <c r="O158" s="653">
        <v>-5.3719894536635518E-3</v>
      </c>
      <c r="P158" s="1251">
        <v>6.4487380620212614E-2</v>
      </c>
      <c r="Q158" s="1251">
        <v>3.8586113075455425E-2</v>
      </c>
      <c r="R158" s="1251">
        <v>7.3854970870353628E-2</v>
      </c>
      <c r="S158" s="1251">
        <v>6.8411677947431179E-2</v>
      </c>
      <c r="T158" s="1251">
        <v>4.7709681676386916E-2</v>
      </c>
      <c r="U158" s="1251">
        <v>2.0125293096405161E-2</v>
      </c>
      <c r="V158" s="1251">
        <v>-1.1249812505386834E-2</v>
      </c>
      <c r="W158" s="1251">
        <v>9.5099599152469877E-3</v>
      </c>
      <c r="X158" s="731"/>
      <c r="Y158" s="731"/>
      <c r="Z158" s="731"/>
      <c r="AA158" s="731"/>
      <c r="AB158" s="731"/>
      <c r="AC158" s="1181"/>
      <c r="AD158" s="1181"/>
      <c r="AE158" s="1181"/>
      <c r="AF158" s="1181"/>
    </row>
    <row r="159" spans="1:32">
      <c r="A159" s="990" t="s">
        <v>288</v>
      </c>
      <c r="B159" s="990"/>
      <c r="C159" s="990"/>
      <c r="D159" s="990"/>
      <c r="E159" s="1166">
        <v>6.7270999619916385E-3</v>
      </c>
      <c r="F159" s="1166">
        <v>0</v>
      </c>
      <c r="G159" s="1166">
        <v>0</v>
      </c>
      <c r="H159" s="1166">
        <v>5.5262096774193553E-2</v>
      </c>
      <c r="I159" s="1166">
        <v>3.3825757575757572E-2</v>
      </c>
      <c r="J159" s="1166">
        <v>4.3839427012278304E-2</v>
      </c>
      <c r="K159" s="1166">
        <v>3.003393258426966E-2</v>
      </c>
      <c r="L159" s="1166">
        <v>3.6683673469387751E-2</v>
      </c>
      <c r="M159" s="1166">
        <v>1.6289519419735474E-2</v>
      </c>
      <c r="N159" s="1166">
        <v>9.9974043305346618E-3</v>
      </c>
      <c r="O159" s="1166">
        <v>1.2169312169312168E-2</v>
      </c>
      <c r="P159" s="1167">
        <v>3.6265859135225266E-2</v>
      </c>
      <c r="Q159" s="1167">
        <v>3.019280146442508E-2</v>
      </c>
      <c r="R159" s="1167">
        <v>6.5052555846522503E-2</v>
      </c>
      <c r="S159" s="1167">
        <v>7.9444059280399798E-2</v>
      </c>
      <c r="T159" s="1167">
        <v>6.3479543251622472E-2</v>
      </c>
      <c r="U159" s="1167">
        <v>6.4314138254815134E-2</v>
      </c>
      <c r="V159" s="1167">
        <v>6.1363423936465017E-2</v>
      </c>
      <c r="W159" s="1167">
        <v>8.0255790568514215E-2</v>
      </c>
      <c r="X159" s="731"/>
      <c r="Y159" s="731"/>
      <c r="Z159" s="731"/>
      <c r="AA159" s="731"/>
      <c r="AB159" s="731"/>
      <c r="AC159" s="1181"/>
      <c r="AD159" s="1181"/>
      <c r="AE159" s="1181"/>
      <c r="AF159" s="1181"/>
    </row>
    <row r="160" spans="1:32">
      <c r="A160" s="1553" t="s">
        <v>201</v>
      </c>
      <c r="B160" s="1553"/>
      <c r="C160" s="1553"/>
      <c r="D160" s="1553"/>
      <c r="E160" s="1553"/>
      <c r="F160" s="1571"/>
      <c r="G160" s="1571"/>
      <c r="H160" s="1571"/>
      <c r="I160" s="1571"/>
      <c r="J160" s="1571"/>
      <c r="K160" s="1571"/>
      <c r="L160" s="1571"/>
      <c r="M160" s="1571"/>
      <c r="N160" s="1571"/>
      <c r="O160" s="1571"/>
      <c r="P160" s="1172"/>
      <c r="Q160" s="1172"/>
      <c r="R160" s="1172"/>
      <c r="S160" s="1172"/>
      <c r="T160" s="1172"/>
      <c r="U160" s="1172"/>
      <c r="V160" s="1553"/>
      <c r="W160" s="2391" t="s">
        <v>200</v>
      </c>
      <c r="X160" s="731"/>
      <c r="Y160" s="731"/>
      <c r="Z160" s="731"/>
      <c r="AA160" s="731"/>
      <c r="AB160" s="731"/>
      <c r="AC160" s="1181"/>
      <c r="AD160" s="1181"/>
      <c r="AE160" s="1181"/>
      <c r="AF160" s="1181"/>
    </row>
    <row r="161" spans="1:32">
      <c r="A161" s="1554"/>
      <c r="B161" s="1554"/>
      <c r="C161" s="1554"/>
      <c r="D161" s="1554"/>
      <c r="E161" s="1181"/>
      <c r="F161" s="1181"/>
      <c r="G161" s="1181"/>
      <c r="H161" s="1181"/>
      <c r="I161" s="1181"/>
      <c r="J161" s="1181"/>
      <c r="K161" s="1181"/>
      <c r="L161" s="1181"/>
      <c r="M161" s="1181"/>
      <c r="N161" s="1181"/>
      <c r="O161" s="1181"/>
      <c r="P161" s="1181"/>
      <c r="Q161" s="1181"/>
      <c r="R161" s="1181"/>
      <c r="S161" s="1181"/>
      <c r="T161" s="1181"/>
      <c r="U161" s="1181"/>
      <c r="V161" s="1181"/>
      <c r="W161" s="1181"/>
      <c r="X161" s="731"/>
      <c r="Y161" s="731"/>
      <c r="Z161" s="731"/>
      <c r="AA161" s="731"/>
      <c r="AB161" s="731"/>
      <c r="AC161" s="1181"/>
      <c r="AD161" s="1181"/>
      <c r="AE161" s="1181"/>
      <c r="AF161" s="1181"/>
    </row>
    <row r="162" spans="1:32">
      <c r="A162" s="1555" t="s">
        <v>558</v>
      </c>
      <c r="B162" s="1563"/>
      <c r="C162" s="1563"/>
      <c r="D162" s="1563"/>
      <c r="E162" s="1563"/>
      <c r="F162" s="1563"/>
      <c r="G162" s="1563"/>
      <c r="H162" s="1563"/>
      <c r="I162" s="1563"/>
      <c r="J162" s="1563"/>
      <c r="K162" s="1563"/>
      <c r="L162" s="1563"/>
      <c r="M162" s="1563"/>
      <c r="N162" s="1563"/>
      <c r="O162" s="1563"/>
      <c r="P162" s="1570"/>
      <c r="Q162" s="1570"/>
      <c r="R162" s="1570"/>
      <c r="S162" s="1570"/>
      <c r="T162" s="1570"/>
      <c r="U162" s="1570"/>
      <c r="V162" s="1570"/>
      <c r="W162" s="1570"/>
      <c r="X162" s="731"/>
      <c r="Y162" s="731"/>
      <c r="Z162" s="731"/>
      <c r="AA162" s="731"/>
      <c r="AB162" s="731"/>
      <c r="AC162" s="1181"/>
      <c r="AD162" s="1181"/>
      <c r="AE162" s="1181"/>
      <c r="AF162" s="1181"/>
    </row>
    <row r="163" spans="1:32" ht="12.75" hidden="1" customHeight="1" outlineLevel="1">
      <c r="A163" s="1556" t="s">
        <v>559</v>
      </c>
      <c r="B163" s="1564">
        <v>0</v>
      </c>
      <c r="C163" s="1564">
        <v>0</v>
      </c>
      <c r="D163" s="1564">
        <v>0</v>
      </c>
      <c r="E163" s="1564">
        <v>0</v>
      </c>
      <c r="F163" s="1564">
        <v>-1.0000000000009095</v>
      </c>
      <c r="G163" s="1564">
        <v>0</v>
      </c>
      <c r="H163" s="1564">
        <v>0</v>
      </c>
      <c r="I163" s="1564">
        <v>6.1999999998988642E-2</v>
      </c>
      <c r="J163" s="1564">
        <v>-0.10599999999885767</v>
      </c>
      <c r="K163" s="1564">
        <v>-9.0000000009240466E-3</v>
      </c>
      <c r="L163" s="1564">
        <v>0</v>
      </c>
      <c r="M163" s="1564">
        <v>0</v>
      </c>
      <c r="N163" s="1564">
        <v>0</v>
      </c>
      <c r="O163" s="1564">
        <v>0</v>
      </c>
      <c r="P163" s="1564">
        <v>0</v>
      </c>
      <c r="Q163" s="1564">
        <v>0</v>
      </c>
      <c r="R163" s="1564">
        <v>0</v>
      </c>
      <c r="S163" s="1564">
        <v>0</v>
      </c>
      <c r="T163" s="1564">
        <v>0</v>
      </c>
      <c r="U163" s="1564">
        <v>0</v>
      </c>
      <c r="V163" s="1564">
        <v>0</v>
      </c>
      <c r="W163" s="1564">
        <v>0</v>
      </c>
      <c r="X163" s="731"/>
      <c r="Y163" s="731"/>
      <c r="Z163" s="731"/>
      <c r="AA163" s="731"/>
      <c r="AB163" s="731"/>
      <c r="AC163" s="1181"/>
      <c r="AD163" s="1181"/>
      <c r="AE163" s="1181"/>
      <c r="AF163" s="1181"/>
    </row>
    <row r="164" spans="1:32" ht="12.75" hidden="1" customHeight="1" outlineLevel="1">
      <c r="A164" s="1557" t="s">
        <v>560</v>
      </c>
      <c r="B164" s="1565">
        <v>0</v>
      </c>
      <c r="C164" s="1565">
        <v>0</v>
      </c>
      <c r="D164" s="1565">
        <v>0</v>
      </c>
      <c r="E164" s="1565">
        <v>0</v>
      </c>
      <c r="F164" s="1565">
        <v>0</v>
      </c>
      <c r="G164" s="1565">
        <v>0</v>
      </c>
      <c r="H164" s="1565">
        <v>0</v>
      </c>
      <c r="I164" s="1565">
        <v>0</v>
      </c>
      <c r="J164" s="1565">
        <v>0</v>
      </c>
      <c r="K164" s="1565">
        <v>0</v>
      </c>
      <c r="L164" s="1565">
        <v>0</v>
      </c>
      <c r="M164" s="1565">
        <v>0</v>
      </c>
      <c r="N164" s="1565">
        <v>0</v>
      </c>
      <c r="O164" s="1565">
        <v>0</v>
      </c>
      <c r="P164" s="1565">
        <v>0</v>
      </c>
      <c r="Q164" s="1565">
        <v>0</v>
      </c>
      <c r="R164" s="1565">
        <v>0</v>
      </c>
      <c r="S164" s="1565">
        <v>0</v>
      </c>
      <c r="T164" s="1565">
        <v>0</v>
      </c>
      <c r="U164" s="1565">
        <v>0</v>
      </c>
      <c r="V164" s="1565">
        <v>0</v>
      </c>
      <c r="W164" s="1565">
        <v>0</v>
      </c>
      <c r="X164" s="731"/>
      <c r="Y164" s="731"/>
      <c r="Z164" s="731"/>
      <c r="AA164" s="731"/>
      <c r="AB164" s="731"/>
      <c r="AC164" s="1181"/>
      <c r="AD164" s="1181"/>
      <c r="AE164" s="1181"/>
      <c r="AF164" s="1181"/>
    </row>
    <row r="165" spans="1:32" ht="12.75" hidden="1" customHeight="1" outlineLevel="1">
      <c r="A165" s="1557" t="s">
        <v>561</v>
      </c>
      <c r="B165" s="1565">
        <v>0</v>
      </c>
      <c r="C165" s="1565">
        <v>0</v>
      </c>
      <c r="D165" s="1565">
        <v>0</v>
      </c>
      <c r="E165" s="1565">
        <v>0</v>
      </c>
      <c r="F165" s="1565">
        <v>0</v>
      </c>
      <c r="G165" s="1565">
        <v>0</v>
      </c>
      <c r="H165" s="1565">
        <v>0</v>
      </c>
      <c r="I165" s="1565">
        <v>0</v>
      </c>
      <c r="J165" s="1565">
        <v>0</v>
      </c>
      <c r="K165" s="1565">
        <v>0</v>
      </c>
      <c r="L165" s="1565">
        <v>0</v>
      </c>
      <c r="M165" s="1565">
        <v>0</v>
      </c>
      <c r="N165" s="1565">
        <v>0</v>
      </c>
      <c r="O165" s="1565">
        <v>0</v>
      </c>
      <c r="P165" s="1565">
        <v>0</v>
      </c>
      <c r="Q165" s="1565">
        <v>0</v>
      </c>
      <c r="R165" s="1565">
        <v>0</v>
      </c>
      <c r="S165" s="1565">
        <v>0</v>
      </c>
      <c r="T165" s="1565">
        <v>0</v>
      </c>
      <c r="U165" s="1565">
        <v>0</v>
      </c>
      <c r="V165" s="1565">
        <v>0</v>
      </c>
      <c r="W165" s="1565">
        <v>0</v>
      </c>
      <c r="X165" s="731"/>
      <c r="Y165" s="731"/>
      <c r="Z165" s="731"/>
      <c r="AA165" s="731"/>
      <c r="AB165" s="731"/>
      <c r="AC165" s="1181"/>
      <c r="AD165" s="1181"/>
      <c r="AE165" s="1181"/>
      <c r="AF165" s="1181"/>
    </row>
    <row r="166" spans="1:32" ht="12.75" hidden="1" customHeight="1" outlineLevel="1">
      <c r="A166" s="1557" t="s">
        <v>562</v>
      </c>
      <c r="B166" s="1565"/>
      <c r="C166" s="1565">
        <v>14.06100000000017</v>
      </c>
      <c r="D166" s="1565">
        <v>14.279999999999824</v>
      </c>
      <c r="E166" s="1565">
        <v>77.907000000000323</v>
      </c>
      <c r="F166" s="1932">
        <v>0</v>
      </c>
      <c r="G166" s="1565">
        <v>5.1159076974727213E-13</v>
      </c>
      <c r="H166" s="1565">
        <v>0</v>
      </c>
      <c r="I166" s="1565">
        <v>6.199999999995498E-2</v>
      </c>
      <c r="J166" s="1565">
        <v>-0.16800000000000637</v>
      </c>
      <c r="K166" s="1565">
        <v>9.7000000000775799E-2</v>
      </c>
      <c r="L166" s="1565">
        <v>8.9999999998724434E-3</v>
      </c>
      <c r="M166" s="1565">
        <v>-31.179999999999609</v>
      </c>
      <c r="N166" s="1565">
        <v>3.899999999970305E-2</v>
      </c>
      <c r="O166" s="1565">
        <v>-9.9999999957844921E-4</v>
      </c>
      <c r="P166" s="1565">
        <v>-9.9475983006414026E-13</v>
      </c>
      <c r="Q166" s="1565">
        <v>0</v>
      </c>
      <c r="R166" s="1565">
        <v>-5.1159076974727213E-13</v>
      </c>
      <c r="S166" s="1565">
        <v>-1.0800249583553523E-12</v>
      </c>
      <c r="T166" s="1565">
        <v>-5.1159076974727213E-13</v>
      </c>
      <c r="U166" s="1565">
        <v>0</v>
      </c>
      <c r="V166" s="1565">
        <v>0</v>
      </c>
      <c r="W166" s="1565">
        <v>0</v>
      </c>
      <c r="X166" s="731"/>
      <c r="Y166" s="731"/>
      <c r="Z166" s="731"/>
      <c r="AA166" s="731"/>
      <c r="AB166" s="731"/>
      <c r="AC166" s="1181"/>
      <c r="AD166" s="1181"/>
      <c r="AE166" s="1181"/>
      <c r="AF166" s="1181"/>
    </row>
    <row r="167" spans="1:32" ht="12.75" hidden="1" customHeight="1" outlineLevel="1">
      <c r="A167" s="1557" t="s">
        <v>1575</v>
      </c>
      <c r="B167" s="1565"/>
      <c r="C167" s="1565"/>
      <c r="D167" s="1565"/>
      <c r="E167" s="1565"/>
      <c r="F167" s="1932"/>
      <c r="G167" s="1565"/>
      <c r="H167" s="1565"/>
      <c r="I167" s="1565"/>
      <c r="J167" s="1565"/>
      <c r="K167" s="1565">
        <v>0</v>
      </c>
      <c r="L167" s="1565">
        <v>0.51300000000014734</v>
      </c>
      <c r="M167" s="1565">
        <v>31.177999999999884</v>
      </c>
      <c r="N167" s="1565">
        <v>-3.9000000000214641E-2</v>
      </c>
      <c r="O167" s="1565">
        <v>1.0000000002037268E-3</v>
      </c>
      <c r="P167" s="225"/>
      <c r="Q167" s="225"/>
      <c r="R167" s="225"/>
      <c r="S167" s="225"/>
      <c r="T167" s="225"/>
      <c r="U167" s="225"/>
      <c r="V167" s="225"/>
      <c r="W167" s="225"/>
      <c r="X167" s="731"/>
      <c r="Y167" s="731"/>
      <c r="Z167" s="731"/>
      <c r="AA167" s="731"/>
      <c r="AB167" s="731"/>
      <c r="AC167" s="1181"/>
      <c r="AD167" s="1181"/>
      <c r="AE167" s="1181"/>
      <c r="AF167" s="1181"/>
    </row>
    <row r="168" spans="1:32" ht="12.75" hidden="1" customHeight="1" outlineLevel="1">
      <c r="A168" s="1557" t="s">
        <v>682</v>
      </c>
      <c r="B168" s="1565"/>
      <c r="C168" s="1565"/>
      <c r="D168" s="1565"/>
      <c r="E168" s="1565"/>
      <c r="F168" s="1565">
        <v>-0.18600000000000705</v>
      </c>
      <c r="G168" s="1565">
        <v>0</v>
      </c>
      <c r="H168" s="1565">
        <v>0</v>
      </c>
      <c r="I168" s="1565">
        <v>-3.0000000000427463E-3</v>
      </c>
      <c r="J168" s="1565">
        <v>-4.0950000000000273</v>
      </c>
      <c r="K168" s="1565">
        <v>1.7189999999999372</v>
      </c>
      <c r="L168" s="1565">
        <v>-0.36100000000010368</v>
      </c>
      <c r="M168" s="1565">
        <v>-6.700000000023465E-2</v>
      </c>
      <c r="N168" s="1565">
        <v>0.97300000000018372</v>
      </c>
      <c r="O168" s="1565">
        <v>4.9999999998817657E-3</v>
      </c>
      <c r="P168" s="225"/>
      <c r="Q168" s="225"/>
      <c r="R168" s="225"/>
      <c r="S168" s="225"/>
      <c r="T168" s="225"/>
      <c r="U168" s="225"/>
      <c r="V168" s="225"/>
      <c r="W168" s="225"/>
      <c r="X168" s="731"/>
      <c r="Y168" s="731"/>
      <c r="Z168" s="731"/>
      <c r="AA168" s="731"/>
      <c r="AB168" s="731"/>
      <c r="AC168" s="1181"/>
      <c r="AD168" s="1181"/>
      <c r="AE168" s="1181"/>
      <c r="AF168" s="1181"/>
    </row>
    <row r="169" spans="1:32" ht="12.75" hidden="1" customHeight="1" outlineLevel="1">
      <c r="A169" s="1557" t="s">
        <v>563</v>
      </c>
      <c r="B169" s="1565"/>
      <c r="C169" s="1565"/>
      <c r="D169" s="1565">
        <v>81.577999999999975</v>
      </c>
      <c r="E169" s="1565">
        <v>134.24099999999987</v>
      </c>
      <c r="F169" s="1565">
        <v>-0.51899999999989177</v>
      </c>
      <c r="G169" s="1565">
        <v>0</v>
      </c>
      <c r="H169" s="1565">
        <v>-61.734000000000208</v>
      </c>
      <c r="I169" s="1565">
        <v>-1.0000000002037268E-3</v>
      </c>
      <c r="J169" s="1565">
        <v>-5.5469999999999118</v>
      </c>
      <c r="K169" s="1565">
        <v>0</v>
      </c>
      <c r="L169" s="1565">
        <v>0.51299999999991996</v>
      </c>
      <c r="M169" s="1565">
        <v>31.179999999999609</v>
      </c>
      <c r="N169" s="1565">
        <v>-7.0920000000000982</v>
      </c>
      <c r="O169" s="1565">
        <v>2.1000000000185537E-2</v>
      </c>
      <c r="P169" s="225"/>
      <c r="Q169" s="225"/>
      <c r="R169" s="225"/>
      <c r="S169" s="225"/>
      <c r="T169" s="225"/>
      <c r="U169" s="225"/>
      <c r="V169" s="225"/>
      <c r="W169" s="225"/>
      <c r="X169" s="731"/>
      <c r="Y169" s="731"/>
      <c r="Z169" s="731"/>
      <c r="AA169" s="731"/>
      <c r="AB169" s="731"/>
      <c r="AC169" s="1181"/>
      <c r="AD169" s="1181"/>
      <c r="AE169" s="1181"/>
      <c r="AF169" s="1181"/>
    </row>
    <row r="170" spans="1:32" ht="12.75" hidden="1" customHeight="1" outlineLevel="1">
      <c r="A170" s="1557" t="s">
        <v>564</v>
      </c>
      <c r="B170" s="1565"/>
      <c r="C170" s="1565"/>
      <c r="D170" s="1565">
        <v>86.73399999999998</v>
      </c>
      <c r="E170" s="1565">
        <v>134.24099999999984</v>
      </c>
      <c r="F170" s="1565">
        <v>7.1054273576010019E-14</v>
      </c>
      <c r="G170" s="1565">
        <v>0</v>
      </c>
      <c r="H170" s="1565">
        <v>-5.6070000000001698</v>
      </c>
      <c r="I170" s="1565">
        <v>2.9999999998437943E-3</v>
      </c>
      <c r="J170" s="1565">
        <v>1.5631940186722204E-13</v>
      </c>
      <c r="K170" s="1565">
        <v>-1.9895196601282805E-13</v>
      </c>
      <c r="L170" s="1565">
        <v>1.0000000000331966E-3</v>
      </c>
      <c r="M170" s="1565">
        <v>31.179999999999666</v>
      </c>
      <c r="N170" s="1565">
        <v>5.1029999999999802</v>
      </c>
      <c r="O170" s="1565">
        <v>2.100000000007185E-2</v>
      </c>
      <c r="P170" s="225"/>
      <c r="Q170" s="225"/>
      <c r="R170" s="225"/>
      <c r="S170" s="225"/>
      <c r="T170" s="225"/>
      <c r="U170" s="225"/>
      <c r="V170" s="225"/>
      <c r="W170" s="225"/>
      <c r="X170" s="731"/>
      <c r="Y170" s="731"/>
      <c r="Z170" s="731"/>
      <c r="AA170" s="731"/>
      <c r="AB170" s="731"/>
      <c r="AC170" s="1181"/>
      <c r="AD170" s="1181"/>
      <c r="AE170" s="1181"/>
      <c r="AF170" s="1181"/>
    </row>
    <row r="171" spans="1:32" ht="12.75" hidden="1" customHeight="1" outlineLevel="1">
      <c r="A171" s="1557" t="s">
        <v>565</v>
      </c>
      <c r="B171" s="1565"/>
      <c r="C171" s="1565"/>
      <c r="D171" s="1565">
        <v>0</v>
      </c>
      <c r="E171" s="1565">
        <v>0</v>
      </c>
      <c r="F171" s="1565">
        <v>0</v>
      </c>
      <c r="G171" s="1565">
        <v>0</v>
      </c>
      <c r="H171" s="1565">
        <v>0</v>
      </c>
      <c r="I171" s="1565">
        <v>0</v>
      </c>
      <c r="J171" s="1565">
        <v>0</v>
      </c>
      <c r="K171" s="1565">
        <v>-9.0000000000145519E-3</v>
      </c>
      <c r="L171" s="1565">
        <v>0</v>
      </c>
      <c r="M171" s="1565">
        <v>0</v>
      </c>
      <c r="N171" s="1565">
        <v>-2.6790000000000873</v>
      </c>
      <c r="O171" s="1565">
        <v>0</v>
      </c>
      <c r="P171" s="226"/>
      <c r="Q171" s="226"/>
      <c r="R171" s="226"/>
      <c r="S171" s="226"/>
      <c r="T171" s="226"/>
      <c r="U171" s="226"/>
      <c r="V171" s="226"/>
      <c r="W171" s="226"/>
      <c r="X171" s="731"/>
      <c r="Y171" s="731"/>
      <c r="Z171" s="731"/>
      <c r="AA171" s="731"/>
      <c r="AB171" s="731"/>
      <c r="AC171" s="1181"/>
      <c r="AD171" s="1181"/>
      <c r="AE171" s="1181"/>
      <c r="AF171" s="1181"/>
    </row>
    <row r="172" spans="1:32" ht="12.75" hidden="1" customHeight="1" outlineLevel="1">
      <c r="A172" s="1557" t="s">
        <v>566</v>
      </c>
      <c r="B172" s="1565"/>
      <c r="C172" s="1565"/>
      <c r="D172" s="1565"/>
      <c r="E172" s="1565">
        <v>0.17699000000000001</v>
      </c>
      <c r="F172" s="1565">
        <v>0</v>
      </c>
      <c r="G172" s="1565">
        <v>0</v>
      </c>
      <c r="H172" s="1565">
        <v>0.27410000000000001</v>
      </c>
      <c r="I172" s="1565">
        <v>-6.2000000000000388E-3</v>
      </c>
      <c r="J172" s="1565">
        <v>0</v>
      </c>
      <c r="K172" s="1565">
        <v>0</v>
      </c>
      <c r="L172" s="1565">
        <v>0</v>
      </c>
      <c r="M172" s="1565">
        <v>-0.47821443516626694</v>
      </c>
      <c r="N172" s="1565">
        <v>-0.37478072605391116</v>
      </c>
      <c r="O172" s="1565">
        <v>0</v>
      </c>
      <c r="P172" s="226"/>
      <c r="Q172" s="226"/>
      <c r="R172" s="226"/>
      <c r="S172" s="226"/>
      <c r="T172" s="226"/>
      <c r="U172" s="226"/>
      <c r="V172" s="226"/>
      <c r="W172" s="226"/>
      <c r="X172" s="731"/>
      <c r="Y172" s="731"/>
      <c r="Z172" s="731"/>
      <c r="AA172" s="731"/>
      <c r="AB172" s="731"/>
      <c r="AC172" s="1181"/>
      <c r="AD172" s="1181"/>
      <c r="AE172" s="1181"/>
      <c r="AF172" s="1181"/>
    </row>
    <row r="173" spans="1:32" ht="12.75" hidden="1" customHeight="1" outlineLevel="1">
      <c r="A173" s="1558" t="s">
        <v>1149</v>
      </c>
      <c r="B173" s="1566"/>
      <c r="C173" s="1566"/>
      <c r="D173" s="1566"/>
      <c r="E173" s="1566"/>
      <c r="F173" s="1566"/>
      <c r="G173" s="1566">
        <v>0</v>
      </c>
      <c r="H173" s="1566">
        <v>0</v>
      </c>
      <c r="I173" s="1566">
        <v>0</v>
      </c>
      <c r="J173" s="1566">
        <v>0</v>
      </c>
      <c r="K173" s="1566">
        <v>0</v>
      </c>
      <c r="L173" s="1566">
        <v>0</v>
      </c>
      <c r="M173" s="1566">
        <v>0</v>
      </c>
      <c r="N173" s="1566">
        <v>0</v>
      </c>
      <c r="O173" s="1566">
        <v>2.6676209999999969</v>
      </c>
      <c r="P173" s="227"/>
      <c r="Q173" s="227"/>
      <c r="R173" s="227"/>
      <c r="S173" s="227"/>
      <c r="T173" s="227"/>
      <c r="U173" s="227"/>
      <c r="V173" s="227"/>
      <c r="W173" s="227"/>
      <c r="X173" s="731"/>
      <c r="Y173" s="731"/>
      <c r="Z173" s="731"/>
      <c r="AA173" s="731"/>
      <c r="AB173" s="731"/>
      <c r="AC173" s="1181"/>
      <c r="AD173" s="1181"/>
      <c r="AE173" s="1181"/>
      <c r="AF173" s="1181"/>
    </row>
    <row r="174" spans="1:32" ht="12.75" hidden="1" customHeight="1" outlineLevel="1">
      <c r="A174" s="1558" t="s">
        <v>394</v>
      </c>
      <c r="B174" s="1858">
        <v>0</v>
      </c>
      <c r="C174" s="1414">
        <v>0</v>
      </c>
      <c r="D174" s="1414">
        <v>0</v>
      </c>
      <c r="E174" s="1414">
        <v>9.9999999997635314E-4</v>
      </c>
      <c r="F174" s="1414">
        <v>1.00000000009004E-3</v>
      </c>
      <c r="G174" s="1414">
        <v>0</v>
      </c>
      <c r="H174" s="1414">
        <v>-9.9999999997635314E-4</v>
      </c>
      <c r="I174" s="1414">
        <v>-1.7000000000052751E-2</v>
      </c>
      <c r="J174" s="1414">
        <v>0</v>
      </c>
      <c r="K174" s="1414">
        <v>9.9999999997635314E-4</v>
      </c>
      <c r="L174" s="1414">
        <v>0.5180000000000291</v>
      </c>
      <c r="M174" s="1414">
        <v>31.17699999999968</v>
      </c>
      <c r="N174" s="1414">
        <v>0</v>
      </c>
      <c r="O174" s="1414">
        <v>0</v>
      </c>
      <c r="P174" s="227"/>
      <c r="Q174" s="227"/>
      <c r="R174" s="227"/>
      <c r="S174" s="227"/>
      <c r="T174" s="227"/>
      <c r="U174" s="227"/>
      <c r="V174" s="227"/>
      <c r="W174" s="227"/>
      <c r="X174" s="1181"/>
      <c r="Y174" s="1181"/>
      <c r="Z174" s="1181"/>
      <c r="AA174" s="1181"/>
      <c r="AB174" s="1181"/>
      <c r="AC174" s="1181"/>
      <c r="AD174" s="1181"/>
      <c r="AE174" s="1181"/>
      <c r="AF174" s="1181"/>
    </row>
    <row r="175" spans="1:32" ht="12.75" hidden="1" customHeight="1" outlineLevel="1">
      <c r="A175" s="1558" t="s">
        <v>766</v>
      </c>
      <c r="B175" s="1181"/>
      <c r="C175" s="1181"/>
      <c r="D175" s="1181"/>
      <c r="E175" s="1572">
        <v>134.23999999999987</v>
      </c>
      <c r="F175" s="1572">
        <v>0</v>
      </c>
      <c r="G175" s="1572">
        <v>0</v>
      </c>
      <c r="H175" s="1572">
        <v>-1.4210854715202004E-13</v>
      </c>
      <c r="I175" s="1572">
        <v>0</v>
      </c>
      <c r="J175" s="1572">
        <v>1.5631940186722204E-13</v>
      </c>
      <c r="K175" s="1572">
        <v>-1.8474111129762605E-13</v>
      </c>
      <c r="L175" s="1572">
        <v>0</v>
      </c>
      <c r="M175" s="1572">
        <v>31.179999999999552</v>
      </c>
      <c r="N175" s="1572">
        <v>-3.8999999999902002E-2</v>
      </c>
      <c r="O175" s="1572">
        <v>1.00000000009004E-3</v>
      </c>
      <c r="P175" s="2395">
        <v>0</v>
      </c>
      <c r="Q175" s="1414">
        <v>0</v>
      </c>
      <c r="R175" s="1414">
        <v>0</v>
      </c>
      <c r="S175" s="1414">
        <v>1.1368683772161603E-12</v>
      </c>
      <c r="T175" s="1414">
        <v>5.1159076974727213E-13</v>
      </c>
      <c r="U175" s="1414">
        <v>0</v>
      </c>
      <c r="V175" s="1414">
        <v>0</v>
      </c>
      <c r="W175" s="1414">
        <v>0</v>
      </c>
      <c r="X175" s="731"/>
      <c r="Y175" s="731"/>
      <c r="Z175" s="731"/>
      <c r="AA175" s="731"/>
      <c r="AB175" s="731"/>
      <c r="AC175" s="1181"/>
      <c r="AD175" s="1181"/>
      <c r="AE175" s="1181"/>
      <c r="AF175" s="1181"/>
    </row>
    <row r="176" spans="1:32" ht="12.75" hidden="1" customHeight="1" outlineLevel="1">
      <c r="A176" s="1558" t="s">
        <v>295</v>
      </c>
      <c r="B176" s="1181"/>
      <c r="C176" s="1181"/>
      <c r="D176" s="1414">
        <v>0</v>
      </c>
      <c r="E176" s="1414">
        <v>-9.9999999997635314E-4</v>
      </c>
      <c r="F176" s="1414">
        <v>-1.00000000009004E-3</v>
      </c>
      <c r="G176" s="1414">
        <v>0</v>
      </c>
      <c r="H176" s="1414">
        <v>9.9999999997635314E-4</v>
      </c>
      <c r="I176" s="1414">
        <v>1.7000000000052751E-2</v>
      </c>
      <c r="J176" s="1414">
        <v>0</v>
      </c>
      <c r="K176" s="1414">
        <v>-9.9999999997635314E-4</v>
      </c>
      <c r="L176" s="1414">
        <v>-0.5180000000000291</v>
      </c>
      <c r="M176" s="1414">
        <v>0</v>
      </c>
      <c r="N176" s="1414">
        <v>0</v>
      </c>
      <c r="O176" s="1414">
        <v>0</v>
      </c>
      <c r="P176" s="1414">
        <v>0</v>
      </c>
      <c r="Q176" s="1414">
        <v>0</v>
      </c>
      <c r="R176" s="1414">
        <v>0</v>
      </c>
      <c r="S176" s="1414">
        <v>0</v>
      </c>
      <c r="T176" s="1414">
        <v>0</v>
      </c>
      <c r="U176" s="1414">
        <v>0</v>
      </c>
      <c r="V176" s="1414">
        <v>0</v>
      </c>
      <c r="W176" s="1414">
        <v>0</v>
      </c>
      <c r="X176" s="1181"/>
      <c r="Y176" s="1181"/>
      <c r="Z176" s="1181"/>
      <c r="AA176" s="1181"/>
      <c r="AB176" s="1181"/>
      <c r="AC176" s="1181"/>
      <c r="AD176" s="1181"/>
      <c r="AE176" s="1181"/>
      <c r="AF176" s="1181"/>
    </row>
    <row r="177" spans="1:32" s="994" customFormat="1" ht="12.75" hidden="1" customHeight="1" outlineLevel="1">
      <c r="A177" s="1558" t="s">
        <v>680</v>
      </c>
      <c r="B177" s="1414"/>
      <c r="C177" s="1414"/>
      <c r="D177" s="1414">
        <v>0</v>
      </c>
      <c r="E177" s="1414">
        <v>0</v>
      </c>
      <c r="F177" s="1414">
        <v>0</v>
      </c>
      <c r="G177" s="1414">
        <v>0</v>
      </c>
      <c r="H177" s="1414">
        <v>0</v>
      </c>
      <c r="I177" s="1414">
        <v>2.9999999999290594E-3</v>
      </c>
      <c r="J177" s="1414">
        <v>4.0960000000000036</v>
      </c>
      <c r="K177" s="1414">
        <v>-1.7189999999998236</v>
      </c>
      <c r="L177" s="1414">
        <v>0.36100000000021737</v>
      </c>
      <c r="M177" s="1414">
        <v>6.7000000000007276E-2</v>
      </c>
      <c r="N177" s="1414">
        <v>-0.97299999999995634</v>
      </c>
      <c r="O177" s="1414">
        <v>-3.9999999999054126E-3</v>
      </c>
      <c r="P177" s="1414">
        <v>0.68999999999914507</v>
      </c>
      <c r="Q177" s="1414">
        <v>0.6899999999998272</v>
      </c>
      <c r="R177" s="1414">
        <v>0.68999999999959982</v>
      </c>
      <c r="S177" s="1414">
        <v>0.68999999999959982</v>
      </c>
      <c r="T177" s="1414">
        <v>0.6899999999998272</v>
      </c>
      <c r="U177" s="1414">
        <v>0.68999999999937245</v>
      </c>
      <c r="V177" s="1414">
        <v>0.69000000000028194</v>
      </c>
      <c r="W177" s="1414">
        <v>0.68999999999959982</v>
      </c>
      <c r="X177" s="1541"/>
      <c r="Y177" s="1541"/>
      <c r="Z177" s="1541"/>
      <c r="AA177" s="1541"/>
      <c r="AB177" s="1541"/>
      <c r="AC177" s="1541"/>
      <c r="AD177" s="1541"/>
      <c r="AE177" s="1541"/>
      <c r="AF177" s="1541"/>
    </row>
    <row r="178" spans="1:32" collapsed="1">
      <c r="A178" s="1558" t="s">
        <v>80</v>
      </c>
      <c r="B178" s="1414"/>
      <c r="C178" s="1414"/>
      <c r="D178" s="1414"/>
      <c r="E178" s="1414"/>
      <c r="F178" s="1414"/>
      <c r="G178" s="1414"/>
      <c r="H178" s="1414"/>
      <c r="I178" s="1414"/>
      <c r="J178" s="1414"/>
      <c r="K178" s="1414">
        <v>25.909990505201009</v>
      </c>
      <c r="L178" s="1414">
        <v>48.292985014382523</v>
      </c>
      <c r="M178" s="1414">
        <v>-23.66904874489768</v>
      </c>
      <c r="N178" s="1414">
        <v>120.71891224666868</v>
      </c>
      <c r="O178" s="1414">
        <v>95.367819549209798</v>
      </c>
      <c r="P178" s="1414">
        <v>12.747285042678556</v>
      </c>
      <c r="Q178" s="1414">
        <v>22.759569360228852</v>
      </c>
      <c r="R178" s="1414">
        <v>20.89279247467141</v>
      </c>
      <c r="S178" s="1414">
        <v>26.944743568103178</v>
      </c>
      <c r="T178" s="1414">
        <v>32.148483329934606</v>
      </c>
      <c r="U178" s="1414">
        <v>38.313399500916177</v>
      </c>
      <c r="V178" s="1414">
        <v>48.075769986949609</v>
      </c>
      <c r="W178" s="1414">
        <v>79.189655766370919</v>
      </c>
      <c r="X178" s="1181"/>
      <c r="Y178" s="1181"/>
      <c r="Z178" s="1181"/>
      <c r="AA178" s="1181"/>
      <c r="AB178" s="1181"/>
      <c r="AC178" s="1181"/>
      <c r="AD178" s="1181"/>
      <c r="AE178" s="1181"/>
      <c r="AF178" s="1181"/>
    </row>
    <row r="179" spans="1:32">
      <c r="A179" s="1120"/>
      <c r="B179" s="1181"/>
      <c r="C179" s="1181"/>
      <c r="D179" s="1181"/>
      <c r="E179" s="1181"/>
      <c r="F179" s="1181"/>
      <c r="G179" s="1181"/>
      <c r="H179" s="1181"/>
      <c r="I179" s="1181"/>
      <c r="J179" s="1181"/>
      <c r="K179" s="1181"/>
      <c r="L179" s="1181"/>
      <c r="M179" s="1181"/>
      <c r="N179" s="1181"/>
      <c r="O179" s="1181"/>
      <c r="P179" s="1181"/>
      <c r="Q179" s="1181"/>
      <c r="R179" s="1181"/>
      <c r="S179" s="1181"/>
      <c r="T179" s="1181"/>
      <c r="U179" s="1181"/>
      <c r="V179" s="1181"/>
      <c r="W179" s="1181"/>
      <c r="X179" s="731"/>
      <c r="Y179" s="731"/>
      <c r="Z179" s="731"/>
      <c r="AA179" s="731"/>
      <c r="AB179" s="731"/>
      <c r="AC179" s="1181"/>
      <c r="AD179" s="1181"/>
      <c r="AE179" s="1181"/>
      <c r="AF179" s="1181"/>
    </row>
    <row r="180" spans="1:32">
      <c r="A180" s="1553" t="s">
        <v>556</v>
      </c>
      <c r="B180" s="1567"/>
      <c r="C180" s="1567"/>
      <c r="D180" s="1567"/>
      <c r="E180" s="1567"/>
      <c r="F180" s="1567"/>
      <c r="G180" s="1567"/>
      <c r="H180" s="1567"/>
      <c r="I180" s="1567"/>
      <c r="J180" s="1567"/>
      <c r="K180" s="1567"/>
      <c r="L180" s="1567"/>
      <c r="M180" s="1567"/>
      <c r="N180" s="1567"/>
      <c r="O180" s="1567"/>
      <c r="P180" s="1567"/>
      <c r="Q180" s="1573"/>
      <c r="R180" s="1567"/>
      <c r="S180" s="1567"/>
      <c r="T180" s="1567"/>
      <c r="U180" s="1567"/>
      <c r="V180" s="1567"/>
      <c r="W180" s="1574" t="s">
        <v>557</v>
      </c>
      <c r="X180" s="1181"/>
      <c r="Y180" s="1181"/>
      <c r="Z180" s="1181"/>
      <c r="AA180" s="1181"/>
      <c r="AB180" s="1181"/>
      <c r="AC180" s="1181"/>
      <c r="AD180" s="1181"/>
      <c r="AE180" s="1181"/>
      <c r="AF180" s="1181"/>
    </row>
    <row r="181" spans="1:32">
      <c r="A181" s="1181"/>
      <c r="B181" s="1181"/>
      <c r="C181" s="1181"/>
      <c r="D181" s="1181"/>
      <c r="E181" s="1181"/>
      <c r="F181" s="1181"/>
      <c r="G181" s="1181"/>
      <c r="H181" s="1181"/>
      <c r="I181" s="1181"/>
      <c r="J181" s="1181"/>
      <c r="K181" s="1181"/>
      <c r="L181" s="1181"/>
      <c r="M181" s="1181"/>
      <c r="N181" s="1181"/>
      <c r="O181" s="1181"/>
      <c r="P181" s="1181"/>
      <c r="Q181" s="1181"/>
      <c r="R181" s="1181"/>
      <c r="S181" s="1181"/>
      <c r="T181" s="1181"/>
      <c r="U181" s="1181"/>
      <c r="V181" s="1181"/>
      <c r="W181" s="1181"/>
      <c r="X181" s="1181"/>
      <c r="Y181" s="1181"/>
      <c r="Z181" s="1181"/>
      <c r="AA181" s="1181"/>
      <c r="AB181" s="1181"/>
      <c r="AC181" s="1181"/>
      <c r="AD181" s="1181"/>
      <c r="AE181" s="1181"/>
      <c r="AF181" s="1181"/>
    </row>
    <row r="182" spans="1:32">
      <c r="A182" s="1181"/>
      <c r="B182" s="1181"/>
      <c r="C182" s="1181"/>
      <c r="D182" s="1181"/>
      <c r="E182" s="1181"/>
      <c r="F182" s="1181"/>
      <c r="G182" s="1181"/>
      <c r="H182" s="1181"/>
      <c r="I182" s="1181"/>
      <c r="J182" s="1181"/>
      <c r="K182" s="1181"/>
      <c r="L182" s="1181"/>
      <c r="M182" s="1181"/>
      <c r="N182" s="1181"/>
      <c r="O182" s="1181"/>
      <c r="P182" s="1181"/>
      <c r="Q182" s="1181"/>
      <c r="R182" s="1181"/>
      <c r="S182" s="1181"/>
      <c r="T182" s="1181"/>
      <c r="U182" s="1181"/>
      <c r="V182" s="1181"/>
      <c r="W182" s="1181"/>
      <c r="X182" s="1181"/>
      <c r="Y182" s="1181"/>
      <c r="Z182" s="1181"/>
      <c r="AA182" s="1181"/>
      <c r="AB182" s="1181"/>
      <c r="AC182" s="1181"/>
      <c r="AD182" s="1181"/>
      <c r="AE182" s="1181"/>
      <c r="AF182" s="1181"/>
    </row>
    <row r="183" spans="1:32">
      <c r="A183" s="1181"/>
      <c r="B183" s="1181"/>
      <c r="C183" s="1181"/>
      <c r="D183" s="1181"/>
      <c r="E183" s="1181"/>
      <c r="F183" s="1181"/>
      <c r="G183" s="1181"/>
      <c r="H183" s="1181"/>
      <c r="I183" s="1181"/>
      <c r="J183" s="1181"/>
      <c r="K183" s="1181"/>
      <c r="L183" s="1181"/>
      <c r="M183" s="1181"/>
      <c r="N183" s="1181"/>
      <c r="O183" s="1181"/>
      <c r="P183" s="1181"/>
      <c r="Q183" s="1181"/>
      <c r="R183" s="1181"/>
      <c r="S183" s="1181"/>
      <c r="T183" s="1181"/>
      <c r="U183" s="1181"/>
      <c r="V183" s="1181"/>
      <c r="W183" s="1181"/>
      <c r="X183" s="1181"/>
      <c r="Y183" s="1181"/>
      <c r="Z183" s="1181"/>
      <c r="AA183" s="1181"/>
      <c r="AB183" s="1181"/>
      <c r="AC183" s="1181"/>
      <c r="AD183" s="1181"/>
      <c r="AE183" s="1181"/>
      <c r="AF183" s="1181"/>
    </row>
    <row r="184" spans="1:32">
      <c r="A184" s="1181"/>
      <c r="B184" s="1181"/>
      <c r="C184" s="1181"/>
      <c r="D184" s="1181"/>
      <c r="E184" s="1181"/>
      <c r="F184" s="1181"/>
      <c r="G184" s="1181"/>
      <c r="H184" s="1181"/>
      <c r="I184" s="1181"/>
      <c r="J184" s="1181"/>
      <c r="K184" s="1181"/>
      <c r="L184" s="1181"/>
      <c r="M184" s="1181"/>
      <c r="N184" s="1181"/>
      <c r="O184" s="1181"/>
      <c r="P184" s="1181"/>
      <c r="Q184" s="1181"/>
      <c r="R184" s="1181"/>
      <c r="S184" s="1181"/>
      <c r="T184" s="1181"/>
      <c r="U184" s="1181"/>
      <c r="V184" s="1181"/>
      <c r="W184" s="1181"/>
      <c r="X184" s="1181"/>
      <c r="Y184" s="1181"/>
      <c r="Z184" s="1181"/>
      <c r="AA184" s="1181"/>
      <c r="AB184" s="1181"/>
      <c r="AC184" s="1181"/>
      <c r="AD184" s="1181"/>
      <c r="AE184" s="1181"/>
      <c r="AF184" s="1181"/>
    </row>
    <row r="185" spans="1:32">
      <c r="A185" s="1181"/>
      <c r="B185" s="1181"/>
      <c r="C185" s="1181"/>
      <c r="D185" s="1181"/>
      <c r="E185" s="1181"/>
      <c r="F185" s="1181"/>
      <c r="G185" s="1181"/>
      <c r="H185" s="1181"/>
      <c r="I185" s="1181"/>
      <c r="J185" s="1181"/>
      <c r="K185" s="1181"/>
      <c r="L185" s="1181"/>
      <c r="M185" s="1181"/>
      <c r="N185" s="1181"/>
      <c r="O185" s="1181"/>
      <c r="P185" s="1181"/>
      <c r="Q185" s="1181"/>
      <c r="R185" s="1181"/>
      <c r="S185" s="1181"/>
      <c r="T185" s="1181"/>
      <c r="U185" s="1181"/>
      <c r="V185" s="1181"/>
      <c r="W185" s="1181"/>
      <c r="X185" s="1181"/>
      <c r="Y185" s="1181"/>
      <c r="Z185" s="1181"/>
      <c r="AA185" s="1181"/>
      <c r="AB185" s="1181"/>
      <c r="AC185" s="1181"/>
      <c r="AD185" s="1181"/>
      <c r="AE185" s="1181"/>
      <c r="AF185" s="1181"/>
    </row>
    <row r="186" spans="1:32">
      <c r="A186" s="1181"/>
      <c r="B186" s="1181"/>
      <c r="C186" s="1181"/>
      <c r="D186" s="1181"/>
      <c r="E186" s="1181"/>
      <c r="F186" s="1181"/>
      <c r="G186" s="1181"/>
      <c r="H186" s="1181"/>
      <c r="I186" s="1181"/>
      <c r="J186" s="1181"/>
      <c r="K186" s="1181"/>
      <c r="L186" s="1181"/>
      <c r="M186" s="1181"/>
      <c r="N186" s="1181"/>
      <c r="O186" s="1181"/>
      <c r="P186" s="1181"/>
      <c r="Q186" s="1181"/>
      <c r="R186" s="1181"/>
      <c r="S186" s="1181"/>
      <c r="T186" s="1181"/>
      <c r="U186" s="1181"/>
      <c r="V186" s="1181"/>
      <c r="W186" s="1181"/>
      <c r="X186" s="1181"/>
      <c r="Y186" s="1181"/>
      <c r="Z186" s="1181"/>
      <c r="AA186" s="1181"/>
      <c r="AB186" s="1181"/>
      <c r="AC186" s="1181"/>
      <c r="AD186" s="1181"/>
      <c r="AE186" s="1181"/>
      <c r="AF186" s="1181"/>
    </row>
    <row r="187" spans="1:32">
      <c r="A187" s="1181"/>
      <c r="B187" s="1181"/>
      <c r="C187" s="1181"/>
      <c r="D187" s="1181"/>
      <c r="E187" s="1181"/>
      <c r="F187" s="1181"/>
      <c r="G187" s="1181"/>
      <c r="H187" s="1181"/>
      <c r="I187" s="1181"/>
      <c r="J187" s="1181"/>
      <c r="K187" s="1181"/>
      <c r="L187" s="1181"/>
      <c r="M187" s="1181"/>
      <c r="N187" s="1181"/>
      <c r="O187" s="1181"/>
      <c r="P187" s="1181"/>
      <c r="Q187" s="1181"/>
      <c r="R187" s="1181"/>
      <c r="S187" s="1181"/>
      <c r="T187" s="1181"/>
      <c r="U187" s="1181"/>
      <c r="V187" s="1181"/>
      <c r="W187" s="1181"/>
      <c r="X187" s="1181"/>
      <c r="Y187" s="1181"/>
      <c r="Z187" s="1181"/>
      <c r="AA187" s="1181"/>
      <c r="AB187" s="1181"/>
      <c r="AC187" s="1181"/>
      <c r="AD187" s="1181"/>
      <c r="AE187" s="1181"/>
      <c r="AF187" s="1181"/>
    </row>
    <row r="188" spans="1:32">
      <c r="A188" s="1181"/>
      <c r="B188" s="1181"/>
      <c r="C188" s="1181"/>
      <c r="D188" s="1181"/>
      <c r="E188" s="1181"/>
      <c r="F188" s="1181"/>
      <c r="G188" s="1181"/>
      <c r="H188" s="1181"/>
      <c r="I188" s="1181"/>
      <c r="J188" s="1181"/>
      <c r="K188" s="1181"/>
      <c r="L188" s="1181"/>
      <c r="M188" s="1181"/>
      <c r="N188" s="1181"/>
      <c r="O188" s="1181"/>
      <c r="P188" s="1181"/>
      <c r="Q188" s="1181"/>
      <c r="R188" s="1181"/>
      <c r="S188" s="1181"/>
      <c r="T188" s="1181"/>
      <c r="U188" s="1181"/>
      <c r="V188" s="1181"/>
      <c r="W188" s="1181"/>
      <c r="X188" s="1181"/>
      <c r="Y188" s="1181"/>
      <c r="Z188" s="1181"/>
      <c r="AA188" s="1181"/>
      <c r="AB188" s="1181"/>
      <c r="AC188" s="1181"/>
      <c r="AD188" s="1181"/>
      <c r="AE188" s="1181"/>
      <c r="AF188" s="1181"/>
    </row>
    <row r="189" spans="1:32">
      <c r="A189" s="1181"/>
      <c r="B189" s="1181"/>
      <c r="C189" s="1181"/>
      <c r="D189" s="1181"/>
      <c r="E189" s="1181"/>
      <c r="F189" s="1181"/>
      <c r="G189" s="1181"/>
      <c r="H189" s="1181"/>
      <c r="I189" s="1181"/>
      <c r="J189" s="1181"/>
      <c r="K189" s="1181"/>
      <c r="L189" s="1181"/>
      <c r="M189" s="1181"/>
      <c r="N189" s="1181"/>
      <c r="O189" s="1181"/>
      <c r="P189" s="1181"/>
      <c r="Q189" s="1181"/>
      <c r="R189" s="1181"/>
      <c r="S189" s="1181"/>
      <c r="T189" s="1181"/>
      <c r="U189" s="1181"/>
      <c r="V189" s="1181"/>
      <c r="W189" s="1181"/>
      <c r="X189" s="1181"/>
      <c r="Y189" s="1181"/>
      <c r="Z189" s="1181"/>
      <c r="AA189" s="1181"/>
      <c r="AB189" s="1181"/>
      <c r="AC189" s="1181"/>
      <c r="AD189" s="1181"/>
      <c r="AE189" s="1181"/>
      <c r="AF189" s="1181"/>
    </row>
    <row r="190" spans="1:32">
      <c r="A190" s="1181"/>
      <c r="B190" s="1181"/>
      <c r="C190" s="1181"/>
      <c r="D190" s="1181"/>
      <c r="E190" s="1181"/>
      <c r="F190" s="1181"/>
      <c r="G190" s="1181"/>
      <c r="H190" s="1181"/>
      <c r="I190" s="1181"/>
      <c r="J190" s="1181"/>
      <c r="K190" s="1181"/>
      <c r="L190" s="1181"/>
      <c r="M190" s="1181"/>
      <c r="N190" s="1181"/>
      <c r="O190" s="1181"/>
      <c r="P190" s="1181"/>
      <c r="Q190" s="1181"/>
      <c r="R190" s="1181"/>
      <c r="S190" s="1181"/>
      <c r="T190" s="1181"/>
      <c r="U190" s="1181"/>
      <c r="V190" s="1181"/>
      <c r="W190" s="1181"/>
      <c r="X190" s="1181"/>
      <c r="Y190" s="1181"/>
      <c r="Z190" s="1181"/>
      <c r="AA190" s="1181"/>
      <c r="AB190" s="1181"/>
      <c r="AC190" s="1181"/>
      <c r="AD190" s="1181"/>
      <c r="AE190" s="1181"/>
      <c r="AF190" s="1181"/>
    </row>
    <row r="191" spans="1:32">
      <c r="A191" s="1181"/>
      <c r="B191" s="1181"/>
      <c r="C191" s="1181"/>
      <c r="D191" s="1181"/>
      <c r="E191" s="1181"/>
      <c r="F191" s="1181"/>
      <c r="G191" s="1181"/>
      <c r="H191" s="1181"/>
      <c r="I191" s="1181"/>
      <c r="J191" s="1181"/>
      <c r="K191" s="1181"/>
      <c r="L191" s="1181"/>
      <c r="M191" s="1181"/>
      <c r="N191" s="1181"/>
      <c r="O191" s="1181"/>
      <c r="P191" s="1181"/>
      <c r="Q191" s="1181"/>
      <c r="R191" s="1181"/>
      <c r="S191" s="1181"/>
      <c r="T191" s="1181"/>
      <c r="U191" s="1181"/>
      <c r="V191" s="1181"/>
      <c r="W191" s="1181"/>
      <c r="X191" s="1181"/>
      <c r="Y191" s="1181"/>
      <c r="Z191" s="1181"/>
      <c r="AA191" s="1181"/>
      <c r="AB191" s="1181"/>
      <c r="AC191" s="1181"/>
      <c r="AD191" s="1181"/>
      <c r="AE191" s="1181"/>
      <c r="AF191" s="1181"/>
    </row>
    <row r="192" spans="1:32">
      <c r="A192" s="1181"/>
      <c r="B192" s="1181"/>
      <c r="C192" s="1181"/>
      <c r="D192" s="1181"/>
      <c r="E192" s="1181"/>
      <c r="F192" s="1181"/>
      <c r="G192" s="1181"/>
      <c r="H192" s="1181"/>
      <c r="I192" s="1181"/>
      <c r="J192" s="1181"/>
      <c r="K192" s="1181"/>
      <c r="L192" s="1181"/>
      <c r="M192" s="1181"/>
      <c r="N192" s="1181"/>
      <c r="O192" s="1181"/>
      <c r="P192" s="1181"/>
      <c r="Q192" s="1181"/>
      <c r="R192" s="1181"/>
      <c r="S192" s="1181"/>
      <c r="T192" s="1181"/>
      <c r="U192" s="1181"/>
      <c r="V192" s="1181"/>
      <c r="W192" s="1181"/>
      <c r="X192" s="1181"/>
      <c r="Y192" s="1181"/>
      <c r="Z192" s="1181"/>
      <c r="AA192" s="1181"/>
      <c r="AB192" s="1181"/>
      <c r="AC192" s="1181"/>
      <c r="AD192" s="1181"/>
      <c r="AE192" s="1181"/>
      <c r="AF192" s="1181"/>
    </row>
    <row r="193" spans="1:32">
      <c r="A193" s="1181"/>
      <c r="B193" s="1181"/>
      <c r="C193" s="1181"/>
      <c r="D193" s="1181"/>
      <c r="E193" s="1181"/>
      <c r="F193" s="1181"/>
      <c r="G193" s="1181"/>
      <c r="H193" s="1181"/>
      <c r="I193" s="1181"/>
      <c r="J193" s="1181"/>
      <c r="K193" s="1181"/>
      <c r="L193" s="1181"/>
      <c r="M193" s="1181"/>
      <c r="N193" s="1181"/>
      <c r="O193" s="1181"/>
      <c r="P193" s="1181"/>
      <c r="Q193" s="1181"/>
      <c r="R193" s="1181"/>
      <c r="S193" s="1181"/>
      <c r="T193" s="1181"/>
      <c r="U193" s="1181"/>
      <c r="V193" s="1181"/>
      <c r="W193" s="1181"/>
      <c r="X193" s="1181"/>
      <c r="Y193" s="1181"/>
      <c r="Z193" s="1181"/>
      <c r="AA193" s="1181"/>
      <c r="AB193" s="1181"/>
      <c r="AC193" s="1181"/>
      <c r="AD193" s="1181"/>
      <c r="AE193" s="1181"/>
      <c r="AF193" s="1181"/>
    </row>
    <row r="194" spans="1:32">
      <c r="A194" s="1181"/>
      <c r="B194" s="1181"/>
      <c r="C194" s="1181"/>
      <c r="D194" s="1181"/>
      <c r="E194" s="1181"/>
      <c r="F194" s="1181"/>
      <c r="G194" s="1181"/>
      <c r="H194" s="1181"/>
      <c r="I194" s="1181"/>
      <c r="J194" s="1181"/>
      <c r="K194" s="1181"/>
      <c r="L194" s="1181"/>
      <c r="M194" s="1181"/>
      <c r="N194" s="1181"/>
      <c r="O194" s="1181"/>
      <c r="P194" s="1181"/>
      <c r="Q194" s="1181"/>
      <c r="R194" s="1181"/>
      <c r="S194" s="1181"/>
      <c r="T194" s="1181"/>
      <c r="U194" s="1181"/>
      <c r="V194" s="1181"/>
      <c r="W194" s="1181"/>
      <c r="X194" s="1181"/>
      <c r="Y194" s="1181"/>
      <c r="Z194" s="1181"/>
      <c r="AA194" s="1181"/>
      <c r="AB194" s="1181"/>
      <c r="AC194" s="1181"/>
      <c r="AD194" s="1181"/>
      <c r="AE194" s="1181"/>
      <c r="AF194" s="1181"/>
    </row>
    <row r="195" spans="1:32">
      <c r="A195" s="1181"/>
      <c r="B195" s="1181"/>
      <c r="C195" s="1181"/>
      <c r="D195" s="1181"/>
      <c r="E195" s="1181"/>
      <c r="F195" s="1181"/>
      <c r="G195" s="1181"/>
      <c r="H195" s="1181"/>
      <c r="I195" s="1181"/>
      <c r="J195" s="1181"/>
      <c r="K195" s="1181"/>
      <c r="L195" s="1181"/>
      <c r="M195" s="1181"/>
      <c r="N195" s="1181"/>
      <c r="O195" s="1181"/>
      <c r="P195" s="1181"/>
      <c r="Q195" s="1181"/>
      <c r="R195" s="1181"/>
      <c r="S195" s="1181"/>
      <c r="T195" s="1181"/>
      <c r="U195" s="1181"/>
      <c r="V195" s="1181"/>
      <c r="W195" s="1181"/>
      <c r="X195" s="1181"/>
      <c r="Y195" s="1181"/>
      <c r="Z195" s="1181"/>
      <c r="AA195" s="1181"/>
      <c r="AB195" s="1181"/>
      <c r="AC195" s="1181"/>
      <c r="AD195" s="1181"/>
      <c r="AE195" s="1181"/>
      <c r="AF195" s="1181"/>
    </row>
    <row r="196" spans="1:32">
      <c r="A196" s="1181"/>
      <c r="B196" s="1181"/>
      <c r="C196" s="1181"/>
      <c r="D196" s="1181"/>
      <c r="E196" s="1181"/>
      <c r="F196" s="1181"/>
      <c r="G196" s="1181"/>
      <c r="H196" s="1181"/>
      <c r="I196" s="1181"/>
      <c r="J196" s="1181"/>
      <c r="K196" s="1181"/>
      <c r="L196" s="1181"/>
      <c r="M196" s="1181"/>
      <c r="N196" s="1181"/>
      <c r="O196" s="1181"/>
      <c r="P196" s="1181"/>
      <c r="Q196" s="1181"/>
      <c r="R196" s="1181"/>
      <c r="S196" s="1181"/>
      <c r="T196" s="1181"/>
      <c r="U196" s="1181"/>
      <c r="V196" s="1181"/>
      <c r="W196" s="1181"/>
      <c r="X196" s="1181"/>
      <c r="Y196" s="1181"/>
      <c r="Z196" s="1181"/>
      <c r="AA196" s="1181"/>
      <c r="AB196" s="1181"/>
      <c r="AC196" s="1181"/>
      <c r="AD196" s="1181"/>
      <c r="AE196" s="1181"/>
      <c r="AF196" s="1181"/>
    </row>
    <row r="197" spans="1:32">
      <c r="A197" s="1181"/>
      <c r="B197" s="1181"/>
      <c r="C197" s="1181"/>
      <c r="D197" s="1181"/>
      <c r="E197" s="1181"/>
      <c r="F197" s="1181"/>
      <c r="G197" s="1181"/>
      <c r="H197" s="1181"/>
      <c r="I197" s="1181"/>
      <c r="J197" s="1181"/>
      <c r="K197" s="1181"/>
      <c r="L197" s="1181"/>
      <c r="M197" s="1181"/>
      <c r="N197" s="1181"/>
      <c r="O197" s="1181"/>
      <c r="P197" s="1181"/>
      <c r="Q197" s="1181"/>
      <c r="R197" s="1181"/>
      <c r="S197" s="1181"/>
      <c r="T197" s="1181"/>
      <c r="U197" s="1181"/>
      <c r="V197" s="1181"/>
      <c r="W197" s="1181"/>
      <c r="X197" s="1181"/>
      <c r="Y197" s="1181"/>
      <c r="Z197" s="1181"/>
      <c r="AA197" s="1181"/>
      <c r="AB197" s="1181"/>
      <c r="AC197" s="1181"/>
      <c r="AD197" s="1181"/>
      <c r="AE197" s="1181"/>
      <c r="AF197" s="1181"/>
    </row>
    <row r="198" spans="1:32">
      <c r="A198" s="1181"/>
      <c r="B198" s="1181"/>
      <c r="C198" s="1181"/>
      <c r="D198" s="1181"/>
      <c r="E198" s="1181"/>
      <c r="F198" s="1181"/>
      <c r="G198" s="1181"/>
      <c r="H198" s="1181"/>
      <c r="I198" s="1181"/>
      <c r="J198" s="1181"/>
      <c r="K198" s="1181"/>
      <c r="L198" s="1181"/>
      <c r="M198" s="1181"/>
      <c r="N198" s="1181"/>
      <c r="O198" s="1181"/>
      <c r="P198" s="1181"/>
      <c r="Q198" s="1181"/>
      <c r="R198" s="1181"/>
      <c r="S198" s="1181"/>
      <c r="T198" s="1181"/>
      <c r="U198" s="1181"/>
      <c r="V198" s="1181"/>
      <c r="W198" s="1181"/>
      <c r="X198" s="1181"/>
      <c r="Y198" s="1181"/>
      <c r="Z198" s="1181"/>
      <c r="AA198" s="1181"/>
      <c r="AB198" s="1181"/>
      <c r="AC198" s="1181"/>
      <c r="AD198" s="1181"/>
      <c r="AE198" s="1181"/>
      <c r="AF198" s="1181"/>
    </row>
    <row r="199" spans="1:32">
      <c r="A199" s="1181"/>
      <c r="B199" s="1181"/>
      <c r="C199" s="1181"/>
      <c r="D199" s="1181"/>
      <c r="E199" s="1181"/>
      <c r="F199" s="1181"/>
      <c r="G199" s="1181"/>
      <c r="H199" s="1181"/>
      <c r="I199" s="1181"/>
      <c r="J199" s="1181"/>
      <c r="K199" s="1181"/>
      <c r="L199" s="1181"/>
      <c r="M199" s="1181"/>
      <c r="N199" s="1181"/>
      <c r="O199" s="1181"/>
      <c r="P199" s="1181"/>
      <c r="Q199" s="1181"/>
      <c r="R199" s="1181"/>
      <c r="S199" s="1181"/>
      <c r="T199" s="1181"/>
      <c r="U199" s="1181"/>
      <c r="V199" s="1181"/>
      <c r="W199" s="1181"/>
      <c r="X199" s="1181"/>
      <c r="Y199" s="1181"/>
      <c r="Z199" s="1181"/>
      <c r="AA199" s="1181"/>
      <c r="AB199" s="1181"/>
      <c r="AC199" s="1181"/>
      <c r="AD199" s="1181"/>
      <c r="AE199" s="1181"/>
      <c r="AF199" s="1181"/>
    </row>
    <row r="200" spans="1:32">
      <c r="A200" s="1181"/>
      <c r="B200" s="1181"/>
      <c r="C200" s="1181"/>
      <c r="D200" s="1181"/>
      <c r="E200" s="1181"/>
      <c r="F200" s="1181"/>
      <c r="G200" s="1181"/>
      <c r="H200" s="1181"/>
      <c r="I200" s="1181"/>
      <c r="J200" s="1181"/>
      <c r="K200" s="1181"/>
      <c r="L200" s="1181"/>
      <c r="M200" s="1181"/>
      <c r="N200" s="1181"/>
      <c r="O200" s="1181"/>
      <c r="P200" s="1181"/>
      <c r="Q200" s="1181"/>
      <c r="R200" s="1181"/>
      <c r="S200" s="1181"/>
      <c r="T200" s="1181"/>
      <c r="U200" s="1181"/>
      <c r="V200" s="1181"/>
      <c r="W200" s="1181"/>
      <c r="X200" s="1181"/>
      <c r="Y200" s="1181"/>
      <c r="Z200" s="1181"/>
      <c r="AA200" s="1181"/>
      <c r="AB200" s="1181"/>
      <c r="AC200" s="1181"/>
      <c r="AD200" s="1181"/>
      <c r="AE200" s="1181"/>
      <c r="AF200" s="1181"/>
    </row>
    <row r="201" spans="1:32">
      <c r="A201" s="1181"/>
      <c r="B201" s="1181"/>
      <c r="C201" s="1181"/>
      <c r="D201" s="1181"/>
      <c r="E201" s="1181"/>
      <c r="F201" s="1181"/>
      <c r="G201" s="1181"/>
      <c r="H201" s="1181"/>
      <c r="I201" s="1181"/>
      <c r="J201" s="1181"/>
      <c r="K201" s="1181"/>
      <c r="L201" s="1181"/>
      <c r="M201" s="1181"/>
      <c r="N201" s="1181"/>
      <c r="O201" s="1181"/>
      <c r="P201" s="1181"/>
      <c r="Q201" s="1181"/>
      <c r="R201" s="1181"/>
      <c r="S201" s="1181"/>
      <c r="T201" s="1181"/>
      <c r="U201" s="1181"/>
      <c r="V201" s="1181"/>
      <c r="W201" s="1181"/>
      <c r="X201" s="1181"/>
      <c r="Y201" s="1181"/>
      <c r="Z201" s="1181"/>
      <c r="AA201" s="1181"/>
      <c r="AB201" s="1181"/>
      <c r="AC201" s="1181"/>
      <c r="AD201" s="1181"/>
      <c r="AE201" s="1181"/>
      <c r="AF201" s="1181"/>
    </row>
    <row r="202" spans="1:32">
      <c r="A202" s="1181"/>
      <c r="B202" s="1181"/>
      <c r="C202" s="1181"/>
      <c r="D202" s="1181"/>
      <c r="E202" s="1181"/>
      <c r="F202" s="1181"/>
      <c r="G202" s="1181"/>
      <c r="H202" s="1181"/>
      <c r="I202" s="1181"/>
      <c r="J202" s="1181"/>
      <c r="K202" s="1181"/>
      <c r="L202" s="1181"/>
      <c r="M202" s="1181"/>
      <c r="N202" s="1181"/>
      <c r="O202" s="1181"/>
      <c r="P202" s="1181"/>
      <c r="Q202" s="1181"/>
      <c r="R202" s="1181"/>
      <c r="S202" s="1181"/>
      <c r="T202" s="1181"/>
      <c r="U202" s="1181"/>
      <c r="V202" s="1181"/>
      <c r="W202" s="1181"/>
      <c r="X202" s="1181"/>
      <c r="Y202" s="1181"/>
      <c r="Z202" s="1181"/>
      <c r="AA202" s="1181"/>
      <c r="AB202" s="1181"/>
      <c r="AC202" s="1181"/>
      <c r="AD202" s="1181"/>
      <c r="AE202" s="1181"/>
      <c r="AF202" s="1181"/>
    </row>
    <row r="203" spans="1:32">
      <c r="A203" s="1181"/>
      <c r="B203" s="1181"/>
      <c r="C203" s="1181"/>
      <c r="D203" s="1181"/>
      <c r="E203" s="1181"/>
      <c r="F203" s="1181"/>
      <c r="G203" s="1181"/>
      <c r="H203" s="1181"/>
      <c r="I203" s="1181"/>
      <c r="J203" s="1181"/>
      <c r="K203" s="1181"/>
      <c r="L203" s="1181"/>
      <c r="M203" s="1181"/>
      <c r="N203" s="1181"/>
      <c r="O203" s="1181"/>
      <c r="P203" s="1181"/>
      <c r="Q203" s="1181"/>
      <c r="R203" s="1181"/>
      <c r="S203" s="1181"/>
      <c r="T203" s="1181"/>
      <c r="U203" s="1181"/>
      <c r="V203" s="1181"/>
      <c r="W203" s="1181"/>
      <c r="X203" s="1181"/>
      <c r="Y203" s="1181"/>
      <c r="Z203" s="1181"/>
      <c r="AA203" s="1181"/>
      <c r="AB203" s="1181"/>
      <c r="AC203" s="1181"/>
      <c r="AD203" s="1181"/>
      <c r="AE203" s="1181"/>
      <c r="AF203" s="1181"/>
    </row>
    <row r="204" spans="1:32">
      <c r="A204" s="1181"/>
      <c r="B204" s="1181"/>
      <c r="C204" s="1181"/>
      <c r="D204" s="1181"/>
      <c r="E204" s="1181"/>
      <c r="F204" s="1181"/>
      <c r="G204" s="1181"/>
      <c r="H204" s="1181"/>
      <c r="I204" s="1181"/>
      <c r="J204" s="1181"/>
      <c r="K204" s="1181"/>
      <c r="L204" s="1181"/>
      <c r="M204" s="1181"/>
      <c r="N204" s="1181"/>
      <c r="O204" s="1181"/>
      <c r="P204" s="1181"/>
      <c r="Q204" s="1181"/>
      <c r="R204" s="1181"/>
      <c r="S204" s="1181"/>
      <c r="T204" s="1181"/>
      <c r="U204" s="1181"/>
      <c r="V204" s="1181"/>
      <c r="W204" s="1181"/>
      <c r="X204" s="1181"/>
      <c r="Y204" s="1181"/>
      <c r="Z204" s="1181"/>
      <c r="AA204" s="1181"/>
      <c r="AB204" s="1181"/>
      <c r="AC204" s="1181"/>
      <c r="AD204" s="1181"/>
      <c r="AE204" s="1181"/>
      <c r="AF204" s="1181"/>
    </row>
    <row r="205" spans="1:32">
      <c r="A205" s="1181"/>
      <c r="B205" s="1181"/>
      <c r="C205" s="1181"/>
      <c r="D205" s="1181"/>
      <c r="E205" s="1181"/>
      <c r="F205" s="1181"/>
      <c r="G205" s="1181"/>
      <c r="H205" s="1181"/>
      <c r="I205" s="1181"/>
      <c r="J205" s="1181"/>
      <c r="K205" s="1181"/>
      <c r="L205" s="1181"/>
      <c r="M205" s="1181"/>
      <c r="N205" s="1181"/>
      <c r="O205" s="1181"/>
      <c r="P205" s="1181"/>
      <c r="Q205" s="1181"/>
      <c r="R205" s="1181"/>
      <c r="S205" s="1181"/>
      <c r="T205" s="1181"/>
      <c r="U205" s="1181"/>
      <c r="V205" s="1181"/>
      <c r="W205" s="1181"/>
      <c r="X205" s="1181"/>
      <c r="Y205" s="1181"/>
      <c r="Z205" s="1181"/>
      <c r="AA205" s="1181"/>
      <c r="AB205" s="1181"/>
      <c r="AC205" s="1181"/>
      <c r="AD205" s="1181"/>
      <c r="AE205" s="1181"/>
      <c r="AF205" s="1181"/>
    </row>
    <row r="206" spans="1:32">
      <c r="A206" s="1181"/>
      <c r="B206" s="1181"/>
      <c r="C206" s="1181"/>
      <c r="D206" s="1181"/>
      <c r="E206" s="1181"/>
      <c r="F206" s="1181"/>
      <c r="G206" s="1181"/>
      <c r="H206" s="1181"/>
      <c r="I206" s="1181"/>
      <c r="J206" s="1181"/>
      <c r="K206" s="1181"/>
      <c r="L206" s="1181"/>
      <c r="M206" s="1181"/>
      <c r="N206" s="1181"/>
      <c r="O206" s="1181"/>
      <c r="P206" s="1181"/>
      <c r="Q206" s="1181"/>
      <c r="R206" s="1181"/>
      <c r="S206" s="1181"/>
      <c r="T206" s="1181"/>
      <c r="U206" s="1181"/>
      <c r="V206" s="1181"/>
      <c r="W206" s="1181"/>
      <c r="X206" s="1181"/>
      <c r="Y206" s="1181"/>
      <c r="Z206" s="1181"/>
      <c r="AA206" s="1181"/>
      <c r="AB206" s="1181"/>
      <c r="AC206" s="1181"/>
      <c r="AD206" s="1181"/>
      <c r="AE206" s="1181"/>
      <c r="AF206" s="1181"/>
    </row>
    <row r="207" spans="1:32">
      <c r="A207" s="1181"/>
      <c r="B207" s="1181"/>
      <c r="C207" s="1181"/>
      <c r="D207" s="1181"/>
      <c r="E207" s="1181"/>
      <c r="F207" s="1181"/>
      <c r="G207" s="1181"/>
      <c r="H207" s="1181"/>
      <c r="I207" s="1181"/>
      <c r="J207" s="1181"/>
      <c r="K207" s="1181"/>
      <c r="L207" s="1181"/>
      <c r="M207" s="1181"/>
      <c r="N207" s="1181"/>
      <c r="O207" s="1181"/>
      <c r="P207" s="1181"/>
      <c r="Q207" s="1181"/>
      <c r="R207" s="1181"/>
      <c r="S207" s="1181"/>
      <c r="T207" s="1181"/>
      <c r="U207" s="1181"/>
      <c r="V207" s="1181"/>
      <c r="W207" s="1181"/>
      <c r="X207" s="1181"/>
      <c r="Y207" s="1181"/>
      <c r="Z207" s="1181"/>
      <c r="AA207" s="1181"/>
      <c r="AB207" s="1181"/>
      <c r="AC207" s="1181"/>
      <c r="AD207" s="1181"/>
      <c r="AE207" s="1181"/>
      <c r="AF207" s="1181"/>
    </row>
    <row r="208" spans="1:32">
      <c r="A208" s="1181"/>
      <c r="B208" s="1181"/>
      <c r="C208" s="1181"/>
      <c r="D208" s="1181"/>
      <c r="E208" s="1181"/>
      <c r="F208" s="1181"/>
      <c r="G208" s="1181"/>
      <c r="H208" s="1181"/>
      <c r="I208" s="1181"/>
      <c r="J208" s="1181"/>
      <c r="K208" s="1181"/>
      <c r="L208" s="1181"/>
      <c r="M208" s="1181"/>
      <c r="N208" s="1181"/>
      <c r="O208" s="1181"/>
      <c r="P208" s="1181"/>
      <c r="Q208" s="1181"/>
      <c r="R208" s="1181"/>
      <c r="S208" s="1181"/>
      <c r="T208" s="1181"/>
      <c r="U208" s="1181"/>
      <c r="V208" s="1181"/>
      <c r="W208" s="1181"/>
      <c r="X208" s="1181"/>
      <c r="Y208" s="1181"/>
      <c r="Z208" s="1181"/>
      <c r="AA208" s="1181"/>
      <c r="AB208" s="1181"/>
      <c r="AC208" s="1181"/>
      <c r="AD208" s="1181"/>
      <c r="AE208" s="1181"/>
      <c r="AF208" s="1181"/>
    </row>
    <row r="209" spans="1:32">
      <c r="A209" s="1181"/>
      <c r="B209" s="1181"/>
      <c r="C209" s="1181"/>
      <c r="D209" s="1181"/>
      <c r="E209" s="1181"/>
      <c r="F209" s="1181"/>
      <c r="G209" s="1181"/>
      <c r="H209" s="1181"/>
      <c r="I209" s="1181"/>
      <c r="J209" s="1181"/>
      <c r="K209" s="1181"/>
      <c r="L209" s="1181"/>
      <c r="M209" s="1181"/>
      <c r="N209" s="1181"/>
      <c r="O209" s="1181"/>
      <c r="P209" s="1181"/>
      <c r="Q209" s="1181"/>
      <c r="R209" s="1181"/>
      <c r="S209" s="1181"/>
      <c r="T209" s="1181"/>
      <c r="U209" s="1181"/>
      <c r="V209" s="1181"/>
      <c r="W209" s="1181"/>
      <c r="X209" s="1181"/>
      <c r="Y209" s="1181"/>
      <c r="Z209" s="1181"/>
      <c r="AA209" s="1181"/>
      <c r="AB209" s="1181"/>
      <c r="AC209" s="1181"/>
      <c r="AD209" s="1181"/>
      <c r="AE209" s="1181"/>
      <c r="AF209" s="1181"/>
    </row>
    <row r="210" spans="1:32">
      <c r="A210" s="1181"/>
      <c r="B210" s="1181"/>
      <c r="C210" s="1181"/>
      <c r="D210" s="1181"/>
      <c r="E210" s="1181"/>
      <c r="F210" s="1181"/>
      <c r="G210" s="1181"/>
      <c r="H210" s="1181"/>
      <c r="I210" s="1181"/>
      <c r="J210" s="1181"/>
      <c r="K210" s="1181"/>
      <c r="L210" s="1181"/>
      <c r="M210" s="1181"/>
      <c r="N210" s="1181"/>
      <c r="O210" s="1181"/>
      <c r="P210" s="1181"/>
      <c r="Q210" s="1181"/>
      <c r="R210" s="1181"/>
      <c r="S210" s="1181"/>
      <c r="T210" s="1181"/>
      <c r="U210" s="1181"/>
      <c r="V210" s="1181"/>
      <c r="W210" s="1181"/>
      <c r="X210" s="1181"/>
      <c r="Y210" s="1181"/>
      <c r="Z210" s="1181"/>
      <c r="AA210" s="1181"/>
      <c r="AB210" s="1181"/>
      <c r="AC210" s="1181"/>
      <c r="AD210" s="1181"/>
      <c r="AE210" s="1181"/>
      <c r="AF210" s="1181"/>
    </row>
    <row r="211" spans="1:32">
      <c r="A211" s="1181"/>
      <c r="B211" s="1181"/>
      <c r="C211" s="1181"/>
      <c r="D211" s="1181"/>
      <c r="E211" s="1181"/>
      <c r="F211" s="1181"/>
      <c r="G211" s="1181"/>
      <c r="H211" s="1181"/>
      <c r="I211" s="1181"/>
      <c r="J211" s="1181"/>
      <c r="K211" s="1181"/>
      <c r="L211" s="1181"/>
      <c r="M211" s="1181"/>
      <c r="N211" s="1181"/>
      <c r="O211" s="1181"/>
      <c r="P211" s="1181"/>
      <c r="Q211" s="1181"/>
      <c r="R211" s="1181"/>
      <c r="S211" s="1181"/>
      <c r="T211" s="1181"/>
      <c r="U211" s="1181"/>
      <c r="V211" s="1181"/>
      <c r="W211" s="1181"/>
      <c r="X211" s="1181"/>
      <c r="Y211" s="1181"/>
      <c r="Z211" s="1181"/>
      <c r="AA211" s="1181"/>
      <c r="AB211" s="1181"/>
      <c r="AC211" s="1181"/>
      <c r="AD211" s="1181"/>
      <c r="AE211" s="1181"/>
      <c r="AF211" s="1181"/>
    </row>
    <row r="212" spans="1:32">
      <c r="A212" s="1181"/>
      <c r="B212" s="1181"/>
      <c r="C212" s="1181"/>
      <c r="D212" s="1181"/>
      <c r="E212" s="1181"/>
      <c r="F212" s="1181"/>
      <c r="G212" s="1181"/>
      <c r="H212" s="1181"/>
      <c r="I212" s="1181"/>
      <c r="J212" s="1181"/>
      <c r="K212" s="1181"/>
      <c r="L212" s="1181"/>
      <c r="M212" s="1181"/>
      <c r="N212" s="1181"/>
      <c r="O212" s="1181"/>
      <c r="P212" s="1181"/>
      <c r="Q212" s="1181"/>
      <c r="R212" s="1181"/>
      <c r="S212" s="1181"/>
      <c r="T212" s="1181"/>
      <c r="U212" s="1181"/>
      <c r="V212" s="1181"/>
      <c r="W212" s="1181"/>
      <c r="X212" s="1181"/>
      <c r="Y212" s="1181"/>
      <c r="Z212" s="1181"/>
      <c r="AA212" s="1181"/>
      <c r="AB212" s="1181"/>
      <c r="AC212" s="1181"/>
      <c r="AD212" s="1181"/>
      <c r="AE212" s="1181"/>
      <c r="AF212" s="1181"/>
    </row>
    <row r="213" spans="1:32">
      <c r="A213" s="1181"/>
      <c r="B213" s="1181"/>
      <c r="C213" s="1181"/>
      <c r="D213" s="1181"/>
      <c r="E213" s="1181"/>
      <c r="F213" s="1181"/>
      <c r="G213" s="1181"/>
      <c r="H213" s="1181"/>
      <c r="I213" s="1181"/>
      <c r="J213" s="1181"/>
      <c r="K213" s="1181"/>
      <c r="L213" s="1181"/>
      <c r="M213" s="1181"/>
      <c r="N213" s="1181"/>
      <c r="O213" s="1181"/>
      <c r="P213" s="1181"/>
      <c r="Q213" s="1181"/>
      <c r="R213" s="1181"/>
      <c r="S213" s="1181"/>
      <c r="T213" s="1181"/>
      <c r="U213" s="1181"/>
      <c r="V213" s="1181"/>
      <c r="W213" s="1181"/>
      <c r="X213" s="1181"/>
      <c r="Y213" s="1181"/>
      <c r="Z213" s="1181"/>
      <c r="AA213" s="1181"/>
      <c r="AB213" s="1181"/>
      <c r="AC213" s="1181"/>
      <c r="AD213" s="1181"/>
      <c r="AE213" s="1181"/>
      <c r="AF213" s="1181"/>
    </row>
    <row r="214" spans="1:32">
      <c r="A214" s="1181"/>
      <c r="B214" s="1181"/>
      <c r="C214" s="1181"/>
      <c r="D214" s="1181"/>
      <c r="E214" s="1181"/>
      <c r="F214" s="1181"/>
      <c r="G214" s="1181"/>
      <c r="H214" s="1181"/>
      <c r="I214" s="1181"/>
      <c r="J214" s="1181"/>
      <c r="K214" s="1181"/>
      <c r="L214" s="1181"/>
      <c r="M214" s="1181"/>
      <c r="N214" s="1181"/>
      <c r="O214" s="1181"/>
      <c r="P214" s="1181"/>
      <c r="Q214" s="1181"/>
      <c r="R214" s="1181"/>
      <c r="S214" s="1181"/>
      <c r="T214" s="1181"/>
      <c r="U214" s="1181"/>
      <c r="V214" s="1181"/>
      <c r="W214" s="1181"/>
      <c r="X214" s="1181"/>
      <c r="Y214" s="1181"/>
      <c r="Z214" s="1181"/>
      <c r="AA214" s="1181"/>
      <c r="AB214" s="1181"/>
      <c r="AC214" s="1181"/>
      <c r="AD214" s="1181"/>
      <c r="AE214" s="1181"/>
      <c r="AF214" s="1181"/>
    </row>
    <row r="215" spans="1:32">
      <c r="A215" s="1181"/>
      <c r="B215" s="1181"/>
      <c r="C215" s="1181"/>
      <c r="D215" s="1181"/>
      <c r="E215" s="1181"/>
      <c r="F215" s="1181"/>
      <c r="G215" s="1181"/>
      <c r="H215" s="1181"/>
      <c r="I215" s="1181"/>
      <c r="J215" s="1181"/>
      <c r="K215" s="1181"/>
      <c r="L215" s="1181"/>
      <c r="M215" s="1181"/>
      <c r="N215" s="1181"/>
      <c r="O215" s="1181"/>
      <c r="P215" s="1181"/>
      <c r="Q215" s="1181"/>
      <c r="R215" s="1181"/>
      <c r="S215" s="1181"/>
      <c r="T215" s="1181"/>
      <c r="U215" s="1181"/>
      <c r="V215" s="1181"/>
      <c r="W215" s="1181"/>
      <c r="X215" s="1181"/>
      <c r="Y215" s="1181"/>
      <c r="Z215" s="1181"/>
      <c r="AA215" s="1181"/>
      <c r="AB215" s="1181"/>
      <c r="AC215" s="1181"/>
      <c r="AD215" s="1181"/>
      <c r="AE215" s="1181"/>
      <c r="AF215" s="1181"/>
    </row>
    <row r="216" spans="1:32">
      <c r="N216" s="31"/>
    </row>
    <row r="217" spans="1:32">
      <c r="N217" s="31"/>
    </row>
    <row r="218" spans="1:32">
      <c r="N218" s="31"/>
    </row>
    <row r="219" spans="1:32">
      <c r="N219" s="31"/>
    </row>
    <row r="220" spans="1:32">
      <c r="N220" s="31"/>
    </row>
    <row r="221" spans="1:32">
      <c r="N221" s="31"/>
    </row>
    <row r="222" spans="1:32">
      <c r="N222" s="31"/>
    </row>
    <row r="223" spans="1:32">
      <c r="N223" s="31"/>
    </row>
    <row r="224" spans="1:32">
      <c r="N224" s="31"/>
    </row>
    <row r="225" spans="14:14">
      <c r="N225" s="31"/>
    </row>
    <row r="226" spans="14:14">
      <c r="N226" s="31"/>
    </row>
    <row r="227" spans="14:14">
      <c r="N227" s="31"/>
    </row>
    <row r="228" spans="14:14">
      <c r="N228" s="31"/>
    </row>
    <row r="229" spans="14:14">
      <c r="N229" s="31"/>
    </row>
    <row r="230" spans="14:14">
      <c r="N230" s="31"/>
    </row>
    <row r="231" spans="14:14">
      <c r="N231" s="31"/>
    </row>
    <row r="232" spans="14:14">
      <c r="N232" s="31"/>
    </row>
    <row r="233" spans="14:14">
      <c r="N233" s="31"/>
    </row>
    <row r="234" spans="14:14">
      <c r="N234" s="31"/>
    </row>
    <row r="235" spans="14:14">
      <c r="N235" s="31"/>
    </row>
    <row r="236" spans="14:14">
      <c r="N236" s="31"/>
    </row>
    <row r="237" spans="14:14">
      <c r="N237" s="31"/>
    </row>
    <row r="238" spans="14:14">
      <c r="N238" s="31"/>
    </row>
    <row r="239" spans="14:14">
      <c r="N239" s="31"/>
    </row>
    <row r="240" spans="14:14">
      <c r="N240" s="31"/>
    </row>
    <row r="241" spans="14:14">
      <c r="N241" s="31"/>
    </row>
    <row r="242" spans="14:14">
      <c r="N242" s="31"/>
    </row>
    <row r="243" spans="14:14">
      <c r="N243" s="31"/>
    </row>
    <row r="244" spans="14:14">
      <c r="N244" s="31"/>
    </row>
    <row r="245" spans="14:14">
      <c r="N245" s="31"/>
    </row>
    <row r="246" spans="14:14">
      <c r="N246" s="31"/>
    </row>
    <row r="247" spans="14:14">
      <c r="N247" s="31"/>
    </row>
    <row r="248" spans="14:14">
      <c r="N248" s="31"/>
    </row>
    <row r="249" spans="14:14">
      <c r="N249" s="31"/>
    </row>
    <row r="250" spans="14:14">
      <c r="N250" s="31"/>
    </row>
    <row r="251" spans="14:14">
      <c r="N251" s="31"/>
    </row>
    <row r="252" spans="14:14">
      <c r="N252" s="31"/>
    </row>
    <row r="253" spans="14:14">
      <c r="N253" s="31"/>
    </row>
    <row r="254" spans="14:14">
      <c r="N254" s="31"/>
    </row>
    <row r="255" spans="14:14">
      <c r="N255" s="31"/>
    </row>
    <row r="256" spans="14:14">
      <c r="N256" s="31"/>
    </row>
    <row r="257" spans="14:14">
      <c r="N257" s="31"/>
    </row>
    <row r="258" spans="14:14">
      <c r="N258" s="31"/>
    </row>
    <row r="259" spans="14:14">
      <c r="N259" s="31"/>
    </row>
    <row r="260" spans="14:14">
      <c r="N260" s="31"/>
    </row>
    <row r="261" spans="14:14">
      <c r="N261" s="31"/>
    </row>
    <row r="262" spans="14:14">
      <c r="N262" s="31"/>
    </row>
    <row r="263" spans="14:14">
      <c r="N263" s="31"/>
    </row>
    <row r="264" spans="14:14">
      <c r="N264" s="31"/>
    </row>
    <row r="265" spans="14:14">
      <c r="N265" s="31"/>
    </row>
    <row r="266" spans="14:14">
      <c r="N266" s="31"/>
    </row>
    <row r="267" spans="14:14">
      <c r="N267" s="31"/>
    </row>
    <row r="268" spans="14:14">
      <c r="N268" s="31"/>
    </row>
    <row r="269" spans="14:14">
      <c r="N269" s="31"/>
    </row>
    <row r="270" spans="14:14">
      <c r="N270" s="31"/>
    </row>
    <row r="271" spans="14:14">
      <c r="N271" s="31"/>
    </row>
    <row r="272" spans="14:14">
      <c r="N272" s="31"/>
    </row>
    <row r="273" spans="14:14">
      <c r="N273" s="31"/>
    </row>
    <row r="274" spans="14:14">
      <c r="N274" s="31"/>
    </row>
    <row r="275" spans="14:14">
      <c r="N275" s="31"/>
    </row>
    <row r="276" spans="14:14">
      <c r="N276" s="31"/>
    </row>
    <row r="277" spans="14:14">
      <c r="N277" s="31"/>
    </row>
    <row r="278" spans="14:14">
      <c r="N278" s="31"/>
    </row>
    <row r="279" spans="14:14">
      <c r="N279" s="31"/>
    </row>
    <row r="280" spans="14:14">
      <c r="N280" s="31"/>
    </row>
    <row r="281" spans="14:14">
      <c r="N281" s="31"/>
    </row>
    <row r="282" spans="14:14">
      <c r="N282" s="31"/>
    </row>
    <row r="283" spans="14:14">
      <c r="N283" s="31"/>
    </row>
    <row r="284" spans="14:14">
      <c r="N284" s="31"/>
    </row>
    <row r="285" spans="14:14">
      <c r="N285" s="31"/>
    </row>
    <row r="286" spans="14:14">
      <c r="N286" s="31"/>
    </row>
    <row r="287" spans="14:14">
      <c r="N287" s="31"/>
    </row>
    <row r="288" spans="14:14">
      <c r="N288" s="31"/>
    </row>
    <row r="289" spans="14:14">
      <c r="N289" s="31"/>
    </row>
    <row r="290" spans="14:14">
      <c r="N290" s="31"/>
    </row>
    <row r="291" spans="14:14">
      <c r="N291" s="31"/>
    </row>
    <row r="292" spans="14:14">
      <c r="N292" s="31"/>
    </row>
    <row r="293" spans="14:14">
      <c r="N293" s="31"/>
    </row>
    <row r="294" spans="14:14">
      <c r="N294" s="31"/>
    </row>
    <row r="295" spans="14:14">
      <c r="N295" s="31"/>
    </row>
    <row r="296" spans="14:14">
      <c r="N296" s="31"/>
    </row>
    <row r="297" spans="14:14">
      <c r="N297" s="31"/>
    </row>
    <row r="298" spans="14:14">
      <c r="N298" s="31"/>
    </row>
    <row r="299" spans="14:14">
      <c r="N299" s="31"/>
    </row>
    <row r="300" spans="14:14">
      <c r="N300" s="31"/>
    </row>
    <row r="301" spans="14:14">
      <c r="N301" s="31"/>
    </row>
    <row r="302" spans="14:14">
      <c r="N302" s="31"/>
    </row>
    <row r="303" spans="14:14">
      <c r="N303" s="31"/>
    </row>
    <row r="304" spans="14:14">
      <c r="N304" s="31"/>
    </row>
    <row r="305" spans="14:14">
      <c r="N305" s="31"/>
    </row>
    <row r="306" spans="14:14">
      <c r="N306" s="31"/>
    </row>
    <row r="307" spans="14:14">
      <c r="N307" s="31"/>
    </row>
    <row r="308" spans="14:14">
      <c r="N308" s="31"/>
    </row>
    <row r="309" spans="14:14">
      <c r="N309" s="31"/>
    </row>
    <row r="310" spans="14:14">
      <c r="N310" s="31"/>
    </row>
    <row r="311" spans="14:14">
      <c r="N311" s="31"/>
    </row>
    <row r="312" spans="14:14">
      <c r="N312" s="31"/>
    </row>
    <row r="313" spans="14:14">
      <c r="N313" s="31"/>
    </row>
    <row r="314" spans="14:14">
      <c r="N314" s="31"/>
    </row>
    <row r="315" spans="14:14">
      <c r="N315" s="31"/>
    </row>
    <row r="316" spans="14:14">
      <c r="N316" s="31"/>
    </row>
    <row r="317" spans="14:14">
      <c r="N317" s="31"/>
    </row>
    <row r="318" spans="14:14">
      <c r="N318" s="31"/>
    </row>
    <row r="319" spans="14:14">
      <c r="N319" s="31"/>
    </row>
    <row r="320" spans="14:14">
      <c r="N320" s="31"/>
    </row>
    <row r="321" spans="14:14">
      <c r="N321" s="31"/>
    </row>
    <row r="322" spans="14:14">
      <c r="N322" s="31"/>
    </row>
    <row r="323" spans="14:14">
      <c r="N323" s="31"/>
    </row>
    <row r="324" spans="14:14">
      <c r="N324" s="31"/>
    </row>
    <row r="325" spans="14:14">
      <c r="N325" s="31"/>
    </row>
    <row r="326" spans="14:14">
      <c r="N326" s="31"/>
    </row>
    <row r="327" spans="14:14">
      <c r="N327" s="31"/>
    </row>
    <row r="328" spans="14:14">
      <c r="N328" s="31"/>
    </row>
    <row r="329" spans="14:14">
      <c r="N329" s="31"/>
    </row>
    <row r="330" spans="14:14">
      <c r="N330" s="31"/>
    </row>
    <row r="331" spans="14:14">
      <c r="N331" s="31"/>
    </row>
    <row r="332" spans="14:14">
      <c r="N332" s="31"/>
    </row>
    <row r="333" spans="14:14">
      <c r="N333" s="31"/>
    </row>
    <row r="334" spans="14:14">
      <c r="N334" s="31"/>
    </row>
    <row r="335" spans="14:14">
      <c r="N335" s="31"/>
    </row>
    <row r="336" spans="14:14">
      <c r="N336" s="31"/>
    </row>
    <row r="337" spans="14:14">
      <c r="N337" s="31"/>
    </row>
    <row r="338" spans="14:14">
      <c r="N338" s="31"/>
    </row>
    <row r="339" spans="14:14">
      <c r="N339" s="31"/>
    </row>
    <row r="340" spans="14:14">
      <c r="N340" s="31"/>
    </row>
    <row r="341" spans="14:14">
      <c r="N341" s="31"/>
    </row>
    <row r="342" spans="14:14">
      <c r="N342" s="31"/>
    </row>
    <row r="343" spans="14:14">
      <c r="N343" s="31"/>
    </row>
    <row r="344" spans="14:14">
      <c r="N344" s="31"/>
    </row>
    <row r="345" spans="14:14">
      <c r="N345" s="31"/>
    </row>
    <row r="346" spans="14:14">
      <c r="N346" s="31"/>
    </row>
    <row r="347" spans="14:14">
      <c r="N347" s="31"/>
    </row>
    <row r="348" spans="14:14">
      <c r="N348" s="31"/>
    </row>
    <row r="349" spans="14:14">
      <c r="N349" s="31"/>
    </row>
    <row r="350" spans="14:14">
      <c r="N350" s="31"/>
    </row>
    <row r="351" spans="14:14">
      <c r="N351" s="31"/>
    </row>
    <row r="352" spans="14:14">
      <c r="N352" s="31"/>
    </row>
    <row r="353" spans="14:14">
      <c r="N353" s="31"/>
    </row>
    <row r="354" spans="14:14">
      <c r="N354" s="31"/>
    </row>
    <row r="355" spans="14:14">
      <c r="N355" s="31"/>
    </row>
    <row r="356" spans="14:14">
      <c r="N356" s="31"/>
    </row>
    <row r="357" spans="14:14">
      <c r="N357" s="31"/>
    </row>
    <row r="358" spans="14:14">
      <c r="N358" s="31"/>
    </row>
    <row r="359" spans="14:14">
      <c r="N359" s="31"/>
    </row>
    <row r="360" spans="14:14">
      <c r="N360" s="31"/>
    </row>
    <row r="361" spans="14:14">
      <c r="N361" s="31"/>
    </row>
    <row r="362" spans="14:14">
      <c r="N362" s="31"/>
    </row>
    <row r="363" spans="14:14">
      <c r="N363" s="31"/>
    </row>
    <row r="364" spans="14:14">
      <c r="N364" s="31"/>
    </row>
    <row r="365" spans="14:14">
      <c r="N365" s="31"/>
    </row>
    <row r="366" spans="14:14">
      <c r="N366" s="31"/>
    </row>
    <row r="367" spans="14:14">
      <c r="N367" s="31"/>
    </row>
    <row r="368" spans="14:14">
      <c r="N368" s="31"/>
    </row>
    <row r="369" spans="14:14">
      <c r="N369" s="31"/>
    </row>
    <row r="370" spans="14:14">
      <c r="N370" s="31"/>
    </row>
    <row r="371" spans="14:14">
      <c r="N371" s="31"/>
    </row>
    <row r="372" spans="14:14">
      <c r="N372" s="31"/>
    </row>
    <row r="373" spans="14:14">
      <c r="N373" s="31"/>
    </row>
    <row r="374" spans="14:14">
      <c r="N374" s="31"/>
    </row>
    <row r="375" spans="14:14">
      <c r="N375" s="31"/>
    </row>
    <row r="376" spans="14:14">
      <c r="N376" s="31"/>
    </row>
    <row r="377" spans="14:14">
      <c r="N377" s="31"/>
    </row>
    <row r="378" spans="14:14">
      <c r="N378" s="31"/>
    </row>
    <row r="379" spans="14:14">
      <c r="N379" s="31"/>
    </row>
    <row r="380" spans="14:14">
      <c r="N380" s="31"/>
    </row>
    <row r="381" spans="14:14">
      <c r="N381" s="31"/>
    </row>
    <row r="382" spans="14:14">
      <c r="N382" s="31"/>
    </row>
    <row r="383" spans="14:14">
      <c r="N383" s="31"/>
    </row>
    <row r="384" spans="14:14">
      <c r="N384" s="31"/>
    </row>
    <row r="385" spans="14:14">
      <c r="N385" s="31"/>
    </row>
    <row r="386" spans="14:14">
      <c r="N386" s="31"/>
    </row>
    <row r="387" spans="14:14">
      <c r="N387" s="31"/>
    </row>
    <row r="388" spans="14:14">
      <c r="N388" s="31"/>
    </row>
    <row r="389" spans="14:14">
      <c r="N389" s="31"/>
    </row>
    <row r="390" spans="14:14">
      <c r="N390" s="31"/>
    </row>
    <row r="391" spans="14:14">
      <c r="N391" s="31"/>
    </row>
    <row r="392" spans="14:14">
      <c r="N392" s="31"/>
    </row>
    <row r="393" spans="14:14">
      <c r="N393" s="31"/>
    </row>
    <row r="394" spans="14:14">
      <c r="N394" s="31"/>
    </row>
    <row r="395" spans="14:14">
      <c r="N395" s="31"/>
    </row>
    <row r="396" spans="14:14">
      <c r="N396" s="31"/>
    </row>
    <row r="397" spans="14:14">
      <c r="N397" s="31"/>
    </row>
    <row r="398" spans="14:14">
      <c r="N398" s="31"/>
    </row>
    <row r="399" spans="14:14">
      <c r="N399" s="31"/>
    </row>
    <row r="400" spans="14:14">
      <c r="N400" s="31"/>
    </row>
    <row r="401" spans="14:14">
      <c r="N401" s="31"/>
    </row>
    <row r="402" spans="14:14">
      <c r="N402" s="31"/>
    </row>
    <row r="403" spans="14:14">
      <c r="N403" s="31"/>
    </row>
    <row r="404" spans="14:14">
      <c r="N404" s="31"/>
    </row>
    <row r="405" spans="14:14">
      <c r="N405" s="31"/>
    </row>
    <row r="406" spans="14:14">
      <c r="N406" s="31"/>
    </row>
    <row r="407" spans="14:14">
      <c r="N407" s="31"/>
    </row>
    <row r="408" spans="14:14">
      <c r="N408" s="31"/>
    </row>
    <row r="409" spans="14:14">
      <c r="N409" s="31"/>
    </row>
    <row r="410" spans="14:14">
      <c r="N410" s="31"/>
    </row>
    <row r="411" spans="14:14">
      <c r="N411" s="31"/>
    </row>
    <row r="412" spans="14:14">
      <c r="N412" s="31"/>
    </row>
    <row r="413" spans="14:14">
      <c r="N413" s="31"/>
    </row>
    <row r="414" spans="14:14">
      <c r="N414" s="31"/>
    </row>
    <row r="415" spans="14:14">
      <c r="N415" s="31"/>
    </row>
    <row r="416" spans="14:14">
      <c r="N416" s="31"/>
    </row>
    <row r="417" spans="14:14">
      <c r="N417" s="31"/>
    </row>
    <row r="418" spans="14:14">
      <c r="N418" s="31"/>
    </row>
    <row r="419" spans="14:14">
      <c r="N419" s="31"/>
    </row>
    <row r="420" spans="14:14">
      <c r="N420" s="31"/>
    </row>
    <row r="421" spans="14:14">
      <c r="N421" s="31"/>
    </row>
    <row r="422" spans="14:14">
      <c r="N422" s="31"/>
    </row>
    <row r="423" spans="14:14">
      <c r="N423" s="31"/>
    </row>
    <row r="424" spans="14:14">
      <c r="N424" s="31"/>
    </row>
    <row r="425" spans="14:14">
      <c r="N425" s="31"/>
    </row>
    <row r="426" spans="14:14">
      <c r="N426" s="31"/>
    </row>
    <row r="427" spans="14:14">
      <c r="N427" s="31"/>
    </row>
    <row r="428" spans="14:14">
      <c r="N428" s="31"/>
    </row>
    <row r="429" spans="14:14">
      <c r="N429" s="31"/>
    </row>
    <row r="430" spans="14:14">
      <c r="N430" s="31"/>
    </row>
    <row r="431" spans="14:14">
      <c r="N431" s="31"/>
    </row>
    <row r="432" spans="14:14">
      <c r="N432" s="31"/>
    </row>
    <row r="433" spans="14:14">
      <c r="N433" s="31"/>
    </row>
    <row r="434" spans="14:14">
      <c r="N434" s="31"/>
    </row>
    <row r="435" spans="14:14">
      <c r="N435" s="31"/>
    </row>
    <row r="436" spans="14:14">
      <c r="N436" s="31"/>
    </row>
    <row r="437" spans="14:14">
      <c r="N437" s="31"/>
    </row>
    <row r="438" spans="14:14">
      <c r="N438" s="31"/>
    </row>
    <row r="439" spans="14:14">
      <c r="N439" s="31"/>
    </row>
    <row r="440" spans="14:14">
      <c r="N440" s="31"/>
    </row>
    <row r="441" spans="14:14">
      <c r="N441" s="31"/>
    </row>
    <row r="442" spans="14:14">
      <c r="N442" s="31"/>
    </row>
    <row r="443" spans="14:14">
      <c r="N443" s="31"/>
    </row>
    <row r="444" spans="14:14">
      <c r="N444" s="31"/>
    </row>
    <row r="445" spans="14:14">
      <c r="N445" s="31"/>
    </row>
    <row r="446" spans="14:14">
      <c r="N446" s="31"/>
    </row>
    <row r="447" spans="14:14">
      <c r="N447" s="31"/>
    </row>
    <row r="448" spans="14:14">
      <c r="N448" s="31"/>
    </row>
    <row r="449" spans="14:14">
      <c r="N449" s="31"/>
    </row>
    <row r="450" spans="14:14">
      <c r="N450" s="31"/>
    </row>
    <row r="451" spans="14:14">
      <c r="N451" s="31"/>
    </row>
    <row r="452" spans="14:14">
      <c r="N452" s="31"/>
    </row>
    <row r="453" spans="14:14">
      <c r="N453" s="31"/>
    </row>
    <row r="454" spans="14:14">
      <c r="N454" s="31"/>
    </row>
    <row r="455" spans="14:14">
      <c r="N455" s="31"/>
    </row>
    <row r="456" spans="14:14">
      <c r="N456" s="31"/>
    </row>
    <row r="457" spans="14:14">
      <c r="N457" s="31"/>
    </row>
    <row r="458" spans="14:14">
      <c r="N458" s="31"/>
    </row>
    <row r="459" spans="14:14">
      <c r="N459" s="31"/>
    </row>
    <row r="460" spans="14:14">
      <c r="N460" s="31"/>
    </row>
    <row r="461" spans="14:14">
      <c r="N461" s="31"/>
    </row>
    <row r="462" spans="14:14">
      <c r="N462" s="31"/>
    </row>
    <row r="463" spans="14:14">
      <c r="N463" s="31"/>
    </row>
    <row r="464" spans="14:14">
      <c r="N464" s="31"/>
    </row>
    <row r="465" spans="14:14">
      <c r="N465" s="31"/>
    </row>
    <row r="466" spans="14:14">
      <c r="N466" s="31"/>
    </row>
    <row r="467" spans="14:14">
      <c r="N467" s="31"/>
    </row>
    <row r="468" spans="14:14">
      <c r="N468" s="31"/>
    </row>
    <row r="469" spans="14:14">
      <c r="N469" s="31"/>
    </row>
    <row r="470" spans="14:14">
      <c r="N470" s="31"/>
    </row>
    <row r="471" spans="14:14">
      <c r="N471" s="31"/>
    </row>
    <row r="472" spans="14:14">
      <c r="N472" s="31"/>
    </row>
    <row r="473" spans="14:14">
      <c r="N473" s="31"/>
    </row>
    <row r="474" spans="14:14">
      <c r="N474" s="31"/>
    </row>
    <row r="475" spans="14:14">
      <c r="N475" s="31"/>
    </row>
    <row r="476" spans="14:14">
      <c r="N476" s="31"/>
    </row>
    <row r="477" spans="14:14">
      <c r="N477" s="31"/>
    </row>
    <row r="478" spans="14:14">
      <c r="N478" s="31"/>
    </row>
    <row r="479" spans="14:14">
      <c r="N479" s="31"/>
    </row>
    <row r="480" spans="14:14">
      <c r="N480" s="31"/>
    </row>
    <row r="481" spans="14:14">
      <c r="N481" s="31"/>
    </row>
    <row r="482" spans="14:14">
      <c r="N482" s="31"/>
    </row>
    <row r="483" spans="14:14">
      <c r="N483" s="31"/>
    </row>
    <row r="484" spans="14:14">
      <c r="N484" s="31"/>
    </row>
    <row r="485" spans="14:14">
      <c r="N485" s="31"/>
    </row>
    <row r="486" spans="14:14">
      <c r="N486" s="31"/>
    </row>
    <row r="487" spans="14:14">
      <c r="N487" s="31"/>
    </row>
    <row r="488" spans="14:14">
      <c r="N488" s="31"/>
    </row>
    <row r="489" spans="14:14">
      <c r="N489" s="31"/>
    </row>
    <row r="490" spans="14:14">
      <c r="N490" s="31"/>
    </row>
    <row r="491" spans="14:14">
      <c r="N491" s="31"/>
    </row>
    <row r="492" spans="14:14">
      <c r="N492" s="31"/>
    </row>
    <row r="493" spans="14:14">
      <c r="N493" s="31"/>
    </row>
    <row r="494" spans="14:14">
      <c r="N494" s="31"/>
    </row>
    <row r="495" spans="14:14">
      <c r="N495" s="31"/>
    </row>
    <row r="496" spans="14:14">
      <c r="N496" s="31"/>
    </row>
    <row r="497" spans="14:14">
      <c r="N497" s="31"/>
    </row>
    <row r="498" spans="14:14">
      <c r="N498" s="31"/>
    </row>
    <row r="499" spans="14:14">
      <c r="N499" s="31"/>
    </row>
    <row r="500" spans="14:14">
      <c r="N500" s="31"/>
    </row>
    <row r="501" spans="14:14">
      <c r="N501" s="31"/>
    </row>
    <row r="502" spans="14:14">
      <c r="N502" s="31"/>
    </row>
    <row r="503" spans="14:14">
      <c r="N503" s="31"/>
    </row>
    <row r="504" spans="14:14">
      <c r="N504" s="31"/>
    </row>
    <row r="505" spans="14:14">
      <c r="N505" s="31"/>
    </row>
    <row r="506" spans="14:14">
      <c r="N506" s="31"/>
    </row>
    <row r="507" spans="14:14">
      <c r="N507" s="31"/>
    </row>
    <row r="508" spans="14:14">
      <c r="N508" s="31"/>
    </row>
    <row r="509" spans="14:14">
      <c r="N509" s="31"/>
    </row>
    <row r="510" spans="14:14">
      <c r="N510" s="31"/>
    </row>
    <row r="511" spans="14:14">
      <c r="N511" s="31"/>
    </row>
    <row r="512" spans="14:14">
      <c r="N512" s="31"/>
    </row>
    <row r="513" spans="14:14">
      <c r="N513" s="31"/>
    </row>
    <row r="514" spans="14:14">
      <c r="N514" s="31"/>
    </row>
    <row r="515" spans="14:14">
      <c r="N515" s="31"/>
    </row>
    <row r="516" spans="14:14">
      <c r="N516" s="31"/>
    </row>
    <row r="517" spans="14:14">
      <c r="N517" s="31"/>
    </row>
    <row r="518" spans="14:14">
      <c r="N518" s="31"/>
    </row>
    <row r="519" spans="14:14">
      <c r="N519" s="31"/>
    </row>
    <row r="520" spans="14:14">
      <c r="N520" s="31"/>
    </row>
    <row r="521" spans="14:14">
      <c r="N521" s="31"/>
    </row>
    <row r="522" spans="14:14">
      <c r="N522" s="31"/>
    </row>
    <row r="523" spans="14:14">
      <c r="N523" s="31"/>
    </row>
    <row r="524" spans="14:14">
      <c r="N524" s="31"/>
    </row>
    <row r="525" spans="14:14">
      <c r="N525" s="31"/>
    </row>
    <row r="526" spans="14:14">
      <c r="N526" s="31"/>
    </row>
    <row r="527" spans="14:14">
      <c r="N527" s="31"/>
    </row>
    <row r="528" spans="14:14">
      <c r="N528" s="31"/>
    </row>
    <row r="529" spans="14:14">
      <c r="N529" s="31"/>
    </row>
    <row r="530" spans="14:14">
      <c r="N530" s="31"/>
    </row>
    <row r="531" spans="14:14">
      <c r="N531" s="31"/>
    </row>
    <row r="532" spans="14:14">
      <c r="N532" s="31"/>
    </row>
    <row r="533" spans="14:14">
      <c r="N533" s="31"/>
    </row>
    <row r="534" spans="14:14">
      <c r="N534" s="31"/>
    </row>
    <row r="535" spans="14:14">
      <c r="N535" s="31"/>
    </row>
    <row r="536" spans="14:14">
      <c r="N536" s="31"/>
    </row>
    <row r="537" spans="14:14">
      <c r="N537" s="31"/>
    </row>
    <row r="538" spans="14:14">
      <c r="N538" s="31"/>
    </row>
    <row r="539" spans="14:14">
      <c r="N539" s="31"/>
    </row>
    <row r="540" spans="14:14">
      <c r="N540" s="31"/>
    </row>
    <row r="541" spans="14:14">
      <c r="N541" s="31"/>
    </row>
    <row r="542" spans="14:14">
      <c r="N542" s="31"/>
    </row>
    <row r="543" spans="14:14">
      <c r="N543" s="31"/>
    </row>
    <row r="544" spans="14:14">
      <c r="N544" s="31"/>
    </row>
    <row r="545" spans="14:14">
      <c r="N545" s="31"/>
    </row>
    <row r="546" spans="14:14">
      <c r="N546" s="31"/>
    </row>
    <row r="547" spans="14:14">
      <c r="N547" s="31"/>
    </row>
    <row r="548" spans="14:14">
      <c r="N548" s="31"/>
    </row>
    <row r="549" spans="14:14">
      <c r="N549" s="31"/>
    </row>
    <row r="550" spans="14:14">
      <c r="N550" s="31"/>
    </row>
    <row r="551" spans="14:14">
      <c r="N551" s="31"/>
    </row>
    <row r="552" spans="14:14">
      <c r="N552" s="31"/>
    </row>
    <row r="553" spans="14:14">
      <c r="N553" s="31"/>
    </row>
    <row r="554" spans="14:14">
      <c r="N554" s="31"/>
    </row>
    <row r="555" spans="14:14">
      <c r="N555" s="31"/>
    </row>
    <row r="556" spans="14:14">
      <c r="N556" s="31"/>
    </row>
    <row r="557" spans="14:14">
      <c r="N557" s="31"/>
    </row>
    <row r="558" spans="14:14">
      <c r="N558" s="31"/>
    </row>
    <row r="559" spans="14:14">
      <c r="N559" s="31"/>
    </row>
    <row r="560" spans="14:14">
      <c r="N560" s="31"/>
    </row>
    <row r="561" spans="14:14">
      <c r="N561" s="31"/>
    </row>
    <row r="562" spans="14:14">
      <c r="N562" s="31"/>
    </row>
    <row r="563" spans="14:14">
      <c r="N563" s="31"/>
    </row>
    <row r="564" spans="14:14">
      <c r="N564" s="31"/>
    </row>
    <row r="565" spans="14:14">
      <c r="N565" s="31"/>
    </row>
    <row r="566" spans="14:14">
      <c r="N566" s="31"/>
    </row>
    <row r="567" spans="14:14">
      <c r="N567" s="31"/>
    </row>
    <row r="568" spans="14:14">
      <c r="N568" s="31"/>
    </row>
    <row r="569" spans="14:14">
      <c r="N569" s="31"/>
    </row>
    <row r="570" spans="14:14">
      <c r="N570" s="31"/>
    </row>
    <row r="571" spans="14:14">
      <c r="N571" s="31"/>
    </row>
    <row r="572" spans="14:14">
      <c r="N572" s="31"/>
    </row>
    <row r="573" spans="14:14">
      <c r="N573" s="31"/>
    </row>
    <row r="574" spans="14:14">
      <c r="N574" s="31"/>
    </row>
    <row r="575" spans="14:14">
      <c r="N575" s="31"/>
    </row>
    <row r="576" spans="14:14">
      <c r="N576" s="31"/>
    </row>
    <row r="577" spans="14:14">
      <c r="N577" s="31"/>
    </row>
    <row r="578" spans="14:14">
      <c r="N578" s="31"/>
    </row>
    <row r="579" spans="14:14">
      <c r="N579" s="31"/>
    </row>
    <row r="580" spans="14:14">
      <c r="N580" s="31"/>
    </row>
    <row r="581" spans="14:14">
      <c r="N581" s="31"/>
    </row>
    <row r="582" spans="14:14">
      <c r="N582" s="31"/>
    </row>
    <row r="583" spans="14:14">
      <c r="N583" s="31"/>
    </row>
    <row r="584" spans="14:14">
      <c r="N584" s="31"/>
    </row>
    <row r="585" spans="14:14">
      <c r="N585" s="31"/>
    </row>
    <row r="586" spans="14:14">
      <c r="N586" s="31"/>
    </row>
    <row r="587" spans="14:14">
      <c r="N587" s="31"/>
    </row>
    <row r="588" spans="14:14">
      <c r="N588" s="31"/>
    </row>
    <row r="589" spans="14:14">
      <c r="N589" s="31"/>
    </row>
    <row r="590" spans="14:14">
      <c r="N590" s="31"/>
    </row>
    <row r="591" spans="14:14">
      <c r="N591" s="31"/>
    </row>
    <row r="592" spans="14:14">
      <c r="N592" s="31"/>
    </row>
    <row r="593" spans="14:14">
      <c r="N593" s="31"/>
    </row>
    <row r="594" spans="14:14">
      <c r="N594" s="31"/>
    </row>
    <row r="595" spans="14:14">
      <c r="N595" s="31"/>
    </row>
    <row r="596" spans="14:14">
      <c r="N596" s="31"/>
    </row>
    <row r="597" spans="14:14">
      <c r="N597" s="31"/>
    </row>
    <row r="598" spans="14:14">
      <c r="N598" s="31"/>
    </row>
    <row r="599" spans="14:14">
      <c r="N599" s="31"/>
    </row>
    <row r="600" spans="14:14">
      <c r="N600" s="31"/>
    </row>
    <row r="601" spans="14:14">
      <c r="N601" s="31"/>
    </row>
    <row r="602" spans="14:14">
      <c r="N602" s="31"/>
    </row>
    <row r="603" spans="14:14">
      <c r="N603" s="31"/>
    </row>
    <row r="604" spans="14:14">
      <c r="N604" s="31"/>
    </row>
    <row r="605" spans="14:14">
      <c r="N605" s="31"/>
    </row>
    <row r="606" spans="14:14">
      <c r="N606" s="31"/>
    </row>
    <row r="607" spans="14:14">
      <c r="N607" s="31"/>
    </row>
    <row r="608" spans="14:14">
      <c r="N608" s="31"/>
    </row>
    <row r="609" spans="14:14">
      <c r="N609" s="31"/>
    </row>
    <row r="610" spans="14:14">
      <c r="N610" s="31"/>
    </row>
    <row r="611" spans="14:14">
      <c r="N611" s="31"/>
    </row>
    <row r="612" spans="14:14">
      <c r="N612" s="31"/>
    </row>
    <row r="613" spans="14:14">
      <c r="N613" s="31"/>
    </row>
    <row r="614" spans="14:14">
      <c r="N614" s="31"/>
    </row>
    <row r="615" spans="14:14">
      <c r="N615" s="31"/>
    </row>
    <row r="616" spans="14:14">
      <c r="N616" s="31"/>
    </row>
    <row r="617" spans="14:14">
      <c r="N617" s="31"/>
    </row>
    <row r="618" spans="14:14">
      <c r="N618" s="31"/>
    </row>
    <row r="619" spans="14:14">
      <c r="N619" s="31"/>
    </row>
    <row r="620" spans="14:14">
      <c r="N620" s="31"/>
    </row>
    <row r="621" spans="14:14">
      <c r="N621" s="31"/>
    </row>
    <row r="622" spans="14:14">
      <c r="N622" s="31"/>
    </row>
    <row r="623" spans="14:14">
      <c r="N623" s="31"/>
    </row>
    <row r="624" spans="14:14">
      <c r="N624" s="31"/>
    </row>
    <row r="625" spans="14:14">
      <c r="N625" s="31"/>
    </row>
    <row r="626" spans="14:14">
      <c r="N626" s="31"/>
    </row>
    <row r="627" spans="14:14">
      <c r="N627" s="31"/>
    </row>
    <row r="628" spans="14:14">
      <c r="N628" s="31"/>
    </row>
    <row r="629" spans="14:14">
      <c r="N629" s="31"/>
    </row>
    <row r="630" spans="14:14">
      <c r="N630" s="31"/>
    </row>
    <row r="631" spans="14:14">
      <c r="N631" s="31"/>
    </row>
    <row r="632" spans="14:14">
      <c r="N632" s="31"/>
    </row>
    <row r="633" spans="14:14">
      <c r="N633" s="31"/>
    </row>
    <row r="634" spans="14:14">
      <c r="N634" s="31"/>
    </row>
    <row r="635" spans="14:14">
      <c r="N635" s="31"/>
    </row>
    <row r="636" spans="14:14">
      <c r="N636" s="31"/>
    </row>
    <row r="637" spans="14:14">
      <c r="N637" s="31"/>
    </row>
    <row r="638" spans="14:14">
      <c r="N638" s="31"/>
    </row>
    <row r="639" spans="14:14">
      <c r="N639" s="31"/>
    </row>
    <row r="640" spans="14:14">
      <c r="N640" s="31"/>
    </row>
    <row r="641" spans="14:14">
      <c r="N641" s="31"/>
    </row>
    <row r="642" spans="14:14">
      <c r="N642" s="31"/>
    </row>
    <row r="643" spans="14:14">
      <c r="N643" s="31"/>
    </row>
    <row r="644" spans="14:14">
      <c r="N644" s="31"/>
    </row>
    <row r="645" spans="14:14">
      <c r="N645" s="31"/>
    </row>
    <row r="646" spans="14:14">
      <c r="N646" s="31"/>
    </row>
    <row r="647" spans="14:14">
      <c r="N647" s="31"/>
    </row>
    <row r="648" spans="14:14">
      <c r="N648" s="31"/>
    </row>
    <row r="649" spans="14:14">
      <c r="N649" s="31"/>
    </row>
    <row r="650" spans="14:14">
      <c r="N650" s="31"/>
    </row>
    <row r="651" spans="14:14">
      <c r="N651" s="31"/>
    </row>
    <row r="652" spans="14:14">
      <c r="N652" s="31"/>
    </row>
    <row r="653" spans="14:14">
      <c r="N653" s="31"/>
    </row>
    <row r="654" spans="14:14">
      <c r="N654" s="31"/>
    </row>
    <row r="655" spans="14:14">
      <c r="N655" s="31"/>
    </row>
    <row r="656" spans="14:14">
      <c r="N656" s="31"/>
    </row>
    <row r="657" spans="14:14">
      <c r="N657" s="31"/>
    </row>
    <row r="658" spans="14:14">
      <c r="N658" s="31"/>
    </row>
    <row r="659" spans="14:14">
      <c r="N659" s="31"/>
    </row>
    <row r="660" spans="14:14">
      <c r="N660" s="31"/>
    </row>
    <row r="661" spans="14:14">
      <c r="N661" s="31"/>
    </row>
    <row r="662" spans="14:14">
      <c r="N662" s="31"/>
    </row>
    <row r="663" spans="14:14">
      <c r="N663" s="31"/>
    </row>
    <row r="664" spans="14:14">
      <c r="N664" s="31"/>
    </row>
    <row r="665" spans="14:14">
      <c r="N665" s="31"/>
    </row>
    <row r="666" spans="14:14">
      <c r="N666" s="31"/>
    </row>
    <row r="667" spans="14:14">
      <c r="N667" s="31"/>
    </row>
    <row r="668" spans="14:14">
      <c r="N668" s="31"/>
    </row>
    <row r="669" spans="14:14">
      <c r="N669" s="31"/>
    </row>
    <row r="670" spans="14:14">
      <c r="N670" s="31"/>
    </row>
    <row r="671" spans="14:14">
      <c r="N671" s="31"/>
    </row>
    <row r="672" spans="14:14">
      <c r="N672" s="31"/>
    </row>
    <row r="673" spans="14:14">
      <c r="N673" s="31"/>
    </row>
    <row r="674" spans="14:14">
      <c r="N674" s="31"/>
    </row>
    <row r="675" spans="14:14">
      <c r="N675" s="31"/>
    </row>
    <row r="676" spans="14:14">
      <c r="N676" s="31"/>
    </row>
    <row r="677" spans="14:14">
      <c r="N677" s="31"/>
    </row>
    <row r="678" spans="14:14">
      <c r="N678" s="31"/>
    </row>
    <row r="679" spans="14:14">
      <c r="N679" s="31"/>
    </row>
    <row r="680" spans="14:14">
      <c r="N680" s="31"/>
    </row>
    <row r="681" spans="14:14">
      <c r="N681" s="31"/>
    </row>
    <row r="682" spans="14:14">
      <c r="N682" s="31"/>
    </row>
  </sheetData>
  <mergeCells count="1">
    <mergeCell ref="Y2:AA2"/>
  </mergeCells>
  <pageMargins left="0.7" right="0.7" top="0.75" bottom="0.75" header="0.3" footer="0.3"/>
  <pageSetup scale="60" orientation="portrait" r:id="rId1"/>
  <headerFooter alignWithMargins="0"/>
  <rowBreaks count="1" manualBreakCount="1">
    <brk id="91" max="22" man="1"/>
  </rowBreaks>
  <colBreaks count="1" manualBreakCount="1">
    <brk id="23" max="1048575" man="1"/>
  </colBreak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indexed="8"/>
    <pageSetUpPr fitToPage="1"/>
  </sheetPr>
  <dimension ref="A1"/>
  <sheetViews>
    <sheetView showGridLines="0" workbookViewId="0"/>
  </sheetViews>
  <sheetFormatPr defaultRowHeight="12.75"/>
  <sheetData/>
  <phoneticPr fontId="11" type="noConversion"/>
  <pageMargins left="0.25" right="0.25" top="0.5" bottom="0.5" header="0.5" footer="0.5"/>
  <pageSetup orientation="landscape"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A1:BC52"/>
  <sheetViews>
    <sheetView showGridLines="0" workbookViewId="0">
      <pane xSplit="1" ySplit="5" topLeftCell="B6" activePane="bottomRight" state="frozen"/>
      <selection pane="topRight" activeCell="B1" sqref="B1"/>
      <selection pane="bottomLeft" activeCell="A6" sqref="A6"/>
      <selection pane="bottomRight"/>
    </sheetView>
  </sheetViews>
  <sheetFormatPr defaultRowHeight="11.25"/>
  <cols>
    <col min="1" max="1" width="34.28515625" style="52" customWidth="1"/>
    <col min="2" max="2" width="12.7109375" style="52" customWidth="1"/>
    <col min="3" max="3" width="11.42578125" style="52" customWidth="1"/>
    <col min="4" max="4" width="34.28515625" style="52" customWidth="1"/>
    <col min="5" max="5" width="11.5703125" style="52" customWidth="1"/>
    <col min="6" max="6" width="34.28515625" style="52" customWidth="1"/>
    <col min="7" max="7" width="11.42578125" style="52" customWidth="1"/>
    <col min="8" max="8" width="34.28515625" style="52" customWidth="1"/>
    <col min="9" max="9" width="11.42578125" style="52" customWidth="1"/>
    <col min="10" max="16384" width="9.140625" style="52"/>
  </cols>
  <sheetData>
    <row r="1" spans="1:8" s="106" customFormat="1" ht="18">
      <c r="A1" s="112" t="str">
        <f>Index!$B$1</f>
        <v>São Martinho</v>
      </c>
      <c r="B1" s="127"/>
      <c r="C1" s="127"/>
      <c r="D1" s="127"/>
      <c r="E1" s="649"/>
      <c r="F1" s="127"/>
      <c r="G1" s="127"/>
      <c r="H1" s="649"/>
    </row>
    <row r="2" spans="1:8" ht="12.75">
      <c r="A2" s="126" t="s">
        <v>239</v>
      </c>
      <c r="B2" s="127"/>
      <c r="C2" s="127"/>
      <c r="D2" s="127"/>
      <c r="E2" s="649"/>
      <c r="F2" s="126" t="s">
        <v>240</v>
      </c>
      <c r="G2" s="670"/>
      <c r="H2" s="438" t="s">
        <v>27</v>
      </c>
    </row>
    <row r="3" spans="1:8">
      <c r="F3" s="553" t="s">
        <v>511</v>
      </c>
      <c r="G3" s="554"/>
      <c r="H3" s="555"/>
    </row>
    <row r="4" spans="1:8">
      <c r="B4" s="556"/>
      <c r="C4" s="2582"/>
      <c r="D4" s="2582"/>
      <c r="F4" s="54"/>
      <c r="G4" s="54"/>
      <c r="H4" s="54"/>
    </row>
    <row r="5" spans="1:8">
      <c r="A5" s="123" t="s">
        <v>490</v>
      </c>
      <c r="B5" s="215" t="s">
        <v>491</v>
      </c>
      <c r="C5" s="1313" t="s">
        <v>120</v>
      </c>
      <c r="D5" s="671" t="s">
        <v>24</v>
      </c>
      <c r="F5" s="557" t="s">
        <v>227</v>
      </c>
      <c r="G5" s="558" t="s">
        <v>492</v>
      </c>
      <c r="H5" s="557" t="s">
        <v>493</v>
      </c>
    </row>
    <row r="6" spans="1:8" ht="12" customHeight="1">
      <c r="A6" s="559" t="s">
        <v>495</v>
      </c>
      <c r="B6" s="1314">
        <v>190.242864</v>
      </c>
      <c r="C6" s="672">
        <f>+B6/B$14</f>
        <v>0.5226289646606026</v>
      </c>
      <c r="D6" s="673" t="s">
        <v>1206</v>
      </c>
      <c r="F6" s="54" t="s">
        <v>229</v>
      </c>
      <c r="G6" s="560">
        <v>41275</v>
      </c>
      <c r="H6" s="54" t="s">
        <v>228</v>
      </c>
    </row>
    <row r="7" spans="1:8" ht="12" customHeight="1">
      <c r="A7" s="101" t="s">
        <v>499</v>
      </c>
      <c r="B7" s="793">
        <v>78.402857999999995</v>
      </c>
      <c r="C7" s="488">
        <f t="shared" ref="C7:C14" si="0">+B7/B$14</f>
        <v>0.21538576344693927</v>
      </c>
      <c r="F7" s="54" t="s">
        <v>232</v>
      </c>
      <c r="G7" s="560"/>
      <c r="H7" s="54" t="s">
        <v>504</v>
      </c>
    </row>
    <row r="8" spans="1:8" ht="12" customHeight="1">
      <c r="A8" s="101" t="s">
        <v>500</v>
      </c>
      <c r="B8" s="793">
        <v>78.402857999999995</v>
      </c>
      <c r="C8" s="488">
        <f t="shared" si="0"/>
        <v>0.21538576344693927</v>
      </c>
      <c r="F8" s="54" t="s">
        <v>1539</v>
      </c>
      <c r="G8" s="560"/>
      <c r="H8" s="54" t="s">
        <v>230</v>
      </c>
    </row>
    <row r="9" spans="1:8" ht="12" customHeight="1">
      <c r="A9" s="561" t="s">
        <v>501</v>
      </c>
      <c r="B9" s="1070">
        <v>33.437148000000001</v>
      </c>
      <c r="C9" s="562">
        <f t="shared" si="0"/>
        <v>9.1857437766724004E-2</v>
      </c>
      <c r="E9" s="194"/>
      <c r="F9" s="54" t="s">
        <v>503</v>
      </c>
      <c r="G9" s="560"/>
      <c r="H9" s="54" t="s">
        <v>505</v>
      </c>
    </row>
    <row r="10" spans="1:8">
      <c r="A10" s="106" t="s">
        <v>496</v>
      </c>
      <c r="B10" s="794">
        <v>12.789104999999999</v>
      </c>
      <c r="C10" s="563">
        <f t="shared" si="0"/>
        <v>3.513381035456728E-2</v>
      </c>
      <c r="D10" s="564"/>
      <c r="E10" s="194"/>
      <c r="F10" s="54" t="s">
        <v>1540</v>
      </c>
      <c r="G10" s="560"/>
      <c r="H10" s="54" t="s">
        <v>230</v>
      </c>
    </row>
    <row r="11" spans="1:8">
      <c r="A11" s="106" t="s">
        <v>497</v>
      </c>
      <c r="B11" s="794">
        <v>2.0448149999999998</v>
      </c>
      <c r="C11" s="563">
        <f t="shared" si="0"/>
        <v>5.6174487909962812E-3</v>
      </c>
      <c r="D11" s="564"/>
      <c r="E11" s="565"/>
      <c r="F11" s="54" t="s">
        <v>502</v>
      </c>
      <c r="G11" s="560"/>
      <c r="H11" s="54" t="s">
        <v>230</v>
      </c>
    </row>
    <row r="12" spans="1:8">
      <c r="A12" s="106" t="s">
        <v>498</v>
      </c>
      <c r="B12" s="793">
        <v>5.4315170000000004</v>
      </c>
      <c r="C12" s="488">
        <f t="shared" si="0"/>
        <v>1.4921285595482111E-2</v>
      </c>
      <c r="D12" s="564"/>
      <c r="E12" s="565"/>
      <c r="F12" s="489" t="s">
        <v>233</v>
      </c>
      <c r="G12" s="566"/>
      <c r="H12" s="489" t="s">
        <v>230</v>
      </c>
    </row>
    <row r="13" spans="1:8">
      <c r="A13" s="106" t="s">
        <v>1548</v>
      </c>
      <c r="B13" s="794">
        <v>153.503028</v>
      </c>
      <c r="C13" s="567">
        <f t="shared" si="0"/>
        <v>0.42169849059835163</v>
      </c>
      <c r="D13" s="564" t="s">
        <v>1549</v>
      </c>
      <c r="E13" s="565"/>
      <c r="F13" s="54"/>
      <c r="G13" s="54"/>
      <c r="H13" s="54"/>
    </row>
    <row r="14" spans="1:8">
      <c r="A14" s="568" t="s">
        <v>138</v>
      </c>
      <c r="B14" s="1071">
        <f>SUM(B6,B10:B13)</f>
        <v>364.01132900000005</v>
      </c>
      <c r="C14" s="569">
        <f t="shared" si="0"/>
        <v>1</v>
      </c>
      <c r="D14" s="359"/>
      <c r="E14" s="565"/>
      <c r="F14" s="29"/>
      <c r="G14" s="29"/>
      <c r="H14" s="29"/>
    </row>
    <row r="15" spans="1:8" ht="12.75" customHeight="1">
      <c r="A15" s="570" t="s">
        <v>53</v>
      </c>
      <c r="B15" s="2417">
        <f>Financials!S84-(B14)+(B12/10)</f>
        <v>-3.0000000004826166E-4</v>
      </c>
      <c r="C15" s="487"/>
      <c r="E15" s="565"/>
      <c r="F15" s="29"/>
      <c r="G15" s="29"/>
      <c r="H15" s="29"/>
    </row>
    <row r="16" spans="1:8">
      <c r="A16" s="939" t="s">
        <v>1623</v>
      </c>
      <c r="B16" s="375"/>
      <c r="C16" s="567"/>
      <c r="D16" s="564"/>
      <c r="E16" s="565"/>
      <c r="F16" s="29"/>
      <c r="G16" s="29"/>
      <c r="H16" s="29"/>
    </row>
    <row r="17" spans="1:8" ht="14.25" customHeight="1">
      <c r="B17" s="106"/>
      <c r="C17" s="217"/>
      <c r="F17" s="557" t="s">
        <v>234</v>
      </c>
      <c r="G17" s="558" t="s">
        <v>492</v>
      </c>
      <c r="H17" s="557" t="s">
        <v>494</v>
      </c>
    </row>
    <row r="18" spans="1:8" ht="12.75" customHeight="1">
      <c r="A18" s="2583" t="s">
        <v>1625</v>
      </c>
      <c r="B18" s="2583"/>
      <c r="C18" s="2583"/>
      <c r="D18" s="2583"/>
      <c r="F18" s="54" t="s">
        <v>236</v>
      </c>
      <c r="G18" s="560"/>
      <c r="H18" s="54" t="s">
        <v>235</v>
      </c>
    </row>
    <row r="19" spans="1:8">
      <c r="A19" s="571"/>
      <c r="F19" s="54" t="s">
        <v>237</v>
      </c>
      <c r="G19" s="560"/>
      <c r="H19" s="54" t="s">
        <v>506</v>
      </c>
    </row>
    <row r="20" spans="1:8">
      <c r="A20" s="123"/>
      <c r="B20" s="106"/>
      <c r="C20" s="556"/>
      <c r="F20" s="54" t="s">
        <v>1695</v>
      </c>
      <c r="G20" s="560"/>
      <c r="H20" s="54" t="s">
        <v>1696</v>
      </c>
    </row>
    <row r="21" spans="1:8">
      <c r="A21" s="106"/>
      <c r="B21" s="572"/>
      <c r="C21" s="573"/>
      <c r="F21" s="52" t="s">
        <v>1541</v>
      </c>
      <c r="H21" s="54" t="s">
        <v>509</v>
      </c>
    </row>
    <row r="22" spans="1:8">
      <c r="A22" s="106"/>
      <c r="B22" s="202"/>
      <c r="C22" s="567"/>
      <c r="F22" s="52" t="s">
        <v>1697</v>
      </c>
      <c r="H22" s="54" t="s">
        <v>1005</v>
      </c>
    </row>
    <row r="23" spans="1:8">
      <c r="B23" s="574"/>
      <c r="C23" s="575"/>
      <c r="F23" s="54" t="s">
        <v>542</v>
      </c>
      <c r="G23" s="560">
        <v>41851</v>
      </c>
      <c r="H23" s="54" t="s">
        <v>507</v>
      </c>
    </row>
    <row r="24" spans="1:8">
      <c r="B24" s="574"/>
      <c r="C24" s="575"/>
      <c r="F24" s="54" t="s">
        <v>238</v>
      </c>
      <c r="G24" s="560">
        <v>40389</v>
      </c>
      <c r="H24" s="54" t="s">
        <v>510</v>
      </c>
    </row>
    <row r="25" spans="1:8">
      <c r="B25" s="574"/>
      <c r="C25" s="575"/>
      <c r="F25" s="54" t="s">
        <v>767</v>
      </c>
      <c r="G25" s="560"/>
      <c r="H25" s="54" t="s">
        <v>508</v>
      </c>
    </row>
    <row r="31" spans="1:8">
      <c r="F31" s="14" t="s">
        <v>1626</v>
      </c>
    </row>
    <row r="40" spans="1:55">
      <c r="E40" s="61"/>
    </row>
    <row r="41" spans="1:55">
      <c r="A41" s="106"/>
      <c r="B41" s="106"/>
      <c r="C41" s="106"/>
      <c r="D41" s="106"/>
      <c r="E41" s="106"/>
      <c r="F41" s="106"/>
      <c r="G41" s="106"/>
      <c r="H41" s="106"/>
    </row>
    <row r="42" spans="1:55">
      <c r="A42" s="106"/>
      <c r="B42" s="106"/>
      <c r="C42" s="106"/>
      <c r="D42" s="106"/>
      <c r="E42" s="106"/>
      <c r="F42" s="106"/>
      <c r="G42" s="106"/>
      <c r="H42" s="106"/>
    </row>
    <row r="43" spans="1:55">
      <c r="A43" s="106"/>
      <c r="B43" s="106"/>
      <c r="C43" s="106"/>
      <c r="D43" s="106"/>
      <c r="E43" s="106"/>
      <c r="F43" s="106"/>
      <c r="G43" s="106"/>
      <c r="H43" s="106"/>
    </row>
    <row r="44" spans="1:55">
      <c r="A44" s="106"/>
      <c r="B44" s="106"/>
      <c r="C44" s="106"/>
      <c r="D44" s="106"/>
      <c r="E44" s="106"/>
      <c r="F44" s="106"/>
      <c r="G44" s="106"/>
      <c r="H44" s="106"/>
    </row>
    <row r="45" spans="1:55">
      <c r="A45" s="106"/>
      <c r="B45" s="106"/>
      <c r="C45" s="106"/>
      <c r="D45" s="106"/>
      <c r="E45" s="106"/>
      <c r="F45" s="106"/>
      <c r="G45" s="106"/>
      <c r="H45" s="106"/>
    </row>
    <row r="46" spans="1:55" s="1401" customFormat="1">
      <c r="A46" s="106"/>
      <c r="B46" s="106"/>
      <c r="C46" s="106"/>
      <c r="D46" s="106"/>
      <c r="E46" s="106"/>
      <c r="F46" s="106"/>
      <c r="G46" s="106"/>
      <c r="H46" s="106"/>
    </row>
    <row r="47" spans="1:55">
      <c r="A47" s="939" t="s">
        <v>1624</v>
      </c>
      <c r="B47" s="106"/>
      <c r="C47" s="106"/>
      <c r="D47" s="106"/>
      <c r="E47" s="106"/>
      <c r="F47" s="106"/>
      <c r="G47" s="106"/>
      <c r="H47" s="106"/>
    </row>
    <row r="48" spans="1:55">
      <c r="A48" s="106"/>
      <c r="B48" s="106"/>
      <c r="C48" s="106"/>
      <c r="D48" s="106"/>
      <c r="E48" s="106"/>
      <c r="F48" s="106"/>
      <c r="G48" s="106"/>
      <c r="H48" s="106"/>
      <c r="I48" s="106"/>
      <c r="J48" s="106"/>
      <c r="K48" s="106"/>
      <c r="L48" s="106"/>
      <c r="M48" s="106"/>
      <c r="N48" s="106"/>
      <c r="O48" s="106"/>
      <c r="P48" s="106"/>
      <c r="Q48" s="106"/>
      <c r="R48" s="106"/>
      <c r="S48" s="106"/>
      <c r="T48" s="106"/>
      <c r="U48" s="106"/>
      <c r="V48" s="106"/>
      <c r="W48" s="106"/>
      <c r="X48" s="106"/>
      <c r="Y48" s="106"/>
      <c r="Z48" s="106"/>
      <c r="AA48" s="106"/>
      <c r="AB48" s="106"/>
      <c r="AC48" s="106"/>
      <c r="AD48" s="381"/>
      <c r="AE48" s="106"/>
      <c r="AF48" s="106"/>
      <c r="AG48" s="106"/>
      <c r="AH48" s="106"/>
      <c r="AI48" s="106"/>
      <c r="AJ48" s="106"/>
      <c r="AK48" s="106"/>
      <c r="AL48" s="106"/>
      <c r="AM48" s="106"/>
      <c r="AN48" s="106"/>
      <c r="AO48" s="106"/>
      <c r="AP48" s="106"/>
      <c r="AQ48" s="106"/>
      <c r="AR48" s="106"/>
      <c r="AS48" s="106"/>
      <c r="AT48" s="106"/>
      <c r="AU48" s="106"/>
      <c r="AV48" s="106"/>
      <c r="AW48" s="106"/>
      <c r="AX48" s="106"/>
      <c r="AY48" s="106"/>
      <c r="AZ48" s="106"/>
      <c r="BA48" s="106"/>
      <c r="BB48" s="106"/>
      <c r="BC48" s="106"/>
    </row>
    <row r="49" spans="1:55">
      <c r="A49" s="221" t="s">
        <v>201</v>
      </c>
      <c r="B49" s="221"/>
      <c r="C49" s="221"/>
      <c r="D49" s="222"/>
      <c r="E49" s="222"/>
      <c r="F49" s="222"/>
      <c r="G49" s="222"/>
      <c r="H49" s="222"/>
      <c r="I49" s="222"/>
      <c r="J49" s="222"/>
      <c r="K49" s="222"/>
      <c r="L49" s="222"/>
      <c r="M49" s="222"/>
      <c r="N49" s="222"/>
      <c r="O49" s="222"/>
      <c r="P49" s="222"/>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c r="AQ49" s="222"/>
      <c r="AR49" s="222"/>
      <c r="AS49" s="222"/>
      <c r="AT49" s="222"/>
      <c r="AU49" s="222"/>
      <c r="AV49" s="222"/>
      <c r="AW49" s="222"/>
      <c r="AX49" s="222"/>
      <c r="AY49" s="222"/>
      <c r="AZ49" s="222"/>
      <c r="BA49" s="222"/>
      <c r="BB49" s="222"/>
      <c r="BC49" s="668"/>
    </row>
    <row r="52" spans="1:55">
      <c r="A52" s="1351"/>
    </row>
  </sheetData>
  <mergeCells count="2">
    <mergeCell ref="C4:D4"/>
    <mergeCell ref="A18:D18"/>
  </mergeCells>
  <conditionalFormatting sqref="B15">
    <cfRule type="expression" dxfId="3" priority="1" stopIfTrue="1">
      <formula>"&lt;0.5"</formula>
    </cfRule>
    <cfRule type="expression" dxfId="2" priority="2" stopIfTrue="1">
      <formula>0</formula>
    </cfRule>
    <cfRule type="expression" dxfId="1" priority="3" stopIfTrue="1">
      <formula>0</formula>
    </cfRule>
    <cfRule type="cellIs" dxfId="0" priority="4" stopIfTrue="1" operator="greaterThan">
      <formula>1</formula>
    </cfRule>
  </conditionalFormatting>
  <hyperlinks>
    <hyperlink ref="F3" r:id="rId1"/>
  </hyperlinks>
  <pageMargins left="0.7" right="0.7" top="0.75" bottom="0.75" header="0.3" footer="0.3"/>
  <pageSetup scale="67" orientation="landscape" r:id="rId2"/>
  <headerFooter alignWithMargins="0"/>
  <drawing r:id="rId3"/>
  <legacyDrawing r:id="rId4"/>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DA23"/>
  <sheetViews>
    <sheetView showGridLines="0" workbookViewId="0">
      <pane xSplit="1" ySplit="5" topLeftCell="B6" activePane="bottomRight" state="frozen"/>
      <selection activeCell="AC362" sqref="AC362"/>
      <selection pane="topRight" activeCell="AC362" sqref="AC362"/>
      <selection pane="bottomLeft" activeCell="AC362" sqref="AC362"/>
      <selection pane="bottomRight"/>
    </sheetView>
  </sheetViews>
  <sheetFormatPr defaultColWidth="21" defaultRowHeight="11.25"/>
  <cols>
    <col min="1" max="1" width="22.7109375" style="52" customWidth="1"/>
    <col min="2" max="15" width="10.5703125" style="52" customWidth="1"/>
    <col min="16" max="18" width="10.5703125" style="1401" customWidth="1"/>
    <col min="19" max="72" width="10.5703125" style="52" customWidth="1"/>
    <col min="73" max="77" width="10.5703125" style="1401" customWidth="1"/>
    <col min="78" max="157" width="10.5703125" style="52" customWidth="1"/>
    <col min="158" max="16384" width="21" style="52"/>
  </cols>
  <sheetData>
    <row r="1" spans="1:104" s="106" customFormat="1" ht="18">
      <c r="A1" s="25" t="str">
        <f>Index!B1</f>
        <v>São Martinho</v>
      </c>
      <c r="B1" s="328"/>
      <c r="C1" s="439"/>
      <c r="D1" s="439"/>
      <c r="E1" s="439"/>
      <c r="F1" s="439"/>
      <c r="G1" s="439"/>
      <c r="H1" s="439"/>
      <c r="I1" s="439"/>
      <c r="J1" s="439"/>
      <c r="K1" s="439"/>
      <c r="L1" s="439"/>
      <c r="M1" s="439"/>
      <c r="N1" s="439"/>
      <c r="O1" s="439"/>
      <c r="P1" s="439"/>
      <c r="Q1" s="439"/>
      <c r="R1" s="439"/>
      <c r="S1" s="439"/>
      <c r="T1" s="439"/>
      <c r="U1" s="439"/>
      <c r="V1" s="439"/>
      <c r="W1" s="439"/>
      <c r="X1" s="439"/>
      <c r="Y1" s="439"/>
      <c r="Z1" s="439"/>
      <c r="AA1" s="439"/>
      <c r="AB1" s="439"/>
      <c r="AC1" s="439"/>
      <c r="AD1" s="439"/>
      <c r="AE1" s="439"/>
      <c r="AF1" s="439"/>
      <c r="AG1" s="439"/>
      <c r="AH1" s="439"/>
      <c r="AI1" s="439"/>
      <c r="AJ1" s="439"/>
      <c r="AK1" s="439"/>
      <c r="AL1" s="439"/>
      <c r="AM1" s="439"/>
      <c r="AN1" s="439"/>
      <c r="AO1" s="439"/>
      <c r="AP1" s="439"/>
      <c r="AQ1" s="439"/>
      <c r="AR1" s="439"/>
      <c r="AS1" s="439"/>
      <c r="AT1" s="439"/>
      <c r="AU1" s="439"/>
      <c r="AV1" s="439"/>
      <c r="AW1" s="439"/>
      <c r="AX1" s="439"/>
      <c r="AY1" s="439"/>
      <c r="AZ1" s="439"/>
      <c r="BA1" s="439"/>
      <c r="BB1" s="439"/>
      <c r="BC1" s="439"/>
      <c r="BD1" s="439"/>
      <c r="BE1" s="439"/>
      <c r="BF1" s="439"/>
      <c r="BG1" s="439"/>
      <c r="BH1" s="439"/>
      <c r="BI1" s="439"/>
      <c r="BJ1" s="439"/>
      <c r="BK1" s="439"/>
      <c r="BL1" s="439"/>
      <c r="BM1" s="439"/>
      <c r="BN1" s="439"/>
      <c r="BO1" s="439"/>
      <c r="BP1" s="439"/>
      <c r="BQ1" s="439"/>
      <c r="BR1" s="439"/>
      <c r="BS1" s="439"/>
      <c r="BT1" s="439"/>
      <c r="BU1" s="439"/>
      <c r="BV1" s="439"/>
      <c r="BW1" s="439"/>
      <c r="BX1" s="439"/>
      <c r="BY1" s="439"/>
      <c r="BZ1" s="439"/>
      <c r="CA1" s="439"/>
      <c r="CB1" s="439"/>
      <c r="CC1" s="439"/>
      <c r="CD1" s="439"/>
      <c r="CE1" s="439"/>
      <c r="CF1" s="439"/>
      <c r="CG1" s="439"/>
      <c r="CH1" s="439"/>
      <c r="CI1" s="439"/>
      <c r="CJ1" s="439"/>
      <c r="CK1" s="439"/>
      <c r="CL1" s="439"/>
      <c r="CM1" s="439"/>
      <c r="CN1" s="439"/>
      <c r="CO1" s="439"/>
      <c r="CP1" s="439"/>
      <c r="CQ1" s="439"/>
      <c r="CR1" s="439"/>
      <c r="CS1" s="439"/>
      <c r="CT1" s="439"/>
      <c r="CU1" s="347"/>
      <c r="CV1" s="347"/>
      <c r="CW1" s="646"/>
      <c r="CX1" s="646"/>
      <c r="CY1" s="646"/>
      <c r="CZ1" s="646"/>
    </row>
    <row r="2" spans="1:104" ht="12.75">
      <c r="A2" s="599" t="s">
        <v>771</v>
      </c>
      <c r="B2" s="439"/>
      <c r="C2" s="439"/>
      <c r="D2" s="439"/>
      <c r="E2" s="439"/>
      <c r="F2" s="439"/>
      <c r="G2" s="439"/>
      <c r="H2" s="439"/>
      <c r="I2" s="439"/>
      <c r="J2" s="439"/>
      <c r="K2" s="439"/>
      <c r="L2" s="439"/>
      <c r="M2" s="439"/>
      <c r="N2" s="439"/>
      <c r="O2" s="439"/>
      <c r="P2" s="439"/>
      <c r="Q2" s="439"/>
      <c r="R2" s="439"/>
      <c r="S2" s="439"/>
      <c r="T2" s="439"/>
      <c r="U2" s="439"/>
      <c r="V2" s="439"/>
      <c r="W2" s="439"/>
      <c r="X2" s="439"/>
      <c r="Y2" s="439"/>
      <c r="Z2" s="439"/>
      <c r="AA2" s="439"/>
      <c r="AB2" s="439"/>
      <c r="AC2" s="439"/>
      <c r="AD2" s="439"/>
      <c r="AE2" s="439"/>
      <c r="AF2" s="439"/>
      <c r="AG2" s="439"/>
      <c r="AH2" s="439"/>
      <c r="AI2" s="439"/>
      <c r="AJ2" s="439"/>
      <c r="AK2" s="439"/>
      <c r="AL2" s="439"/>
      <c r="AM2" s="439"/>
      <c r="AN2" s="439"/>
      <c r="AO2" s="439"/>
      <c r="AP2" s="439"/>
      <c r="AQ2" s="439"/>
      <c r="AR2" s="439"/>
      <c r="AS2" s="439"/>
      <c r="AT2" s="439"/>
      <c r="AU2" s="439"/>
      <c r="AV2" s="439"/>
      <c r="AW2" s="439"/>
      <c r="AX2" s="439"/>
      <c r="AY2" s="439"/>
      <c r="AZ2" s="439"/>
      <c r="BA2" s="439"/>
      <c r="BB2" s="439"/>
      <c r="BC2" s="439"/>
      <c r="BD2" s="439"/>
      <c r="BE2" s="439"/>
      <c r="BF2" s="439"/>
      <c r="BG2" s="439"/>
      <c r="BH2" s="439"/>
      <c r="BI2" s="439"/>
      <c r="BJ2" s="439"/>
      <c r="BK2" s="439"/>
      <c r="BL2" s="439"/>
      <c r="BM2" s="439"/>
      <c r="BN2" s="439"/>
      <c r="BO2" s="439"/>
      <c r="BP2" s="439"/>
      <c r="BQ2" s="439"/>
      <c r="BR2" s="439"/>
      <c r="BS2" s="439"/>
      <c r="BT2" s="439"/>
      <c r="BU2" s="439"/>
      <c r="BV2" s="439"/>
      <c r="BW2" s="439"/>
      <c r="BX2" s="439"/>
      <c r="BY2" s="439"/>
      <c r="BZ2" s="439"/>
      <c r="CA2" s="439"/>
      <c r="CB2" s="439"/>
      <c r="CC2" s="439"/>
      <c r="CD2" s="439"/>
      <c r="CE2" s="439"/>
      <c r="CF2" s="439"/>
      <c r="CG2" s="439"/>
      <c r="CH2" s="439"/>
      <c r="CI2" s="439"/>
      <c r="CJ2" s="439"/>
      <c r="CK2" s="439"/>
      <c r="CL2" s="439"/>
      <c r="CM2" s="439"/>
      <c r="CN2" s="439"/>
      <c r="CO2" s="439"/>
      <c r="CP2" s="439"/>
      <c r="CQ2" s="439"/>
      <c r="CR2" s="439"/>
      <c r="CS2" s="439"/>
      <c r="CT2" s="347"/>
      <c r="CU2" s="347"/>
      <c r="CV2" s="440" t="s">
        <v>27</v>
      </c>
      <c r="CW2" s="646"/>
      <c r="CX2" s="646"/>
      <c r="CY2" s="646"/>
      <c r="CZ2" s="646"/>
    </row>
    <row r="3" spans="1:104" ht="12.75">
      <c r="A3" s="576"/>
      <c r="B3" s="1604" t="s">
        <v>971</v>
      </c>
      <c r="C3" s="867"/>
      <c r="D3" s="868"/>
      <c r="E3" s="868"/>
      <c r="F3" s="868"/>
      <c r="G3" s="868"/>
      <c r="H3" s="868"/>
      <c r="I3" s="868"/>
      <c r="J3" s="868"/>
      <c r="K3" s="868"/>
      <c r="L3" s="868"/>
      <c r="M3" s="868"/>
      <c r="N3" s="868"/>
      <c r="O3" s="868"/>
      <c r="P3" s="868"/>
      <c r="Q3" s="868"/>
      <c r="R3" s="577"/>
      <c r="S3" s="577"/>
      <c r="T3" s="577"/>
      <c r="Y3" s="577"/>
      <c r="Z3" s="577"/>
      <c r="AA3" s="577"/>
      <c r="AB3" s="577"/>
      <c r="AC3" s="577"/>
      <c r="AD3" s="577"/>
      <c r="AE3" s="577"/>
      <c r="AF3" s="577"/>
      <c r="AG3" s="577"/>
      <c r="AH3" s="577"/>
      <c r="AI3" s="577"/>
      <c r="AJ3" s="577"/>
      <c r="AK3" s="577"/>
      <c r="AL3" s="577"/>
      <c r="AM3" s="577"/>
      <c r="AN3" s="577"/>
      <c r="AO3" s="577"/>
      <c r="AP3" s="577"/>
      <c r="AQ3" s="577"/>
      <c r="AR3" s="577"/>
      <c r="AS3" s="577"/>
      <c r="AT3" s="577"/>
      <c r="AU3" s="577"/>
      <c r="AV3" s="577"/>
      <c r="AW3" s="577"/>
      <c r="AX3" s="577"/>
      <c r="AY3" s="577"/>
      <c r="AZ3" s="577"/>
      <c r="BA3" s="577"/>
      <c r="BB3" s="577"/>
      <c r="BC3" s="577"/>
      <c r="BD3" s="577"/>
      <c r="BE3" s="577"/>
      <c r="BF3" s="577"/>
      <c r="BG3" s="577"/>
      <c r="BH3" s="577"/>
      <c r="BI3" s="577"/>
      <c r="BJ3" s="577"/>
      <c r="BK3" s="577"/>
      <c r="BL3" s="577"/>
      <c r="BM3" s="577"/>
      <c r="BN3" s="577"/>
      <c r="BO3" s="577"/>
      <c r="BP3" s="577"/>
      <c r="BQ3" s="577"/>
      <c r="BR3" s="577"/>
      <c r="BS3" s="577"/>
      <c r="BT3" s="577"/>
      <c r="BU3" s="577"/>
      <c r="BV3" s="577"/>
      <c r="BW3" s="577"/>
      <c r="BX3" s="577"/>
      <c r="BY3" s="577"/>
      <c r="BZ3" s="577"/>
      <c r="CA3" s="577"/>
      <c r="CB3" s="577"/>
      <c r="CC3" s="577"/>
      <c r="CD3" s="577"/>
      <c r="CE3" s="577"/>
      <c r="CF3" s="577"/>
      <c r="CG3" s="577"/>
      <c r="CH3" s="577"/>
      <c r="CI3" s="577"/>
      <c r="CJ3" s="577"/>
      <c r="CK3" s="577"/>
      <c r="CL3" s="577"/>
      <c r="CM3" s="577"/>
      <c r="CN3" s="577"/>
    </row>
    <row r="4" spans="1:104" s="54" customFormat="1">
      <c r="A4" s="855"/>
      <c r="B4" s="856">
        <v>36981</v>
      </c>
      <c r="C4" s="856">
        <v>37346</v>
      </c>
      <c r="D4" s="856">
        <v>37711</v>
      </c>
      <c r="E4" s="856">
        <v>38077</v>
      </c>
      <c r="F4" s="856">
        <v>38442</v>
      </c>
      <c r="G4" s="856">
        <v>38807</v>
      </c>
      <c r="H4" s="856">
        <v>39172</v>
      </c>
      <c r="I4" s="856">
        <v>39538</v>
      </c>
      <c r="J4" s="856">
        <v>39903</v>
      </c>
      <c r="K4" s="856">
        <v>40268</v>
      </c>
      <c r="L4" s="856">
        <v>40633</v>
      </c>
      <c r="M4" s="856">
        <v>40999</v>
      </c>
      <c r="N4" s="856">
        <v>41364</v>
      </c>
      <c r="O4" s="856">
        <v>41729</v>
      </c>
      <c r="P4" s="856">
        <v>42094</v>
      </c>
      <c r="Q4" s="856">
        <v>42460</v>
      </c>
      <c r="R4" s="856">
        <v>42825</v>
      </c>
      <c r="S4" s="1702">
        <v>43190</v>
      </c>
      <c r="T4" s="1702">
        <v>43555</v>
      </c>
      <c r="U4" s="1702">
        <v>43921</v>
      </c>
      <c r="V4" s="1702">
        <v>44286</v>
      </c>
      <c r="W4" s="1702">
        <v>44651</v>
      </c>
      <c r="X4" s="1702">
        <v>45016</v>
      </c>
      <c r="Y4" s="1702">
        <v>45382</v>
      </c>
      <c r="Z4" s="1702">
        <v>45747</v>
      </c>
      <c r="AA4" s="580"/>
      <c r="AB4" s="580"/>
      <c r="AC4" s="580"/>
      <c r="AD4" s="580"/>
      <c r="AE4" s="580"/>
      <c r="AF4" s="580"/>
      <c r="AG4" s="580"/>
      <c r="AH4" s="580"/>
      <c r="AI4" s="580"/>
      <c r="AJ4" s="580"/>
      <c r="AK4" s="580"/>
      <c r="AL4" s="580"/>
      <c r="AM4" s="580"/>
      <c r="AN4" s="580"/>
      <c r="AO4" s="580"/>
      <c r="AP4" s="580"/>
      <c r="AQ4" s="580"/>
      <c r="AR4" s="580"/>
      <c r="AS4" s="580"/>
      <c r="AT4" s="580"/>
      <c r="AU4" s="580"/>
      <c r="AV4" s="580"/>
      <c r="AW4" s="580"/>
      <c r="AX4" s="580"/>
      <c r="AY4" s="580"/>
      <c r="AZ4" s="580"/>
      <c r="BA4" s="580"/>
      <c r="BB4" s="580"/>
      <c r="BC4" s="580"/>
      <c r="BD4" s="580"/>
      <c r="BE4" s="580"/>
      <c r="BF4" s="580"/>
      <c r="BG4" s="580"/>
      <c r="BH4" s="580"/>
      <c r="BI4" s="580"/>
      <c r="BJ4" s="580"/>
      <c r="BK4" s="580"/>
      <c r="BL4" s="580"/>
      <c r="BM4" s="580"/>
      <c r="BN4" s="580"/>
      <c r="BO4" s="580"/>
      <c r="BP4" s="580"/>
      <c r="BQ4" s="580"/>
      <c r="BR4" s="580"/>
      <c r="BS4" s="580"/>
      <c r="BT4" s="580"/>
      <c r="BU4" s="580"/>
      <c r="BV4" s="580"/>
      <c r="BW4" s="580"/>
      <c r="BX4" s="580"/>
      <c r="BY4" s="580"/>
      <c r="BZ4" s="580"/>
      <c r="CA4" s="580"/>
      <c r="CB4" s="580"/>
      <c r="CC4" s="580"/>
      <c r="CD4" s="580"/>
      <c r="CE4" s="580"/>
      <c r="CF4" s="580"/>
      <c r="CG4" s="580"/>
      <c r="CH4" s="580"/>
      <c r="CI4" s="580"/>
      <c r="CJ4" s="580"/>
      <c r="CK4" s="580"/>
      <c r="CL4" s="580"/>
      <c r="CM4" s="580"/>
      <c r="CN4" s="580"/>
      <c r="CO4" s="580"/>
      <c r="CP4" s="580"/>
      <c r="CQ4" s="580"/>
      <c r="CR4" s="580"/>
      <c r="CS4" s="217"/>
      <c r="CT4" s="596"/>
      <c r="CU4" s="596"/>
      <c r="CV4" s="596"/>
      <c r="CW4" s="596"/>
      <c r="CX4" s="596"/>
      <c r="CY4" s="596"/>
      <c r="CZ4" s="596"/>
    </row>
    <row r="5" spans="1:104" ht="11.25" customHeight="1">
      <c r="A5" s="644" t="s">
        <v>1364</v>
      </c>
      <c r="B5" s="645">
        <v>2001</v>
      </c>
      <c r="C5" s="645">
        <v>2002</v>
      </c>
      <c r="D5" s="645">
        <v>2003</v>
      </c>
      <c r="E5" s="645">
        <v>2004</v>
      </c>
      <c r="F5" s="645">
        <v>2005</v>
      </c>
      <c r="G5" s="645">
        <v>2006</v>
      </c>
      <c r="H5" s="645">
        <v>2007</v>
      </c>
      <c r="I5" s="645">
        <v>2008</v>
      </c>
      <c r="J5" s="645">
        <v>2009</v>
      </c>
      <c r="K5" s="645">
        <v>2010</v>
      </c>
      <c r="L5" s="645">
        <v>2011</v>
      </c>
      <c r="M5" s="645">
        <v>2012</v>
      </c>
      <c r="N5" s="645">
        <v>2013</v>
      </c>
      <c r="O5" s="645">
        <v>2014</v>
      </c>
      <c r="P5" s="645">
        <v>2015</v>
      </c>
      <c r="Q5" s="645">
        <v>2016</v>
      </c>
      <c r="R5" s="645">
        <v>2017</v>
      </c>
      <c r="S5" s="1703">
        <v>2018</v>
      </c>
      <c r="T5" s="1703">
        <v>2019</v>
      </c>
      <c r="U5" s="1703">
        <v>2020</v>
      </c>
      <c r="V5" s="1703">
        <v>2021</v>
      </c>
      <c r="W5" s="1703">
        <v>2022</v>
      </c>
      <c r="X5" s="1703">
        <v>2023</v>
      </c>
      <c r="Y5" s="1703">
        <v>2024</v>
      </c>
      <c r="Z5" s="1703">
        <v>2025</v>
      </c>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238"/>
      <c r="AZ5" s="238"/>
      <c r="BA5" s="238"/>
      <c r="BB5" s="238"/>
      <c r="BC5" s="238"/>
      <c r="BD5" s="238"/>
      <c r="BE5" s="238"/>
      <c r="BF5" s="238"/>
      <c r="BG5" s="238"/>
      <c r="BH5" s="238"/>
      <c r="BI5" s="238"/>
      <c r="BJ5" s="238"/>
      <c r="BK5" s="238"/>
      <c r="BL5" s="238"/>
      <c r="BM5" s="238"/>
      <c r="BN5" s="238"/>
      <c r="BO5" s="238"/>
      <c r="BP5" s="238"/>
      <c r="BQ5" s="238"/>
      <c r="BR5" s="238"/>
      <c r="BS5" s="238"/>
      <c r="BT5" s="238"/>
      <c r="BU5" s="238"/>
      <c r="BV5" s="238"/>
      <c r="BW5" s="238"/>
      <c r="BX5" s="238"/>
      <c r="BY5" s="238"/>
      <c r="BZ5" s="238"/>
      <c r="CA5" s="238"/>
      <c r="CB5" s="238"/>
      <c r="CC5" s="238"/>
      <c r="CD5" s="238"/>
      <c r="CE5" s="238"/>
      <c r="CF5" s="238"/>
      <c r="CG5" s="238"/>
      <c r="CH5" s="238"/>
      <c r="CI5" s="238"/>
      <c r="CJ5" s="238"/>
      <c r="CK5" s="238"/>
      <c r="CL5" s="238"/>
      <c r="CM5" s="238"/>
      <c r="CN5" s="238"/>
      <c r="CO5" s="238"/>
      <c r="CP5" s="238"/>
      <c r="CQ5" s="238"/>
      <c r="CR5" s="238"/>
      <c r="CS5" s="238"/>
      <c r="CW5" s="579"/>
      <c r="CX5" s="579"/>
      <c r="CY5" s="579"/>
      <c r="CZ5" s="579"/>
    </row>
    <row r="13" spans="1:104">
      <c r="A13" s="586"/>
      <c r="B13" s="580"/>
      <c r="C13" s="580"/>
      <c r="D13" s="580"/>
      <c r="E13" s="580"/>
      <c r="F13" s="580"/>
      <c r="G13" s="580"/>
      <c r="H13" s="591"/>
      <c r="I13" s="591"/>
      <c r="J13" s="591"/>
      <c r="K13" s="591"/>
      <c r="L13" s="591"/>
      <c r="M13" s="591"/>
      <c r="N13" s="593"/>
      <c r="O13" s="593"/>
      <c r="P13" s="593"/>
      <c r="Q13" s="593"/>
      <c r="R13" s="593"/>
      <c r="S13" s="594"/>
      <c r="T13" s="594"/>
      <c r="U13" s="594"/>
      <c r="V13" s="594"/>
      <c r="W13" s="594"/>
      <c r="CW13" s="594"/>
      <c r="CX13" s="594"/>
      <c r="CY13" s="594"/>
      <c r="CZ13" s="594"/>
    </row>
    <row r="14" spans="1:104">
      <c r="A14" s="1651" t="s">
        <v>1365</v>
      </c>
      <c r="B14" s="1842">
        <v>37711</v>
      </c>
      <c r="C14" s="1842">
        <v>37802</v>
      </c>
      <c r="D14" s="1842">
        <v>37894</v>
      </c>
      <c r="E14" s="1842">
        <v>37986</v>
      </c>
      <c r="F14" s="1842">
        <v>38077</v>
      </c>
      <c r="G14" s="1842">
        <v>38168</v>
      </c>
      <c r="H14" s="1842">
        <v>38260</v>
      </c>
      <c r="I14" s="1842">
        <v>38352</v>
      </c>
      <c r="J14" s="1842">
        <v>38442</v>
      </c>
      <c r="K14" s="1842">
        <v>38533</v>
      </c>
      <c r="L14" s="1842">
        <v>38625</v>
      </c>
      <c r="M14" s="1842">
        <v>38717</v>
      </c>
      <c r="N14" s="1842">
        <v>38807</v>
      </c>
      <c r="O14" s="1842">
        <v>38898</v>
      </c>
      <c r="P14" s="1842">
        <v>38990</v>
      </c>
      <c r="Q14" s="1842">
        <v>39082</v>
      </c>
      <c r="R14" s="1842">
        <v>39172</v>
      </c>
      <c r="S14" s="1842">
        <v>39263</v>
      </c>
      <c r="T14" s="1842">
        <v>39355</v>
      </c>
      <c r="U14" s="1842">
        <v>39447</v>
      </c>
      <c r="V14" s="1842">
        <v>39538</v>
      </c>
      <c r="W14" s="1842">
        <v>39629</v>
      </c>
      <c r="X14" s="1842">
        <v>39721</v>
      </c>
      <c r="Y14" s="1842">
        <v>39813</v>
      </c>
      <c r="Z14" s="1842">
        <v>39903</v>
      </c>
      <c r="AA14" s="1842">
        <v>39994</v>
      </c>
      <c r="AB14" s="1842">
        <v>40086</v>
      </c>
      <c r="AC14" s="1842">
        <v>40178</v>
      </c>
      <c r="AD14" s="1842">
        <v>40268</v>
      </c>
      <c r="AE14" s="1842">
        <v>40359</v>
      </c>
      <c r="AF14" s="1842">
        <v>40451</v>
      </c>
      <c r="AG14" s="1842">
        <v>40543</v>
      </c>
      <c r="AH14" s="1842">
        <v>40633</v>
      </c>
      <c r="AI14" s="1842">
        <v>40724</v>
      </c>
      <c r="AJ14" s="1842">
        <v>40816</v>
      </c>
      <c r="AK14" s="1842">
        <v>40908</v>
      </c>
      <c r="AL14" s="1842">
        <v>40999</v>
      </c>
      <c r="AM14" s="1842">
        <v>41090</v>
      </c>
      <c r="AN14" s="1842">
        <v>41182</v>
      </c>
      <c r="AO14" s="1842">
        <v>41274</v>
      </c>
      <c r="AP14" s="1842">
        <v>41364</v>
      </c>
      <c r="AQ14" s="1842">
        <v>41455</v>
      </c>
      <c r="AR14" s="1842">
        <v>41547</v>
      </c>
      <c r="AS14" s="1842">
        <v>41639</v>
      </c>
      <c r="AT14" s="1842">
        <v>41729</v>
      </c>
      <c r="AU14" s="1842">
        <v>41820</v>
      </c>
      <c r="AV14" s="1842">
        <v>41912</v>
      </c>
      <c r="AW14" s="1842">
        <v>42004</v>
      </c>
      <c r="AX14" s="1842">
        <v>42094</v>
      </c>
      <c r="AY14" s="1842">
        <v>42185</v>
      </c>
      <c r="AZ14" s="1842">
        <v>42277</v>
      </c>
      <c r="BA14" s="1842">
        <v>42369</v>
      </c>
      <c r="BB14" s="1842">
        <v>42460</v>
      </c>
      <c r="BC14" s="1842">
        <v>42551</v>
      </c>
      <c r="BD14" s="1842">
        <v>42643</v>
      </c>
      <c r="BE14" s="1842">
        <v>42735</v>
      </c>
      <c r="BF14" s="1842">
        <v>42825</v>
      </c>
      <c r="BG14" s="2116">
        <v>42916</v>
      </c>
      <c r="BH14" s="1843">
        <v>43008</v>
      </c>
      <c r="BI14" s="1843">
        <v>43100</v>
      </c>
      <c r="BJ14" s="1843">
        <v>43190</v>
      </c>
      <c r="BK14" s="1843">
        <v>43281</v>
      </c>
      <c r="BL14" s="1843">
        <v>43373</v>
      </c>
      <c r="BM14" s="1843">
        <v>43465</v>
      </c>
      <c r="BN14" s="1843">
        <v>43555</v>
      </c>
      <c r="BO14" s="1843">
        <v>43646</v>
      </c>
      <c r="BP14" s="1843">
        <v>43738</v>
      </c>
      <c r="BQ14" s="1843">
        <v>43830</v>
      </c>
      <c r="BR14" s="1843">
        <v>43921</v>
      </c>
      <c r="BS14" s="1843">
        <v>44012</v>
      </c>
      <c r="BT14" s="1843">
        <v>44104</v>
      </c>
      <c r="BU14" s="1843">
        <v>44196</v>
      </c>
      <c r="BV14" s="1843">
        <v>44286</v>
      </c>
      <c r="BW14" s="1843">
        <v>44377</v>
      </c>
      <c r="BX14" s="1843">
        <v>44469</v>
      </c>
      <c r="BY14" s="1843">
        <v>44561</v>
      </c>
      <c r="BZ14" s="1843">
        <v>44651</v>
      </c>
      <c r="CA14" s="1843">
        <v>44742</v>
      </c>
      <c r="CB14" s="1843">
        <v>44834</v>
      </c>
      <c r="CC14" s="1843">
        <v>44926</v>
      </c>
      <c r="CD14" s="1843">
        <v>45016</v>
      </c>
      <c r="CE14" s="1843">
        <v>45107</v>
      </c>
      <c r="CF14" s="1843">
        <v>45199</v>
      </c>
      <c r="CG14" s="1843">
        <v>45291</v>
      </c>
      <c r="CH14" s="1843">
        <v>45382</v>
      </c>
      <c r="CI14" s="1843">
        <v>45473</v>
      </c>
      <c r="CJ14" s="1843">
        <v>45565</v>
      </c>
      <c r="CK14" s="1843">
        <v>45657</v>
      </c>
      <c r="CL14" s="1843">
        <v>45747</v>
      </c>
    </row>
    <row r="15" spans="1:104">
      <c r="A15" s="1652" t="s">
        <v>349</v>
      </c>
      <c r="B15" s="583">
        <v>0.16573077989356433</v>
      </c>
      <c r="C15" s="583">
        <v>0.16570561944673701</v>
      </c>
      <c r="D15" s="583">
        <v>0.15143298958300688</v>
      </c>
      <c r="E15" s="583">
        <v>9.3005128004000293E-2</v>
      </c>
      <c r="F15" s="583">
        <v>5.8876469463602144E-2</v>
      </c>
      <c r="G15" s="583">
        <v>6.0591293794219458E-2</v>
      </c>
      <c r="H15" s="583">
        <v>6.7044758512737834E-2</v>
      </c>
      <c r="I15" s="583">
        <v>7.5994958488264208E-2</v>
      </c>
      <c r="J15" s="583">
        <v>7.5358361774743976E-2</v>
      </c>
      <c r="K15" s="583">
        <v>7.2669189390688338E-2</v>
      </c>
      <c r="L15" s="583">
        <v>6.0366014405864199E-2</v>
      </c>
      <c r="M15" s="583">
        <v>5.6892268187350936E-2</v>
      </c>
      <c r="N15" s="583">
        <v>5.3221506468403401E-2</v>
      </c>
      <c r="O15" s="583">
        <v>4.0292078167682321E-2</v>
      </c>
      <c r="P15" s="583">
        <v>3.6971838045705363E-2</v>
      </c>
      <c r="Q15" s="583">
        <v>3.1415161315768714E-2</v>
      </c>
      <c r="R15" s="583">
        <v>2.9570383734539352E-2</v>
      </c>
      <c r="S15" s="583">
        <v>3.6898061288305195E-2</v>
      </c>
      <c r="T15" s="583">
        <v>4.1461877269440395E-2</v>
      </c>
      <c r="U15" s="583">
        <v>4.4576585533737223E-2</v>
      </c>
      <c r="V15" s="583">
        <v>4.7283109506472965E-2</v>
      </c>
      <c r="W15" s="583">
        <v>6.0605833564348233E-2</v>
      </c>
      <c r="X15" s="583">
        <v>6.2505337496890467E-2</v>
      </c>
      <c r="Y15" s="583">
        <v>5.9027243906546456E-2</v>
      </c>
      <c r="Z15" s="583">
        <v>5.6071227660219103E-2</v>
      </c>
      <c r="AA15" s="583">
        <v>4.8015654360756832E-2</v>
      </c>
      <c r="AB15" s="583">
        <v>4.3431007670667876E-2</v>
      </c>
      <c r="AC15" s="583">
        <v>4.31165006256784E-2</v>
      </c>
      <c r="AD15" s="583">
        <v>5.1663633201016301E-2</v>
      </c>
      <c r="AE15" s="583">
        <v>4.8412252276564649E-2</v>
      </c>
      <c r="AF15" s="583">
        <v>4.7046741347975152E-2</v>
      </c>
      <c r="AG15" s="583">
        <v>5.9090683472662553E-2</v>
      </c>
      <c r="AH15" s="583">
        <v>6.298957040321973E-2</v>
      </c>
      <c r="AI15" s="583">
        <v>6.7126008986430952E-2</v>
      </c>
      <c r="AJ15" s="583">
        <v>7.3105884093298767E-2</v>
      </c>
      <c r="AK15" s="583">
        <v>6.5031090406288516E-2</v>
      </c>
      <c r="AL15" s="583">
        <v>5.2399926989787016E-2</v>
      </c>
      <c r="AM15" s="583">
        <v>4.9157699762255147E-2</v>
      </c>
      <c r="AN15" s="583">
        <v>5.2823886312037382E-2</v>
      </c>
      <c r="AO15" s="583">
        <v>5.838568997639193E-2</v>
      </c>
      <c r="AP15" s="583">
        <v>6.5886687801203658E-2</v>
      </c>
      <c r="AQ15" s="583">
        <v>6.6955140446492756E-2</v>
      </c>
      <c r="AR15" s="583">
        <v>5.8585604593711871E-2</v>
      </c>
      <c r="AS15" s="583">
        <v>5.9108180800138355E-2</v>
      </c>
      <c r="AT15" s="583">
        <v>6.2170508406915397E-2</v>
      </c>
      <c r="AU15" s="583">
        <v>6.5232836013692438E-2</v>
      </c>
      <c r="AV15" s="583">
        <v>6.7464743152562512E-2</v>
      </c>
      <c r="AW15" s="583">
        <v>6.4074707959081531E-2</v>
      </c>
      <c r="AX15" s="583">
        <v>8.1285046609104364E-2</v>
      </c>
      <c r="AY15" s="583">
        <v>8.8944299601851212E-2</v>
      </c>
      <c r="AZ15" s="583">
        <v>9.4927892083663187E-2</v>
      </c>
      <c r="BA15" s="583">
        <v>0.10673028133975065</v>
      </c>
      <c r="BB15" s="583">
        <v>9.3863723708620631E-2</v>
      </c>
      <c r="BC15" s="583">
        <v>9.0999999999999998E-2</v>
      </c>
      <c r="BD15" s="583">
        <v>8.6999999999999994E-2</v>
      </c>
      <c r="BE15" s="583">
        <v>7.2999999999999995E-2</v>
      </c>
      <c r="BF15" s="583">
        <v>4.9000000000000002E-2</v>
      </c>
      <c r="BG15" s="2117">
        <v>3.6999999999999998E-2</v>
      </c>
      <c r="BH15" s="584">
        <v>2.9000000000000001E-2</v>
      </c>
      <c r="BI15" s="584">
        <v>3.4000000000000002E-2</v>
      </c>
      <c r="BJ15" s="584">
        <v>0.04</v>
      </c>
      <c r="BK15" s="584">
        <v>4.4999999999999998E-2</v>
      </c>
      <c r="BL15" s="584">
        <v>4.4999999999999998E-2</v>
      </c>
      <c r="BM15" s="584">
        <v>4.4999999999999998E-2</v>
      </c>
      <c r="BN15" s="584">
        <v>4.3999999999999997E-2</v>
      </c>
      <c r="BO15" s="584">
        <v>4.3999999999999997E-2</v>
      </c>
      <c r="BP15" s="584">
        <v>4.3999999999999997E-2</v>
      </c>
      <c r="BQ15" s="584">
        <v>4.3999999999999997E-2</v>
      </c>
      <c r="BR15" s="584">
        <v>4.3999999999999997E-2</v>
      </c>
      <c r="BS15" s="584">
        <v>4.3999999999999997E-2</v>
      </c>
      <c r="BT15" s="584">
        <v>4.3999999999999997E-2</v>
      </c>
      <c r="BU15" s="584">
        <v>4.3999999999999997E-2</v>
      </c>
      <c r="BV15" s="584">
        <v>4.3999999999999997E-2</v>
      </c>
      <c r="BW15" s="584">
        <v>4.3999999999999997E-2</v>
      </c>
      <c r="BX15" s="584">
        <v>4.3999999999999997E-2</v>
      </c>
      <c r="BY15" s="584">
        <v>4.3999999999999997E-2</v>
      </c>
      <c r="BZ15" s="584">
        <v>4.3999999999999997E-2</v>
      </c>
      <c r="CA15" s="584">
        <v>4.3999999999999997E-2</v>
      </c>
      <c r="CB15" s="584">
        <v>4.3999999999999997E-2</v>
      </c>
      <c r="CC15" s="584">
        <v>4.3999999999999997E-2</v>
      </c>
      <c r="CD15" s="584">
        <v>4.3999999999999997E-2</v>
      </c>
      <c r="CE15" s="584">
        <v>4.3999999999999997E-2</v>
      </c>
      <c r="CF15" s="584">
        <v>4.3999999999999997E-2</v>
      </c>
      <c r="CG15" s="584">
        <v>4.3999999999999997E-2</v>
      </c>
      <c r="CH15" s="584">
        <v>4.3999999999999997E-2</v>
      </c>
      <c r="CI15" s="584">
        <v>4.3999999999999997E-2</v>
      </c>
      <c r="CJ15" s="584">
        <v>4.3999999999999997E-2</v>
      </c>
      <c r="CK15" s="584">
        <v>4.3999999999999997E-2</v>
      </c>
      <c r="CL15" s="584">
        <v>4.3999999999999997E-2</v>
      </c>
    </row>
    <row r="16" spans="1:104">
      <c r="A16" s="1653" t="s">
        <v>350</v>
      </c>
      <c r="B16" s="577"/>
      <c r="C16" s="577"/>
      <c r="D16" s="577"/>
      <c r="E16" s="577"/>
      <c r="F16" s="577"/>
      <c r="G16" s="577"/>
      <c r="H16" s="577"/>
      <c r="I16" s="577"/>
      <c r="J16" s="577"/>
      <c r="K16" s="577"/>
      <c r="L16" s="577"/>
      <c r="M16" s="577"/>
      <c r="N16" s="577"/>
      <c r="O16" s="577"/>
      <c r="P16" s="577"/>
      <c r="Q16" s="577"/>
      <c r="R16" s="577"/>
      <c r="S16" s="577"/>
      <c r="T16" s="577"/>
      <c r="U16" s="577"/>
      <c r="V16" s="577"/>
      <c r="W16" s="577"/>
      <c r="X16" s="577"/>
      <c r="Y16" s="577"/>
      <c r="Z16" s="578"/>
      <c r="AA16" s="587"/>
      <c r="AB16" s="587"/>
      <c r="AC16" s="578"/>
      <c r="AD16" s="577"/>
      <c r="AE16" s="577"/>
      <c r="AF16" s="577"/>
      <c r="AG16" s="577"/>
      <c r="AH16" s="577"/>
      <c r="AI16" s="577"/>
      <c r="AJ16" s="577"/>
      <c r="AK16" s="577"/>
      <c r="AL16" s="577"/>
      <c r="AM16" s="577"/>
      <c r="AN16" s="577"/>
      <c r="AO16" s="577"/>
      <c r="AP16" s="577"/>
      <c r="AQ16" s="577"/>
      <c r="AR16" s="577"/>
      <c r="AS16" s="577"/>
      <c r="AT16" s="577"/>
      <c r="AU16" s="577"/>
      <c r="AV16" s="577"/>
      <c r="AW16" s="577"/>
      <c r="AX16" s="577"/>
      <c r="AY16" s="577"/>
      <c r="AZ16" s="577"/>
      <c r="BA16" s="577"/>
      <c r="BB16" s="577"/>
      <c r="BC16" s="577"/>
      <c r="BD16" s="577"/>
      <c r="BE16" s="577"/>
      <c r="BF16" s="577"/>
      <c r="BG16" s="2118"/>
      <c r="BH16" s="585"/>
      <c r="BI16" s="585"/>
      <c r="BJ16" s="585"/>
      <c r="BK16" s="585"/>
      <c r="BL16" s="585"/>
      <c r="BM16" s="585"/>
      <c r="BN16" s="585"/>
      <c r="BO16" s="585"/>
      <c r="BP16" s="585"/>
      <c r="BQ16" s="585"/>
      <c r="BR16" s="585"/>
      <c r="BS16" s="585"/>
      <c r="BT16" s="585"/>
      <c r="BU16" s="585"/>
      <c r="BV16" s="585"/>
      <c r="BW16" s="585"/>
      <c r="BX16" s="585"/>
      <c r="BY16" s="585"/>
      <c r="BZ16" s="585"/>
      <c r="CA16" s="585"/>
      <c r="CB16" s="585"/>
      <c r="CC16" s="585"/>
      <c r="CD16" s="585"/>
      <c r="CE16" s="585"/>
      <c r="CF16" s="585"/>
      <c r="CG16" s="585"/>
      <c r="CH16" s="585"/>
      <c r="CI16" s="585"/>
      <c r="CJ16" s="585"/>
      <c r="CK16" s="585"/>
      <c r="CL16" s="585"/>
    </row>
    <row r="17" spans="1:105">
      <c r="A17" s="582" t="s">
        <v>351</v>
      </c>
      <c r="B17" s="588">
        <v>3.3360000000000003</v>
      </c>
      <c r="C17" s="588">
        <v>2.8690000000000002</v>
      </c>
      <c r="D17" s="588">
        <v>2.9275000000000002</v>
      </c>
      <c r="E17" s="588">
        <v>2.8849999999999998</v>
      </c>
      <c r="F17" s="588">
        <v>2.915</v>
      </c>
      <c r="G17" s="588">
        <v>3.0970000000000004</v>
      </c>
      <c r="H17" s="588">
        <v>2.8590000000000004</v>
      </c>
      <c r="I17" s="588">
        <v>2.6560000000000001</v>
      </c>
      <c r="J17" s="588">
        <v>2.6585000000000001</v>
      </c>
      <c r="K17" s="588">
        <v>2.3615000000000004</v>
      </c>
      <c r="L17" s="588">
        <v>2.2216500000000003</v>
      </c>
      <c r="M17" s="588">
        <v>2.3355000000000001</v>
      </c>
      <c r="N17" s="588">
        <v>2.1706000000000003</v>
      </c>
      <c r="O17" s="588">
        <v>2.16425</v>
      </c>
      <c r="P17" s="588">
        <v>2.1710000000000003</v>
      </c>
      <c r="Q17" s="588">
        <v>2.1349999999999998</v>
      </c>
      <c r="R17" s="588">
        <v>2.0460000000000003</v>
      </c>
      <c r="S17" s="588">
        <v>1.9260000000000002</v>
      </c>
      <c r="T17" s="588">
        <v>1.84</v>
      </c>
      <c r="U17" s="588">
        <v>1.78</v>
      </c>
      <c r="V17" s="588">
        <v>1.7519</v>
      </c>
      <c r="W17" s="588">
        <v>1.6036999999999999</v>
      </c>
      <c r="X17" s="588">
        <v>1.9046000000000001</v>
      </c>
      <c r="Y17" s="588">
        <v>2.3144999999999998</v>
      </c>
      <c r="Z17" s="588">
        <v>2.3228</v>
      </c>
      <c r="AA17" s="588">
        <v>1.9518</v>
      </c>
      <c r="AB17" s="588">
        <v>1.7669999999999999</v>
      </c>
      <c r="AC17" s="588">
        <v>1.7444999999999999</v>
      </c>
      <c r="AD17" s="588">
        <v>1.7806</v>
      </c>
      <c r="AE17" s="588">
        <v>1.8010999999999999</v>
      </c>
      <c r="AF17" s="588">
        <v>1.6938</v>
      </c>
      <c r="AG17" s="588">
        <v>1.6657999999999999</v>
      </c>
      <c r="AH17" s="588">
        <v>1.6282999999999999</v>
      </c>
      <c r="AI17" s="588">
        <v>1.5607</v>
      </c>
      <c r="AJ17" s="588">
        <v>1.8540000000000001</v>
      </c>
      <c r="AK17" s="588">
        <v>1.8754499999999998</v>
      </c>
      <c r="AL17" s="588">
        <v>1.8218000000000001</v>
      </c>
      <c r="AM17" s="588">
        <v>2.0209999999999999</v>
      </c>
      <c r="AN17" s="588">
        <v>2.0303</v>
      </c>
      <c r="AO17" s="588">
        <v>2.0431999999999997</v>
      </c>
      <c r="AP17" s="588">
        <v>2.0134999999999996</v>
      </c>
      <c r="AQ17" s="588">
        <v>2.2153</v>
      </c>
      <c r="AR17" s="588">
        <v>2.2297000000000002</v>
      </c>
      <c r="AS17" s="588">
        <v>2.36</v>
      </c>
      <c r="AT17" s="588">
        <v>2.2627000000000002</v>
      </c>
      <c r="AU17" s="588">
        <v>2.2021999999999999</v>
      </c>
      <c r="AV17" s="588">
        <v>2.4506999999999999</v>
      </c>
      <c r="AW17" s="588">
        <v>2.6558999999999999</v>
      </c>
      <c r="AX17" s="588">
        <v>3.2077</v>
      </c>
      <c r="AY17" s="588">
        <v>3.1021999999999998</v>
      </c>
      <c r="AZ17" s="588">
        <v>3.9725000000000001</v>
      </c>
      <c r="BA17" s="588">
        <v>3.9045000000000001</v>
      </c>
      <c r="BB17" s="588">
        <v>3.5586000000000002</v>
      </c>
      <c r="BC17" s="588">
        <v>3.2</v>
      </c>
      <c r="BD17" s="588">
        <v>3.2</v>
      </c>
      <c r="BE17" s="588">
        <v>3.35</v>
      </c>
      <c r="BF17" s="588">
        <v>3.4</v>
      </c>
      <c r="BG17" s="2119">
        <v>3.16</v>
      </c>
      <c r="BH17" s="589">
        <v>3.05</v>
      </c>
      <c r="BI17" s="589">
        <v>3.05</v>
      </c>
      <c r="BJ17" s="589">
        <v>3.1</v>
      </c>
      <c r="BK17" s="589">
        <v>3.15</v>
      </c>
      <c r="BL17" s="589">
        <v>3.25</v>
      </c>
      <c r="BM17" s="589">
        <v>3.3</v>
      </c>
      <c r="BN17" s="589">
        <v>3.3</v>
      </c>
      <c r="BO17" s="589">
        <v>3.3</v>
      </c>
      <c r="BP17" s="589">
        <v>3.3</v>
      </c>
      <c r="BQ17" s="589">
        <v>3.3</v>
      </c>
      <c r="BR17" s="589">
        <v>3.3</v>
      </c>
      <c r="BS17" s="589">
        <v>3.3</v>
      </c>
      <c r="BT17" s="589">
        <v>3.3</v>
      </c>
      <c r="BU17" s="589">
        <v>3.3</v>
      </c>
      <c r="BV17" s="589">
        <v>3.3</v>
      </c>
      <c r="BW17" s="589">
        <v>3.3</v>
      </c>
      <c r="BX17" s="589">
        <v>3.3</v>
      </c>
      <c r="BY17" s="589">
        <v>3.3</v>
      </c>
      <c r="BZ17" s="589">
        <v>3.3</v>
      </c>
      <c r="CA17" s="589">
        <v>3.3</v>
      </c>
      <c r="CB17" s="589">
        <v>3.3</v>
      </c>
      <c r="CC17" s="589">
        <v>3.3</v>
      </c>
      <c r="CD17" s="589">
        <v>3.3</v>
      </c>
      <c r="CE17" s="589">
        <v>3.3</v>
      </c>
      <c r="CF17" s="589">
        <v>3.3</v>
      </c>
      <c r="CG17" s="589">
        <v>3.3</v>
      </c>
      <c r="CH17" s="589">
        <v>3.3</v>
      </c>
      <c r="CI17" s="589">
        <v>3.3</v>
      </c>
      <c r="CJ17" s="589">
        <v>3.3</v>
      </c>
      <c r="CK17" s="589">
        <v>3.3</v>
      </c>
      <c r="CL17" s="589">
        <v>3.3</v>
      </c>
    </row>
    <row r="18" spans="1:105">
      <c r="A18" s="582" t="s">
        <v>352</v>
      </c>
      <c r="B18" s="588">
        <v>3.4380000000000002</v>
      </c>
      <c r="C18" s="588">
        <v>3.1025</v>
      </c>
      <c r="D18" s="588">
        <v>2.89825</v>
      </c>
      <c r="E18" s="588">
        <v>2.90625</v>
      </c>
      <c r="F18" s="588">
        <v>2.9</v>
      </c>
      <c r="G18" s="588">
        <v>3.0060000000000002</v>
      </c>
      <c r="H18" s="588">
        <v>2.9780000000000006</v>
      </c>
      <c r="I18" s="588">
        <v>2.7575000000000003</v>
      </c>
      <c r="J18" s="588">
        <v>2.6572500000000003</v>
      </c>
      <c r="K18" s="588">
        <v>2.5100000000000002</v>
      </c>
      <c r="L18" s="588">
        <v>2.2915750000000004</v>
      </c>
      <c r="M18" s="588">
        <v>2.278575</v>
      </c>
      <c r="N18" s="588">
        <v>2.25305</v>
      </c>
      <c r="O18" s="588">
        <v>2.1674250000000002</v>
      </c>
      <c r="P18" s="588">
        <v>2.1676250000000001</v>
      </c>
      <c r="Q18" s="588">
        <v>2.153</v>
      </c>
      <c r="R18" s="588">
        <v>2.0905</v>
      </c>
      <c r="S18" s="588">
        <v>1.9860000000000002</v>
      </c>
      <c r="T18" s="588">
        <v>1.883</v>
      </c>
      <c r="U18" s="588">
        <v>1.81</v>
      </c>
      <c r="V18" s="588">
        <v>1.7378</v>
      </c>
      <c r="W18" s="588">
        <v>1.6682999999999999</v>
      </c>
      <c r="X18" s="588">
        <v>1.6556</v>
      </c>
      <c r="Y18" s="588">
        <v>2.1612</v>
      </c>
      <c r="Z18" s="588">
        <v>2.3157000000000001</v>
      </c>
      <c r="AA18" s="588">
        <v>2.1366999999999998</v>
      </c>
      <c r="AB18" s="588">
        <v>1.8893</v>
      </c>
      <c r="AC18" s="588">
        <v>1.7601</v>
      </c>
      <c r="AD18" s="588">
        <v>1.8027</v>
      </c>
      <c r="AE18" s="588">
        <v>1.7938000000000001</v>
      </c>
      <c r="AF18" s="588">
        <v>1.7492000000000001</v>
      </c>
      <c r="AG18" s="588">
        <v>1.6962999999999999</v>
      </c>
      <c r="AH18" s="588">
        <v>1.6668000000000001</v>
      </c>
      <c r="AI18" s="588">
        <v>1.5953999999999999</v>
      </c>
      <c r="AJ18" s="588">
        <v>1.6364000000000001</v>
      </c>
      <c r="AK18" s="588">
        <v>1.8028999999999999</v>
      </c>
      <c r="AL18" s="588">
        <v>1.7687999999999999</v>
      </c>
      <c r="AM18" s="588">
        <v>1.966</v>
      </c>
      <c r="AN18" s="588">
        <v>2.0278999999999998</v>
      </c>
      <c r="AO18" s="588">
        <v>2.0587</v>
      </c>
      <c r="AP18" s="588">
        <v>1.9972000000000001</v>
      </c>
      <c r="AQ18" s="588">
        <v>2.1143999999999998</v>
      </c>
      <c r="AR18" s="588">
        <v>2.2225000000000001</v>
      </c>
      <c r="AS18" s="588">
        <v>2.2948500000000003</v>
      </c>
      <c r="AT18" s="588">
        <v>2.31135</v>
      </c>
      <c r="AU18" s="588">
        <v>2.23245</v>
      </c>
      <c r="AV18" s="588">
        <v>2.3264499999999999</v>
      </c>
      <c r="AW18" s="588">
        <v>2.5533000000000001</v>
      </c>
      <c r="AX18" s="588">
        <v>2.9318</v>
      </c>
      <c r="AY18" s="588">
        <v>3.1549499999999999</v>
      </c>
      <c r="AZ18" s="588">
        <v>3.53735</v>
      </c>
      <c r="BA18" s="588">
        <v>3.9385000000000003</v>
      </c>
      <c r="BB18" s="588">
        <v>3.7315500000000004</v>
      </c>
      <c r="BC18" s="588">
        <v>3.3793000000000002</v>
      </c>
      <c r="BD18" s="588">
        <v>3.2</v>
      </c>
      <c r="BE18" s="588">
        <v>3.2750000000000004</v>
      </c>
      <c r="BF18" s="588">
        <v>3.375</v>
      </c>
      <c r="BG18" s="2119">
        <v>3.2800000000000002</v>
      </c>
      <c r="BH18" s="589">
        <v>3.105</v>
      </c>
      <c r="BI18" s="589">
        <v>3.05</v>
      </c>
      <c r="BJ18" s="589">
        <v>3.0750000000000002</v>
      </c>
      <c r="BK18" s="589">
        <v>3.125</v>
      </c>
      <c r="BL18" s="589">
        <v>3.2</v>
      </c>
      <c r="BM18" s="589">
        <v>3.2749999999999999</v>
      </c>
      <c r="BN18" s="589">
        <v>3.3</v>
      </c>
      <c r="BO18" s="589">
        <v>3.3</v>
      </c>
      <c r="BP18" s="589">
        <v>3.3</v>
      </c>
      <c r="BQ18" s="589">
        <v>3.3</v>
      </c>
      <c r="BR18" s="589">
        <v>3.3</v>
      </c>
      <c r="BS18" s="589">
        <v>3.3</v>
      </c>
      <c r="BT18" s="589">
        <v>3.3</v>
      </c>
      <c r="BU18" s="589">
        <v>3.3</v>
      </c>
      <c r="BV18" s="589">
        <v>3.3</v>
      </c>
      <c r="BW18" s="589">
        <v>3.3</v>
      </c>
      <c r="BX18" s="589">
        <v>3.3</v>
      </c>
      <c r="BY18" s="589">
        <v>3.3</v>
      </c>
      <c r="BZ18" s="589">
        <v>3.3</v>
      </c>
      <c r="CA18" s="589">
        <v>3.3</v>
      </c>
      <c r="CB18" s="589">
        <v>3.3</v>
      </c>
      <c r="CC18" s="589">
        <v>3.3</v>
      </c>
      <c r="CD18" s="589">
        <v>3.3</v>
      </c>
      <c r="CE18" s="589">
        <v>3.3</v>
      </c>
      <c r="CF18" s="589">
        <v>3.3</v>
      </c>
      <c r="CG18" s="589">
        <v>3.3</v>
      </c>
      <c r="CH18" s="589">
        <v>3.3</v>
      </c>
      <c r="CI18" s="589">
        <v>3.3</v>
      </c>
      <c r="CJ18" s="589">
        <v>3.3</v>
      </c>
      <c r="CK18" s="589">
        <v>3.3</v>
      </c>
      <c r="CL18" s="589">
        <v>3.3</v>
      </c>
    </row>
    <row r="19" spans="1:105">
      <c r="A19" s="1654" t="s">
        <v>776</v>
      </c>
      <c r="B19" s="583">
        <v>2.87E-2</v>
      </c>
      <c r="C19" s="583">
        <v>2.1299999999999999E-2</v>
      </c>
      <c r="D19" s="583">
        <v>2.2000000000000002E-2</v>
      </c>
      <c r="E19" s="583">
        <v>1.9E-2</v>
      </c>
      <c r="F19" s="583">
        <v>1.7899999999999999E-2</v>
      </c>
      <c r="G19" s="583">
        <v>2.87E-2</v>
      </c>
      <c r="H19" s="583">
        <v>2.7300000000000001E-2</v>
      </c>
      <c r="I19" s="583">
        <v>3.32E-2</v>
      </c>
      <c r="J19" s="583">
        <v>3.04E-2</v>
      </c>
      <c r="K19" s="583">
        <v>2.9500000000000002E-2</v>
      </c>
      <c r="L19" s="583">
        <v>3.8300000000000001E-2</v>
      </c>
      <c r="M19" s="583">
        <v>3.7400000000000003E-2</v>
      </c>
      <c r="N19" s="583">
        <v>3.6499999999999998E-2</v>
      </c>
      <c r="O19" s="583">
        <v>4.0099999999999997E-2</v>
      </c>
      <c r="P19" s="583">
        <v>3.3399999999999999E-2</v>
      </c>
      <c r="Q19" s="583">
        <v>1.9400000000000001E-2</v>
      </c>
      <c r="R19" s="583">
        <v>2.8000000000000001E-2</v>
      </c>
      <c r="S19" s="583">
        <v>2.7E-2</v>
      </c>
      <c r="T19" s="583">
        <v>2.8000000000000001E-2</v>
      </c>
      <c r="U19" s="583">
        <v>4.1000000000000002E-2</v>
      </c>
      <c r="V19" s="583">
        <v>0.04</v>
      </c>
      <c r="W19" s="583">
        <v>0.05</v>
      </c>
      <c r="X19" s="583">
        <v>4.9000000000000002E-2</v>
      </c>
      <c r="Y19" s="583">
        <v>1E-3</v>
      </c>
      <c r="Z19" s="583">
        <v>-4.0000000000000001E-3</v>
      </c>
      <c r="AA19" s="583">
        <v>-1.4E-2</v>
      </c>
      <c r="AB19" s="583">
        <v>-1.2999999999999999E-2</v>
      </c>
      <c r="AC19" s="583">
        <v>2.7E-2</v>
      </c>
      <c r="AD19" s="583">
        <v>2.3E-2</v>
      </c>
      <c r="AE19" s="583">
        <v>1.0999999999999999E-2</v>
      </c>
      <c r="AF19" s="583">
        <v>1.0999999999999999E-2</v>
      </c>
      <c r="AG19" s="583">
        <v>1.4999999999999999E-2</v>
      </c>
      <c r="AH19" s="583">
        <v>2.7E-2</v>
      </c>
      <c r="AI19" s="583">
        <v>3.5999999999999997E-2</v>
      </c>
      <c r="AJ19" s="583">
        <v>3.9E-2</v>
      </c>
      <c r="AK19" s="583">
        <v>0.03</v>
      </c>
      <c r="AL19" s="583">
        <v>2.7E-2</v>
      </c>
      <c r="AM19" s="583">
        <v>1.7000000000000001E-2</v>
      </c>
      <c r="AN19" s="583">
        <v>0.02</v>
      </c>
      <c r="AO19" s="583">
        <v>1.7000000000000001E-2</v>
      </c>
      <c r="AP19" s="583">
        <v>1.7000000000000001E-2</v>
      </c>
      <c r="AQ19" s="583">
        <v>1.4E-2</v>
      </c>
      <c r="AR19" s="583">
        <v>1.4999999999999999E-2</v>
      </c>
      <c r="AS19" s="583">
        <v>1.2E-2</v>
      </c>
      <c r="AT19" s="583">
        <v>1.4E-2</v>
      </c>
      <c r="AU19" s="583">
        <v>2.1000000000000001E-2</v>
      </c>
      <c r="AV19" s="583">
        <v>2.1999999999999999E-2</v>
      </c>
      <c r="AW19" s="583">
        <v>2.4E-2</v>
      </c>
      <c r="AX19" s="583">
        <v>2.1000000000000001E-2</v>
      </c>
      <c r="AY19" s="583">
        <v>1.7999999999999999E-2</v>
      </c>
      <c r="AZ19" s="583">
        <v>1.7000000000000001E-2</v>
      </c>
      <c r="BA19" s="583">
        <v>1.7999999999999999E-2</v>
      </c>
      <c r="BB19" s="583">
        <v>0.02</v>
      </c>
      <c r="BC19" s="583">
        <v>1.2999999999999999E-2</v>
      </c>
      <c r="BD19" s="583">
        <v>1.2999999999999999E-2</v>
      </c>
      <c r="BE19" s="583">
        <v>1.2999999999999999E-2</v>
      </c>
      <c r="BF19" s="583">
        <v>2.4E-2</v>
      </c>
      <c r="BG19" s="2117">
        <v>2.4E-2</v>
      </c>
      <c r="BH19" s="590">
        <v>2.4E-2</v>
      </c>
      <c r="BI19" s="590">
        <v>2.4E-2</v>
      </c>
      <c r="BJ19" s="590">
        <v>2.4E-2</v>
      </c>
      <c r="BK19" s="590">
        <v>2.4E-2</v>
      </c>
      <c r="BL19" s="590">
        <v>2.4E-2</v>
      </c>
      <c r="BM19" s="590">
        <v>2.4E-2</v>
      </c>
      <c r="BN19" s="590">
        <v>2.4E-2</v>
      </c>
      <c r="BO19" s="590">
        <v>2.4E-2</v>
      </c>
      <c r="BP19" s="590">
        <v>2.4E-2</v>
      </c>
      <c r="BQ19" s="590">
        <v>2.4E-2</v>
      </c>
      <c r="BR19" s="590">
        <v>2.4E-2</v>
      </c>
      <c r="BS19" s="590">
        <v>2.4E-2</v>
      </c>
      <c r="BT19" s="590">
        <v>2.4E-2</v>
      </c>
      <c r="BU19" s="590">
        <v>2.4E-2</v>
      </c>
      <c r="BV19" s="590">
        <v>2.4E-2</v>
      </c>
      <c r="BW19" s="590">
        <v>2.4E-2</v>
      </c>
      <c r="BX19" s="590">
        <v>2.4E-2</v>
      </c>
      <c r="BY19" s="590">
        <v>2.4E-2</v>
      </c>
      <c r="BZ19" s="590">
        <v>2.4E-2</v>
      </c>
      <c r="CA19" s="590">
        <v>2.4E-2</v>
      </c>
      <c r="CB19" s="590">
        <v>2.4E-2</v>
      </c>
      <c r="CC19" s="590">
        <v>2.4E-2</v>
      </c>
      <c r="CD19" s="590">
        <v>2.4E-2</v>
      </c>
      <c r="CE19" s="590">
        <v>2.4E-2</v>
      </c>
      <c r="CF19" s="590">
        <v>2.4E-2</v>
      </c>
      <c r="CG19" s="590">
        <v>2.4E-2</v>
      </c>
      <c r="CH19" s="590">
        <v>2.4E-2</v>
      </c>
      <c r="CI19" s="590">
        <v>2.4E-2</v>
      </c>
      <c r="CJ19" s="590">
        <v>2.4E-2</v>
      </c>
      <c r="CK19" s="590">
        <v>2.4E-2</v>
      </c>
      <c r="CL19" s="590">
        <v>2.4E-2</v>
      </c>
    </row>
    <row r="20" spans="1:105" s="1401" customFormat="1">
      <c r="A20" s="1654" t="s">
        <v>1487</v>
      </c>
      <c r="B20" s="583">
        <v>0.26500000000000001</v>
      </c>
      <c r="C20" s="583">
        <v>0.26</v>
      </c>
      <c r="D20" s="583">
        <v>0.2</v>
      </c>
      <c r="E20" s="583">
        <v>0.16500000000000001</v>
      </c>
      <c r="F20" s="583">
        <v>0.16250000000000001</v>
      </c>
      <c r="G20" s="583">
        <v>0.16</v>
      </c>
      <c r="H20" s="583">
        <v>0.16250000000000001</v>
      </c>
      <c r="I20" s="583">
        <v>0.17749999999999999</v>
      </c>
      <c r="J20" s="583">
        <v>0.1925</v>
      </c>
      <c r="K20" s="583">
        <v>0.19750000000000001</v>
      </c>
      <c r="L20" s="583">
        <v>0.19500000000000001</v>
      </c>
      <c r="M20" s="583">
        <v>0.18</v>
      </c>
      <c r="N20" s="583">
        <v>0.16500000000000001</v>
      </c>
      <c r="O20" s="583">
        <v>0.1525</v>
      </c>
      <c r="P20" s="583">
        <v>0.14249999999999999</v>
      </c>
      <c r="Q20" s="583">
        <v>0.13250000000000001</v>
      </c>
      <c r="R20" s="583">
        <v>0.1275</v>
      </c>
      <c r="S20" s="583">
        <v>0.12</v>
      </c>
      <c r="T20" s="583">
        <v>0.1125</v>
      </c>
      <c r="U20" s="583">
        <v>0.1125</v>
      </c>
      <c r="V20" s="583">
        <v>0.1125</v>
      </c>
      <c r="W20" s="583">
        <v>0.1225</v>
      </c>
      <c r="X20" s="583">
        <v>0.13750000000000001</v>
      </c>
      <c r="Y20" s="583">
        <v>0.13750000000000001</v>
      </c>
      <c r="Z20" s="583">
        <v>0.1125</v>
      </c>
      <c r="AA20" s="583">
        <v>9.2499999999999999E-2</v>
      </c>
      <c r="AB20" s="583">
        <v>8.7499999999999994E-2</v>
      </c>
      <c r="AC20" s="583">
        <v>8.7499999999999994E-2</v>
      </c>
      <c r="AD20" s="583">
        <v>8.7499999999999994E-2</v>
      </c>
      <c r="AE20" s="583">
        <v>0.10249999999999999</v>
      </c>
      <c r="AF20" s="583">
        <v>0.1075</v>
      </c>
      <c r="AG20" s="583">
        <v>0.1075</v>
      </c>
      <c r="AH20" s="583">
        <v>0.11749999999999999</v>
      </c>
      <c r="AI20" s="583">
        <v>0.1225</v>
      </c>
      <c r="AJ20" s="583">
        <v>0.12</v>
      </c>
      <c r="AK20" s="583">
        <v>0.11</v>
      </c>
      <c r="AL20" s="583">
        <v>9.7500000000000003E-2</v>
      </c>
      <c r="AM20" s="583">
        <v>8.5000000000000006E-2</v>
      </c>
      <c r="AN20" s="583">
        <v>7.4999999999999997E-2</v>
      </c>
      <c r="AO20" s="583">
        <v>7.2499999999999995E-2</v>
      </c>
      <c r="AP20" s="583">
        <v>7.2499999999999995E-2</v>
      </c>
      <c r="AQ20" s="583">
        <v>0.08</v>
      </c>
      <c r="AR20" s="583">
        <v>0.09</v>
      </c>
      <c r="AS20" s="583">
        <v>0.1</v>
      </c>
      <c r="AT20" s="583">
        <v>0.1075</v>
      </c>
      <c r="AU20" s="583">
        <v>0.11</v>
      </c>
      <c r="AV20" s="583">
        <v>0.11</v>
      </c>
      <c r="AW20" s="583">
        <v>0.11749999999999999</v>
      </c>
      <c r="AX20" s="583">
        <v>0.1275</v>
      </c>
      <c r="AY20" s="583">
        <v>0.13750000000000001</v>
      </c>
      <c r="AZ20" s="583">
        <v>0.14249999999999999</v>
      </c>
      <c r="BA20" s="583">
        <v>0.14249999999999999</v>
      </c>
      <c r="BB20" s="583">
        <v>0.14249999999999999</v>
      </c>
      <c r="BC20" s="583">
        <v>0.14249999999999999</v>
      </c>
      <c r="BD20" s="583">
        <v>0.14249999999999999</v>
      </c>
      <c r="BE20" s="583">
        <v>0.13750000000000001</v>
      </c>
      <c r="BF20" s="583">
        <v>0.1225</v>
      </c>
      <c r="BG20" s="2117">
        <v>0.10249999999999999</v>
      </c>
      <c r="BH20" s="590">
        <v>0.09</v>
      </c>
      <c r="BI20" s="590">
        <v>8.7499999999999994E-2</v>
      </c>
      <c r="BJ20" s="590">
        <v>8.7499999999999994E-2</v>
      </c>
      <c r="BK20" s="590">
        <v>8.7499999999999994E-2</v>
      </c>
      <c r="BL20" s="590">
        <v>8.7499999999999994E-2</v>
      </c>
      <c r="BM20" s="590">
        <v>9.7500000000000003E-2</v>
      </c>
      <c r="BN20" s="590">
        <v>0.08</v>
      </c>
      <c r="BO20" s="590">
        <v>0.08</v>
      </c>
      <c r="BP20" s="590">
        <v>0.08</v>
      </c>
      <c r="BQ20" s="590">
        <v>0.08</v>
      </c>
      <c r="BR20" s="590">
        <v>0.08</v>
      </c>
      <c r="BS20" s="590">
        <v>0.08</v>
      </c>
      <c r="BT20" s="590">
        <v>0.08</v>
      </c>
      <c r="BU20" s="590">
        <v>0.08</v>
      </c>
      <c r="BV20" s="590">
        <v>0.08</v>
      </c>
      <c r="BW20" s="590">
        <v>0.08</v>
      </c>
      <c r="BX20" s="590">
        <v>0.08</v>
      </c>
      <c r="BY20" s="590">
        <v>0.08</v>
      </c>
      <c r="BZ20" s="590">
        <v>0.08</v>
      </c>
      <c r="CA20" s="590">
        <v>0.08</v>
      </c>
      <c r="CB20" s="590">
        <v>0.08</v>
      </c>
      <c r="CC20" s="590">
        <v>0.08</v>
      </c>
      <c r="CD20" s="590">
        <v>0.08</v>
      </c>
      <c r="CE20" s="590">
        <v>0.08</v>
      </c>
      <c r="CF20" s="590">
        <v>0.08</v>
      </c>
      <c r="CG20" s="590">
        <v>0.08</v>
      </c>
      <c r="CH20" s="590">
        <v>0.08</v>
      </c>
      <c r="CI20" s="590">
        <v>0.08</v>
      </c>
      <c r="CJ20" s="590">
        <v>0.08</v>
      </c>
      <c r="CK20" s="590">
        <v>0.08</v>
      </c>
      <c r="CL20" s="590">
        <v>0.08</v>
      </c>
    </row>
    <row r="21" spans="1:105">
      <c r="B21" s="577"/>
      <c r="C21" s="577"/>
      <c r="D21" s="577"/>
      <c r="E21" s="577"/>
      <c r="F21" s="577"/>
      <c r="G21" s="577"/>
      <c r="H21" s="577"/>
      <c r="I21" s="577"/>
      <c r="J21" s="577"/>
      <c r="K21" s="577"/>
      <c r="L21" s="577"/>
      <c r="M21" s="577"/>
      <c r="N21" s="577" t="s">
        <v>335</v>
      </c>
      <c r="O21" s="577"/>
      <c r="P21" s="577"/>
      <c r="Q21" s="577"/>
      <c r="R21" s="577"/>
      <c r="S21" s="577"/>
      <c r="T21" s="577"/>
      <c r="U21" s="577"/>
      <c r="V21" s="593"/>
      <c r="W21" s="593"/>
      <c r="X21" s="593"/>
      <c r="Y21" s="593"/>
      <c r="Z21" s="592"/>
      <c r="AA21" s="592"/>
      <c r="AB21" s="592"/>
      <c r="AC21" s="592"/>
      <c r="AD21" s="593"/>
      <c r="AE21" s="593"/>
      <c r="AF21" s="593"/>
      <c r="AG21" s="593"/>
      <c r="AH21" s="593"/>
      <c r="AI21" s="593"/>
      <c r="AJ21" s="593"/>
      <c r="AK21" s="593"/>
      <c r="AL21" s="593"/>
      <c r="AM21" s="593"/>
      <c r="AN21" s="593"/>
      <c r="AO21" s="593"/>
      <c r="AP21" s="593"/>
      <c r="AQ21" s="593"/>
      <c r="AR21" s="593"/>
      <c r="AS21" s="593"/>
      <c r="AT21" s="593"/>
      <c r="AU21" s="593"/>
      <c r="AV21" s="593"/>
      <c r="AW21" s="593"/>
      <c r="AX21" s="593"/>
      <c r="AY21" s="593"/>
      <c r="AZ21" s="593"/>
      <c r="BA21" s="593"/>
      <c r="BB21" s="593"/>
      <c r="BC21" s="593"/>
      <c r="BD21" s="593"/>
      <c r="BE21" s="593"/>
      <c r="BF21" s="593"/>
      <c r="BG21" s="2120"/>
      <c r="BH21" s="594"/>
      <c r="BI21" s="594"/>
      <c r="BJ21" s="594"/>
      <c r="BK21" s="594"/>
      <c r="BL21" s="594"/>
      <c r="BM21" s="594"/>
      <c r="BN21" s="594"/>
      <c r="BO21" s="594"/>
      <c r="BP21" s="594"/>
      <c r="BQ21" s="594"/>
      <c r="BR21" s="594"/>
      <c r="BS21" s="594"/>
      <c r="BT21" s="594"/>
      <c r="BU21" s="594"/>
      <c r="BV21" s="594"/>
      <c r="BW21" s="594"/>
      <c r="BX21" s="594"/>
      <c r="BY21" s="594"/>
    </row>
    <row r="22" spans="1:105">
      <c r="A22" s="221" t="s">
        <v>201</v>
      </c>
      <c r="B22" s="221"/>
      <c r="C22" s="221"/>
      <c r="D22" s="222"/>
      <c r="E22" s="222"/>
      <c r="F22" s="222"/>
      <c r="G22" s="222"/>
      <c r="H22" s="222"/>
      <c r="I22" s="222"/>
      <c r="J22" s="222"/>
      <c r="K22" s="222"/>
      <c r="L22" s="222"/>
      <c r="M22" s="222"/>
      <c r="N22" s="222"/>
      <c r="O22" s="222"/>
      <c r="P22" s="222"/>
      <c r="Q22" s="222"/>
      <c r="R22" s="222"/>
      <c r="S22" s="222"/>
      <c r="T22" s="222"/>
      <c r="U22" s="222"/>
      <c r="V22" s="222"/>
      <c r="W22" s="222"/>
      <c r="X22" s="220"/>
      <c r="Y22" s="220"/>
      <c r="Z22" s="220"/>
      <c r="AA22" s="220"/>
      <c r="AB22" s="220"/>
      <c r="AC22" s="220"/>
      <c r="AD22" s="220"/>
      <c r="AE22" s="220"/>
      <c r="AF22" s="220"/>
      <c r="AG22" s="220"/>
      <c r="AH22" s="220"/>
      <c r="AI22" s="220"/>
      <c r="AJ22" s="220"/>
      <c r="AK22" s="220"/>
      <c r="AL22" s="220"/>
      <c r="AM22" s="220"/>
      <c r="AN22" s="220"/>
      <c r="AO22" s="220"/>
      <c r="AP22" s="220"/>
      <c r="AQ22" s="220"/>
      <c r="AR22" s="220"/>
      <c r="AS22" s="220"/>
      <c r="AT22" s="220"/>
      <c r="AU22" s="220"/>
      <c r="AV22" s="220"/>
      <c r="AW22" s="220"/>
      <c r="AX22" s="220"/>
      <c r="AY22" s="220"/>
      <c r="AZ22" s="220"/>
      <c r="BA22" s="220"/>
      <c r="BB22" s="220"/>
      <c r="BC22" s="220"/>
      <c r="BD22" s="220"/>
      <c r="BE22" s="220"/>
      <c r="BF22" s="220"/>
      <c r="BG22" s="220"/>
      <c r="BH22" s="220"/>
      <c r="BI22" s="220"/>
      <c r="BJ22" s="220"/>
      <c r="BK22" s="220"/>
      <c r="BL22" s="220"/>
      <c r="BM22" s="220"/>
      <c r="BN22" s="220"/>
      <c r="BO22" s="220"/>
      <c r="BP22" s="220"/>
      <c r="BQ22" s="220"/>
      <c r="BR22" s="220"/>
      <c r="BS22" s="220"/>
      <c r="BT22" s="220"/>
      <c r="BU22" s="220"/>
      <c r="BV22" s="220"/>
      <c r="BW22" s="220"/>
      <c r="BX22" s="220"/>
      <c r="BY22" s="220"/>
      <c r="BZ22" s="220"/>
      <c r="CA22" s="220"/>
      <c r="CB22" s="220"/>
      <c r="CC22" s="220"/>
      <c r="CD22" s="220"/>
      <c r="CE22" s="220"/>
      <c r="CF22" s="220"/>
      <c r="CG22" s="220"/>
      <c r="CH22" s="220"/>
      <c r="CI22" s="220"/>
      <c r="CJ22" s="220"/>
      <c r="CK22" s="220"/>
      <c r="CL22" s="220"/>
      <c r="CW22" s="423"/>
      <c r="CX22" s="423"/>
      <c r="CY22" s="423"/>
      <c r="CZ22" s="423"/>
      <c r="DA22" s="106"/>
    </row>
    <row r="23" spans="1:105">
      <c r="B23" s="577"/>
      <c r="C23" s="577"/>
      <c r="D23" s="577"/>
      <c r="E23" s="577"/>
      <c r="F23" s="577"/>
      <c r="G23" s="577"/>
      <c r="H23" s="577"/>
      <c r="I23" s="577"/>
      <c r="J23" s="577"/>
      <c r="K23" s="577"/>
      <c r="L23" s="577"/>
      <c r="M23" s="577"/>
      <c r="N23" s="577"/>
      <c r="O23" s="577"/>
      <c r="P23" s="577"/>
      <c r="Q23" s="577"/>
      <c r="R23" s="577"/>
      <c r="S23" s="577"/>
      <c r="T23" s="577"/>
      <c r="U23" s="577"/>
      <c r="V23" s="577"/>
      <c r="W23" s="577"/>
      <c r="X23" s="577"/>
      <c r="Y23" s="577"/>
      <c r="Z23" s="577"/>
      <c r="AA23" s="577"/>
      <c r="AB23" s="577"/>
      <c r="AC23" s="577"/>
      <c r="AD23" s="577"/>
      <c r="AE23" s="577"/>
      <c r="AF23" s="577"/>
      <c r="AG23" s="577"/>
      <c r="AH23" s="577"/>
      <c r="AI23" s="577"/>
      <c r="AJ23" s="577"/>
      <c r="AK23" s="577"/>
      <c r="AL23" s="577"/>
      <c r="AM23" s="577"/>
      <c r="AN23" s="577"/>
      <c r="AO23" s="577"/>
      <c r="AP23" s="577"/>
      <c r="AQ23" s="577"/>
      <c r="AR23" s="577"/>
      <c r="AS23" s="577"/>
      <c r="AT23" s="577"/>
      <c r="AU23" s="577"/>
      <c r="AV23" s="577"/>
      <c r="AW23" s="577"/>
      <c r="AX23" s="577"/>
      <c r="AY23" s="577"/>
      <c r="AZ23" s="577"/>
      <c r="BA23" s="577"/>
      <c r="BB23" s="577"/>
      <c r="BC23" s="577"/>
      <c r="BD23" s="577"/>
      <c r="BE23" s="577"/>
      <c r="BF23" s="577"/>
      <c r="BG23" s="577"/>
      <c r="BH23" s="577"/>
      <c r="BI23" s="577"/>
      <c r="BJ23" s="577"/>
      <c r="BK23" s="577"/>
      <c r="BL23" s="577"/>
      <c r="BM23" s="577"/>
      <c r="BN23" s="577"/>
      <c r="BO23" s="577"/>
      <c r="BP23" s="577"/>
      <c r="BQ23" s="577"/>
      <c r="BR23" s="577"/>
      <c r="BS23" s="577"/>
      <c r="BT23" s="577"/>
      <c r="BU23" s="577"/>
      <c r="BV23" s="577"/>
      <c r="BW23" s="577"/>
      <c r="BX23" s="577"/>
      <c r="BY23" s="577"/>
    </row>
  </sheetData>
  <phoneticPr fontId="11" type="noConversion"/>
  <pageMargins left="0.7" right="0.7" top="0.75" bottom="0.75" header="0.3" footer="0.3"/>
  <pageSetup scale="48" orientation="landscape" r:id="rId1"/>
  <headerFooter alignWithMargins="0"/>
  <colBreaks count="1" manualBreakCount="1">
    <brk id="22" max="49" man="1"/>
  </colBreaks>
  <ignoredErrors>
    <ignoredError sqref="G13:V13 X13" formulaRange="1"/>
  </ignoredErrors>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GN3"/>
  <sheetViews>
    <sheetView workbookViewId="0"/>
  </sheetViews>
  <sheetFormatPr defaultRowHeight="12.75"/>
  <sheetData>
    <row r="1" spans="1:196">
      <c r="A1" t="s">
        <v>1686</v>
      </c>
    </row>
    <row r="2" spans="1:196" s="17" customFormat="1">
      <c r="A2" s="17" t="s">
        <v>1675</v>
      </c>
      <c r="B2" s="17" t="s">
        <v>1683</v>
      </c>
      <c r="C2" s="17" t="s">
        <v>1242</v>
      </c>
      <c r="D2" s="17" t="s">
        <v>972</v>
      </c>
      <c r="E2" s="17" t="s">
        <v>1245</v>
      </c>
      <c r="F2" s="17" t="s">
        <v>1335</v>
      </c>
      <c r="G2" s="17" t="s">
        <v>1651</v>
      </c>
      <c r="H2" s="17" t="s">
        <v>972</v>
      </c>
      <c r="I2" s="17" t="s">
        <v>1095</v>
      </c>
      <c r="J2" s="17" t="s">
        <v>1323</v>
      </c>
      <c r="K2" s="17" t="s">
        <v>180</v>
      </c>
      <c r="L2" s="17" t="s">
        <v>181</v>
      </c>
      <c r="M2" s="17" t="s">
        <v>1239</v>
      </c>
      <c r="N2" s="17" t="s">
        <v>1262</v>
      </c>
      <c r="O2" s="17" t="s">
        <v>1662</v>
      </c>
      <c r="P2" s="17" t="s">
        <v>972</v>
      </c>
      <c r="Q2" s="17" t="s">
        <v>1223</v>
      </c>
      <c r="R2" s="17" t="s">
        <v>1267</v>
      </c>
      <c r="S2" s="17" t="s">
        <v>1182</v>
      </c>
      <c r="T2" s="17" t="s">
        <v>1359</v>
      </c>
      <c r="U2" s="17" t="s">
        <v>1663</v>
      </c>
      <c r="V2" s="17" t="s">
        <v>972</v>
      </c>
      <c r="W2" s="17" t="s">
        <v>1664</v>
      </c>
      <c r="X2" s="17" t="s">
        <v>972</v>
      </c>
      <c r="Y2" s="17" t="s">
        <v>1177</v>
      </c>
      <c r="Z2" s="17" t="s">
        <v>1357</v>
      </c>
      <c r="AA2" s="17" t="s">
        <v>1098</v>
      </c>
      <c r="AB2" s="17" t="s">
        <v>1362</v>
      </c>
      <c r="AC2" s="17" t="s">
        <v>1222</v>
      </c>
      <c r="AD2" s="17" t="s">
        <v>1264</v>
      </c>
      <c r="AE2" s="17" t="s">
        <v>182</v>
      </c>
      <c r="AF2" s="17" t="s">
        <v>1542</v>
      </c>
      <c r="AG2" s="17" t="s">
        <v>1666</v>
      </c>
      <c r="AH2" s="17" t="s">
        <v>972</v>
      </c>
      <c r="AI2" s="17" t="s">
        <v>1657</v>
      </c>
      <c r="AJ2" s="17" t="s">
        <v>972</v>
      </c>
      <c r="AK2" s="17" t="s">
        <v>1256</v>
      </c>
      <c r="AL2" s="17" t="s">
        <v>1265</v>
      </c>
      <c r="AM2" s="17" t="s">
        <v>1652</v>
      </c>
      <c r="AN2" s="17" t="s">
        <v>1660</v>
      </c>
      <c r="AO2" s="17" t="s">
        <v>1252</v>
      </c>
      <c r="AP2" s="17" t="s">
        <v>1354</v>
      </c>
      <c r="AQ2" s="17" t="s">
        <v>1653</v>
      </c>
      <c r="AR2" s="17" t="s">
        <v>972</v>
      </c>
      <c r="AS2" s="17" t="s">
        <v>1178</v>
      </c>
      <c r="AT2" s="17" t="s">
        <v>1339</v>
      </c>
      <c r="AU2" s="17" t="s">
        <v>470</v>
      </c>
      <c r="AV2" s="17" t="s">
        <v>1325</v>
      </c>
      <c r="AW2" s="17" t="s">
        <v>1257</v>
      </c>
      <c r="AX2" s="17" t="s">
        <v>1329</v>
      </c>
      <c r="AY2" s="17" t="s">
        <v>1665</v>
      </c>
      <c r="AZ2" s="17" t="s">
        <v>972</v>
      </c>
      <c r="BA2" s="17" t="s">
        <v>1179</v>
      </c>
      <c r="BB2" s="17" t="s">
        <v>1324</v>
      </c>
      <c r="BC2" s="17" t="s">
        <v>1218</v>
      </c>
      <c r="BD2" s="17" t="s">
        <v>1266</v>
      </c>
      <c r="BE2" s="17" t="s">
        <v>1183</v>
      </c>
      <c r="BF2" s="17" t="s">
        <v>1336</v>
      </c>
      <c r="BG2" s="17" t="s">
        <v>1241</v>
      </c>
      <c r="BH2" s="17" t="s">
        <v>972</v>
      </c>
      <c r="BI2" s="17" t="s">
        <v>1233</v>
      </c>
      <c r="BJ2" s="17" t="s">
        <v>1340</v>
      </c>
      <c r="BK2" s="17" t="s">
        <v>1232</v>
      </c>
      <c r="BL2" s="17" t="s">
        <v>1333</v>
      </c>
      <c r="BM2" s="17" t="s">
        <v>1240</v>
      </c>
      <c r="BN2" s="17" t="s">
        <v>1331</v>
      </c>
      <c r="BO2" s="17" t="s">
        <v>1671</v>
      </c>
      <c r="BP2" s="17" t="s">
        <v>972</v>
      </c>
      <c r="BQ2" s="17" t="s">
        <v>179</v>
      </c>
      <c r="BR2" s="17" t="s">
        <v>1542</v>
      </c>
      <c r="BS2" s="17" t="s">
        <v>1226</v>
      </c>
      <c r="BT2" s="17" t="s">
        <v>1344</v>
      </c>
      <c r="BU2" s="17" t="s">
        <v>1253</v>
      </c>
      <c r="BV2" s="17" t="s">
        <v>1210</v>
      </c>
      <c r="BW2" s="17" t="s">
        <v>1250</v>
      </c>
      <c r="BX2" s="17" t="s">
        <v>1342</v>
      </c>
      <c r="BY2" s="17" t="s">
        <v>1230</v>
      </c>
      <c r="BZ2" s="17" t="s">
        <v>972</v>
      </c>
      <c r="CA2" s="17" t="s">
        <v>1668</v>
      </c>
      <c r="CB2" s="17" t="s">
        <v>972</v>
      </c>
      <c r="CC2" s="17" t="s">
        <v>1234</v>
      </c>
      <c r="CD2" s="17" t="s">
        <v>1171</v>
      </c>
      <c r="CE2" s="17" t="s">
        <v>1654</v>
      </c>
      <c r="CF2" s="17" t="s">
        <v>972</v>
      </c>
      <c r="CG2" s="17" t="s">
        <v>1669</v>
      </c>
      <c r="CH2" s="17" t="s">
        <v>1680</v>
      </c>
      <c r="CI2" s="17" t="s">
        <v>1670</v>
      </c>
      <c r="CJ2" s="17" t="s">
        <v>972</v>
      </c>
      <c r="CK2" s="17" t="s">
        <v>1679</v>
      </c>
      <c r="CL2" s="17" t="s">
        <v>972</v>
      </c>
      <c r="CM2" s="17" t="s">
        <v>1667</v>
      </c>
      <c r="CN2" s="17" t="s">
        <v>972</v>
      </c>
      <c r="CO2" s="17" t="s">
        <v>1068</v>
      </c>
      <c r="CP2" s="17" t="s">
        <v>972</v>
      </c>
      <c r="CQ2" s="17" t="s">
        <v>1238</v>
      </c>
      <c r="CR2" s="17" t="s">
        <v>1348</v>
      </c>
      <c r="CS2" s="17" t="s">
        <v>1180</v>
      </c>
      <c r="CT2" s="17" t="s">
        <v>1332</v>
      </c>
      <c r="CU2" s="17" t="s">
        <v>1655</v>
      </c>
      <c r="CV2" s="17" t="s">
        <v>972</v>
      </c>
      <c r="CW2" s="17" t="s">
        <v>1225</v>
      </c>
      <c r="CX2" s="17" t="s">
        <v>1353</v>
      </c>
      <c r="CY2" s="17" t="s">
        <v>1249</v>
      </c>
      <c r="CZ2" s="17" t="s">
        <v>1358</v>
      </c>
      <c r="DA2" s="17" t="s">
        <v>1236</v>
      </c>
      <c r="DB2" s="17" t="s">
        <v>1349</v>
      </c>
      <c r="DC2" s="17" t="s">
        <v>1656</v>
      </c>
      <c r="DD2" s="17" t="s">
        <v>972</v>
      </c>
      <c r="DE2" s="17" t="s">
        <v>1235</v>
      </c>
      <c r="DF2" s="17" t="s">
        <v>1343</v>
      </c>
      <c r="DG2" s="17" t="s">
        <v>1255</v>
      </c>
      <c r="DH2" s="17" t="s">
        <v>1355</v>
      </c>
      <c r="DI2" s="17" t="s">
        <v>1258</v>
      </c>
      <c r="DJ2" s="17" t="s">
        <v>1361</v>
      </c>
      <c r="DK2" s="17" t="s">
        <v>472</v>
      </c>
      <c r="DL2" s="17" t="s">
        <v>1209</v>
      </c>
      <c r="DM2" s="17" t="s">
        <v>433</v>
      </c>
      <c r="DN2" s="17" t="s">
        <v>23</v>
      </c>
      <c r="DO2" s="17" t="s">
        <v>474</v>
      </c>
      <c r="DP2" s="17" t="s">
        <v>1208</v>
      </c>
      <c r="DQ2" s="17" t="s">
        <v>1219</v>
      </c>
      <c r="DR2" s="17" t="s">
        <v>1347</v>
      </c>
      <c r="DS2" s="17" t="s">
        <v>1672</v>
      </c>
      <c r="DT2" s="17" t="s">
        <v>1681</v>
      </c>
      <c r="DU2" s="17" t="s">
        <v>1658</v>
      </c>
      <c r="DV2" s="17" t="s">
        <v>972</v>
      </c>
      <c r="DW2" s="17" t="s">
        <v>1246</v>
      </c>
      <c r="DX2" s="17" t="s">
        <v>1330</v>
      </c>
      <c r="DY2" s="17" t="s">
        <v>1673</v>
      </c>
      <c r="DZ2" s="17" t="s">
        <v>972</v>
      </c>
      <c r="EA2" s="17" t="s">
        <v>473</v>
      </c>
      <c r="EB2" s="17" t="s">
        <v>1169</v>
      </c>
      <c r="EC2" s="17" t="s">
        <v>1243</v>
      </c>
      <c r="ED2" s="17" t="s">
        <v>1334</v>
      </c>
      <c r="EE2" s="17" t="s">
        <v>1674</v>
      </c>
      <c r="EF2" s="17" t="s">
        <v>1682</v>
      </c>
      <c r="EG2" s="17" t="s">
        <v>1247</v>
      </c>
      <c r="EH2" s="17" t="s">
        <v>972</v>
      </c>
      <c r="EI2" s="17" t="s">
        <v>1676</v>
      </c>
      <c r="EJ2" s="17" t="s">
        <v>972</v>
      </c>
      <c r="EK2" s="17" t="s">
        <v>1067</v>
      </c>
      <c r="EL2" s="17" t="s">
        <v>972</v>
      </c>
      <c r="EM2" s="17" t="s">
        <v>1659</v>
      </c>
      <c r="EN2" s="17" t="s">
        <v>1661</v>
      </c>
      <c r="EO2" s="17" t="s">
        <v>468</v>
      </c>
      <c r="EP2" s="17" t="s">
        <v>1168</v>
      </c>
      <c r="EQ2" s="17" t="s">
        <v>1677</v>
      </c>
      <c r="ER2" s="17" t="s">
        <v>1684</v>
      </c>
      <c r="ES2" s="17" t="s">
        <v>1678</v>
      </c>
      <c r="ET2" s="17" t="s">
        <v>1685</v>
      </c>
      <c r="EU2" s="17" t="s">
        <v>1097</v>
      </c>
      <c r="EV2" s="17" t="s">
        <v>1338</v>
      </c>
      <c r="EW2" s="17" t="s">
        <v>1254</v>
      </c>
      <c r="EX2" s="17" t="s">
        <v>1328</v>
      </c>
      <c r="EY2" s="17" t="s">
        <v>469</v>
      </c>
      <c r="EZ2" s="17" t="s">
        <v>1170</v>
      </c>
      <c r="FA2" s="17" t="s">
        <v>1096</v>
      </c>
      <c r="FB2" s="17" t="s">
        <v>1322</v>
      </c>
      <c r="FC2" s="17" t="s">
        <v>1231</v>
      </c>
      <c r="FD2" s="17" t="s">
        <v>1356</v>
      </c>
      <c r="FE2" s="17" t="s">
        <v>1248</v>
      </c>
      <c r="FF2" s="17" t="s">
        <v>1261</v>
      </c>
      <c r="FG2" s="17" t="s">
        <v>1251</v>
      </c>
      <c r="FH2" s="17" t="s">
        <v>1337</v>
      </c>
      <c r="FI2" s="17" t="s">
        <v>471</v>
      </c>
      <c r="FJ2" s="17" t="s">
        <v>1326</v>
      </c>
      <c r="FK2" s="17" t="s">
        <v>1224</v>
      </c>
      <c r="FL2" s="17" t="s">
        <v>972</v>
      </c>
      <c r="FM2" s="17" t="s">
        <v>1069</v>
      </c>
      <c r="FN2" s="17" t="s">
        <v>972</v>
      </c>
      <c r="FO2" s="17" t="s">
        <v>1181</v>
      </c>
      <c r="FP2" s="17" t="s">
        <v>1345</v>
      </c>
      <c r="FQ2" s="17" t="s">
        <v>1220</v>
      </c>
      <c r="FR2" s="17" t="s">
        <v>972</v>
      </c>
      <c r="FS2" s="17" t="s">
        <v>1176</v>
      </c>
      <c r="FT2" s="17" t="s">
        <v>1327</v>
      </c>
      <c r="FU2" s="17" t="s">
        <v>1175</v>
      </c>
      <c r="FV2" s="17" t="s">
        <v>1350</v>
      </c>
      <c r="FW2" s="17" t="s">
        <v>1244</v>
      </c>
      <c r="FX2" s="17" t="s">
        <v>1263</v>
      </c>
      <c r="FY2" s="17" t="s">
        <v>475</v>
      </c>
      <c r="FZ2" s="17" t="s">
        <v>1351</v>
      </c>
      <c r="GA2" s="17" t="s">
        <v>1259</v>
      </c>
      <c r="GB2" s="17" t="s">
        <v>972</v>
      </c>
      <c r="GC2" s="17" t="s">
        <v>1221</v>
      </c>
      <c r="GD2" s="17" t="s">
        <v>1360</v>
      </c>
      <c r="GE2" s="17" t="s">
        <v>1229</v>
      </c>
      <c r="GF2" s="17" t="s">
        <v>1346</v>
      </c>
      <c r="GG2" s="17" t="s">
        <v>1227</v>
      </c>
      <c r="GH2" s="17" t="s">
        <v>1341</v>
      </c>
      <c r="GI2" s="17" t="s">
        <v>1228</v>
      </c>
      <c r="GJ2" s="17" t="s">
        <v>1260</v>
      </c>
      <c r="GK2" s="17" t="s">
        <v>476</v>
      </c>
      <c r="GL2" s="17" t="s">
        <v>1211</v>
      </c>
      <c r="GM2" s="17" t="s">
        <v>1237</v>
      </c>
      <c r="GN2" s="17" t="s">
        <v>1352</v>
      </c>
    </row>
    <row r="3" spans="1:196" s="17" customFormat="1"/>
  </sheetData>
  <phoneticPr fontId="11" type="noConversion"/>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B2:G95"/>
  <sheetViews>
    <sheetView showGridLines="0" zoomScale="115" zoomScaleNormal="115" workbookViewId="0"/>
  </sheetViews>
  <sheetFormatPr defaultRowHeight="11.25"/>
  <cols>
    <col min="1" max="1" width="9.140625" style="2438"/>
    <col min="2" max="2" width="35" style="2438" bestFit="1" customWidth="1"/>
    <col min="3" max="3" width="35" style="2438" customWidth="1"/>
    <col min="4" max="4" width="12.140625" style="2438" bestFit="1" customWidth="1"/>
    <col min="5" max="5" width="35.28515625" style="2438" bestFit="1" customWidth="1"/>
    <col min="6" max="6" width="16.7109375" style="2438" customWidth="1"/>
    <col min="7" max="7" width="39.5703125" style="2438" bestFit="1" customWidth="1"/>
    <col min="8" max="8" width="2" style="2438" bestFit="1" customWidth="1"/>
    <col min="9" max="9" width="18" style="2438" bestFit="1" customWidth="1"/>
    <col min="10" max="10" width="2" style="2438" bestFit="1" customWidth="1"/>
    <col min="11" max="11" width="12" style="2438" bestFit="1" customWidth="1"/>
    <col min="12" max="12" width="10.42578125" style="2438" bestFit="1" customWidth="1"/>
    <col min="13" max="16384" width="9.140625" style="2438"/>
  </cols>
  <sheetData>
    <row r="2" spans="2:6">
      <c r="B2" s="2507"/>
      <c r="C2" s="2493">
        <f>+Q_IS!L$4</f>
        <v>2016</v>
      </c>
      <c r="D2" s="2493">
        <f>+Q_IS!M$4</f>
        <v>2017</v>
      </c>
      <c r="E2" s="2507"/>
    </row>
    <row r="3" spans="2:6" customFormat="1" ht="12.75">
      <c r="B3" s="2444" t="s">
        <v>204</v>
      </c>
      <c r="C3" s="2508">
        <f>+Q_IS!L10/Q_IS!L9</f>
        <v>0.64847183379944062</v>
      </c>
      <c r="D3" s="2508">
        <f>+Q_IS!M10/Q_IS!M9</f>
        <v>0.69488097090399881</v>
      </c>
      <c r="E3" s="2444"/>
    </row>
    <row r="4" spans="2:6" customFormat="1" ht="12.75">
      <c r="B4" s="2444" t="s">
        <v>1777</v>
      </c>
      <c r="C4" s="2508"/>
      <c r="D4" s="2508">
        <f>20/70</f>
        <v>0.2857142857142857</v>
      </c>
      <c r="E4" s="2444"/>
    </row>
    <row r="5" spans="2:6" customFormat="1" ht="12.75">
      <c r="B5" s="2444" t="s">
        <v>1778</v>
      </c>
      <c r="C5" s="2508">
        <f t="shared" ref="C5" si="0">1-C4</f>
        <v>1</v>
      </c>
      <c r="D5" s="2508">
        <f>1-D4</f>
        <v>0.7142857142857143</v>
      </c>
      <c r="E5" s="2444"/>
    </row>
    <row r="6" spans="2:6">
      <c r="B6" s="2444" t="s">
        <v>1776</v>
      </c>
      <c r="C6" s="2508">
        <f>1-C3</f>
        <v>0.35152816620055938</v>
      </c>
      <c r="D6" s="2508">
        <f>1-D3</f>
        <v>0.30511902909600119</v>
      </c>
      <c r="E6" s="2444"/>
    </row>
    <row r="7" spans="2:6">
      <c r="B7" s="2444"/>
      <c r="C7" s="2508"/>
      <c r="D7" s="2508"/>
      <c r="E7" s="2444"/>
    </row>
    <row r="8" spans="2:6">
      <c r="B8" s="2444"/>
      <c r="C8" s="2508"/>
      <c r="D8" s="2508"/>
      <c r="E8" s="2444"/>
    </row>
    <row r="10" spans="2:6">
      <c r="B10" s="2439"/>
      <c r="C10" s="2491">
        <f>+Q_IS!L$4</f>
        <v>2016</v>
      </c>
      <c r="D10" s="2491">
        <f>+Q_IS!M$4</f>
        <v>2017</v>
      </c>
      <c r="E10" s="2439"/>
      <c r="F10" s="1401"/>
    </row>
    <row r="11" spans="2:6">
      <c r="B11" s="2489"/>
      <c r="C11" s="2492" t="s">
        <v>44</v>
      </c>
      <c r="D11" s="2492" t="s">
        <v>44</v>
      </c>
      <c r="E11" s="2440" t="s">
        <v>1726</v>
      </c>
    </row>
    <row r="12" spans="2:6">
      <c r="B12" s="2441" t="s">
        <v>280</v>
      </c>
      <c r="C12" s="2494">
        <f>+SUM(C13:C18)</f>
        <v>1596.03851868224</v>
      </c>
      <c r="D12" s="2494">
        <f>+SUM(D13:D18)</f>
        <v>1791.9754722489999</v>
      </c>
      <c r="E12" s="2443" t="s">
        <v>1308</v>
      </c>
    </row>
    <row r="13" spans="2:6">
      <c r="B13" s="2444" t="s">
        <v>204</v>
      </c>
      <c r="C13" s="2495">
        <f>+'Annual historicals'!Q152</f>
        <v>289.95299999999997</v>
      </c>
      <c r="D13" s="2495">
        <f>+'Annual historicals'!R152</f>
        <v>294.15499999999997</v>
      </c>
      <c r="E13" s="2443" t="s">
        <v>1740</v>
      </c>
    </row>
    <row r="14" spans="2:6">
      <c r="B14" s="2444" t="s">
        <v>1727</v>
      </c>
      <c r="C14" s="2495">
        <f>+'Annual historicals'!Q150</f>
        <v>541.37800000000004</v>
      </c>
      <c r="D14" s="2495">
        <f>+'Annual historicals'!R150</f>
        <v>575.33600000000001</v>
      </c>
      <c r="E14" s="2443" t="s">
        <v>1740</v>
      </c>
    </row>
    <row r="15" spans="2:6">
      <c r="B15" s="2444" t="s">
        <v>1741</v>
      </c>
      <c r="C15" s="2495">
        <f>+'Annual historicals'!Q151</f>
        <v>194.256</v>
      </c>
      <c r="D15" s="2495">
        <f>+'Annual historicals'!R151</f>
        <v>271.14400000000001</v>
      </c>
      <c r="E15" s="2443" t="s">
        <v>1740</v>
      </c>
    </row>
    <row r="16" spans="2:6">
      <c r="B16" s="2444" t="s">
        <v>1742</v>
      </c>
      <c r="C16" s="2495">
        <f>-'Annual historicals'!Q98</f>
        <v>207.44300000000001</v>
      </c>
      <c r="D16" s="2495">
        <f>-'Annual historicals'!R98</f>
        <v>217.14099999999999</v>
      </c>
      <c r="E16" s="2443" t="s">
        <v>1743</v>
      </c>
    </row>
    <row r="17" spans="2:5">
      <c r="B17" s="2444" t="s">
        <v>1744</v>
      </c>
      <c r="C17" s="2495">
        <f>-'Annual historicals'!Q100</f>
        <v>311.00400000000002</v>
      </c>
      <c r="D17" s="2495">
        <f>-'Annual historicals'!R100</f>
        <v>367.21699999999998</v>
      </c>
      <c r="E17" s="2443" t="s">
        <v>1743</v>
      </c>
    </row>
    <row r="18" spans="2:5">
      <c r="B18" s="2444" t="s">
        <v>1728</v>
      </c>
      <c r="C18" s="2495">
        <f>+C47</f>
        <v>52.004518682240004</v>
      </c>
      <c r="D18" s="2495">
        <f>+D47</f>
        <v>66.982472248999997</v>
      </c>
      <c r="E18" s="2443" t="s">
        <v>1729</v>
      </c>
    </row>
    <row r="19" spans="2:5">
      <c r="B19" s="2445" t="s">
        <v>1730</v>
      </c>
      <c r="C19" s="2496">
        <f>+SUM(C20:C22)</f>
        <v>370.30399999999997</v>
      </c>
      <c r="D19" s="2496">
        <f>+SUM(D20:D22)</f>
        <v>429.08</v>
      </c>
      <c r="E19" s="2447" t="s">
        <v>1308</v>
      </c>
    </row>
    <row r="20" spans="2:5">
      <c r="B20" s="2448" t="s">
        <v>1730</v>
      </c>
      <c r="C20" s="2497">
        <f>+'Annual historicals'!Q153</f>
        <v>168.322</v>
      </c>
      <c r="D20" s="2497">
        <f>+'Annual historicals'!R153</f>
        <v>175.28299999999999</v>
      </c>
      <c r="E20" s="2449" t="s">
        <v>1740</v>
      </c>
    </row>
    <row r="21" spans="2:5">
      <c r="B21" s="2448" t="s">
        <v>1745</v>
      </c>
      <c r="C21" s="2497">
        <f>-'Annual historicals'!Q80</f>
        <v>44.832999999999998</v>
      </c>
      <c r="D21" s="2497">
        <f>-'Annual historicals'!R80</f>
        <v>46.042999999999999</v>
      </c>
      <c r="E21" s="2449" t="s">
        <v>1740</v>
      </c>
    </row>
    <row r="22" spans="2:5">
      <c r="B22" s="2450" t="s">
        <v>1746</v>
      </c>
      <c r="C22" s="2498">
        <f>-'Annual historicals'!Q99</f>
        <v>157.149</v>
      </c>
      <c r="D22" s="2498">
        <f>-'Annual historicals'!R99</f>
        <v>207.75399999999999</v>
      </c>
      <c r="E22" s="2451" t="s">
        <v>1743</v>
      </c>
    </row>
    <row r="23" spans="2:5">
      <c r="B23" s="2452" t="s">
        <v>397</v>
      </c>
      <c r="C23" s="2496">
        <f>+C24+C25</f>
        <v>265.12700000000001</v>
      </c>
      <c r="D23" s="2496">
        <f>+D24+D25</f>
        <v>271.05899999999997</v>
      </c>
      <c r="E23" s="2447"/>
    </row>
    <row r="24" spans="2:5">
      <c r="B24" s="2448" t="s">
        <v>169</v>
      </c>
      <c r="C24" s="2497">
        <f>-Q_IS!L$153</f>
        <v>109.14399999999999</v>
      </c>
      <c r="D24" s="2497">
        <f>-Q_IS!M$153</f>
        <v>106.82000000000001</v>
      </c>
      <c r="E24" s="2443" t="s">
        <v>1747</v>
      </c>
    </row>
    <row r="25" spans="2:5">
      <c r="B25" s="2450" t="s">
        <v>50</v>
      </c>
      <c r="C25" s="2498">
        <f>-Q_IS!L$165</f>
        <v>155.983</v>
      </c>
      <c r="D25" s="2498">
        <f>-Q_IS!M$165</f>
        <v>164.23899999999998</v>
      </c>
      <c r="E25" s="2451" t="s">
        <v>1747</v>
      </c>
    </row>
    <row r="26" spans="2:5">
      <c r="B26" s="2453" t="s">
        <v>1748</v>
      </c>
      <c r="C26" s="2498"/>
      <c r="D26" s="2498"/>
      <c r="E26" s="2451"/>
    </row>
    <row r="27" spans="2:5">
      <c r="B27" s="2453" t="s">
        <v>1731</v>
      </c>
      <c r="C27" s="2499">
        <f>-Q_IS!$M$113</f>
        <v>-152.089</v>
      </c>
      <c r="D27" s="2499">
        <f>-Q_IS!$M$113</f>
        <v>-152.089</v>
      </c>
      <c r="E27" s="2455" t="s">
        <v>1734</v>
      </c>
    </row>
    <row r="28" spans="2:5">
      <c r="B28" s="2456" t="s">
        <v>1749</v>
      </c>
      <c r="C28" s="2494">
        <f>+C29+C30</f>
        <v>-8.4710000000000001</v>
      </c>
      <c r="D28" s="2494">
        <f>+D29+D30</f>
        <v>-45.664000000000001</v>
      </c>
      <c r="E28" s="2443" t="s">
        <v>1308</v>
      </c>
    </row>
    <row r="29" spans="2:5">
      <c r="B29" s="2448" t="s">
        <v>1750</v>
      </c>
      <c r="C29" s="2500">
        <f>+'Annual historicals'!Q156</f>
        <v>-8.4710000000000001</v>
      </c>
      <c r="D29" s="2500">
        <f>+'Annual historicals'!R156</f>
        <v>-10.984999999999999</v>
      </c>
      <c r="E29" s="2443" t="s">
        <v>1740</v>
      </c>
    </row>
    <row r="30" spans="2:5">
      <c r="B30" s="2457" t="s">
        <v>1751</v>
      </c>
      <c r="C30" s="2490"/>
      <c r="D30" s="2509">
        <v>-34.679000000000002</v>
      </c>
      <c r="E30" s="2458" t="s">
        <v>1758</v>
      </c>
    </row>
    <row r="31" spans="2:5">
      <c r="B31" s="2459" t="s">
        <v>138</v>
      </c>
      <c r="C31" s="2460">
        <f>+C12+C19+C23+C27+C28+C26</f>
        <v>2070.9095186822401</v>
      </c>
      <c r="D31" s="2460">
        <f>+D12+D19+D23+D27+D28+D26</f>
        <v>2294.3614722489997</v>
      </c>
      <c r="E31" s="2461"/>
    </row>
    <row r="32" spans="2:5">
      <c r="C32" s="2467"/>
      <c r="D32" s="2467"/>
      <c r="E32" s="2462"/>
    </row>
    <row r="33" spans="2:5">
      <c r="B33" s="2438" t="s">
        <v>1732</v>
      </c>
      <c r="C33" s="2468">
        <f>Q_IS!L16</f>
        <v>2635.9530399999999</v>
      </c>
      <c r="D33" s="2468">
        <f>Q_IS!M16</f>
        <v>2585.9814900000001</v>
      </c>
      <c r="E33" s="2443" t="s">
        <v>1740</v>
      </c>
    </row>
    <row r="34" spans="2:5">
      <c r="C34" s="2463"/>
      <c r="D34" s="2463"/>
      <c r="E34" s="2443"/>
    </row>
    <row r="35" spans="2:5">
      <c r="B35" s="2438" t="s">
        <v>1752</v>
      </c>
      <c r="C35" s="2470">
        <f>+C72/C33*1000</f>
        <v>237.54537636419445</v>
      </c>
      <c r="D35" s="2470">
        <f>+D72/D33*1000</f>
        <v>268.26224550749566</v>
      </c>
      <c r="E35" s="2443"/>
    </row>
    <row r="36" spans="2:5">
      <c r="B36" s="2471" t="s">
        <v>1753</v>
      </c>
      <c r="C36" s="2472">
        <f>+C31/C33*1000</f>
        <v>785.63976188370953</v>
      </c>
      <c r="D36" s="2472">
        <f>+D31/D33*1000</f>
        <v>887.23043112307801</v>
      </c>
      <c r="E36" s="2443"/>
    </row>
    <row r="37" spans="2:5">
      <c r="B37" s="2473" t="s">
        <v>1754</v>
      </c>
      <c r="C37" s="2503">
        <f>+C35/2204.62*100</f>
        <v>10.774889838801901</v>
      </c>
      <c r="D37" s="2503">
        <f>+D35/2204.62*100</f>
        <v>12.168185243148283</v>
      </c>
      <c r="E37" s="2449"/>
    </row>
    <row r="38" spans="2:5">
      <c r="C38" s="2463"/>
      <c r="D38" s="2463"/>
      <c r="E38" s="2443"/>
    </row>
    <row r="39" spans="2:5">
      <c r="B39" s="2441" t="s">
        <v>1770</v>
      </c>
      <c r="C39" s="2463"/>
      <c r="D39" s="2463"/>
      <c r="E39" s="2443"/>
    </row>
    <row r="40" spans="2:5">
      <c r="B40" s="2438" t="s">
        <v>1733</v>
      </c>
      <c r="C40" s="2464">
        <f>+C41*C42</f>
        <v>38.398000000000003</v>
      </c>
      <c r="D40" s="2464">
        <f>+D41*D42</f>
        <v>40.15</v>
      </c>
    </row>
    <row r="41" spans="2:5">
      <c r="B41" s="2444" t="s">
        <v>1768</v>
      </c>
      <c r="C41" s="2464">
        <f>+Q_IS!L$5/1000</f>
        <v>52.6</v>
      </c>
      <c r="D41" s="2464">
        <f>+Q_IS!M$5/1000</f>
        <v>55</v>
      </c>
      <c r="E41" s="2443"/>
    </row>
    <row r="42" spans="2:5">
      <c r="B42" s="2444" t="s">
        <v>1769</v>
      </c>
      <c r="C42" s="1657">
        <v>0.73</v>
      </c>
      <c r="D42" s="1657">
        <v>0.73</v>
      </c>
      <c r="E42" s="2443" t="s">
        <v>1757</v>
      </c>
    </row>
    <row r="43" spans="2:5">
      <c r="B43" s="2438" t="s">
        <v>1735</v>
      </c>
      <c r="C43" s="2465">
        <f>+C44*C45*C46</f>
        <v>1354.3548800000001</v>
      </c>
      <c r="D43" s="2465">
        <f>+D44*D45*D46</f>
        <v>1668.30566</v>
      </c>
      <c r="E43" s="2443"/>
    </row>
    <row r="44" spans="2:5">
      <c r="B44" s="2466" t="s">
        <v>1736</v>
      </c>
      <c r="C44" s="602">
        <v>20</v>
      </c>
      <c r="D44" s="602">
        <v>20</v>
      </c>
      <c r="E44" s="2443" t="s">
        <v>1756</v>
      </c>
    </row>
    <row r="45" spans="2:5">
      <c r="B45" s="2466" t="s">
        <v>1141</v>
      </c>
      <c r="C45" s="602">
        <v>121.97</v>
      </c>
      <c r="D45" s="602">
        <v>121.97</v>
      </c>
      <c r="E45" s="2443" t="s">
        <v>1756</v>
      </c>
    </row>
    <row r="46" spans="2:5">
      <c r="B46" s="2457" t="s">
        <v>1737</v>
      </c>
      <c r="C46" s="2488">
        <v>0.55520000000000003</v>
      </c>
      <c r="D46" s="2488">
        <v>0.68389999999999995</v>
      </c>
      <c r="E46" s="2443" t="s">
        <v>1738</v>
      </c>
    </row>
    <row r="47" spans="2:5">
      <c r="B47" s="2441" t="s">
        <v>1739</v>
      </c>
      <c r="C47" s="2469">
        <f>+C40*C43/1000</f>
        <v>52.004518682240004</v>
      </c>
      <c r="D47" s="2469">
        <f>+D40*D43/1000</f>
        <v>66.982472248999997</v>
      </c>
      <c r="E47" s="2443"/>
    </row>
    <row r="48" spans="2:5">
      <c r="E48" s="2443"/>
    </row>
    <row r="49" spans="2:7">
      <c r="B49" s="2441" t="s">
        <v>115</v>
      </c>
      <c r="C49" s="2501">
        <f>+Inputs!N155</f>
        <v>3.5905875000000003</v>
      </c>
      <c r="D49" s="2501">
        <f>+Inputs!O155</f>
        <v>3.3073250000000001</v>
      </c>
      <c r="E49" s="2443" t="s">
        <v>1755</v>
      </c>
    </row>
    <row r="50" spans="2:7">
      <c r="B50" s="2441"/>
      <c r="C50" s="2441"/>
      <c r="D50" s="2441"/>
      <c r="G50" s="2443"/>
    </row>
    <row r="51" spans="2:7">
      <c r="B51" s="2439"/>
      <c r="C51" s="2491">
        <f>+Q_IS!L$4</f>
        <v>2016</v>
      </c>
      <c r="D51" s="2491">
        <f>+Q_IS!M$4</f>
        <v>2017</v>
      </c>
    </row>
    <row r="52" spans="2:7">
      <c r="B52" s="2489"/>
      <c r="C52" s="2493" t="s">
        <v>1305</v>
      </c>
      <c r="D52" s="2493" t="s">
        <v>1305</v>
      </c>
    </row>
    <row r="53" spans="2:7">
      <c r="B53" s="2441" t="s">
        <v>280</v>
      </c>
      <c r="C53" s="2442">
        <f>+SUM(C54:C59)</f>
        <v>482.57686156704887</v>
      </c>
      <c r="D53" s="2442">
        <f>+SUM(D54:D59)</f>
        <v>541.82019373632772</v>
      </c>
    </row>
    <row r="54" spans="2:7">
      <c r="B54" s="2444" t="s">
        <v>204</v>
      </c>
      <c r="C54" s="2474">
        <f t="shared" ref="C54:D59" si="1">+C13/$D$49</f>
        <v>87.669944743863994</v>
      </c>
      <c r="D54" s="2474">
        <f t="shared" si="1"/>
        <v>88.940457922943764</v>
      </c>
    </row>
    <row r="55" spans="2:7">
      <c r="B55" s="2444" t="s">
        <v>1727</v>
      </c>
      <c r="C55" s="2474">
        <f t="shared" si="1"/>
        <v>163.69059587430931</v>
      </c>
      <c r="D55" s="2474">
        <f t="shared" si="1"/>
        <v>173.95810813875261</v>
      </c>
    </row>
    <row r="56" spans="2:7">
      <c r="B56" s="2444" t="s">
        <v>1741</v>
      </c>
      <c r="C56" s="2474">
        <f t="shared" si="1"/>
        <v>58.735080465330739</v>
      </c>
      <c r="D56" s="2474">
        <f t="shared" si="1"/>
        <v>81.982871353737536</v>
      </c>
    </row>
    <row r="57" spans="2:7">
      <c r="B57" s="2444" t="s">
        <v>1742</v>
      </c>
      <c r="C57" s="2474">
        <f t="shared" si="1"/>
        <v>62.722290672975895</v>
      </c>
      <c r="D57" s="2474">
        <f t="shared" si="1"/>
        <v>65.654569780714013</v>
      </c>
    </row>
    <row r="58" spans="2:7">
      <c r="B58" s="2444" t="s">
        <v>1744</v>
      </c>
      <c r="C58" s="2474">
        <f t="shared" si="1"/>
        <v>94.034907364713177</v>
      </c>
      <c r="D58" s="2474">
        <f t="shared" si="1"/>
        <v>111.03142267542499</v>
      </c>
    </row>
    <row r="59" spans="2:7">
      <c r="B59" s="2444" t="s">
        <v>1728</v>
      </c>
      <c r="C59" s="2474">
        <f t="shared" si="1"/>
        <v>15.72404244585579</v>
      </c>
      <c r="D59" s="2474">
        <f t="shared" si="1"/>
        <v>20.252763864754748</v>
      </c>
    </row>
    <row r="60" spans="2:7">
      <c r="B60" s="2445" t="s">
        <v>1730</v>
      </c>
      <c r="C60" s="2446">
        <f>+SUM(C61:C63)</f>
        <v>111.96480539408736</v>
      </c>
      <c r="D60" s="2446">
        <f>+SUM(D61:D63)</f>
        <v>129.73626722502323</v>
      </c>
    </row>
    <row r="61" spans="2:7">
      <c r="B61" s="2448" t="s">
        <v>1730</v>
      </c>
      <c r="C61" s="2475">
        <f t="shared" ref="C61:D63" si="2">+C20/$D$49</f>
        <v>50.893698079263451</v>
      </c>
      <c r="D61" s="2475">
        <f t="shared" si="2"/>
        <v>52.99842017340297</v>
      </c>
    </row>
    <row r="62" spans="2:7">
      <c r="B62" s="2448" t="s">
        <v>1745</v>
      </c>
      <c r="C62" s="2475">
        <f t="shared" si="2"/>
        <v>13.555668100353003</v>
      </c>
      <c r="D62" s="2475">
        <f t="shared" si="2"/>
        <v>13.921522680716288</v>
      </c>
    </row>
    <row r="63" spans="2:7">
      <c r="B63" s="2450" t="s">
        <v>1746</v>
      </c>
      <c r="C63" s="2454">
        <f t="shared" si="2"/>
        <v>47.515439214470909</v>
      </c>
      <c r="D63" s="2454">
        <f t="shared" si="2"/>
        <v>62.816324370903978</v>
      </c>
    </row>
    <row r="64" spans="2:7">
      <c r="B64" s="2452" t="s">
        <v>397</v>
      </c>
      <c r="C64" s="2446">
        <f>+C65+C66</f>
        <v>80.163576304112837</v>
      </c>
      <c r="D64" s="2446">
        <f>+D65+D66</f>
        <v>81.957170825364898</v>
      </c>
    </row>
    <row r="65" spans="2:4">
      <c r="B65" s="2448" t="s">
        <v>169</v>
      </c>
      <c r="C65" s="2475">
        <f t="shared" ref="C65:D68" si="3">+C24/$D$49</f>
        <v>33.00068786708291</v>
      </c>
      <c r="D65" s="2475">
        <f t="shared" si="3"/>
        <v>32.298005185459552</v>
      </c>
    </row>
    <row r="66" spans="2:4">
      <c r="B66" s="2450" t="s">
        <v>50</v>
      </c>
      <c r="C66" s="2454">
        <f t="shared" si="3"/>
        <v>47.162888437029928</v>
      </c>
      <c r="D66" s="2454">
        <f t="shared" si="3"/>
        <v>49.659165639905353</v>
      </c>
    </row>
    <row r="67" spans="2:4">
      <c r="B67" s="2453" t="s">
        <v>1748</v>
      </c>
      <c r="C67" s="2454">
        <f t="shared" si="3"/>
        <v>0</v>
      </c>
      <c r="D67" s="2454">
        <f t="shared" si="3"/>
        <v>0</v>
      </c>
    </row>
    <row r="68" spans="2:4">
      <c r="B68" s="2453" t="s">
        <v>1731</v>
      </c>
      <c r="C68" s="2476">
        <f t="shared" si="3"/>
        <v>-45.985501878406261</v>
      </c>
      <c r="D68" s="2476">
        <f t="shared" si="3"/>
        <v>-45.985501878406261</v>
      </c>
    </row>
    <row r="69" spans="2:4">
      <c r="B69" s="2456" t="s">
        <v>1749</v>
      </c>
      <c r="C69" s="2442">
        <f>+C70+C71</f>
        <v>-2.5612844217003166</v>
      </c>
      <c r="D69" s="2442">
        <f>+D70+D71</f>
        <v>-13.806928560090103</v>
      </c>
    </row>
    <row r="70" spans="2:4">
      <c r="B70" s="2448" t="s">
        <v>1750</v>
      </c>
      <c r="C70" s="2477">
        <f>+C29/$D$49</f>
        <v>-2.5612844217003166</v>
      </c>
      <c r="D70" s="2477">
        <f>+D29/$D$49</f>
        <v>-3.3214153432154383</v>
      </c>
    </row>
    <row r="71" spans="2:4">
      <c r="B71" s="2457" t="s">
        <v>1751</v>
      </c>
      <c r="C71" s="2478">
        <f>+C30/$D$49</f>
        <v>0</v>
      </c>
      <c r="D71" s="2478">
        <f>+D30/$D$49</f>
        <v>-10.485513216874665</v>
      </c>
    </row>
    <row r="72" spans="2:4">
      <c r="B72" s="2459" t="s">
        <v>138</v>
      </c>
      <c r="C72" s="2460">
        <f>+C53+C60+C64+C68+C69+C67</f>
        <v>626.15845696514248</v>
      </c>
      <c r="D72" s="2460">
        <f>+D53+D60+D64+D68+D69+D67</f>
        <v>693.72120134821944</v>
      </c>
    </row>
    <row r="73" spans="2:4">
      <c r="B73" s="2459"/>
      <c r="C73" s="2460"/>
      <c r="D73" s="2460"/>
    </row>
    <row r="74" spans="2:4">
      <c r="B74" s="2439"/>
      <c r="C74" s="2491">
        <f>+Q_IS!L$4</f>
        <v>2016</v>
      </c>
      <c r="D74" s="2491">
        <f>+Q_IS!M$4</f>
        <v>2017</v>
      </c>
    </row>
    <row r="75" spans="2:4">
      <c r="B75" s="2489"/>
      <c r="C75" s="2493" t="s">
        <v>1725</v>
      </c>
      <c r="D75" s="2493" t="s">
        <v>1725</v>
      </c>
    </row>
    <row r="76" spans="2:4">
      <c r="B76" s="2441" t="s">
        <v>280</v>
      </c>
      <c r="C76" s="2479">
        <f>+SUM(C77:C82)</f>
        <v>8.3041480384080621</v>
      </c>
      <c r="D76" s="2479">
        <f>+SUM(D77:D82)</f>
        <v>9.5037725141583618</v>
      </c>
    </row>
    <row r="77" spans="2:4">
      <c r="B77" s="2444" t="s">
        <v>204</v>
      </c>
      <c r="C77" s="2480">
        <f t="shared" ref="C77:D82" si="4">+C54/C$33*1000/2204.62*100</f>
        <v>1.5086181241844521</v>
      </c>
      <c r="D77" s="2480">
        <f t="shared" si="4"/>
        <v>1.5600560650496442</v>
      </c>
    </row>
    <row r="78" spans="2:4">
      <c r="B78" s="2444" t="s">
        <v>1727</v>
      </c>
      <c r="C78" s="2480">
        <f t="shared" si="4"/>
        <v>2.8167760389950454</v>
      </c>
      <c r="D78" s="2480">
        <f t="shared" si="4"/>
        <v>3.051304299574721</v>
      </c>
    </row>
    <row r="79" spans="2:4">
      <c r="B79" s="2444" t="s">
        <v>1741</v>
      </c>
      <c r="C79" s="2480">
        <f t="shared" si="4"/>
        <v>1.0107090539900432</v>
      </c>
      <c r="D79" s="2480">
        <f t="shared" si="4"/>
        <v>1.438016833648317</v>
      </c>
    </row>
    <row r="80" spans="2:4">
      <c r="B80" s="2444" t="s">
        <v>1742</v>
      </c>
      <c r="C80" s="2480">
        <f t="shared" si="4"/>
        <v>1.0793206814042116</v>
      </c>
      <c r="D80" s="2480">
        <f t="shared" si="4"/>
        <v>1.1516110010740757</v>
      </c>
    </row>
    <row r="81" spans="2:4">
      <c r="B81" s="2444" t="s">
        <v>1744</v>
      </c>
      <c r="C81" s="2480">
        <f t="shared" si="4"/>
        <v>1.6181459446664164</v>
      </c>
      <c r="D81" s="2480">
        <f t="shared" si="4"/>
        <v>1.9475416295467871</v>
      </c>
    </row>
    <row r="82" spans="2:4">
      <c r="B82" s="2444" t="s">
        <v>1728</v>
      </c>
      <c r="C82" s="2480">
        <f t="shared" si="4"/>
        <v>0.2705781951678935</v>
      </c>
      <c r="D82" s="2480">
        <f t="shared" si="4"/>
        <v>0.35524268526481589</v>
      </c>
    </row>
    <row r="83" spans="2:4">
      <c r="B83" s="2445" t="s">
        <v>1730</v>
      </c>
      <c r="C83" s="2481">
        <f>+SUM(C84:C86)</f>
        <v>1.9266823445799814</v>
      </c>
      <c r="D83" s="2481">
        <f>+SUM(D84:D86)</f>
        <v>2.2756331063266009</v>
      </c>
    </row>
    <row r="84" spans="2:4">
      <c r="B84" s="2448" t="s">
        <v>1730</v>
      </c>
      <c r="C84" s="2482">
        <f t="shared" ref="C84:D86" si="5">+C61/C$33*1000/2204.62*100</f>
        <v>0.87577510803121661</v>
      </c>
      <c r="D84" s="2482">
        <f t="shared" si="5"/>
        <v>0.92961638336964103</v>
      </c>
    </row>
    <row r="85" spans="2:4">
      <c r="B85" s="2448" t="s">
        <v>1745</v>
      </c>
      <c r="C85" s="2482">
        <f t="shared" si="5"/>
        <v>0.23326496487900292</v>
      </c>
      <c r="D85" s="2482">
        <f t="shared" si="5"/>
        <v>0.2441898366612186</v>
      </c>
    </row>
    <row r="86" spans="2:4">
      <c r="B86" s="2450" t="s">
        <v>1746</v>
      </c>
      <c r="C86" s="2483">
        <f t="shared" si="5"/>
        <v>0.81764227166976189</v>
      </c>
      <c r="D86" s="2483">
        <f t="shared" si="5"/>
        <v>1.1018268862957412</v>
      </c>
    </row>
    <row r="87" spans="2:4">
      <c r="B87" s="2452" t="s">
        <v>397</v>
      </c>
      <c r="C87" s="2484">
        <f>+C88+C89</f>
        <v>1.3794490741970296</v>
      </c>
      <c r="D87" s="2484">
        <f>+D88+D89</f>
        <v>1.4375660346969845</v>
      </c>
    </row>
    <row r="88" spans="2:4">
      <c r="B88" s="2448" t="s">
        <v>169</v>
      </c>
      <c r="C88" s="2482">
        <f t="shared" ref="C88:D91" si="6">+C65/C$33*1000/2204.62*100</f>
        <v>0.56787347103147012</v>
      </c>
      <c r="D88" s="2482">
        <f t="shared" si="6"/>
        <v>0.56652169389812523</v>
      </c>
    </row>
    <row r="89" spans="2:4">
      <c r="B89" s="2450" t="s">
        <v>50</v>
      </c>
      <c r="C89" s="2483">
        <f t="shared" si="6"/>
        <v>0.81157560316555932</v>
      </c>
      <c r="D89" s="2483">
        <f t="shared" si="6"/>
        <v>0.87104434079885928</v>
      </c>
    </row>
    <row r="90" spans="2:4">
      <c r="B90" s="2453" t="s">
        <v>1748</v>
      </c>
      <c r="C90" s="2483">
        <f t="shared" si="6"/>
        <v>0</v>
      </c>
      <c r="D90" s="2483">
        <f t="shared" si="6"/>
        <v>0</v>
      </c>
    </row>
    <row r="91" spans="2:4">
      <c r="B91" s="2453" t="s">
        <v>1731</v>
      </c>
      <c r="C91" s="2485">
        <f t="shared" si="6"/>
        <v>-0.79131521967039187</v>
      </c>
      <c r="D91" s="2485">
        <f t="shared" si="6"/>
        <v>-0.80660660834368048</v>
      </c>
    </row>
    <row r="92" spans="2:4">
      <c r="B92" s="2456" t="s">
        <v>1749</v>
      </c>
      <c r="C92" s="2479">
        <f>+C93+C94</f>
        <v>-4.4074398712779295E-2</v>
      </c>
      <c r="D92" s="2479">
        <f>+D93+D94</f>
        <v>-0.24217980368998304</v>
      </c>
    </row>
    <row r="93" spans="2:4">
      <c r="B93" s="2448" t="s">
        <v>1750</v>
      </c>
      <c r="C93" s="2480">
        <f>+C70/C$33*1000/2204.62*100</f>
        <v>-4.4074398712779295E-2</v>
      </c>
      <c r="D93" s="2480">
        <f>+D70/D$33*1000/2204.62*100</f>
        <v>-5.8259135063386105E-2</v>
      </c>
    </row>
    <row r="94" spans="2:4">
      <c r="B94" s="2457" t="s">
        <v>1751</v>
      </c>
      <c r="C94" s="2486">
        <f>+C71/C$33*1000/2204.62*100</f>
        <v>0</v>
      </c>
      <c r="D94" s="2486">
        <f>+D71/D$33*1000/2204.62*100</f>
        <v>-0.18392066862659692</v>
      </c>
    </row>
    <row r="95" spans="2:4">
      <c r="B95" s="2459" t="s">
        <v>138</v>
      </c>
      <c r="C95" s="2487">
        <f>+C76+C83+C87+C91+C92+C90</f>
        <v>10.774889838801904</v>
      </c>
      <c r="D95" s="2487">
        <f>+D76+D83+D87+D91+D92+D90</f>
        <v>12.168185243148285</v>
      </c>
    </row>
  </sheetData>
  <pageMargins left="0.7" right="0.7" top="0.75" bottom="0.75" header="0.3" footer="0.3"/>
  <pageSetup orientation="portrait" r:id="rId1"/>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CB444"/>
  <sheetViews>
    <sheetView showGridLines="0" zoomScale="90" zoomScaleNormal="90" workbookViewId="0">
      <pane xSplit="1" ySplit="4" topLeftCell="B5" activePane="bottomRight" state="frozen"/>
      <selection activeCell="AC362" sqref="AC362"/>
      <selection pane="topRight" activeCell="AC362" sqref="AC362"/>
      <selection pane="bottomLeft" activeCell="AC362" sqref="AC362"/>
      <selection pane="bottomRight"/>
    </sheetView>
  </sheetViews>
  <sheetFormatPr defaultRowHeight="11.25" outlineLevelCol="1"/>
  <cols>
    <col min="1" max="1" width="30.42578125" style="52" customWidth="1"/>
    <col min="2" max="38" width="7.85546875" style="52" customWidth="1"/>
    <col min="39" max="40" width="7.85546875" style="1401" customWidth="1"/>
    <col min="41" max="42" width="8" style="1401" customWidth="1"/>
    <col min="43" max="49" width="8" style="52" customWidth="1"/>
    <col min="50" max="61" width="8" style="52" hidden="1" customWidth="1" outlineLevel="1"/>
    <col min="62" max="64" width="8.140625" style="52" hidden="1" customWidth="1" outlineLevel="1"/>
    <col min="65" max="77" width="9.140625" style="52" hidden="1" customWidth="1" outlineLevel="1"/>
    <col min="78" max="78" width="9.140625" style="52" collapsed="1"/>
    <col min="79" max="16384" width="9.140625" style="52"/>
  </cols>
  <sheetData>
    <row r="1" spans="1:25" s="106" customFormat="1" ht="18">
      <c r="A1" s="112" t="str">
        <f>Index!B1</f>
        <v>São Martinho</v>
      </c>
      <c r="B1" s="127"/>
      <c r="C1" s="127"/>
      <c r="D1" s="127"/>
      <c r="E1" s="127"/>
      <c r="F1" s="127"/>
      <c r="G1" s="127"/>
      <c r="H1" s="127"/>
      <c r="I1" s="127"/>
      <c r="J1" s="127"/>
      <c r="K1" s="127"/>
      <c r="L1" s="127"/>
      <c r="M1" s="127"/>
      <c r="N1" s="127"/>
      <c r="O1" s="127"/>
      <c r="P1" s="127"/>
      <c r="Q1" s="127"/>
      <c r="R1" s="127"/>
      <c r="S1" s="127"/>
      <c r="T1" s="127"/>
      <c r="U1" s="127"/>
      <c r="V1" s="127"/>
      <c r="W1" s="431"/>
      <c r="X1" s="431"/>
      <c r="Y1" s="431"/>
    </row>
    <row r="2" spans="1:25" s="106" customFormat="1" ht="12.75">
      <c r="A2" s="170" t="s">
        <v>665</v>
      </c>
      <c r="B2" s="127"/>
      <c r="C2" s="127"/>
      <c r="D2" s="127"/>
      <c r="E2" s="127"/>
      <c r="F2" s="127"/>
      <c r="G2" s="127"/>
      <c r="H2" s="127"/>
      <c r="I2" s="127"/>
      <c r="J2" s="127"/>
      <c r="K2" s="127"/>
      <c r="L2" s="127"/>
      <c r="M2" s="127"/>
      <c r="N2" s="127"/>
      <c r="O2" s="127"/>
      <c r="P2" s="127"/>
      <c r="Q2" s="127"/>
      <c r="R2" s="127"/>
      <c r="S2" s="127"/>
      <c r="T2" s="127"/>
      <c r="U2" s="127"/>
      <c r="V2" s="127"/>
      <c r="W2" s="127"/>
      <c r="X2" s="127"/>
      <c r="Y2" s="432" t="s">
        <v>27</v>
      </c>
    </row>
    <row r="4" spans="1:25">
      <c r="A4" s="674" t="s">
        <v>41</v>
      </c>
      <c r="B4" s="675">
        <f>Financials!B$4</f>
        <v>2004</v>
      </c>
      <c r="C4" s="675">
        <f>Financials!C$4</f>
        <v>2005</v>
      </c>
      <c r="D4" s="675">
        <f>Financials!D$4</f>
        <v>2006</v>
      </c>
      <c r="E4" s="675">
        <f>Financials!E$4</f>
        <v>2007</v>
      </c>
      <c r="F4" s="675">
        <f>Financials!F$4</f>
        <v>2008</v>
      </c>
      <c r="G4" s="675">
        <f>Financials!G$4</f>
        <v>2009</v>
      </c>
      <c r="H4" s="675">
        <f>Financials!H$4</f>
        <v>2010</v>
      </c>
      <c r="I4" s="675">
        <f>Financials!I$4</f>
        <v>2011</v>
      </c>
      <c r="J4" s="675">
        <f>Financials!J$4</f>
        <v>2012</v>
      </c>
      <c r="K4" s="675">
        <f>Financials!K$4</f>
        <v>2013</v>
      </c>
      <c r="L4" s="675">
        <f>Financials!L$4</f>
        <v>2014</v>
      </c>
      <c r="M4" s="675">
        <f>Financials!M$4</f>
        <v>2015</v>
      </c>
      <c r="N4" s="675">
        <f>Financials!N$4</f>
        <v>2016</v>
      </c>
      <c r="O4" s="675">
        <f>Financials!O$4</f>
        <v>2017</v>
      </c>
      <c r="P4" s="490" t="str">
        <f>Financials!P$4&amp;"E"</f>
        <v>2018E</v>
      </c>
      <c r="Q4" s="490" t="str">
        <f>Financials!Q$4&amp;"E"</f>
        <v>2019E</v>
      </c>
      <c r="R4" s="490" t="str">
        <f>Financials!R$4&amp;"E"</f>
        <v>2020E</v>
      </c>
      <c r="S4" s="490" t="str">
        <f>Financials!S$4&amp;"E"</f>
        <v>2021E</v>
      </c>
      <c r="T4" s="490" t="str">
        <f>Financials!T$4&amp;"E"</f>
        <v>2022E</v>
      </c>
      <c r="U4" s="490" t="str">
        <f>Financials!U$4&amp;"E"</f>
        <v>2023E</v>
      </c>
      <c r="V4" s="490" t="str">
        <f>Financials!V$4&amp;"E"</f>
        <v>2024E</v>
      </c>
      <c r="W4" s="490" t="str">
        <f>Financials!W$4&amp;"E"</f>
        <v>2025E</v>
      </c>
    </row>
    <row r="5" spans="1:25">
      <c r="A5" s="52" t="s">
        <v>15</v>
      </c>
      <c r="B5" s="514" t="e">
        <f>NA()</f>
        <v>#N/A</v>
      </c>
      <c r="C5" s="514" t="e">
        <f>NA()</f>
        <v>#N/A</v>
      </c>
      <c r="D5" s="188">
        <f>Financials!D16</f>
        <v>13.545</v>
      </c>
      <c r="E5" s="188">
        <f>Financials!E16</f>
        <v>10.401666666666666</v>
      </c>
      <c r="F5" s="188">
        <f>Financials!F16</f>
        <v>12.4</v>
      </c>
      <c r="G5" s="188">
        <f>Financials!G16</f>
        <v>18.787500000000001</v>
      </c>
      <c r="H5" s="188">
        <f>Financials!H16</f>
        <v>23.440833333333334</v>
      </c>
      <c r="I5" s="188">
        <f>Financials!I16</f>
        <v>25.258333333333336</v>
      </c>
      <c r="J5" s="182">
        <f>Financials!J16</f>
        <v>20.410833333333333</v>
      </c>
      <c r="K5" s="182">
        <f>Financials!K16</f>
        <v>17.066666666666666</v>
      </c>
      <c r="L5" s="182">
        <f>Financials!L16</f>
        <v>15.978333333333333</v>
      </c>
      <c r="M5" s="182">
        <f>Financials!M16</f>
        <v>13.149166666666668</v>
      </c>
      <c r="N5" s="182">
        <f>Financials!N16</f>
        <v>19.252499999999998</v>
      </c>
      <c r="O5" s="182">
        <f>Financials!O16</f>
        <v>17.805000000000003</v>
      </c>
      <c r="P5" s="491">
        <f>Financials!P16</f>
        <v>16.244658605325153</v>
      </c>
      <c r="Q5" s="491">
        <f>Financials!Q16</f>
        <v>16.31531880717511</v>
      </c>
      <c r="R5" s="491">
        <f>Financials!R16</f>
        <v>16.498655235130911</v>
      </c>
      <c r="S5" s="491">
        <f>Financials!S16</f>
        <v>19.747444770453257</v>
      </c>
      <c r="T5" s="491">
        <f>Financials!T16</f>
        <v>20.93514679550681</v>
      </c>
      <c r="U5" s="491">
        <f>Financials!U16</f>
        <v>17.432162450241776</v>
      </c>
      <c r="V5" s="491">
        <f>Financials!V16</f>
        <v>15.017906650666538</v>
      </c>
      <c r="W5" s="491">
        <f>Financials!W16</f>
        <v>17.055276269110166</v>
      </c>
    </row>
    <row r="6" spans="1:25" s="1401" customFormat="1">
      <c r="D6" s="188"/>
      <c r="E6" s="188"/>
      <c r="F6" s="188"/>
      <c r="G6" s="188"/>
      <c r="H6" s="188"/>
      <c r="I6" s="188"/>
      <c r="J6" s="182"/>
      <c r="K6" s="182"/>
      <c r="L6" s="182"/>
      <c r="M6" s="182"/>
      <c r="N6" s="182"/>
      <c r="O6" s="182"/>
      <c r="P6" s="491"/>
      <c r="Q6" s="491"/>
      <c r="R6" s="491"/>
      <c r="S6" s="491"/>
      <c r="T6" s="491"/>
      <c r="U6" s="491"/>
      <c r="V6" s="491"/>
      <c r="W6" s="491"/>
    </row>
    <row r="7" spans="1:25">
      <c r="A7" s="674" t="s">
        <v>966</v>
      </c>
      <c r="B7" s="675">
        <f>Financials!B$4</f>
        <v>2004</v>
      </c>
      <c r="C7" s="675">
        <f>Financials!C$4</f>
        <v>2005</v>
      </c>
      <c r="D7" s="675">
        <f>Financials!D$4</f>
        <v>2006</v>
      </c>
      <c r="E7" s="675">
        <f>Financials!E$4</f>
        <v>2007</v>
      </c>
      <c r="F7" s="675">
        <f>Financials!F$4</f>
        <v>2008</v>
      </c>
      <c r="G7" s="675">
        <f>Financials!G$4</f>
        <v>2009</v>
      </c>
      <c r="H7" s="675">
        <f>Financials!H$4</f>
        <v>2010</v>
      </c>
      <c r="I7" s="675">
        <f>Financials!I$4</f>
        <v>2011</v>
      </c>
      <c r="J7" s="675">
        <f>Financials!J$4</f>
        <v>2012</v>
      </c>
      <c r="K7" s="675">
        <f>Financials!K$4</f>
        <v>2013</v>
      </c>
      <c r="L7" s="675">
        <f>Financials!L$4</f>
        <v>2014</v>
      </c>
      <c r="M7" s="675">
        <f>Financials!M$4</f>
        <v>2015</v>
      </c>
      <c r="N7" s="675">
        <f>Financials!N$4</f>
        <v>2016</v>
      </c>
      <c r="O7" s="675">
        <f>Financials!O$4</f>
        <v>2017</v>
      </c>
      <c r="P7" s="490" t="str">
        <f>Financials!P$4&amp;"E"</f>
        <v>2018E</v>
      </c>
      <c r="Q7" s="490" t="str">
        <f>Financials!Q$4&amp;"E"</f>
        <v>2019E</v>
      </c>
      <c r="R7" s="490" t="str">
        <f>Financials!R$4&amp;"E"</f>
        <v>2020E</v>
      </c>
      <c r="S7" s="490" t="str">
        <f>Financials!S$4&amp;"E"</f>
        <v>2021E</v>
      </c>
      <c r="T7" s="490" t="str">
        <f>Financials!T$4&amp;"E"</f>
        <v>2022E</v>
      </c>
      <c r="U7" s="490" t="str">
        <f>Financials!U$4&amp;"E"</f>
        <v>2023E</v>
      </c>
      <c r="V7" s="490" t="str">
        <f>Financials!V$4&amp;"E"</f>
        <v>2024E</v>
      </c>
      <c r="W7" s="490" t="str">
        <f>Financials!W$4&amp;"E"</f>
        <v>2025E</v>
      </c>
    </row>
    <row r="8" spans="1:25">
      <c r="A8" s="52" t="s">
        <v>79</v>
      </c>
      <c r="B8" s="492"/>
      <c r="C8" s="492"/>
      <c r="D8" s="492"/>
      <c r="E8" s="492"/>
      <c r="F8" s="492"/>
      <c r="G8" s="492"/>
      <c r="H8" s="492"/>
      <c r="I8" s="492"/>
      <c r="J8" s="492"/>
      <c r="K8" s="492">
        <f t="shared" ref="K8:N8" si="0">+K9</f>
        <v>139.13999999999999</v>
      </c>
      <c r="L8" s="492">
        <f t="shared" si="0"/>
        <v>136.94999999999999</v>
      </c>
      <c r="M8" s="492">
        <f t="shared" si="0"/>
        <v>141.6</v>
      </c>
      <c r="N8" s="492">
        <f t="shared" si="0"/>
        <v>128.9</v>
      </c>
      <c r="O8" s="492">
        <f>Bear!O$9</f>
        <v>130.30000000000001</v>
      </c>
      <c r="P8" s="493">
        <f>Bear!P$9</f>
        <v>133</v>
      </c>
      <c r="Q8" s="493">
        <f>Bear!Q$9</f>
        <v>134.56499999999997</v>
      </c>
      <c r="R8" s="493">
        <f>Bear!R$9</f>
        <v>135.24032499999996</v>
      </c>
      <c r="S8" s="493">
        <f>Bear!S$9</f>
        <v>135.91902662499993</v>
      </c>
      <c r="T8" s="493">
        <f>Bear!T$9</f>
        <v>136.60112175812492</v>
      </c>
      <c r="U8" s="493">
        <f>Bear!U$9</f>
        <v>137.28662736691552</v>
      </c>
      <c r="V8" s="493">
        <f>Bear!V$9</f>
        <v>137.97556050375007</v>
      </c>
      <c r="W8" s="493">
        <f>Bear!W$9</f>
        <v>138.66793830626881</v>
      </c>
    </row>
    <row r="9" spans="1:25">
      <c r="A9" s="52" t="s">
        <v>77</v>
      </c>
      <c r="B9" s="492"/>
      <c r="C9" s="492"/>
      <c r="D9" s="492"/>
      <c r="E9" s="492"/>
      <c r="F9" s="492"/>
      <c r="G9" s="492"/>
      <c r="H9" s="492"/>
      <c r="I9" s="492"/>
      <c r="J9" s="492"/>
      <c r="K9" s="492">
        <f>+Financials!K9</f>
        <v>139.13999999999999</v>
      </c>
      <c r="L9" s="492">
        <f>+Financials!L9</f>
        <v>136.94999999999999</v>
      </c>
      <c r="M9" s="492">
        <f>+Financials!M9</f>
        <v>141.6</v>
      </c>
      <c r="N9" s="492">
        <f>+Financials!N9</f>
        <v>128.9</v>
      </c>
      <c r="O9" s="492">
        <f>Base!O$9</f>
        <v>130.30000000000001</v>
      </c>
      <c r="P9" s="493">
        <f>Base!P$9</f>
        <v>133.5</v>
      </c>
      <c r="Q9" s="493">
        <f>Base!Q$9</f>
        <v>135.06499999999997</v>
      </c>
      <c r="R9" s="493">
        <f>Base!R$9</f>
        <v>135.74032499999996</v>
      </c>
      <c r="S9" s="493">
        <f>Base!S$9</f>
        <v>136.41902662499993</v>
      </c>
      <c r="T9" s="493">
        <f>Base!T$9</f>
        <v>137.10112175812492</v>
      </c>
      <c r="U9" s="493">
        <f>Base!U$9</f>
        <v>137.78662736691552</v>
      </c>
      <c r="V9" s="493">
        <f>Base!V$9</f>
        <v>138.47556050375007</v>
      </c>
      <c r="W9" s="493">
        <f>Base!W$9</f>
        <v>139.16793830626881</v>
      </c>
    </row>
    <row r="10" spans="1:25">
      <c r="A10" s="52" t="s">
        <v>78</v>
      </c>
      <c r="B10" s="492"/>
      <c r="C10" s="492"/>
      <c r="D10" s="492"/>
      <c r="E10" s="492"/>
      <c r="F10" s="492"/>
      <c r="G10" s="492"/>
      <c r="H10" s="492"/>
      <c r="I10" s="492"/>
      <c r="J10" s="492"/>
      <c r="K10" s="492">
        <f>+K9</f>
        <v>139.13999999999999</v>
      </c>
      <c r="L10" s="492">
        <f>+L9</f>
        <v>136.94999999999999</v>
      </c>
      <c r="M10" s="492">
        <f>+M9</f>
        <v>141.6</v>
      </c>
      <c r="N10" s="492">
        <f>+N9</f>
        <v>128.9</v>
      </c>
      <c r="O10" s="492">
        <f>Bull!O$9</f>
        <v>130.30000000000001</v>
      </c>
      <c r="P10" s="493">
        <f>Bull!P$9</f>
        <v>134.5</v>
      </c>
      <c r="Q10" s="493">
        <f>Bull!Q$9</f>
        <v>136.06499999999997</v>
      </c>
      <c r="R10" s="493">
        <f>Bull!R$9</f>
        <v>136.74032499999996</v>
      </c>
      <c r="S10" s="493">
        <f>Bull!S$9</f>
        <v>137.41902662499993</v>
      </c>
      <c r="T10" s="493">
        <f>Bull!T$9</f>
        <v>138.10112175812492</v>
      </c>
      <c r="U10" s="493">
        <f>Bull!U$9</f>
        <v>138.78662736691552</v>
      </c>
      <c r="V10" s="493">
        <f>Bull!V$9</f>
        <v>139.47556050375007</v>
      </c>
      <c r="W10" s="493">
        <f>Bull!W$9</f>
        <v>140.16793830626881</v>
      </c>
    </row>
    <row r="11" spans="1:25">
      <c r="B11" s="496"/>
      <c r="C11" s="496"/>
      <c r="D11" s="496"/>
      <c r="E11" s="496"/>
      <c r="F11" s="496"/>
      <c r="G11" s="496"/>
      <c r="H11" s="496"/>
      <c r="I11" s="496"/>
      <c r="J11" s="496"/>
      <c r="K11" s="496"/>
      <c r="L11" s="496"/>
      <c r="M11" s="496"/>
      <c r="N11" s="496"/>
      <c r="O11" s="496"/>
      <c r="P11" s="497"/>
      <c r="Q11" s="497"/>
      <c r="R11" s="497"/>
      <c r="S11" s="497"/>
      <c r="T11" s="497"/>
      <c r="U11" s="497"/>
      <c r="V11" s="497"/>
      <c r="W11" s="497"/>
    </row>
    <row r="12" spans="1:25">
      <c r="A12" s="674" t="s">
        <v>49</v>
      </c>
      <c r="B12" s="675">
        <f t="shared" ref="B12:W12" si="1">B$7</f>
        <v>2004</v>
      </c>
      <c r="C12" s="675">
        <f t="shared" si="1"/>
        <v>2005</v>
      </c>
      <c r="D12" s="675">
        <f t="shared" si="1"/>
        <v>2006</v>
      </c>
      <c r="E12" s="675">
        <f t="shared" si="1"/>
        <v>2007</v>
      </c>
      <c r="F12" s="675">
        <f t="shared" si="1"/>
        <v>2008</v>
      </c>
      <c r="G12" s="675">
        <f t="shared" si="1"/>
        <v>2009</v>
      </c>
      <c r="H12" s="675">
        <f t="shared" si="1"/>
        <v>2010</v>
      </c>
      <c r="I12" s="675">
        <f t="shared" si="1"/>
        <v>2011</v>
      </c>
      <c r="J12" s="675">
        <f t="shared" si="1"/>
        <v>2012</v>
      </c>
      <c r="K12" s="675">
        <f t="shared" si="1"/>
        <v>2013</v>
      </c>
      <c r="L12" s="675">
        <f t="shared" si="1"/>
        <v>2014</v>
      </c>
      <c r="M12" s="675">
        <f t="shared" si="1"/>
        <v>2015</v>
      </c>
      <c r="N12" s="675">
        <f t="shared" si="1"/>
        <v>2016</v>
      </c>
      <c r="O12" s="675">
        <f t="shared" si="1"/>
        <v>2017</v>
      </c>
      <c r="P12" s="490" t="str">
        <f t="shared" si="1"/>
        <v>2018E</v>
      </c>
      <c r="Q12" s="490" t="str">
        <f t="shared" si="1"/>
        <v>2019E</v>
      </c>
      <c r="R12" s="490" t="str">
        <f t="shared" si="1"/>
        <v>2020E</v>
      </c>
      <c r="S12" s="490" t="str">
        <f t="shared" si="1"/>
        <v>2021E</v>
      </c>
      <c r="T12" s="490" t="str">
        <f t="shared" si="1"/>
        <v>2022E</v>
      </c>
      <c r="U12" s="490" t="str">
        <f t="shared" si="1"/>
        <v>2023E</v>
      </c>
      <c r="V12" s="490" t="str">
        <f t="shared" si="1"/>
        <v>2024E</v>
      </c>
      <c r="W12" s="490" t="str">
        <f t="shared" si="1"/>
        <v>2025E</v>
      </c>
    </row>
    <row r="13" spans="1:25">
      <c r="A13" s="52" t="s">
        <v>79</v>
      </c>
      <c r="B13" s="499">
        <f>B14</f>
        <v>518</v>
      </c>
      <c r="C13" s="499">
        <f>C14</f>
        <v>648.19999999999993</v>
      </c>
      <c r="D13" s="499">
        <f>D14</f>
        <v>808.02199999999993</v>
      </c>
      <c r="E13" s="499">
        <f>E14</f>
        <v>826.53699999999992</v>
      </c>
      <c r="F13" s="499">
        <f>F14</f>
        <v>712.42000000000007</v>
      </c>
      <c r="G13" s="499">
        <f t="shared" ref="G13:N13" si="2">G14</f>
        <v>774.44299999999998</v>
      </c>
      <c r="H13" s="499">
        <f t="shared" si="2"/>
        <v>1183.2859999999998</v>
      </c>
      <c r="I13" s="499">
        <f t="shared" si="2"/>
        <v>1295.0279999999998</v>
      </c>
      <c r="J13" s="499">
        <f t="shared" si="2"/>
        <v>1366.99</v>
      </c>
      <c r="K13" s="499">
        <f t="shared" si="2"/>
        <v>1635.9549999999999</v>
      </c>
      <c r="L13" s="499">
        <f t="shared" si="2"/>
        <v>1971.69</v>
      </c>
      <c r="M13" s="499">
        <f t="shared" si="2"/>
        <v>2325.1619999999998</v>
      </c>
      <c r="N13" s="499">
        <f t="shared" si="2"/>
        <v>2727.3789999999999</v>
      </c>
      <c r="O13" s="499">
        <f>Bear!O$36</f>
        <v>3002.8820000000001</v>
      </c>
      <c r="P13" s="500">
        <f>Bear!P$36</f>
        <v>3345.3523290050807</v>
      </c>
      <c r="Q13" s="500">
        <f>Bear!Q$36</f>
        <v>3213.2813499699196</v>
      </c>
      <c r="R13" s="500">
        <f>Bear!R$36</f>
        <v>3754.4804080624235</v>
      </c>
      <c r="S13" s="500">
        <f>Bear!S$36</f>
        <v>4312.4190258944391</v>
      </c>
      <c r="T13" s="500">
        <f>Bear!T$36</f>
        <v>4238.4775865398869</v>
      </c>
      <c r="U13" s="500">
        <f>Bear!U$36</f>
        <v>4068.7854142497249</v>
      </c>
      <c r="V13" s="500">
        <f>Bear!V$36</f>
        <v>4357.7390087878084</v>
      </c>
      <c r="W13" s="500">
        <f>Bear!W$36</f>
        <v>4655.6374556782703</v>
      </c>
    </row>
    <row r="14" spans="1:25">
      <c r="A14" s="52" t="s">
        <v>77</v>
      </c>
      <c r="B14" s="59">
        <f>Financials!B36</f>
        <v>518</v>
      </c>
      <c r="C14" s="59">
        <f>Financials!C36</f>
        <v>648.19999999999993</v>
      </c>
      <c r="D14" s="59">
        <f>Financials!D36</f>
        <v>808.02199999999993</v>
      </c>
      <c r="E14" s="59">
        <f>Financials!E36</f>
        <v>826.53699999999992</v>
      </c>
      <c r="F14" s="59">
        <f>Financials!F36</f>
        <v>712.42000000000007</v>
      </c>
      <c r="G14" s="59">
        <f>Financials!G36</f>
        <v>774.44299999999998</v>
      </c>
      <c r="H14" s="59">
        <f>Financials!H36</f>
        <v>1183.2859999999998</v>
      </c>
      <c r="I14" s="59">
        <f>Financials!I36</f>
        <v>1295.0279999999998</v>
      </c>
      <c r="J14" s="59">
        <f>Financials!J36</f>
        <v>1366.99</v>
      </c>
      <c r="K14" s="59">
        <f>Financials!K36</f>
        <v>1635.9549999999999</v>
      </c>
      <c r="L14" s="59">
        <f>Financials!L36</f>
        <v>1971.69</v>
      </c>
      <c r="M14" s="59">
        <f>Financials!M36</f>
        <v>2325.1619999999998</v>
      </c>
      <c r="N14" s="59">
        <f>Financials!N36</f>
        <v>2727.3789999999999</v>
      </c>
      <c r="O14" s="59">
        <f>Base!O$36</f>
        <v>3002.8820000000001</v>
      </c>
      <c r="P14" s="500">
        <f>Base!P$36</f>
        <v>3656.7611338954334</v>
      </c>
      <c r="Q14" s="500">
        <f>Base!Q$36</f>
        <v>3782.0958344005958</v>
      </c>
      <c r="R14" s="500">
        <f>Base!R$36</f>
        <v>4084.7849487160179</v>
      </c>
      <c r="S14" s="500">
        <f>Base!S$36</f>
        <v>4701.0846333566287</v>
      </c>
      <c r="T14" s="500">
        <f>Base!T$36</f>
        <v>5031.1990094477269</v>
      </c>
      <c r="U14" s="500">
        <f>Base!U$36</f>
        <v>4788.1568893299891</v>
      </c>
      <c r="V14" s="500">
        <f>Base!V$36</f>
        <v>4665.5521600540633</v>
      </c>
      <c r="W14" s="500">
        <f>Base!W$36</f>
        <v>5221.0482727477665</v>
      </c>
    </row>
    <row r="15" spans="1:25">
      <c r="A15" s="52" t="s">
        <v>78</v>
      </c>
      <c r="B15" s="59">
        <f>B14</f>
        <v>518</v>
      </c>
      <c r="C15" s="59">
        <f>C14</f>
        <v>648.19999999999993</v>
      </c>
      <c r="D15" s="59">
        <f>D14</f>
        <v>808.02199999999993</v>
      </c>
      <c r="E15" s="59">
        <f>E14</f>
        <v>826.53699999999992</v>
      </c>
      <c r="F15" s="59">
        <f>F14</f>
        <v>712.42000000000007</v>
      </c>
      <c r="G15" s="59">
        <f t="shared" ref="G15:K15" si="3">G14</f>
        <v>774.44299999999998</v>
      </c>
      <c r="H15" s="59">
        <f t="shared" si="3"/>
        <v>1183.2859999999998</v>
      </c>
      <c r="I15" s="59">
        <f t="shared" si="3"/>
        <v>1295.0279999999998</v>
      </c>
      <c r="J15" s="59">
        <f t="shared" si="3"/>
        <v>1366.99</v>
      </c>
      <c r="K15" s="59">
        <f t="shared" si="3"/>
        <v>1635.9549999999999</v>
      </c>
      <c r="L15" s="59">
        <f t="shared" ref="L15:M15" si="4">L14</f>
        <v>1971.69</v>
      </c>
      <c r="M15" s="59">
        <f t="shared" si="4"/>
        <v>2325.1619999999998</v>
      </c>
      <c r="N15" s="59">
        <f t="shared" ref="N15" si="5">N14</f>
        <v>2727.3789999999999</v>
      </c>
      <c r="O15" s="59">
        <f>Bull!O$36</f>
        <v>3002.8820000000001</v>
      </c>
      <c r="P15" s="500">
        <f>Bull!P$36</f>
        <v>3979.3484337315795</v>
      </c>
      <c r="Q15" s="500">
        <f>Bull!Q$36</f>
        <v>4283.168518158679</v>
      </c>
      <c r="R15" s="500">
        <f>Bull!R$36</f>
        <v>4824.5712612595689</v>
      </c>
      <c r="S15" s="500">
        <f>Bull!S$36</f>
        <v>5295.9446131974628</v>
      </c>
      <c r="T15" s="500">
        <f>Bull!T$36</f>
        <v>5175.0415548013834</v>
      </c>
      <c r="U15" s="500">
        <f>Bull!U$36</f>
        <v>5058.7076341979009</v>
      </c>
      <c r="V15" s="500">
        <f>Bull!V$36</f>
        <v>5431.0299547888071</v>
      </c>
      <c r="W15" s="500">
        <f>Bull!W$36</f>
        <v>5994.6709525460374</v>
      </c>
    </row>
    <row r="16" spans="1:25">
      <c r="B16" s="59"/>
      <c r="C16" s="59"/>
      <c r="D16" s="59"/>
      <c r="E16" s="59"/>
      <c r="F16" s="59"/>
      <c r="G16" s="59"/>
      <c r="H16" s="59"/>
      <c r="I16" s="59"/>
      <c r="J16" s="59"/>
      <c r="K16" s="59"/>
      <c r="L16" s="59"/>
      <c r="M16" s="59"/>
      <c r="N16" s="59"/>
      <c r="O16" s="59"/>
      <c r="P16" s="502"/>
      <c r="Q16" s="502"/>
      <c r="R16" s="502"/>
      <c r="S16" s="502"/>
      <c r="T16" s="502"/>
      <c r="U16" s="502"/>
      <c r="V16" s="502"/>
      <c r="W16" s="502"/>
    </row>
    <row r="17" spans="1:28">
      <c r="A17" s="674" t="s">
        <v>16</v>
      </c>
      <c r="B17" s="675">
        <f t="shared" ref="B17:W17" si="6">B$7</f>
        <v>2004</v>
      </c>
      <c r="C17" s="675">
        <f t="shared" si="6"/>
        <v>2005</v>
      </c>
      <c r="D17" s="675">
        <f t="shared" si="6"/>
        <v>2006</v>
      </c>
      <c r="E17" s="675">
        <f t="shared" si="6"/>
        <v>2007</v>
      </c>
      <c r="F17" s="675">
        <f t="shared" si="6"/>
        <v>2008</v>
      </c>
      <c r="G17" s="675">
        <f t="shared" si="6"/>
        <v>2009</v>
      </c>
      <c r="H17" s="675">
        <f t="shared" si="6"/>
        <v>2010</v>
      </c>
      <c r="I17" s="675">
        <f t="shared" si="6"/>
        <v>2011</v>
      </c>
      <c r="J17" s="675">
        <f t="shared" si="6"/>
        <v>2012</v>
      </c>
      <c r="K17" s="675">
        <f t="shared" si="6"/>
        <v>2013</v>
      </c>
      <c r="L17" s="675">
        <f t="shared" si="6"/>
        <v>2014</v>
      </c>
      <c r="M17" s="675">
        <f t="shared" si="6"/>
        <v>2015</v>
      </c>
      <c r="N17" s="675">
        <f t="shared" si="6"/>
        <v>2016</v>
      </c>
      <c r="O17" s="675">
        <f t="shared" si="6"/>
        <v>2017</v>
      </c>
      <c r="P17" s="490" t="str">
        <f t="shared" si="6"/>
        <v>2018E</v>
      </c>
      <c r="Q17" s="490" t="str">
        <f t="shared" si="6"/>
        <v>2019E</v>
      </c>
      <c r="R17" s="490" t="str">
        <f t="shared" si="6"/>
        <v>2020E</v>
      </c>
      <c r="S17" s="490" t="str">
        <f t="shared" si="6"/>
        <v>2021E</v>
      </c>
      <c r="T17" s="490" t="str">
        <f t="shared" si="6"/>
        <v>2022E</v>
      </c>
      <c r="U17" s="490" t="str">
        <f t="shared" si="6"/>
        <v>2023E</v>
      </c>
      <c r="V17" s="490" t="str">
        <f t="shared" si="6"/>
        <v>2024E</v>
      </c>
      <c r="W17" s="490" t="str">
        <f t="shared" si="6"/>
        <v>2025E</v>
      </c>
    </row>
    <row r="18" spans="1:28">
      <c r="A18" s="52" t="s">
        <v>79</v>
      </c>
      <c r="B18" s="107"/>
      <c r="C18" s="107">
        <f t="shared" ref="C18:R18" si="7">C13/B13-1</f>
        <v>0.25135135135135123</v>
      </c>
      <c r="D18" s="107">
        <f t="shared" si="7"/>
        <v>0.24656278926257325</v>
      </c>
      <c r="E18" s="107">
        <f t="shared" si="7"/>
        <v>2.2913980064899198E-2</v>
      </c>
      <c r="F18" s="107">
        <f t="shared" si="7"/>
        <v>-0.1380664144496857</v>
      </c>
      <c r="G18" s="107">
        <f t="shared" si="7"/>
        <v>8.7059599674349286E-2</v>
      </c>
      <c r="H18" s="107">
        <f t="shared" si="7"/>
        <v>0.52791877517131658</v>
      </c>
      <c r="I18" s="107">
        <f t="shared" si="7"/>
        <v>9.4433636500389495E-2</v>
      </c>
      <c r="J18" s="107">
        <f t="shared" si="7"/>
        <v>5.5567910500776918E-2</v>
      </c>
      <c r="K18" s="107">
        <f t="shared" si="7"/>
        <v>0.19675710868404295</v>
      </c>
      <c r="L18" s="107">
        <f t="shared" si="7"/>
        <v>0.20522263754198633</v>
      </c>
      <c r="M18" s="107">
        <f t="shared" si="7"/>
        <v>0.17927361806369135</v>
      </c>
      <c r="N18" s="107">
        <f t="shared" si="7"/>
        <v>0.17298450602581683</v>
      </c>
      <c r="O18" s="107">
        <f t="shared" si="7"/>
        <v>0.10101383049440504</v>
      </c>
      <c r="P18" s="109">
        <f t="shared" si="7"/>
        <v>0.11404721497717207</v>
      </c>
      <c r="Q18" s="109">
        <f t="shared" si="7"/>
        <v>-3.9478944531513571E-2</v>
      </c>
      <c r="R18" s="109">
        <f t="shared" si="7"/>
        <v>0.16842566807838666</v>
      </c>
      <c r="S18" s="109">
        <f t="shared" ref="S18:S20" si="8">S13/R13-1</f>
        <v>0.14860608052019408</v>
      </c>
      <c r="T18" s="109">
        <f t="shared" ref="T18:T20" si="9">T13/S13-1</f>
        <v>-1.7146162956466426E-2</v>
      </c>
      <c r="U18" s="109">
        <f t="shared" ref="U18:U20" si="10">U13/T13-1</f>
        <v>-4.0036114105935772E-2</v>
      </c>
      <c r="V18" s="109">
        <f t="shared" ref="V18:V20" si="11">V13/U13-1</f>
        <v>7.1017162400874856E-2</v>
      </c>
      <c r="W18" s="109">
        <f t="shared" ref="W18:W20" si="12">W13/V13-1</f>
        <v>6.8360782114238683E-2</v>
      </c>
    </row>
    <row r="19" spans="1:28">
      <c r="A19" s="52" t="s">
        <v>77</v>
      </c>
      <c r="B19" s="107"/>
      <c r="C19" s="107">
        <f t="shared" ref="C19:R19" si="13">C14/B14-1</f>
        <v>0.25135135135135123</v>
      </c>
      <c r="D19" s="107">
        <f t="shared" si="13"/>
        <v>0.24656278926257325</v>
      </c>
      <c r="E19" s="107">
        <f t="shared" si="13"/>
        <v>2.2913980064899198E-2</v>
      </c>
      <c r="F19" s="107">
        <f t="shared" si="13"/>
        <v>-0.1380664144496857</v>
      </c>
      <c r="G19" s="107">
        <f t="shared" si="13"/>
        <v>8.7059599674349286E-2</v>
      </c>
      <c r="H19" s="107">
        <f t="shared" si="13"/>
        <v>0.52791877517131658</v>
      </c>
      <c r="I19" s="107">
        <f t="shared" si="13"/>
        <v>9.4433636500389495E-2</v>
      </c>
      <c r="J19" s="107">
        <f t="shared" si="13"/>
        <v>5.5567910500776918E-2</v>
      </c>
      <c r="K19" s="107">
        <f t="shared" si="13"/>
        <v>0.19675710868404295</v>
      </c>
      <c r="L19" s="107">
        <f t="shared" si="13"/>
        <v>0.20522263754198633</v>
      </c>
      <c r="M19" s="107">
        <f t="shared" si="13"/>
        <v>0.17927361806369135</v>
      </c>
      <c r="N19" s="107">
        <f t="shared" si="13"/>
        <v>0.17298450602581683</v>
      </c>
      <c r="O19" s="107">
        <f t="shared" si="13"/>
        <v>0.10101383049440504</v>
      </c>
      <c r="P19" s="109">
        <f t="shared" si="13"/>
        <v>0.21775052562685882</v>
      </c>
      <c r="Q19" s="109">
        <f t="shared" si="13"/>
        <v>3.4274784684021009E-2</v>
      </c>
      <c r="R19" s="109">
        <f t="shared" si="13"/>
        <v>8.0032111180861731E-2</v>
      </c>
      <c r="S19" s="109">
        <f t="shared" si="8"/>
        <v>0.150876898631918</v>
      </c>
      <c r="T19" s="109">
        <f t="shared" si="9"/>
        <v>7.0220896205264172E-2</v>
      </c>
      <c r="U19" s="109">
        <f t="shared" si="10"/>
        <v>-4.8306997926606865E-2</v>
      </c>
      <c r="V19" s="109">
        <f t="shared" si="11"/>
        <v>-2.5605829572782013E-2</v>
      </c>
      <c r="W19" s="109">
        <f t="shared" si="12"/>
        <v>0.11906331633151579</v>
      </c>
    </row>
    <row r="20" spans="1:28">
      <c r="A20" s="52" t="s">
        <v>78</v>
      </c>
      <c r="B20" s="107"/>
      <c r="C20" s="107">
        <f t="shared" ref="C20:R20" si="14">C15/B15-1</f>
        <v>0.25135135135135123</v>
      </c>
      <c r="D20" s="107">
        <f t="shared" si="14"/>
        <v>0.24656278926257325</v>
      </c>
      <c r="E20" s="107">
        <f t="shared" si="14"/>
        <v>2.2913980064899198E-2</v>
      </c>
      <c r="F20" s="107">
        <f t="shared" si="14"/>
        <v>-0.1380664144496857</v>
      </c>
      <c r="G20" s="107">
        <f t="shared" si="14"/>
        <v>8.7059599674349286E-2</v>
      </c>
      <c r="H20" s="107">
        <f t="shared" si="14"/>
        <v>0.52791877517131658</v>
      </c>
      <c r="I20" s="107">
        <f t="shared" si="14"/>
        <v>9.4433636500389495E-2</v>
      </c>
      <c r="J20" s="107">
        <f t="shared" si="14"/>
        <v>5.5567910500776918E-2</v>
      </c>
      <c r="K20" s="107">
        <f t="shared" si="14"/>
        <v>0.19675710868404295</v>
      </c>
      <c r="L20" s="107">
        <f t="shared" si="14"/>
        <v>0.20522263754198633</v>
      </c>
      <c r="M20" s="107">
        <f t="shared" si="14"/>
        <v>0.17927361806369135</v>
      </c>
      <c r="N20" s="107">
        <f t="shared" si="14"/>
        <v>0.17298450602581683</v>
      </c>
      <c r="O20" s="107">
        <f t="shared" si="14"/>
        <v>0.10101383049440504</v>
      </c>
      <c r="P20" s="109">
        <f t="shared" si="14"/>
        <v>0.32517642509148859</v>
      </c>
      <c r="Q20" s="109">
        <f t="shared" si="14"/>
        <v>7.6349203767059004E-2</v>
      </c>
      <c r="R20" s="109">
        <f t="shared" si="14"/>
        <v>0.12640239131511866</v>
      </c>
      <c r="S20" s="109">
        <f t="shared" si="8"/>
        <v>9.7702640589628409E-2</v>
      </c>
      <c r="T20" s="109">
        <f t="shared" si="9"/>
        <v>-2.2829366095481696E-2</v>
      </c>
      <c r="U20" s="109">
        <f t="shared" si="10"/>
        <v>-2.2479804146799287E-2</v>
      </c>
      <c r="V20" s="109">
        <f t="shared" si="11"/>
        <v>7.3600284403457339E-2</v>
      </c>
      <c r="W20" s="109">
        <f t="shared" si="12"/>
        <v>0.10378160357230959</v>
      </c>
    </row>
    <row r="21" spans="1:28">
      <c r="D21" s="372"/>
      <c r="E21" s="372"/>
      <c r="F21" s="372"/>
      <c r="G21" s="372"/>
      <c r="H21" s="372"/>
      <c r="I21" s="372"/>
      <c r="J21" s="372"/>
      <c r="K21" s="372"/>
      <c r="L21" s="372"/>
      <c r="M21" s="372"/>
      <c r="N21" s="372"/>
      <c r="O21" s="372"/>
      <c r="P21" s="103"/>
      <c r="Q21" s="103"/>
      <c r="R21" s="103"/>
      <c r="S21" s="103"/>
      <c r="T21" s="103"/>
      <c r="U21" s="103"/>
      <c r="V21" s="103"/>
      <c r="W21" s="103"/>
    </row>
    <row r="22" spans="1:28">
      <c r="A22" s="674" t="s">
        <v>216</v>
      </c>
      <c r="B22" s="675">
        <f t="shared" ref="B22:W22" si="15">B$7</f>
        <v>2004</v>
      </c>
      <c r="C22" s="675">
        <f t="shared" si="15"/>
        <v>2005</v>
      </c>
      <c r="D22" s="675">
        <f t="shared" si="15"/>
        <v>2006</v>
      </c>
      <c r="E22" s="675">
        <f t="shared" si="15"/>
        <v>2007</v>
      </c>
      <c r="F22" s="675">
        <f t="shared" si="15"/>
        <v>2008</v>
      </c>
      <c r="G22" s="675">
        <f t="shared" si="15"/>
        <v>2009</v>
      </c>
      <c r="H22" s="675">
        <f t="shared" si="15"/>
        <v>2010</v>
      </c>
      <c r="I22" s="675">
        <f t="shared" si="15"/>
        <v>2011</v>
      </c>
      <c r="J22" s="675">
        <f t="shared" si="15"/>
        <v>2012</v>
      </c>
      <c r="K22" s="675">
        <f t="shared" si="15"/>
        <v>2013</v>
      </c>
      <c r="L22" s="675">
        <f t="shared" si="15"/>
        <v>2014</v>
      </c>
      <c r="M22" s="675">
        <f t="shared" si="15"/>
        <v>2015</v>
      </c>
      <c r="N22" s="675">
        <f t="shared" si="15"/>
        <v>2016</v>
      </c>
      <c r="O22" s="675">
        <f t="shared" si="15"/>
        <v>2017</v>
      </c>
      <c r="P22" s="490" t="str">
        <f t="shared" si="15"/>
        <v>2018E</v>
      </c>
      <c r="Q22" s="490" t="str">
        <f t="shared" si="15"/>
        <v>2019E</v>
      </c>
      <c r="R22" s="490" t="str">
        <f t="shared" si="15"/>
        <v>2020E</v>
      </c>
      <c r="S22" s="490" t="str">
        <f t="shared" si="15"/>
        <v>2021E</v>
      </c>
      <c r="T22" s="490" t="str">
        <f t="shared" si="15"/>
        <v>2022E</v>
      </c>
      <c r="U22" s="490" t="str">
        <f t="shared" si="15"/>
        <v>2023E</v>
      </c>
      <c r="V22" s="490" t="str">
        <f t="shared" si="15"/>
        <v>2024E</v>
      </c>
      <c r="W22" s="490" t="str">
        <f t="shared" si="15"/>
        <v>2025E</v>
      </c>
    </row>
    <row r="23" spans="1:28">
      <c r="A23" s="52" t="s">
        <v>79</v>
      </c>
      <c r="B23" s="499">
        <f>B24</f>
        <v>222.23199999999997</v>
      </c>
      <c r="C23" s="499">
        <f>C24</f>
        <v>292.90999999999997</v>
      </c>
      <c r="D23" s="499">
        <f>D24</f>
        <v>435.56699999999995</v>
      </c>
      <c r="E23" s="499">
        <f>E24</f>
        <v>530.04399999999987</v>
      </c>
      <c r="F23" s="499">
        <f t="shared" ref="F23:L23" si="16">F24</f>
        <v>280.0510000000001</v>
      </c>
      <c r="G23" s="499">
        <f t="shared" si="16"/>
        <v>339.90799999999996</v>
      </c>
      <c r="H23" s="499">
        <f t="shared" si="16"/>
        <v>555.53299999999979</v>
      </c>
      <c r="I23" s="499">
        <f t="shared" si="16"/>
        <v>729.69399999999973</v>
      </c>
      <c r="J23" s="499">
        <f t="shared" si="16"/>
        <v>728.17900000000009</v>
      </c>
      <c r="K23" s="499">
        <f t="shared" si="16"/>
        <v>855.20999999999981</v>
      </c>
      <c r="L23" s="499">
        <f t="shared" si="16"/>
        <v>978.75699999999995</v>
      </c>
      <c r="M23" s="499">
        <f>M24</f>
        <v>1281.1349999999998</v>
      </c>
      <c r="N23" s="499">
        <f>N24</f>
        <v>1489.7589999999998</v>
      </c>
      <c r="O23" s="499">
        <f>Bear!O$43</f>
        <v>1566.7600000000002</v>
      </c>
      <c r="P23" s="500">
        <f>Bear!P$43</f>
        <v>1842.7067219467144</v>
      </c>
      <c r="Q23" s="500">
        <f>Bear!Q$43</f>
        <v>1638.1121868311109</v>
      </c>
      <c r="R23" s="500">
        <f>Bear!R$43</f>
        <v>1958.357642106424</v>
      </c>
      <c r="S23" s="500">
        <f>Bear!S$43</f>
        <v>2261.7026415980422</v>
      </c>
      <c r="T23" s="500">
        <f>Bear!T$43</f>
        <v>2154.6377061095704</v>
      </c>
      <c r="U23" s="500">
        <f>Bear!U$43</f>
        <v>1999.1774273412598</v>
      </c>
      <c r="V23" s="500">
        <f>Bear!V$43</f>
        <v>2112.9611327575258</v>
      </c>
      <c r="W23" s="500">
        <f>Bear!W$43</f>
        <v>2435.2308515532186</v>
      </c>
    </row>
    <row r="24" spans="1:28">
      <c r="A24" s="52" t="s">
        <v>77</v>
      </c>
      <c r="B24" s="59">
        <f>Financials!B43</f>
        <v>222.23199999999997</v>
      </c>
      <c r="C24" s="59">
        <f>Financials!C43</f>
        <v>292.90999999999997</v>
      </c>
      <c r="D24" s="59">
        <f>Financials!D43</f>
        <v>435.56699999999995</v>
      </c>
      <c r="E24" s="59">
        <f>Financials!E43</f>
        <v>530.04399999999987</v>
      </c>
      <c r="F24" s="59">
        <f>Financials!F43</f>
        <v>280.0510000000001</v>
      </c>
      <c r="G24" s="59">
        <f>Financials!G43</f>
        <v>339.90799999999996</v>
      </c>
      <c r="H24" s="59">
        <f>Financials!H43</f>
        <v>555.53299999999979</v>
      </c>
      <c r="I24" s="59">
        <f>Financials!I43</f>
        <v>729.69399999999973</v>
      </c>
      <c r="J24" s="59">
        <f>Financials!J43</f>
        <v>728.17900000000009</v>
      </c>
      <c r="K24" s="59">
        <f>Financials!K43</f>
        <v>855.20999999999981</v>
      </c>
      <c r="L24" s="59">
        <f>Financials!L43</f>
        <v>978.75699999999995</v>
      </c>
      <c r="M24" s="59">
        <f>Financials!M43</f>
        <v>1281.1349999999998</v>
      </c>
      <c r="N24" s="59">
        <f>Financials!N43</f>
        <v>1489.7589999999998</v>
      </c>
      <c r="O24" s="59">
        <f>Base!O$43</f>
        <v>1566.7600000000002</v>
      </c>
      <c r="P24" s="500">
        <f>Base!P$43</f>
        <v>2049.2862985723186</v>
      </c>
      <c r="Q24" s="500">
        <f>Base!Q$43</f>
        <v>2089.4829464816457</v>
      </c>
      <c r="R24" s="500">
        <f>Base!R$43</f>
        <v>2279.1219106965364</v>
      </c>
      <c r="S24" s="500">
        <f>Base!S$43</f>
        <v>2643.8263839532992</v>
      </c>
      <c r="T24" s="500">
        <f>Base!T$43</f>
        <v>2821.6505909302637</v>
      </c>
      <c r="U24" s="500">
        <f>Base!U$43</f>
        <v>2609.7928698680221</v>
      </c>
      <c r="V24" s="500">
        <f>Base!V$43</f>
        <v>2493.6600146793753</v>
      </c>
      <c r="W24" s="500">
        <f>Base!W$43</f>
        <v>3078.6976537738378</v>
      </c>
    </row>
    <row r="25" spans="1:28">
      <c r="A25" s="52" t="s">
        <v>78</v>
      </c>
      <c r="B25" s="59">
        <f>B24</f>
        <v>222.23199999999997</v>
      </c>
      <c r="C25" s="59">
        <f>C24</f>
        <v>292.90999999999997</v>
      </c>
      <c r="D25" s="59">
        <f>D24</f>
        <v>435.56699999999995</v>
      </c>
      <c r="E25" s="59">
        <f>E24</f>
        <v>530.04399999999987</v>
      </c>
      <c r="F25" s="59">
        <f t="shared" ref="F25:K25" si="17">F24</f>
        <v>280.0510000000001</v>
      </c>
      <c r="G25" s="59">
        <f t="shared" si="17"/>
        <v>339.90799999999996</v>
      </c>
      <c r="H25" s="59">
        <f t="shared" si="17"/>
        <v>555.53299999999979</v>
      </c>
      <c r="I25" s="59">
        <f t="shared" si="17"/>
        <v>729.69399999999973</v>
      </c>
      <c r="J25" s="59">
        <f t="shared" si="17"/>
        <v>728.17900000000009</v>
      </c>
      <c r="K25" s="59">
        <f t="shared" si="17"/>
        <v>855.20999999999981</v>
      </c>
      <c r="L25" s="59">
        <f t="shared" ref="L25" si="18">L24</f>
        <v>978.75699999999995</v>
      </c>
      <c r="M25" s="59">
        <f>M24</f>
        <v>1281.1349999999998</v>
      </c>
      <c r="N25" s="59">
        <f>N24</f>
        <v>1489.7589999999998</v>
      </c>
      <c r="O25" s="59">
        <f>Bull!O$43</f>
        <v>1566.7600000000002</v>
      </c>
      <c r="P25" s="500">
        <f>Bull!P$43</f>
        <v>2303.4403274288452</v>
      </c>
      <c r="Q25" s="500">
        <f>Bull!Q$43</f>
        <v>2544.722048252871</v>
      </c>
      <c r="R25" s="500">
        <f>Bull!R$43</f>
        <v>2921.9328071354771</v>
      </c>
      <c r="S25" s="500">
        <f>Bull!S$43</f>
        <v>3248.2556777133764</v>
      </c>
      <c r="T25" s="500">
        <f>Bull!T$43</f>
        <v>3141.404626689683</v>
      </c>
      <c r="U25" s="500">
        <f>Bull!U$43</f>
        <v>3060.9877345830128</v>
      </c>
      <c r="V25" s="500">
        <f>Bull!V$43</f>
        <v>3320.7319698168731</v>
      </c>
      <c r="W25" s="500">
        <f>Bull!W$43</f>
        <v>3940.7705672495417</v>
      </c>
      <c r="AB25" s="1950"/>
    </row>
    <row r="26" spans="1:28">
      <c r="C26" s="372"/>
      <c r="D26" s="372"/>
      <c r="E26" s="372"/>
      <c r="F26" s="372"/>
      <c r="G26" s="372"/>
      <c r="H26" s="372"/>
      <c r="I26" s="372"/>
      <c r="J26" s="372"/>
      <c r="K26" s="372"/>
      <c r="L26" s="372"/>
      <c r="M26" s="372"/>
      <c r="N26" s="372"/>
      <c r="O26" s="372"/>
      <c r="P26" s="502"/>
      <c r="Q26" s="502"/>
      <c r="R26" s="502"/>
      <c r="S26" s="502"/>
      <c r="T26" s="502"/>
      <c r="U26" s="502"/>
      <c r="V26" s="502"/>
      <c r="W26" s="502"/>
    </row>
    <row r="27" spans="1:28">
      <c r="A27" s="674" t="s">
        <v>396</v>
      </c>
      <c r="B27" s="675">
        <f t="shared" ref="B27:W27" si="19">B$7</f>
        <v>2004</v>
      </c>
      <c r="C27" s="675">
        <f t="shared" si="19"/>
        <v>2005</v>
      </c>
      <c r="D27" s="675">
        <f t="shared" si="19"/>
        <v>2006</v>
      </c>
      <c r="E27" s="675">
        <f t="shared" si="19"/>
        <v>2007</v>
      </c>
      <c r="F27" s="675">
        <f t="shared" si="19"/>
        <v>2008</v>
      </c>
      <c r="G27" s="675">
        <f t="shared" si="19"/>
        <v>2009</v>
      </c>
      <c r="H27" s="675">
        <f t="shared" si="19"/>
        <v>2010</v>
      </c>
      <c r="I27" s="675">
        <f t="shared" si="19"/>
        <v>2011</v>
      </c>
      <c r="J27" s="675">
        <f t="shared" si="19"/>
        <v>2012</v>
      </c>
      <c r="K27" s="675">
        <f t="shared" si="19"/>
        <v>2013</v>
      </c>
      <c r="L27" s="675">
        <f t="shared" si="19"/>
        <v>2014</v>
      </c>
      <c r="M27" s="675">
        <f t="shared" si="19"/>
        <v>2015</v>
      </c>
      <c r="N27" s="675">
        <f t="shared" si="19"/>
        <v>2016</v>
      </c>
      <c r="O27" s="675">
        <f t="shared" si="19"/>
        <v>2017</v>
      </c>
      <c r="P27" s="490" t="str">
        <f t="shared" si="19"/>
        <v>2018E</v>
      </c>
      <c r="Q27" s="490" t="str">
        <f t="shared" si="19"/>
        <v>2019E</v>
      </c>
      <c r="R27" s="490" t="str">
        <f t="shared" si="19"/>
        <v>2020E</v>
      </c>
      <c r="S27" s="490" t="str">
        <f t="shared" si="19"/>
        <v>2021E</v>
      </c>
      <c r="T27" s="490" t="str">
        <f t="shared" si="19"/>
        <v>2022E</v>
      </c>
      <c r="U27" s="490" t="str">
        <f t="shared" si="19"/>
        <v>2023E</v>
      </c>
      <c r="V27" s="490" t="str">
        <f t="shared" si="19"/>
        <v>2024E</v>
      </c>
      <c r="W27" s="490" t="str">
        <f t="shared" si="19"/>
        <v>2025E</v>
      </c>
    </row>
    <row r="28" spans="1:28">
      <c r="A28" s="52" t="s">
        <v>79</v>
      </c>
      <c r="B28" s="107">
        <f t="shared" ref="B28:N28" si="20">B29</f>
        <v>0.42901930501930496</v>
      </c>
      <c r="C28" s="107">
        <f t="shared" si="20"/>
        <v>0.45188213514347425</v>
      </c>
      <c r="D28" s="107">
        <f t="shared" si="20"/>
        <v>0.53905339211061087</v>
      </c>
      <c r="E28" s="107">
        <f t="shared" si="20"/>
        <v>0.64128284638195254</v>
      </c>
      <c r="F28" s="107">
        <f t="shared" si="20"/>
        <v>0.39309817242637779</v>
      </c>
      <c r="G28" s="107">
        <f t="shared" si="20"/>
        <v>0.43890641402917963</v>
      </c>
      <c r="H28" s="107">
        <f t="shared" si="20"/>
        <v>0.46948328637370834</v>
      </c>
      <c r="I28" s="107">
        <f t="shared" si="20"/>
        <v>0.56345808739270486</v>
      </c>
      <c r="J28" s="107">
        <f t="shared" si="20"/>
        <v>0.53268787628292824</v>
      </c>
      <c r="K28" s="107">
        <f t="shared" si="20"/>
        <v>0.52275887784199437</v>
      </c>
      <c r="L28" s="107">
        <f t="shared" si="20"/>
        <v>0.49640511439425056</v>
      </c>
      <c r="M28" s="107">
        <f t="shared" si="20"/>
        <v>0.55098741507043369</v>
      </c>
      <c r="N28" s="107">
        <f t="shared" si="20"/>
        <v>0.54622368215051886</v>
      </c>
      <c r="O28" s="107">
        <f>Bear!O$44</f>
        <v>0.5217521034792576</v>
      </c>
      <c r="P28" s="109">
        <f>Bear!P$44</f>
        <v>0.55082590433598422</v>
      </c>
      <c r="Q28" s="109">
        <f>Bear!Q$44</f>
        <v>0.50979419740087362</v>
      </c>
      <c r="R28" s="109">
        <f>Bear!R$44</f>
        <v>0.52160550309465448</v>
      </c>
      <c r="S28" s="109">
        <f>Bear!S$44</f>
        <v>0.52446263408480864</v>
      </c>
      <c r="T28" s="109">
        <f>Bear!T$44</f>
        <v>0.50835179899312033</v>
      </c>
      <c r="U28" s="109">
        <f>Bear!U$44</f>
        <v>0.49134501424914878</v>
      </c>
      <c r="V28" s="109">
        <f>Bear!V$44</f>
        <v>0.48487555782861991</v>
      </c>
      <c r="W28" s="109">
        <f>Bear!W$44</f>
        <v>0.52307141067934271</v>
      </c>
    </row>
    <row r="29" spans="1:28">
      <c r="A29" s="52" t="s">
        <v>77</v>
      </c>
      <c r="B29" s="107">
        <f>Financials!B44</f>
        <v>0.42901930501930496</v>
      </c>
      <c r="C29" s="107">
        <f>Financials!C44</f>
        <v>0.45188213514347425</v>
      </c>
      <c r="D29" s="107">
        <f>Financials!D44</f>
        <v>0.53905339211061087</v>
      </c>
      <c r="E29" s="107">
        <f>Financials!E44</f>
        <v>0.64128284638195254</v>
      </c>
      <c r="F29" s="107">
        <f>Financials!F44</f>
        <v>0.39309817242637779</v>
      </c>
      <c r="G29" s="107">
        <f>Financials!G44</f>
        <v>0.43890641402917963</v>
      </c>
      <c r="H29" s="107">
        <f>Financials!H44</f>
        <v>0.46948328637370834</v>
      </c>
      <c r="I29" s="107">
        <f>Financials!I44</f>
        <v>0.56345808739270486</v>
      </c>
      <c r="J29" s="107">
        <f>Financials!J44</f>
        <v>0.53268787628292824</v>
      </c>
      <c r="K29" s="107">
        <f>Financials!K44</f>
        <v>0.52275887784199437</v>
      </c>
      <c r="L29" s="107">
        <f>Financials!L44</f>
        <v>0.49640511439425056</v>
      </c>
      <c r="M29" s="107">
        <f>Financials!M44</f>
        <v>0.55098741507043369</v>
      </c>
      <c r="N29" s="107">
        <f>Financials!N44</f>
        <v>0.54622368215051886</v>
      </c>
      <c r="O29" s="107">
        <f>Base!O$44</f>
        <v>0.5217521034792576</v>
      </c>
      <c r="P29" s="109">
        <f>Base!P$44</f>
        <v>0.56041021645547784</v>
      </c>
      <c r="Q29" s="109">
        <f>Base!Q$44</f>
        <v>0.55246694900654114</v>
      </c>
      <c r="R29" s="109">
        <f>Base!R$44</f>
        <v>0.55795395334408959</v>
      </c>
      <c r="S29" s="109">
        <f>Base!S$44</f>
        <v>0.56238646826180971</v>
      </c>
      <c r="T29" s="109">
        <f>Base!T$44</f>
        <v>0.56083064606104605</v>
      </c>
      <c r="U29" s="109">
        <f>Base!U$44</f>
        <v>0.54505166187927745</v>
      </c>
      <c r="V29" s="109">
        <f>Base!V$44</f>
        <v>0.5344833642692528</v>
      </c>
      <c r="W29" s="109">
        <f>Base!W$44</f>
        <v>0.58967040581556651</v>
      </c>
    </row>
    <row r="30" spans="1:28">
      <c r="A30" s="52" t="s">
        <v>78</v>
      </c>
      <c r="B30" s="107">
        <f t="shared" ref="B30:K30" si="21">B29</f>
        <v>0.42901930501930496</v>
      </c>
      <c r="C30" s="107">
        <f t="shared" si="21"/>
        <v>0.45188213514347425</v>
      </c>
      <c r="D30" s="107">
        <f t="shared" si="21"/>
        <v>0.53905339211061087</v>
      </c>
      <c r="E30" s="107">
        <f t="shared" si="21"/>
        <v>0.64128284638195254</v>
      </c>
      <c r="F30" s="107">
        <f t="shared" si="21"/>
        <v>0.39309817242637779</v>
      </c>
      <c r="G30" s="107">
        <f t="shared" si="21"/>
        <v>0.43890641402917963</v>
      </c>
      <c r="H30" s="107">
        <f t="shared" si="21"/>
        <v>0.46948328637370834</v>
      </c>
      <c r="I30" s="107">
        <f t="shared" si="21"/>
        <v>0.56345808739270486</v>
      </c>
      <c r="J30" s="107">
        <f t="shared" si="21"/>
        <v>0.53268787628292824</v>
      </c>
      <c r="K30" s="107">
        <f t="shared" si="21"/>
        <v>0.52275887784199437</v>
      </c>
      <c r="L30" s="107">
        <f t="shared" ref="L30:M30" si="22">L29</f>
        <v>0.49640511439425056</v>
      </c>
      <c r="M30" s="107">
        <f t="shared" si="22"/>
        <v>0.55098741507043369</v>
      </c>
      <c r="N30" s="107">
        <f t="shared" ref="N30" si="23">N29</f>
        <v>0.54622368215051886</v>
      </c>
      <c r="O30" s="107">
        <f>Bull!O$44</f>
        <v>0.5217521034792576</v>
      </c>
      <c r="P30" s="109">
        <f>Bull!P$44</f>
        <v>0.57884861448757974</v>
      </c>
      <c r="Q30" s="109">
        <f>Bull!Q$44</f>
        <v>0.59412139341807624</v>
      </c>
      <c r="R30" s="109">
        <f>Bull!R$44</f>
        <v>0.60563574438169598</v>
      </c>
      <c r="S30" s="109">
        <f>Bull!S$44</f>
        <v>0.61334774340704812</v>
      </c>
      <c r="T30" s="109">
        <f>Bull!T$44</f>
        <v>0.60702983607447558</v>
      </c>
      <c r="U30" s="109">
        <f>Bull!U$44</f>
        <v>0.60509283317543561</v>
      </c>
      <c r="V30" s="109">
        <f>Bull!V$44</f>
        <v>0.61143687246446132</v>
      </c>
      <c r="W30" s="109">
        <f>Bull!W$44</f>
        <v>0.65737896182205469</v>
      </c>
    </row>
    <row r="31" spans="1:28">
      <c r="C31" s="372"/>
      <c r="D31" s="372"/>
      <c r="E31" s="372"/>
      <c r="F31" s="372"/>
      <c r="G31" s="372"/>
      <c r="H31" s="372"/>
      <c r="I31" s="372"/>
      <c r="J31" s="372"/>
      <c r="K31" s="372"/>
      <c r="L31" s="372"/>
      <c r="M31" s="372"/>
      <c r="N31" s="372"/>
      <c r="O31" s="372"/>
      <c r="P31" s="104"/>
      <c r="Q31" s="104"/>
      <c r="R31" s="104"/>
      <c r="S31" s="104"/>
      <c r="T31" s="104"/>
      <c r="U31" s="104"/>
      <c r="V31" s="104"/>
      <c r="W31" s="104"/>
    </row>
    <row r="32" spans="1:28">
      <c r="A32" s="674" t="s">
        <v>219</v>
      </c>
      <c r="B32" s="675">
        <f t="shared" ref="B32:W32" si="24">B$7</f>
        <v>2004</v>
      </c>
      <c r="C32" s="675">
        <f t="shared" si="24"/>
        <v>2005</v>
      </c>
      <c r="D32" s="675">
        <f t="shared" si="24"/>
        <v>2006</v>
      </c>
      <c r="E32" s="675">
        <f t="shared" si="24"/>
        <v>2007</v>
      </c>
      <c r="F32" s="675">
        <f t="shared" si="24"/>
        <v>2008</v>
      </c>
      <c r="G32" s="675">
        <f t="shared" si="24"/>
        <v>2009</v>
      </c>
      <c r="H32" s="675">
        <f t="shared" si="24"/>
        <v>2010</v>
      </c>
      <c r="I32" s="675">
        <f t="shared" si="24"/>
        <v>2011</v>
      </c>
      <c r="J32" s="675">
        <f t="shared" si="24"/>
        <v>2012</v>
      </c>
      <c r="K32" s="675">
        <f t="shared" si="24"/>
        <v>2013</v>
      </c>
      <c r="L32" s="675">
        <f t="shared" si="24"/>
        <v>2014</v>
      </c>
      <c r="M32" s="675">
        <f t="shared" si="24"/>
        <v>2015</v>
      </c>
      <c r="N32" s="675">
        <f t="shared" si="24"/>
        <v>2016</v>
      </c>
      <c r="O32" s="675">
        <f t="shared" si="24"/>
        <v>2017</v>
      </c>
      <c r="P32" s="490" t="str">
        <f t="shared" si="24"/>
        <v>2018E</v>
      </c>
      <c r="Q32" s="490" t="str">
        <f t="shared" si="24"/>
        <v>2019E</v>
      </c>
      <c r="R32" s="490" t="str">
        <f t="shared" si="24"/>
        <v>2020E</v>
      </c>
      <c r="S32" s="490" t="str">
        <f t="shared" si="24"/>
        <v>2021E</v>
      </c>
      <c r="T32" s="490" t="str">
        <f t="shared" si="24"/>
        <v>2022E</v>
      </c>
      <c r="U32" s="490" t="str">
        <f t="shared" si="24"/>
        <v>2023E</v>
      </c>
      <c r="V32" s="490" t="str">
        <f t="shared" si="24"/>
        <v>2024E</v>
      </c>
      <c r="W32" s="490" t="str">
        <f t="shared" si="24"/>
        <v>2025E</v>
      </c>
    </row>
    <row r="33" spans="1:23">
      <c r="A33" s="52" t="s">
        <v>79</v>
      </c>
      <c r="B33" s="499">
        <f>B34</f>
        <v>91.93199999999996</v>
      </c>
      <c r="C33" s="499">
        <f>C34</f>
        <v>163.10999999999996</v>
      </c>
      <c r="D33" s="499">
        <f>D34</f>
        <v>322.19099999999997</v>
      </c>
      <c r="E33" s="499">
        <f>E34</f>
        <v>390.47699999999986</v>
      </c>
      <c r="F33" s="499">
        <f>F34</f>
        <v>128.3730000000001</v>
      </c>
      <c r="G33" s="499">
        <f t="shared" ref="G33:N33" si="25">G34</f>
        <v>243.17899999999995</v>
      </c>
      <c r="H33" s="499">
        <f t="shared" si="25"/>
        <v>401.32199999999978</v>
      </c>
      <c r="I33" s="499">
        <f t="shared" si="25"/>
        <v>566.1239999999998</v>
      </c>
      <c r="J33" s="499">
        <f t="shared" si="25"/>
        <v>582.6350000000001</v>
      </c>
      <c r="K33" s="499">
        <f t="shared" si="25"/>
        <v>651.75999999999976</v>
      </c>
      <c r="L33" s="499">
        <f t="shared" si="25"/>
        <v>751.20299999999997</v>
      </c>
      <c r="M33" s="499">
        <f t="shared" si="25"/>
        <v>1131.7149999999997</v>
      </c>
      <c r="N33" s="499">
        <f t="shared" si="25"/>
        <v>1235.8139999999999</v>
      </c>
      <c r="O33" s="499">
        <f>Bear!O$61</f>
        <v>1444.3980000000001</v>
      </c>
      <c r="P33" s="500">
        <f>Bear!P$61</f>
        <v>1553.182129576574</v>
      </c>
      <c r="Q33" s="500">
        <f>Bear!Q$61</f>
        <v>1328.9423530676906</v>
      </c>
      <c r="R33" s="500">
        <f>Bear!R$61</f>
        <v>1631.3861488187895</v>
      </c>
      <c r="S33" s="500">
        <f>Bear!S$61</f>
        <v>1914.5922466331567</v>
      </c>
      <c r="T33" s="500">
        <f>Bear!T$61</f>
        <v>1788.361528614309</v>
      </c>
      <c r="U33" s="500">
        <f>Bear!U$61</f>
        <v>1612.6758441749128</v>
      </c>
      <c r="V33" s="500">
        <f>Bear!V$61</f>
        <v>1705.1208251869857</v>
      </c>
      <c r="W33" s="500">
        <f>Bear!W$61</f>
        <v>2004.8780218993866</v>
      </c>
    </row>
    <row r="34" spans="1:23">
      <c r="A34" s="52" t="s">
        <v>77</v>
      </c>
      <c r="B34" s="59">
        <f>Financials!B61</f>
        <v>91.93199999999996</v>
      </c>
      <c r="C34" s="59">
        <f>Financials!C61</f>
        <v>163.10999999999996</v>
      </c>
      <c r="D34" s="59">
        <f>Financials!D61</f>
        <v>322.19099999999997</v>
      </c>
      <c r="E34" s="59">
        <f>Financials!E61</f>
        <v>390.47699999999986</v>
      </c>
      <c r="F34" s="59">
        <f>Financials!F61</f>
        <v>128.3730000000001</v>
      </c>
      <c r="G34" s="59">
        <f>Financials!G61</f>
        <v>243.17899999999995</v>
      </c>
      <c r="H34" s="59">
        <f>Financials!H61</f>
        <v>401.32199999999978</v>
      </c>
      <c r="I34" s="59">
        <f>Financials!I61</f>
        <v>566.1239999999998</v>
      </c>
      <c r="J34" s="59">
        <f>Financials!J61</f>
        <v>582.6350000000001</v>
      </c>
      <c r="K34" s="59">
        <f>Financials!K61</f>
        <v>651.75999999999976</v>
      </c>
      <c r="L34" s="59">
        <f>Financials!L61</f>
        <v>751.20299999999997</v>
      </c>
      <c r="M34" s="59">
        <f>Financials!M61</f>
        <v>1131.7149999999997</v>
      </c>
      <c r="N34" s="59">
        <f>Financials!N61</f>
        <v>1235.8139999999999</v>
      </c>
      <c r="O34" s="59">
        <f>Base!O$61</f>
        <v>1444.3980000000001</v>
      </c>
      <c r="P34" s="500">
        <f>Base!P$61</f>
        <v>1759.0220528034631</v>
      </c>
      <c r="Q34" s="500">
        <f>Base!Q$61</f>
        <v>1780.1509011492542</v>
      </c>
      <c r="R34" s="500">
        <f>Base!R$61</f>
        <v>1952.9908721268353</v>
      </c>
      <c r="S34" s="500">
        <f>Base!S$61</f>
        <v>2298.6292562952813</v>
      </c>
      <c r="T34" s="500">
        <f>Base!T$61</f>
        <v>2458.0074493075854</v>
      </c>
      <c r="U34" s="500">
        <f>Base!U$61</f>
        <v>2226.7144313496665</v>
      </c>
      <c r="V34" s="500">
        <f>Base!V$61</f>
        <v>2090.1126866537361</v>
      </c>
      <c r="W34" s="500">
        <f>Base!W$61</f>
        <v>2653.5978609798112</v>
      </c>
    </row>
    <row r="35" spans="1:23">
      <c r="A35" s="52" t="s">
        <v>78</v>
      </c>
      <c r="B35" s="59">
        <f>B34</f>
        <v>91.93199999999996</v>
      </c>
      <c r="C35" s="59">
        <f>C34</f>
        <v>163.10999999999996</v>
      </c>
      <c r="D35" s="59">
        <f>D34</f>
        <v>322.19099999999997</v>
      </c>
      <c r="E35" s="59">
        <f>E34</f>
        <v>390.47699999999986</v>
      </c>
      <c r="F35" s="59">
        <f>F34</f>
        <v>128.3730000000001</v>
      </c>
      <c r="G35" s="59">
        <f t="shared" ref="G35:K35" si="26">G34</f>
        <v>243.17899999999995</v>
      </c>
      <c r="H35" s="59">
        <f t="shared" si="26"/>
        <v>401.32199999999978</v>
      </c>
      <c r="I35" s="59">
        <f t="shared" si="26"/>
        <v>566.1239999999998</v>
      </c>
      <c r="J35" s="59">
        <f t="shared" si="26"/>
        <v>582.6350000000001</v>
      </c>
      <c r="K35" s="59">
        <f t="shared" si="26"/>
        <v>651.75999999999976</v>
      </c>
      <c r="L35" s="59">
        <f t="shared" ref="L35:M35" si="27">L34</f>
        <v>751.20299999999997</v>
      </c>
      <c r="M35" s="59">
        <f t="shared" si="27"/>
        <v>1131.7149999999997</v>
      </c>
      <c r="N35" s="59">
        <f t="shared" ref="N35" si="28">N34</f>
        <v>1235.8139999999999</v>
      </c>
      <c r="O35" s="59">
        <f>Bull!O$61</f>
        <v>1444.3980000000001</v>
      </c>
      <c r="P35" s="500">
        <f>Bull!P$61</f>
        <v>2013.535953804369</v>
      </c>
      <c r="Q35" s="500">
        <f>Bull!Q$61</f>
        <v>2237.0161565818175</v>
      </c>
      <c r="R35" s="500">
        <f>Bull!R$61</f>
        <v>2598.8592644276914</v>
      </c>
      <c r="S35" s="500">
        <f>Bull!S$61</f>
        <v>2907.6968964078374</v>
      </c>
      <c r="T35" s="500">
        <f>Bull!T$61</f>
        <v>2785.2718743148152</v>
      </c>
      <c r="U35" s="500">
        <f>Bull!U$61</f>
        <v>2688.5581124503587</v>
      </c>
      <c r="V35" s="500">
        <f>Bull!V$61</f>
        <v>2931.2644536911444</v>
      </c>
      <c r="W35" s="500">
        <f>Bull!W$61</f>
        <v>3533.5031878312352</v>
      </c>
    </row>
    <row r="36" spans="1:23">
      <c r="C36" s="503"/>
      <c r="D36" s="503"/>
      <c r="E36" s="503"/>
      <c r="F36" s="503"/>
      <c r="G36" s="503"/>
      <c r="H36" s="503"/>
      <c r="I36" s="503"/>
      <c r="J36" s="503"/>
      <c r="K36" s="503"/>
      <c r="L36" s="503"/>
      <c r="M36" s="503"/>
      <c r="N36" s="503"/>
      <c r="O36" s="503"/>
      <c r="P36" s="502"/>
      <c r="Q36" s="502"/>
      <c r="R36" s="502"/>
      <c r="S36" s="502"/>
      <c r="T36" s="502"/>
      <c r="U36" s="502"/>
      <c r="V36" s="502"/>
      <c r="W36" s="502"/>
    </row>
    <row r="37" spans="1:23">
      <c r="A37" s="674" t="s">
        <v>32</v>
      </c>
      <c r="B37" s="675">
        <f t="shared" ref="B37:W37" si="29">B$7</f>
        <v>2004</v>
      </c>
      <c r="C37" s="675">
        <f t="shared" si="29"/>
        <v>2005</v>
      </c>
      <c r="D37" s="675">
        <f t="shared" si="29"/>
        <v>2006</v>
      </c>
      <c r="E37" s="675">
        <f t="shared" si="29"/>
        <v>2007</v>
      </c>
      <c r="F37" s="675">
        <f t="shared" si="29"/>
        <v>2008</v>
      </c>
      <c r="G37" s="675">
        <f t="shared" si="29"/>
        <v>2009</v>
      </c>
      <c r="H37" s="675">
        <f t="shared" si="29"/>
        <v>2010</v>
      </c>
      <c r="I37" s="675">
        <f t="shared" si="29"/>
        <v>2011</v>
      </c>
      <c r="J37" s="675">
        <f t="shared" si="29"/>
        <v>2012</v>
      </c>
      <c r="K37" s="675">
        <f t="shared" si="29"/>
        <v>2013</v>
      </c>
      <c r="L37" s="675">
        <f t="shared" si="29"/>
        <v>2014</v>
      </c>
      <c r="M37" s="675">
        <f t="shared" si="29"/>
        <v>2015</v>
      </c>
      <c r="N37" s="675">
        <f t="shared" si="29"/>
        <v>2016</v>
      </c>
      <c r="O37" s="675">
        <f t="shared" si="29"/>
        <v>2017</v>
      </c>
      <c r="P37" s="490" t="str">
        <f t="shared" si="29"/>
        <v>2018E</v>
      </c>
      <c r="Q37" s="490" t="str">
        <f t="shared" si="29"/>
        <v>2019E</v>
      </c>
      <c r="R37" s="490" t="str">
        <f t="shared" si="29"/>
        <v>2020E</v>
      </c>
      <c r="S37" s="490" t="str">
        <f t="shared" si="29"/>
        <v>2021E</v>
      </c>
      <c r="T37" s="490" t="str">
        <f t="shared" si="29"/>
        <v>2022E</v>
      </c>
      <c r="U37" s="490" t="str">
        <f t="shared" si="29"/>
        <v>2023E</v>
      </c>
      <c r="V37" s="490" t="str">
        <f t="shared" si="29"/>
        <v>2024E</v>
      </c>
      <c r="W37" s="490" t="str">
        <f t="shared" si="29"/>
        <v>2025E</v>
      </c>
    </row>
    <row r="38" spans="1:23">
      <c r="A38" s="52" t="s">
        <v>79</v>
      </c>
      <c r="B38" s="107">
        <f>B39</f>
        <v>0.17747490347490338</v>
      </c>
      <c r="C38" s="107">
        <f t="shared" ref="C38:N38" si="30">C39</f>
        <v>0.25163529774760873</v>
      </c>
      <c r="D38" s="107">
        <f t="shared" si="30"/>
        <v>0.39874038083121499</v>
      </c>
      <c r="E38" s="107">
        <f t="shared" si="30"/>
        <v>0.4724253118735155</v>
      </c>
      <c r="F38" s="107">
        <f t="shared" si="30"/>
        <v>0.18019286376014162</v>
      </c>
      <c r="G38" s="107">
        <f t="shared" si="30"/>
        <v>0.31400503329489704</v>
      </c>
      <c r="H38" s="107">
        <f t="shared" si="30"/>
        <v>0.33915891846941471</v>
      </c>
      <c r="I38" s="107">
        <f t="shared" si="30"/>
        <v>0.43715193802759467</v>
      </c>
      <c r="J38" s="107">
        <f t="shared" si="30"/>
        <v>0.42621745587019666</v>
      </c>
      <c r="K38" s="107">
        <f t="shared" si="30"/>
        <v>0.39839726642847745</v>
      </c>
      <c r="L38" s="107">
        <f t="shared" si="30"/>
        <v>0.38099447681937826</v>
      </c>
      <c r="M38" s="107">
        <f t="shared" si="30"/>
        <v>0.48672522602726165</v>
      </c>
      <c r="N38" s="107">
        <f t="shared" si="30"/>
        <v>0.45311414365220232</v>
      </c>
      <c r="O38" s="107">
        <f>Bear!O$62</f>
        <v>0.48100391557177408</v>
      </c>
      <c r="P38" s="109">
        <f>Bear!P$62</f>
        <v>0.46428058297778629</v>
      </c>
      <c r="Q38" s="109">
        <f>Bear!Q$62</f>
        <v>0.41357796231572791</v>
      </c>
      <c r="R38" s="109">
        <f>Bear!R$62</f>
        <v>0.43451715590672096</v>
      </c>
      <c r="S38" s="109">
        <f>Bear!S$62</f>
        <v>0.44397175579106696</v>
      </c>
      <c r="T38" s="109">
        <f>Bear!T$62</f>
        <v>0.42193487923437417</v>
      </c>
      <c r="U38" s="109">
        <f>Bear!U$62</f>
        <v>0.39635313244266696</v>
      </c>
      <c r="V38" s="109">
        <f>Bear!V$62</f>
        <v>0.39128566941444687</v>
      </c>
      <c r="W38" s="109">
        <f>Bear!W$62</f>
        <v>0.43063448152607492</v>
      </c>
    </row>
    <row r="39" spans="1:23">
      <c r="A39" s="52" t="s">
        <v>77</v>
      </c>
      <c r="B39" s="107">
        <f>Financials!B62</f>
        <v>0.17747490347490338</v>
      </c>
      <c r="C39" s="107">
        <f>Financials!C62</f>
        <v>0.25163529774760873</v>
      </c>
      <c r="D39" s="107">
        <f>Financials!D62</f>
        <v>0.39874038083121499</v>
      </c>
      <c r="E39" s="107">
        <f>Financials!E62</f>
        <v>0.4724253118735155</v>
      </c>
      <c r="F39" s="107">
        <f>Financials!F62</f>
        <v>0.18019286376014162</v>
      </c>
      <c r="G39" s="107">
        <f>Financials!G62</f>
        <v>0.31400503329489704</v>
      </c>
      <c r="H39" s="107">
        <f>Financials!H62</f>
        <v>0.33915891846941471</v>
      </c>
      <c r="I39" s="107">
        <f>Financials!I62</f>
        <v>0.43715193802759467</v>
      </c>
      <c r="J39" s="107">
        <f>Financials!J62</f>
        <v>0.42621745587019666</v>
      </c>
      <c r="K39" s="107">
        <f>Financials!K62</f>
        <v>0.39839726642847745</v>
      </c>
      <c r="L39" s="107">
        <f>Financials!L62</f>
        <v>0.38099447681937826</v>
      </c>
      <c r="M39" s="107">
        <f>Financials!M62</f>
        <v>0.48672522602726165</v>
      </c>
      <c r="N39" s="107">
        <f>Financials!N62</f>
        <v>0.45311414365220232</v>
      </c>
      <c r="O39" s="107">
        <f>Base!O$62</f>
        <v>0.48100391557177408</v>
      </c>
      <c r="P39" s="109">
        <f>Base!P$62</f>
        <v>0.48103280154086298</v>
      </c>
      <c r="Q39" s="109">
        <f>Base!Q$62</f>
        <v>0.47067842251844494</v>
      </c>
      <c r="R39" s="109">
        <f>Base!R$62</f>
        <v>0.47811351066124658</v>
      </c>
      <c r="S39" s="109">
        <f>Base!S$62</f>
        <v>0.48895721638051715</v>
      </c>
      <c r="T39" s="109">
        <f>Base!T$62</f>
        <v>0.48855301583019672</v>
      </c>
      <c r="U39" s="109">
        <f>Base!U$62</f>
        <v>0.4650462553371455</v>
      </c>
      <c r="V39" s="109">
        <f>Base!V$62</f>
        <v>0.44798827983299544</v>
      </c>
      <c r="W39" s="109">
        <f>Base!W$62</f>
        <v>0.50825001462460317</v>
      </c>
    </row>
    <row r="40" spans="1:23">
      <c r="A40" s="52" t="s">
        <v>78</v>
      </c>
      <c r="B40" s="107">
        <f>B39</f>
        <v>0.17747490347490338</v>
      </c>
      <c r="C40" s="107">
        <f t="shared" ref="C40:K40" si="31">C39</f>
        <v>0.25163529774760873</v>
      </c>
      <c r="D40" s="107">
        <f t="shared" si="31"/>
        <v>0.39874038083121499</v>
      </c>
      <c r="E40" s="107">
        <f t="shared" si="31"/>
        <v>0.4724253118735155</v>
      </c>
      <c r="F40" s="107">
        <f t="shared" si="31"/>
        <v>0.18019286376014162</v>
      </c>
      <c r="G40" s="107">
        <f t="shared" si="31"/>
        <v>0.31400503329489704</v>
      </c>
      <c r="H40" s="107">
        <f t="shared" si="31"/>
        <v>0.33915891846941471</v>
      </c>
      <c r="I40" s="107">
        <f t="shared" si="31"/>
        <v>0.43715193802759467</v>
      </c>
      <c r="J40" s="107">
        <f t="shared" si="31"/>
        <v>0.42621745587019666</v>
      </c>
      <c r="K40" s="107">
        <f t="shared" si="31"/>
        <v>0.39839726642847745</v>
      </c>
      <c r="L40" s="107">
        <f t="shared" ref="L40:M40" si="32">L39</f>
        <v>0.38099447681937826</v>
      </c>
      <c r="M40" s="107">
        <f t="shared" si="32"/>
        <v>0.48672522602726165</v>
      </c>
      <c r="N40" s="107">
        <f t="shared" ref="N40" si="33">N39</f>
        <v>0.45311414365220232</v>
      </c>
      <c r="O40" s="107">
        <f>Bull!O$62</f>
        <v>0.48100391557177408</v>
      </c>
      <c r="P40" s="109">
        <f>Bull!P$62</f>
        <v>0.50599639296129773</v>
      </c>
      <c r="Q40" s="109">
        <f>Bull!Q$62</f>
        <v>0.52228067775010256</v>
      </c>
      <c r="R40" s="109">
        <f>Bull!R$62</f>
        <v>0.5386715468991119</v>
      </c>
      <c r="S40" s="109">
        <f>Bull!S$62</f>
        <v>0.54904216504868153</v>
      </c>
      <c r="T40" s="109">
        <f>Bull!T$62</f>
        <v>0.5382124655077698</v>
      </c>
      <c r="U40" s="109">
        <f>Bull!U$62</f>
        <v>0.53147133751615816</v>
      </c>
      <c r="V40" s="109">
        <f>Bull!V$62</f>
        <v>0.53972533351735685</v>
      </c>
      <c r="W40" s="109">
        <f>Bull!W$62</f>
        <v>0.58944072423699867</v>
      </c>
    </row>
    <row r="41" spans="1:23">
      <c r="C41" s="372"/>
      <c r="D41" s="372"/>
      <c r="E41" s="372"/>
      <c r="F41" s="372"/>
      <c r="G41" s="372"/>
      <c r="H41" s="372"/>
      <c r="I41" s="372"/>
      <c r="J41" s="372"/>
      <c r="K41" s="372"/>
      <c r="L41" s="372"/>
      <c r="M41" s="372"/>
      <c r="N41" s="372"/>
      <c r="O41" s="372"/>
      <c r="P41" s="104"/>
      <c r="Q41" s="104"/>
      <c r="R41" s="104"/>
      <c r="S41" s="104"/>
      <c r="T41" s="104"/>
      <c r="U41" s="104"/>
      <c r="V41" s="104"/>
      <c r="W41" s="104"/>
    </row>
    <row r="42" spans="1:23">
      <c r="A42" s="674" t="s">
        <v>220</v>
      </c>
      <c r="B42" s="675">
        <f t="shared" ref="B42:W42" si="34">B$7</f>
        <v>2004</v>
      </c>
      <c r="C42" s="675">
        <f t="shared" si="34"/>
        <v>2005</v>
      </c>
      <c r="D42" s="675">
        <f t="shared" si="34"/>
        <v>2006</v>
      </c>
      <c r="E42" s="675">
        <f t="shared" si="34"/>
        <v>2007</v>
      </c>
      <c r="F42" s="675">
        <f t="shared" si="34"/>
        <v>2008</v>
      </c>
      <c r="G42" s="675">
        <f t="shared" si="34"/>
        <v>2009</v>
      </c>
      <c r="H42" s="675">
        <f t="shared" si="34"/>
        <v>2010</v>
      </c>
      <c r="I42" s="675">
        <f t="shared" si="34"/>
        <v>2011</v>
      </c>
      <c r="J42" s="675">
        <f t="shared" si="34"/>
        <v>2012</v>
      </c>
      <c r="K42" s="675">
        <f t="shared" si="34"/>
        <v>2013</v>
      </c>
      <c r="L42" s="675">
        <f t="shared" si="34"/>
        <v>2014</v>
      </c>
      <c r="M42" s="675">
        <f t="shared" si="34"/>
        <v>2015</v>
      </c>
      <c r="N42" s="675">
        <f t="shared" si="34"/>
        <v>2016</v>
      </c>
      <c r="O42" s="675">
        <f t="shared" si="34"/>
        <v>2017</v>
      </c>
      <c r="P42" s="490" t="str">
        <f t="shared" si="34"/>
        <v>2018E</v>
      </c>
      <c r="Q42" s="490" t="str">
        <f t="shared" si="34"/>
        <v>2019E</v>
      </c>
      <c r="R42" s="490" t="str">
        <f t="shared" si="34"/>
        <v>2020E</v>
      </c>
      <c r="S42" s="490" t="str">
        <f t="shared" si="34"/>
        <v>2021E</v>
      </c>
      <c r="T42" s="490" t="str">
        <f t="shared" si="34"/>
        <v>2022E</v>
      </c>
      <c r="U42" s="490" t="str">
        <f t="shared" si="34"/>
        <v>2023E</v>
      </c>
      <c r="V42" s="490" t="str">
        <f t="shared" si="34"/>
        <v>2024E</v>
      </c>
      <c r="W42" s="490" t="str">
        <f t="shared" si="34"/>
        <v>2025E</v>
      </c>
    </row>
    <row r="43" spans="1:23">
      <c r="A43" s="52" t="s">
        <v>79</v>
      </c>
      <c r="B43" s="499">
        <f>B44</f>
        <v>21.531999999999954</v>
      </c>
      <c r="C43" s="499">
        <f t="shared" ref="C43:N43" si="35">C44</f>
        <v>85.509999999999962</v>
      </c>
      <c r="D43" s="499">
        <f t="shared" si="35"/>
        <v>234.89099999999996</v>
      </c>
      <c r="E43" s="499">
        <f t="shared" si="35"/>
        <v>250.38599999999985</v>
      </c>
      <c r="F43" s="499">
        <f t="shared" si="35"/>
        <v>-62.840999999999923</v>
      </c>
      <c r="G43" s="499">
        <f t="shared" si="35"/>
        <v>40.672999999999945</v>
      </c>
      <c r="H43" s="499">
        <f t="shared" si="35"/>
        <v>124.30599999999981</v>
      </c>
      <c r="I43" s="499">
        <f t="shared" si="35"/>
        <v>235.76899999999983</v>
      </c>
      <c r="J43" s="499">
        <f t="shared" si="35"/>
        <v>231.00800000000015</v>
      </c>
      <c r="K43" s="499">
        <f t="shared" si="35"/>
        <v>198.80999999999977</v>
      </c>
      <c r="L43" s="499">
        <f t="shared" si="35"/>
        <v>302.91800000000001</v>
      </c>
      <c r="M43" s="499">
        <f t="shared" si="35"/>
        <v>532.68599999999969</v>
      </c>
      <c r="N43" s="499">
        <f t="shared" si="35"/>
        <v>512.05299999999988</v>
      </c>
      <c r="O43" s="499">
        <f>Bear!O$68</f>
        <v>706.48700000000008</v>
      </c>
      <c r="P43" s="500">
        <f>Bear!P$68</f>
        <v>695.9557920333034</v>
      </c>
      <c r="Q43" s="500">
        <f>Bear!Q$68</f>
        <v>505.55840655524332</v>
      </c>
      <c r="R43" s="500">
        <f>Bear!R$68</f>
        <v>669.32321102996457</v>
      </c>
      <c r="S43" s="500">
        <f>Bear!S$68</f>
        <v>809.56090644579126</v>
      </c>
      <c r="T43" s="500">
        <f>Bear!T$68</f>
        <v>702.27723585779881</v>
      </c>
      <c r="U43" s="500">
        <f>Bear!U$68</f>
        <v>570.07414609186662</v>
      </c>
      <c r="V43" s="500">
        <f>Bear!V$68</f>
        <v>588.476512991748</v>
      </c>
      <c r="W43" s="500">
        <f>Bear!W$68</f>
        <v>811.89903117906647</v>
      </c>
    </row>
    <row r="44" spans="1:23">
      <c r="A44" s="52" t="s">
        <v>77</v>
      </c>
      <c r="B44" s="59">
        <f>Financials!B68</f>
        <v>21.531999999999954</v>
      </c>
      <c r="C44" s="59">
        <f>Financials!C68</f>
        <v>85.509999999999962</v>
      </c>
      <c r="D44" s="59">
        <f>Financials!D68</f>
        <v>234.89099999999996</v>
      </c>
      <c r="E44" s="59">
        <f>Financials!E68</f>
        <v>250.38599999999985</v>
      </c>
      <c r="F44" s="59">
        <f>Financials!F68</f>
        <v>-62.840999999999923</v>
      </c>
      <c r="G44" s="59">
        <f>Financials!G68</f>
        <v>40.672999999999945</v>
      </c>
      <c r="H44" s="59">
        <f>Financials!H68</f>
        <v>124.30599999999981</v>
      </c>
      <c r="I44" s="59">
        <f>Financials!I68</f>
        <v>235.76899999999983</v>
      </c>
      <c r="J44" s="59">
        <f>Financials!J68</f>
        <v>231.00800000000015</v>
      </c>
      <c r="K44" s="59">
        <f>Financials!K68</f>
        <v>198.80999999999977</v>
      </c>
      <c r="L44" s="59">
        <f>Financials!L68</f>
        <v>302.91800000000001</v>
      </c>
      <c r="M44" s="59">
        <f>Financials!M68</f>
        <v>532.68599999999969</v>
      </c>
      <c r="N44" s="59">
        <f>Financials!N68</f>
        <v>512.05299999999988</v>
      </c>
      <c r="O44" s="59">
        <f>Base!O$68</f>
        <v>706.48700000000008</v>
      </c>
      <c r="P44" s="500">
        <f>Base!P$68</f>
        <v>821.99908906319183</v>
      </c>
      <c r="Q44" s="500">
        <f>Base!Q$68</f>
        <v>811.01167708280195</v>
      </c>
      <c r="R44" s="500">
        <f>Base!R$68</f>
        <v>906.28938993016277</v>
      </c>
      <c r="S44" s="500">
        <f>Base!S$68</f>
        <v>1094.004700671343</v>
      </c>
      <c r="T44" s="500">
        <f>Base!T$68</f>
        <v>1168.7930777968661</v>
      </c>
      <c r="U44" s="500">
        <f>Base!U$68</f>
        <v>999.77813581046735</v>
      </c>
      <c r="V44" s="500">
        <f>Base!V$68</f>
        <v>894.59311279477424</v>
      </c>
      <c r="W44" s="500">
        <f>Base!W$68</f>
        <v>1315.7357619179606</v>
      </c>
    </row>
    <row r="45" spans="1:23">
      <c r="A45" s="52" t="s">
        <v>78</v>
      </c>
      <c r="B45" s="59">
        <f>B44</f>
        <v>21.531999999999954</v>
      </c>
      <c r="C45" s="59">
        <f t="shared" ref="C45:K45" si="36">C44</f>
        <v>85.509999999999962</v>
      </c>
      <c r="D45" s="59">
        <f t="shared" si="36"/>
        <v>234.89099999999996</v>
      </c>
      <c r="E45" s="59">
        <f t="shared" si="36"/>
        <v>250.38599999999985</v>
      </c>
      <c r="F45" s="59">
        <f t="shared" si="36"/>
        <v>-62.840999999999923</v>
      </c>
      <c r="G45" s="59">
        <f t="shared" si="36"/>
        <v>40.672999999999945</v>
      </c>
      <c r="H45" s="59">
        <f t="shared" si="36"/>
        <v>124.30599999999981</v>
      </c>
      <c r="I45" s="59">
        <f t="shared" si="36"/>
        <v>235.76899999999983</v>
      </c>
      <c r="J45" s="59">
        <f t="shared" si="36"/>
        <v>231.00800000000015</v>
      </c>
      <c r="K45" s="59">
        <f t="shared" si="36"/>
        <v>198.80999999999977</v>
      </c>
      <c r="L45" s="59">
        <f t="shared" ref="L45:M45" si="37">L44</f>
        <v>302.91800000000001</v>
      </c>
      <c r="M45" s="59">
        <f t="shared" si="37"/>
        <v>532.68599999999969</v>
      </c>
      <c r="N45" s="59">
        <f t="shared" ref="N45" si="38">N44</f>
        <v>512.05299999999988</v>
      </c>
      <c r="O45" s="59">
        <f>Bull!O$68</f>
        <v>706.48700000000008</v>
      </c>
      <c r="P45" s="500">
        <f>Bull!P$68</f>
        <v>993.85194202472621</v>
      </c>
      <c r="Q45" s="500">
        <f>Bull!Q$68</f>
        <v>1139.4800824087986</v>
      </c>
      <c r="R45" s="500">
        <f>Bull!R$68</f>
        <v>1362.5920059245952</v>
      </c>
      <c r="S45" s="500">
        <f>Bull!S$68</f>
        <v>1550.6430622744883</v>
      </c>
      <c r="T45" s="500">
        <f>Bull!T$68</f>
        <v>1459.1987189721735</v>
      </c>
      <c r="U45" s="500">
        <f>Bull!U$68</f>
        <v>1392.294821924148</v>
      </c>
      <c r="V45" s="500">
        <f>Bull!V$68</f>
        <v>1539.5958163204427</v>
      </c>
      <c r="W45" s="500">
        <f>Bull!W$68</f>
        <v>1997.4049476329112</v>
      </c>
    </row>
    <row r="46" spans="1:23">
      <c r="C46" s="503"/>
      <c r="D46" s="503"/>
      <c r="E46" s="503"/>
      <c r="F46" s="503"/>
      <c r="G46" s="503"/>
      <c r="H46" s="503"/>
      <c r="I46" s="503"/>
      <c r="J46" s="503"/>
      <c r="K46" s="503"/>
      <c r="L46" s="503"/>
      <c r="M46" s="503"/>
      <c r="N46" s="503"/>
      <c r="O46" s="503"/>
      <c r="P46" s="502"/>
      <c r="Q46" s="502"/>
      <c r="R46" s="502"/>
      <c r="S46" s="502"/>
      <c r="T46" s="502"/>
      <c r="U46" s="502"/>
      <c r="V46" s="502"/>
      <c r="W46" s="502"/>
    </row>
    <row r="47" spans="1:23" ht="12" customHeight="1">
      <c r="A47" s="674" t="s">
        <v>1084</v>
      </c>
      <c r="B47" s="675">
        <f t="shared" ref="B47:W47" si="39">B$7</f>
        <v>2004</v>
      </c>
      <c r="C47" s="675">
        <f t="shared" si="39"/>
        <v>2005</v>
      </c>
      <c r="D47" s="675">
        <f t="shared" si="39"/>
        <v>2006</v>
      </c>
      <c r="E47" s="675">
        <f t="shared" si="39"/>
        <v>2007</v>
      </c>
      <c r="F47" s="675">
        <f t="shared" si="39"/>
        <v>2008</v>
      </c>
      <c r="G47" s="675">
        <f t="shared" si="39"/>
        <v>2009</v>
      </c>
      <c r="H47" s="675">
        <f t="shared" si="39"/>
        <v>2010</v>
      </c>
      <c r="I47" s="675">
        <f t="shared" si="39"/>
        <v>2011</v>
      </c>
      <c r="J47" s="675">
        <f t="shared" si="39"/>
        <v>2012</v>
      </c>
      <c r="K47" s="675">
        <f t="shared" si="39"/>
        <v>2013</v>
      </c>
      <c r="L47" s="675">
        <f t="shared" si="39"/>
        <v>2014</v>
      </c>
      <c r="M47" s="675">
        <f t="shared" si="39"/>
        <v>2015</v>
      </c>
      <c r="N47" s="675">
        <f t="shared" si="39"/>
        <v>2016</v>
      </c>
      <c r="O47" s="675">
        <f t="shared" si="39"/>
        <v>2017</v>
      </c>
      <c r="P47" s="490" t="str">
        <f t="shared" si="39"/>
        <v>2018E</v>
      </c>
      <c r="Q47" s="490" t="str">
        <f t="shared" si="39"/>
        <v>2019E</v>
      </c>
      <c r="R47" s="490" t="str">
        <f t="shared" si="39"/>
        <v>2020E</v>
      </c>
      <c r="S47" s="490" t="str">
        <f t="shared" si="39"/>
        <v>2021E</v>
      </c>
      <c r="T47" s="490" t="str">
        <f t="shared" si="39"/>
        <v>2022E</v>
      </c>
      <c r="U47" s="490" t="str">
        <f t="shared" si="39"/>
        <v>2023E</v>
      </c>
      <c r="V47" s="490" t="str">
        <f t="shared" si="39"/>
        <v>2024E</v>
      </c>
      <c r="W47" s="490" t="str">
        <f t="shared" si="39"/>
        <v>2025E</v>
      </c>
    </row>
    <row r="48" spans="1:23">
      <c r="A48" s="52" t="s">
        <v>79</v>
      </c>
      <c r="B48" s="84">
        <f>B49</f>
        <v>4.1567567567567479E-2</v>
      </c>
      <c r="C48" s="84">
        <f t="shared" ref="C48:N48" si="40">C49</f>
        <v>0.13191916075285401</v>
      </c>
      <c r="D48" s="84">
        <f t="shared" si="40"/>
        <v>0.29069876810284867</v>
      </c>
      <c r="E48" s="84">
        <f t="shared" si="40"/>
        <v>0.3029338069560103</v>
      </c>
      <c r="F48" s="84">
        <f t="shared" si="40"/>
        <v>-8.8207798770388132E-2</v>
      </c>
      <c r="G48" s="84">
        <f t="shared" si="40"/>
        <v>5.2519036262190948E-2</v>
      </c>
      <c r="H48" s="84">
        <f t="shared" si="40"/>
        <v>0.10505152600470202</v>
      </c>
      <c r="I48" s="84">
        <f t="shared" si="40"/>
        <v>0.18205706749197692</v>
      </c>
      <c r="J48" s="84">
        <f t="shared" si="40"/>
        <v>0.16899026327917552</v>
      </c>
      <c r="K48" s="84">
        <f t="shared" si="40"/>
        <v>0.12152534757985384</v>
      </c>
      <c r="L48" s="84">
        <f t="shared" si="40"/>
        <v>0.15363368480846382</v>
      </c>
      <c r="M48" s="84">
        <f t="shared" si="40"/>
        <v>0.22909629522588093</v>
      </c>
      <c r="N48" s="84">
        <f t="shared" si="40"/>
        <v>0.1877454508522651</v>
      </c>
      <c r="O48" s="84">
        <f t="shared" ref="O48:R50" si="41">O43/O13</f>
        <v>0.23526965095531563</v>
      </c>
      <c r="P48" s="109">
        <f t="shared" si="41"/>
        <v>0.20803662023852748</v>
      </c>
      <c r="Q48" s="109">
        <f t="shared" si="41"/>
        <v>0.15733399957646907</v>
      </c>
      <c r="R48" s="109">
        <f t="shared" si="41"/>
        <v>0.17827319316746215</v>
      </c>
      <c r="S48" s="109">
        <f t="shared" ref="S48:W48" si="42">S43/S13</f>
        <v>0.18772779305180812</v>
      </c>
      <c r="T48" s="109">
        <f t="shared" si="42"/>
        <v>0.16569091649511544</v>
      </c>
      <c r="U48" s="109">
        <f t="shared" si="42"/>
        <v>0.14010916970340817</v>
      </c>
      <c r="V48" s="109">
        <f t="shared" si="42"/>
        <v>0.13504170667518806</v>
      </c>
      <c r="W48" s="109">
        <f t="shared" si="42"/>
        <v>0.17439051878681619</v>
      </c>
    </row>
    <row r="49" spans="1:23">
      <c r="A49" s="52" t="s">
        <v>77</v>
      </c>
      <c r="B49" s="84">
        <f t="shared" ref="B49:M49" si="43">B44/B14</f>
        <v>4.1567567567567479E-2</v>
      </c>
      <c r="C49" s="84">
        <f t="shared" si="43"/>
        <v>0.13191916075285401</v>
      </c>
      <c r="D49" s="84">
        <f t="shared" si="43"/>
        <v>0.29069876810284867</v>
      </c>
      <c r="E49" s="84">
        <f t="shared" si="43"/>
        <v>0.3029338069560103</v>
      </c>
      <c r="F49" s="84">
        <f t="shared" si="43"/>
        <v>-8.8207798770388132E-2</v>
      </c>
      <c r="G49" s="84">
        <f t="shared" si="43"/>
        <v>5.2519036262190948E-2</v>
      </c>
      <c r="H49" s="84">
        <f t="shared" si="43"/>
        <v>0.10505152600470202</v>
      </c>
      <c r="I49" s="84">
        <f t="shared" si="43"/>
        <v>0.18205706749197692</v>
      </c>
      <c r="J49" s="84">
        <f t="shared" si="43"/>
        <v>0.16899026327917552</v>
      </c>
      <c r="K49" s="84">
        <f t="shared" si="43"/>
        <v>0.12152534757985384</v>
      </c>
      <c r="L49" s="84">
        <f t="shared" si="43"/>
        <v>0.15363368480846382</v>
      </c>
      <c r="M49" s="84">
        <f t="shared" si="43"/>
        <v>0.22909629522588093</v>
      </c>
      <c r="N49" s="84">
        <f t="shared" ref="N49" si="44">N44/N14</f>
        <v>0.1877454508522651</v>
      </c>
      <c r="O49" s="84">
        <f t="shared" si="41"/>
        <v>0.23526965095531563</v>
      </c>
      <c r="P49" s="109">
        <f t="shared" si="41"/>
        <v>0.22478883880160416</v>
      </c>
      <c r="Q49" s="109">
        <f t="shared" si="41"/>
        <v>0.21443445977918613</v>
      </c>
      <c r="R49" s="109">
        <f t="shared" si="41"/>
        <v>0.22186954792198774</v>
      </c>
      <c r="S49" s="109">
        <f t="shared" ref="S49:W49" si="45">S44/S14</f>
        <v>0.23271325364125833</v>
      </c>
      <c r="T49" s="109">
        <f t="shared" si="45"/>
        <v>0.23230905309093788</v>
      </c>
      <c r="U49" s="109">
        <f t="shared" si="45"/>
        <v>0.20880229259788669</v>
      </c>
      <c r="V49" s="109">
        <f t="shared" si="45"/>
        <v>0.19174431709373665</v>
      </c>
      <c r="W49" s="109">
        <f t="shared" si="45"/>
        <v>0.25200605188534425</v>
      </c>
    </row>
    <row r="50" spans="1:23">
      <c r="A50" s="52" t="s">
        <v>78</v>
      </c>
      <c r="B50" s="84">
        <f>B49</f>
        <v>4.1567567567567479E-2</v>
      </c>
      <c r="C50" s="84">
        <f t="shared" ref="C50:K50" si="46">C49</f>
        <v>0.13191916075285401</v>
      </c>
      <c r="D50" s="84">
        <f t="shared" si="46"/>
        <v>0.29069876810284867</v>
      </c>
      <c r="E50" s="84">
        <f t="shared" si="46"/>
        <v>0.3029338069560103</v>
      </c>
      <c r="F50" s="84">
        <f t="shared" si="46"/>
        <v>-8.8207798770388132E-2</v>
      </c>
      <c r="G50" s="84">
        <f t="shared" si="46"/>
        <v>5.2519036262190948E-2</v>
      </c>
      <c r="H50" s="84">
        <f t="shared" si="46"/>
        <v>0.10505152600470202</v>
      </c>
      <c r="I50" s="84">
        <f t="shared" si="46"/>
        <v>0.18205706749197692</v>
      </c>
      <c r="J50" s="84">
        <f t="shared" si="46"/>
        <v>0.16899026327917552</v>
      </c>
      <c r="K50" s="84">
        <f t="shared" si="46"/>
        <v>0.12152534757985384</v>
      </c>
      <c r="L50" s="84">
        <f t="shared" ref="L50:M50" si="47">L49</f>
        <v>0.15363368480846382</v>
      </c>
      <c r="M50" s="84">
        <f t="shared" si="47"/>
        <v>0.22909629522588093</v>
      </c>
      <c r="N50" s="84">
        <f t="shared" ref="N50" si="48">N49</f>
        <v>0.1877454508522651</v>
      </c>
      <c r="O50" s="84">
        <f t="shared" si="41"/>
        <v>0.23526965095531563</v>
      </c>
      <c r="P50" s="109">
        <f t="shared" si="41"/>
        <v>0.24975243022203894</v>
      </c>
      <c r="Q50" s="109">
        <f t="shared" si="41"/>
        <v>0.26603671501084381</v>
      </c>
      <c r="R50" s="109">
        <f t="shared" si="41"/>
        <v>0.28242758415985303</v>
      </c>
      <c r="S50" s="109">
        <f t="shared" ref="S50:W50" si="49">S45/S15</f>
        <v>0.29279820230942277</v>
      </c>
      <c r="T50" s="109">
        <f t="shared" si="49"/>
        <v>0.28196850276851104</v>
      </c>
      <c r="U50" s="109">
        <f t="shared" si="49"/>
        <v>0.27522737477689946</v>
      </c>
      <c r="V50" s="109">
        <f t="shared" si="49"/>
        <v>0.28348137077809804</v>
      </c>
      <c r="W50" s="109">
        <f t="shared" si="49"/>
        <v>0.33319676149773991</v>
      </c>
    </row>
    <row r="51" spans="1:23">
      <c r="C51" s="372"/>
      <c r="D51" s="372"/>
      <c r="E51" s="372"/>
      <c r="F51" s="372"/>
      <c r="G51" s="372"/>
      <c r="H51" s="372"/>
      <c r="I51" s="372"/>
      <c r="J51" s="372"/>
      <c r="K51" s="372"/>
      <c r="L51" s="372"/>
      <c r="M51" s="372"/>
      <c r="N51" s="372"/>
      <c r="O51" s="372"/>
      <c r="P51" s="103"/>
      <c r="Q51" s="103"/>
      <c r="R51" s="103"/>
      <c r="S51" s="103"/>
      <c r="T51" s="103"/>
      <c r="U51" s="103"/>
      <c r="V51" s="103"/>
      <c r="W51" s="103"/>
    </row>
    <row r="52" spans="1:23">
      <c r="A52" s="674" t="s">
        <v>34</v>
      </c>
      <c r="B52" s="675">
        <f t="shared" ref="B52:W52" si="50">B$7</f>
        <v>2004</v>
      </c>
      <c r="C52" s="675">
        <f t="shared" si="50"/>
        <v>2005</v>
      </c>
      <c r="D52" s="675">
        <f t="shared" si="50"/>
        <v>2006</v>
      </c>
      <c r="E52" s="675">
        <f t="shared" si="50"/>
        <v>2007</v>
      </c>
      <c r="F52" s="675">
        <f t="shared" si="50"/>
        <v>2008</v>
      </c>
      <c r="G52" s="675">
        <f t="shared" si="50"/>
        <v>2009</v>
      </c>
      <c r="H52" s="675">
        <f t="shared" si="50"/>
        <v>2010</v>
      </c>
      <c r="I52" s="675">
        <f t="shared" si="50"/>
        <v>2011</v>
      </c>
      <c r="J52" s="675">
        <f t="shared" si="50"/>
        <v>2012</v>
      </c>
      <c r="K52" s="675">
        <f t="shared" si="50"/>
        <v>2013</v>
      </c>
      <c r="L52" s="675">
        <f t="shared" si="50"/>
        <v>2014</v>
      </c>
      <c r="M52" s="675">
        <f t="shared" si="50"/>
        <v>2015</v>
      </c>
      <c r="N52" s="675">
        <f t="shared" si="50"/>
        <v>2016</v>
      </c>
      <c r="O52" s="675">
        <f t="shared" si="50"/>
        <v>2017</v>
      </c>
      <c r="P52" s="490" t="str">
        <f t="shared" si="50"/>
        <v>2018E</v>
      </c>
      <c r="Q52" s="490" t="str">
        <f t="shared" si="50"/>
        <v>2019E</v>
      </c>
      <c r="R52" s="490" t="str">
        <f t="shared" si="50"/>
        <v>2020E</v>
      </c>
      <c r="S52" s="490" t="str">
        <f t="shared" si="50"/>
        <v>2021E</v>
      </c>
      <c r="T52" s="490" t="str">
        <f t="shared" si="50"/>
        <v>2022E</v>
      </c>
      <c r="U52" s="490" t="str">
        <f t="shared" si="50"/>
        <v>2023E</v>
      </c>
      <c r="V52" s="490" t="str">
        <f t="shared" si="50"/>
        <v>2024E</v>
      </c>
      <c r="W52" s="490" t="str">
        <f t="shared" si="50"/>
        <v>2025E</v>
      </c>
    </row>
    <row r="53" spans="1:23">
      <c r="A53" s="52" t="s">
        <v>79</v>
      </c>
      <c r="B53" s="499">
        <f>B54</f>
        <v>-18.401000000000042</v>
      </c>
      <c r="C53" s="499">
        <f t="shared" ref="C53:N53" si="51">C54</f>
        <v>35.701999999999963</v>
      </c>
      <c r="D53" s="499">
        <f t="shared" si="51"/>
        <v>172.50199999999998</v>
      </c>
      <c r="E53" s="499">
        <f t="shared" si="51"/>
        <v>198.76599999999985</v>
      </c>
      <c r="F53" s="499">
        <f t="shared" si="51"/>
        <v>-48.793999999999926</v>
      </c>
      <c r="G53" s="499">
        <f t="shared" si="51"/>
        <v>-71.86500000000008</v>
      </c>
      <c r="H53" s="499">
        <f t="shared" si="51"/>
        <v>98.071999999999832</v>
      </c>
      <c r="I53" s="499">
        <f t="shared" si="51"/>
        <v>142.29099999999985</v>
      </c>
      <c r="J53" s="499">
        <f t="shared" si="51"/>
        <v>126.61100000000016</v>
      </c>
      <c r="K53" s="499">
        <f t="shared" si="51"/>
        <v>72.949999999999804</v>
      </c>
      <c r="L53" s="499">
        <f t="shared" si="51"/>
        <v>135.00200000000004</v>
      </c>
      <c r="M53" s="499">
        <f t="shared" si="51"/>
        <v>317.23799999999966</v>
      </c>
      <c r="N53" s="499">
        <f t="shared" si="51"/>
        <v>199.43399999999997</v>
      </c>
      <c r="O53" s="499">
        <f>Bear!O$80</f>
        <v>283.88800000000009</v>
      </c>
      <c r="P53" s="500">
        <f>Bear!P$80</f>
        <v>417.42673923809411</v>
      </c>
      <c r="Q53" s="500">
        <f>Bear!Q$80</f>
        <v>287.52177259999075</v>
      </c>
      <c r="R53" s="500">
        <f>Bear!R$80</f>
        <v>442.49019780403654</v>
      </c>
      <c r="S53" s="500">
        <f>Bear!S$80</f>
        <v>540.38180434103401</v>
      </c>
      <c r="T53" s="500">
        <f>Bear!T$80</f>
        <v>431.79050053299136</v>
      </c>
      <c r="U53" s="500">
        <f>Bear!U$80</f>
        <v>306.22721538531863</v>
      </c>
      <c r="V53" s="500">
        <f>Bear!V$80</f>
        <v>292.17759809081502</v>
      </c>
      <c r="W53" s="500">
        <f>Bear!W$80</f>
        <v>382.13226409052299</v>
      </c>
    </row>
    <row r="54" spans="1:23">
      <c r="A54" s="52" t="s">
        <v>77</v>
      </c>
      <c r="B54" s="59">
        <f>Financials!B80</f>
        <v>-18.401000000000042</v>
      </c>
      <c r="C54" s="59">
        <f>Financials!C80</f>
        <v>35.701999999999963</v>
      </c>
      <c r="D54" s="59">
        <f>Financials!D80</f>
        <v>172.50199999999998</v>
      </c>
      <c r="E54" s="59">
        <f>Financials!E80</f>
        <v>198.76599999999985</v>
      </c>
      <c r="F54" s="59">
        <f>Financials!F80</f>
        <v>-48.793999999999926</v>
      </c>
      <c r="G54" s="59">
        <f>Financials!G80</f>
        <v>-71.86500000000008</v>
      </c>
      <c r="H54" s="59">
        <f>Financials!H80</f>
        <v>98.071999999999832</v>
      </c>
      <c r="I54" s="59">
        <f>Financials!I80</f>
        <v>142.29099999999985</v>
      </c>
      <c r="J54" s="59">
        <f>Financials!J80</f>
        <v>126.61100000000016</v>
      </c>
      <c r="K54" s="59">
        <f>Financials!K80</f>
        <v>72.949999999999804</v>
      </c>
      <c r="L54" s="59">
        <f>Financials!L80</f>
        <v>135.00200000000004</v>
      </c>
      <c r="M54" s="59">
        <f>Financials!M80</f>
        <v>317.23799999999966</v>
      </c>
      <c r="N54" s="59">
        <f>Financials!N80</f>
        <v>199.43399999999997</v>
      </c>
      <c r="O54" s="59">
        <f>Base!O$80</f>
        <v>283.88800000000009</v>
      </c>
      <c r="P54" s="500">
        <f>Base!P$80</f>
        <v>522.80188661749276</v>
      </c>
      <c r="Q54" s="500">
        <f>Base!Q$80</f>
        <v>572.98959662179311</v>
      </c>
      <c r="R54" s="500">
        <f>Base!R$80</f>
        <v>677.72574167962398</v>
      </c>
      <c r="S54" s="500">
        <f>Base!S$80</f>
        <v>810.05220237657215</v>
      </c>
      <c r="T54" s="500">
        <f>Base!T$80</f>
        <v>859.59540637902387</v>
      </c>
      <c r="U54" s="500">
        <f>Base!U$80</f>
        <v>710.7614377814981</v>
      </c>
      <c r="V54" s="500">
        <f>Base!V$80</f>
        <v>596.87896213261342</v>
      </c>
      <c r="W54" s="500">
        <f>Base!W$80</f>
        <v>780.14521072285834</v>
      </c>
    </row>
    <row r="55" spans="1:23">
      <c r="A55" s="52" t="s">
        <v>78</v>
      </c>
      <c r="B55" s="59">
        <f>B54</f>
        <v>-18.401000000000042</v>
      </c>
      <c r="C55" s="59">
        <f t="shared" ref="C55:K55" si="52">C54</f>
        <v>35.701999999999963</v>
      </c>
      <c r="D55" s="59">
        <f t="shared" si="52"/>
        <v>172.50199999999998</v>
      </c>
      <c r="E55" s="59">
        <f t="shared" si="52"/>
        <v>198.76599999999985</v>
      </c>
      <c r="F55" s="59">
        <f t="shared" si="52"/>
        <v>-48.793999999999926</v>
      </c>
      <c r="G55" s="59">
        <f t="shared" si="52"/>
        <v>-71.86500000000008</v>
      </c>
      <c r="H55" s="59">
        <f t="shared" si="52"/>
        <v>98.071999999999832</v>
      </c>
      <c r="I55" s="59">
        <f t="shared" si="52"/>
        <v>142.29099999999985</v>
      </c>
      <c r="J55" s="59">
        <f t="shared" si="52"/>
        <v>126.61100000000016</v>
      </c>
      <c r="K55" s="59">
        <f t="shared" si="52"/>
        <v>72.949999999999804</v>
      </c>
      <c r="L55" s="59">
        <f t="shared" ref="L55:M55" si="53">L54</f>
        <v>135.00200000000004</v>
      </c>
      <c r="M55" s="59">
        <f t="shared" si="53"/>
        <v>317.23799999999966</v>
      </c>
      <c r="N55" s="59">
        <f t="shared" ref="N55" si="54">N54</f>
        <v>199.43399999999997</v>
      </c>
      <c r="O55" s="59">
        <f>Bull!O$80</f>
        <v>283.88800000000009</v>
      </c>
      <c r="P55" s="500">
        <f>Bull!P$80</f>
        <v>667.49044947926961</v>
      </c>
      <c r="Q55" s="500">
        <f>Bull!Q$80</f>
        <v>884.3932327223489</v>
      </c>
      <c r="R55" s="500">
        <f>Bull!R$80</f>
        <v>1120.1394833634986</v>
      </c>
      <c r="S55" s="500">
        <f>Bull!S$80</f>
        <v>1250.4937667362549</v>
      </c>
      <c r="T55" s="500">
        <f>Bull!T$80</f>
        <v>1169.3472114709386</v>
      </c>
      <c r="U55" s="500">
        <f>Bull!U$80</f>
        <v>1111.6790818570255</v>
      </c>
      <c r="V55" s="500">
        <f>Bull!V$80</f>
        <v>1192.3140876252887</v>
      </c>
      <c r="W55" s="500">
        <f>Bull!W$80</f>
        <v>1316.7363923376724</v>
      </c>
    </row>
    <row r="56" spans="1:23">
      <c r="B56" s="503"/>
      <c r="C56" s="503"/>
      <c r="D56" s="503"/>
      <c r="E56" s="503"/>
      <c r="F56" s="503"/>
      <c r="G56" s="503"/>
      <c r="H56" s="503"/>
      <c r="I56" s="503"/>
      <c r="J56" s="503"/>
      <c r="K56" s="503"/>
      <c r="L56" s="503"/>
      <c r="M56" s="503"/>
      <c r="N56" s="503"/>
      <c r="O56" s="503"/>
      <c r="P56" s="502"/>
      <c r="Q56" s="502"/>
      <c r="R56" s="502"/>
      <c r="S56" s="502"/>
      <c r="T56" s="502"/>
      <c r="U56" s="502"/>
      <c r="V56" s="502"/>
      <c r="W56" s="502"/>
    </row>
    <row r="57" spans="1:23">
      <c r="A57" s="674" t="s">
        <v>304</v>
      </c>
      <c r="B57" s="675">
        <f t="shared" ref="B57:W57" si="55">B$7</f>
        <v>2004</v>
      </c>
      <c r="C57" s="675">
        <f t="shared" si="55"/>
        <v>2005</v>
      </c>
      <c r="D57" s="675">
        <f t="shared" si="55"/>
        <v>2006</v>
      </c>
      <c r="E57" s="675">
        <f t="shared" si="55"/>
        <v>2007</v>
      </c>
      <c r="F57" s="675">
        <f t="shared" si="55"/>
        <v>2008</v>
      </c>
      <c r="G57" s="675">
        <f t="shared" si="55"/>
        <v>2009</v>
      </c>
      <c r="H57" s="675">
        <f t="shared" si="55"/>
        <v>2010</v>
      </c>
      <c r="I57" s="675">
        <f t="shared" si="55"/>
        <v>2011</v>
      </c>
      <c r="J57" s="675">
        <f t="shared" si="55"/>
        <v>2012</v>
      </c>
      <c r="K57" s="675">
        <f t="shared" si="55"/>
        <v>2013</v>
      </c>
      <c r="L57" s="675">
        <f t="shared" si="55"/>
        <v>2014</v>
      </c>
      <c r="M57" s="675">
        <f t="shared" si="55"/>
        <v>2015</v>
      </c>
      <c r="N57" s="675">
        <f t="shared" si="55"/>
        <v>2016</v>
      </c>
      <c r="O57" s="675">
        <f t="shared" si="55"/>
        <v>2017</v>
      </c>
      <c r="P57" s="490" t="str">
        <f t="shared" si="55"/>
        <v>2018E</v>
      </c>
      <c r="Q57" s="490" t="str">
        <f t="shared" si="55"/>
        <v>2019E</v>
      </c>
      <c r="R57" s="490" t="str">
        <f t="shared" si="55"/>
        <v>2020E</v>
      </c>
      <c r="S57" s="490" t="str">
        <f t="shared" si="55"/>
        <v>2021E</v>
      </c>
      <c r="T57" s="490" t="str">
        <f t="shared" si="55"/>
        <v>2022E</v>
      </c>
      <c r="U57" s="490" t="str">
        <f t="shared" si="55"/>
        <v>2023E</v>
      </c>
      <c r="V57" s="490" t="str">
        <f t="shared" si="55"/>
        <v>2024E</v>
      </c>
      <c r="W57" s="490" t="str">
        <f t="shared" si="55"/>
        <v>2025E</v>
      </c>
    </row>
    <row r="58" spans="1:23">
      <c r="A58" s="52" t="s">
        <v>79</v>
      </c>
      <c r="B58" s="492">
        <f t="shared" ref="B58:N58" si="56">B59</f>
        <v>-6.133666666666681E-2</v>
      </c>
      <c r="C58" s="492">
        <f t="shared" si="56"/>
        <v>0.11900666666666654</v>
      </c>
      <c r="D58" s="492">
        <f t="shared" si="56"/>
        <v>0.57500666666666655</v>
      </c>
      <c r="E58" s="492">
        <f t="shared" si="56"/>
        <v>0.58633038348082556</v>
      </c>
      <c r="F58" s="492">
        <f t="shared" si="56"/>
        <v>-0.14393510324483755</v>
      </c>
      <c r="G58" s="492">
        <f t="shared" si="56"/>
        <v>-0.21225223948042304</v>
      </c>
      <c r="H58" s="492">
        <f t="shared" si="56"/>
        <v>0.28965423544596103</v>
      </c>
      <c r="I58" s="492">
        <f t="shared" si="56"/>
        <v>0.42025441324579155</v>
      </c>
      <c r="J58" s="492">
        <f t="shared" si="56"/>
        <v>0.37440819959605326</v>
      </c>
      <c r="K58" s="492">
        <f t="shared" si="56"/>
        <v>0.2164039857490776</v>
      </c>
      <c r="L58" s="492">
        <f t="shared" si="56"/>
        <v>0.4000592671615476</v>
      </c>
      <c r="M58" s="492">
        <f t="shared" si="56"/>
        <v>0.93696615275562545</v>
      </c>
      <c r="N58" s="492">
        <f t="shared" si="56"/>
        <v>0.5872511086376565</v>
      </c>
      <c r="O58" s="492">
        <f>Bear!O$87</f>
        <v>0.83975874033822517</v>
      </c>
      <c r="P58" s="493">
        <f>Bear!P$87</f>
        <v>1.1825756372699761</v>
      </c>
      <c r="Q58" s="493">
        <f>Bear!Q$87</f>
        <v>0.79105139836793703</v>
      </c>
      <c r="R58" s="493">
        <f>Bear!R$87</f>
        <v>1.2174121165563496</v>
      </c>
      <c r="S58" s="493">
        <f>Bear!S$87</f>
        <v>1.486738823676053</v>
      </c>
      <c r="T58" s="493">
        <f>Bear!T$87</f>
        <v>1.1879743094232205</v>
      </c>
      <c r="U58" s="493">
        <f>Bear!U$87</f>
        <v>0.84251521113807826</v>
      </c>
      <c r="V58" s="493">
        <f>Bear!V$87</f>
        <v>0.80386085356769166</v>
      </c>
      <c r="W58" s="493">
        <f>Bear!W$87</f>
        <v>1.0513508564475362</v>
      </c>
    </row>
    <row r="59" spans="1:23">
      <c r="A59" s="52" t="s">
        <v>77</v>
      </c>
      <c r="B59" s="181">
        <f>Financials!B87</f>
        <v>-6.133666666666681E-2</v>
      </c>
      <c r="C59" s="181">
        <f>Financials!C87</f>
        <v>0.11900666666666654</v>
      </c>
      <c r="D59" s="181">
        <f>Financials!D87</f>
        <v>0.57500666666666655</v>
      </c>
      <c r="E59" s="181">
        <f>Financials!E87</f>
        <v>0.58633038348082556</v>
      </c>
      <c r="F59" s="181">
        <f>Financials!F87</f>
        <v>-0.14393510324483755</v>
      </c>
      <c r="G59" s="181">
        <f>Financials!G87</f>
        <v>-0.21225223948042304</v>
      </c>
      <c r="H59" s="181">
        <f>Financials!H87</f>
        <v>0.28965423544596103</v>
      </c>
      <c r="I59" s="181">
        <f>Financials!I87</f>
        <v>0.42025441324579155</v>
      </c>
      <c r="J59" s="181">
        <f>Financials!J87</f>
        <v>0.37440819959605326</v>
      </c>
      <c r="K59" s="181">
        <f>Financials!K87</f>
        <v>0.2164039857490776</v>
      </c>
      <c r="L59" s="181">
        <f>Financials!L87</f>
        <v>0.4000592671615476</v>
      </c>
      <c r="M59" s="181">
        <f>Financials!M87</f>
        <v>0.93696615275562545</v>
      </c>
      <c r="N59" s="181">
        <f>Financials!N87</f>
        <v>0.5872511086376565</v>
      </c>
      <c r="O59" s="181">
        <f>Base!O$87</f>
        <v>0.83975874033822517</v>
      </c>
      <c r="P59" s="493">
        <f>Base!P$87</f>
        <v>1.4811048649185479</v>
      </c>
      <c r="Q59" s="493">
        <f>Base!Q$87</f>
        <v>1.5764518198367707</v>
      </c>
      <c r="R59" s="493">
        <f>Base!R$87</f>
        <v>1.8646097330913265</v>
      </c>
      <c r="S59" s="493">
        <f>Base!S$87</f>
        <v>2.2286761856205777</v>
      </c>
      <c r="T59" s="493">
        <f>Base!T$87</f>
        <v>2.3649831527464777</v>
      </c>
      <c r="U59" s="493">
        <f>Base!U$87</f>
        <v>1.9555000102384512</v>
      </c>
      <c r="V59" s="493">
        <f>Base!V$87</f>
        <v>1.642178028403759</v>
      </c>
      <c r="W59" s="493">
        <f>Base!W$87</f>
        <v>2.1463938340799791</v>
      </c>
    </row>
    <row r="60" spans="1:23">
      <c r="A60" s="52" t="s">
        <v>78</v>
      </c>
      <c r="B60" s="181">
        <f>B59</f>
        <v>-6.133666666666681E-2</v>
      </c>
      <c r="C60" s="181">
        <f t="shared" ref="C60:K60" si="57">C59</f>
        <v>0.11900666666666654</v>
      </c>
      <c r="D60" s="181">
        <f t="shared" si="57"/>
        <v>0.57500666666666655</v>
      </c>
      <c r="E60" s="181">
        <f t="shared" si="57"/>
        <v>0.58633038348082556</v>
      </c>
      <c r="F60" s="181">
        <f t="shared" si="57"/>
        <v>-0.14393510324483755</v>
      </c>
      <c r="G60" s="181">
        <f t="shared" si="57"/>
        <v>-0.21225223948042304</v>
      </c>
      <c r="H60" s="181">
        <f t="shared" si="57"/>
        <v>0.28965423544596103</v>
      </c>
      <c r="I60" s="181">
        <f t="shared" si="57"/>
        <v>0.42025441324579155</v>
      </c>
      <c r="J60" s="181">
        <f t="shared" si="57"/>
        <v>0.37440819959605326</v>
      </c>
      <c r="K60" s="181">
        <f t="shared" si="57"/>
        <v>0.2164039857490776</v>
      </c>
      <c r="L60" s="181">
        <f t="shared" ref="L60:M60" si="58">L59</f>
        <v>0.4000592671615476</v>
      </c>
      <c r="M60" s="181">
        <f t="shared" si="58"/>
        <v>0.93696615275562545</v>
      </c>
      <c r="N60" s="181">
        <f t="shared" ref="N60" si="59">N59</f>
        <v>0.5872511086376565</v>
      </c>
      <c r="O60" s="181">
        <f>Bull!O$87</f>
        <v>0.83975874033822517</v>
      </c>
      <c r="P60" s="493">
        <f>Bull!P$87</f>
        <v>1.891009534045043</v>
      </c>
      <c r="Q60" s="493">
        <f>Bull!Q$87</f>
        <v>2.4332087866801673</v>
      </c>
      <c r="R60" s="493">
        <f>Bull!R$87</f>
        <v>3.0818114978533719</v>
      </c>
      <c r="S60" s="493">
        <f>Bull!S$87</f>
        <v>3.4404519486714347</v>
      </c>
      <c r="T60" s="493">
        <f>Bull!T$87</f>
        <v>3.2171954786138639</v>
      </c>
      <c r="U60" s="493">
        <f>Bull!U$87</f>
        <v>3.0585346086566685</v>
      </c>
      <c r="V60" s="493">
        <f>Bull!V$87</f>
        <v>3.2803836654901244</v>
      </c>
      <c r="W60" s="493">
        <f>Bull!W$87</f>
        <v>3.6227036130922277</v>
      </c>
    </row>
    <row r="61" spans="1:23">
      <c r="B61" s="181"/>
      <c r="C61" s="503"/>
      <c r="D61" s="503"/>
      <c r="E61" s="503"/>
      <c r="F61" s="503"/>
      <c r="G61" s="503"/>
      <c r="H61" s="503"/>
      <c r="I61" s="503"/>
      <c r="J61" s="503"/>
      <c r="K61" s="503"/>
      <c r="L61" s="503"/>
      <c r="M61" s="503"/>
      <c r="N61" s="503"/>
      <c r="O61" s="503"/>
      <c r="P61" s="104"/>
      <c r="Q61" s="104"/>
      <c r="R61" s="104"/>
      <c r="S61" s="104"/>
      <c r="T61" s="104"/>
      <c r="U61" s="104"/>
      <c r="V61" s="104"/>
      <c r="W61" s="104"/>
    </row>
    <row r="62" spans="1:23">
      <c r="A62" s="674" t="s">
        <v>35</v>
      </c>
      <c r="B62" s="675">
        <f t="shared" ref="B62:W62" si="60">B$7</f>
        <v>2004</v>
      </c>
      <c r="C62" s="675">
        <f t="shared" si="60"/>
        <v>2005</v>
      </c>
      <c r="D62" s="675">
        <f t="shared" si="60"/>
        <v>2006</v>
      </c>
      <c r="E62" s="675">
        <f t="shared" si="60"/>
        <v>2007</v>
      </c>
      <c r="F62" s="675">
        <f t="shared" si="60"/>
        <v>2008</v>
      </c>
      <c r="G62" s="675">
        <f t="shared" si="60"/>
        <v>2009</v>
      </c>
      <c r="H62" s="675">
        <f t="shared" si="60"/>
        <v>2010</v>
      </c>
      <c r="I62" s="675">
        <f t="shared" si="60"/>
        <v>2011</v>
      </c>
      <c r="J62" s="675">
        <f t="shared" si="60"/>
        <v>2012</v>
      </c>
      <c r="K62" s="675">
        <f t="shared" si="60"/>
        <v>2013</v>
      </c>
      <c r="L62" s="675">
        <f t="shared" si="60"/>
        <v>2014</v>
      </c>
      <c r="M62" s="675">
        <f t="shared" si="60"/>
        <v>2015</v>
      </c>
      <c r="N62" s="675">
        <f t="shared" si="60"/>
        <v>2016</v>
      </c>
      <c r="O62" s="675">
        <f t="shared" si="60"/>
        <v>2017</v>
      </c>
      <c r="P62" s="490" t="str">
        <f t="shared" si="60"/>
        <v>2018E</v>
      </c>
      <c r="Q62" s="490" t="str">
        <f t="shared" si="60"/>
        <v>2019E</v>
      </c>
      <c r="R62" s="490" t="str">
        <f t="shared" si="60"/>
        <v>2020E</v>
      </c>
      <c r="S62" s="490" t="str">
        <f t="shared" si="60"/>
        <v>2021E</v>
      </c>
      <c r="T62" s="490" t="str">
        <f t="shared" si="60"/>
        <v>2022E</v>
      </c>
      <c r="U62" s="490" t="str">
        <f t="shared" si="60"/>
        <v>2023E</v>
      </c>
      <c r="V62" s="490" t="str">
        <f t="shared" si="60"/>
        <v>2024E</v>
      </c>
      <c r="W62" s="490" t="str">
        <f t="shared" si="60"/>
        <v>2025E</v>
      </c>
    </row>
    <row r="63" spans="1:23">
      <c r="A63" s="52" t="s">
        <v>79</v>
      </c>
      <c r="B63" s="60"/>
      <c r="C63" s="480" t="str">
        <f t="shared" ref="C63:M63" si="61">C64</f>
        <v>NM</v>
      </c>
      <c r="D63" s="60">
        <f t="shared" si="61"/>
        <v>3.8317181110301988</v>
      </c>
      <c r="E63" s="60">
        <f t="shared" si="61"/>
        <v>1.9693192219497169E-2</v>
      </c>
      <c r="F63" s="480" t="str">
        <f t="shared" si="61"/>
        <v>NM</v>
      </c>
      <c r="G63" s="480" t="str">
        <f t="shared" si="61"/>
        <v>NM</v>
      </c>
      <c r="H63" s="480" t="str">
        <f t="shared" si="61"/>
        <v>NM</v>
      </c>
      <c r="I63" s="60">
        <f t="shared" si="61"/>
        <v>0.45088302471653585</v>
      </c>
      <c r="J63" s="60">
        <f t="shared" si="61"/>
        <v>-0.10909156978424039</v>
      </c>
      <c r="K63" s="60">
        <f t="shared" si="61"/>
        <v>-0.42201055964438128</v>
      </c>
      <c r="L63" s="60">
        <f t="shared" si="61"/>
        <v>0.84866866373441008</v>
      </c>
      <c r="M63" s="60">
        <f t="shared" si="61"/>
        <v>1.3420683625290697</v>
      </c>
      <c r="N63" s="60">
        <f t="shared" ref="N63:R65" si="62">IF(OR(N58&lt;0,M58&lt;0),"NM",N58/M58-1)</f>
        <v>-0.37324191817330221</v>
      </c>
      <c r="O63" s="60">
        <f t="shared" si="62"/>
        <v>0.42998238400324595</v>
      </c>
      <c r="P63" s="109">
        <f t="shared" si="62"/>
        <v>0.40823260356144231</v>
      </c>
      <c r="Q63" s="109">
        <f t="shared" si="62"/>
        <v>-0.33107754511659704</v>
      </c>
      <c r="R63" s="111">
        <f t="shared" si="62"/>
        <v>0.53897979204393232</v>
      </c>
      <c r="S63" s="111">
        <f t="shared" ref="S63:S65" si="63">IF(OR(S58&lt;0,R58&lt;0),"NM",S58/R58-1)</f>
        <v>0.22122887020505289</v>
      </c>
      <c r="T63" s="111">
        <f t="shared" ref="T63:T65" si="64">IF(OR(T58&lt;0,S58&lt;0),"NM",T58/S58-1)</f>
        <v>-0.20095292427631573</v>
      </c>
      <c r="U63" s="111">
        <f t="shared" ref="U63:U65" si="65">IF(OR(U58&lt;0,T58&lt;0),"NM",U58/T58-1)</f>
        <v>-0.2907967752710644</v>
      </c>
      <c r="V63" s="111">
        <f t="shared" ref="V63:V65" si="66">IF(OR(V58&lt;0,U58&lt;0),"NM",V58/U58-1)</f>
        <v>-4.5879714762860901E-2</v>
      </c>
      <c r="W63" s="111">
        <f t="shared" ref="W63:W65" si="67">IF(OR(W58&lt;0,V58&lt;0),"NM",W58/V58-1)</f>
        <v>0.3078766701742417</v>
      </c>
    </row>
    <row r="64" spans="1:23">
      <c r="A64" s="52" t="s">
        <v>77</v>
      </c>
      <c r="B64" s="60"/>
      <c r="C64" s="480" t="str">
        <f t="shared" ref="C64:M64" si="68">IF(OR(C59&lt;0,B59&lt;0),"NM",C59/B59-1)</f>
        <v>NM</v>
      </c>
      <c r="D64" s="60">
        <f t="shared" si="68"/>
        <v>3.8317181110301988</v>
      </c>
      <c r="E64" s="60">
        <f t="shared" si="68"/>
        <v>1.9693192219497169E-2</v>
      </c>
      <c r="F64" s="480" t="str">
        <f t="shared" si="68"/>
        <v>NM</v>
      </c>
      <c r="G64" s="480" t="str">
        <f t="shared" si="68"/>
        <v>NM</v>
      </c>
      <c r="H64" s="480" t="str">
        <f t="shared" si="68"/>
        <v>NM</v>
      </c>
      <c r="I64" s="60">
        <f t="shared" si="68"/>
        <v>0.45088302471653585</v>
      </c>
      <c r="J64" s="60">
        <f t="shared" si="68"/>
        <v>-0.10909156978424039</v>
      </c>
      <c r="K64" s="60">
        <f t="shared" si="68"/>
        <v>-0.42201055964438128</v>
      </c>
      <c r="L64" s="60">
        <f t="shared" si="68"/>
        <v>0.84866866373441008</v>
      </c>
      <c r="M64" s="60">
        <f t="shared" si="68"/>
        <v>1.3420683625290697</v>
      </c>
      <c r="N64" s="60">
        <f t="shared" si="62"/>
        <v>-0.37324191817330221</v>
      </c>
      <c r="O64" s="60">
        <f t="shared" si="62"/>
        <v>0.42998238400324595</v>
      </c>
      <c r="P64" s="109">
        <f t="shared" si="62"/>
        <v>0.76372664406209223</v>
      </c>
      <c r="Q64" s="109">
        <f t="shared" si="62"/>
        <v>6.4375559878716793E-2</v>
      </c>
      <c r="R64" s="109">
        <f t="shared" si="62"/>
        <v>0.18278891218152937</v>
      </c>
      <c r="S64" s="109">
        <f t="shared" si="63"/>
        <v>0.19525075197675146</v>
      </c>
      <c r="T64" s="109">
        <f t="shared" si="64"/>
        <v>6.1160507751351512E-2</v>
      </c>
      <c r="U64" s="109">
        <f t="shared" si="65"/>
        <v>-0.17314421121033774</v>
      </c>
      <c r="V64" s="109">
        <f t="shared" si="66"/>
        <v>-0.16022601902031497</v>
      </c>
      <c r="W64" s="109">
        <f t="shared" si="67"/>
        <v>0.30704089139856006</v>
      </c>
    </row>
    <row r="65" spans="1:23">
      <c r="A65" s="52" t="s">
        <v>78</v>
      </c>
      <c r="B65" s="60"/>
      <c r="C65" s="480" t="str">
        <f t="shared" ref="C65:K65" si="69">C64</f>
        <v>NM</v>
      </c>
      <c r="D65" s="60">
        <f t="shared" si="69"/>
        <v>3.8317181110301988</v>
      </c>
      <c r="E65" s="60">
        <f t="shared" si="69"/>
        <v>1.9693192219497169E-2</v>
      </c>
      <c r="F65" s="480" t="str">
        <f t="shared" si="69"/>
        <v>NM</v>
      </c>
      <c r="G65" s="480" t="str">
        <f t="shared" si="69"/>
        <v>NM</v>
      </c>
      <c r="H65" s="480" t="str">
        <f t="shared" si="69"/>
        <v>NM</v>
      </c>
      <c r="I65" s="60">
        <f t="shared" si="69"/>
        <v>0.45088302471653585</v>
      </c>
      <c r="J65" s="60">
        <f t="shared" si="69"/>
        <v>-0.10909156978424039</v>
      </c>
      <c r="K65" s="60">
        <f t="shared" si="69"/>
        <v>-0.42201055964438128</v>
      </c>
      <c r="L65" s="60">
        <f t="shared" ref="L65:M65" si="70">L64</f>
        <v>0.84866866373441008</v>
      </c>
      <c r="M65" s="60">
        <f t="shared" si="70"/>
        <v>1.3420683625290697</v>
      </c>
      <c r="N65" s="60">
        <f t="shared" si="62"/>
        <v>-0.37324191817330221</v>
      </c>
      <c r="O65" s="60">
        <f t="shared" si="62"/>
        <v>0.42998238400324595</v>
      </c>
      <c r="P65" s="109">
        <f t="shared" si="62"/>
        <v>1.2518485884212542</v>
      </c>
      <c r="Q65" s="109">
        <f t="shared" si="62"/>
        <v>0.28672475885159088</v>
      </c>
      <c r="R65" s="109">
        <f t="shared" si="62"/>
        <v>0.26656270301331109</v>
      </c>
      <c r="S65" s="109">
        <f t="shared" si="63"/>
        <v>0.11637326003484416</v>
      </c>
      <c r="T65" s="109">
        <f t="shared" si="64"/>
        <v>-6.4891611157011919E-2</v>
      </c>
      <c r="U65" s="109">
        <f t="shared" si="65"/>
        <v>-4.9316515272971428E-2</v>
      </c>
      <c r="V65" s="109">
        <f t="shared" si="66"/>
        <v>7.2534427501833587E-2</v>
      </c>
      <c r="W65" s="109">
        <f t="shared" si="67"/>
        <v>0.1043536313155482</v>
      </c>
    </row>
    <row r="66" spans="1:23">
      <c r="C66" s="503"/>
      <c r="D66" s="503"/>
      <c r="E66" s="503"/>
      <c r="F66" s="503"/>
      <c r="G66" s="503"/>
      <c r="H66" s="503"/>
      <c r="I66" s="503"/>
      <c r="J66" s="503"/>
      <c r="K66" s="503"/>
      <c r="L66" s="503"/>
      <c r="M66" s="503"/>
      <c r="N66" s="503"/>
      <c r="O66" s="503"/>
      <c r="P66" s="104"/>
      <c r="Q66" s="104"/>
      <c r="R66" s="104"/>
      <c r="S66" s="104"/>
      <c r="T66" s="104"/>
      <c r="U66" s="104"/>
      <c r="V66" s="104"/>
      <c r="W66" s="104"/>
    </row>
    <row r="67" spans="1:23">
      <c r="A67" s="674" t="s">
        <v>37</v>
      </c>
      <c r="B67" s="675">
        <f t="shared" ref="B67:W67" si="71">B$7</f>
        <v>2004</v>
      </c>
      <c r="C67" s="675">
        <f t="shared" si="71"/>
        <v>2005</v>
      </c>
      <c r="D67" s="675">
        <f t="shared" si="71"/>
        <v>2006</v>
      </c>
      <c r="E67" s="675">
        <f t="shared" si="71"/>
        <v>2007</v>
      </c>
      <c r="F67" s="675">
        <f t="shared" si="71"/>
        <v>2008</v>
      </c>
      <c r="G67" s="675">
        <f t="shared" si="71"/>
        <v>2009</v>
      </c>
      <c r="H67" s="675">
        <f t="shared" si="71"/>
        <v>2010</v>
      </c>
      <c r="I67" s="675">
        <f t="shared" si="71"/>
        <v>2011</v>
      </c>
      <c r="J67" s="675">
        <f t="shared" si="71"/>
        <v>2012</v>
      </c>
      <c r="K67" s="675">
        <f t="shared" si="71"/>
        <v>2013</v>
      </c>
      <c r="L67" s="675">
        <f t="shared" si="71"/>
        <v>2014</v>
      </c>
      <c r="M67" s="675">
        <f t="shared" si="71"/>
        <v>2015</v>
      </c>
      <c r="N67" s="675">
        <f t="shared" si="71"/>
        <v>2016</v>
      </c>
      <c r="O67" s="675">
        <f t="shared" si="71"/>
        <v>2017</v>
      </c>
      <c r="P67" s="490" t="str">
        <f t="shared" si="71"/>
        <v>2018E</v>
      </c>
      <c r="Q67" s="490" t="str">
        <f t="shared" si="71"/>
        <v>2019E</v>
      </c>
      <c r="R67" s="490" t="str">
        <f t="shared" si="71"/>
        <v>2020E</v>
      </c>
      <c r="S67" s="490" t="str">
        <f t="shared" si="71"/>
        <v>2021E</v>
      </c>
      <c r="T67" s="490" t="str">
        <f t="shared" si="71"/>
        <v>2022E</v>
      </c>
      <c r="U67" s="490" t="str">
        <f t="shared" si="71"/>
        <v>2023E</v>
      </c>
      <c r="V67" s="490" t="str">
        <f t="shared" si="71"/>
        <v>2024E</v>
      </c>
      <c r="W67" s="490" t="str">
        <f t="shared" si="71"/>
        <v>2025E</v>
      </c>
    </row>
    <row r="68" spans="1:23">
      <c r="A68" s="52" t="s">
        <v>79</v>
      </c>
      <c r="B68" s="499"/>
      <c r="C68" s="499">
        <f>C69</f>
        <v>99.736999999999966</v>
      </c>
      <c r="D68" s="499">
        <f t="shared" ref="D68:N68" si="72">D69</f>
        <v>246.33299999999997</v>
      </c>
      <c r="E68" s="499">
        <f t="shared" si="72"/>
        <v>499.52099999999973</v>
      </c>
      <c r="F68" s="499">
        <f t="shared" si="72"/>
        <v>112.02500000000012</v>
      </c>
      <c r="G68" s="499">
        <f t="shared" si="72"/>
        <v>34.098999999999876</v>
      </c>
      <c r="H68" s="499">
        <f t="shared" si="72"/>
        <v>558.69499999999971</v>
      </c>
      <c r="I68" s="499">
        <f t="shared" si="72"/>
        <v>274.33179200000006</v>
      </c>
      <c r="J68" s="499">
        <f t="shared" si="72"/>
        <v>468.57283200000018</v>
      </c>
      <c r="K68" s="499">
        <f t="shared" si="72"/>
        <v>352.6637759999997</v>
      </c>
      <c r="L68" s="499">
        <f t="shared" si="72"/>
        <v>554.72020799999984</v>
      </c>
      <c r="M68" s="499">
        <f t="shared" si="72"/>
        <v>690.92073999999991</v>
      </c>
      <c r="N68" s="499">
        <f t="shared" si="72"/>
        <v>933.81365200000016</v>
      </c>
      <c r="O68" s="499">
        <f>Bear!O$117</f>
        <v>895.50100000000009</v>
      </c>
      <c r="P68" s="500">
        <f>Bear!P$117</f>
        <v>1255.5555547055869</v>
      </c>
      <c r="Q68" s="500">
        <f>Bear!Q$117</f>
        <v>1095.8901962197749</v>
      </c>
      <c r="R68" s="500">
        <f>Bear!R$117</f>
        <v>1404.5321204191721</v>
      </c>
      <c r="S68" s="500">
        <f>Bear!S$117</f>
        <v>1668.2476362554551</v>
      </c>
      <c r="T68" s="500">
        <f>Bear!T$117</f>
        <v>1556.8128231098012</v>
      </c>
      <c r="U68" s="500">
        <f>Bear!U$117</f>
        <v>1387.9926819669777</v>
      </c>
      <c r="V68" s="500">
        <f>Bear!V$117</f>
        <v>1320.6634107255709</v>
      </c>
      <c r="W68" s="500">
        <f>Bear!W$117</f>
        <v>1504.2013893341334</v>
      </c>
    </row>
    <row r="69" spans="1:23">
      <c r="A69" s="52" t="s">
        <v>77</v>
      </c>
      <c r="B69" s="59"/>
      <c r="C69" s="59">
        <f>Financials!C117</f>
        <v>99.736999999999966</v>
      </c>
      <c r="D69" s="59">
        <f>Financials!D117</f>
        <v>246.33299999999997</v>
      </c>
      <c r="E69" s="59">
        <f>Financials!E117</f>
        <v>499.52099999999973</v>
      </c>
      <c r="F69" s="59">
        <f>Financials!F117</f>
        <v>112.02500000000012</v>
      </c>
      <c r="G69" s="59">
        <f>Financials!G117</f>
        <v>34.098999999999876</v>
      </c>
      <c r="H69" s="59">
        <f>Financials!H117</f>
        <v>558.69499999999971</v>
      </c>
      <c r="I69" s="59">
        <f>Financials!I117</f>
        <v>274.33179200000006</v>
      </c>
      <c r="J69" s="59">
        <f>Financials!J117</f>
        <v>468.57283200000018</v>
      </c>
      <c r="K69" s="59">
        <f>Financials!K117</f>
        <v>352.6637759999997</v>
      </c>
      <c r="L69" s="59">
        <f>Financials!L117</f>
        <v>554.72020799999984</v>
      </c>
      <c r="M69" s="59">
        <f>Financials!M117</f>
        <v>690.92073999999991</v>
      </c>
      <c r="N69" s="59">
        <f>Financials!N117</f>
        <v>933.81365200000016</v>
      </c>
      <c r="O69" s="59">
        <f>Base!O$117</f>
        <v>895.50100000000009</v>
      </c>
      <c r="P69" s="500">
        <f>Base!P$117</f>
        <v>1462.7154812483714</v>
      </c>
      <c r="Q69" s="500">
        <f>Base!Q$117</f>
        <v>1566.0753335003888</v>
      </c>
      <c r="R69" s="500">
        <f>Base!R$117</f>
        <v>1764.9494537625233</v>
      </c>
      <c r="S69" s="500">
        <f>Base!S$117</f>
        <v>2090.7103215652078</v>
      </c>
      <c r="T69" s="500">
        <f>Base!T$117</f>
        <v>2266.896740735735</v>
      </c>
      <c r="U69" s="500">
        <f>Base!U$117</f>
        <v>2064.0264030851886</v>
      </c>
      <c r="V69" s="500">
        <f>Base!V$117</f>
        <v>1734.8443438208317</v>
      </c>
      <c r="W69" s="500">
        <f>Base!W$117</f>
        <v>2042.5382694421899</v>
      </c>
    </row>
    <row r="70" spans="1:23">
      <c r="A70" s="52" t="s">
        <v>78</v>
      </c>
      <c r="B70" s="59"/>
      <c r="C70" s="59">
        <f>C69</f>
        <v>99.736999999999966</v>
      </c>
      <c r="D70" s="59">
        <f t="shared" ref="D70:K70" si="73">D69</f>
        <v>246.33299999999997</v>
      </c>
      <c r="E70" s="59">
        <f t="shared" si="73"/>
        <v>499.52099999999973</v>
      </c>
      <c r="F70" s="59">
        <f t="shared" si="73"/>
        <v>112.02500000000012</v>
      </c>
      <c r="G70" s="59">
        <f t="shared" si="73"/>
        <v>34.098999999999876</v>
      </c>
      <c r="H70" s="59">
        <f t="shared" si="73"/>
        <v>558.69499999999971</v>
      </c>
      <c r="I70" s="59">
        <f t="shared" si="73"/>
        <v>274.33179200000006</v>
      </c>
      <c r="J70" s="59">
        <f t="shared" si="73"/>
        <v>468.57283200000018</v>
      </c>
      <c r="K70" s="59">
        <f t="shared" si="73"/>
        <v>352.6637759999997</v>
      </c>
      <c r="L70" s="59">
        <f t="shared" ref="L70:M70" si="74">L69</f>
        <v>554.72020799999984</v>
      </c>
      <c r="M70" s="59">
        <f t="shared" si="74"/>
        <v>690.92073999999991</v>
      </c>
      <c r="N70" s="59">
        <f t="shared" ref="N70" si="75">N69</f>
        <v>933.81365200000016</v>
      </c>
      <c r="O70" s="59">
        <f>Bull!O$117</f>
        <v>895.50100000000009</v>
      </c>
      <c r="P70" s="500">
        <f>Bull!P$117</f>
        <v>1726.9510052075168</v>
      </c>
      <c r="Q70" s="500">
        <f>Bull!Q$117</f>
        <v>2047.2142315889334</v>
      </c>
      <c r="R70" s="500">
        <f>Bull!R$117</f>
        <v>2454.8061298390376</v>
      </c>
      <c r="S70" s="500">
        <f>Bull!S$117</f>
        <v>2782.1801164988847</v>
      </c>
      <c r="T70" s="500">
        <f>Bull!T$117</f>
        <v>2708.7768583770289</v>
      </c>
      <c r="U70" s="500">
        <f>Bull!U$117</f>
        <v>2618.180044638088</v>
      </c>
      <c r="V70" s="500">
        <f>Bull!V$117</f>
        <v>2500.9865728976738</v>
      </c>
      <c r="W70" s="500">
        <f>Bull!W$117</f>
        <v>2779.3363454524788</v>
      </c>
    </row>
    <row r="71" spans="1:23">
      <c r="A71" s="494"/>
      <c r="B71" s="59"/>
      <c r="C71" s="59"/>
      <c r="D71" s="59"/>
      <c r="E71" s="59"/>
      <c r="F71" s="59"/>
      <c r="G71" s="59"/>
      <c r="H71" s="59"/>
      <c r="I71" s="59"/>
      <c r="J71" s="59"/>
      <c r="K71" s="59"/>
      <c r="L71" s="59"/>
      <c r="M71" s="59"/>
      <c r="N71" s="59"/>
      <c r="O71" s="59"/>
      <c r="P71" s="504"/>
      <c r="Q71" s="504"/>
      <c r="R71" s="504"/>
      <c r="S71" s="504"/>
      <c r="T71" s="504"/>
      <c r="U71" s="504"/>
      <c r="V71" s="504"/>
      <c r="W71" s="504"/>
    </row>
    <row r="72" spans="1:23">
      <c r="A72" s="674" t="s">
        <v>17</v>
      </c>
      <c r="B72" s="675">
        <f t="shared" ref="B72:W72" si="76">B$7</f>
        <v>2004</v>
      </c>
      <c r="C72" s="675">
        <f t="shared" si="76"/>
        <v>2005</v>
      </c>
      <c r="D72" s="675">
        <f t="shared" si="76"/>
        <v>2006</v>
      </c>
      <c r="E72" s="675">
        <f t="shared" si="76"/>
        <v>2007</v>
      </c>
      <c r="F72" s="675">
        <f t="shared" si="76"/>
        <v>2008</v>
      </c>
      <c r="G72" s="675">
        <f t="shared" si="76"/>
        <v>2009</v>
      </c>
      <c r="H72" s="675">
        <f t="shared" si="76"/>
        <v>2010</v>
      </c>
      <c r="I72" s="675">
        <f t="shared" si="76"/>
        <v>2011</v>
      </c>
      <c r="J72" s="675">
        <f t="shared" si="76"/>
        <v>2012</v>
      </c>
      <c r="K72" s="675">
        <f t="shared" si="76"/>
        <v>2013</v>
      </c>
      <c r="L72" s="675">
        <f t="shared" si="76"/>
        <v>2014</v>
      </c>
      <c r="M72" s="675">
        <f t="shared" si="76"/>
        <v>2015</v>
      </c>
      <c r="N72" s="675">
        <f t="shared" si="76"/>
        <v>2016</v>
      </c>
      <c r="O72" s="675">
        <f t="shared" si="76"/>
        <v>2017</v>
      </c>
      <c r="P72" s="490" t="str">
        <f t="shared" si="76"/>
        <v>2018E</v>
      </c>
      <c r="Q72" s="490" t="str">
        <f t="shared" si="76"/>
        <v>2019E</v>
      </c>
      <c r="R72" s="490" t="str">
        <f t="shared" si="76"/>
        <v>2020E</v>
      </c>
      <c r="S72" s="490" t="str">
        <f t="shared" si="76"/>
        <v>2021E</v>
      </c>
      <c r="T72" s="490" t="str">
        <f t="shared" si="76"/>
        <v>2022E</v>
      </c>
      <c r="U72" s="490" t="str">
        <f t="shared" si="76"/>
        <v>2023E</v>
      </c>
      <c r="V72" s="490" t="str">
        <f t="shared" si="76"/>
        <v>2024E</v>
      </c>
      <c r="W72" s="490" t="str">
        <f t="shared" si="76"/>
        <v>2025E</v>
      </c>
    </row>
    <row r="73" spans="1:23">
      <c r="A73" s="52" t="s">
        <v>79</v>
      </c>
      <c r="B73" s="60"/>
      <c r="C73" s="60">
        <f t="shared" ref="C73:R73" si="77">C68/C13</f>
        <v>0.15386763344646712</v>
      </c>
      <c r="D73" s="60">
        <f t="shared" si="77"/>
        <v>0.30485927363363868</v>
      </c>
      <c r="E73" s="60">
        <f t="shared" si="77"/>
        <v>0.60435407005372999</v>
      </c>
      <c r="F73" s="60">
        <f t="shared" si="77"/>
        <v>0.15724572583588348</v>
      </c>
      <c r="G73" s="60">
        <f t="shared" si="77"/>
        <v>4.4030354719456273E-2</v>
      </c>
      <c r="H73" s="60">
        <f t="shared" si="77"/>
        <v>0.47215550593854722</v>
      </c>
      <c r="I73" s="60">
        <f t="shared" si="77"/>
        <v>0.21183464141315872</v>
      </c>
      <c r="J73" s="60">
        <f t="shared" si="77"/>
        <v>0.34277707371670618</v>
      </c>
      <c r="K73" s="60">
        <f t="shared" si="77"/>
        <v>0.21557058476547319</v>
      </c>
      <c r="L73" s="60">
        <f t="shared" si="77"/>
        <v>0.28134250718926396</v>
      </c>
      <c r="M73" s="60">
        <f t="shared" si="77"/>
        <v>0.29714950614193764</v>
      </c>
      <c r="N73" s="60">
        <f t="shared" ref="N73" si="78">N68/N13</f>
        <v>0.34238499746459888</v>
      </c>
      <c r="O73" s="60">
        <f t="shared" si="77"/>
        <v>0.29821384922884087</v>
      </c>
      <c r="P73" s="366">
        <f t="shared" si="77"/>
        <v>0.37531339937488539</v>
      </c>
      <c r="Q73" s="366">
        <f t="shared" si="77"/>
        <v>0.34105018417700456</v>
      </c>
      <c r="R73" s="366">
        <f t="shared" si="77"/>
        <v>0.37409493931651905</v>
      </c>
      <c r="S73" s="366">
        <f t="shared" ref="S73:W73" si="79">S68/S13</f>
        <v>0.3868472952740124</v>
      </c>
      <c r="T73" s="366">
        <f t="shared" si="79"/>
        <v>0.36730471999044284</v>
      </c>
      <c r="U73" s="366">
        <f t="shared" si="79"/>
        <v>0.34113194495486082</v>
      </c>
      <c r="V73" s="366">
        <f t="shared" si="79"/>
        <v>0.30306161246975172</v>
      </c>
      <c r="W73" s="366">
        <f t="shared" si="79"/>
        <v>0.32309246663945601</v>
      </c>
    </row>
    <row r="74" spans="1:23">
      <c r="A74" s="52" t="s">
        <v>77</v>
      </c>
      <c r="B74" s="60"/>
      <c r="C74" s="60">
        <f t="shared" ref="C74:R74" si="80">C69/C14</f>
        <v>0.15386763344646712</v>
      </c>
      <c r="D74" s="60">
        <f t="shared" si="80"/>
        <v>0.30485927363363868</v>
      </c>
      <c r="E74" s="60">
        <f t="shared" si="80"/>
        <v>0.60435407005372999</v>
      </c>
      <c r="F74" s="60">
        <f t="shared" si="80"/>
        <v>0.15724572583588348</v>
      </c>
      <c r="G74" s="60">
        <f t="shared" si="80"/>
        <v>4.4030354719456273E-2</v>
      </c>
      <c r="H74" s="60">
        <f t="shared" si="80"/>
        <v>0.47215550593854722</v>
      </c>
      <c r="I74" s="60">
        <f t="shared" si="80"/>
        <v>0.21183464141315872</v>
      </c>
      <c r="J74" s="60">
        <f t="shared" si="80"/>
        <v>0.34277707371670618</v>
      </c>
      <c r="K74" s="60">
        <f t="shared" si="80"/>
        <v>0.21557058476547319</v>
      </c>
      <c r="L74" s="60">
        <f t="shared" si="80"/>
        <v>0.28134250718926396</v>
      </c>
      <c r="M74" s="60">
        <f t="shared" si="80"/>
        <v>0.29714950614193764</v>
      </c>
      <c r="N74" s="60">
        <f t="shared" ref="N74" si="81">N69/N14</f>
        <v>0.34238499746459888</v>
      </c>
      <c r="O74" s="60">
        <f t="shared" si="80"/>
        <v>0.29821384922884087</v>
      </c>
      <c r="P74" s="366">
        <f t="shared" si="80"/>
        <v>0.40000301569880947</v>
      </c>
      <c r="Q74" s="366">
        <f t="shared" si="80"/>
        <v>0.41407605784494556</v>
      </c>
      <c r="R74" s="366">
        <f t="shared" si="80"/>
        <v>0.4320789162517123</v>
      </c>
      <c r="S74" s="366">
        <f t="shared" ref="S74:W74" si="82">S69/S14</f>
        <v>0.44472935176076939</v>
      </c>
      <c r="T74" s="366">
        <f t="shared" si="82"/>
        <v>0.45056789375234263</v>
      </c>
      <c r="U74" s="366">
        <f t="shared" si="82"/>
        <v>0.43106908373965364</v>
      </c>
      <c r="V74" s="366">
        <f t="shared" si="82"/>
        <v>0.37184116355495395</v>
      </c>
      <c r="W74" s="366">
        <f t="shared" si="82"/>
        <v>0.39121229353568682</v>
      </c>
    </row>
    <row r="75" spans="1:23">
      <c r="A75" s="52" t="s">
        <v>78</v>
      </c>
      <c r="B75" s="60"/>
      <c r="C75" s="60">
        <f t="shared" ref="C75:R75" si="83">C70/C15</f>
        <v>0.15386763344646712</v>
      </c>
      <c r="D75" s="60">
        <f t="shared" si="83"/>
        <v>0.30485927363363868</v>
      </c>
      <c r="E75" s="60">
        <f t="shared" si="83"/>
        <v>0.60435407005372999</v>
      </c>
      <c r="F75" s="60">
        <f t="shared" si="83"/>
        <v>0.15724572583588348</v>
      </c>
      <c r="G75" s="60">
        <f t="shared" si="83"/>
        <v>4.4030354719456273E-2</v>
      </c>
      <c r="H75" s="60">
        <f t="shared" si="83"/>
        <v>0.47215550593854722</v>
      </c>
      <c r="I75" s="60">
        <f t="shared" si="83"/>
        <v>0.21183464141315872</v>
      </c>
      <c r="J75" s="60">
        <f t="shared" si="83"/>
        <v>0.34277707371670618</v>
      </c>
      <c r="K75" s="60">
        <f t="shared" si="83"/>
        <v>0.21557058476547319</v>
      </c>
      <c r="L75" s="60">
        <f t="shared" si="83"/>
        <v>0.28134250718926396</v>
      </c>
      <c r="M75" s="60">
        <f t="shared" si="83"/>
        <v>0.29714950614193764</v>
      </c>
      <c r="N75" s="60">
        <f t="shared" ref="N75" si="84">N70/N15</f>
        <v>0.34238499746459888</v>
      </c>
      <c r="O75" s="60">
        <f t="shared" si="83"/>
        <v>0.29821384922884087</v>
      </c>
      <c r="P75" s="366">
        <f t="shared" si="83"/>
        <v>0.43397833438478073</v>
      </c>
      <c r="Q75" s="366">
        <f t="shared" si="83"/>
        <v>0.47796723918512191</v>
      </c>
      <c r="R75" s="366">
        <f t="shared" si="83"/>
        <v>0.5088133218283426</v>
      </c>
      <c r="S75" s="366">
        <f t="shared" ref="S75:W75" si="85">S70/S15</f>
        <v>0.52534161886166786</v>
      </c>
      <c r="T75" s="366">
        <f t="shared" si="85"/>
        <v>0.52343093861030665</v>
      </c>
      <c r="U75" s="366">
        <f t="shared" si="85"/>
        <v>0.51755907515560973</v>
      </c>
      <c r="V75" s="366">
        <f t="shared" si="85"/>
        <v>0.46049949893802933</v>
      </c>
      <c r="W75" s="366">
        <f t="shared" si="85"/>
        <v>0.46363451262859523</v>
      </c>
    </row>
    <row r="76" spans="1:23">
      <c r="M76" s="1401"/>
      <c r="N76" s="1401"/>
      <c r="O76" s="1401"/>
      <c r="P76" s="54"/>
      <c r="Q76" s="54"/>
      <c r="R76" s="54"/>
      <c r="S76" s="54"/>
      <c r="T76" s="54"/>
      <c r="U76" s="54"/>
      <c r="V76" s="54"/>
      <c r="W76" s="54"/>
    </row>
    <row r="77" spans="1:23">
      <c r="A77" s="674" t="s">
        <v>80</v>
      </c>
      <c r="B77" s="675">
        <f t="shared" ref="B77:W77" si="86">B$7</f>
        <v>2004</v>
      </c>
      <c r="C77" s="675">
        <f t="shared" si="86"/>
        <v>2005</v>
      </c>
      <c r="D77" s="675">
        <f t="shared" si="86"/>
        <v>2006</v>
      </c>
      <c r="E77" s="675">
        <f t="shared" si="86"/>
        <v>2007</v>
      </c>
      <c r="F77" s="675">
        <f t="shared" si="86"/>
        <v>2008</v>
      </c>
      <c r="G77" s="675">
        <f t="shared" si="86"/>
        <v>2009</v>
      </c>
      <c r="H77" s="675">
        <f t="shared" si="86"/>
        <v>2010</v>
      </c>
      <c r="I77" s="675">
        <f t="shared" si="86"/>
        <v>2011</v>
      </c>
      <c r="J77" s="675">
        <f t="shared" si="86"/>
        <v>2012</v>
      </c>
      <c r="K77" s="675">
        <f t="shared" si="86"/>
        <v>2013</v>
      </c>
      <c r="L77" s="675">
        <f t="shared" si="86"/>
        <v>2014</v>
      </c>
      <c r="M77" s="675">
        <f t="shared" si="86"/>
        <v>2015</v>
      </c>
      <c r="N77" s="675">
        <f t="shared" si="86"/>
        <v>2016</v>
      </c>
      <c r="O77" s="675">
        <f t="shared" si="86"/>
        <v>2017</v>
      </c>
      <c r="P77" s="490" t="str">
        <f t="shared" si="86"/>
        <v>2018E</v>
      </c>
      <c r="Q77" s="490" t="str">
        <f t="shared" si="86"/>
        <v>2019E</v>
      </c>
      <c r="R77" s="490" t="str">
        <f t="shared" si="86"/>
        <v>2020E</v>
      </c>
      <c r="S77" s="490" t="str">
        <f t="shared" si="86"/>
        <v>2021E</v>
      </c>
      <c r="T77" s="490" t="str">
        <f t="shared" si="86"/>
        <v>2022E</v>
      </c>
      <c r="U77" s="490" t="str">
        <f t="shared" si="86"/>
        <v>2023E</v>
      </c>
      <c r="V77" s="490" t="str">
        <f t="shared" si="86"/>
        <v>2024E</v>
      </c>
      <c r="W77" s="490" t="str">
        <f t="shared" si="86"/>
        <v>2025E</v>
      </c>
    </row>
    <row r="78" spans="1:23">
      <c r="A78" s="52" t="s">
        <v>79</v>
      </c>
      <c r="B78" s="499"/>
      <c r="C78" s="501"/>
      <c r="D78" s="195">
        <f t="shared" ref="D78:N78" si="87">D79</f>
        <v>156.4260000000001</v>
      </c>
      <c r="E78" s="195">
        <f t="shared" si="87"/>
        <v>-440.33600000000035</v>
      </c>
      <c r="F78" s="195">
        <f t="shared" si="87"/>
        <v>-403.904</v>
      </c>
      <c r="G78" s="195">
        <f t="shared" si="87"/>
        <v>-412.80200000000013</v>
      </c>
      <c r="H78" s="195">
        <f t="shared" si="87"/>
        <v>185.6099999999999</v>
      </c>
      <c r="I78" s="195">
        <f t="shared" si="87"/>
        <v>-156.84420799999975</v>
      </c>
      <c r="J78" s="195">
        <f t="shared" si="87"/>
        <v>-189.78616799999995</v>
      </c>
      <c r="K78" s="195">
        <f t="shared" si="87"/>
        <v>-311.34722399999993</v>
      </c>
      <c r="L78" s="195">
        <f t="shared" si="87"/>
        <v>-96.175792000000342</v>
      </c>
      <c r="M78" s="195">
        <f t="shared" si="87"/>
        <v>-146.47725999999977</v>
      </c>
      <c r="N78" s="195">
        <f t="shared" si="87"/>
        <v>288.58365200000037</v>
      </c>
      <c r="O78" s="195">
        <f>Bear!O$132</f>
        <v>-30.890999999999963</v>
      </c>
      <c r="P78" s="361">
        <f>Bear!P$132</f>
        <v>298.19294916426634</v>
      </c>
      <c r="Q78" s="361">
        <f>Bear!Q$132</f>
        <v>183.72504522759561</v>
      </c>
      <c r="R78" s="361">
        <f>Bear!R$132</f>
        <v>351.65521432294008</v>
      </c>
      <c r="S78" s="361">
        <f>Bear!S$132</f>
        <v>325.73736049570084</v>
      </c>
      <c r="T78" s="361">
        <f>Bear!T$132</f>
        <v>227.16627110503327</v>
      </c>
      <c r="U78" s="361">
        <f>Bear!U$132</f>
        <v>95.825158059458545</v>
      </c>
      <c r="V78" s="361">
        <f>Bear!V$132</f>
        <v>-53.565185674762915</v>
      </c>
      <c r="W78" s="361">
        <f>Bear!W$132</f>
        <v>45.281000761198129</v>
      </c>
    </row>
    <row r="79" spans="1:23">
      <c r="A79" s="52" t="s">
        <v>77</v>
      </c>
      <c r="B79" s="499"/>
      <c r="C79" s="499"/>
      <c r="D79" s="196">
        <f>Financials!D132</f>
        <v>156.4260000000001</v>
      </c>
      <c r="E79" s="195">
        <f>Financials!E132</f>
        <v>-440.33600000000035</v>
      </c>
      <c r="F79" s="195">
        <f>Financials!F132</f>
        <v>-403.904</v>
      </c>
      <c r="G79" s="195">
        <f>Financials!G132</f>
        <v>-412.80200000000013</v>
      </c>
      <c r="H79" s="195">
        <f>Financials!H132</f>
        <v>185.6099999999999</v>
      </c>
      <c r="I79" s="195">
        <f>Financials!I132</f>
        <v>-156.84420799999975</v>
      </c>
      <c r="J79" s="195">
        <f>Financials!J132</f>
        <v>-189.78616799999995</v>
      </c>
      <c r="K79" s="195">
        <f>Financials!K132</f>
        <v>-311.34722399999993</v>
      </c>
      <c r="L79" s="195">
        <f>Financials!L132</f>
        <v>-96.175792000000342</v>
      </c>
      <c r="M79" s="195">
        <f>Financials!M132</f>
        <v>-146.47725999999977</v>
      </c>
      <c r="N79" s="195">
        <f>Financials!N132</f>
        <v>288.58365200000037</v>
      </c>
      <c r="O79" s="195">
        <f>Base!O$132</f>
        <v>-30.890999999999963</v>
      </c>
      <c r="P79" s="361">
        <f>Base!P$132</f>
        <v>460.94419777451435</v>
      </c>
      <c r="Q79" s="361">
        <f>Base!Q$132</f>
        <v>543.82937490024051</v>
      </c>
      <c r="R79" s="361">
        <f>Base!R$132</f>
        <v>541.14360858351824</v>
      </c>
      <c r="S79" s="361">
        <f>Base!S$132</f>
        <v>707.29050047404962</v>
      </c>
      <c r="T79" s="361">
        <f>Base!T$132</f>
        <v>795.1655524607163</v>
      </c>
      <c r="U79" s="361">
        <f>Base!U$132</f>
        <v>647.01852965942771</v>
      </c>
      <c r="V79" s="361">
        <f>Base!V$132</f>
        <v>342.18480006594837</v>
      </c>
      <c r="W79" s="361">
        <f>Base!W$132</f>
        <v>504.42451934925953</v>
      </c>
    </row>
    <row r="80" spans="1:23">
      <c r="A80" s="52" t="s">
        <v>78</v>
      </c>
      <c r="B80" s="59"/>
      <c r="C80" s="501"/>
      <c r="D80" s="195">
        <f>D79</f>
        <v>156.4260000000001</v>
      </c>
      <c r="E80" s="195">
        <f>E79</f>
        <v>-440.33600000000035</v>
      </c>
      <c r="F80" s="195">
        <f>F79</f>
        <v>-403.904</v>
      </c>
      <c r="G80" s="195">
        <f t="shared" ref="G80:K80" si="88">G79</f>
        <v>-412.80200000000013</v>
      </c>
      <c r="H80" s="195">
        <f t="shared" si="88"/>
        <v>185.6099999999999</v>
      </c>
      <c r="I80" s="195">
        <f t="shared" si="88"/>
        <v>-156.84420799999975</v>
      </c>
      <c r="J80" s="195">
        <f t="shared" si="88"/>
        <v>-189.78616799999995</v>
      </c>
      <c r="K80" s="195">
        <f t="shared" si="88"/>
        <v>-311.34722399999993</v>
      </c>
      <c r="L80" s="195">
        <f t="shared" ref="L80:M80" si="89">L79</f>
        <v>-96.175792000000342</v>
      </c>
      <c r="M80" s="195">
        <f t="shared" si="89"/>
        <v>-146.47725999999977</v>
      </c>
      <c r="N80" s="195">
        <f t="shared" ref="N80" si="90">N79</f>
        <v>288.58365200000037</v>
      </c>
      <c r="O80" s="195">
        <f>Bull!O$132</f>
        <v>-30.890999999999963</v>
      </c>
      <c r="P80" s="361">
        <f>Bull!P$132</f>
        <v>684.3163811119382</v>
      </c>
      <c r="Q80" s="361">
        <f>Bull!Q$132</f>
        <v>942.52178723085058</v>
      </c>
      <c r="R80" s="361">
        <f>Bull!R$132</f>
        <v>1100.5837995367417</v>
      </c>
      <c r="S80" s="361">
        <f>Bull!S$132</f>
        <v>1309.5660797170938</v>
      </c>
      <c r="T80" s="361">
        <f>Bull!T$132</f>
        <v>1259.6859211072642</v>
      </c>
      <c r="U80" s="361">
        <f>Bull!U$132</f>
        <v>1191.2738938919906</v>
      </c>
      <c r="V80" s="361">
        <f>Bull!V$132</f>
        <v>978.73535519406005</v>
      </c>
      <c r="W80" s="361">
        <f>Bull!W$132</f>
        <v>1115.5601190307414</v>
      </c>
    </row>
    <row r="81" spans="1:23">
      <c r="B81" s="503"/>
      <c r="C81" s="503"/>
      <c r="D81" s="503"/>
      <c r="E81" s="503"/>
      <c r="F81" s="487"/>
      <c r="G81" s="506"/>
      <c r="H81" s="506"/>
      <c r="I81" s="506"/>
      <c r="J81" s="506"/>
      <c r="K81" s="506"/>
      <c r="L81" s="506"/>
      <c r="M81" s="506"/>
      <c r="N81" s="506"/>
      <c r="O81" s="506"/>
      <c r="P81" s="506"/>
      <c r="Q81" s="506"/>
      <c r="R81" s="506"/>
      <c r="S81" s="506"/>
      <c r="T81" s="506"/>
      <c r="U81" s="506"/>
      <c r="V81" s="506"/>
      <c r="W81" s="506"/>
    </row>
    <row r="82" spans="1:23">
      <c r="A82" s="674" t="s">
        <v>313</v>
      </c>
      <c r="B82" s="675">
        <f t="shared" ref="B82:W82" si="91">B$7</f>
        <v>2004</v>
      </c>
      <c r="C82" s="675">
        <f t="shared" si="91"/>
        <v>2005</v>
      </c>
      <c r="D82" s="675">
        <f t="shared" si="91"/>
        <v>2006</v>
      </c>
      <c r="E82" s="675">
        <f t="shared" si="91"/>
        <v>2007</v>
      </c>
      <c r="F82" s="675">
        <f t="shared" si="91"/>
        <v>2008</v>
      </c>
      <c r="G82" s="675">
        <f t="shared" si="91"/>
        <v>2009</v>
      </c>
      <c r="H82" s="675">
        <f t="shared" si="91"/>
        <v>2010</v>
      </c>
      <c r="I82" s="675">
        <f t="shared" si="91"/>
        <v>2011</v>
      </c>
      <c r="J82" s="675">
        <f t="shared" si="91"/>
        <v>2012</v>
      </c>
      <c r="K82" s="675">
        <f t="shared" si="91"/>
        <v>2013</v>
      </c>
      <c r="L82" s="675">
        <f t="shared" si="91"/>
        <v>2014</v>
      </c>
      <c r="M82" s="675">
        <f t="shared" si="91"/>
        <v>2015</v>
      </c>
      <c r="N82" s="675">
        <f t="shared" si="91"/>
        <v>2016</v>
      </c>
      <c r="O82" s="675">
        <f t="shared" si="91"/>
        <v>2017</v>
      </c>
      <c r="P82" s="490" t="str">
        <f t="shared" si="91"/>
        <v>2018E</v>
      </c>
      <c r="Q82" s="490" t="str">
        <f t="shared" si="91"/>
        <v>2019E</v>
      </c>
      <c r="R82" s="490" t="str">
        <f t="shared" si="91"/>
        <v>2020E</v>
      </c>
      <c r="S82" s="490" t="str">
        <f t="shared" si="91"/>
        <v>2021E</v>
      </c>
      <c r="T82" s="490" t="str">
        <f t="shared" si="91"/>
        <v>2022E</v>
      </c>
      <c r="U82" s="490" t="str">
        <f t="shared" si="91"/>
        <v>2023E</v>
      </c>
      <c r="V82" s="490" t="str">
        <f t="shared" si="91"/>
        <v>2024E</v>
      </c>
      <c r="W82" s="490" t="str">
        <f t="shared" si="91"/>
        <v>2025E</v>
      </c>
    </row>
    <row r="83" spans="1:23">
      <c r="A83" s="52" t="s">
        <v>79</v>
      </c>
      <c r="B83" s="499"/>
      <c r="C83" s="499"/>
      <c r="D83" s="499">
        <f>D84</f>
        <v>81.207999999999899</v>
      </c>
      <c r="E83" s="499">
        <f>E84</f>
        <v>932.23599999999999</v>
      </c>
      <c r="F83" s="424">
        <f>F84</f>
        <v>519.18600000000004</v>
      </c>
      <c r="G83" s="501">
        <f t="shared" ref="G83:N83" si="92">G84</f>
        <v>457.29100000000005</v>
      </c>
      <c r="H83" s="501">
        <f t="shared" si="92"/>
        <v>334.346</v>
      </c>
      <c r="I83" s="501">
        <f t="shared" si="92"/>
        <v>454.16899999999998</v>
      </c>
      <c r="J83" s="501">
        <f t="shared" si="92"/>
        <v>631.06600000000003</v>
      </c>
      <c r="K83" s="501">
        <f t="shared" si="92"/>
        <v>679.84099999999989</v>
      </c>
      <c r="L83" s="501">
        <f t="shared" si="92"/>
        <v>658.44399999999996</v>
      </c>
      <c r="M83" s="501">
        <f t="shared" si="92"/>
        <v>812.029</v>
      </c>
      <c r="N83" s="501">
        <f t="shared" si="92"/>
        <v>840.81400000000008</v>
      </c>
      <c r="O83" s="501">
        <f>-Bear!O$118</f>
        <v>976.98</v>
      </c>
      <c r="P83" s="500">
        <f>-Bear!P$118</f>
        <v>946.50360554132044</v>
      </c>
      <c r="Q83" s="500">
        <f>-Bear!Q$118</f>
        <v>912.16515099217929</v>
      </c>
      <c r="R83" s="500">
        <f>-Bear!R$118</f>
        <v>1052.8769060962318</v>
      </c>
      <c r="S83" s="500">
        <f>-Bear!S$118</f>
        <v>1342.5102757597542</v>
      </c>
      <c r="T83" s="500">
        <f>-Bear!T$118</f>
        <v>1329.646552004768</v>
      </c>
      <c r="U83" s="500">
        <f>-Bear!U$118</f>
        <v>1292.1675239075191</v>
      </c>
      <c r="V83" s="500">
        <f>-Bear!V$118</f>
        <v>1374.2285964003338</v>
      </c>
      <c r="W83" s="500">
        <f>-Bear!W$118</f>
        <v>1458.9203885729355</v>
      </c>
    </row>
    <row r="84" spans="1:23">
      <c r="A84" s="52" t="s">
        <v>77</v>
      </c>
      <c r="B84" s="59"/>
      <c r="C84" s="59"/>
      <c r="D84" s="59">
        <f>-Financials!D118</f>
        <v>81.207999999999899</v>
      </c>
      <c r="E84" s="59">
        <f>-Financials!E118</f>
        <v>932.23599999999999</v>
      </c>
      <c r="F84" s="487">
        <f>-Financials!F118</f>
        <v>519.18600000000004</v>
      </c>
      <c r="G84" s="501">
        <f>-Financials!G118</f>
        <v>457.29100000000005</v>
      </c>
      <c r="H84" s="501">
        <f>-Financials!H118</f>
        <v>334.346</v>
      </c>
      <c r="I84" s="501">
        <f>-Financials!I118</f>
        <v>454.16899999999998</v>
      </c>
      <c r="J84" s="501">
        <f>-Financials!J118</f>
        <v>631.06600000000003</v>
      </c>
      <c r="K84" s="501">
        <f>-Financials!K118</f>
        <v>679.84099999999989</v>
      </c>
      <c r="L84" s="501">
        <f>-Financials!L118</f>
        <v>658.44399999999996</v>
      </c>
      <c r="M84" s="501">
        <f>-Financials!M118</f>
        <v>812.029</v>
      </c>
      <c r="N84" s="501">
        <f>-Financials!N118</f>
        <v>840.81400000000008</v>
      </c>
      <c r="O84" s="501">
        <f>-Base!O$118</f>
        <v>976.98</v>
      </c>
      <c r="P84" s="500">
        <f>-Base!P$118</f>
        <v>990.91228347385686</v>
      </c>
      <c r="Q84" s="500">
        <f>-Base!Q$118</f>
        <v>1022.2459586001482</v>
      </c>
      <c r="R84" s="500">
        <f>-Base!R$118</f>
        <v>1223.805845179005</v>
      </c>
      <c r="S84" s="500">
        <f>-Base!S$118</f>
        <v>1383.4198210911582</v>
      </c>
      <c r="T84" s="500">
        <f>-Base!T$118</f>
        <v>1471.7311882750189</v>
      </c>
      <c r="U84" s="500">
        <f>-Base!U$118</f>
        <v>1417.0078734257606</v>
      </c>
      <c r="V84" s="500">
        <f>-Base!V$118</f>
        <v>1392.6595437548831</v>
      </c>
      <c r="W84" s="500">
        <f>-Base!W$118</f>
        <v>1538.1137500929303</v>
      </c>
    </row>
    <row r="85" spans="1:23">
      <c r="A85" s="52" t="s">
        <v>78</v>
      </c>
      <c r="B85" s="59"/>
      <c r="C85" s="59"/>
      <c r="D85" s="59">
        <f>D84</f>
        <v>81.207999999999899</v>
      </c>
      <c r="E85" s="59">
        <f>E84</f>
        <v>932.23599999999999</v>
      </c>
      <c r="F85" s="487">
        <f>F84</f>
        <v>519.18600000000004</v>
      </c>
      <c r="G85" s="501">
        <f t="shared" ref="G85:K85" si="93">G84</f>
        <v>457.29100000000005</v>
      </c>
      <c r="H85" s="501">
        <f t="shared" si="93"/>
        <v>334.346</v>
      </c>
      <c r="I85" s="501">
        <f t="shared" si="93"/>
        <v>454.16899999999998</v>
      </c>
      <c r="J85" s="501">
        <f t="shared" si="93"/>
        <v>631.06600000000003</v>
      </c>
      <c r="K85" s="501">
        <f t="shared" si="93"/>
        <v>679.84099999999989</v>
      </c>
      <c r="L85" s="501">
        <f t="shared" ref="L85:M85" si="94">L84</f>
        <v>658.44399999999996</v>
      </c>
      <c r="M85" s="501">
        <f t="shared" si="94"/>
        <v>812.029</v>
      </c>
      <c r="N85" s="501">
        <f t="shared" ref="N85" si="95">N84</f>
        <v>840.81400000000008</v>
      </c>
      <c r="O85" s="501">
        <f>-Bull!O$118</f>
        <v>976.98</v>
      </c>
      <c r="P85" s="500">
        <f>-Bull!P$118</f>
        <v>1031.7756240955787</v>
      </c>
      <c r="Q85" s="500">
        <f>-Bull!Q$118</f>
        <v>1104.6924443580826</v>
      </c>
      <c r="R85" s="500">
        <f>-Bull!R$118</f>
        <v>1354.2223303022959</v>
      </c>
      <c r="S85" s="500">
        <f>-Bull!S$118</f>
        <v>1472.6140367817911</v>
      </c>
      <c r="T85" s="500">
        <f>-Bull!T$118</f>
        <v>1449.0909372697647</v>
      </c>
      <c r="U85" s="500">
        <f>-Bull!U$118</f>
        <v>1426.9061507460974</v>
      </c>
      <c r="V85" s="500">
        <f>-Bull!V$118</f>
        <v>1522.2512177036142</v>
      </c>
      <c r="W85" s="500">
        <f>-Bull!W$118</f>
        <v>1663.7762264217374</v>
      </c>
    </row>
    <row r="86" spans="1:23">
      <c r="B86" s="503"/>
      <c r="C86" s="503"/>
      <c r="D86" s="503"/>
      <c r="E86" s="503"/>
      <c r="F86" s="487"/>
      <c r="G86" s="506"/>
      <c r="H86" s="506"/>
      <c r="I86" s="506"/>
      <c r="J86" s="506"/>
      <c r="K86" s="506"/>
      <c r="L86" s="506"/>
      <c r="M86" s="506"/>
      <c r="N86" s="506"/>
      <c r="O86" s="506"/>
      <c r="P86" s="506"/>
      <c r="Q86" s="506"/>
      <c r="R86" s="506"/>
      <c r="S86" s="506"/>
      <c r="T86" s="506"/>
      <c r="U86" s="506"/>
      <c r="V86" s="506"/>
      <c r="W86" s="506"/>
    </row>
    <row r="87" spans="1:23">
      <c r="A87" s="674" t="s">
        <v>434</v>
      </c>
      <c r="B87" s="675">
        <f t="shared" ref="B87:W87" si="96">B$7</f>
        <v>2004</v>
      </c>
      <c r="C87" s="675">
        <f t="shared" si="96"/>
        <v>2005</v>
      </c>
      <c r="D87" s="675">
        <f t="shared" si="96"/>
        <v>2006</v>
      </c>
      <c r="E87" s="675">
        <f t="shared" si="96"/>
        <v>2007</v>
      </c>
      <c r="F87" s="675">
        <f t="shared" si="96"/>
        <v>2008</v>
      </c>
      <c r="G87" s="675">
        <f t="shared" si="96"/>
        <v>2009</v>
      </c>
      <c r="H87" s="675">
        <f t="shared" si="96"/>
        <v>2010</v>
      </c>
      <c r="I87" s="675">
        <f t="shared" si="96"/>
        <v>2011</v>
      </c>
      <c r="J87" s="675">
        <f t="shared" si="96"/>
        <v>2012</v>
      </c>
      <c r="K87" s="675">
        <f t="shared" si="96"/>
        <v>2013</v>
      </c>
      <c r="L87" s="675">
        <f t="shared" si="96"/>
        <v>2014</v>
      </c>
      <c r="M87" s="675">
        <f t="shared" si="96"/>
        <v>2015</v>
      </c>
      <c r="N87" s="675">
        <f t="shared" si="96"/>
        <v>2016</v>
      </c>
      <c r="O87" s="675">
        <f t="shared" si="96"/>
        <v>2017</v>
      </c>
      <c r="P87" s="490" t="str">
        <f t="shared" si="96"/>
        <v>2018E</v>
      </c>
      <c r="Q87" s="490" t="str">
        <f t="shared" si="96"/>
        <v>2019E</v>
      </c>
      <c r="R87" s="490" t="str">
        <f t="shared" si="96"/>
        <v>2020E</v>
      </c>
      <c r="S87" s="490" t="str">
        <f t="shared" si="96"/>
        <v>2021E</v>
      </c>
      <c r="T87" s="490" t="str">
        <f t="shared" si="96"/>
        <v>2022E</v>
      </c>
      <c r="U87" s="490" t="str">
        <f t="shared" si="96"/>
        <v>2023E</v>
      </c>
      <c r="V87" s="490" t="str">
        <f t="shared" si="96"/>
        <v>2024E</v>
      </c>
      <c r="W87" s="490" t="str">
        <f t="shared" si="96"/>
        <v>2025E</v>
      </c>
    </row>
    <row r="88" spans="1:23">
      <c r="A88" s="52" t="s">
        <v>79</v>
      </c>
      <c r="B88" s="107"/>
      <c r="C88" s="107"/>
      <c r="D88" s="107">
        <f>D89</f>
        <v>0.10050221404862728</v>
      </c>
      <c r="E88" s="107">
        <f>E89</f>
        <v>1.1278817524200369</v>
      </c>
      <c r="F88" s="372">
        <f>F89</f>
        <v>0.72876393138878748</v>
      </c>
      <c r="G88" s="84">
        <f t="shared" ref="G88:N88" si="97">G89</f>
        <v>0.590477284964807</v>
      </c>
      <c r="H88" s="84">
        <f t="shared" si="97"/>
        <v>0.28255721778166903</v>
      </c>
      <c r="I88" s="84">
        <f t="shared" si="97"/>
        <v>0.35070206976219825</v>
      </c>
      <c r="J88" s="84">
        <f t="shared" si="97"/>
        <v>0.46164639097579357</v>
      </c>
      <c r="K88" s="84">
        <f t="shared" si="97"/>
        <v>0.41556216399595342</v>
      </c>
      <c r="L88" s="84">
        <f t="shared" si="97"/>
        <v>0.33394904878555959</v>
      </c>
      <c r="M88" s="84">
        <f t="shared" si="97"/>
        <v>0.34923545112125526</v>
      </c>
      <c r="N88" s="84">
        <f t="shared" si="97"/>
        <v>0.30828645377118474</v>
      </c>
      <c r="O88" s="84">
        <f>Bear!O$133</f>
        <v>0.32534744955013217</v>
      </c>
      <c r="P88" s="109">
        <f>Bear!P$133</f>
        <v>0.28293091801867515</v>
      </c>
      <c r="Q88" s="109">
        <f>Bear!Q$133</f>
        <v>0.28387341525531784</v>
      </c>
      <c r="R88" s="109">
        <f>Bear!R$133</f>
        <v>0.28043212153545116</v>
      </c>
      <c r="S88" s="109">
        <f>Bear!S$133</f>
        <v>0.31131257600397588</v>
      </c>
      <c r="T88" s="109">
        <f>Bear!T$133</f>
        <v>0.31370852502023844</v>
      </c>
      <c r="U88" s="109">
        <f>Bear!U$133</f>
        <v>0.31758065180387302</v>
      </c>
      <c r="V88" s="109">
        <f>Bear!V$133</f>
        <v>0.31535357983327295</v>
      </c>
      <c r="W88" s="109">
        <f>Bear!W$133</f>
        <v>0.31336640845896546</v>
      </c>
    </row>
    <row r="89" spans="1:23">
      <c r="A89" s="52" t="s">
        <v>77</v>
      </c>
      <c r="B89" s="507"/>
      <c r="C89" s="507"/>
      <c r="D89" s="107">
        <f>Financials!D133</f>
        <v>0.10050221404862728</v>
      </c>
      <c r="E89" s="107">
        <f>Financials!E133</f>
        <v>1.1278817524200369</v>
      </c>
      <c r="F89" s="372">
        <f>Financials!F133</f>
        <v>0.72876393138878748</v>
      </c>
      <c r="G89" s="84">
        <f>Financials!G133</f>
        <v>0.590477284964807</v>
      </c>
      <c r="H89" s="84">
        <f>Financials!H133</f>
        <v>0.28255721778166903</v>
      </c>
      <c r="I89" s="84">
        <f>Financials!I133</f>
        <v>0.35070206976219825</v>
      </c>
      <c r="J89" s="84">
        <f>Financials!J133</f>
        <v>0.46164639097579357</v>
      </c>
      <c r="K89" s="84">
        <f>Financials!K133</f>
        <v>0.41556216399595342</v>
      </c>
      <c r="L89" s="84">
        <f>Financials!L133</f>
        <v>0.33394904878555959</v>
      </c>
      <c r="M89" s="84">
        <f>Financials!M133</f>
        <v>0.34923545112125526</v>
      </c>
      <c r="N89" s="84">
        <f>Financials!N133</f>
        <v>0.30828645377118474</v>
      </c>
      <c r="O89" s="84">
        <f>Base!O$133</f>
        <v>0.32534744955013217</v>
      </c>
      <c r="P89" s="109">
        <f>Base!P$133</f>
        <v>0.27098086180386327</v>
      </c>
      <c r="Q89" s="109">
        <f>Base!Q$133</f>
        <v>0.27028557798619574</v>
      </c>
      <c r="R89" s="109">
        <f>Base!R$133</f>
        <v>0.29960104645501284</v>
      </c>
      <c r="S89" s="109">
        <f>Base!S$133</f>
        <v>0.29427673164509283</v>
      </c>
      <c r="T89" s="109">
        <f>Base!T$133</f>
        <v>0.29252096478619921</v>
      </c>
      <c r="U89" s="109">
        <f>Base!U$133</f>
        <v>0.29594015112233379</v>
      </c>
      <c r="V89" s="109">
        <f>Base!V$133</f>
        <v>0.29849833331168785</v>
      </c>
      <c r="W89" s="109">
        <f>Base!W$133</f>
        <v>0.2945986456630561</v>
      </c>
    </row>
    <row r="90" spans="1:23">
      <c r="A90" s="52" t="s">
        <v>78</v>
      </c>
      <c r="B90" s="107"/>
      <c r="C90" s="107"/>
      <c r="D90" s="107">
        <f>D89</f>
        <v>0.10050221404862728</v>
      </c>
      <c r="E90" s="107">
        <f>E89</f>
        <v>1.1278817524200369</v>
      </c>
      <c r="F90" s="372">
        <f>F89</f>
        <v>0.72876393138878748</v>
      </c>
      <c r="G90" s="84">
        <f t="shared" ref="G90:K90" si="98">G89</f>
        <v>0.590477284964807</v>
      </c>
      <c r="H90" s="84">
        <f t="shared" si="98"/>
        <v>0.28255721778166903</v>
      </c>
      <c r="I90" s="84">
        <f t="shared" si="98"/>
        <v>0.35070206976219825</v>
      </c>
      <c r="J90" s="84">
        <f t="shared" si="98"/>
        <v>0.46164639097579357</v>
      </c>
      <c r="K90" s="84">
        <f t="shared" si="98"/>
        <v>0.41556216399595342</v>
      </c>
      <c r="L90" s="84">
        <f t="shared" ref="L90:M90" si="99">L89</f>
        <v>0.33394904878555959</v>
      </c>
      <c r="M90" s="84">
        <f t="shared" si="99"/>
        <v>0.34923545112125526</v>
      </c>
      <c r="N90" s="84">
        <f t="shared" ref="N90" si="100">N89</f>
        <v>0.30828645377118474</v>
      </c>
      <c r="O90" s="84">
        <f>Bull!O$133</f>
        <v>0.32534744955013217</v>
      </c>
      <c r="P90" s="109">
        <f>Bull!P$133</f>
        <v>0.25928255373406578</v>
      </c>
      <c r="Q90" s="109">
        <f>Bull!Q$133</f>
        <v>0.25791477493231729</v>
      </c>
      <c r="R90" s="109">
        <f>Bull!R$133</f>
        <v>0.28069278221185273</v>
      </c>
      <c r="S90" s="109">
        <f>Bull!S$133</f>
        <v>0.27806447089949649</v>
      </c>
      <c r="T90" s="109">
        <f>Bull!T$133</f>
        <v>0.28001532392050144</v>
      </c>
      <c r="U90" s="109">
        <f>Bull!U$133</f>
        <v>0.28206930582426215</v>
      </c>
      <c r="V90" s="109">
        <f>Bull!V$133</f>
        <v>0.28028775948130613</v>
      </c>
      <c r="W90" s="109">
        <f>Bull!W$133</f>
        <v>0.27754254396817291</v>
      </c>
    </row>
    <row r="91" spans="1:23">
      <c r="C91" s="503"/>
      <c r="D91" s="503"/>
      <c r="E91" s="503"/>
      <c r="F91" s="178"/>
      <c r="G91" s="506"/>
      <c r="H91" s="506"/>
      <c r="I91" s="506"/>
      <c r="J91" s="506"/>
      <c r="K91" s="506"/>
      <c r="L91" s="506"/>
      <c r="M91" s="506"/>
      <c r="N91" s="506"/>
      <c r="O91" s="506"/>
      <c r="P91" s="506"/>
      <c r="Q91" s="506"/>
      <c r="R91" s="506"/>
      <c r="S91" s="506"/>
      <c r="T91" s="506"/>
      <c r="U91" s="506"/>
      <c r="V91" s="506"/>
      <c r="W91" s="506"/>
    </row>
    <row r="92" spans="1:23">
      <c r="A92" s="674" t="s">
        <v>38</v>
      </c>
      <c r="B92" s="675">
        <f t="shared" ref="B92:W92" si="101">B$7</f>
        <v>2004</v>
      </c>
      <c r="C92" s="675">
        <f t="shared" si="101"/>
        <v>2005</v>
      </c>
      <c r="D92" s="675">
        <f t="shared" si="101"/>
        <v>2006</v>
      </c>
      <c r="E92" s="675">
        <f t="shared" si="101"/>
        <v>2007</v>
      </c>
      <c r="F92" s="675">
        <f t="shared" si="101"/>
        <v>2008</v>
      </c>
      <c r="G92" s="675">
        <f t="shared" si="101"/>
        <v>2009</v>
      </c>
      <c r="H92" s="675">
        <f t="shared" si="101"/>
        <v>2010</v>
      </c>
      <c r="I92" s="675">
        <f t="shared" si="101"/>
        <v>2011</v>
      </c>
      <c r="J92" s="675">
        <f t="shared" si="101"/>
        <v>2012</v>
      </c>
      <c r="K92" s="675">
        <f t="shared" si="101"/>
        <v>2013</v>
      </c>
      <c r="L92" s="675">
        <f t="shared" si="101"/>
        <v>2014</v>
      </c>
      <c r="M92" s="675">
        <f t="shared" si="101"/>
        <v>2015</v>
      </c>
      <c r="N92" s="675">
        <f t="shared" si="101"/>
        <v>2016</v>
      </c>
      <c r="O92" s="675">
        <f t="shared" si="101"/>
        <v>2017</v>
      </c>
      <c r="P92" s="490" t="str">
        <f t="shared" si="101"/>
        <v>2018E</v>
      </c>
      <c r="Q92" s="490" t="str">
        <f t="shared" si="101"/>
        <v>2019E</v>
      </c>
      <c r="R92" s="490" t="str">
        <f t="shared" si="101"/>
        <v>2020E</v>
      </c>
      <c r="S92" s="490" t="str">
        <f t="shared" si="101"/>
        <v>2021E</v>
      </c>
      <c r="T92" s="490" t="str">
        <f t="shared" si="101"/>
        <v>2022E</v>
      </c>
      <c r="U92" s="490" t="str">
        <f t="shared" si="101"/>
        <v>2023E</v>
      </c>
      <c r="V92" s="490" t="str">
        <f t="shared" si="101"/>
        <v>2024E</v>
      </c>
      <c r="W92" s="490" t="str">
        <f t="shared" si="101"/>
        <v>2025E</v>
      </c>
    </row>
    <row r="93" spans="1:23">
      <c r="A93" s="52" t="s">
        <v>79</v>
      </c>
      <c r="B93" s="424">
        <f>B94</f>
        <v>69.432000000000016</v>
      </c>
      <c r="C93" s="424">
        <f>C94</f>
        <v>119.465</v>
      </c>
      <c r="D93" s="424">
        <f>D94</f>
        <v>140.70099999999999</v>
      </c>
      <c r="E93" s="424">
        <f>E94</f>
        <v>133.89699999999999</v>
      </c>
      <c r="F93" s="424">
        <f>F94</f>
        <v>168.72899999999998</v>
      </c>
      <c r="G93" s="501">
        <f t="shared" ref="G93:N93" si="102">G94</f>
        <v>270.33589999999998</v>
      </c>
      <c r="H93" s="501">
        <f t="shared" si="102"/>
        <v>16.206849999999996</v>
      </c>
      <c r="I93" s="501">
        <f t="shared" si="102"/>
        <v>95.288999999999959</v>
      </c>
      <c r="J93" s="501">
        <f t="shared" si="102"/>
        <v>44.109499999999997</v>
      </c>
      <c r="K93" s="501">
        <f t="shared" si="102"/>
        <v>98.373750000000001</v>
      </c>
      <c r="L93" s="501">
        <f t="shared" si="102"/>
        <v>102.71949999999998</v>
      </c>
      <c r="M93" s="501">
        <f t="shared" si="102"/>
        <v>50.075100000000077</v>
      </c>
      <c r="N93" s="501">
        <f t="shared" si="102"/>
        <v>104.51290000000006</v>
      </c>
      <c r="O93" s="501">
        <f>Bear!O$134</f>
        <v>175.51204999999993</v>
      </c>
      <c r="P93" s="500">
        <f>Bear!P$134</f>
        <v>209.94233812901484</v>
      </c>
      <c r="Q93" s="500">
        <f>Bear!Q$134</f>
        <v>261.31733556187248</v>
      </c>
      <c r="R93" s="500">
        <f>Bear!R$134</f>
        <v>354.51752859941087</v>
      </c>
      <c r="S93" s="500">
        <f>Bear!S$134</f>
        <v>470.2605782916375</v>
      </c>
      <c r="T93" s="500">
        <f>Bear!T$134</f>
        <v>532.90966798665784</v>
      </c>
      <c r="U93" s="500">
        <f>Bear!U$134</f>
        <v>583.93338630650987</v>
      </c>
      <c r="V93" s="500">
        <f>Bear!V$134</f>
        <v>690.53956559389587</v>
      </c>
      <c r="W93" s="500">
        <f>Bear!W$134</f>
        <v>780.34435341512813</v>
      </c>
    </row>
    <row r="94" spans="1:23">
      <c r="A94" s="52" t="s">
        <v>77</v>
      </c>
      <c r="B94" s="487">
        <f>Financials!B134</f>
        <v>69.432000000000016</v>
      </c>
      <c r="C94" s="487">
        <f>Financials!C134</f>
        <v>119.465</v>
      </c>
      <c r="D94" s="487">
        <f>Financials!D134</f>
        <v>140.70099999999999</v>
      </c>
      <c r="E94" s="487">
        <f>Financials!E134</f>
        <v>133.89699999999999</v>
      </c>
      <c r="F94" s="487">
        <f>Financials!F134</f>
        <v>168.72899999999998</v>
      </c>
      <c r="G94" s="501">
        <f>Financials!G134</f>
        <v>270.33589999999998</v>
      </c>
      <c r="H94" s="501">
        <f>Financials!H134</f>
        <v>16.206849999999996</v>
      </c>
      <c r="I94" s="501">
        <f>Financials!I134</f>
        <v>95.288999999999959</v>
      </c>
      <c r="J94" s="501">
        <f>Financials!J134</f>
        <v>44.109499999999997</v>
      </c>
      <c r="K94" s="501">
        <f>Financials!K134</f>
        <v>98.373750000000001</v>
      </c>
      <c r="L94" s="501">
        <f>Financials!L134</f>
        <v>102.71949999999998</v>
      </c>
      <c r="M94" s="501">
        <f>Financials!M134</f>
        <v>50.075100000000077</v>
      </c>
      <c r="N94" s="501">
        <f>Financials!N134</f>
        <v>104.51290000000006</v>
      </c>
      <c r="O94" s="501">
        <f>Base!O$134</f>
        <v>175.51204999999993</v>
      </c>
      <c r="P94" s="500">
        <f>Base!P$134</f>
        <v>225.10748691859089</v>
      </c>
      <c r="Q94" s="500">
        <f>Base!Q$134</f>
        <v>293.04684425910023</v>
      </c>
      <c r="R94" s="500">
        <f>Base!R$134</f>
        <v>368.92843378789894</v>
      </c>
      <c r="S94" s="500">
        <f>Base!S$134</f>
        <v>489.62416096609593</v>
      </c>
      <c r="T94" s="500">
        <f>Base!T$134</f>
        <v>593.67640730986193</v>
      </c>
      <c r="U94" s="500">
        <f>Base!U$134</f>
        <v>644.36240579541288</v>
      </c>
      <c r="V94" s="500">
        <f>Base!V$134</f>
        <v>699.78636150236025</v>
      </c>
      <c r="W94" s="500">
        <f>Base!W$134</f>
        <v>807.03020747956475</v>
      </c>
    </row>
    <row r="95" spans="1:23">
      <c r="A95" s="52" t="s">
        <v>78</v>
      </c>
      <c r="B95" s="487">
        <f>B94</f>
        <v>69.432000000000016</v>
      </c>
      <c r="C95" s="487">
        <f>C94</f>
        <v>119.465</v>
      </c>
      <c r="D95" s="487">
        <f>D94</f>
        <v>140.70099999999999</v>
      </c>
      <c r="E95" s="487">
        <f>E94</f>
        <v>133.89699999999999</v>
      </c>
      <c r="F95" s="487">
        <f t="shared" ref="F95:K95" si="103">F94</f>
        <v>168.72899999999998</v>
      </c>
      <c r="G95" s="501">
        <f t="shared" si="103"/>
        <v>270.33589999999998</v>
      </c>
      <c r="H95" s="501">
        <f t="shared" si="103"/>
        <v>16.206849999999996</v>
      </c>
      <c r="I95" s="501">
        <f t="shared" si="103"/>
        <v>95.288999999999959</v>
      </c>
      <c r="J95" s="501">
        <f t="shared" si="103"/>
        <v>44.109499999999997</v>
      </c>
      <c r="K95" s="501">
        <f t="shared" si="103"/>
        <v>98.373750000000001</v>
      </c>
      <c r="L95" s="501">
        <f t="shared" ref="L95:M95" si="104">L94</f>
        <v>102.71949999999998</v>
      </c>
      <c r="M95" s="501">
        <f t="shared" si="104"/>
        <v>50.075100000000077</v>
      </c>
      <c r="N95" s="501">
        <f t="shared" ref="N95" si="105">N94</f>
        <v>104.51290000000006</v>
      </c>
      <c r="O95" s="501">
        <f>Bull!O$134</f>
        <v>175.51204999999993</v>
      </c>
      <c r="P95" s="500">
        <f>Bull!P$134</f>
        <v>233.98594570360791</v>
      </c>
      <c r="Q95" s="500">
        <f>Bull!Q$134</f>
        <v>316.04273816692097</v>
      </c>
      <c r="R95" s="500">
        <f>Bull!R$134</f>
        <v>412.0906515302753</v>
      </c>
      <c r="S95" s="500">
        <f>Bull!S$134</f>
        <v>517.15203282941127</v>
      </c>
      <c r="T95" s="500">
        <f>Bull!T$134</f>
        <v>576.04170955539144</v>
      </c>
      <c r="U95" s="500">
        <f>Bull!U$134</f>
        <v>631.46019082132239</v>
      </c>
      <c r="V95" s="500">
        <f>Bull!V$134</f>
        <v>737.07245894918378</v>
      </c>
      <c r="W95" s="500">
        <f>Bull!W$134</f>
        <v>842.75279592056268</v>
      </c>
    </row>
    <row r="96" spans="1:23">
      <c r="B96" s="503"/>
      <c r="C96" s="503"/>
      <c r="D96" s="503"/>
      <c r="E96" s="503"/>
      <c r="F96" s="487"/>
      <c r="G96" s="506"/>
      <c r="H96" s="506"/>
      <c r="I96" s="506"/>
      <c r="J96" s="506"/>
      <c r="K96" s="506"/>
      <c r="L96" s="506"/>
      <c r="M96" s="506"/>
      <c r="N96" s="506"/>
      <c r="O96" s="506"/>
      <c r="P96" s="506"/>
      <c r="Q96" s="506"/>
      <c r="R96" s="506"/>
      <c r="S96" s="506"/>
      <c r="T96" s="506"/>
      <c r="U96" s="506"/>
      <c r="V96" s="506"/>
      <c r="W96" s="506"/>
    </row>
    <row r="97" spans="1:23">
      <c r="A97" s="674" t="s">
        <v>262</v>
      </c>
      <c r="B97" s="675">
        <f t="shared" ref="B97:W97" si="106">B$7</f>
        <v>2004</v>
      </c>
      <c r="C97" s="675">
        <f t="shared" si="106"/>
        <v>2005</v>
      </c>
      <c r="D97" s="675">
        <f t="shared" si="106"/>
        <v>2006</v>
      </c>
      <c r="E97" s="675">
        <f t="shared" si="106"/>
        <v>2007</v>
      </c>
      <c r="F97" s="675">
        <f t="shared" si="106"/>
        <v>2008</v>
      </c>
      <c r="G97" s="675">
        <f t="shared" si="106"/>
        <v>2009</v>
      </c>
      <c r="H97" s="675">
        <f t="shared" si="106"/>
        <v>2010</v>
      </c>
      <c r="I97" s="675">
        <f t="shared" si="106"/>
        <v>2011</v>
      </c>
      <c r="J97" s="675">
        <f t="shared" si="106"/>
        <v>2012</v>
      </c>
      <c r="K97" s="675">
        <f t="shared" si="106"/>
        <v>2013</v>
      </c>
      <c r="L97" s="675">
        <f t="shared" si="106"/>
        <v>2014</v>
      </c>
      <c r="M97" s="675">
        <f t="shared" si="106"/>
        <v>2015</v>
      </c>
      <c r="N97" s="675">
        <f t="shared" si="106"/>
        <v>2016</v>
      </c>
      <c r="O97" s="675">
        <f t="shared" si="106"/>
        <v>2017</v>
      </c>
      <c r="P97" s="490" t="str">
        <f t="shared" si="106"/>
        <v>2018E</v>
      </c>
      <c r="Q97" s="490" t="str">
        <f t="shared" si="106"/>
        <v>2019E</v>
      </c>
      <c r="R97" s="490" t="str">
        <f t="shared" si="106"/>
        <v>2020E</v>
      </c>
      <c r="S97" s="490" t="str">
        <f t="shared" si="106"/>
        <v>2021E</v>
      </c>
      <c r="T97" s="490" t="str">
        <f t="shared" si="106"/>
        <v>2022E</v>
      </c>
      <c r="U97" s="490" t="str">
        <f t="shared" si="106"/>
        <v>2023E</v>
      </c>
      <c r="V97" s="490" t="str">
        <f t="shared" si="106"/>
        <v>2024E</v>
      </c>
      <c r="W97" s="490" t="str">
        <f t="shared" si="106"/>
        <v>2025E</v>
      </c>
    </row>
    <row r="98" spans="1:23">
      <c r="A98" s="52" t="s">
        <v>79</v>
      </c>
      <c r="B98" s="499">
        <f>B99</f>
        <v>208.17100000000002</v>
      </c>
      <c r="C98" s="499">
        <f t="shared" ref="C98:N98" si="107">C99</f>
        <v>170.476</v>
      </c>
      <c r="D98" s="499">
        <f t="shared" si="107"/>
        <v>137.79399999999998</v>
      </c>
      <c r="E98" s="196">
        <f t="shared" si="107"/>
        <v>-44.161000000000001</v>
      </c>
      <c r="F98" s="1072">
        <f t="shared" si="107"/>
        <v>518.81000000000006</v>
      </c>
      <c r="G98" s="195">
        <f t="shared" si="107"/>
        <v>941.69699999999989</v>
      </c>
      <c r="H98" s="195">
        <f t="shared" si="107"/>
        <v>766.10100000000011</v>
      </c>
      <c r="I98" s="195">
        <f t="shared" si="107"/>
        <v>515.38200000000006</v>
      </c>
      <c r="J98" s="195">
        <f t="shared" si="107"/>
        <v>836.07099999999991</v>
      </c>
      <c r="K98" s="195">
        <f t="shared" si="107"/>
        <v>1347.636</v>
      </c>
      <c r="L98" s="195">
        <f t="shared" si="107"/>
        <v>1538.4810000000002</v>
      </c>
      <c r="M98" s="195">
        <f t="shared" si="107"/>
        <v>2487.0839999999998</v>
      </c>
      <c r="N98" s="195">
        <f t="shared" si="107"/>
        <v>2719.038</v>
      </c>
      <c r="O98" s="195">
        <f>Bear!O$126</f>
        <v>2547.1279999999997</v>
      </c>
      <c r="P98" s="361">
        <f>Bear!P$126</f>
        <v>2371.1687465309715</v>
      </c>
      <c r="Q98" s="361">
        <f>Bear!Q$126</f>
        <v>2331.2045876033712</v>
      </c>
      <c r="R98" s="361">
        <f>Bear!R$126</f>
        <v>2289.2925117432569</v>
      </c>
      <c r="S98" s="361">
        <f>Bear!S$126</f>
        <v>2341.82241428628</v>
      </c>
      <c r="T98" s="361">
        <f>Bear!T$126</f>
        <v>2416.9094935543408</v>
      </c>
      <c r="U98" s="361">
        <f>Bear!U$126</f>
        <v>2627.3115508802007</v>
      </c>
      <c r="V98" s="361">
        <f>Bear!V$126</f>
        <v>2973.0543346457785</v>
      </c>
      <c r="W98" s="361">
        <f>Bear!W$126</f>
        <v>3309.9055979751038</v>
      </c>
    </row>
    <row r="99" spans="1:23">
      <c r="A99" s="52" t="s">
        <v>77</v>
      </c>
      <c r="B99" s="59">
        <f>Financials!B126</f>
        <v>208.17100000000002</v>
      </c>
      <c r="C99" s="59">
        <f>Financials!C126</f>
        <v>170.476</v>
      </c>
      <c r="D99" s="59">
        <f>Financials!D126</f>
        <v>137.79399999999998</v>
      </c>
      <c r="E99" s="196">
        <f>Financials!E126</f>
        <v>-44.161000000000001</v>
      </c>
      <c r="F99" s="202">
        <f>Financials!F126</f>
        <v>518.81000000000006</v>
      </c>
      <c r="G99" s="195">
        <f>Financials!G126</f>
        <v>941.69699999999989</v>
      </c>
      <c r="H99" s="195">
        <f>Financials!H126</f>
        <v>766.10100000000011</v>
      </c>
      <c r="I99" s="195">
        <f>Financials!I126</f>
        <v>515.38200000000006</v>
      </c>
      <c r="J99" s="195">
        <f>Financials!J126</f>
        <v>836.07099999999991</v>
      </c>
      <c r="K99" s="195">
        <f>Financials!K126</f>
        <v>1347.636</v>
      </c>
      <c r="L99" s="195">
        <f>Financials!L126</f>
        <v>1538.4810000000002</v>
      </c>
      <c r="M99" s="195">
        <f>Financials!M126</f>
        <v>2487.0839999999998</v>
      </c>
      <c r="N99" s="195">
        <f>Financials!N126</f>
        <v>2719.038</v>
      </c>
      <c r="O99" s="195">
        <f>Base!O$126</f>
        <v>2547.1279999999997</v>
      </c>
      <c r="P99" s="361">
        <f>Base!P$126</f>
        <v>2250.5675568724828</v>
      </c>
      <c r="Q99" s="361">
        <f>Base!Q$126</f>
        <v>1993.232980283138</v>
      </c>
      <c r="R99" s="361">
        <f>Base!R$126</f>
        <v>1926.4973908753568</v>
      </c>
      <c r="S99" s="361">
        <f>Base!S$126</f>
        <v>1786.2434320649077</v>
      </c>
      <c r="T99" s="361">
        <f>Base!T$126</f>
        <v>1592.7946640695084</v>
      </c>
      <c r="U99" s="361">
        <f>Base!U$126</f>
        <v>1656.537572191578</v>
      </c>
      <c r="V99" s="361">
        <f>Base!V$126</f>
        <v>1911.2317342582433</v>
      </c>
      <c r="W99" s="361">
        <f>Base!W$126</f>
        <v>2186.9524256318423</v>
      </c>
    </row>
    <row r="100" spans="1:23">
      <c r="A100" s="52" t="s">
        <v>78</v>
      </c>
      <c r="B100" s="59">
        <f>B99</f>
        <v>208.17100000000002</v>
      </c>
      <c r="C100" s="59">
        <f t="shared" ref="C100:K100" si="108">C99</f>
        <v>170.476</v>
      </c>
      <c r="D100" s="59">
        <f t="shared" si="108"/>
        <v>137.79399999999998</v>
      </c>
      <c r="E100" s="196">
        <f t="shared" si="108"/>
        <v>-44.161000000000001</v>
      </c>
      <c r="F100" s="202">
        <f t="shared" si="108"/>
        <v>518.81000000000006</v>
      </c>
      <c r="G100" s="195">
        <f t="shared" si="108"/>
        <v>941.69699999999989</v>
      </c>
      <c r="H100" s="195">
        <f t="shared" si="108"/>
        <v>766.10100000000011</v>
      </c>
      <c r="I100" s="195">
        <f t="shared" si="108"/>
        <v>515.38200000000006</v>
      </c>
      <c r="J100" s="195">
        <f t="shared" si="108"/>
        <v>836.07099999999991</v>
      </c>
      <c r="K100" s="195">
        <f t="shared" si="108"/>
        <v>1347.636</v>
      </c>
      <c r="L100" s="195">
        <f t="shared" ref="L100:M100" si="109">L99</f>
        <v>1538.4810000000002</v>
      </c>
      <c r="M100" s="195">
        <f t="shared" si="109"/>
        <v>2487.0839999999998</v>
      </c>
      <c r="N100" s="195">
        <f t="shared" ref="N100" si="110">N99</f>
        <v>2719.038</v>
      </c>
      <c r="O100" s="195">
        <f>Bull!O$126</f>
        <v>2547.1279999999997</v>
      </c>
      <c r="P100" s="361">
        <f>Bull!P$126</f>
        <v>2085.0707986797697</v>
      </c>
      <c r="Q100" s="361">
        <f>Bull!Q$126</f>
        <v>1584.7456278100935</v>
      </c>
      <c r="R100" s="361">
        <f>Bull!R$126</f>
        <v>1268.259466627801</v>
      </c>
      <c r="S100" s="361">
        <f>Bull!S$126</f>
        <v>834.03902362608596</v>
      </c>
      <c r="T100" s="361">
        <f>Bull!T$126</f>
        <v>392.896150548479</v>
      </c>
      <c r="U100" s="361">
        <f>Bull!U$126</f>
        <v>313.30133851351411</v>
      </c>
      <c r="V100" s="361">
        <f>Bull!V$126</f>
        <v>526.88007094474324</v>
      </c>
      <c r="W100" s="361">
        <f>Bull!W$126</f>
        <v>728.05634425167409</v>
      </c>
    </row>
    <row r="101" spans="1:23">
      <c r="A101" s="494"/>
      <c r="B101" s="59"/>
      <c r="C101" s="59"/>
      <c r="D101" s="59"/>
      <c r="E101" s="59"/>
      <c r="F101" s="487"/>
      <c r="G101" s="501"/>
      <c r="H101" s="501"/>
      <c r="I101" s="501"/>
      <c r="J101" s="501"/>
      <c r="K101" s="501"/>
      <c r="L101" s="501"/>
      <c r="M101" s="501"/>
      <c r="N101" s="501"/>
      <c r="O101" s="501"/>
      <c r="P101" s="501"/>
      <c r="Q101" s="501"/>
      <c r="R101" s="501"/>
      <c r="S101" s="501"/>
      <c r="T101" s="501"/>
      <c r="U101" s="501"/>
      <c r="V101" s="501"/>
      <c r="W101" s="501"/>
    </row>
    <row r="102" spans="1:23">
      <c r="A102" s="674" t="s">
        <v>1120</v>
      </c>
      <c r="B102" s="675">
        <f t="shared" ref="B102:W102" si="111">B$7</f>
        <v>2004</v>
      </c>
      <c r="C102" s="675">
        <f t="shared" si="111"/>
        <v>2005</v>
      </c>
      <c r="D102" s="675">
        <f t="shared" si="111"/>
        <v>2006</v>
      </c>
      <c r="E102" s="675">
        <f t="shared" si="111"/>
        <v>2007</v>
      </c>
      <c r="F102" s="675">
        <f t="shared" si="111"/>
        <v>2008</v>
      </c>
      <c r="G102" s="675">
        <f t="shared" si="111"/>
        <v>2009</v>
      </c>
      <c r="H102" s="675">
        <f t="shared" si="111"/>
        <v>2010</v>
      </c>
      <c r="I102" s="675">
        <f t="shared" si="111"/>
        <v>2011</v>
      </c>
      <c r="J102" s="675">
        <f t="shared" si="111"/>
        <v>2012</v>
      </c>
      <c r="K102" s="675">
        <f t="shared" si="111"/>
        <v>2013</v>
      </c>
      <c r="L102" s="675">
        <f t="shared" si="111"/>
        <v>2014</v>
      </c>
      <c r="M102" s="675">
        <f t="shared" si="111"/>
        <v>2015</v>
      </c>
      <c r="N102" s="675">
        <f t="shared" si="111"/>
        <v>2016</v>
      </c>
      <c r="O102" s="675">
        <f t="shared" si="111"/>
        <v>2017</v>
      </c>
      <c r="P102" s="490" t="str">
        <f t="shared" si="111"/>
        <v>2018E</v>
      </c>
      <c r="Q102" s="490" t="str">
        <f t="shared" si="111"/>
        <v>2019E</v>
      </c>
      <c r="R102" s="490" t="str">
        <f t="shared" si="111"/>
        <v>2020E</v>
      </c>
      <c r="S102" s="490" t="str">
        <f t="shared" si="111"/>
        <v>2021E</v>
      </c>
      <c r="T102" s="490" t="str">
        <f t="shared" si="111"/>
        <v>2022E</v>
      </c>
      <c r="U102" s="490" t="str">
        <f t="shared" si="111"/>
        <v>2023E</v>
      </c>
      <c r="V102" s="490" t="str">
        <f t="shared" si="111"/>
        <v>2024E</v>
      </c>
      <c r="W102" s="490" t="str">
        <f t="shared" si="111"/>
        <v>2025E</v>
      </c>
    </row>
    <row r="103" spans="1:23">
      <c r="A103" s="52" t="s">
        <v>79</v>
      </c>
      <c r="B103" s="344">
        <f>B104</f>
        <v>0.23556350180770952</v>
      </c>
      <c r="C103" s="344">
        <f t="shared" ref="C103:N103" si="112">C104</f>
        <v>0.18730086181512948</v>
      </c>
      <c r="D103" s="344">
        <f t="shared" si="112"/>
        <v>0.14722351917995705</v>
      </c>
      <c r="E103" s="344">
        <f t="shared" si="112"/>
        <v>-2.6420298178859457E-2</v>
      </c>
      <c r="F103" s="374">
        <f t="shared" si="112"/>
        <v>0.31935003548607305</v>
      </c>
      <c r="G103" s="199">
        <f t="shared" si="112"/>
        <v>0.59782656308623461</v>
      </c>
      <c r="H103" s="199">
        <f t="shared" si="112"/>
        <v>0.40122793079049823</v>
      </c>
      <c r="I103" s="199">
        <f t="shared" si="112"/>
        <v>0.26383492387221219</v>
      </c>
      <c r="J103" s="199">
        <f t="shared" si="112"/>
        <v>0.41291861255324025</v>
      </c>
      <c r="K103" s="199">
        <f t="shared" si="112"/>
        <v>0.64154293714656208</v>
      </c>
      <c r="L103" s="199">
        <f t="shared" si="112"/>
        <v>0.74109661495063472</v>
      </c>
      <c r="M103" s="199">
        <f t="shared" si="112"/>
        <v>0.95068929335247132</v>
      </c>
      <c r="N103" s="199">
        <f t="shared" si="112"/>
        <v>1.027371375392627</v>
      </c>
      <c r="O103" s="199">
        <f>Bear!O$127</f>
        <v>0.74842447962577707</v>
      </c>
      <c r="P103" s="921">
        <f>Bear!P$127</f>
        <v>0.7081935586431849</v>
      </c>
      <c r="Q103" s="921">
        <f>Bear!Q$127</f>
        <v>0.66759316830628468</v>
      </c>
      <c r="R103" s="921">
        <f>Bear!R$127</f>
        <v>0.63158106518976276</v>
      </c>
      <c r="S103" s="921">
        <f>Bear!S$127</f>
        <v>0.61841470634971751</v>
      </c>
      <c r="T103" s="921">
        <f>Bear!T$127</f>
        <v>0.6171327484110819</v>
      </c>
      <c r="U103" s="921">
        <f>Bear!U$127</f>
        <v>0.67085672949317887</v>
      </c>
      <c r="V103" s="921">
        <f>Bear!V$127</f>
        <v>0.75913856005306701</v>
      </c>
      <c r="W103" s="921">
        <f>Bear!W$127</f>
        <v>0.84515003317548731</v>
      </c>
    </row>
    <row r="104" spans="1:23">
      <c r="A104" s="52" t="s">
        <v>77</v>
      </c>
      <c r="B104" s="199">
        <f>Financials!B127</f>
        <v>0.23556350180770952</v>
      </c>
      <c r="C104" s="199">
        <f>Financials!C127</f>
        <v>0.18730086181512948</v>
      </c>
      <c r="D104" s="199">
        <f>Financials!D127</f>
        <v>0.14722351917995705</v>
      </c>
      <c r="E104" s="199">
        <f>Financials!E127</f>
        <v>-2.6420298178859457E-2</v>
      </c>
      <c r="F104" s="375">
        <f>Financials!F127</f>
        <v>0.31935003548607305</v>
      </c>
      <c r="G104" s="199">
        <f>Financials!G127</f>
        <v>0.59782656308623461</v>
      </c>
      <c r="H104" s="199">
        <f>Financials!H127</f>
        <v>0.40122793079049823</v>
      </c>
      <c r="I104" s="199">
        <f>Financials!I127</f>
        <v>0.26383492387221219</v>
      </c>
      <c r="J104" s="199">
        <f>Financials!J127</f>
        <v>0.41291861255324025</v>
      </c>
      <c r="K104" s="199">
        <f>Financials!K127</f>
        <v>0.64154293714656208</v>
      </c>
      <c r="L104" s="199">
        <f>Financials!L127</f>
        <v>0.74109661495063472</v>
      </c>
      <c r="M104" s="199">
        <f>Financials!M127</f>
        <v>0.95068929335247132</v>
      </c>
      <c r="N104" s="199">
        <f>Financials!N127</f>
        <v>1.027371375392627</v>
      </c>
      <c r="O104" s="199">
        <f>Base!O$127</f>
        <v>0.74842447962577707</v>
      </c>
      <c r="P104" s="921">
        <f>Base!P$127</f>
        <v>0.65971612678640335</v>
      </c>
      <c r="Q104" s="921">
        <f>Base!Q$127</f>
        <v>0.53901566041779758</v>
      </c>
      <c r="R104" s="921">
        <f>Base!R$127</f>
        <v>0.4938178647550448</v>
      </c>
      <c r="S104" s="921">
        <f>Base!S$127</f>
        <v>0.43101768016223418</v>
      </c>
      <c r="T104" s="921">
        <f>Base!T$127</f>
        <v>0.36182404803112467</v>
      </c>
      <c r="U104" s="921">
        <f>Base!U$127</f>
        <v>0.37630407961980211</v>
      </c>
      <c r="V104" s="921">
        <f>Base!V$127</f>
        <v>0.43416117495524625</v>
      </c>
      <c r="W104" s="921">
        <f>Base!W$127</f>
        <v>0.49679472021326981</v>
      </c>
    </row>
    <row r="105" spans="1:23">
      <c r="A105" s="52" t="s">
        <v>78</v>
      </c>
      <c r="B105" s="199">
        <f>B104</f>
        <v>0.23556350180770952</v>
      </c>
      <c r="C105" s="199">
        <f t="shared" ref="C105:K105" si="113">C104</f>
        <v>0.18730086181512948</v>
      </c>
      <c r="D105" s="199">
        <f t="shared" si="113"/>
        <v>0.14722351917995705</v>
      </c>
      <c r="E105" s="199">
        <f t="shared" si="113"/>
        <v>-2.6420298178859457E-2</v>
      </c>
      <c r="F105" s="375">
        <f t="shared" si="113"/>
        <v>0.31935003548607305</v>
      </c>
      <c r="G105" s="199">
        <f t="shared" si="113"/>
        <v>0.59782656308623461</v>
      </c>
      <c r="H105" s="199">
        <f t="shared" si="113"/>
        <v>0.40122793079049823</v>
      </c>
      <c r="I105" s="199">
        <f t="shared" si="113"/>
        <v>0.26383492387221219</v>
      </c>
      <c r="J105" s="199">
        <f t="shared" si="113"/>
        <v>0.41291861255324025</v>
      </c>
      <c r="K105" s="199">
        <f t="shared" si="113"/>
        <v>0.64154293714656208</v>
      </c>
      <c r="L105" s="199">
        <f t="shared" ref="L105:M105" si="114">L104</f>
        <v>0.74109661495063472</v>
      </c>
      <c r="M105" s="199">
        <f t="shared" si="114"/>
        <v>0.95068929335247132</v>
      </c>
      <c r="N105" s="199">
        <f t="shared" ref="N105" si="115">N104</f>
        <v>1.027371375392627</v>
      </c>
      <c r="O105" s="199">
        <f>Bull!O$127</f>
        <v>0.74842447962577707</v>
      </c>
      <c r="P105" s="921">
        <f>Bull!P$127</f>
        <v>0.59603572146503458</v>
      </c>
      <c r="Q105" s="921">
        <f>Bull!Q$127</f>
        <v>0.40217602596432667</v>
      </c>
      <c r="R105" s="921">
        <f>Bull!R$127</f>
        <v>0.29656692234183002</v>
      </c>
      <c r="S105" s="921">
        <f>Bull!S$127</f>
        <v>0.17930084726106046</v>
      </c>
      <c r="T105" s="921">
        <f>Bull!T$127</f>
        <v>7.8541184374819564E-2</v>
      </c>
      <c r="U105" s="921">
        <f>Bull!U$127</f>
        <v>6.262992945773703E-2</v>
      </c>
      <c r="V105" s="921">
        <f>Bull!V$127</f>
        <v>0.10532499424522369</v>
      </c>
      <c r="W105" s="921">
        <f>Bull!W$127</f>
        <v>0.14554076818849404</v>
      </c>
    </row>
    <row r="106" spans="1:23">
      <c r="D106" s="372"/>
      <c r="E106" s="372"/>
      <c r="F106" s="372"/>
      <c r="G106" s="103"/>
      <c r="H106" s="103"/>
      <c r="I106" s="103"/>
      <c r="J106" s="103"/>
      <c r="K106" s="103"/>
      <c r="L106" s="103"/>
      <c r="M106" s="103"/>
      <c r="N106" s="103"/>
      <c r="O106" s="103"/>
      <c r="P106" s="103"/>
      <c r="Q106" s="103"/>
      <c r="R106" s="103"/>
      <c r="S106" s="103"/>
      <c r="T106" s="103"/>
      <c r="U106" s="103"/>
      <c r="V106" s="103"/>
      <c r="W106" s="103"/>
    </row>
    <row r="107" spans="1:23">
      <c r="A107" s="674" t="s">
        <v>389</v>
      </c>
      <c r="B107" s="675">
        <f t="shared" ref="B107:W107" si="116">B$7</f>
        <v>2004</v>
      </c>
      <c r="C107" s="675">
        <f t="shared" si="116"/>
        <v>2005</v>
      </c>
      <c r="D107" s="675">
        <f t="shared" si="116"/>
        <v>2006</v>
      </c>
      <c r="E107" s="675">
        <f t="shared" si="116"/>
        <v>2007</v>
      </c>
      <c r="F107" s="675">
        <f t="shared" si="116"/>
        <v>2008</v>
      </c>
      <c r="G107" s="675">
        <f t="shared" si="116"/>
        <v>2009</v>
      </c>
      <c r="H107" s="675">
        <f t="shared" si="116"/>
        <v>2010</v>
      </c>
      <c r="I107" s="675">
        <f t="shared" si="116"/>
        <v>2011</v>
      </c>
      <c r="J107" s="675">
        <f t="shared" si="116"/>
        <v>2012</v>
      </c>
      <c r="K107" s="675">
        <f t="shared" si="116"/>
        <v>2013</v>
      </c>
      <c r="L107" s="675">
        <f t="shared" si="116"/>
        <v>2014</v>
      </c>
      <c r="M107" s="675">
        <f t="shared" si="116"/>
        <v>2015</v>
      </c>
      <c r="N107" s="675">
        <f t="shared" si="116"/>
        <v>2016</v>
      </c>
      <c r="O107" s="675">
        <f t="shared" si="116"/>
        <v>2017</v>
      </c>
      <c r="P107" s="490" t="str">
        <f t="shared" si="116"/>
        <v>2018E</v>
      </c>
      <c r="Q107" s="490" t="str">
        <f t="shared" si="116"/>
        <v>2019E</v>
      </c>
      <c r="R107" s="490" t="str">
        <f t="shared" si="116"/>
        <v>2020E</v>
      </c>
      <c r="S107" s="490" t="str">
        <f t="shared" si="116"/>
        <v>2021E</v>
      </c>
      <c r="T107" s="490" t="str">
        <f t="shared" si="116"/>
        <v>2022E</v>
      </c>
      <c r="U107" s="490" t="str">
        <f t="shared" si="116"/>
        <v>2023E</v>
      </c>
      <c r="V107" s="490" t="str">
        <f t="shared" si="116"/>
        <v>2024E</v>
      </c>
      <c r="W107" s="490" t="str">
        <f t="shared" si="116"/>
        <v>2025E</v>
      </c>
    </row>
    <row r="108" spans="1:23">
      <c r="A108" s="52" t="s">
        <v>79</v>
      </c>
      <c r="B108" s="514" t="e">
        <f>NA()</f>
        <v>#N/A</v>
      </c>
      <c r="C108" s="107">
        <f t="shared" ref="C108:N108" si="117">C109</f>
        <v>4.0399902683557441E-2</v>
      </c>
      <c r="D108" s="107">
        <f t="shared" si="117"/>
        <v>0.18952681471194455</v>
      </c>
      <c r="E108" s="107">
        <f t="shared" si="117"/>
        <v>0.21236795516004561</v>
      </c>
      <c r="F108" s="372">
        <f t="shared" si="117"/>
        <v>-2.9059771030873208E-2</v>
      </c>
      <c r="G108" s="84">
        <f t="shared" si="117"/>
        <v>-4.4029746500411762E-2</v>
      </c>
      <c r="H108" s="84">
        <f t="shared" si="117"/>
        <v>6.1547189609424513E-2</v>
      </c>
      <c r="I108" s="84">
        <f t="shared" si="117"/>
        <v>7.4521666856081262E-2</v>
      </c>
      <c r="J108" s="84">
        <f t="shared" si="117"/>
        <v>6.4814843254876381E-2</v>
      </c>
      <c r="K108" s="84">
        <f t="shared" si="117"/>
        <v>3.6028534401694109E-2</v>
      </c>
      <c r="L108" s="84">
        <f t="shared" si="117"/>
        <v>6.4267784179600579E-2</v>
      </c>
      <c r="M108" s="84">
        <f t="shared" si="117"/>
        <v>0.15281567203865967</v>
      </c>
      <c r="N108" s="84">
        <f t="shared" si="117"/>
        <v>7.6233761517687681E-2</v>
      </c>
      <c r="O108" s="84">
        <f>Bear!O$130</f>
        <v>0.10726529199572134</v>
      </c>
      <c r="P108" s="109">
        <f>Bear!P$130</f>
        <v>0.12265280350895423</v>
      </c>
      <c r="Q108" s="109">
        <f>Bear!Q$130</f>
        <v>8.5873714227586037E-2</v>
      </c>
      <c r="R108" s="109">
        <f>Bear!R$130</f>
        <v>0.12671707780060831</v>
      </c>
      <c r="S108" s="109">
        <f>Bear!S$130</f>
        <v>0.14908313981029275</v>
      </c>
      <c r="T108" s="109">
        <f>Bear!T$130</f>
        <v>0.11402469886816295</v>
      </c>
      <c r="U108" s="109">
        <f>Bear!U$130</f>
        <v>7.8191940398683782E-2</v>
      </c>
      <c r="V108" s="109">
        <f>Bear!V$130</f>
        <v>7.4604516476437552E-2</v>
      </c>
      <c r="W108" s="109">
        <f>Bear!W$130</f>
        <v>9.7573506589162487E-2</v>
      </c>
    </row>
    <row r="109" spans="1:23">
      <c r="A109" s="52" t="s">
        <v>77</v>
      </c>
      <c r="B109" s="514" t="e">
        <f>NA()</f>
        <v>#N/A</v>
      </c>
      <c r="C109" s="84">
        <f>Financials!C130</f>
        <v>4.0399902683557441E-2</v>
      </c>
      <c r="D109" s="84">
        <f>Financials!D130</f>
        <v>0.18952681471194455</v>
      </c>
      <c r="E109" s="84">
        <f>Financials!E130</f>
        <v>0.21236795516004561</v>
      </c>
      <c r="F109" s="103">
        <f>Financials!F130</f>
        <v>-2.9059771030873208E-2</v>
      </c>
      <c r="G109" s="84">
        <f>Financials!G130</f>
        <v>-4.4029746500411762E-2</v>
      </c>
      <c r="H109" s="84">
        <f>Financials!H130</f>
        <v>6.1547189609424513E-2</v>
      </c>
      <c r="I109" s="84">
        <f>Financials!I130</f>
        <v>7.4521666856081262E-2</v>
      </c>
      <c r="J109" s="84">
        <f>Financials!J130</f>
        <v>6.4814843254876381E-2</v>
      </c>
      <c r="K109" s="84">
        <f>Financials!K130</f>
        <v>3.6028534401694109E-2</v>
      </c>
      <c r="L109" s="84">
        <f>Financials!L130</f>
        <v>6.4267784179600579E-2</v>
      </c>
      <c r="M109" s="84">
        <f>Financials!M130</f>
        <v>0.15281567203865967</v>
      </c>
      <c r="N109" s="84">
        <f>Financials!N130</f>
        <v>7.6233761517687681E-2</v>
      </c>
      <c r="O109" s="84">
        <f>Base!O$130</f>
        <v>0.10726529199572134</v>
      </c>
      <c r="P109" s="109">
        <f>Base!P$130</f>
        <v>0.1536152599865698</v>
      </c>
      <c r="Q109" s="109">
        <f>Base!Q$130</f>
        <v>0.16796228854269005</v>
      </c>
      <c r="R109" s="109">
        <f>Base!R$130</f>
        <v>0.18327249842198215</v>
      </c>
      <c r="S109" s="109">
        <f>Base!S$130</f>
        <v>0.20764017164641008</v>
      </c>
      <c r="T109" s="109">
        <f>Base!T$130</f>
        <v>0.20741899524148216</v>
      </c>
      <c r="U109" s="109">
        <f>Base!U$130</f>
        <v>0.16145871555437435</v>
      </c>
      <c r="V109" s="109">
        <f>Base!V$130</f>
        <v>0.13558882832496355</v>
      </c>
      <c r="W109" s="109">
        <f>Base!W$130</f>
        <v>0.17722014303754671</v>
      </c>
    </row>
    <row r="110" spans="1:23">
      <c r="A110" s="52" t="s">
        <v>78</v>
      </c>
      <c r="B110" s="514" t="e">
        <f>NA()</f>
        <v>#N/A</v>
      </c>
      <c r="C110" s="107">
        <f t="shared" ref="C110" si="118">C109</f>
        <v>4.0399902683557441E-2</v>
      </c>
      <c r="D110" s="107">
        <f t="shared" ref="D110:K110" si="119">D109</f>
        <v>0.18952681471194455</v>
      </c>
      <c r="E110" s="107">
        <f t="shared" si="119"/>
        <v>0.21236795516004561</v>
      </c>
      <c r="F110" s="372">
        <f t="shared" si="119"/>
        <v>-2.9059771030873208E-2</v>
      </c>
      <c r="G110" s="84">
        <f t="shared" si="119"/>
        <v>-4.4029746500411762E-2</v>
      </c>
      <c r="H110" s="84">
        <f t="shared" si="119"/>
        <v>6.1547189609424513E-2</v>
      </c>
      <c r="I110" s="84">
        <f t="shared" si="119"/>
        <v>7.4521666856081262E-2</v>
      </c>
      <c r="J110" s="84">
        <f t="shared" si="119"/>
        <v>6.4814843254876381E-2</v>
      </c>
      <c r="K110" s="84">
        <f t="shared" si="119"/>
        <v>3.6028534401694109E-2</v>
      </c>
      <c r="L110" s="84">
        <f t="shared" ref="L110:M110" si="120">L109</f>
        <v>6.4267784179600579E-2</v>
      </c>
      <c r="M110" s="84">
        <f t="shared" si="120"/>
        <v>0.15281567203865967</v>
      </c>
      <c r="N110" s="84">
        <f t="shared" ref="N110" si="121">N109</f>
        <v>7.6233761517687681E-2</v>
      </c>
      <c r="O110" s="84">
        <f>Bull!O$130</f>
        <v>0.10726529199572134</v>
      </c>
      <c r="P110" s="109">
        <f>Bull!P$130</f>
        <v>0.19612920603389325</v>
      </c>
      <c r="Q110" s="109">
        <f>Bull!Q$130</f>
        <v>0.25281153947301399</v>
      </c>
      <c r="R110" s="109">
        <f>Bull!R$130</f>
        <v>0.28426848955399059</v>
      </c>
      <c r="S110" s="109">
        <f>Bull!S$130</f>
        <v>0.29241263130066514</v>
      </c>
      <c r="T110" s="109">
        <f>Bull!T$130</f>
        <v>0.25138505491931773</v>
      </c>
      <c r="U110" s="109">
        <f>Bull!U$130</f>
        <v>0.22222816795704231</v>
      </c>
      <c r="V110" s="109">
        <f>Bull!V$130</f>
        <v>0.23834736089458766</v>
      </c>
      <c r="W110" s="109">
        <f>Bull!W$130</f>
        <v>0.26321977351841541</v>
      </c>
    </row>
    <row r="111" spans="1:23">
      <c r="D111" s="372"/>
      <c r="E111" s="372"/>
      <c r="F111" s="372"/>
      <c r="G111" s="103"/>
      <c r="H111" s="103"/>
      <c r="I111" s="103"/>
      <c r="J111" s="103"/>
      <c r="K111" s="103"/>
      <c r="L111" s="103"/>
      <c r="M111" s="103"/>
      <c r="N111" s="103"/>
      <c r="O111" s="103"/>
      <c r="P111" s="103"/>
      <c r="Q111" s="103"/>
      <c r="R111" s="103"/>
      <c r="S111" s="103"/>
      <c r="T111" s="103"/>
      <c r="U111" s="103"/>
      <c r="V111" s="103"/>
      <c r="W111" s="103"/>
    </row>
    <row r="112" spans="1:23">
      <c r="A112" s="674" t="s">
        <v>390</v>
      </c>
      <c r="B112" s="675">
        <f t="shared" ref="B112:W112" si="122">B$7</f>
        <v>2004</v>
      </c>
      <c r="C112" s="675">
        <f t="shared" si="122"/>
        <v>2005</v>
      </c>
      <c r="D112" s="675">
        <f t="shared" si="122"/>
        <v>2006</v>
      </c>
      <c r="E112" s="675">
        <f t="shared" si="122"/>
        <v>2007</v>
      </c>
      <c r="F112" s="675">
        <f t="shared" si="122"/>
        <v>2008</v>
      </c>
      <c r="G112" s="675">
        <f t="shared" si="122"/>
        <v>2009</v>
      </c>
      <c r="H112" s="675">
        <f t="shared" si="122"/>
        <v>2010</v>
      </c>
      <c r="I112" s="675">
        <f t="shared" si="122"/>
        <v>2011</v>
      </c>
      <c r="J112" s="675">
        <f t="shared" si="122"/>
        <v>2012</v>
      </c>
      <c r="K112" s="675">
        <f t="shared" si="122"/>
        <v>2013</v>
      </c>
      <c r="L112" s="675">
        <f t="shared" si="122"/>
        <v>2014</v>
      </c>
      <c r="M112" s="675">
        <f t="shared" si="122"/>
        <v>2015</v>
      </c>
      <c r="N112" s="675">
        <f t="shared" si="122"/>
        <v>2016</v>
      </c>
      <c r="O112" s="675">
        <f t="shared" si="122"/>
        <v>2017</v>
      </c>
      <c r="P112" s="490" t="str">
        <f t="shared" si="122"/>
        <v>2018E</v>
      </c>
      <c r="Q112" s="490" t="str">
        <f t="shared" si="122"/>
        <v>2019E</v>
      </c>
      <c r="R112" s="490" t="str">
        <f t="shared" si="122"/>
        <v>2020E</v>
      </c>
      <c r="S112" s="490" t="str">
        <f t="shared" si="122"/>
        <v>2021E</v>
      </c>
      <c r="T112" s="490" t="str">
        <f t="shared" si="122"/>
        <v>2022E</v>
      </c>
      <c r="U112" s="490" t="str">
        <f t="shared" si="122"/>
        <v>2023E</v>
      </c>
      <c r="V112" s="490" t="str">
        <f t="shared" si="122"/>
        <v>2024E</v>
      </c>
      <c r="W112" s="490" t="str">
        <f t="shared" si="122"/>
        <v>2025E</v>
      </c>
    </row>
    <row r="113" spans="1:23">
      <c r="A113" s="52" t="s">
        <v>79</v>
      </c>
      <c r="B113" s="514" t="e">
        <f>NA()</f>
        <v>#N/A</v>
      </c>
      <c r="C113" s="107">
        <f t="shared" ref="C113:N113" si="123">C114</f>
        <v>4.9597239822901505E-2</v>
      </c>
      <c r="D113" s="107">
        <f t="shared" si="123"/>
        <v>0.13414572857799245</v>
      </c>
      <c r="E113" s="107">
        <f t="shared" si="123"/>
        <v>0.10421085489537274</v>
      </c>
      <c r="F113" s="372">
        <f t="shared" si="123"/>
        <v>-1.9702142982009414E-2</v>
      </c>
      <c r="G113" s="84">
        <f t="shared" si="123"/>
        <v>1.089235211389904E-2</v>
      </c>
      <c r="H113" s="84">
        <f t="shared" si="123"/>
        <v>2.9418368219598305E-2</v>
      </c>
      <c r="I113" s="84">
        <f t="shared" si="123"/>
        <v>5.6018699835137992E-2</v>
      </c>
      <c r="J113" s="84">
        <f t="shared" si="123"/>
        <v>5.1141831150253898E-2</v>
      </c>
      <c r="K113" s="84">
        <f t="shared" si="123"/>
        <v>3.5685402364574716E-2</v>
      </c>
      <c r="L113" s="84">
        <f t="shared" si="123"/>
        <v>4.7785048179808179E-2</v>
      </c>
      <c r="M113" s="84">
        <f t="shared" si="123"/>
        <v>6.6871600763110439E-2</v>
      </c>
      <c r="N113" s="84">
        <f t="shared" si="123"/>
        <v>5.3213869602196151E-2</v>
      </c>
      <c r="O113" s="84">
        <f>Bear!O$131</f>
        <v>6.8597832675230827E-2</v>
      </c>
      <c r="P113" s="109">
        <f>Bear!P$131</f>
        <v>6.5625763216305227E-2</v>
      </c>
      <c r="Q113" s="109">
        <f>Bear!Q$131</f>
        <v>4.8025007967697715E-2</v>
      </c>
      <c r="R113" s="109">
        <f>Bear!R$131</f>
        <v>6.2341156922054511E-2</v>
      </c>
      <c r="S113" s="109">
        <f>Bear!S$131</f>
        <v>7.3866138231477627E-2</v>
      </c>
      <c r="T113" s="109">
        <f>Bear!T$131</f>
        <v>6.2811078040890811E-2</v>
      </c>
      <c r="U113" s="109">
        <f>Bear!U$131</f>
        <v>5.0543325477949284E-2</v>
      </c>
      <c r="V113" s="109">
        <f>Bear!V$131</f>
        <v>5.2174897136060321E-2</v>
      </c>
      <c r="W113" s="109">
        <f>Bear!W$131</f>
        <v>7.1983753814196555E-2</v>
      </c>
    </row>
    <row r="114" spans="1:23">
      <c r="A114" s="52" t="s">
        <v>77</v>
      </c>
      <c r="B114" s="514" t="e">
        <f>NA()</f>
        <v>#N/A</v>
      </c>
      <c r="C114" s="84">
        <f>Financials!C131</f>
        <v>4.9597239822901505E-2</v>
      </c>
      <c r="D114" s="84">
        <f>Financials!D131</f>
        <v>0.13414572857799245</v>
      </c>
      <c r="E114" s="84">
        <f>Financials!E131</f>
        <v>0.10421085489537274</v>
      </c>
      <c r="F114" s="103">
        <f>Financials!F131</f>
        <v>-1.9702142982009414E-2</v>
      </c>
      <c r="G114" s="84">
        <f>Financials!G131</f>
        <v>1.089235211389904E-2</v>
      </c>
      <c r="H114" s="84">
        <f>Financials!H131</f>
        <v>2.9418368219598305E-2</v>
      </c>
      <c r="I114" s="84">
        <f>Financials!I131</f>
        <v>5.6018699835137992E-2</v>
      </c>
      <c r="J114" s="84">
        <f>Financials!J131</f>
        <v>5.1141831150253898E-2</v>
      </c>
      <c r="K114" s="84">
        <f>Financials!K131</f>
        <v>3.5685402364574716E-2</v>
      </c>
      <c r="L114" s="84">
        <f>Financials!L131</f>
        <v>4.7785048179808179E-2</v>
      </c>
      <c r="M114" s="84">
        <f>Financials!M131</f>
        <v>6.6871600763110439E-2</v>
      </c>
      <c r="N114" s="84">
        <f>Financials!N131</f>
        <v>5.3213869602196151E-2</v>
      </c>
      <c r="O114" s="84">
        <f>Base!O$131</f>
        <v>6.8597832675230827E-2</v>
      </c>
      <c r="P114" s="109">
        <f>Base!P$131</f>
        <v>7.7162616768305353E-2</v>
      </c>
      <c r="Q114" s="109">
        <f>Base!Q$131</f>
        <v>7.5577160545731756E-2</v>
      </c>
      <c r="R114" s="109">
        <f>Base!R$131</f>
        <v>8.1633133523451515E-2</v>
      </c>
      <c r="S114" s="109">
        <f>Base!S$131</f>
        <v>9.5628853366744565E-2</v>
      </c>
      <c r="T114" s="109">
        <f>Base!T$131</f>
        <v>9.8886206931128137E-2</v>
      </c>
      <c r="U114" s="109">
        <f>Base!U$131</f>
        <v>8.3211253622587397E-2</v>
      </c>
      <c r="V114" s="109">
        <f>Base!V$131</f>
        <v>7.4456733680659207E-2</v>
      </c>
      <c r="W114" s="109">
        <f>Base!W$131</f>
        <v>0.10950831815951925</v>
      </c>
    </row>
    <row r="115" spans="1:23">
      <c r="A115" s="52" t="s">
        <v>78</v>
      </c>
      <c r="B115" s="514" t="e">
        <f>NA()</f>
        <v>#N/A</v>
      </c>
      <c r="C115" s="107">
        <f t="shared" ref="C115:K115" si="124">C114</f>
        <v>4.9597239822901505E-2</v>
      </c>
      <c r="D115" s="107">
        <f t="shared" si="124"/>
        <v>0.13414572857799245</v>
      </c>
      <c r="E115" s="107">
        <f t="shared" si="124"/>
        <v>0.10421085489537274</v>
      </c>
      <c r="F115" s="372">
        <f t="shared" si="124"/>
        <v>-1.9702142982009414E-2</v>
      </c>
      <c r="G115" s="84">
        <f t="shared" si="124"/>
        <v>1.089235211389904E-2</v>
      </c>
      <c r="H115" s="84">
        <f t="shared" si="124"/>
        <v>2.9418368219598305E-2</v>
      </c>
      <c r="I115" s="84">
        <f t="shared" si="124"/>
        <v>5.6018699835137992E-2</v>
      </c>
      <c r="J115" s="84">
        <f t="shared" si="124"/>
        <v>5.1141831150253898E-2</v>
      </c>
      <c r="K115" s="84">
        <f t="shared" si="124"/>
        <v>3.5685402364574716E-2</v>
      </c>
      <c r="L115" s="84">
        <f t="shared" ref="L115:M115" si="125">L114</f>
        <v>4.7785048179808179E-2</v>
      </c>
      <c r="M115" s="84">
        <f t="shared" si="125"/>
        <v>6.6871600763110439E-2</v>
      </c>
      <c r="N115" s="84">
        <f t="shared" ref="N115" si="126">N114</f>
        <v>5.3213869602196151E-2</v>
      </c>
      <c r="O115" s="84">
        <f>Bull!O$131</f>
        <v>6.8597832675230827E-2</v>
      </c>
      <c r="P115" s="109">
        <f>Bull!P$131</f>
        <v>9.272232873191591E-2</v>
      </c>
      <c r="Q115" s="109">
        <f>Bull!Q$131</f>
        <v>0.10377399939850371</v>
      </c>
      <c r="R115" s="109">
        <f>Bull!R$131</f>
        <v>0.11776965694000836</v>
      </c>
      <c r="S115" s="109">
        <f>Bull!S$131</f>
        <v>0.12805965640798209</v>
      </c>
      <c r="T115" s="109">
        <f>Bull!T$131</f>
        <v>0.11527222332309332</v>
      </c>
      <c r="U115" s="109">
        <f>Bull!U$131</f>
        <v>0.10772540310496014</v>
      </c>
      <c r="V115" s="109">
        <f>Bull!V$131</f>
        <v>0.11912245691082914</v>
      </c>
      <c r="W115" s="109">
        <f>Bull!W$131</f>
        <v>0.15454431759663589</v>
      </c>
    </row>
    <row r="116" spans="1:23">
      <c r="D116" s="372"/>
      <c r="E116" s="372"/>
      <c r="F116" s="372"/>
      <c r="G116" s="103"/>
      <c r="H116" s="103"/>
      <c r="I116" s="103"/>
      <c r="J116" s="103"/>
      <c r="K116" s="103"/>
      <c r="L116" s="103"/>
      <c r="M116" s="103"/>
      <c r="N116" s="103"/>
      <c r="O116" s="103"/>
      <c r="P116" s="103"/>
      <c r="Q116" s="103"/>
      <c r="R116" s="103"/>
      <c r="S116" s="103"/>
      <c r="T116" s="103"/>
      <c r="U116" s="103"/>
      <c r="V116" s="103"/>
      <c r="W116" s="103"/>
    </row>
    <row r="117" spans="1:23">
      <c r="A117" s="674" t="s">
        <v>388</v>
      </c>
      <c r="B117" s="675">
        <f t="shared" ref="B117:W117" si="127">B$7</f>
        <v>2004</v>
      </c>
      <c r="C117" s="675">
        <f t="shared" si="127"/>
        <v>2005</v>
      </c>
      <c r="D117" s="675">
        <f t="shared" si="127"/>
        <v>2006</v>
      </c>
      <c r="E117" s="675">
        <f t="shared" si="127"/>
        <v>2007</v>
      </c>
      <c r="F117" s="675">
        <f t="shared" si="127"/>
        <v>2008</v>
      </c>
      <c r="G117" s="675">
        <f t="shared" si="127"/>
        <v>2009</v>
      </c>
      <c r="H117" s="675">
        <f t="shared" si="127"/>
        <v>2010</v>
      </c>
      <c r="I117" s="675">
        <f t="shared" si="127"/>
        <v>2011</v>
      </c>
      <c r="J117" s="675">
        <f t="shared" si="127"/>
        <v>2012</v>
      </c>
      <c r="K117" s="675">
        <f t="shared" si="127"/>
        <v>2013</v>
      </c>
      <c r="L117" s="675">
        <f t="shared" si="127"/>
        <v>2014</v>
      </c>
      <c r="M117" s="675">
        <f t="shared" si="127"/>
        <v>2015</v>
      </c>
      <c r="N117" s="675">
        <f t="shared" si="127"/>
        <v>2016</v>
      </c>
      <c r="O117" s="675">
        <f t="shared" si="127"/>
        <v>2017</v>
      </c>
      <c r="P117" s="490" t="str">
        <f t="shared" si="127"/>
        <v>2018E</v>
      </c>
      <c r="Q117" s="490" t="str">
        <f t="shared" si="127"/>
        <v>2019E</v>
      </c>
      <c r="R117" s="490" t="str">
        <f t="shared" si="127"/>
        <v>2020E</v>
      </c>
      <c r="S117" s="490" t="str">
        <f t="shared" si="127"/>
        <v>2021E</v>
      </c>
      <c r="T117" s="490" t="str">
        <f t="shared" si="127"/>
        <v>2022E</v>
      </c>
      <c r="U117" s="490" t="str">
        <f t="shared" si="127"/>
        <v>2023E</v>
      </c>
      <c r="V117" s="490" t="str">
        <f t="shared" si="127"/>
        <v>2024E</v>
      </c>
      <c r="W117" s="490" t="str">
        <f t="shared" si="127"/>
        <v>2025E</v>
      </c>
    </row>
    <row r="118" spans="1:23">
      <c r="A118" s="52" t="s">
        <v>79</v>
      </c>
      <c r="B118" s="107">
        <f>B119</f>
        <v>-1.1315517281668529E-2</v>
      </c>
      <c r="C118" s="107">
        <f t="shared" ref="C118:N118" si="128">C119</f>
        <v>2.2279606503034077E-2</v>
      </c>
      <c r="D118" s="107">
        <f t="shared" si="128"/>
        <v>0.10479716364449325</v>
      </c>
      <c r="E118" s="107">
        <f t="shared" si="128"/>
        <v>7.520679731479421E-2</v>
      </c>
      <c r="F118" s="372">
        <f t="shared" si="128"/>
        <v>-1.6729621894910632E-2</v>
      </c>
      <c r="G118" s="84">
        <f t="shared" si="128"/>
        <v>-2.1169814522201152E-2</v>
      </c>
      <c r="H118" s="84">
        <f t="shared" si="128"/>
        <v>2.342049790289678E-2</v>
      </c>
      <c r="I118" s="84">
        <f t="shared" si="128"/>
        <v>3.6099275989951406E-2</v>
      </c>
      <c r="J118" s="84">
        <f t="shared" si="128"/>
        <v>2.6448001500678827E-2</v>
      </c>
      <c r="K118" s="84">
        <f t="shared" si="128"/>
        <v>1.295023824355356E-2</v>
      </c>
      <c r="L118" s="84">
        <f t="shared" si="128"/>
        <v>2.3172525824539207E-2</v>
      </c>
      <c r="M118" s="84">
        <f t="shared" si="128"/>
        <v>4.1637572857024317E-2</v>
      </c>
      <c r="N118" s="84">
        <f t="shared" si="128"/>
        <v>2.5714871466903221E-2</v>
      </c>
      <c r="O118" s="84">
        <f>Bear!O$129</f>
        <v>3.2662622497202747E-2</v>
      </c>
      <c r="P118" s="109">
        <f>Bear!P$129</f>
        <v>4.8180125514613537E-2</v>
      </c>
      <c r="Q118" s="109">
        <f>Bear!Q$129</f>
        <v>3.3039564987421839E-2</v>
      </c>
      <c r="R118" s="109">
        <f>Bear!R$129</f>
        <v>4.9936456273775374E-2</v>
      </c>
      <c r="S118" s="109">
        <f>Bear!S$129</f>
        <v>5.9689357451989486E-2</v>
      </c>
      <c r="T118" s="109">
        <f>Bear!T$129</f>
        <v>4.7072893854665558E-2</v>
      </c>
      <c r="U118" s="109">
        <f>Bear!U$129</f>
        <v>3.3441500756900354E-2</v>
      </c>
      <c r="V118" s="109">
        <f>Bear!V$129</f>
        <v>3.1894197701770301E-2</v>
      </c>
      <c r="W118" s="109">
        <f>Bear!W$129</f>
        <v>4.1674433953336844E-2</v>
      </c>
    </row>
    <row r="119" spans="1:23">
      <c r="A119" s="52" t="s">
        <v>77</v>
      </c>
      <c r="B119" s="84">
        <f>Financials!B129</f>
        <v>-1.1315517281668529E-2</v>
      </c>
      <c r="C119" s="84">
        <f>Financials!C129</f>
        <v>2.2279606503034077E-2</v>
      </c>
      <c r="D119" s="84">
        <f>Financials!D129</f>
        <v>0.10479716364449325</v>
      </c>
      <c r="E119" s="84">
        <f>Financials!E129</f>
        <v>7.520679731479421E-2</v>
      </c>
      <c r="F119" s="103">
        <f>Financials!F129</f>
        <v>-1.6729621894910632E-2</v>
      </c>
      <c r="G119" s="84">
        <f>Financials!G129</f>
        <v>-2.1169814522201152E-2</v>
      </c>
      <c r="H119" s="84">
        <f>Financials!H129</f>
        <v>2.342049790289678E-2</v>
      </c>
      <c r="I119" s="84">
        <f>Financials!I129</f>
        <v>3.6099275989951406E-2</v>
      </c>
      <c r="J119" s="84">
        <f>Financials!J129</f>
        <v>2.6448001500678827E-2</v>
      </c>
      <c r="K119" s="84">
        <f>Financials!K129</f>
        <v>1.295023824355356E-2</v>
      </c>
      <c r="L119" s="84">
        <f>Financials!L129</f>
        <v>2.3172525824539207E-2</v>
      </c>
      <c r="M119" s="84">
        <f>Financials!M129</f>
        <v>4.1637572857024317E-2</v>
      </c>
      <c r="N119" s="84">
        <f>Financials!N129</f>
        <v>2.5714871466903221E-2</v>
      </c>
      <c r="O119" s="84">
        <f>Base!O$129</f>
        <v>3.2662622497202747E-2</v>
      </c>
      <c r="P119" s="109">
        <f>Base!P$129</f>
        <v>5.9457713171503661E-2</v>
      </c>
      <c r="Q119" s="109">
        <f>Base!Q$129</f>
        <v>6.4037975073793746E-2</v>
      </c>
      <c r="R119" s="109">
        <f>Base!R$129</f>
        <v>7.3990697147582843E-2</v>
      </c>
      <c r="S119" s="109">
        <f>Base!S$129</f>
        <v>8.5854145814168475E-2</v>
      </c>
      <c r="T119" s="109">
        <f>Base!T$129</f>
        <v>8.8580188255014222E-2</v>
      </c>
      <c r="U119" s="109">
        <f>Base!U$129</f>
        <v>7.3389822618002851E-2</v>
      </c>
      <c r="V119" s="109">
        <f>Base!V$129</f>
        <v>6.1741736629978804E-2</v>
      </c>
      <c r="W119" s="109">
        <f>Base!W$129</f>
        <v>8.0532406244892621E-2</v>
      </c>
    </row>
    <row r="120" spans="1:23">
      <c r="A120" s="52" t="s">
        <v>78</v>
      </c>
      <c r="B120" s="107">
        <f>B119</f>
        <v>-1.1315517281668529E-2</v>
      </c>
      <c r="C120" s="107">
        <f t="shared" ref="C120:K120" si="129">C119</f>
        <v>2.2279606503034077E-2</v>
      </c>
      <c r="D120" s="107">
        <f t="shared" si="129"/>
        <v>0.10479716364449325</v>
      </c>
      <c r="E120" s="107">
        <f t="shared" si="129"/>
        <v>7.520679731479421E-2</v>
      </c>
      <c r="F120" s="372">
        <f t="shared" si="129"/>
        <v>-1.6729621894910632E-2</v>
      </c>
      <c r="G120" s="84">
        <f t="shared" si="129"/>
        <v>-2.1169814522201152E-2</v>
      </c>
      <c r="H120" s="84">
        <f t="shared" si="129"/>
        <v>2.342049790289678E-2</v>
      </c>
      <c r="I120" s="84">
        <f t="shared" si="129"/>
        <v>3.6099275989951406E-2</v>
      </c>
      <c r="J120" s="84">
        <f t="shared" si="129"/>
        <v>2.6448001500678827E-2</v>
      </c>
      <c r="K120" s="84">
        <f t="shared" si="129"/>
        <v>1.295023824355356E-2</v>
      </c>
      <c r="L120" s="84">
        <f t="shared" ref="L120:M120" si="130">L119</f>
        <v>2.3172525824539207E-2</v>
      </c>
      <c r="M120" s="84">
        <f t="shared" si="130"/>
        <v>4.1637572857024317E-2</v>
      </c>
      <c r="N120" s="84">
        <f t="shared" ref="N120" si="131">N119</f>
        <v>2.5714871466903221E-2</v>
      </c>
      <c r="O120" s="84">
        <f>Bull!O$129</f>
        <v>3.2662622497202747E-2</v>
      </c>
      <c r="P120" s="109">
        <f>Bull!P$129</f>
        <v>7.4650413526042708E-2</v>
      </c>
      <c r="Q120" s="109">
        <f>Bull!Q$129</f>
        <v>9.5936954633528831E-2</v>
      </c>
      <c r="R120" s="109">
        <f>Bull!R$129</f>
        <v>0.11702166708762712</v>
      </c>
      <c r="S120" s="109">
        <f>Bull!S$129</f>
        <v>0.12544942455011751</v>
      </c>
      <c r="T120" s="109">
        <f>Bull!T$129</f>
        <v>0.11346009225969012</v>
      </c>
      <c r="U120" s="109">
        <f>Bull!U$129</f>
        <v>0.10799972931827148</v>
      </c>
      <c r="V120" s="109">
        <f>Bull!V$129</f>
        <v>0.11576370924073577</v>
      </c>
      <c r="W120" s="109">
        <f>Bull!W$129</f>
        <v>0.12757668701513583</v>
      </c>
    </row>
    <row r="121" spans="1:23">
      <c r="D121" s="372"/>
      <c r="E121" s="372"/>
      <c r="F121" s="372"/>
      <c r="G121" s="103"/>
      <c r="H121" s="103"/>
      <c r="I121" s="103"/>
      <c r="J121" s="103"/>
      <c r="K121" s="103"/>
      <c r="L121" s="103"/>
      <c r="M121" s="103"/>
      <c r="N121" s="103"/>
      <c r="O121" s="103"/>
      <c r="P121" s="103"/>
      <c r="Q121" s="103"/>
      <c r="R121" s="103"/>
      <c r="S121" s="103"/>
      <c r="T121" s="103"/>
      <c r="U121" s="103"/>
      <c r="V121" s="103"/>
      <c r="W121" s="103"/>
    </row>
    <row r="122" spans="1:23">
      <c r="A122" s="674" t="s">
        <v>332</v>
      </c>
      <c r="B122" s="675">
        <f t="shared" ref="B122:W122" si="132">B$7</f>
        <v>2004</v>
      </c>
      <c r="C122" s="675">
        <f t="shared" si="132"/>
        <v>2005</v>
      </c>
      <c r="D122" s="675">
        <f t="shared" si="132"/>
        <v>2006</v>
      </c>
      <c r="E122" s="675">
        <f t="shared" si="132"/>
        <v>2007</v>
      </c>
      <c r="F122" s="675">
        <f t="shared" si="132"/>
        <v>2008</v>
      </c>
      <c r="G122" s="675">
        <f t="shared" si="132"/>
        <v>2009</v>
      </c>
      <c r="H122" s="675">
        <f t="shared" si="132"/>
        <v>2010</v>
      </c>
      <c r="I122" s="675">
        <f t="shared" si="132"/>
        <v>2011</v>
      </c>
      <c r="J122" s="675">
        <f t="shared" si="132"/>
        <v>2012</v>
      </c>
      <c r="K122" s="675">
        <f t="shared" si="132"/>
        <v>2013</v>
      </c>
      <c r="L122" s="675">
        <f t="shared" si="132"/>
        <v>2014</v>
      </c>
      <c r="M122" s="675">
        <f t="shared" si="132"/>
        <v>2015</v>
      </c>
      <c r="N122" s="675">
        <f t="shared" si="132"/>
        <v>2016</v>
      </c>
      <c r="O122" s="675">
        <f t="shared" si="132"/>
        <v>2017</v>
      </c>
      <c r="P122" s="490" t="str">
        <f t="shared" si="132"/>
        <v>2018E</v>
      </c>
      <c r="Q122" s="490" t="str">
        <f t="shared" si="132"/>
        <v>2019E</v>
      </c>
      <c r="R122" s="490" t="str">
        <f t="shared" si="132"/>
        <v>2020E</v>
      </c>
      <c r="S122" s="490" t="str">
        <f t="shared" si="132"/>
        <v>2021E</v>
      </c>
      <c r="T122" s="490" t="str">
        <f t="shared" si="132"/>
        <v>2022E</v>
      </c>
      <c r="U122" s="490" t="str">
        <f t="shared" si="132"/>
        <v>2023E</v>
      </c>
      <c r="V122" s="490" t="str">
        <f t="shared" si="132"/>
        <v>2024E</v>
      </c>
      <c r="W122" s="490" t="str">
        <f t="shared" si="132"/>
        <v>2025E</v>
      </c>
    </row>
    <row r="123" spans="1:23">
      <c r="A123" s="52" t="s">
        <v>79</v>
      </c>
      <c r="B123" s="492"/>
      <c r="C123" s="492"/>
      <c r="D123" s="492"/>
      <c r="E123" s="492"/>
      <c r="F123" s="424"/>
      <c r="G123" s="424"/>
      <c r="H123" s="501">
        <f t="shared" ref="H123:N123" si="133">H124</f>
        <v>17.123864915572263</v>
      </c>
      <c r="I123" s="501">
        <f t="shared" si="133"/>
        <v>18.845727136642534</v>
      </c>
      <c r="J123" s="501">
        <f t="shared" si="133"/>
        <v>19.577562692025154</v>
      </c>
      <c r="K123" s="501">
        <f t="shared" si="133"/>
        <v>41.126784098697854</v>
      </c>
      <c r="L123" s="501">
        <f t="shared" si="133"/>
        <v>24.496370424141858</v>
      </c>
      <c r="M123" s="501">
        <f t="shared" si="133"/>
        <v>13.180838991545793</v>
      </c>
      <c r="N123" s="501">
        <f t="shared" si="133"/>
        <v>26.717701796082917</v>
      </c>
      <c r="O123" s="501">
        <f>Bear!O$154</f>
        <v>20.255817752071238</v>
      </c>
      <c r="P123" s="500">
        <f>Bear!P$154</f>
        <v>11.077515540774948</v>
      </c>
      <c r="Q123" s="500">
        <f>Bear!Q$154</f>
        <v>16.560238724092205</v>
      </c>
      <c r="R123" s="500">
        <f>Bear!R$154</f>
        <v>10.76053032645634</v>
      </c>
      <c r="S123" s="500">
        <f>Bear!S$154</f>
        <v>8.8112315299666726</v>
      </c>
      <c r="T123" s="500">
        <f>Bear!T$154</f>
        <v>11.027174490297057</v>
      </c>
      <c r="U123" s="500">
        <f>Bear!U$154</f>
        <v>15.548680696582776</v>
      </c>
      <c r="V123" s="500">
        <f>Bear!V$154</f>
        <v>16.296352710621047</v>
      </c>
      <c r="W123" s="500">
        <f>Bear!W$154</f>
        <v>12.460160107030557</v>
      </c>
    </row>
    <row r="124" spans="1:23">
      <c r="A124" s="52" t="s">
        <v>77</v>
      </c>
      <c r="B124" s="498"/>
      <c r="C124" s="498"/>
      <c r="D124" s="498"/>
      <c r="E124" s="498"/>
      <c r="F124" s="508"/>
      <c r="G124" s="508"/>
      <c r="H124" s="424">
        <f>Financials!H154</f>
        <v>17.123864915572263</v>
      </c>
      <c r="I124" s="501">
        <f>Financials!I154</f>
        <v>18.845727136642534</v>
      </c>
      <c r="J124" s="501">
        <f>Financials!J154</f>
        <v>19.577562692025154</v>
      </c>
      <c r="K124" s="501">
        <f>Financials!K154</f>
        <v>41.126784098697854</v>
      </c>
      <c r="L124" s="501">
        <f>Financials!L154</f>
        <v>24.496370424141858</v>
      </c>
      <c r="M124" s="501">
        <f>Financials!M154</f>
        <v>13.180838991545793</v>
      </c>
      <c r="N124" s="501">
        <f>Financials!N154</f>
        <v>26.717701796082917</v>
      </c>
      <c r="O124" s="501">
        <f>Base!O$154</f>
        <v>20.255817752071238</v>
      </c>
      <c r="P124" s="500">
        <f>Base!P$154</f>
        <v>11.072814888702633</v>
      </c>
      <c r="Q124" s="500">
        <f>Base!Q$154</f>
        <v>10.403108927044844</v>
      </c>
      <c r="R124" s="500">
        <f>Base!R$154</f>
        <v>8.7954061962395365</v>
      </c>
      <c r="S124" s="500">
        <f>Base!S$154</f>
        <v>7.3586284565756239</v>
      </c>
      <c r="T124" s="500">
        <f>Base!T$154</f>
        <v>6.9345102864494077</v>
      </c>
      <c r="U124" s="500">
        <f>Base!U$154</f>
        <v>8.3866018481893043</v>
      </c>
      <c r="V124" s="500">
        <f>Base!V$154</f>
        <v>9.9867369532042982</v>
      </c>
      <c r="W124" s="500">
        <f>Base!W$154</f>
        <v>7.64072265751249</v>
      </c>
    </row>
    <row r="125" spans="1:23">
      <c r="A125" s="52" t="s">
        <v>78</v>
      </c>
      <c r="B125" s="492"/>
      <c r="C125" s="492"/>
      <c r="D125" s="492"/>
      <c r="E125" s="492"/>
      <c r="F125" s="424"/>
      <c r="G125" s="424"/>
      <c r="H125" s="424">
        <f t="shared" ref="H125:M125" si="134">H124</f>
        <v>17.123864915572263</v>
      </c>
      <c r="I125" s="501">
        <f t="shared" si="134"/>
        <v>18.845727136642534</v>
      </c>
      <c r="J125" s="501">
        <f t="shared" si="134"/>
        <v>19.577562692025154</v>
      </c>
      <c r="K125" s="501">
        <f t="shared" si="134"/>
        <v>41.126784098697854</v>
      </c>
      <c r="L125" s="501">
        <f t="shared" si="134"/>
        <v>24.496370424141858</v>
      </c>
      <c r="M125" s="501">
        <f t="shared" si="134"/>
        <v>13.180838991545793</v>
      </c>
      <c r="N125" s="501">
        <f t="shared" ref="N125" si="135">N124</f>
        <v>26.717701796082917</v>
      </c>
      <c r="O125" s="501">
        <f>Bull!O$154</f>
        <v>20.255817752071238</v>
      </c>
      <c r="P125" s="500">
        <f>Bull!P$154</f>
        <v>14.278087716588356</v>
      </c>
      <c r="Q125" s="500">
        <f>Bull!Q$154</f>
        <v>11.096458367158203</v>
      </c>
      <c r="R125" s="500">
        <f>Bull!R$154</f>
        <v>8.7610809482691536</v>
      </c>
      <c r="S125" s="500">
        <f>Bull!S$154</f>
        <v>7.8478061611720298</v>
      </c>
      <c r="T125" s="500">
        <f>Bull!T$154</f>
        <v>8.392402693426952</v>
      </c>
      <c r="U125" s="500">
        <f>Bull!U$154</f>
        <v>8.827756901485122</v>
      </c>
      <c r="V125" s="500">
        <f>Bull!V$154</f>
        <v>8.2307445571205502</v>
      </c>
      <c r="W125" s="500">
        <f>Bull!W$154</f>
        <v>7.4529972317977284</v>
      </c>
    </row>
    <row r="126" spans="1:23">
      <c r="B126" s="503"/>
      <c r="C126" s="503"/>
      <c r="D126" s="503"/>
      <c r="E126" s="503"/>
      <c r="F126" s="372"/>
      <c r="G126" s="372"/>
      <c r="H126" s="372"/>
      <c r="I126" s="506"/>
      <c r="J126" s="506"/>
      <c r="K126" s="506"/>
      <c r="L126" s="506"/>
      <c r="M126" s="506"/>
      <c r="N126" s="506"/>
      <c r="O126" s="506"/>
      <c r="P126" s="506"/>
      <c r="Q126" s="506"/>
      <c r="R126" s="506"/>
      <c r="S126" s="506"/>
      <c r="T126" s="506"/>
      <c r="U126" s="506"/>
      <c r="V126" s="506"/>
      <c r="W126" s="506"/>
    </row>
    <row r="127" spans="1:23">
      <c r="A127" s="674" t="s">
        <v>265</v>
      </c>
      <c r="B127" s="675">
        <f t="shared" ref="B127:W127" si="136">B$7</f>
        <v>2004</v>
      </c>
      <c r="C127" s="675">
        <f t="shared" si="136"/>
        <v>2005</v>
      </c>
      <c r="D127" s="675">
        <f t="shared" si="136"/>
        <v>2006</v>
      </c>
      <c r="E127" s="675">
        <f t="shared" si="136"/>
        <v>2007</v>
      </c>
      <c r="F127" s="675">
        <f t="shared" si="136"/>
        <v>2008</v>
      </c>
      <c r="G127" s="675">
        <f t="shared" si="136"/>
        <v>2009</v>
      </c>
      <c r="H127" s="675">
        <f t="shared" si="136"/>
        <v>2010</v>
      </c>
      <c r="I127" s="675">
        <f t="shared" si="136"/>
        <v>2011</v>
      </c>
      <c r="J127" s="675">
        <f t="shared" si="136"/>
        <v>2012</v>
      </c>
      <c r="K127" s="675">
        <f t="shared" si="136"/>
        <v>2013</v>
      </c>
      <c r="L127" s="675">
        <f t="shared" si="136"/>
        <v>2014</v>
      </c>
      <c r="M127" s="675">
        <f t="shared" si="136"/>
        <v>2015</v>
      </c>
      <c r="N127" s="675">
        <f t="shared" si="136"/>
        <v>2016</v>
      </c>
      <c r="O127" s="675">
        <f t="shared" si="136"/>
        <v>2017</v>
      </c>
      <c r="P127" s="490" t="str">
        <f t="shared" si="136"/>
        <v>2018E</v>
      </c>
      <c r="Q127" s="490" t="str">
        <f t="shared" si="136"/>
        <v>2019E</v>
      </c>
      <c r="R127" s="490" t="str">
        <f t="shared" si="136"/>
        <v>2020E</v>
      </c>
      <c r="S127" s="490" t="str">
        <f t="shared" si="136"/>
        <v>2021E</v>
      </c>
      <c r="T127" s="490" t="str">
        <f t="shared" si="136"/>
        <v>2022E</v>
      </c>
      <c r="U127" s="490" t="str">
        <f t="shared" si="136"/>
        <v>2023E</v>
      </c>
      <c r="V127" s="490" t="str">
        <f t="shared" si="136"/>
        <v>2024E</v>
      </c>
      <c r="W127" s="490" t="str">
        <f t="shared" si="136"/>
        <v>2025E</v>
      </c>
    </row>
    <row r="128" spans="1:23">
      <c r="A128" s="52" t="s">
        <v>79</v>
      </c>
      <c r="B128" s="492"/>
      <c r="C128" s="492"/>
      <c r="D128" s="492"/>
      <c r="E128" s="492"/>
      <c r="F128" s="495">
        <f>F129</f>
        <v>66.87115670740728</v>
      </c>
      <c r="G128" s="495">
        <f t="shared" ref="G128:N128" si="137">G129</f>
        <v>8.7788131787695498</v>
      </c>
      <c r="H128" s="495">
        <f t="shared" si="137"/>
        <v>6.0935425418990281</v>
      </c>
      <c r="I128" s="495">
        <f t="shared" si="137"/>
        <v>5.6471009178201266</v>
      </c>
      <c r="J128" s="495">
        <f t="shared" si="137"/>
        <v>5.6893351583753109</v>
      </c>
      <c r="K128" s="495">
        <f t="shared" si="137"/>
        <v>6.6709139867435887</v>
      </c>
      <c r="L128" s="495">
        <f t="shared" si="137"/>
        <v>6.450373600744407</v>
      </c>
      <c r="M128" s="495">
        <f t="shared" si="137"/>
        <v>5.8924260966762843</v>
      </c>
      <c r="N128" s="495">
        <f t="shared" si="137"/>
        <v>6.5118667857784436</v>
      </c>
      <c r="O128" s="495">
        <f>Bear!O$151/Bear!O$61</f>
        <v>3.9811628027731976</v>
      </c>
      <c r="P128" s="493">
        <f>Bear!P$151/Bear!P$61</f>
        <v>2.977146789800885</v>
      </c>
      <c r="Q128" s="493">
        <f>Bear!Q$151/Bear!Q$61</f>
        <v>3.5828711317980497</v>
      </c>
      <c r="R128" s="493">
        <f>Bear!R$151/Bear!R$61</f>
        <v>2.918640198139189</v>
      </c>
      <c r="S128" s="493">
        <f>Bear!S$151/Bear!S$61</f>
        <v>2.4869155304493975</v>
      </c>
      <c r="T128" s="493">
        <f>Bear!T$151/Bear!T$61</f>
        <v>2.6624533778241908</v>
      </c>
      <c r="U128" s="493">
        <f>Bear!U$151/Bear!U$61</f>
        <v>2.9525023332051408</v>
      </c>
      <c r="V128" s="493">
        <f>Bear!V$151/Bear!V$61</f>
        <v>2.7924292063630483</v>
      </c>
      <c r="W128" s="493">
        <f>Bear!W$151/Bear!W$61</f>
        <v>2.3749221352225236</v>
      </c>
    </row>
    <row r="129" spans="1:23">
      <c r="A129" s="52" t="s">
        <v>77</v>
      </c>
      <c r="B129" s="498"/>
      <c r="C129" s="498"/>
      <c r="D129" s="498"/>
      <c r="E129" s="498"/>
      <c r="F129" s="509">
        <f>Financials!F141/Financials!F61</f>
        <v>66.87115670740728</v>
      </c>
      <c r="G129" s="495">
        <f>Financials!G141/Financials!G61</f>
        <v>8.7788131787695498</v>
      </c>
      <c r="H129" s="495">
        <f>Financials!H141/Financials!H61</f>
        <v>6.0935425418990281</v>
      </c>
      <c r="I129" s="495">
        <f>Financials!I141/Financials!I61</f>
        <v>5.6471009178201266</v>
      </c>
      <c r="J129" s="495">
        <f>Financials!J141/Financials!J61</f>
        <v>5.6893351583753109</v>
      </c>
      <c r="K129" s="495">
        <f>Financials!K141/Financials!K61</f>
        <v>6.6709139867435887</v>
      </c>
      <c r="L129" s="495">
        <f>Financials!L141/Financials!L61</f>
        <v>6.450373600744407</v>
      </c>
      <c r="M129" s="495">
        <f>Financials!M141/Financials!M61</f>
        <v>5.8924260966762843</v>
      </c>
      <c r="N129" s="495">
        <f>Financials!N141/Financials!N61</f>
        <v>6.5118667857784436</v>
      </c>
      <c r="O129" s="495">
        <f>Base!O$151/Base!O$61</f>
        <v>3.9811628027731976</v>
      </c>
      <c r="P129" s="493">
        <f>Base!P$151/Base!P$61</f>
        <v>3.2909698344906406</v>
      </c>
      <c r="Q129" s="493">
        <f>Base!Q$151/Base!Q$61</f>
        <v>3.3485212876457258</v>
      </c>
      <c r="R129" s="493">
        <f>Base!R$151/Base!R$61</f>
        <v>3.0521766756792483</v>
      </c>
      <c r="S129" s="493">
        <f>Base!S$151/Base!S$61</f>
        <v>2.5932294959680386</v>
      </c>
      <c r="T129" s="493">
        <f>Base!T$151/Base!T$61</f>
        <v>2.4250834509875725</v>
      </c>
      <c r="U129" s="493">
        <f>Base!U$151/Base!U$61</f>
        <v>2.6769814322831542</v>
      </c>
      <c r="V129" s="493">
        <f>Base!V$151/Base!V$61</f>
        <v>2.8519386661698798</v>
      </c>
      <c r="W129" s="493">
        <f>Base!W$151/Base!W$61</f>
        <v>2.2463362951004995</v>
      </c>
    </row>
    <row r="130" spans="1:23">
      <c r="A130" s="52" t="s">
        <v>78</v>
      </c>
      <c r="B130" s="492"/>
      <c r="C130" s="492"/>
      <c r="D130" s="492"/>
      <c r="E130" s="492"/>
      <c r="F130" s="495">
        <f>F129</f>
        <v>66.87115670740728</v>
      </c>
      <c r="G130" s="495">
        <f t="shared" ref="G130:K130" si="138">G129</f>
        <v>8.7788131787695498</v>
      </c>
      <c r="H130" s="495">
        <f t="shared" si="138"/>
        <v>6.0935425418990281</v>
      </c>
      <c r="I130" s="495">
        <f t="shared" si="138"/>
        <v>5.6471009178201266</v>
      </c>
      <c r="J130" s="495">
        <f t="shared" si="138"/>
        <v>5.6893351583753109</v>
      </c>
      <c r="K130" s="495">
        <f t="shared" si="138"/>
        <v>6.6709139867435887</v>
      </c>
      <c r="L130" s="495">
        <f t="shared" ref="L130:M130" si="139">L129</f>
        <v>6.450373600744407</v>
      </c>
      <c r="M130" s="495">
        <f t="shared" si="139"/>
        <v>5.8924260966762843</v>
      </c>
      <c r="N130" s="495">
        <f t="shared" ref="N130" si="140">N129</f>
        <v>6.5118667857784436</v>
      </c>
      <c r="O130" s="495">
        <f>Bull!O$151/Bull!O$61</f>
        <v>3.9811628027731976</v>
      </c>
      <c r="P130" s="493">
        <f>Bull!P$151/Bull!P$61</f>
        <v>4.7332093423229544</v>
      </c>
      <c r="Q130" s="493">
        <f>Bull!Q$151/Bull!Q$61</f>
        <v>4.3869297314755773</v>
      </c>
      <c r="R130" s="493">
        <f>Bull!R$151/Bull!R$61</f>
        <v>3.7761308668867501</v>
      </c>
      <c r="S130" s="493">
        <f>Bull!S$151/Bull!S$61</f>
        <v>3.3750535343707044</v>
      </c>
      <c r="T130" s="493">
        <f>Bull!T$151/Bull!T$61</f>
        <v>3.5234020698658659</v>
      </c>
      <c r="U130" s="493">
        <f>Bull!U$151/Bull!U$61</f>
        <v>3.6501471333851252</v>
      </c>
      <c r="V130" s="493">
        <f>Bull!V$151/Bull!V$61</f>
        <v>3.3479178839501675</v>
      </c>
      <c r="W130" s="493">
        <f>Bull!W$151/Bull!W$61</f>
        <v>2.7773097024212201</v>
      </c>
    </row>
    <row r="131" spans="1:23">
      <c r="B131" s="503"/>
      <c r="C131" s="503"/>
      <c r="D131" s="503"/>
      <c r="E131" s="503"/>
      <c r="F131" s="103"/>
      <c r="G131" s="506"/>
      <c r="H131" s="506"/>
      <c r="I131" s="506"/>
      <c r="J131" s="506"/>
      <c r="K131" s="506"/>
      <c r="L131" s="506"/>
      <c r="M131" s="506"/>
      <c r="N131" s="506"/>
      <c r="O131" s="506"/>
      <c r="P131" s="506"/>
      <c r="Q131" s="506"/>
      <c r="R131" s="506"/>
      <c r="S131" s="506"/>
      <c r="T131" s="506"/>
      <c r="U131" s="506"/>
      <c r="V131" s="506"/>
      <c r="W131" s="506"/>
    </row>
    <row r="132" spans="1:23">
      <c r="A132" s="674" t="s">
        <v>40</v>
      </c>
      <c r="B132" s="675">
        <f t="shared" ref="B132:W132" si="141">B$7</f>
        <v>2004</v>
      </c>
      <c r="C132" s="675">
        <f t="shared" si="141"/>
        <v>2005</v>
      </c>
      <c r="D132" s="675">
        <f t="shared" si="141"/>
        <v>2006</v>
      </c>
      <c r="E132" s="675">
        <f t="shared" si="141"/>
        <v>2007</v>
      </c>
      <c r="F132" s="675">
        <f t="shared" si="141"/>
        <v>2008</v>
      </c>
      <c r="G132" s="675">
        <f t="shared" si="141"/>
        <v>2009</v>
      </c>
      <c r="H132" s="675">
        <f t="shared" si="141"/>
        <v>2010</v>
      </c>
      <c r="I132" s="675">
        <f t="shared" si="141"/>
        <v>2011</v>
      </c>
      <c r="J132" s="675">
        <f t="shared" si="141"/>
        <v>2012</v>
      </c>
      <c r="K132" s="675">
        <f t="shared" si="141"/>
        <v>2013</v>
      </c>
      <c r="L132" s="675">
        <f t="shared" si="141"/>
        <v>2014</v>
      </c>
      <c r="M132" s="675">
        <f t="shared" si="141"/>
        <v>2015</v>
      </c>
      <c r="N132" s="675">
        <f t="shared" si="141"/>
        <v>2016</v>
      </c>
      <c r="O132" s="675">
        <f t="shared" si="141"/>
        <v>2017</v>
      </c>
      <c r="P132" s="490" t="str">
        <f t="shared" si="141"/>
        <v>2018E</v>
      </c>
      <c r="Q132" s="490" t="str">
        <f t="shared" si="141"/>
        <v>2019E</v>
      </c>
      <c r="R132" s="490" t="str">
        <f t="shared" si="141"/>
        <v>2020E</v>
      </c>
      <c r="S132" s="490" t="str">
        <f t="shared" si="141"/>
        <v>2021E</v>
      </c>
      <c r="T132" s="490" t="str">
        <f t="shared" si="141"/>
        <v>2022E</v>
      </c>
      <c r="U132" s="490" t="str">
        <f t="shared" si="141"/>
        <v>2023E</v>
      </c>
      <c r="V132" s="490" t="str">
        <f t="shared" si="141"/>
        <v>2024E</v>
      </c>
      <c r="W132" s="490" t="str">
        <f t="shared" si="141"/>
        <v>2025E</v>
      </c>
    </row>
    <row r="133" spans="1:23">
      <c r="A133" s="52" t="s">
        <v>79</v>
      </c>
      <c r="B133" s="492"/>
      <c r="C133" s="492"/>
      <c r="D133" s="492"/>
      <c r="E133" s="492"/>
      <c r="F133" s="424">
        <f t="shared" ref="F133:L133" si="142">F134</f>
        <v>628.50358939163448</v>
      </c>
      <c r="G133" s="501">
        <f t="shared" si="142"/>
        <v>133.07778816993252</v>
      </c>
      <c r="H133" s="501">
        <f t="shared" si="142"/>
        <v>141.56653608728857</v>
      </c>
      <c r="I133" s="501">
        <f t="shared" si="142"/>
        <v>183.03003343064401</v>
      </c>
      <c r="J133" s="501">
        <f t="shared" si="142"/>
        <v>234.16569041859208</v>
      </c>
      <c r="K133" s="501">
        <f t="shared" si="142"/>
        <v>252.43510842841943</v>
      </c>
      <c r="L133" s="501">
        <f t="shared" si="142"/>
        <v>232.47359880392881</v>
      </c>
      <c r="M133" s="501">
        <f>M134</f>
        <v>266.52190458495249</v>
      </c>
      <c r="N133" s="501">
        <f>N134</f>
        <v>300.6553362336</v>
      </c>
      <c r="O133" s="501">
        <f>Bear!O$145</f>
        <v>312.96141878840632</v>
      </c>
      <c r="P133" s="948">
        <f>Bear!P$145</f>
        <v>293.1000444426021</v>
      </c>
      <c r="Q133" s="948">
        <f>Bear!Q$145</f>
        <v>285.31851823607104</v>
      </c>
      <c r="R133" s="948">
        <f>Bear!R$145</f>
        <v>278.97113947376016</v>
      </c>
      <c r="S133" s="948">
        <f>Bear!S$145</f>
        <v>273.22643789456311</v>
      </c>
      <c r="T133" s="948">
        <f>Bear!T$145</f>
        <v>271.10656227580591</v>
      </c>
      <c r="U133" s="948">
        <f>Bear!U$145</f>
        <v>272.94981169425517</v>
      </c>
      <c r="V133" s="948">
        <f>Bear!V$145</f>
        <v>278.56790049990508</v>
      </c>
      <c r="W133" s="948">
        <f>Bear!W$145</f>
        <v>283.68520080370939</v>
      </c>
    </row>
    <row r="134" spans="1:23">
      <c r="A134" s="52" t="s">
        <v>77</v>
      </c>
      <c r="B134" s="498"/>
      <c r="C134" s="498"/>
      <c r="D134" s="498"/>
      <c r="E134" s="498"/>
      <c r="F134" s="501">
        <f>Financials!F145</f>
        <v>628.50358939163448</v>
      </c>
      <c r="G134" s="501">
        <f>Financials!G145</f>
        <v>133.07778816993252</v>
      </c>
      <c r="H134" s="501">
        <f>Financials!H145</f>
        <v>141.56653608728857</v>
      </c>
      <c r="I134" s="501">
        <f>Financials!I145</f>
        <v>183.03003343064401</v>
      </c>
      <c r="J134" s="501">
        <f>Financials!J145</f>
        <v>234.16569041859208</v>
      </c>
      <c r="K134" s="501">
        <f>Financials!K145</f>
        <v>252.43510842841943</v>
      </c>
      <c r="L134" s="501">
        <f>Financials!L145</f>
        <v>232.47359880392881</v>
      </c>
      <c r="M134" s="501">
        <f>Financials!M145</f>
        <v>266.52190458495249</v>
      </c>
      <c r="N134" s="501">
        <f>Financials!N145</f>
        <v>300.6553362336</v>
      </c>
      <c r="O134" s="501">
        <f>Base!O$145</f>
        <v>321.94334175212663</v>
      </c>
      <c r="P134" s="948">
        <f>Base!P$145</f>
        <v>293.38421428004693</v>
      </c>
      <c r="Q134" s="948">
        <f>Base!Q$145</f>
        <v>277.35673544152144</v>
      </c>
      <c r="R134" s="948">
        <f>Base!R$145</f>
        <v>269.82799260597517</v>
      </c>
      <c r="S134" s="948">
        <f>Base!S$145</f>
        <v>257.70367276934741</v>
      </c>
      <c r="T134" s="948">
        <f>Base!T$145</f>
        <v>247.36809187387254</v>
      </c>
      <c r="U134" s="948">
        <f>Base!U$145</f>
        <v>244.86473157450789</v>
      </c>
      <c r="V134" s="948">
        <f>Base!V$145</f>
        <v>247.87694513334853</v>
      </c>
      <c r="W134" s="948">
        <f>Base!W$145</f>
        <v>251.30147722739827</v>
      </c>
    </row>
    <row r="135" spans="1:23">
      <c r="A135" s="52" t="s">
        <v>78</v>
      </c>
      <c r="B135" s="492"/>
      <c r="C135" s="492"/>
      <c r="D135" s="492"/>
      <c r="E135" s="492"/>
      <c r="F135" s="424">
        <f t="shared" ref="F135:K135" si="143">F134</f>
        <v>628.50358939163448</v>
      </c>
      <c r="G135" s="501">
        <f t="shared" si="143"/>
        <v>133.07778816993252</v>
      </c>
      <c r="H135" s="501">
        <f t="shared" si="143"/>
        <v>141.56653608728857</v>
      </c>
      <c r="I135" s="501">
        <f t="shared" si="143"/>
        <v>183.03003343064401</v>
      </c>
      <c r="J135" s="501">
        <f t="shared" si="143"/>
        <v>234.16569041859208</v>
      </c>
      <c r="K135" s="501">
        <f t="shared" si="143"/>
        <v>252.43510842841943</v>
      </c>
      <c r="L135" s="501">
        <f t="shared" ref="L135" si="144">L134</f>
        <v>232.47359880392881</v>
      </c>
      <c r="M135" s="501">
        <f>M134</f>
        <v>266.52190458495249</v>
      </c>
      <c r="N135" s="501">
        <f>N134</f>
        <v>300.6553362336</v>
      </c>
      <c r="O135" s="501">
        <f>Bull!O$145</f>
        <v>358.91268593833138</v>
      </c>
      <c r="P135" s="948">
        <f>Bull!P$145</f>
        <v>320.88456781690581</v>
      </c>
      <c r="Q135" s="948">
        <f>Bull!Q$145</f>
        <v>294.65638740758334</v>
      </c>
      <c r="R135" s="948">
        <f>Bull!R$145</f>
        <v>277.82706539907338</v>
      </c>
      <c r="S135" s="948">
        <f>Bull!S$145</f>
        <v>255.01361189452925</v>
      </c>
      <c r="T135" s="948">
        <f>Bull!T$145</f>
        <v>234.98190804149388</v>
      </c>
      <c r="U135" s="948">
        <f>Bull!U$145</f>
        <v>227.42801046000415</v>
      </c>
      <c r="V135" s="948">
        <f>Bull!V$145</f>
        <v>229.41075223737406</v>
      </c>
      <c r="W135" s="948">
        <f>Bull!W$145</f>
        <v>230.82194941336721</v>
      </c>
    </row>
    <row r="136" spans="1:23">
      <c r="B136" s="503"/>
      <c r="C136" s="503"/>
      <c r="D136" s="503"/>
      <c r="E136" s="503"/>
      <c r="F136" s="372"/>
      <c r="G136" s="506"/>
      <c r="H136" s="506"/>
      <c r="I136" s="506"/>
      <c r="J136" s="506"/>
      <c r="K136" s="506"/>
      <c r="L136" s="506"/>
      <c r="M136" s="506"/>
      <c r="N136" s="506"/>
      <c r="O136" s="506"/>
      <c r="P136" s="506"/>
      <c r="Q136" s="506"/>
      <c r="R136" s="506"/>
      <c r="S136" s="506"/>
      <c r="T136" s="506"/>
      <c r="U136" s="506"/>
      <c r="V136" s="506"/>
      <c r="W136" s="506"/>
    </row>
    <row r="137" spans="1:23">
      <c r="A137" s="674" t="s">
        <v>1122</v>
      </c>
      <c r="B137" s="675">
        <f t="shared" ref="B137:W137" si="145">B$7</f>
        <v>2004</v>
      </c>
      <c r="C137" s="675">
        <f t="shared" si="145"/>
        <v>2005</v>
      </c>
      <c r="D137" s="675">
        <f t="shared" si="145"/>
        <v>2006</v>
      </c>
      <c r="E137" s="675">
        <f t="shared" si="145"/>
        <v>2007</v>
      </c>
      <c r="F137" s="675">
        <f t="shared" si="145"/>
        <v>2008</v>
      </c>
      <c r="G137" s="675">
        <f t="shared" si="145"/>
        <v>2009</v>
      </c>
      <c r="H137" s="675">
        <f t="shared" si="145"/>
        <v>2010</v>
      </c>
      <c r="I137" s="675">
        <f t="shared" si="145"/>
        <v>2011</v>
      </c>
      <c r="J137" s="675">
        <f t="shared" si="145"/>
        <v>2012</v>
      </c>
      <c r="K137" s="675">
        <f t="shared" si="145"/>
        <v>2013</v>
      </c>
      <c r="L137" s="675">
        <f t="shared" si="145"/>
        <v>2014</v>
      </c>
      <c r="M137" s="675">
        <f t="shared" si="145"/>
        <v>2015</v>
      </c>
      <c r="N137" s="675">
        <f t="shared" si="145"/>
        <v>2016</v>
      </c>
      <c r="O137" s="675">
        <f t="shared" si="145"/>
        <v>2017</v>
      </c>
      <c r="P137" s="490" t="str">
        <f t="shared" si="145"/>
        <v>2018E</v>
      </c>
      <c r="Q137" s="490" t="str">
        <f t="shared" si="145"/>
        <v>2019E</v>
      </c>
      <c r="R137" s="490" t="str">
        <f t="shared" si="145"/>
        <v>2020E</v>
      </c>
      <c r="S137" s="490" t="str">
        <f t="shared" si="145"/>
        <v>2021E</v>
      </c>
      <c r="T137" s="490" t="str">
        <f t="shared" si="145"/>
        <v>2022E</v>
      </c>
      <c r="U137" s="490" t="str">
        <f t="shared" si="145"/>
        <v>2023E</v>
      </c>
      <c r="V137" s="490" t="str">
        <f t="shared" si="145"/>
        <v>2024E</v>
      </c>
      <c r="W137" s="490" t="str">
        <f t="shared" si="145"/>
        <v>2025E</v>
      </c>
    </row>
    <row r="138" spans="1:23">
      <c r="A138" s="52" t="s">
        <v>79</v>
      </c>
      <c r="B138" s="1080">
        <f t="shared" ref="B138:R138" si="146">B98/B33</f>
        <v>2.2644019492668508</v>
      </c>
      <c r="C138" s="1080">
        <f t="shared" si="146"/>
        <v>1.0451597081723993</v>
      </c>
      <c r="D138" s="1080">
        <f t="shared" si="146"/>
        <v>0.42767799224683495</v>
      </c>
      <c r="E138" s="1080">
        <f t="shared" si="146"/>
        <v>-0.1130950094371756</v>
      </c>
      <c r="F138" s="1080">
        <f t="shared" si="146"/>
        <v>4.0414261565905578</v>
      </c>
      <c r="G138" s="1080">
        <f t="shared" si="146"/>
        <v>3.8724437554229603</v>
      </c>
      <c r="H138" s="1080">
        <f t="shared" si="146"/>
        <v>1.9089434419244411</v>
      </c>
      <c r="I138" s="1080">
        <f t="shared" si="146"/>
        <v>0.91036945969434302</v>
      </c>
      <c r="J138" s="1080">
        <f t="shared" si="146"/>
        <v>1.4349824504192157</v>
      </c>
      <c r="K138" s="1080">
        <f t="shared" si="146"/>
        <v>2.0676874923284654</v>
      </c>
      <c r="L138" s="1080">
        <f t="shared" si="146"/>
        <v>2.048022971154269</v>
      </c>
      <c r="M138" s="1080">
        <f t="shared" si="146"/>
        <v>2.1976239600959611</v>
      </c>
      <c r="N138" s="1080">
        <f t="shared" ref="N138" si="147">N98/N33</f>
        <v>2.2002000301016174</v>
      </c>
      <c r="O138" s="1080">
        <f t="shared" si="146"/>
        <v>1.7634530094890739</v>
      </c>
      <c r="P138" s="1844">
        <f t="shared" si="146"/>
        <v>1.526652091456522</v>
      </c>
      <c r="Q138" s="1844">
        <f t="shared" si="146"/>
        <v>1.7541803692403124</v>
      </c>
      <c r="R138" s="1844">
        <f t="shared" si="146"/>
        <v>1.4032805865127804</v>
      </c>
      <c r="S138" s="1844">
        <f t="shared" ref="S138:W138" si="148">S98/S33</f>
        <v>1.2231442065037164</v>
      </c>
      <c r="T138" s="1844">
        <f t="shared" si="148"/>
        <v>1.3514658277328604</v>
      </c>
      <c r="U138" s="1844">
        <f t="shared" si="148"/>
        <v>1.6291628354019292</v>
      </c>
      <c r="V138" s="1844">
        <f t="shared" si="148"/>
        <v>1.743603321670621</v>
      </c>
      <c r="W138" s="1844">
        <f t="shared" si="148"/>
        <v>1.6509261719769648</v>
      </c>
    </row>
    <row r="139" spans="1:23">
      <c r="A139" s="52" t="s">
        <v>77</v>
      </c>
      <c r="B139" s="1080">
        <f t="shared" ref="B139:R139" si="149">B99/B34</f>
        <v>2.2644019492668508</v>
      </c>
      <c r="C139" s="1080">
        <f t="shared" si="149"/>
        <v>1.0451597081723993</v>
      </c>
      <c r="D139" s="1080">
        <f t="shared" si="149"/>
        <v>0.42767799224683495</v>
      </c>
      <c r="E139" s="1080">
        <f t="shared" si="149"/>
        <v>-0.1130950094371756</v>
      </c>
      <c r="F139" s="1080">
        <f t="shared" si="149"/>
        <v>4.0414261565905578</v>
      </c>
      <c r="G139" s="1080">
        <f t="shared" si="149"/>
        <v>3.8724437554229603</v>
      </c>
      <c r="H139" s="1080">
        <f t="shared" si="149"/>
        <v>1.9089434419244411</v>
      </c>
      <c r="I139" s="1080">
        <f t="shared" si="149"/>
        <v>0.91036945969434302</v>
      </c>
      <c r="J139" s="1080">
        <f t="shared" si="149"/>
        <v>1.4349824504192157</v>
      </c>
      <c r="K139" s="1080">
        <f t="shared" si="149"/>
        <v>2.0676874923284654</v>
      </c>
      <c r="L139" s="1080">
        <f t="shared" si="149"/>
        <v>2.048022971154269</v>
      </c>
      <c r="M139" s="1080">
        <f t="shared" si="149"/>
        <v>2.1976239600959611</v>
      </c>
      <c r="N139" s="1080">
        <f t="shared" ref="N139" si="150">N99/N34</f>
        <v>2.2002000301016174</v>
      </c>
      <c r="O139" s="1080">
        <f t="shared" si="149"/>
        <v>1.7634530094890739</v>
      </c>
      <c r="P139" s="1844">
        <f t="shared" si="149"/>
        <v>1.279442490948657</v>
      </c>
      <c r="Q139" s="1844">
        <f t="shared" si="149"/>
        <v>1.1196988856373464</v>
      </c>
      <c r="R139" s="1844">
        <f t="shared" si="149"/>
        <v>0.98643440600281629</v>
      </c>
      <c r="S139" s="1844">
        <f t="shared" ref="S139:W139" si="151">S99/S34</f>
        <v>0.77709070619931553</v>
      </c>
      <c r="T139" s="1844">
        <f t="shared" si="151"/>
        <v>0.64800237465439525</v>
      </c>
      <c r="U139" s="1844">
        <f t="shared" si="151"/>
        <v>0.74393804111985284</v>
      </c>
      <c r="V139" s="1844">
        <f t="shared" si="151"/>
        <v>0.91441564201886139</v>
      </c>
      <c r="W139" s="1844">
        <f t="shared" si="151"/>
        <v>0.82414613675650716</v>
      </c>
    </row>
    <row r="140" spans="1:23">
      <c r="A140" s="52" t="s">
        <v>78</v>
      </c>
      <c r="B140" s="1080">
        <f t="shared" ref="B140:R140" si="152">B100/B35</f>
        <v>2.2644019492668508</v>
      </c>
      <c r="C140" s="1080">
        <f t="shared" si="152"/>
        <v>1.0451597081723993</v>
      </c>
      <c r="D140" s="1080">
        <f t="shared" si="152"/>
        <v>0.42767799224683495</v>
      </c>
      <c r="E140" s="1080">
        <f t="shared" si="152"/>
        <v>-0.1130950094371756</v>
      </c>
      <c r="F140" s="1080">
        <f t="shared" si="152"/>
        <v>4.0414261565905578</v>
      </c>
      <c r="G140" s="1080">
        <f t="shared" si="152"/>
        <v>3.8724437554229603</v>
      </c>
      <c r="H140" s="1080">
        <f t="shared" si="152"/>
        <v>1.9089434419244411</v>
      </c>
      <c r="I140" s="1080">
        <f t="shared" si="152"/>
        <v>0.91036945969434302</v>
      </c>
      <c r="J140" s="1080">
        <f t="shared" si="152"/>
        <v>1.4349824504192157</v>
      </c>
      <c r="K140" s="1080">
        <f t="shared" si="152"/>
        <v>2.0676874923284654</v>
      </c>
      <c r="L140" s="1080">
        <f t="shared" si="152"/>
        <v>2.048022971154269</v>
      </c>
      <c r="M140" s="1080">
        <f t="shared" si="152"/>
        <v>2.1976239600959611</v>
      </c>
      <c r="N140" s="1080">
        <f t="shared" ref="N140" si="153">N100/N35</f>
        <v>2.2002000301016174</v>
      </c>
      <c r="O140" s="1080">
        <f t="shared" si="152"/>
        <v>1.7634530094890739</v>
      </c>
      <c r="P140" s="1844">
        <f t="shared" si="152"/>
        <v>1.0355269766801247</v>
      </c>
      <c r="Q140" s="1844">
        <f t="shared" si="152"/>
        <v>0.70841939301484536</v>
      </c>
      <c r="R140" s="1844">
        <f t="shared" si="152"/>
        <v>0.48800621256691679</v>
      </c>
      <c r="S140" s="1844">
        <f t="shared" ref="S140:W140" si="154">S100/S35</f>
        <v>0.28683836498104598</v>
      </c>
      <c r="T140" s="1844">
        <f t="shared" si="154"/>
        <v>0.14106204646364462</v>
      </c>
      <c r="U140" s="1844">
        <f t="shared" si="154"/>
        <v>0.116531361945519</v>
      </c>
      <c r="V140" s="1844">
        <f t="shared" si="154"/>
        <v>0.17974498011644038</v>
      </c>
      <c r="W140" s="1844">
        <f t="shared" si="154"/>
        <v>0.20604377739320354</v>
      </c>
    </row>
    <row r="141" spans="1:23">
      <c r="A141" s="52" t="s">
        <v>1612</v>
      </c>
      <c r="B141" s="514" t="e">
        <f>NA()</f>
        <v>#N/A</v>
      </c>
      <c r="C141" s="514" t="e">
        <f>NA()</f>
        <v>#N/A</v>
      </c>
      <c r="D141" s="514" t="e">
        <f>NA()</f>
        <v>#N/A</v>
      </c>
      <c r="E141" s="514" t="e">
        <f>NA()</f>
        <v>#N/A</v>
      </c>
      <c r="F141" s="514" t="e">
        <f>NA()</f>
        <v>#N/A</v>
      </c>
      <c r="G141" s="514" t="e">
        <f>NA()</f>
        <v>#N/A</v>
      </c>
      <c r="H141" s="514" t="e">
        <f>NA()</f>
        <v>#N/A</v>
      </c>
      <c r="I141" s="514" t="e">
        <f>NA()</f>
        <v>#N/A</v>
      </c>
      <c r="J141" s="514" t="e">
        <f>NA()</f>
        <v>#N/A</v>
      </c>
      <c r="K141" s="514" t="e">
        <f>NA()</f>
        <v>#N/A</v>
      </c>
      <c r="L141" s="514" t="e">
        <f>NA()</f>
        <v>#N/A</v>
      </c>
      <c r="M141" s="514" t="e">
        <f>NA()</f>
        <v>#N/A</v>
      </c>
      <c r="N141" s="514" t="e">
        <f>NA()</f>
        <v>#N/A</v>
      </c>
      <c r="O141" s="514" t="e">
        <f>NA()</f>
        <v>#N/A</v>
      </c>
      <c r="P141" s="509">
        <v>1</v>
      </c>
      <c r="Q141" s="509">
        <v>1</v>
      </c>
      <c r="R141" s="509">
        <v>1</v>
      </c>
      <c r="S141" s="509">
        <v>1</v>
      </c>
      <c r="T141" s="509">
        <v>1</v>
      </c>
      <c r="U141" s="509">
        <v>1</v>
      </c>
      <c r="V141" s="509">
        <v>1</v>
      </c>
      <c r="W141" s="509">
        <v>1</v>
      </c>
    </row>
    <row r="142" spans="1:23">
      <c r="A142" s="674" t="s">
        <v>333</v>
      </c>
      <c r="B142" s="675">
        <f t="shared" ref="B142:W142" si="155">B$7</f>
        <v>2004</v>
      </c>
      <c r="C142" s="675">
        <f t="shared" si="155"/>
        <v>2005</v>
      </c>
      <c r="D142" s="675">
        <f t="shared" si="155"/>
        <v>2006</v>
      </c>
      <c r="E142" s="675">
        <f t="shared" si="155"/>
        <v>2007</v>
      </c>
      <c r="F142" s="675">
        <f t="shared" si="155"/>
        <v>2008</v>
      </c>
      <c r="G142" s="675">
        <f t="shared" si="155"/>
        <v>2009</v>
      </c>
      <c r="H142" s="675">
        <f t="shared" si="155"/>
        <v>2010</v>
      </c>
      <c r="I142" s="675">
        <f t="shared" si="155"/>
        <v>2011</v>
      </c>
      <c r="J142" s="675">
        <f t="shared" si="155"/>
        <v>2012</v>
      </c>
      <c r="K142" s="675">
        <f t="shared" si="155"/>
        <v>2013</v>
      </c>
      <c r="L142" s="675">
        <f t="shared" si="155"/>
        <v>2014</v>
      </c>
      <c r="M142" s="675">
        <f t="shared" si="155"/>
        <v>2015</v>
      </c>
      <c r="N142" s="675">
        <f t="shared" si="155"/>
        <v>2016</v>
      </c>
      <c r="O142" s="675">
        <f t="shared" si="155"/>
        <v>2017</v>
      </c>
      <c r="P142" s="490" t="str">
        <f t="shared" si="155"/>
        <v>2018E</v>
      </c>
      <c r="Q142" s="490" t="str">
        <f t="shared" si="155"/>
        <v>2019E</v>
      </c>
      <c r="R142" s="490" t="str">
        <f t="shared" si="155"/>
        <v>2020E</v>
      </c>
      <c r="S142" s="490" t="str">
        <f t="shared" si="155"/>
        <v>2021E</v>
      </c>
      <c r="T142" s="490" t="str">
        <f t="shared" si="155"/>
        <v>2022E</v>
      </c>
      <c r="U142" s="490" t="str">
        <f t="shared" si="155"/>
        <v>2023E</v>
      </c>
      <c r="V142" s="490" t="str">
        <f t="shared" si="155"/>
        <v>2024E</v>
      </c>
      <c r="W142" s="490" t="str">
        <f t="shared" si="155"/>
        <v>2025E</v>
      </c>
    </row>
    <row r="143" spans="1:23">
      <c r="A143" s="52" t="s">
        <v>79</v>
      </c>
      <c r="B143" s="492"/>
      <c r="C143" s="492"/>
      <c r="D143" s="492"/>
      <c r="E143" s="492"/>
      <c r="F143" s="495">
        <f>F144</f>
        <v>4.9600666264101321</v>
      </c>
      <c r="G143" s="495">
        <f t="shared" ref="G143:N143" si="156">G144</f>
        <v>0.74586228043278302</v>
      </c>
      <c r="H143" s="495">
        <f t="shared" si="156"/>
        <v>0.87953262584771807</v>
      </c>
      <c r="I143" s="495">
        <f t="shared" si="156"/>
        <v>1.3727560501396008</v>
      </c>
      <c r="J143" s="495">
        <f t="shared" si="156"/>
        <v>1.2241971439916555</v>
      </c>
      <c r="K143" s="495">
        <f t="shared" si="156"/>
        <v>1.4282465104300308</v>
      </c>
      <c r="L143" s="495">
        <f t="shared" si="156"/>
        <v>1.5930324978612223</v>
      </c>
      <c r="M143" s="495">
        <f t="shared" si="156"/>
        <v>1.5983666432856729</v>
      </c>
      <c r="N143" s="495">
        <f t="shared" si="156"/>
        <v>2.0133092193484692</v>
      </c>
      <c r="O143" s="495">
        <f>Bear!O$144</f>
        <v>1.6896394079898456</v>
      </c>
      <c r="P143" s="493">
        <f>Bear!P$144</f>
        <v>1.9398070318912974</v>
      </c>
      <c r="Q143" s="493">
        <f>Bear!Q$144</f>
        <v>1.9152047523759017</v>
      </c>
      <c r="R143" s="493">
        <f>Bear!R$144</f>
        <v>1.8450644015792852</v>
      </c>
      <c r="S143" s="493">
        <f>Bear!S$144</f>
        <v>1.766076722689939</v>
      </c>
      <c r="T143" s="493">
        <f>Bear!T$144</f>
        <v>1.7076620281320336</v>
      </c>
      <c r="U143" s="493">
        <f>Bear!U$144</f>
        <v>1.7076620281320336</v>
      </c>
      <c r="V143" s="493">
        <f>Bear!V$144</f>
        <v>1.7076620281320336</v>
      </c>
      <c r="W143" s="493">
        <f>Bear!W$144</f>
        <v>1.7076620281320336</v>
      </c>
    </row>
    <row r="144" spans="1:23">
      <c r="A144" s="52" t="s">
        <v>77</v>
      </c>
      <c r="B144" s="498"/>
      <c r="C144" s="498"/>
      <c r="D144" s="498"/>
      <c r="E144" s="498"/>
      <c r="F144" s="509">
        <f>Financials!F144</f>
        <v>4.9600666264101321</v>
      </c>
      <c r="G144" s="495">
        <f>Financials!G144</f>
        <v>0.74586228043278302</v>
      </c>
      <c r="H144" s="495">
        <f>Financials!H144</f>
        <v>0.87953262584771807</v>
      </c>
      <c r="I144" s="495">
        <f>Financials!I144</f>
        <v>1.3727560501396008</v>
      </c>
      <c r="J144" s="495">
        <f>Financials!J144</f>
        <v>1.2241971439916555</v>
      </c>
      <c r="K144" s="495">
        <f>Financials!K144</f>
        <v>1.4282465104300308</v>
      </c>
      <c r="L144" s="495">
        <f>Financials!L144</f>
        <v>1.5930324978612223</v>
      </c>
      <c r="M144" s="495">
        <f>Financials!M144</f>
        <v>1.5983666432856729</v>
      </c>
      <c r="N144" s="495">
        <f>Financials!N144</f>
        <v>2.0133092193484692</v>
      </c>
      <c r="O144" s="495">
        <f>Base!O$144</f>
        <v>1.6896394079898456</v>
      </c>
      <c r="P144" s="493">
        <f>Base!P$144</f>
        <v>1.9038558625009177</v>
      </c>
      <c r="Q144" s="493">
        <f>Base!Q$144</f>
        <v>1.8085354868006116</v>
      </c>
      <c r="R144" s="493">
        <f>Base!R$144</f>
        <v>1.7142813016548972</v>
      </c>
      <c r="S144" s="493">
        <f>Base!S$144</f>
        <v>1.6137570635533502</v>
      </c>
      <c r="T144" s="493">
        <f>Base!T$144</f>
        <v>1.5192223891044287</v>
      </c>
      <c r="U144" s="493">
        <f>Base!U$144</f>
        <v>1.5192223891044287</v>
      </c>
      <c r="V144" s="493">
        <f>Base!V$144</f>
        <v>1.519222389104429</v>
      </c>
      <c r="W144" s="493">
        <f>Base!W$144</f>
        <v>1.519222389104429</v>
      </c>
    </row>
    <row r="145" spans="1:23">
      <c r="A145" s="52" t="s">
        <v>78</v>
      </c>
      <c r="B145" s="492"/>
      <c r="C145" s="492"/>
      <c r="D145" s="492"/>
      <c r="E145" s="492"/>
      <c r="F145" s="495">
        <f>F144</f>
        <v>4.9600666264101321</v>
      </c>
      <c r="G145" s="495">
        <f t="shared" ref="G145:K145" si="157">G144</f>
        <v>0.74586228043278302</v>
      </c>
      <c r="H145" s="495">
        <f t="shared" si="157"/>
        <v>0.87953262584771807</v>
      </c>
      <c r="I145" s="495">
        <f t="shared" si="157"/>
        <v>1.3727560501396008</v>
      </c>
      <c r="J145" s="495">
        <f t="shared" si="157"/>
        <v>1.2241971439916555</v>
      </c>
      <c r="K145" s="495">
        <f t="shared" si="157"/>
        <v>1.4282465104300308</v>
      </c>
      <c r="L145" s="495">
        <f t="shared" ref="L145:M145" si="158">L144</f>
        <v>1.5930324978612223</v>
      </c>
      <c r="M145" s="495">
        <f t="shared" si="158"/>
        <v>1.5983666432856729</v>
      </c>
      <c r="N145" s="495">
        <f t="shared" ref="N145" si="159">N144</f>
        <v>2.0133092193484692</v>
      </c>
      <c r="O145" s="495">
        <f>Bull!O$144</f>
        <v>1.6896394079898456</v>
      </c>
      <c r="P145" s="493">
        <f>Bull!P$144</f>
        <v>1.8566092145686051</v>
      </c>
      <c r="Q145" s="493">
        <f>Bull!Q$144</f>
        <v>1.6972285637281217</v>
      </c>
      <c r="R145" s="493">
        <f>Bull!R$144</f>
        <v>1.5638615919440881</v>
      </c>
      <c r="S145" s="493">
        <f>Bull!S$144</f>
        <v>1.4377377852706719</v>
      </c>
      <c r="T145" s="493">
        <f>Bull!T$144</f>
        <v>1.336913744728391</v>
      </c>
      <c r="U145" s="493">
        <f>Bull!U$144</f>
        <v>1.336913744728391</v>
      </c>
      <c r="V145" s="493">
        <f>Bull!V$144</f>
        <v>1.336913744728391</v>
      </c>
      <c r="W145" s="493">
        <f>Bull!W$144</f>
        <v>1.336913744728391</v>
      </c>
    </row>
    <row r="146" spans="1:23">
      <c r="B146" s="503"/>
      <c r="C146" s="503"/>
      <c r="D146" s="503"/>
      <c r="E146" s="503"/>
      <c r="F146" s="103"/>
      <c r="G146" s="506"/>
      <c r="H146" s="506"/>
      <c r="I146" s="506"/>
      <c r="J146" s="506"/>
      <c r="K146" s="506"/>
      <c r="L146" s="506"/>
      <c r="M146" s="506"/>
      <c r="N146" s="506"/>
      <c r="O146" s="506"/>
      <c r="P146" s="506"/>
      <c r="Q146" s="506"/>
      <c r="R146" s="506"/>
      <c r="S146" s="506"/>
      <c r="T146" s="506"/>
      <c r="U146" s="506"/>
      <c r="V146" s="506"/>
      <c r="W146" s="506"/>
    </row>
    <row r="147" spans="1:23">
      <c r="A147" s="674" t="s">
        <v>1042</v>
      </c>
      <c r="B147" s="675">
        <f t="shared" ref="B147:W147" si="160">B$7</f>
        <v>2004</v>
      </c>
      <c r="C147" s="675">
        <f t="shared" si="160"/>
        <v>2005</v>
      </c>
      <c r="D147" s="675">
        <f t="shared" si="160"/>
        <v>2006</v>
      </c>
      <c r="E147" s="675">
        <f t="shared" si="160"/>
        <v>2007</v>
      </c>
      <c r="F147" s="675">
        <f t="shared" si="160"/>
        <v>2008</v>
      </c>
      <c r="G147" s="675">
        <f t="shared" si="160"/>
        <v>2009</v>
      </c>
      <c r="H147" s="675">
        <f t="shared" si="160"/>
        <v>2010</v>
      </c>
      <c r="I147" s="675">
        <f t="shared" si="160"/>
        <v>2011</v>
      </c>
      <c r="J147" s="675">
        <f t="shared" si="160"/>
        <v>2012</v>
      </c>
      <c r="K147" s="675">
        <f t="shared" si="160"/>
        <v>2013</v>
      </c>
      <c r="L147" s="675">
        <f t="shared" si="160"/>
        <v>2014</v>
      </c>
      <c r="M147" s="675">
        <f t="shared" si="160"/>
        <v>2015</v>
      </c>
      <c r="N147" s="675">
        <f t="shared" si="160"/>
        <v>2016</v>
      </c>
      <c r="O147" s="675">
        <f t="shared" si="160"/>
        <v>2017</v>
      </c>
      <c r="P147" s="490" t="str">
        <f t="shared" si="160"/>
        <v>2018E</v>
      </c>
      <c r="Q147" s="490" t="str">
        <f t="shared" si="160"/>
        <v>2019E</v>
      </c>
      <c r="R147" s="490" t="str">
        <f t="shared" si="160"/>
        <v>2020E</v>
      </c>
      <c r="S147" s="490" t="str">
        <f t="shared" si="160"/>
        <v>2021E</v>
      </c>
      <c r="T147" s="490" t="str">
        <f t="shared" si="160"/>
        <v>2022E</v>
      </c>
      <c r="U147" s="490" t="str">
        <f t="shared" si="160"/>
        <v>2023E</v>
      </c>
      <c r="V147" s="490" t="str">
        <f t="shared" si="160"/>
        <v>2024E</v>
      </c>
      <c r="W147" s="490" t="str">
        <f t="shared" si="160"/>
        <v>2025E</v>
      </c>
    </row>
    <row r="148" spans="1:23">
      <c r="A148" s="52" t="s">
        <v>79</v>
      </c>
      <c r="B148" s="495"/>
      <c r="C148" s="495"/>
      <c r="D148" s="495"/>
      <c r="E148" s="495"/>
      <c r="F148" s="184">
        <f t="shared" ref="F148:J148" si="161">F149</f>
        <v>-5.0124410060523476E-2</v>
      </c>
      <c r="G148" s="184">
        <f t="shared" si="161"/>
        <v>-0.3513558341438609</v>
      </c>
      <c r="H148" s="184">
        <f t="shared" si="161"/>
        <v>0.11052347863815346</v>
      </c>
      <c r="I148" s="184">
        <f t="shared" si="161"/>
        <v>-5.848953319027117E-2</v>
      </c>
      <c r="J148" s="184">
        <f t="shared" si="161"/>
        <v>-7.6565741831541384E-2</v>
      </c>
      <c r="K148" s="184">
        <f>K149</f>
        <v>-0.10377552768251461</v>
      </c>
      <c r="L148" s="184">
        <f>L149</f>
        <v>-2.9081970415405452E-2</v>
      </c>
      <c r="M148" s="184">
        <f>M149</f>
        <v>-3.5030146147412948E-2</v>
      </c>
      <c r="N148" s="184">
        <f>N149</f>
        <v>5.4159347937359957E-2</v>
      </c>
      <c r="O148" s="184">
        <f>Bear!O$158</f>
        <v>-5.3719894536635518E-3</v>
      </c>
      <c r="P148" s="109">
        <f>Bear!P$158</f>
        <v>6.4487380620212614E-2</v>
      </c>
      <c r="Q148" s="109">
        <f>Bear!Q$158</f>
        <v>3.8586113075455425E-2</v>
      </c>
      <c r="R148" s="111">
        <f>Bear!R$158</f>
        <v>7.3854970870353628E-2</v>
      </c>
      <c r="S148" s="111">
        <f>Bear!S$158</f>
        <v>6.8411677947431179E-2</v>
      </c>
      <c r="T148" s="111">
        <f>Bear!T$158</f>
        <v>4.7709681676386916E-2</v>
      </c>
      <c r="U148" s="111">
        <f>Bear!U$158</f>
        <v>2.0125293096405161E-2</v>
      </c>
      <c r="V148" s="111">
        <f>Bear!V$158</f>
        <v>-1.1249812505386834E-2</v>
      </c>
      <c r="W148" s="111">
        <f>Bear!W$158</f>
        <v>9.5099599152469877E-3</v>
      </c>
    </row>
    <row r="149" spans="1:23">
      <c r="A149" s="52" t="s">
        <v>77</v>
      </c>
      <c r="B149" s="505"/>
      <c r="C149" s="505"/>
      <c r="D149" s="505"/>
      <c r="E149" s="505"/>
      <c r="F149" s="419">
        <f>Financials!F158</f>
        <v>-5.0124410060523476E-2</v>
      </c>
      <c r="G149" s="419">
        <f>Financials!G158</f>
        <v>-0.3513558341438609</v>
      </c>
      <c r="H149" s="419">
        <f>Financials!H158</f>
        <v>0.11052347863815346</v>
      </c>
      <c r="I149" s="419">
        <f>Financials!I158</f>
        <v>-5.848953319027117E-2</v>
      </c>
      <c r="J149" s="419">
        <f>Financials!J158</f>
        <v>-7.6565741831541384E-2</v>
      </c>
      <c r="K149" s="419">
        <f>Financials!K158</f>
        <v>-0.10377552768251461</v>
      </c>
      <c r="L149" s="419">
        <f>Financials!L158</f>
        <v>-2.9081970415405452E-2</v>
      </c>
      <c r="M149" s="419">
        <f>Financials!M158</f>
        <v>-3.5030146147412948E-2</v>
      </c>
      <c r="N149" s="419">
        <f>Financials!N158</f>
        <v>5.4159347937359957E-2</v>
      </c>
      <c r="O149" s="419">
        <f>Base!O$158</f>
        <v>-5.3719894536635518E-3</v>
      </c>
      <c r="P149" s="109">
        <f>Base!P$158</f>
        <v>7.9625682315585686E-2</v>
      </c>
      <c r="Q149" s="109">
        <f>Base!Q$158</f>
        <v>9.1233173022466557E-2</v>
      </c>
      <c r="R149" s="109">
        <f>Base!R$158</f>
        <v>9.0782607101645554E-2</v>
      </c>
      <c r="S149" s="109">
        <f>Base!S$158</f>
        <v>0.11865551878056044</v>
      </c>
      <c r="T149" s="109">
        <f>Base!T$158</f>
        <v>0.1333974952023535</v>
      </c>
      <c r="U149" s="109">
        <f>Base!U$158</f>
        <v>0.10854425338092265</v>
      </c>
      <c r="V149" s="109">
        <f>Base!V$158</f>
        <v>5.7405146744420529E-2</v>
      </c>
      <c r="W149" s="109">
        <f>Base!W$158</f>
        <v>8.4622588581220778E-2</v>
      </c>
    </row>
    <row r="150" spans="1:23">
      <c r="A150" s="52" t="s">
        <v>78</v>
      </c>
      <c r="B150" s="495"/>
      <c r="C150" s="495"/>
      <c r="D150" s="495"/>
      <c r="E150" s="495"/>
      <c r="F150" s="184">
        <f t="shared" ref="F150:J150" si="162">F149</f>
        <v>-5.0124410060523476E-2</v>
      </c>
      <c r="G150" s="184">
        <f t="shared" si="162"/>
        <v>-0.3513558341438609</v>
      </c>
      <c r="H150" s="184">
        <f t="shared" si="162"/>
        <v>0.11052347863815346</v>
      </c>
      <c r="I150" s="184">
        <f t="shared" si="162"/>
        <v>-5.848953319027117E-2</v>
      </c>
      <c r="J150" s="184">
        <f t="shared" si="162"/>
        <v>-7.6565741831541384E-2</v>
      </c>
      <c r="K150" s="184">
        <f>K149</f>
        <v>-0.10377552768251461</v>
      </c>
      <c r="L150" s="184">
        <f>L149</f>
        <v>-2.9081970415405452E-2</v>
      </c>
      <c r="M150" s="184">
        <f>M149</f>
        <v>-3.5030146147412948E-2</v>
      </c>
      <c r="N150" s="184">
        <f>N149</f>
        <v>5.4159347937359957E-2</v>
      </c>
      <c r="O150" s="184">
        <f>Bull!O$158</f>
        <v>-5.3719894536635518E-3</v>
      </c>
      <c r="P150" s="109">
        <f>Bull!P$158</f>
        <v>7.1802875093175053E-2</v>
      </c>
      <c r="Q150" s="109">
        <f>Bull!Q$158</f>
        <v>9.6042089334543113E-2</v>
      </c>
      <c r="R150" s="109">
        <f>Bull!R$158</f>
        <v>0.1121484606799536</v>
      </c>
      <c r="S150" s="109">
        <f>Bull!S$158</f>
        <v>0.13344355973690719</v>
      </c>
      <c r="T150" s="109">
        <f>Bull!T$158</f>
        <v>0.12836081818745049</v>
      </c>
      <c r="U150" s="109">
        <f>Bull!U$158</f>
        <v>0.12138969654508444</v>
      </c>
      <c r="V150" s="109">
        <f>Bull!V$158</f>
        <v>9.9732218068504408E-2</v>
      </c>
      <c r="W150" s="109">
        <f>Bull!W$158</f>
        <v>0.1136745336410586</v>
      </c>
    </row>
    <row r="151" spans="1:23">
      <c r="A151" s="494"/>
      <c r="B151" s="492"/>
      <c r="C151" s="492"/>
      <c r="D151" s="492"/>
      <c r="E151" s="492"/>
      <c r="F151" s="424"/>
      <c r="G151" s="158"/>
      <c r="H151" s="158"/>
      <c r="I151" s="158"/>
      <c r="J151" s="158"/>
      <c r="K151" s="158"/>
      <c r="L151" s="158"/>
      <c r="M151" s="158"/>
      <c r="N151" s="158"/>
      <c r="O151" s="158"/>
      <c r="P151" s="158"/>
      <c r="Q151" s="158"/>
      <c r="R151" s="158"/>
      <c r="S151" s="158"/>
      <c r="T151" s="158"/>
      <c r="U151" s="158"/>
      <c r="V151" s="158"/>
      <c r="W151" s="158"/>
    </row>
    <row r="152" spans="1:23">
      <c r="A152" s="674" t="s">
        <v>268</v>
      </c>
      <c r="B152" s="675">
        <f t="shared" ref="B152:W152" si="163">B$7</f>
        <v>2004</v>
      </c>
      <c r="C152" s="675">
        <f t="shared" si="163"/>
        <v>2005</v>
      </c>
      <c r="D152" s="675">
        <f t="shared" si="163"/>
        <v>2006</v>
      </c>
      <c r="E152" s="675">
        <f t="shared" si="163"/>
        <v>2007</v>
      </c>
      <c r="F152" s="675">
        <f t="shared" si="163"/>
        <v>2008</v>
      </c>
      <c r="G152" s="675">
        <f t="shared" si="163"/>
        <v>2009</v>
      </c>
      <c r="H152" s="675">
        <f t="shared" si="163"/>
        <v>2010</v>
      </c>
      <c r="I152" s="675">
        <f t="shared" si="163"/>
        <v>2011</v>
      </c>
      <c r="J152" s="675">
        <f t="shared" si="163"/>
        <v>2012</v>
      </c>
      <c r="K152" s="675">
        <f t="shared" si="163"/>
        <v>2013</v>
      </c>
      <c r="L152" s="675">
        <f t="shared" si="163"/>
        <v>2014</v>
      </c>
      <c r="M152" s="675">
        <f t="shared" si="163"/>
        <v>2015</v>
      </c>
      <c r="N152" s="675">
        <f t="shared" si="163"/>
        <v>2016</v>
      </c>
      <c r="O152" s="675">
        <f t="shared" si="163"/>
        <v>2017</v>
      </c>
      <c r="P152" s="490" t="str">
        <f t="shared" si="163"/>
        <v>2018E</v>
      </c>
      <c r="Q152" s="490" t="str">
        <f t="shared" si="163"/>
        <v>2019E</v>
      </c>
      <c r="R152" s="490" t="str">
        <f t="shared" si="163"/>
        <v>2020E</v>
      </c>
      <c r="S152" s="490" t="str">
        <f t="shared" si="163"/>
        <v>2021E</v>
      </c>
      <c r="T152" s="490" t="str">
        <f t="shared" si="163"/>
        <v>2022E</v>
      </c>
      <c r="U152" s="490" t="str">
        <f t="shared" si="163"/>
        <v>2023E</v>
      </c>
      <c r="V152" s="490" t="str">
        <f t="shared" si="163"/>
        <v>2024E</v>
      </c>
      <c r="W152" s="490" t="str">
        <f t="shared" si="163"/>
        <v>2025E</v>
      </c>
    </row>
    <row r="153" spans="1:23">
      <c r="A153" s="52" t="s">
        <v>79</v>
      </c>
      <c r="B153" s="510"/>
      <c r="C153" s="510"/>
      <c r="D153" s="510"/>
      <c r="E153" s="510"/>
      <c r="F153" s="120">
        <f t="shared" ref="F153:H153" si="164">F154</f>
        <v>0</v>
      </c>
      <c r="G153" s="120">
        <f t="shared" si="164"/>
        <v>0</v>
      </c>
      <c r="H153" s="120">
        <f t="shared" si="164"/>
        <v>5.5262096774193553E-2</v>
      </c>
      <c r="I153" s="120">
        <f t="shared" ref="I153:N153" si="165">I154</f>
        <v>3.3825757575757572E-2</v>
      </c>
      <c r="J153" s="184">
        <f t="shared" si="165"/>
        <v>4.3839427012278304E-2</v>
      </c>
      <c r="K153" s="184">
        <f t="shared" si="165"/>
        <v>3.003393258426966E-2</v>
      </c>
      <c r="L153" s="184">
        <f t="shared" si="165"/>
        <v>3.6683673469387751E-2</v>
      </c>
      <c r="M153" s="184">
        <f t="shared" si="165"/>
        <v>1.6289519419735474E-2</v>
      </c>
      <c r="N153" s="184">
        <f t="shared" si="165"/>
        <v>9.9974043305346618E-3</v>
      </c>
      <c r="O153" s="184">
        <f>Bear!O$148</f>
        <v>1.2169312169312168E-2</v>
      </c>
      <c r="P153" s="109">
        <f>Bear!P$148</f>
        <v>2.5819723347271256E-2</v>
      </c>
      <c r="Q153" s="109">
        <f>Bear!Q$148</f>
        <v>2.1495968921727285E-2</v>
      </c>
      <c r="R153" s="109">
        <f>Bear!R$148</f>
        <v>4.6314606493319768E-2</v>
      </c>
      <c r="S153" s="109">
        <f>Bear!S$148</f>
        <v>5.6560734561828516E-2</v>
      </c>
      <c r="T153" s="109">
        <f>Bear!T$148</f>
        <v>4.5194689552412598E-2</v>
      </c>
      <c r="U153" s="109">
        <f>Bear!U$148</f>
        <v>4.5788885101705916E-2</v>
      </c>
      <c r="V153" s="109">
        <f>Bear!V$148</f>
        <v>4.3688104113930239E-2</v>
      </c>
      <c r="W153" s="109">
        <f>Bear!W$148</f>
        <v>5.7138652134752665E-2</v>
      </c>
    </row>
    <row r="154" spans="1:23">
      <c r="A154" s="52" t="s">
        <v>77</v>
      </c>
      <c r="B154" s="505"/>
      <c r="C154" s="505"/>
      <c r="D154" s="505"/>
      <c r="E154" s="505"/>
      <c r="F154" s="184">
        <f>Financials!F148</f>
        <v>0</v>
      </c>
      <c r="G154" s="184">
        <f>Financials!G148</f>
        <v>0</v>
      </c>
      <c r="H154" s="184">
        <f>Financials!H148</f>
        <v>5.5262096774193553E-2</v>
      </c>
      <c r="I154" s="184">
        <f>Financials!I148</f>
        <v>3.3825757575757572E-2</v>
      </c>
      <c r="J154" s="184">
        <f>Financials!J148</f>
        <v>4.3839427012278304E-2</v>
      </c>
      <c r="K154" s="184">
        <f>Financials!K148</f>
        <v>3.003393258426966E-2</v>
      </c>
      <c r="L154" s="184">
        <f>Financials!L148</f>
        <v>3.6683673469387751E-2</v>
      </c>
      <c r="M154" s="184">
        <f>Financials!M148</f>
        <v>1.6289519419735474E-2</v>
      </c>
      <c r="N154" s="184">
        <f>Financials!N148</f>
        <v>9.9974043305346618E-3</v>
      </c>
      <c r="O154" s="184">
        <f>Base!O$148</f>
        <v>1.2169312169312168E-2</v>
      </c>
      <c r="P154" s="109">
        <f>Base!P$148</f>
        <v>3.2337650679813618E-2</v>
      </c>
      <c r="Q154" s="109">
        <f>Base!Q$148</f>
        <v>4.2838378638513981E-2</v>
      </c>
      <c r="R154" s="109">
        <f>Base!R$148</f>
        <v>7.0936262977255776E-2</v>
      </c>
      <c r="S154" s="109">
        <f>Base!S$148</f>
        <v>8.4786621665985565E-2</v>
      </c>
      <c r="T154" s="109">
        <f>Base!T$148</f>
        <v>8.9972214497598985E-2</v>
      </c>
      <c r="U154" s="109">
        <f>Base!U$148</f>
        <v>0.10627720912509271</v>
      </c>
      <c r="V154" s="109">
        <f>Base!V$148</f>
        <v>8.9248834994389625E-2</v>
      </c>
      <c r="W154" s="109">
        <f>Base!W$148</f>
        <v>0.11665187684735001</v>
      </c>
    </row>
    <row r="155" spans="1:23">
      <c r="A155" s="52" t="s">
        <v>78</v>
      </c>
      <c r="B155" s="510"/>
      <c r="C155" s="510"/>
      <c r="D155" s="510"/>
      <c r="E155" s="510"/>
      <c r="F155" s="120">
        <f t="shared" ref="F155:H155" si="166">F154</f>
        <v>0</v>
      </c>
      <c r="G155" s="120">
        <f t="shared" si="166"/>
        <v>0</v>
      </c>
      <c r="H155" s="120">
        <f t="shared" si="166"/>
        <v>5.5262096774193553E-2</v>
      </c>
      <c r="I155" s="120">
        <f t="shared" ref="I155:N155" si="167">I154</f>
        <v>3.3825757575757572E-2</v>
      </c>
      <c r="J155" s="184">
        <f t="shared" si="167"/>
        <v>4.3839427012278304E-2</v>
      </c>
      <c r="K155" s="184">
        <f t="shared" si="167"/>
        <v>3.003393258426966E-2</v>
      </c>
      <c r="L155" s="184">
        <f t="shared" si="167"/>
        <v>3.6683673469387751E-2</v>
      </c>
      <c r="M155" s="184">
        <f t="shared" si="167"/>
        <v>1.6289519419735474E-2</v>
      </c>
      <c r="N155" s="184">
        <f t="shared" si="167"/>
        <v>9.9974043305346618E-3</v>
      </c>
      <c r="O155" s="184">
        <f>Bull!O$148</f>
        <v>1.2169312169312168E-2</v>
      </c>
      <c r="P155" s="109">
        <f>Bull!P$148</f>
        <v>4.1287289774386546E-2</v>
      </c>
      <c r="Q155" s="109">
        <f>Bull!Q$148</f>
        <v>6.6119825546686786E-2</v>
      </c>
      <c r="R155" s="109">
        <f>Bull!R$148</f>
        <v>0.11724286695405227</v>
      </c>
      <c r="S155" s="109">
        <f>Bull!S$148</f>
        <v>0.13088680159732682</v>
      </c>
      <c r="T155" s="109">
        <f>Bull!T$148</f>
        <v>0.12239334616248815</v>
      </c>
      <c r="U155" s="109">
        <f>Bull!U$148</f>
        <v>0.16622476119593674</v>
      </c>
      <c r="V155" s="109">
        <f>Bull!V$148</f>
        <v>0.178281779085913</v>
      </c>
      <c r="W155" s="109">
        <f>Bull!W$148</f>
        <v>0.19688613013092437</v>
      </c>
    </row>
    <row r="156" spans="1:23">
      <c r="F156" s="372"/>
      <c r="M156" s="1401"/>
      <c r="N156" s="1401"/>
      <c r="O156" s="1401"/>
      <c r="P156" s="54"/>
      <c r="Q156" s="54"/>
      <c r="R156" s="54"/>
      <c r="S156" s="54"/>
      <c r="T156" s="54"/>
      <c r="U156" s="54"/>
      <c r="V156" s="54"/>
      <c r="W156" s="54"/>
    </row>
    <row r="157" spans="1:23">
      <c r="A157" s="674" t="s">
        <v>258</v>
      </c>
      <c r="B157" s="675">
        <f t="shared" ref="B157:W157" si="168">B$7</f>
        <v>2004</v>
      </c>
      <c r="C157" s="675">
        <f t="shared" si="168"/>
        <v>2005</v>
      </c>
      <c r="D157" s="675">
        <f t="shared" si="168"/>
        <v>2006</v>
      </c>
      <c r="E157" s="675">
        <f t="shared" si="168"/>
        <v>2007</v>
      </c>
      <c r="F157" s="675">
        <f t="shared" si="168"/>
        <v>2008</v>
      </c>
      <c r="G157" s="675">
        <f t="shared" si="168"/>
        <v>2009</v>
      </c>
      <c r="H157" s="675">
        <f t="shared" si="168"/>
        <v>2010</v>
      </c>
      <c r="I157" s="675">
        <f t="shared" si="168"/>
        <v>2011</v>
      </c>
      <c r="J157" s="675">
        <f t="shared" si="168"/>
        <v>2012</v>
      </c>
      <c r="K157" s="675">
        <f t="shared" si="168"/>
        <v>2013</v>
      </c>
      <c r="L157" s="675">
        <f t="shared" si="168"/>
        <v>2014</v>
      </c>
      <c r="M157" s="675">
        <f t="shared" si="168"/>
        <v>2015</v>
      </c>
      <c r="N157" s="675">
        <f t="shared" si="168"/>
        <v>2016</v>
      </c>
      <c r="O157" s="675">
        <f t="shared" si="168"/>
        <v>2017</v>
      </c>
      <c r="P157" s="490" t="str">
        <f t="shared" si="168"/>
        <v>2018E</v>
      </c>
      <c r="Q157" s="490" t="str">
        <f t="shared" si="168"/>
        <v>2019E</v>
      </c>
      <c r="R157" s="490" t="str">
        <f t="shared" si="168"/>
        <v>2020E</v>
      </c>
      <c r="S157" s="490" t="str">
        <f t="shared" si="168"/>
        <v>2021E</v>
      </c>
      <c r="T157" s="490" t="str">
        <f t="shared" si="168"/>
        <v>2022E</v>
      </c>
      <c r="U157" s="490" t="str">
        <f t="shared" si="168"/>
        <v>2023E</v>
      </c>
      <c r="V157" s="490" t="str">
        <f t="shared" si="168"/>
        <v>2024E</v>
      </c>
      <c r="W157" s="490" t="str">
        <f t="shared" si="168"/>
        <v>2025E</v>
      </c>
    </row>
    <row r="158" spans="1:23">
      <c r="A158" s="52" t="s">
        <v>79</v>
      </c>
      <c r="E158" s="501"/>
      <c r="F158" s="501">
        <f t="shared" ref="F158:N158" si="169">F159</f>
        <v>358.75540235837349</v>
      </c>
      <c r="G158" s="501">
        <f t="shared" si="169"/>
        <v>57.291970109321731</v>
      </c>
      <c r="H158" s="501">
        <f t="shared" si="169"/>
        <v>79.504962421256081</v>
      </c>
      <c r="I158" s="501">
        <f t="shared" si="169"/>
        <v>112.40559689900142</v>
      </c>
      <c r="J158" s="501">
        <f t="shared" si="169"/>
        <v>128.53534439487981</v>
      </c>
      <c r="K158" s="501">
        <f t="shared" si="169"/>
        <v>125.37129795302681</v>
      </c>
      <c r="L158" s="501">
        <f t="shared" si="169"/>
        <v>102.7416797648512</v>
      </c>
      <c r="M158" s="501">
        <f t="shared" si="169"/>
        <v>72.769571628548334</v>
      </c>
      <c r="N158" s="501">
        <f t="shared" si="169"/>
        <v>84.866521864566366</v>
      </c>
      <c r="O158" s="501">
        <f>Bear!O$157</f>
        <v>78.022146517990393</v>
      </c>
      <c r="P158" s="500">
        <f>Bear!P$157</f>
        <v>68.068756766720213</v>
      </c>
      <c r="Q158" s="500">
        <f>Bear!Q$157</f>
        <v>65.173350329562936</v>
      </c>
      <c r="R158" s="500">
        <f>Bear!R$157</f>
        <v>64.644157452541293</v>
      </c>
      <c r="S158" s="500">
        <f>Bear!S$157</f>
        <v>63.974609434561458</v>
      </c>
      <c r="T158" s="500">
        <f>Bear!T$157</f>
        <v>63.605263661240663</v>
      </c>
      <c r="U158" s="500">
        <f>Bear!U$157</f>
        <v>64.858423165516513</v>
      </c>
      <c r="V158" s="500">
        <f>Bear!V$157</f>
        <v>67.640781971372874</v>
      </c>
      <c r="W158" s="500">
        <f>Bear!W$157</f>
        <v>70.216470628623412</v>
      </c>
    </row>
    <row r="159" spans="1:23">
      <c r="A159" s="52" t="s">
        <v>77</v>
      </c>
      <c r="C159" s="401"/>
      <c r="D159" s="401"/>
      <c r="E159" s="501"/>
      <c r="F159" s="501">
        <f>Financials!F157</f>
        <v>358.75540235837349</v>
      </c>
      <c r="G159" s="501">
        <f>Financials!G157</f>
        <v>57.291970109321731</v>
      </c>
      <c r="H159" s="501">
        <f>Financials!H157</f>
        <v>79.504962421256081</v>
      </c>
      <c r="I159" s="501">
        <f>Financials!I157</f>
        <v>112.40559689900142</v>
      </c>
      <c r="J159" s="501">
        <f>Financials!J157</f>
        <v>128.53534439487981</v>
      </c>
      <c r="K159" s="501">
        <f>Financials!K157</f>
        <v>125.37129795302681</v>
      </c>
      <c r="L159" s="501">
        <f>Financials!L157</f>
        <v>102.7416797648512</v>
      </c>
      <c r="M159" s="501">
        <f>Financials!M157</f>
        <v>72.769571628548334</v>
      </c>
      <c r="N159" s="501">
        <f>Financials!N157</f>
        <v>84.866521864566366</v>
      </c>
      <c r="O159" s="501">
        <f>Base!O$157</f>
        <v>77.174309905121248</v>
      </c>
      <c r="P159" s="500">
        <f>Base!P$157</f>
        <v>81.174303348257709</v>
      </c>
      <c r="Q159" s="500">
        <f>Base!Q$157</f>
        <v>75.176998311376636</v>
      </c>
      <c r="R159" s="500">
        <f>Base!R$157</f>
        <v>72.817349126199744</v>
      </c>
      <c r="S159" s="500">
        <f>Base!S$157</f>
        <v>69.66095415809454</v>
      </c>
      <c r="T159" s="500">
        <f>Base!T$157</f>
        <v>65.99619667317171</v>
      </c>
      <c r="U159" s="500">
        <f>Base!U$157</f>
        <v>65.469963381928551</v>
      </c>
      <c r="V159" s="500">
        <f>Base!V$157</f>
        <v>67.147135737405776</v>
      </c>
      <c r="W159" s="500">
        <f>Base!W$157</f>
        <v>68.998178581478498</v>
      </c>
    </row>
    <row r="160" spans="1:23">
      <c r="A160" s="52" t="s">
        <v>78</v>
      </c>
      <c r="E160" s="501"/>
      <c r="F160" s="501">
        <f t="shared" ref="F160" si="170">F159</f>
        <v>358.75540235837349</v>
      </c>
      <c r="G160" s="501">
        <f t="shared" ref="G160:K160" si="171">G159</f>
        <v>57.291970109321731</v>
      </c>
      <c r="H160" s="501">
        <f t="shared" si="171"/>
        <v>79.504962421256081</v>
      </c>
      <c r="I160" s="501">
        <f t="shared" si="171"/>
        <v>112.40559689900142</v>
      </c>
      <c r="J160" s="501">
        <f t="shared" si="171"/>
        <v>128.53534439487981</v>
      </c>
      <c r="K160" s="501">
        <f t="shared" si="171"/>
        <v>125.37129795302681</v>
      </c>
      <c r="L160" s="501">
        <f t="shared" ref="L160:M160" si="172">L159</f>
        <v>102.7416797648512</v>
      </c>
      <c r="M160" s="501">
        <f t="shared" si="172"/>
        <v>72.769571628548334</v>
      </c>
      <c r="N160" s="501">
        <f t="shared" ref="N160" si="173">N159</f>
        <v>84.866521864566366</v>
      </c>
      <c r="O160" s="501">
        <f>Bull!O$157</f>
        <v>78.504225208864796</v>
      </c>
      <c r="P160" s="500">
        <f>Bull!P$157</f>
        <v>130.69880609372493</v>
      </c>
      <c r="Q160" s="500">
        <f>Bull!Q$157</f>
        <v>120.03549876203861</v>
      </c>
      <c r="R160" s="500">
        <f>Bull!R$157</f>
        <v>113.67130910044732</v>
      </c>
      <c r="S160" s="500">
        <f>Bull!S$157</f>
        <v>106.13460482144789</v>
      </c>
      <c r="T160" s="500">
        <f>Bull!T$157</f>
        <v>98.811194589326718</v>
      </c>
      <c r="U160" s="500">
        <f>Bull!U$157</f>
        <v>95.983300846816789</v>
      </c>
      <c r="V160" s="500">
        <f>Bull!V$157</f>
        <v>96.614590567045283</v>
      </c>
      <c r="W160" s="500">
        <f>Bull!W$157</f>
        <v>97.083302114422452</v>
      </c>
    </row>
    <row r="161" spans="1:23" ht="12" customHeight="1">
      <c r="M161" s="1401"/>
      <c r="N161" s="1401"/>
      <c r="O161" s="1401"/>
      <c r="P161" s="54"/>
      <c r="Q161" s="54"/>
      <c r="R161" s="54"/>
      <c r="S161" s="54"/>
      <c r="T161" s="54"/>
      <c r="U161" s="54"/>
      <c r="V161" s="54"/>
      <c r="W161" s="54"/>
    </row>
    <row r="162" spans="1:23">
      <c r="A162" s="674" t="s">
        <v>19</v>
      </c>
      <c r="B162" s="675">
        <f t="shared" ref="B162:W162" si="174">B$7</f>
        <v>2004</v>
      </c>
      <c r="C162" s="675">
        <f t="shared" si="174"/>
        <v>2005</v>
      </c>
      <c r="D162" s="675">
        <f t="shared" si="174"/>
        <v>2006</v>
      </c>
      <c r="E162" s="675">
        <f t="shared" si="174"/>
        <v>2007</v>
      </c>
      <c r="F162" s="675">
        <f t="shared" si="174"/>
        <v>2008</v>
      </c>
      <c r="G162" s="675">
        <f t="shared" si="174"/>
        <v>2009</v>
      </c>
      <c r="H162" s="675">
        <f t="shared" si="174"/>
        <v>2010</v>
      </c>
      <c r="I162" s="675">
        <f t="shared" si="174"/>
        <v>2011</v>
      </c>
      <c r="J162" s="675">
        <f t="shared" si="174"/>
        <v>2012</v>
      </c>
      <c r="K162" s="675">
        <f t="shared" si="174"/>
        <v>2013</v>
      </c>
      <c r="L162" s="675">
        <f t="shared" si="174"/>
        <v>2014</v>
      </c>
      <c r="M162" s="675">
        <f t="shared" si="174"/>
        <v>2015</v>
      </c>
      <c r="N162" s="675">
        <f t="shared" si="174"/>
        <v>2016</v>
      </c>
      <c r="O162" s="675">
        <f t="shared" si="174"/>
        <v>2017</v>
      </c>
      <c r="P162" s="490" t="str">
        <f t="shared" si="174"/>
        <v>2018E</v>
      </c>
      <c r="Q162" s="490" t="str">
        <f t="shared" si="174"/>
        <v>2019E</v>
      </c>
      <c r="R162" s="490" t="str">
        <f t="shared" si="174"/>
        <v>2020E</v>
      </c>
      <c r="S162" s="490" t="str">
        <f t="shared" si="174"/>
        <v>2021E</v>
      </c>
      <c r="T162" s="490" t="str">
        <f t="shared" si="174"/>
        <v>2022E</v>
      </c>
      <c r="U162" s="490" t="str">
        <f t="shared" si="174"/>
        <v>2023E</v>
      </c>
      <c r="V162" s="490" t="str">
        <f t="shared" si="174"/>
        <v>2024E</v>
      </c>
      <c r="W162" s="490" t="str">
        <f t="shared" si="174"/>
        <v>2025E</v>
      </c>
    </row>
    <row r="163" spans="1:23">
      <c r="A163" s="52" t="s">
        <v>79</v>
      </c>
      <c r="B163" s="514" t="e">
        <f>NA()</f>
        <v>#N/A</v>
      </c>
      <c r="C163" s="514" t="e">
        <f>NA()</f>
        <v>#N/A</v>
      </c>
      <c r="D163" s="501">
        <f t="shared" ref="D163:N163" si="175">D164</f>
        <v>549.87709759784548</v>
      </c>
      <c r="E163" s="501">
        <f t="shared" si="175"/>
        <v>624.90574295252998</v>
      </c>
      <c r="F163" s="501">
        <f t="shared" si="175"/>
        <v>452.08478127006822</v>
      </c>
      <c r="G163" s="501">
        <f t="shared" si="175"/>
        <v>548.48455829542741</v>
      </c>
      <c r="H163" s="501">
        <f t="shared" si="175"/>
        <v>711.1921338707707</v>
      </c>
      <c r="I163" s="501">
        <f t="shared" si="175"/>
        <v>839.72135852666827</v>
      </c>
      <c r="J163" s="501">
        <f t="shared" si="175"/>
        <v>928.64219961240303</v>
      </c>
      <c r="K163" s="501">
        <f t="shared" si="175"/>
        <v>973.49518541282532</v>
      </c>
      <c r="L163" s="501">
        <f t="shared" si="175"/>
        <v>892.12469733656167</v>
      </c>
      <c r="M163" s="501">
        <f t="shared" si="175"/>
        <v>925.27992523999671</v>
      </c>
      <c r="N163" s="501">
        <f t="shared" si="175"/>
        <v>1048.068276436303</v>
      </c>
      <c r="O163" s="501">
        <f>Bear!O17</f>
        <v>1251.9068280429321</v>
      </c>
      <c r="P163" s="500">
        <f>Bear!P17</f>
        <v>1334.0124224886811</v>
      </c>
      <c r="Q163" s="500">
        <f>Bear!Q17</f>
        <v>981.49476904872654</v>
      </c>
      <c r="R163" s="500">
        <f>Bear!R17</f>
        <v>1191.809401620608</v>
      </c>
      <c r="S163" s="500">
        <f>Bear!S17</f>
        <v>1419.4914683177394</v>
      </c>
      <c r="T163" s="500">
        <f>Bear!T17</f>
        <v>1275.0842651004903</v>
      </c>
      <c r="U163" s="500">
        <f>Bear!U17</f>
        <v>1074.4747427831817</v>
      </c>
      <c r="V163" s="500">
        <f>Bear!V17</f>
        <v>1162.5005267417669</v>
      </c>
      <c r="W163" s="500">
        <f>Bear!W17</f>
        <v>1194.8752390162472</v>
      </c>
    </row>
    <row r="164" spans="1:23">
      <c r="A164" s="52" t="s">
        <v>77</v>
      </c>
      <c r="B164" s="514" t="e">
        <f>NA()</f>
        <v>#N/A</v>
      </c>
      <c r="C164" s="514" t="e">
        <f>NA()</f>
        <v>#N/A</v>
      </c>
      <c r="D164" s="501">
        <f>Financials!D17</f>
        <v>549.87709759784548</v>
      </c>
      <c r="E164" s="501">
        <f>Financials!E17</f>
        <v>624.90574295252998</v>
      </c>
      <c r="F164" s="501">
        <f>Financials!F17</f>
        <v>452.08478127006822</v>
      </c>
      <c r="G164" s="501">
        <f>Financials!G17</f>
        <v>548.48455829542741</v>
      </c>
      <c r="H164" s="501">
        <f>Financials!H17</f>
        <v>711.1921338707707</v>
      </c>
      <c r="I164" s="501">
        <f>Financials!I17</f>
        <v>839.72135852666827</v>
      </c>
      <c r="J164" s="501">
        <f>Financials!J17</f>
        <v>928.64219961240303</v>
      </c>
      <c r="K164" s="501">
        <f>Financials!K17</f>
        <v>973.49518541282532</v>
      </c>
      <c r="L164" s="501">
        <f>Financials!L17</f>
        <v>892.12469733656167</v>
      </c>
      <c r="M164" s="501">
        <f>Financials!M17</f>
        <v>925.27992523999671</v>
      </c>
      <c r="N164" s="501">
        <f>Financials!N17</f>
        <v>1048.068276436303</v>
      </c>
      <c r="O164" s="501">
        <f>Base!O17</f>
        <v>1251.9068280429321</v>
      </c>
      <c r="P164" s="500">
        <f>Base!P17</f>
        <v>1407.8772144231391</v>
      </c>
      <c r="Q164" s="500">
        <f>Base!Q17</f>
        <v>1203.2894278945732</v>
      </c>
      <c r="R164" s="500">
        <f>Base!R17</f>
        <v>1245.1088064177579</v>
      </c>
      <c r="S164" s="500">
        <f>Base!S17</f>
        <v>1490.2861498423542</v>
      </c>
      <c r="T164" s="500">
        <f>Base!T17</f>
        <v>1586.8475041008783</v>
      </c>
      <c r="U164" s="500">
        <f>Base!U17</f>
        <v>1327.0967708404357</v>
      </c>
      <c r="V164" s="500">
        <f>Base!V17</f>
        <v>1148.2717115571372</v>
      </c>
      <c r="W164" s="500">
        <f>Base!W17</f>
        <v>1309.6939589258038</v>
      </c>
    </row>
    <row r="165" spans="1:23">
      <c r="A165" s="52" t="s">
        <v>78</v>
      </c>
      <c r="B165" s="514" t="e">
        <f>NA()</f>
        <v>#N/A</v>
      </c>
      <c r="C165" s="514" t="e">
        <f>NA()</f>
        <v>#N/A</v>
      </c>
      <c r="D165" s="501">
        <f t="shared" ref="D165:N165" si="176">D164</f>
        <v>549.87709759784548</v>
      </c>
      <c r="E165" s="501">
        <f t="shared" si="176"/>
        <v>624.90574295252998</v>
      </c>
      <c r="F165" s="501">
        <f t="shared" si="176"/>
        <v>452.08478127006822</v>
      </c>
      <c r="G165" s="501">
        <f t="shared" si="176"/>
        <v>548.48455829542741</v>
      </c>
      <c r="H165" s="501">
        <f t="shared" si="176"/>
        <v>711.1921338707707</v>
      </c>
      <c r="I165" s="501">
        <f t="shared" si="176"/>
        <v>839.72135852666827</v>
      </c>
      <c r="J165" s="501">
        <f t="shared" si="176"/>
        <v>928.64219961240303</v>
      </c>
      <c r="K165" s="501">
        <f t="shared" si="176"/>
        <v>973.49518541282532</v>
      </c>
      <c r="L165" s="501">
        <f t="shared" si="176"/>
        <v>892.12469733656167</v>
      </c>
      <c r="M165" s="501">
        <f t="shared" si="176"/>
        <v>925.27992523999671</v>
      </c>
      <c r="N165" s="501">
        <f t="shared" si="176"/>
        <v>1048.068276436303</v>
      </c>
      <c r="O165" s="501">
        <f>Bull!O17</f>
        <v>1251.9068280429321</v>
      </c>
      <c r="P165" s="500">
        <f>Bull!P17</f>
        <v>1514.7550621243611</v>
      </c>
      <c r="Q165" s="500">
        <f>Bull!Q17</f>
        <v>1433.5350173809188</v>
      </c>
      <c r="R165" s="500">
        <f>Bull!R17</f>
        <v>1652.3355908391502</v>
      </c>
      <c r="S165" s="500">
        <f>Bull!S17</f>
        <v>1785.8702620435918</v>
      </c>
      <c r="T165" s="500">
        <f>Bull!T17</f>
        <v>1580.1211587236141</v>
      </c>
      <c r="U165" s="500">
        <f>Bull!U17</f>
        <v>1383.8271897182576</v>
      </c>
      <c r="V165" s="500">
        <f>Bull!V17</f>
        <v>1480.1622758240644</v>
      </c>
      <c r="W165" s="500">
        <f>Bull!W17</f>
        <v>1614.9949910301577</v>
      </c>
    </row>
    <row r="166" spans="1:23">
      <c r="M166" s="1401"/>
      <c r="N166" s="1401"/>
      <c r="O166" s="1401"/>
      <c r="P166" s="54"/>
      <c r="Q166" s="54"/>
      <c r="R166" s="54"/>
      <c r="S166" s="54"/>
      <c r="T166" s="54"/>
      <c r="U166" s="54"/>
      <c r="V166" s="54"/>
      <c r="W166" s="54"/>
    </row>
    <row r="167" spans="1:23" s="1401" customFormat="1">
      <c r="A167" s="674" t="s">
        <v>1698</v>
      </c>
      <c r="B167" s="675">
        <f t="shared" ref="B167:W167" si="177">B$7</f>
        <v>2004</v>
      </c>
      <c r="C167" s="675">
        <f t="shared" si="177"/>
        <v>2005</v>
      </c>
      <c r="D167" s="675">
        <f t="shared" si="177"/>
        <v>2006</v>
      </c>
      <c r="E167" s="675">
        <f t="shared" si="177"/>
        <v>2007</v>
      </c>
      <c r="F167" s="675">
        <f t="shared" si="177"/>
        <v>2008</v>
      </c>
      <c r="G167" s="675">
        <f t="shared" si="177"/>
        <v>2009</v>
      </c>
      <c r="H167" s="675">
        <f t="shared" si="177"/>
        <v>2010</v>
      </c>
      <c r="I167" s="675">
        <f t="shared" si="177"/>
        <v>2011</v>
      </c>
      <c r="J167" s="675">
        <f t="shared" si="177"/>
        <v>2012</v>
      </c>
      <c r="K167" s="675">
        <f t="shared" si="177"/>
        <v>2013</v>
      </c>
      <c r="L167" s="675">
        <f t="shared" si="177"/>
        <v>2014</v>
      </c>
      <c r="M167" s="675">
        <f t="shared" si="177"/>
        <v>2015</v>
      </c>
      <c r="N167" s="675">
        <f t="shared" si="177"/>
        <v>2016</v>
      </c>
      <c r="O167" s="675">
        <f>O$7</f>
        <v>2017</v>
      </c>
      <c r="P167" s="490" t="str">
        <f t="shared" si="177"/>
        <v>2018E</v>
      </c>
      <c r="Q167" s="490" t="str">
        <f t="shared" si="177"/>
        <v>2019E</v>
      </c>
      <c r="R167" s="490" t="str">
        <f t="shared" si="177"/>
        <v>2020E</v>
      </c>
      <c r="S167" s="490" t="str">
        <f t="shared" si="177"/>
        <v>2021E</v>
      </c>
      <c r="T167" s="490" t="str">
        <f t="shared" si="177"/>
        <v>2022E</v>
      </c>
      <c r="U167" s="490" t="str">
        <f t="shared" si="177"/>
        <v>2023E</v>
      </c>
      <c r="V167" s="490" t="str">
        <f t="shared" si="177"/>
        <v>2024E</v>
      </c>
      <c r="W167" s="490" t="str">
        <f t="shared" si="177"/>
        <v>2025E</v>
      </c>
    </row>
    <row r="168" spans="1:23" s="1401" customFormat="1">
      <c r="A168" s="1401" t="s">
        <v>79</v>
      </c>
      <c r="D168" s="2392">
        <f>+(D163*100/2204.6)/Inputs!D$154</f>
        <v>11.490952513499797</v>
      </c>
      <c r="E168" s="2392">
        <f>+(E163*100/2204.6)/Inputs!E$154</f>
        <v>13.854124415246259</v>
      </c>
      <c r="F168" s="2392">
        <f>+(F163*100/2204.6)/Inputs!F$154</f>
        <v>11.705252101273995</v>
      </c>
      <c r="G168" s="2392">
        <f>+(G163*100/2204.6)/Inputs!G$154</f>
        <v>10.710821576290893</v>
      </c>
      <c r="H168" s="2392">
        <f>+(H163*100/2204.6)/Inputs!H$154</f>
        <v>18.117187223574714</v>
      </c>
      <c r="I168" s="2392">
        <f>+(I163*100/2204.6)/Inputs!I$154</f>
        <v>23.392194899943384</v>
      </c>
      <c r="J168" s="2392">
        <f>+(J163*100/2204.6)/Inputs!J$154</f>
        <v>23.121601629142912</v>
      </c>
      <c r="K168" s="2392">
        <f>+(K163*100/2204.6)/Inputs!K$154</f>
        <v>21.930693785667277</v>
      </c>
      <c r="L168" s="2392">
        <f>+(L163*100/2204.6)/Inputs!L$154</f>
        <v>17.884169713561459</v>
      </c>
      <c r="M168" s="2392">
        <f>+(M163*100/2204.6)/Inputs!M$154</f>
        <v>13.084272869319882</v>
      </c>
      <c r="N168" s="2392">
        <f>+(N163*100/2204.6)/Inputs!N$154</f>
        <v>13.359204506357353</v>
      </c>
      <c r="O168" s="2392">
        <f>+(O163*100/2204.6)/Inputs!O$154</f>
        <v>16.701800353844799</v>
      </c>
      <c r="P168" s="922">
        <f>+(P163*100/2204.6)/Inputs!P$154</f>
        <v>19.519485979296675</v>
      </c>
      <c r="Q168" s="922">
        <f>+(Q163*100/2204.6)/Inputs!Q$154</f>
        <v>13.491003233579466</v>
      </c>
      <c r="R168" s="922">
        <f>+(R163*100/2204.6)/Inputs!R$154</f>
        <v>16.381854491855982</v>
      </c>
      <c r="S168" s="922">
        <f>+(S163*100/2204.6)/Inputs!S$154</f>
        <v>19.511427460457877</v>
      </c>
      <c r="T168" s="922">
        <f>+(T163*100/2204.6)/Inputs!T$154</f>
        <v>17.526497833737317</v>
      </c>
      <c r="U168" s="922">
        <f>+(U163*100/2204.6)/Inputs!U$154</f>
        <v>14.769046852217841</v>
      </c>
      <c r="V168" s="922">
        <f>+(V163*100/2204.6)/Inputs!V$154</f>
        <v>15.978993327199696</v>
      </c>
      <c r="W168" s="922">
        <f>+(W163*100/2204.6)/Inputs!W$154</f>
        <v>16.423995543976194</v>
      </c>
    </row>
    <row r="169" spans="1:23" s="1401" customFormat="1">
      <c r="A169" s="1401" t="s">
        <v>77</v>
      </c>
      <c r="D169" s="2392">
        <f>+(D164*100/2204.6)/Inputs!D$154</f>
        <v>11.490952513499797</v>
      </c>
      <c r="E169" s="2392">
        <f>+(E164*100/2204.6)/Inputs!E$154</f>
        <v>13.854124415246259</v>
      </c>
      <c r="F169" s="2392">
        <f>+(F164*100/2204.6)/Inputs!F$154</f>
        <v>11.705252101273995</v>
      </c>
      <c r="G169" s="2392">
        <f>+(G164*100/2204.6)/Inputs!G$154</f>
        <v>10.710821576290893</v>
      </c>
      <c r="H169" s="2392">
        <f>+(H164*100/2204.6)/Inputs!H$154</f>
        <v>18.117187223574714</v>
      </c>
      <c r="I169" s="2392">
        <f>+(I164*100/2204.6)/Inputs!I$154</f>
        <v>23.392194899943384</v>
      </c>
      <c r="J169" s="2392">
        <f>+(J164*100/2204.6)/Inputs!J$154</f>
        <v>23.121601629142912</v>
      </c>
      <c r="K169" s="2392">
        <f>+(K164*100/2204.6)/Inputs!K$154</f>
        <v>21.930693785667277</v>
      </c>
      <c r="L169" s="2392">
        <f>+(L164*100/2204.6)/Inputs!L$154</f>
        <v>17.884169713561459</v>
      </c>
      <c r="M169" s="2392">
        <f>+(M164*100/2204.6)/Inputs!M$154</f>
        <v>13.084272869319882</v>
      </c>
      <c r="N169" s="2392">
        <f>+(N164*100/2204.6)/Inputs!N$154</f>
        <v>13.359204506357353</v>
      </c>
      <c r="O169" s="2392">
        <f>+(O164*100/2204.6)/Inputs!O$154</f>
        <v>16.701800353844799</v>
      </c>
      <c r="P169" s="922">
        <f>+(P164*100/2204.6)/Inputs!P$154</f>
        <v>20.600287586704916</v>
      </c>
      <c r="Q169" s="922">
        <f>+(Q164*100/2204.6)/Inputs!Q$154</f>
        <v>16.539651636036133</v>
      </c>
      <c r="R169" s="922">
        <f>+(R164*100/2204.6)/Inputs!R$154</f>
        <v>17.114474231809496</v>
      </c>
      <c r="S169" s="922">
        <f>+(S164*100/2204.6)/Inputs!S$154</f>
        <v>20.484526153886975</v>
      </c>
      <c r="T169" s="922">
        <f>+(T164*100/2204.6)/Inputs!T$154</f>
        <v>21.811797152797293</v>
      </c>
      <c r="U169" s="922">
        <f>+(U164*100/2204.6)/Inputs!U$154</f>
        <v>18.241428677234595</v>
      </c>
      <c r="V169" s="922">
        <f>+(V164*100/2204.6)/Inputs!V$154</f>
        <v>15.783413077850133</v>
      </c>
      <c r="W169" s="922">
        <f>+(W164*100/2204.6)/Inputs!W$154</f>
        <v>18.00222068630335</v>
      </c>
    </row>
    <row r="170" spans="1:23" s="1401" customFormat="1">
      <c r="A170" s="1401" t="s">
        <v>78</v>
      </c>
      <c r="D170" s="2392">
        <f>+(D165*100/2204.6)/Inputs!D$154</f>
        <v>11.490952513499797</v>
      </c>
      <c r="E170" s="2392">
        <f>+(E165*100/2204.6)/Inputs!E$154</f>
        <v>13.854124415246259</v>
      </c>
      <c r="F170" s="2392">
        <f>+(F165*100/2204.6)/Inputs!F$154</f>
        <v>11.705252101273995</v>
      </c>
      <c r="G170" s="2392">
        <f>+(G165*100/2204.6)/Inputs!G$154</f>
        <v>10.710821576290893</v>
      </c>
      <c r="H170" s="2392">
        <f>+(H165*100/2204.6)/Inputs!H$154</f>
        <v>18.117187223574714</v>
      </c>
      <c r="I170" s="2392">
        <f>+(I165*100/2204.6)/Inputs!I$154</f>
        <v>23.392194899943384</v>
      </c>
      <c r="J170" s="2392">
        <f>+(J165*100/2204.6)/Inputs!J$154</f>
        <v>23.121601629142912</v>
      </c>
      <c r="K170" s="2392">
        <f>+(K165*100/2204.6)/Inputs!K$154</f>
        <v>21.930693785667277</v>
      </c>
      <c r="L170" s="2392">
        <f>+(L165*100/2204.6)/Inputs!L$154</f>
        <v>17.884169713561459</v>
      </c>
      <c r="M170" s="2392">
        <f>+(M165*100/2204.6)/Inputs!M$154</f>
        <v>13.084272869319882</v>
      </c>
      <c r="N170" s="2392">
        <f>+(N165*100/2204.6)/Inputs!N$154</f>
        <v>13.359204506357353</v>
      </c>
      <c r="O170" s="2392">
        <f>+(O165*100/2204.6)/Inputs!O$154</f>
        <v>16.701800353844799</v>
      </c>
      <c r="P170" s="922">
        <f>+(P165*100/2204.6)/Inputs!P$154</f>
        <v>22.164141576767069</v>
      </c>
      <c r="Q170" s="922">
        <f>+(Q165*100/2204.6)/Inputs!Q$154</f>
        <v>19.704461159461609</v>
      </c>
      <c r="R170" s="922">
        <f>+(R165*100/2204.6)/Inputs!R$154</f>
        <v>22.711954767293047</v>
      </c>
      <c r="S170" s="922">
        <f>+(S165*100/2204.6)/Inputs!S$154</f>
        <v>24.547437479809318</v>
      </c>
      <c r="T170" s="922">
        <f>+(T165*100/2204.6)/Inputs!T$154</f>
        <v>21.719341084668891</v>
      </c>
      <c r="U170" s="922">
        <f>+(U165*100/2204.6)/Inputs!U$154</f>
        <v>19.021208955905664</v>
      </c>
      <c r="V170" s="922">
        <f>+(V165*100/2204.6)/Inputs!V$154</f>
        <v>20.345369816610233</v>
      </c>
      <c r="W170" s="922">
        <f>+(W165*100/2204.6)/Inputs!W$154</f>
        <v>22.198694616905122</v>
      </c>
    </row>
    <row r="171" spans="1:23" s="1401" customFormat="1">
      <c r="P171" s="54"/>
      <c r="Q171" s="54"/>
      <c r="R171" s="54"/>
      <c r="S171" s="54"/>
      <c r="T171" s="54"/>
      <c r="U171" s="54"/>
      <c r="V171" s="54"/>
      <c r="W171" s="54"/>
    </row>
    <row r="172" spans="1:23">
      <c r="A172" s="674" t="s">
        <v>20</v>
      </c>
      <c r="B172" s="675">
        <f t="shared" ref="B172:W172" si="178">B$7</f>
        <v>2004</v>
      </c>
      <c r="C172" s="675">
        <f t="shared" si="178"/>
        <v>2005</v>
      </c>
      <c r="D172" s="675">
        <f t="shared" si="178"/>
        <v>2006</v>
      </c>
      <c r="E172" s="675">
        <f t="shared" si="178"/>
        <v>2007</v>
      </c>
      <c r="F172" s="675">
        <f t="shared" si="178"/>
        <v>2008</v>
      </c>
      <c r="G172" s="675">
        <f t="shared" si="178"/>
        <v>2009</v>
      </c>
      <c r="H172" s="675">
        <f t="shared" si="178"/>
        <v>2010</v>
      </c>
      <c r="I172" s="675">
        <f t="shared" si="178"/>
        <v>2011</v>
      </c>
      <c r="J172" s="675">
        <f t="shared" si="178"/>
        <v>2012</v>
      </c>
      <c r="K172" s="675">
        <f t="shared" si="178"/>
        <v>2013</v>
      </c>
      <c r="L172" s="675">
        <f t="shared" si="178"/>
        <v>2014</v>
      </c>
      <c r="M172" s="675">
        <f t="shared" si="178"/>
        <v>2015</v>
      </c>
      <c r="N172" s="675">
        <f t="shared" si="178"/>
        <v>2016</v>
      </c>
      <c r="O172" s="675">
        <f t="shared" si="178"/>
        <v>2017</v>
      </c>
      <c r="P172" s="490" t="str">
        <f t="shared" si="178"/>
        <v>2018E</v>
      </c>
      <c r="Q172" s="490" t="str">
        <f t="shared" si="178"/>
        <v>2019E</v>
      </c>
      <c r="R172" s="490" t="str">
        <f t="shared" si="178"/>
        <v>2020E</v>
      </c>
      <c r="S172" s="490" t="str">
        <f t="shared" si="178"/>
        <v>2021E</v>
      </c>
      <c r="T172" s="490" t="str">
        <f t="shared" si="178"/>
        <v>2022E</v>
      </c>
      <c r="U172" s="490" t="str">
        <f t="shared" si="178"/>
        <v>2023E</v>
      </c>
      <c r="V172" s="490" t="str">
        <f t="shared" si="178"/>
        <v>2024E</v>
      </c>
      <c r="W172" s="490" t="str">
        <f t="shared" si="178"/>
        <v>2025E</v>
      </c>
    </row>
    <row r="173" spans="1:23">
      <c r="A173" s="52" t="s">
        <v>79</v>
      </c>
      <c r="B173" s="514" t="e">
        <f>NA()</f>
        <v>#N/A</v>
      </c>
      <c r="C173" s="514" t="e">
        <f>NA()</f>
        <v>#N/A</v>
      </c>
      <c r="D173" s="501">
        <f t="shared" ref="D173:N173" si="179">D174</f>
        <v>850.76573527607229</v>
      </c>
      <c r="E173" s="501">
        <f t="shared" si="179"/>
        <v>916.0210009941004</v>
      </c>
      <c r="F173" s="501">
        <f t="shared" si="179"/>
        <v>749.30788867466026</v>
      </c>
      <c r="G173" s="501">
        <f t="shared" si="179"/>
        <v>769.57647434872933</v>
      </c>
      <c r="H173" s="501">
        <f t="shared" si="179"/>
        <v>857.95536593370525</v>
      </c>
      <c r="I173" s="501">
        <f t="shared" si="179"/>
        <v>994.76608745464966</v>
      </c>
      <c r="J173" s="501">
        <f t="shared" si="179"/>
        <v>1258.2710513203785</v>
      </c>
      <c r="K173" s="501">
        <f t="shared" si="179"/>
        <v>1211.548358473824</v>
      </c>
      <c r="L173" s="501">
        <f t="shared" si="179"/>
        <v>1317.1515815847165</v>
      </c>
      <c r="M173" s="501">
        <f t="shared" si="179"/>
        <v>1349.1070927950659</v>
      </c>
      <c r="N173" s="501">
        <f t="shared" si="179"/>
        <v>1637.3106918238993</v>
      </c>
      <c r="O173" s="501">
        <f>Bear!O22</f>
        <v>1773.8788659793813</v>
      </c>
      <c r="P173" s="500">
        <f>Bear!P22</f>
        <v>1520.9713825885462</v>
      </c>
      <c r="Q173" s="500">
        <f>Bear!Q22</f>
        <v>1661.8613632914855</v>
      </c>
      <c r="R173" s="500">
        <f>Bear!R22</f>
        <v>1812.3574790423527</v>
      </c>
      <c r="S173" s="500">
        <f>Bear!S22</f>
        <v>1892.2585657610014</v>
      </c>
      <c r="T173" s="500">
        <f>Bear!T22</f>
        <v>1937.6727713392652</v>
      </c>
      <c r="U173" s="500">
        <f>Bear!U22</f>
        <v>1984.1769178514078</v>
      </c>
      <c r="V173" s="500">
        <f>Bear!V22</f>
        <v>2031.7971638798419</v>
      </c>
      <c r="W173" s="500">
        <f>Bear!W22</f>
        <v>2168.6139092866474</v>
      </c>
    </row>
    <row r="174" spans="1:23">
      <c r="A174" s="52" t="s">
        <v>77</v>
      </c>
      <c r="B174" s="514" t="e">
        <f>NA()</f>
        <v>#N/A</v>
      </c>
      <c r="C174" s="514" t="e">
        <f>NA()</f>
        <v>#N/A</v>
      </c>
      <c r="D174" s="501">
        <f>Financials!D22</f>
        <v>850.76573527607229</v>
      </c>
      <c r="E174" s="501">
        <f>Financials!E22</f>
        <v>916.0210009941004</v>
      </c>
      <c r="F174" s="501">
        <f>Financials!F22</f>
        <v>749.30788867466026</v>
      </c>
      <c r="G174" s="501">
        <f>Financials!G22</f>
        <v>769.57647434872933</v>
      </c>
      <c r="H174" s="501">
        <f>Financials!H22</f>
        <v>857.95536593370525</v>
      </c>
      <c r="I174" s="501">
        <f>Financials!I22</f>
        <v>994.76608745464966</v>
      </c>
      <c r="J174" s="501">
        <f>Financials!J22</f>
        <v>1258.2710513203785</v>
      </c>
      <c r="K174" s="501">
        <f>Financials!K22</f>
        <v>1211.548358473824</v>
      </c>
      <c r="L174" s="501">
        <f>Financials!L22</f>
        <v>1317.1515815847165</v>
      </c>
      <c r="M174" s="501">
        <f>Financials!M22</f>
        <v>1349.1070927950659</v>
      </c>
      <c r="N174" s="501">
        <f>Financials!N22</f>
        <v>1637.3106918238993</v>
      </c>
      <c r="O174" s="501">
        <f>Base!O22</f>
        <v>1773.8788659793813</v>
      </c>
      <c r="P174" s="500">
        <f>Base!P22</f>
        <v>1691.3685141076389</v>
      </c>
      <c r="Q174" s="500">
        <f>Base!Q22</f>
        <v>1841.1499524966634</v>
      </c>
      <c r="R174" s="500">
        <f>Base!R22</f>
        <v>1970.8083998555833</v>
      </c>
      <c r="S174" s="500">
        <f>Base!S22</f>
        <v>2045.2427213153921</v>
      </c>
      <c r="T174" s="500">
        <f>Base!T22</f>
        <v>2094.3285466269617</v>
      </c>
      <c r="U174" s="500">
        <f>Base!U22</f>
        <v>2144.5924317460085</v>
      </c>
      <c r="V174" s="500">
        <f>Base!V22</f>
        <v>2196.0626501079128</v>
      </c>
      <c r="W174" s="500">
        <f>Base!W22</f>
        <v>2343.940671516048</v>
      </c>
    </row>
    <row r="175" spans="1:23">
      <c r="A175" s="52" t="s">
        <v>78</v>
      </c>
      <c r="B175" s="514" t="e">
        <f>NA()</f>
        <v>#N/A</v>
      </c>
      <c r="C175" s="514" t="e">
        <f>NA()</f>
        <v>#N/A</v>
      </c>
      <c r="D175" s="501">
        <f t="shared" ref="D175:N175" si="180">D174</f>
        <v>850.76573527607229</v>
      </c>
      <c r="E175" s="501">
        <f t="shared" si="180"/>
        <v>916.0210009941004</v>
      </c>
      <c r="F175" s="501">
        <f t="shared" si="180"/>
        <v>749.30788867466026</v>
      </c>
      <c r="G175" s="501">
        <f t="shared" si="180"/>
        <v>769.57647434872933</v>
      </c>
      <c r="H175" s="501">
        <f t="shared" si="180"/>
        <v>857.95536593370525</v>
      </c>
      <c r="I175" s="501">
        <f t="shared" si="180"/>
        <v>994.76608745464966</v>
      </c>
      <c r="J175" s="501">
        <f t="shared" si="180"/>
        <v>1258.2710513203785</v>
      </c>
      <c r="K175" s="501">
        <f t="shared" si="180"/>
        <v>1211.548358473824</v>
      </c>
      <c r="L175" s="501">
        <f t="shared" si="180"/>
        <v>1317.1515815847165</v>
      </c>
      <c r="M175" s="501">
        <f t="shared" si="180"/>
        <v>1349.1070927950659</v>
      </c>
      <c r="N175" s="501">
        <f t="shared" si="180"/>
        <v>1637.3106918238993</v>
      </c>
      <c r="O175" s="501">
        <f>Bull!O22</f>
        <v>1773.8788659793813</v>
      </c>
      <c r="P175" s="500">
        <f>Bull!P22</f>
        <v>1852.2648508640361</v>
      </c>
      <c r="Q175" s="500">
        <f>Bull!Q22</f>
        <v>1971.8917682157382</v>
      </c>
      <c r="R175" s="500">
        <f>Bull!R22</f>
        <v>2049.986491709431</v>
      </c>
      <c r="S175" s="500">
        <f>Bull!S22</f>
        <v>2121.2088795356781</v>
      </c>
      <c r="T175" s="500">
        <f>Bull!T22</f>
        <v>2172.1178926445345</v>
      </c>
      <c r="U175" s="500">
        <f>Bull!U22</f>
        <v>2224.2487220680036</v>
      </c>
      <c r="V175" s="500">
        <f>Bull!V22</f>
        <v>2277.6306913976355</v>
      </c>
      <c r="W175" s="500">
        <f>Bull!W22</f>
        <v>2431.0013250295001</v>
      </c>
    </row>
    <row r="176" spans="1:23">
      <c r="M176" s="1401"/>
      <c r="N176" s="1401"/>
      <c r="O176" s="1401"/>
      <c r="P176" s="54"/>
      <c r="Q176" s="54"/>
      <c r="R176" s="54"/>
      <c r="S176" s="54"/>
      <c r="T176" s="54"/>
      <c r="U176" s="54"/>
      <c r="V176" s="54"/>
      <c r="W176" s="54"/>
    </row>
    <row r="177" spans="1:23">
      <c r="A177" s="674" t="s">
        <v>33</v>
      </c>
      <c r="B177" s="675">
        <f>Financials!B$4</f>
        <v>2004</v>
      </c>
      <c r="C177" s="675">
        <f>Financials!C$4</f>
        <v>2005</v>
      </c>
      <c r="D177" s="675">
        <f>Financials!D$4</f>
        <v>2006</v>
      </c>
      <c r="E177" s="675">
        <f>Financials!E$4</f>
        <v>2007</v>
      </c>
      <c r="F177" s="675">
        <f>Financials!F$4</f>
        <v>2008</v>
      </c>
      <c r="G177" s="675">
        <f>Financials!G$4</f>
        <v>2009</v>
      </c>
      <c r="H177" s="675">
        <f>Financials!H$4</f>
        <v>2010</v>
      </c>
      <c r="I177" s="675">
        <f>Financials!I$4</f>
        <v>2011</v>
      </c>
      <c r="J177" s="675">
        <f>Financials!J$4</f>
        <v>2012</v>
      </c>
      <c r="K177" s="675">
        <f>Financials!K$4</f>
        <v>2013</v>
      </c>
      <c r="L177" s="675">
        <f>Financials!L$4</f>
        <v>2014</v>
      </c>
      <c r="M177" s="675">
        <f>Financials!M$4</f>
        <v>2015</v>
      </c>
      <c r="N177" s="675">
        <f>Financials!N$4</f>
        <v>2016</v>
      </c>
      <c r="O177" s="675">
        <f t="shared" ref="O177:W177" si="181">O$7</f>
        <v>2017</v>
      </c>
      <c r="P177" s="490" t="str">
        <f t="shared" si="181"/>
        <v>2018E</v>
      </c>
      <c r="Q177" s="490" t="str">
        <f t="shared" si="181"/>
        <v>2019E</v>
      </c>
      <c r="R177" s="490" t="str">
        <f t="shared" si="181"/>
        <v>2020E</v>
      </c>
      <c r="S177" s="490" t="str">
        <f t="shared" si="181"/>
        <v>2021E</v>
      </c>
      <c r="T177" s="490" t="str">
        <f t="shared" si="181"/>
        <v>2022E</v>
      </c>
      <c r="U177" s="490" t="str">
        <f t="shared" si="181"/>
        <v>2023E</v>
      </c>
      <c r="V177" s="490" t="str">
        <f t="shared" si="181"/>
        <v>2024E</v>
      </c>
      <c r="W177" s="490" t="str">
        <f t="shared" si="181"/>
        <v>2025E</v>
      </c>
    </row>
    <row r="178" spans="1:23">
      <c r="A178" s="52" t="s">
        <v>79</v>
      </c>
      <c r="B178" s="514" t="e">
        <f>NA()</f>
        <v>#N/A</v>
      </c>
      <c r="C178" s="514" t="e">
        <f>NA()</f>
        <v>#N/A</v>
      </c>
      <c r="D178" s="395">
        <f t="shared" ref="D178:N178" si="182">D179</f>
        <v>13.545</v>
      </c>
      <c r="E178" s="395">
        <f t="shared" si="182"/>
        <v>10.401666666666666</v>
      </c>
      <c r="F178" s="395">
        <f t="shared" si="182"/>
        <v>12.4</v>
      </c>
      <c r="G178" s="395">
        <f t="shared" si="182"/>
        <v>18.787500000000001</v>
      </c>
      <c r="H178" s="395">
        <f t="shared" si="182"/>
        <v>23.440833333333334</v>
      </c>
      <c r="I178" s="395">
        <f t="shared" si="182"/>
        <v>25.258333333333336</v>
      </c>
      <c r="J178" s="186">
        <f t="shared" si="182"/>
        <v>20.410833333333333</v>
      </c>
      <c r="K178" s="186">
        <f t="shared" si="182"/>
        <v>17.066666666666666</v>
      </c>
      <c r="L178" s="186">
        <f t="shared" si="182"/>
        <v>15.978333333333333</v>
      </c>
      <c r="M178" s="186">
        <f t="shared" si="182"/>
        <v>13.149166666666668</v>
      </c>
      <c r="N178" s="186">
        <f t="shared" si="182"/>
        <v>19.252499999999998</v>
      </c>
      <c r="O178" s="186">
        <f>Bear!O16</f>
        <v>17.805000000000003</v>
      </c>
      <c r="P178" s="512">
        <f>Bear!P16</f>
        <v>13.497954874874125</v>
      </c>
      <c r="Q178" s="512">
        <f>Bear!Q16</f>
        <v>13.366639357923361</v>
      </c>
      <c r="R178" s="512">
        <f>Bear!R16</f>
        <v>15.861959162142835</v>
      </c>
      <c r="S178" s="512">
        <f>Bear!S16</f>
        <v>18.892211851030282</v>
      </c>
      <c r="T178" s="512">
        <f>Bear!T16</f>
        <v>16.97027604733838</v>
      </c>
      <c r="U178" s="512">
        <f>Bear!U16</f>
        <v>14.237621843699179</v>
      </c>
      <c r="V178" s="512">
        <f>Bear!V16</f>
        <v>15.336772509203714</v>
      </c>
      <c r="W178" s="512">
        <f>Bear!W16</f>
        <v>15.695358267740904</v>
      </c>
    </row>
    <row r="179" spans="1:23">
      <c r="A179" s="52" t="s">
        <v>15</v>
      </c>
      <c r="B179" s="514" t="e">
        <f>NA()</f>
        <v>#N/A</v>
      </c>
      <c r="C179" s="514" t="e">
        <f>NA()</f>
        <v>#N/A</v>
      </c>
      <c r="D179" s="395">
        <f>Financials!D16</f>
        <v>13.545</v>
      </c>
      <c r="E179" s="395">
        <f>Financials!E16</f>
        <v>10.401666666666666</v>
      </c>
      <c r="F179" s="395">
        <f>Financials!F16</f>
        <v>12.4</v>
      </c>
      <c r="G179" s="395">
        <f>Financials!G16</f>
        <v>18.787500000000001</v>
      </c>
      <c r="H179" s="395">
        <f>Financials!H16</f>
        <v>23.440833333333334</v>
      </c>
      <c r="I179" s="395">
        <f>Financials!I16</f>
        <v>25.258333333333336</v>
      </c>
      <c r="J179" s="186">
        <f>Financials!J16</f>
        <v>20.410833333333333</v>
      </c>
      <c r="K179" s="186">
        <f>Financials!K16</f>
        <v>17.066666666666666</v>
      </c>
      <c r="L179" s="186">
        <f>Financials!L16</f>
        <v>15.978333333333333</v>
      </c>
      <c r="M179" s="186">
        <f>Financials!M16</f>
        <v>13.149166666666668</v>
      </c>
      <c r="N179" s="186">
        <f>Financials!N16</f>
        <v>19.252499999999998</v>
      </c>
      <c r="O179" s="186">
        <f>Base!O16</f>
        <v>17.805000000000003</v>
      </c>
      <c r="P179" s="512">
        <f>Base!P16</f>
        <v>16.244658605325153</v>
      </c>
      <c r="Q179" s="512">
        <f>Base!Q16</f>
        <v>16.31531880717511</v>
      </c>
      <c r="R179" s="512">
        <f>Base!R16</f>
        <v>16.498655235130911</v>
      </c>
      <c r="S179" s="512">
        <f>Base!S16</f>
        <v>19.747444770453257</v>
      </c>
      <c r="T179" s="512">
        <f>Base!T16</f>
        <v>20.93514679550681</v>
      </c>
      <c r="U179" s="512">
        <f>Base!U16</f>
        <v>17.432162450241776</v>
      </c>
      <c r="V179" s="512">
        <f>Base!V16</f>
        <v>15.017906650666538</v>
      </c>
      <c r="W179" s="512">
        <f>Base!W16</f>
        <v>17.055276269110166</v>
      </c>
    </row>
    <row r="180" spans="1:23">
      <c r="A180" s="52" t="s">
        <v>78</v>
      </c>
      <c r="B180" s="514" t="e">
        <f>NA()</f>
        <v>#N/A</v>
      </c>
      <c r="C180" s="514" t="e">
        <f>NA()</f>
        <v>#N/A</v>
      </c>
      <c r="D180" s="395">
        <f t="shared" ref="D180:N180" si="183">D179</f>
        <v>13.545</v>
      </c>
      <c r="E180" s="395">
        <f t="shared" si="183"/>
        <v>10.401666666666666</v>
      </c>
      <c r="F180" s="395">
        <f t="shared" si="183"/>
        <v>12.4</v>
      </c>
      <c r="G180" s="395">
        <f t="shared" si="183"/>
        <v>18.787500000000001</v>
      </c>
      <c r="H180" s="395">
        <f t="shared" si="183"/>
        <v>23.440833333333334</v>
      </c>
      <c r="I180" s="395">
        <f t="shared" si="183"/>
        <v>25.258333333333336</v>
      </c>
      <c r="J180" s="186">
        <f t="shared" si="183"/>
        <v>20.410833333333333</v>
      </c>
      <c r="K180" s="186">
        <f t="shared" si="183"/>
        <v>17.066666666666666</v>
      </c>
      <c r="L180" s="186">
        <f t="shared" si="183"/>
        <v>15.978333333333333</v>
      </c>
      <c r="M180" s="186">
        <f t="shared" si="183"/>
        <v>13.149166666666668</v>
      </c>
      <c r="N180" s="186">
        <f t="shared" si="183"/>
        <v>19.252499999999998</v>
      </c>
      <c r="O180" s="186">
        <f>Bull!O16</f>
        <v>17.805000000000003</v>
      </c>
      <c r="P180" s="512">
        <f>Bull!P16</f>
        <v>18.794158956936627</v>
      </c>
      <c r="Q180" s="512">
        <f>Bull!Q16</f>
        <v>18.938866951247341</v>
      </c>
      <c r="R180" s="512">
        <f>Bull!R16</f>
        <v>21.333382670600141</v>
      </c>
      <c r="S180" s="512">
        <f>Bull!S16</f>
        <v>23.057455102611588</v>
      </c>
      <c r="T180" s="512">
        <f>Bull!T16</f>
        <v>20.755780087152509</v>
      </c>
      <c r="U180" s="512">
        <f>Bull!U16</f>
        <v>18.098667194074562</v>
      </c>
      <c r="V180" s="512">
        <f>Bull!V16</f>
        <v>19.275172161593819</v>
      </c>
      <c r="W180" s="512">
        <f>Bull!W16</f>
        <v>20.940757180119164</v>
      </c>
    </row>
    <row r="181" spans="1:23">
      <c r="B181" s="395"/>
      <c r="C181" s="395"/>
      <c r="D181" s="395"/>
      <c r="E181" s="395"/>
      <c r="F181" s="395"/>
      <c r="G181" s="395"/>
      <c r="H181" s="395"/>
      <c r="I181" s="395"/>
      <c r="J181" s="186"/>
      <c r="K181" s="186"/>
      <c r="L181" s="186"/>
      <c r="M181" s="186"/>
      <c r="N181" s="186"/>
      <c r="O181" s="186"/>
      <c r="P181" s="512"/>
      <c r="Q181" s="512"/>
      <c r="R181" s="512"/>
      <c r="S181" s="512"/>
      <c r="T181" s="512"/>
      <c r="U181" s="512"/>
      <c r="V181" s="512"/>
      <c r="W181" s="512"/>
    </row>
    <row r="182" spans="1:23">
      <c r="A182" s="674" t="s">
        <v>1119</v>
      </c>
      <c r="B182" s="675">
        <f>Financials!B$4</f>
        <v>2004</v>
      </c>
      <c r="C182" s="675">
        <f>Financials!C$4</f>
        <v>2005</v>
      </c>
      <c r="D182" s="675">
        <f>Financials!D$4</f>
        <v>2006</v>
      </c>
      <c r="E182" s="675">
        <f>Financials!E$4</f>
        <v>2007</v>
      </c>
      <c r="F182" s="675">
        <f>Financials!F$4</f>
        <v>2008</v>
      </c>
      <c r="G182" s="675">
        <f>Financials!G$4</f>
        <v>2009</v>
      </c>
      <c r="H182" s="675">
        <f>Financials!H$4</f>
        <v>2010</v>
      </c>
      <c r="I182" s="675">
        <f>Financials!I$4</f>
        <v>2011</v>
      </c>
      <c r="J182" s="675">
        <f>Financials!J$4</f>
        <v>2012</v>
      </c>
      <c r="K182" s="675">
        <f>Financials!K$4</f>
        <v>2013</v>
      </c>
      <c r="L182" s="675">
        <f>Financials!L$4</f>
        <v>2014</v>
      </c>
      <c r="M182" s="675">
        <f>Financials!M$4</f>
        <v>2015</v>
      </c>
      <c r="N182" s="675">
        <f>Financials!N$4</f>
        <v>2016</v>
      </c>
      <c r="O182" s="675">
        <f t="shared" ref="O182:W182" si="184">O$7</f>
        <v>2017</v>
      </c>
      <c r="P182" s="490" t="str">
        <f t="shared" si="184"/>
        <v>2018E</v>
      </c>
      <c r="Q182" s="490" t="str">
        <f t="shared" si="184"/>
        <v>2019E</v>
      </c>
      <c r="R182" s="490" t="str">
        <f t="shared" si="184"/>
        <v>2020E</v>
      </c>
      <c r="S182" s="490" t="str">
        <f t="shared" si="184"/>
        <v>2021E</v>
      </c>
      <c r="T182" s="490" t="str">
        <f t="shared" si="184"/>
        <v>2022E</v>
      </c>
      <c r="U182" s="490" t="str">
        <f t="shared" si="184"/>
        <v>2023E</v>
      </c>
      <c r="V182" s="490" t="str">
        <f t="shared" si="184"/>
        <v>2024E</v>
      </c>
      <c r="W182" s="490" t="str">
        <f t="shared" si="184"/>
        <v>2025E</v>
      </c>
    </row>
    <row r="183" spans="1:23">
      <c r="A183" s="52" t="s">
        <v>79</v>
      </c>
      <c r="B183" s="395"/>
      <c r="C183" s="395"/>
      <c r="D183" s="395"/>
      <c r="E183" s="395"/>
      <c r="F183" s="395"/>
      <c r="G183" s="395"/>
      <c r="H183" s="395"/>
      <c r="I183" s="395">
        <f t="shared" ref="I183:N183" si="185">I184</f>
        <v>129.8590021691974</v>
      </c>
      <c r="J183" s="186">
        <f t="shared" si="185"/>
        <v>110.63753007217322</v>
      </c>
      <c r="K183" s="186">
        <f t="shared" si="185"/>
        <v>170.40675364543361</v>
      </c>
      <c r="L183" s="186">
        <f t="shared" si="185"/>
        <v>173.45230078563412</v>
      </c>
      <c r="M183" s="186">
        <f t="shared" si="185"/>
        <v>295.95305164319251</v>
      </c>
      <c r="N183" s="186">
        <f t="shared" si="185"/>
        <v>223.25914340712222</v>
      </c>
      <c r="O183" s="186">
        <f>Bear!O$29</f>
        <v>166.30836522689995</v>
      </c>
      <c r="P183" s="512">
        <f>Bear!P$29</f>
        <v>181.39415386322037</v>
      </c>
      <c r="Q183" s="512">
        <f>Bear!Q$29</f>
        <v>177.75503355704697</v>
      </c>
      <c r="R183" s="512">
        <f>Bear!R$29</f>
        <v>183.95171667868433</v>
      </c>
      <c r="S183" s="512">
        <f>Bear!S$29</f>
        <v>190.45203727328192</v>
      </c>
      <c r="T183" s="512">
        <f>Bear!T$29</f>
        <v>196.99255372788281</v>
      </c>
      <c r="U183" s="512">
        <f>Bear!U$29</f>
        <v>203.84047445584997</v>
      </c>
      <c r="V183" s="512">
        <f>Bear!V$29</f>
        <v>211.01024745803159</v>
      </c>
      <c r="W183" s="512">
        <f>Bear!W$29</f>
        <v>218.51699979131573</v>
      </c>
    </row>
    <row r="184" spans="1:23">
      <c r="A184" s="52" t="s">
        <v>77</v>
      </c>
      <c r="B184" s="395"/>
      <c r="C184" s="395"/>
      <c r="D184" s="395"/>
      <c r="E184" s="395"/>
      <c r="F184" s="395"/>
      <c r="G184" s="395"/>
      <c r="H184" s="395"/>
      <c r="I184" s="395">
        <f>Financials!I$29</f>
        <v>129.8590021691974</v>
      </c>
      <c r="J184" s="186">
        <f>Financials!J$29</f>
        <v>110.63753007217322</v>
      </c>
      <c r="K184" s="186">
        <f>Financials!K$29</f>
        <v>170.40675364543361</v>
      </c>
      <c r="L184" s="186">
        <f>Financials!L$29</f>
        <v>173.45230078563412</v>
      </c>
      <c r="M184" s="186">
        <f>Financials!M$29</f>
        <v>295.95305164319251</v>
      </c>
      <c r="N184" s="186">
        <f>Financials!N$29</f>
        <v>223.25914340712222</v>
      </c>
      <c r="O184" s="186">
        <f>Base!O$29</f>
        <v>166.30836522689995</v>
      </c>
      <c r="P184" s="512">
        <f>Base!P$29</f>
        <v>183.49999999999997</v>
      </c>
      <c r="Q184" s="512">
        <f>Base!Q$29</f>
        <v>181.66666666666666</v>
      </c>
      <c r="R184" s="512">
        <f>Base!R$29</f>
        <v>187.24</v>
      </c>
      <c r="S184" s="512">
        <f>Base!S$29</f>
        <v>193.05856</v>
      </c>
      <c r="T184" s="512">
        <f>Base!T$29</f>
        <v>199.13313664</v>
      </c>
      <c r="U184" s="512">
        <f>Base!U$29</f>
        <v>205.47499465216001</v>
      </c>
      <c r="V184" s="512">
        <f>Base!V$29</f>
        <v>212.09589441685506</v>
      </c>
      <c r="W184" s="512">
        <f>Base!W$29</f>
        <v>219.00811377119669</v>
      </c>
    </row>
    <row r="185" spans="1:23">
      <c r="A185" s="52" t="s">
        <v>78</v>
      </c>
      <c r="I185" s="395">
        <f t="shared" ref="I185:N185" si="186">I184</f>
        <v>129.8590021691974</v>
      </c>
      <c r="J185" s="395">
        <f t="shared" si="186"/>
        <v>110.63753007217322</v>
      </c>
      <c r="K185" s="395">
        <f t="shared" si="186"/>
        <v>170.40675364543361</v>
      </c>
      <c r="L185" s="395">
        <f t="shared" si="186"/>
        <v>173.45230078563412</v>
      </c>
      <c r="M185" s="395">
        <f t="shared" si="186"/>
        <v>295.95305164319251</v>
      </c>
      <c r="N185" s="395">
        <f t="shared" si="186"/>
        <v>223.25914340712222</v>
      </c>
      <c r="O185" s="395">
        <f>Bull!O$29</f>
        <v>166.30836522689995</v>
      </c>
      <c r="P185" s="512">
        <f>Bull!P$29</f>
        <v>184.99404596294031</v>
      </c>
      <c r="Q185" s="512">
        <f>Bull!Q$29</f>
        <v>184.46010238717935</v>
      </c>
      <c r="R185" s="512">
        <f>Bull!R$29</f>
        <v>189.40807411941461</v>
      </c>
      <c r="S185" s="512">
        <f>Bull!S$29</f>
        <v>194.54901674920706</v>
      </c>
      <c r="T185" s="512">
        <f>Bull!T$29</f>
        <v>199.20565621946469</v>
      </c>
      <c r="U185" s="512">
        <f>Bull!U$29</f>
        <v>204.02062143171111</v>
      </c>
      <c r="V185" s="512">
        <f>Bull!V$29</f>
        <v>208.99929546117386</v>
      </c>
      <c r="W185" s="512">
        <f>Bull!W$29</f>
        <v>214.14724440763837</v>
      </c>
    </row>
    <row r="186" spans="1:23">
      <c r="M186" s="1401"/>
      <c r="N186" s="1401"/>
      <c r="O186" s="1401"/>
      <c r="S186" s="1401"/>
      <c r="T186" s="1401"/>
      <c r="U186" s="1401"/>
      <c r="V186" s="1401"/>
      <c r="W186" s="1401"/>
    </row>
    <row r="187" spans="1:23" s="1401" customFormat="1">
      <c r="A187" s="674" t="s">
        <v>1708</v>
      </c>
      <c r="B187" s="675">
        <f>Financials!B$4</f>
        <v>2004</v>
      </c>
      <c r="C187" s="675">
        <f>Financials!C$4</f>
        <v>2005</v>
      </c>
      <c r="D187" s="675">
        <f>Financials!D$4</f>
        <v>2006</v>
      </c>
      <c r="E187" s="675">
        <f>Financials!E$4</f>
        <v>2007</v>
      </c>
      <c r="F187" s="675">
        <f>Financials!F$4</f>
        <v>2008</v>
      </c>
      <c r="G187" s="675">
        <f>Financials!G$4</f>
        <v>2009</v>
      </c>
      <c r="H187" s="675">
        <f>Financials!H$4</f>
        <v>2010</v>
      </c>
      <c r="I187" s="675">
        <f>Financials!I$4</f>
        <v>2011</v>
      </c>
      <c r="J187" s="675">
        <f>Financials!J$4</f>
        <v>2012</v>
      </c>
      <c r="K187" s="675">
        <f>Financials!K$4</f>
        <v>2013</v>
      </c>
      <c r="L187" s="675">
        <f>Financials!L$4</f>
        <v>2014</v>
      </c>
      <c r="M187" s="675">
        <f>Financials!M$4</f>
        <v>2015</v>
      </c>
      <c r="N187" s="675">
        <f>Financials!N$4</f>
        <v>2016</v>
      </c>
      <c r="O187" s="675">
        <f t="shared" ref="O187:W187" si="187">O$7</f>
        <v>2017</v>
      </c>
      <c r="P187" s="490" t="str">
        <f t="shared" si="187"/>
        <v>2018E</v>
      </c>
      <c r="Q187" s="490" t="str">
        <f t="shared" si="187"/>
        <v>2019E</v>
      </c>
      <c r="R187" s="490" t="str">
        <f t="shared" si="187"/>
        <v>2020E</v>
      </c>
      <c r="S187" s="490" t="str">
        <f t="shared" si="187"/>
        <v>2021E</v>
      </c>
      <c r="T187" s="490" t="str">
        <f t="shared" si="187"/>
        <v>2022E</v>
      </c>
      <c r="U187" s="490" t="str">
        <f t="shared" si="187"/>
        <v>2023E</v>
      </c>
      <c r="V187" s="490" t="str">
        <f t="shared" si="187"/>
        <v>2024E</v>
      </c>
      <c r="W187" s="490" t="str">
        <f t="shared" si="187"/>
        <v>2025E</v>
      </c>
    </row>
    <row r="188" spans="1:23" s="1401" customFormat="1">
      <c r="A188" s="1401" t="s">
        <v>77</v>
      </c>
      <c r="C188" s="514">
        <v>153.84750390625007</v>
      </c>
      <c r="D188" s="395">
        <v>154.42168283333336</v>
      </c>
      <c r="E188" s="395">
        <v>154.14045871875004</v>
      </c>
      <c r="F188" s="395">
        <v>184.79420750000003</v>
      </c>
      <c r="G188" s="395">
        <v>116.51632416666666</v>
      </c>
      <c r="H188" s="395">
        <v>150.63293699999997</v>
      </c>
      <c r="I188" s="395">
        <v>192.80104675000001</v>
      </c>
      <c r="J188" s="186">
        <v>190.18050333333335</v>
      </c>
      <c r="K188" s="186">
        <v>218.72815937499999</v>
      </c>
      <c r="L188" s="186">
        <v>227.4472538958334</v>
      </c>
      <c r="M188" s="186">
        <v>137.61117000000002</v>
      </c>
      <c r="N188" s="186">
        <v>159.60460653125006</v>
      </c>
      <c r="O188" s="186">
        <v>178.26481749999999</v>
      </c>
      <c r="P188" s="512">
        <v>170.05781249999998</v>
      </c>
      <c r="Q188" s="512">
        <v>189.46874999999997</v>
      </c>
      <c r="R188" s="512">
        <v>202.125</v>
      </c>
      <c r="S188" s="512">
        <v>206.976</v>
      </c>
      <c r="T188" s="512">
        <v>211.94342399999999</v>
      </c>
      <c r="U188" s="512">
        <v>217.03006617599996</v>
      </c>
      <c r="V188" s="512">
        <v>222.23878776422396</v>
      </c>
      <c r="W188" s="512">
        <v>227.57251867056533</v>
      </c>
    </row>
    <row r="189" spans="1:23" s="1401" customFormat="1"/>
    <row r="190" spans="1:23" s="1401" customFormat="1">
      <c r="A190" s="674" t="s">
        <v>1708</v>
      </c>
      <c r="B190" s="675">
        <f>Financials!B$4</f>
        <v>2004</v>
      </c>
      <c r="C190" s="675">
        <f>Financials!C$4</f>
        <v>2005</v>
      </c>
      <c r="D190" s="675">
        <f>Financials!D$4</f>
        <v>2006</v>
      </c>
      <c r="E190" s="675">
        <f>Financials!E$4</f>
        <v>2007</v>
      </c>
      <c r="F190" s="675">
        <f>Financials!F$4</f>
        <v>2008</v>
      </c>
      <c r="G190" s="675">
        <f>Financials!G$4</f>
        <v>2009</v>
      </c>
      <c r="H190" s="675">
        <f>Financials!H$4</f>
        <v>2010</v>
      </c>
      <c r="I190" s="675">
        <f>Financials!I$4</f>
        <v>2011</v>
      </c>
      <c r="J190" s="675">
        <f>Financials!J$4</f>
        <v>2012</v>
      </c>
      <c r="K190" s="675">
        <f>Financials!K$4</f>
        <v>2013</v>
      </c>
      <c r="L190" s="675">
        <f>Financials!L$4</f>
        <v>2014</v>
      </c>
      <c r="M190" s="675">
        <f>Financials!M$4</f>
        <v>2015</v>
      </c>
      <c r="N190" s="675">
        <f>Financials!N$4</f>
        <v>2016</v>
      </c>
      <c r="O190" s="675">
        <f t="shared" ref="O190:W190" si="188">O$7</f>
        <v>2017</v>
      </c>
      <c r="P190" s="490" t="str">
        <f t="shared" si="188"/>
        <v>2018E</v>
      </c>
      <c r="Q190" s="490" t="str">
        <f t="shared" si="188"/>
        <v>2019E</v>
      </c>
      <c r="R190" s="490" t="str">
        <f t="shared" si="188"/>
        <v>2020E</v>
      </c>
      <c r="S190" s="490" t="str">
        <f t="shared" si="188"/>
        <v>2021E</v>
      </c>
      <c r="T190" s="490" t="str">
        <f t="shared" si="188"/>
        <v>2022E</v>
      </c>
      <c r="U190" s="490" t="str">
        <f t="shared" si="188"/>
        <v>2023E</v>
      </c>
      <c r="V190" s="490" t="str">
        <f t="shared" si="188"/>
        <v>2024E</v>
      </c>
      <c r="W190" s="490" t="str">
        <f t="shared" si="188"/>
        <v>2025E</v>
      </c>
    </row>
    <row r="191" spans="1:23" s="1401" customFormat="1">
      <c r="A191" s="1401" t="s">
        <v>77</v>
      </c>
      <c r="C191" s="514"/>
      <c r="D191" s="395">
        <v>100</v>
      </c>
      <c r="E191" s="395">
        <f>D191*(E188/D188)</f>
        <v>99.817885604260098</v>
      </c>
      <c r="F191" s="395">
        <f t="shared" ref="F191:W191" si="189">E191*(F188/E188)</f>
        <v>119.66856215357245</v>
      </c>
      <c r="G191" s="395">
        <f t="shared" si="189"/>
        <v>75.45334439362523</v>
      </c>
      <c r="H191" s="395">
        <f t="shared" si="189"/>
        <v>97.546493624588621</v>
      </c>
      <c r="I191" s="395">
        <f t="shared" si="189"/>
        <v>124.85361071870287</v>
      </c>
      <c r="J191" s="395">
        <f t="shared" si="189"/>
        <v>123.15660588843237</v>
      </c>
      <c r="K191" s="395">
        <f t="shared" si="189"/>
        <v>141.64342426644345</v>
      </c>
      <c r="L191" s="395">
        <f t="shared" si="189"/>
        <v>147.28971328548224</v>
      </c>
      <c r="M191" s="395">
        <f t="shared" si="189"/>
        <v>89.113890921991299</v>
      </c>
      <c r="N191" s="395">
        <f t="shared" si="189"/>
        <v>103.35634452547099</v>
      </c>
      <c r="O191" s="395">
        <f t="shared" si="189"/>
        <v>115.44027641014668</v>
      </c>
      <c r="P191" s="512">
        <f t="shared" si="189"/>
        <v>110.12560501852754</v>
      </c>
      <c r="Q191" s="512">
        <f t="shared" si="189"/>
        <v>122.69569047793168</v>
      </c>
      <c r="R191" s="512">
        <f t="shared" si="189"/>
        <v>130.89159261277621</v>
      </c>
      <c r="S191" s="512">
        <f t="shared" si="189"/>
        <v>134.03299083548285</v>
      </c>
      <c r="T191" s="512">
        <f t="shared" si="189"/>
        <v>137.24978261553443</v>
      </c>
      <c r="U191" s="512">
        <f t="shared" si="189"/>
        <v>140.54377739830721</v>
      </c>
      <c r="V191" s="512">
        <f t="shared" si="189"/>
        <v>143.9168280558666</v>
      </c>
      <c r="W191" s="512">
        <f t="shared" si="189"/>
        <v>147.37083192920741</v>
      </c>
    </row>
    <row r="192" spans="1:23" s="1401" customFormat="1"/>
    <row r="193" spans="1:23" s="1401" customFormat="1">
      <c r="A193" s="674" t="s">
        <v>19</v>
      </c>
      <c r="B193" s="675">
        <f t="shared" ref="B193:W193" si="190">B$7</f>
        <v>2004</v>
      </c>
      <c r="C193" s="675">
        <f t="shared" si="190"/>
        <v>2005</v>
      </c>
      <c r="D193" s="675">
        <f t="shared" si="190"/>
        <v>2006</v>
      </c>
      <c r="E193" s="675">
        <f t="shared" si="190"/>
        <v>2007</v>
      </c>
      <c r="F193" s="675">
        <f t="shared" si="190"/>
        <v>2008</v>
      </c>
      <c r="G193" s="675">
        <f t="shared" si="190"/>
        <v>2009</v>
      </c>
      <c r="H193" s="675">
        <f t="shared" si="190"/>
        <v>2010</v>
      </c>
      <c r="I193" s="675">
        <f t="shared" si="190"/>
        <v>2011</v>
      </c>
      <c r="J193" s="675">
        <f t="shared" si="190"/>
        <v>2012</v>
      </c>
      <c r="K193" s="675">
        <f t="shared" si="190"/>
        <v>2013</v>
      </c>
      <c r="L193" s="675">
        <f t="shared" si="190"/>
        <v>2014</v>
      </c>
      <c r="M193" s="675">
        <f t="shared" si="190"/>
        <v>2015</v>
      </c>
      <c r="N193" s="675">
        <f t="shared" si="190"/>
        <v>2016</v>
      </c>
      <c r="O193" s="675">
        <f t="shared" si="190"/>
        <v>2017</v>
      </c>
      <c r="P193" s="490" t="str">
        <f t="shared" si="190"/>
        <v>2018E</v>
      </c>
      <c r="Q193" s="490" t="str">
        <f t="shared" si="190"/>
        <v>2019E</v>
      </c>
      <c r="R193" s="490" t="str">
        <f t="shared" si="190"/>
        <v>2020E</v>
      </c>
      <c r="S193" s="490" t="str">
        <f t="shared" si="190"/>
        <v>2021E</v>
      </c>
      <c r="T193" s="490" t="str">
        <f t="shared" si="190"/>
        <v>2022E</v>
      </c>
      <c r="U193" s="490" t="str">
        <f t="shared" si="190"/>
        <v>2023E</v>
      </c>
      <c r="V193" s="490" t="str">
        <f t="shared" si="190"/>
        <v>2024E</v>
      </c>
      <c r="W193" s="490" t="str">
        <f t="shared" si="190"/>
        <v>2025E</v>
      </c>
    </row>
    <row r="194" spans="1:23" s="1401" customFormat="1">
      <c r="A194" s="1401" t="s">
        <v>77</v>
      </c>
      <c r="D194" s="395">
        <v>100</v>
      </c>
      <c r="E194" s="395">
        <f>D194*(E164/D164)</f>
        <v>113.64462089482348</v>
      </c>
      <c r="F194" s="395">
        <f t="shared" ref="F194:W194" si="191">E194*(F164/E164)</f>
        <v>82.215604767867958</v>
      </c>
      <c r="G194" s="395">
        <f t="shared" si="191"/>
        <v>99.746754445947744</v>
      </c>
      <c r="H194" s="395">
        <f t="shared" si="191"/>
        <v>129.33656211135812</v>
      </c>
      <c r="I194" s="395">
        <f t="shared" si="191"/>
        <v>152.71073521610847</v>
      </c>
      <c r="J194" s="395">
        <f t="shared" si="191"/>
        <v>168.88177443090541</v>
      </c>
      <c r="K194" s="395">
        <f t="shared" si="191"/>
        <v>177.03868549273432</v>
      </c>
      <c r="L194" s="395">
        <f t="shared" si="191"/>
        <v>162.2407445652556</v>
      </c>
      <c r="M194" s="395">
        <f t="shared" si="191"/>
        <v>168.27031518172146</v>
      </c>
      <c r="N194" s="395">
        <f t="shared" si="191"/>
        <v>190.60045981453322</v>
      </c>
      <c r="O194" s="395">
        <f t="shared" si="191"/>
        <v>227.67029823790162</v>
      </c>
      <c r="P194" s="512">
        <f t="shared" si="191"/>
        <v>256.03488862756654</v>
      </c>
      <c r="Q194" s="512">
        <f t="shared" si="191"/>
        <v>218.82879522554751</v>
      </c>
      <c r="R194" s="512">
        <f t="shared" si="191"/>
        <v>226.43401804822443</v>
      </c>
      <c r="S194" s="512">
        <f t="shared" si="191"/>
        <v>271.02168036325099</v>
      </c>
      <c r="T194" s="512">
        <f t="shared" si="191"/>
        <v>288.58221428625944</v>
      </c>
      <c r="U194" s="512">
        <f t="shared" si="191"/>
        <v>241.34425249531174</v>
      </c>
      <c r="V194" s="512">
        <f t="shared" si="191"/>
        <v>208.82333826474982</v>
      </c>
      <c r="W194" s="512">
        <f t="shared" si="191"/>
        <v>238.17939765944811</v>
      </c>
    </row>
    <row r="195" spans="1:23" s="1401" customFormat="1"/>
    <row r="196" spans="1:23" s="1401" customFormat="1">
      <c r="A196" s="674" t="s">
        <v>20</v>
      </c>
      <c r="B196" s="675">
        <f t="shared" ref="B196:W196" si="192">B$7</f>
        <v>2004</v>
      </c>
      <c r="C196" s="675">
        <f t="shared" si="192"/>
        <v>2005</v>
      </c>
      <c r="D196" s="675">
        <f t="shared" si="192"/>
        <v>2006</v>
      </c>
      <c r="E196" s="675">
        <f t="shared" si="192"/>
        <v>2007</v>
      </c>
      <c r="F196" s="675">
        <f t="shared" si="192"/>
        <v>2008</v>
      </c>
      <c r="G196" s="675">
        <f t="shared" si="192"/>
        <v>2009</v>
      </c>
      <c r="H196" s="675">
        <f t="shared" si="192"/>
        <v>2010</v>
      </c>
      <c r="I196" s="675">
        <f t="shared" si="192"/>
        <v>2011</v>
      </c>
      <c r="J196" s="675">
        <f t="shared" si="192"/>
        <v>2012</v>
      </c>
      <c r="K196" s="675">
        <f t="shared" si="192"/>
        <v>2013</v>
      </c>
      <c r="L196" s="675">
        <f t="shared" si="192"/>
        <v>2014</v>
      </c>
      <c r="M196" s="675">
        <f t="shared" si="192"/>
        <v>2015</v>
      </c>
      <c r="N196" s="675">
        <f t="shared" si="192"/>
        <v>2016</v>
      </c>
      <c r="O196" s="675">
        <f t="shared" si="192"/>
        <v>2017</v>
      </c>
      <c r="P196" s="490" t="str">
        <f t="shared" si="192"/>
        <v>2018E</v>
      </c>
      <c r="Q196" s="490" t="str">
        <f t="shared" si="192"/>
        <v>2019E</v>
      </c>
      <c r="R196" s="490" t="str">
        <f t="shared" si="192"/>
        <v>2020E</v>
      </c>
      <c r="S196" s="490" t="str">
        <f t="shared" si="192"/>
        <v>2021E</v>
      </c>
      <c r="T196" s="490" t="str">
        <f t="shared" si="192"/>
        <v>2022E</v>
      </c>
      <c r="U196" s="490" t="str">
        <f t="shared" si="192"/>
        <v>2023E</v>
      </c>
      <c r="V196" s="490" t="str">
        <f t="shared" si="192"/>
        <v>2024E</v>
      </c>
      <c r="W196" s="490" t="str">
        <f t="shared" si="192"/>
        <v>2025E</v>
      </c>
    </row>
    <row r="197" spans="1:23" s="1401" customFormat="1">
      <c r="A197" s="1401" t="s">
        <v>77</v>
      </c>
      <c r="D197" s="395">
        <v>100</v>
      </c>
      <c r="E197" s="395">
        <f>D197*(E174/D174)</f>
        <v>107.67018028727414</v>
      </c>
      <c r="F197" s="395">
        <f t="shared" ref="F197:W197" si="193">E197*(F174/E174)</f>
        <v>88.074525995280112</v>
      </c>
      <c r="G197" s="395">
        <f t="shared" si="193"/>
        <v>90.456919271555151</v>
      </c>
      <c r="H197" s="395">
        <f t="shared" si="193"/>
        <v>100.8450776000399</v>
      </c>
      <c r="I197" s="395">
        <f t="shared" si="193"/>
        <v>116.92596988897881</v>
      </c>
      <c r="J197" s="395">
        <f t="shared" si="193"/>
        <v>147.89865166726199</v>
      </c>
      <c r="K197" s="395">
        <f t="shared" si="193"/>
        <v>142.40681168014814</v>
      </c>
      <c r="L197" s="395">
        <f t="shared" si="193"/>
        <v>154.81953809027141</v>
      </c>
      <c r="M197" s="395">
        <f t="shared" si="193"/>
        <v>158.57562626887912</v>
      </c>
      <c r="N197" s="395">
        <f t="shared" si="193"/>
        <v>192.45141452395168</v>
      </c>
      <c r="O197" s="395">
        <f t="shared" si="193"/>
        <v>208.503797511751</v>
      </c>
      <c r="P197" s="512">
        <f t="shared" si="193"/>
        <v>198.80543420790124</v>
      </c>
      <c r="Q197" s="512">
        <f t="shared" si="193"/>
        <v>216.41091973446873</v>
      </c>
      <c r="R197" s="512">
        <f t="shared" si="193"/>
        <v>231.65112534957214</v>
      </c>
      <c r="S197" s="512">
        <f t="shared" si="193"/>
        <v>240.40022258909073</v>
      </c>
      <c r="T197" s="512">
        <f t="shared" si="193"/>
        <v>246.16982793122892</v>
      </c>
      <c r="U197" s="512">
        <f t="shared" si="193"/>
        <v>252.07790380157837</v>
      </c>
      <c r="V197" s="512">
        <f t="shared" si="193"/>
        <v>258.12777349281623</v>
      </c>
      <c r="W197" s="512">
        <f t="shared" si="193"/>
        <v>275.50952916027376</v>
      </c>
    </row>
    <row r="198" spans="1:23" s="1401" customFormat="1"/>
    <row r="199" spans="1:23" s="1401" customFormat="1"/>
    <row r="200" spans="1:23" s="1401" customFormat="1">
      <c r="A200" s="674" t="s">
        <v>1547</v>
      </c>
      <c r="B200" s="675">
        <f>Financials!B$4</f>
        <v>2004</v>
      </c>
      <c r="C200" s="675">
        <f>Financials!C$4</f>
        <v>2005</v>
      </c>
      <c r="D200" s="675">
        <f>Financials!D$4</f>
        <v>2006</v>
      </c>
      <c r="E200" s="675">
        <f>Financials!E$4</f>
        <v>2007</v>
      </c>
      <c r="F200" s="675">
        <f>Financials!F$4</f>
        <v>2008</v>
      </c>
      <c r="G200" s="675">
        <f>Financials!G$4</f>
        <v>2009</v>
      </c>
      <c r="H200" s="675">
        <f>Financials!H$4</f>
        <v>2010</v>
      </c>
      <c r="I200" s="675">
        <f>Financials!I$4</f>
        <v>2011</v>
      </c>
      <c r="J200" s="675">
        <f>Financials!J$4</f>
        <v>2012</v>
      </c>
      <c r="K200" s="675">
        <f>Financials!K$4</f>
        <v>2013</v>
      </c>
      <c r="L200" s="675">
        <f>Financials!L$4</f>
        <v>2014</v>
      </c>
      <c r="M200" s="675">
        <f>Financials!M$4</f>
        <v>2015</v>
      </c>
      <c r="N200" s="675">
        <f>Financials!N$4</f>
        <v>2016</v>
      </c>
      <c r="O200" s="675">
        <f t="shared" ref="O200:W200" si="194">O$7</f>
        <v>2017</v>
      </c>
      <c r="P200" s="490" t="str">
        <f t="shared" si="194"/>
        <v>2018E</v>
      </c>
      <c r="Q200" s="490" t="str">
        <f t="shared" si="194"/>
        <v>2019E</v>
      </c>
      <c r="R200" s="490" t="str">
        <f t="shared" si="194"/>
        <v>2020E</v>
      </c>
      <c r="S200" s="490" t="str">
        <f t="shared" si="194"/>
        <v>2021E</v>
      </c>
      <c r="T200" s="490" t="str">
        <f t="shared" si="194"/>
        <v>2022E</v>
      </c>
      <c r="U200" s="490" t="str">
        <f t="shared" si="194"/>
        <v>2023E</v>
      </c>
      <c r="V200" s="490" t="str">
        <f t="shared" si="194"/>
        <v>2024E</v>
      </c>
      <c r="W200" s="490" t="str">
        <f t="shared" si="194"/>
        <v>2025E</v>
      </c>
    </row>
    <row r="201" spans="1:23" s="1401" customFormat="1">
      <c r="A201" s="1401" t="s">
        <v>79</v>
      </c>
      <c r="B201" s="514" t="e">
        <f>NA()</f>
        <v>#N/A</v>
      </c>
      <c r="C201" s="514" t="e">
        <f>NA()</f>
        <v>#N/A</v>
      </c>
      <c r="D201" s="198">
        <f t="shared" ref="D201:M201" si="195">D202</f>
        <v>9000</v>
      </c>
      <c r="E201" s="198">
        <f t="shared" si="195"/>
        <v>9500</v>
      </c>
      <c r="F201" s="198">
        <f t="shared" si="195"/>
        <v>12000</v>
      </c>
      <c r="G201" s="198">
        <f t="shared" si="195"/>
        <v>12900</v>
      </c>
      <c r="H201" s="198">
        <f t="shared" si="195"/>
        <v>13100</v>
      </c>
      <c r="I201" s="198">
        <f t="shared" si="195"/>
        <v>14500</v>
      </c>
      <c r="J201" s="198">
        <f t="shared" si="195"/>
        <v>14800</v>
      </c>
      <c r="K201" s="198">
        <f t="shared" si="195"/>
        <v>16000</v>
      </c>
      <c r="L201" s="198">
        <f t="shared" si="195"/>
        <v>20000</v>
      </c>
      <c r="M201" s="198">
        <f t="shared" si="195"/>
        <v>20000</v>
      </c>
      <c r="N201" s="198">
        <f>N202</f>
        <v>20024</v>
      </c>
      <c r="O201" s="198">
        <f>Bear!O$5</f>
        <v>24000</v>
      </c>
      <c r="P201" s="500">
        <f>Bear!P$5</f>
        <v>24000</v>
      </c>
      <c r="Q201" s="500">
        <f>Bear!Q$5</f>
        <v>24000</v>
      </c>
      <c r="R201" s="500">
        <f>Bear!R$5</f>
        <v>24000</v>
      </c>
      <c r="S201" s="500">
        <f>Bear!S$5</f>
        <v>24500</v>
      </c>
      <c r="T201" s="500">
        <f>Bear!T$5</f>
        <v>25000</v>
      </c>
      <c r="U201" s="500">
        <f>Bear!U$5</f>
        <v>25500</v>
      </c>
      <c r="V201" s="500">
        <f>Bear!V$5</f>
        <v>26000</v>
      </c>
      <c r="W201" s="500">
        <f>Bear!W$5</f>
        <v>26500</v>
      </c>
    </row>
    <row r="202" spans="1:23" s="1401" customFormat="1">
      <c r="A202" s="1401" t="s">
        <v>77</v>
      </c>
      <c r="B202" s="514" t="e">
        <f>NA()</f>
        <v>#N/A</v>
      </c>
      <c r="C202" s="514" t="e">
        <f>NA()</f>
        <v>#N/A</v>
      </c>
      <c r="D202" s="196">
        <f>Financials!D5</f>
        <v>9000</v>
      </c>
      <c r="E202" s="196">
        <f>Financials!E5</f>
        <v>9500</v>
      </c>
      <c r="F202" s="196">
        <f>Financials!F5</f>
        <v>12000</v>
      </c>
      <c r="G202" s="196">
        <f>Financials!G5</f>
        <v>12900</v>
      </c>
      <c r="H202" s="196">
        <f>Financials!H5</f>
        <v>13100</v>
      </c>
      <c r="I202" s="196">
        <f>Financials!I5</f>
        <v>14500</v>
      </c>
      <c r="J202" s="196">
        <f>Financials!J5</f>
        <v>14800</v>
      </c>
      <c r="K202" s="196">
        <f>Financials!K5</f>
        <v>16000</v>
      </c>
      <c r="L202" s="196">
        <f>Financials!L5</f>
        <v>20000</v>
      </c>
      <c r="M202" s="196">
        <f>Financials!M5</f>
        <v>20000</v>
      </c>
      <c r="N202" s="196">
        <f>Financials!N5</f>
        <v>20024</v>
      </c>
      <c r="O202" s="196">
        <f>Base!O$5</f>
        <v>24000</v>
      </c>
      <c r="P202" s="500">
        <f>Base!P$5</f>
        <v>24000</v>
      </c>
      <c r="Q202" s="500">
        <f>Base!Q$5</f>
        <v>24000</v>
      </c>
      <c r="R202" s="500">
        <f>Base!R$5</f>
        <v>24500</v>
      </c>
      <c r="S202" s="500">
        <f>Base!S$5</f>
        <v>25000</v>
      </c>
      <c r="T202" s="500">
        <f>Base!T$5</f>
        <v>25500</v>
      </c>
      <c r="U202" s="500">
        <f>Base!U$5</f>
        <v>26000</v>
      </c>
      <c r="V202" s="500">
        <f>Base!V$5</f>
        <v>26500</v>
      </c>
      <c r="W202" s="500">
        <f>Base!W$5</f>
        <v>27000</v>
      </c>
    </row>
    <row r="203" spans="1:23" s="1401" customFormat="1">
      <c r="A203" s="1401" t="s">
        <v>78</v>
      </c>
      <c r="B203" s="514" t="e">
        <f>NA()</f>
        <v>#N/A</v>
      </c>
      <c r="C203" s="514" t="e">
        <f>NA()</f>
        <v>#N/A</v>
      </c>
      <c r="D203" s="198">
        <f t="shared" ref="D203:M203" si="196">D202</f>
        <v>9000</v>
      </c>
      <c r="E203" s="198">
        <f t="shared" si="196"/>
        <v>9500</v>
      </c>
      <c r="F203" s="198">
        <f t="shared" si="196"/>
        <v>12000</v>
      </c>
      <c r="G203" s="198">
        <f t="shared" si="196"/>
        <v>12900</v>
      </c>
      <c r="H203" s="198">
        <f t="shared" si="196"/>
        <v>13100</v>
      </c>
      <c r="I203" s="198">
        <f t="shared" si="196"/>
        <v>14500</v>
      </c>
      <c r="J203" s="198">
        <f t="shared" si="196"/>
        <v>14800</v>
      </c>
      <c r="K203" s="198">
        <f t="shared" si="196"/>
        <v>16000</v>
      </c>
      <c r="L203" s="198">
        <f t="shared" si="196"/>
        <v>20000</v>
      </c>
      <c r="M203" s="198">
        <f t="shared" si="196"/>
        <v>20000</v>
      </c>
      <c r="N203" s="198">
        <f>N202</f>
        <v>20024</v>
      </c>
      <c r="O203" s="198">
        <f>Bull!O$5</f>
        <v>24000</v>
      </c>
      <c r="P203" s="500">
        <f>Bull!P$5</f>
        <v>24000</v>
      </c>
      <c r="Q203" s="500">
        <f>Bull!Q$5</f>
        <v>24000</v>
      </c>
      <c r="R203" s="500">
        <f>Bull!R$5</f>
        <v>24500</v>
      </c>
      <c r="S203" s="500">
        <f>Bull!S$5</f>
        <v>25000</v>
      </c>
      <c r="T203" s="500">
        <f>Bull!T$5</f>
        <v>25500</v>
      </c>
      <c r="U203" s="500">
        <f>Bull!U$5</f>
        <v>26000</v>
      </c>
      <c r="V203" s="500">
        <f>Bull!V$5</f>
        <v>26500</v>
      </c>
      <c r="W203" s="500">
        <f>Bull!W$5</f>
        <v>27000</v>
      </c>
    </row>
    <row r="204" spans="1:23" s="1401" customFormat="1"/>
    <row r="205" spans="1:23">
      <c r="A205" s="674" t="s">
        <v>1085</v>
      </c>
      <c r="B205" s="675">
        <f>Financials!B$4</f>
        <v>2004</v>
      </c>
      <c r="C205" s="675">
        <f>Financials!C$4</f>
        <v>2005</v>
      </c>
      <c r="D205" s="675">
        <f>Financials!D$4</f>
        <v>2006</v>
      </c>
      <c r="E205" s="675">
        <f>Financials!E$4</f>
        <v>2007</v>
      </c>
      <c r="F205" s="675">
        <f>Financials!F$4</f>
        <v>2008</v>
      </c>
      <c r="G205" s="675">
        <f>Financials!G$4</f>
        <v>2009</v>
      </c>
      <c r="H205" s="675">
        <f>Financials!H$4</f>
        <v>2010</v>
      </c>
      <c r="I205" s="675">
        <f>Financials!I$4</f>
        <v>2011</v>
      </c>
      <c r="J205" s="675">
        <f>Financials!J$4</f>
        <v>2012</v>
      </c>
      <c r="K205" s="675">
        <f>Financials!K$4</f>
        <v>2013</v>
      </c>
      <c r="L205" s="675">
        <f>Financials!L$4</f>
        <v>2014</v>
      </c>
      <c r="M205" s="675">
        <f>Financials!M$4</f>
        <v>2015</v>
      </c>
      <c r="N205" s="675">
        <f>Financials!N$4</f>
        <v>2016</v>
      </c>
      <c r="O205" s="675">
        <f t="shared" ref="O205:W205" si="197">O$7</f>
        <v>2017</v>
      </c>
      <c r="P205" s="490" t="str">
        <f t="shared" si="197"/>
        <v>2018E</v>
      </c>
      <c r="Q205" s="490" t="str">
        <f t="shared" si="197"/>
        <v>2019E</v>
      </c>
      <c r="R205" s="490" t="str">
        <f t="shared" si="197"/>
        <v>2020E</v>
      </c>
      <c r="S205" s="490" t="str">
        <f t="shared" si="197"/>
        <v>2021E</v>
      </c>
      <c r="T205" s="490" t="str">
        <f t="shared" si="197"/>
        <v>2022E</v>
      </c>
      <c r="U205" s="490" t="str">
        <f t="shared" si="197"/>
        <v>2023E</v>
      </c>
      <c r="V205" s="490" t="str">
        <f t="shared" si="197"/>
        <v>2024E</v>
      </c>
      <c r="W205" s="490" t="str">
        <f t="shared" si="197"/>
        <v>2025E</v>
      </c>
    </row>
    <row r="206" spans="1:23">
      <c r="A206" s="52" t="s">
        <v>79</v>
      </c>
      <c r="B206" s="514" t="e">
        <f>NA()</f>
        <v>#N/A</v>
      </c>
      <c r="C206" s="514" t="e">
        <f>NA()</f>
        <v>#N/A</v>
      </c>
      <c r="D206" s="196">
        <f t="shared" ref="D206:N206" si="198">D207</f>
        <v>9739</v>
      </c>
      <c r="E206" s="196">
        <f t="shared" si="198"/>
        <v>9276</v>
      </c>
      <c r="F206" s="196">
        <f t="shared" si="198"/>
        <v>10218</v>
      </c>
      <c r="G206" s="196">
        <f t="shared" si="198"/>
        <v>12001</v>
      </c>
      <c r="H206" s="196">
        <f t="shared" si="198"/>
        <v>12923</v>
      </c>
      <c r="I206" s="196">
        <f t="shared" si="198"/>
        <v>13067</v>
      </c>
      <c r="J206" s="196">
        <f t="shared" si="198"/>
        <v>10590</v>
      </c>
      <c r="K206" s="196">
        <f t="shared" si="198"/>
        <v>12885</v>
      </c>
      <c r="L206" s="196">
        <f t="shared" si="198"/>
        <v>15593</v>
      </c>
      <c r="M206" s="196">
        <f t="shared" si="198"/>
        <v>18718</v>
      </c>
      <c r="N206" s="196">
        <f t="shared" si="198"/>
        <v>20024</v>
      </c>
      <c r="O206" s="196">
        <f>Bear!O6</f>
        <v>19281</v>
      </c>
      <c r="P206" s="357">
        <f>Bear!P6</f>
        <v>21998.1</v>
      </c>
      <c r="Q206" s="357">
        <f>Bear!Q6</f>
        <v>22988.014499999997</v>
      </c>
      <c r="R206" s="357">
        <f>Bear!R6</f>
        <v>23401.798760999998</v>
      </c>
      <c r="S206" s="357">
        <f>Bear!S6</f>
        <v>24033.647327546994</v>
      </c>
      <c r="T206" s="357">
        <f>Bear!T6</f>
        <v>24422.992414253255</v>
      </c>
      <c r="U206" s="357">
        <f>Bear!U6</f>
        <v>24818.644891364158</v>
      </c>
      <c r="V206" s="357">
        <f>Bear!V6</f>
        <v>25220.706938604257</v>
      </c>
      <c r="W206" s="357">
        <f>Bear!W6</f>
        <v>25629.282391009645</v>
      </c>
    </row>
    <row r="207" spans="1:23">
      <c r="A207" s="52" t="s">
        <v>77</v>
      </c>
      <c r="B207" s="514" t="e">
        <f>NA()</f>
        <v>#N/A</v>
      </c>
      <c r="C207" s="514" t="e">
        <f>NA()</f>
        <v>#N/A</v>
      </c>
      <c r="D207" s="196">
        <f>Financials!D6</f>
        <v>9739</v>
      </c>
      <c r="E207" s="196">
        <f>Financials!E6</f>
        <v>9276</v>
      </c>
      <c r="F207" s="196">
        <f>Financials!F6</f>
        <v>10218</v>
      </c>
      <c r="G207" s="196">
        <f>Financials!G6</f>
        <v>12001</v>
      </c>
      <c r="H207" s="196">
        <f>Financials!H6</f>
        <v>12923</v>
      </c>
      <c r="I207" s="196">
        <f>Financials!I6</f>
        <v>13067</v>
      </c>
      <c r="J207" s="196">
        <f>Financials!J6</f>
        <v>10590</v>
      </c>
      <c r="K207" s="196">
        <f>Financials!K6</f>
        <v>12885</v>
      </c>
      <c r="L207" s="196">
        <f>Financials!L6</f>
        <v>15593</v>
      </c>
      <c r="M207" s="196">
        <f>Financials!M6</f>
        <v>18718</v>
      </c>
      <c r="N207" s="196">
        <f>Financials!N6</f>
        <v>20024</v>
      </c>
      <c r="O207" s="196">
        <f>Base!O6</f>
        <v>19281</v>
      </c>
      <c r="P207" s="357">
        <f>Base!P6</f>
        <v>22299.999999999996</v>
      </c>
      <c r="Q207" s="357">
        <f>Base!Q6</f>
        <v>23414.999999999996</v>
      </c>
      <c r="R207" s="357">
        <f>Base!R6</f>
        <v>23883.3</v>
      </c>
      <c r="S207" s="357">
        <f>Base!S6</f>
        <v>24599.798999999995</v>
      </c>
      <c r="T207" s="357">
        <f>Base!T6</f>
        <v>25042.595381999992</v>
      </c>
      <c r="U207" s="357">
        <f>Base!U6</f>
        <v>25493.362098875994</v>
      </c>
      <c r="V207" s="357">
        <f>Base!V6</f>
        <v>25952.242616655767</v>
      </c>
      <c r="W207" s="357">
        <f>Base!W6</f>
        <v>26419.382983755571</v>
      </c>
    </row>
    <row r="208" spans="1:23">
      <c r="A208" s="52" t="s">
        <v>78</v>
      </c>
      <c r="B208" s="514" t="e">
        <f>NA()</f>
        <v>#N/A</v>
      </c>
      <c r="C208" s="514" t="e">
        <f>NA()</f>
        <v>#N/A</v>
      </c>
      <c r="D208" s="196">
        <f>D207</f>
        <v>9739</v>
      </c>
      <c r="E208" s="196">
        <f>E207</f>
        <v>9276</v>
      </c>
      <c r="F208" s="196">
        <f t="shared" ref="F208:N208" si="199">F207</f>
        <v>10218</v>
      </c>
      <c r="G208" s="196">
        <f t="shared" si="199"/>
        <v>12001</v>
      </c>
      <c r="H208" s="196">
        <f t="shared" si="199"/>
        <v>12923</v>
      </c>
      <c r="I208" s="196">
        <f t="shared" si="199"/>
        <v>13067</v>
      </c>
      <c r="J208" s="196">
        <f t="shared" si="199"/>
        <v>10590</v>
      </c>
      <c r="K208" s="196">
        <f t="shared" si="199"/>
        <v>12885</v>
      </c>
      <c r="L208" s="196">
        <f t="shared" si="199"/>
        <v>15593</v>
      </c>
      <c r="M208" s="196">
        <f t="shared" si="199"/>
        <v>18718</v>
      </c>
      <c r="N208" s="196">
        <f t="shared" si="199"/>
        <v>20024</v>
      </c>
      <c r="O208" s="196">
        <f>Bull!O6</f>
        <v>19281</v>
      </c>
      <c r="P208" s="357">
        <f>Bull!P6</f>
        <v>22299.999999999996</v>
      </c>
      <c r="Q208" s="357">
        <f>Bull!Q6</f>
        <v>23414.999999999996</v>
      </c>
      <c r="R208" s="357">
        <f>Bull!R6</f>
        <v>23883.3</v>
      </c>
      <c r="S208" s="357">
        <f>Bull!S6</f>
        <v>24599.798999999995</v>
      </c>
      <c r="T208" s="357">
        <f>Bull!T6</f>
        <v>25131.154658399995</v>
      </c>
      <c r="U208" s="357">
        <f>Bull!U6</f>
        <v>25673.987599021435</v>
      </c>
      <c r="V208" s="357">
        <f>Bull!V6</f>
        <v>26228.545731160295</v>
      </c>
      <c r="W208" s="357">
        <f>Bull!W6</f>
        <v>26795.082318953362</v>
      </c>
    </row>
    <row r="209" spans="1:23">
      <c r="M209" s="1401"/>
      <c r="N209" s="1401"/>
      <c r="O209" s="1401"/>
      <c r="S209" s="1401"/>
      <c r="T209" s="1401"/>
      <c r="U209" s="1401"/>
      <c r="V209" s="1401"/>
      <c r="W209" s="1401"/>
    </row>
    <row r="210" spans="1:23">
      <c r="A210" s="674" t="s">
        <v>1086</v>
      </c>
      <c r="B210" s="675">
        <f>Financials!B$4</f>
        <v>2004</v>
      </c>
      <c r="C210" s="675">
        <f>Financials!C$4</f>
        <v>2005</v>
      </c>
      <c r="D210" s="675">
        <f>Financials!D$4</f>
        <v>2006</v>
      </c>
      <c r="E210" s="675">
        <f>Financials!E$4</f>
        <v>2007</v>
      </c>
      <c r="F210" s="675">
        <f>Financials!F$4</f>
        <v>2008</v>
      </c>
      <c r="G210" s="675">
        <f>Financials!G$4</f>
        <v>2009</v>
      </c>
      <c r="H210" s="675">
        <f>Financials!H$4</f>
        <v>2010</v>
      </c>
      <c r="I210" s="675">
        <f>Financials!I$4</f>
        <v>2011</v>
      </c>
      <c r="J210" s="675">
        <f>Financials!J$4</f>
        <v>2012</v>
      </c>
      <c r="K210" s="675">
        <f>Financials!K$4</f>
        <v>2013</v>
      </c>
      <c r="L210" s="675">
        <f>Financials!L$4</f>
        <v>2014</v>
      </c>
      <c r="M210" s="675">
        <f>Financials!M$4</f>
        <v>2015</v>
      </c>
      <c r="N210" s="675">
        <f>Financials!N$4</f>
        <v>2016</v>
      </c>
      <c r="O210" s="675">
        <f t="shared" ref="O210:W210" si="200">O$7</f>
        <v>2017</v>
      </c>
      <c r="P210" s="490" t="str">
        <f t="shared" si="200"/>
        <v>2018E</v>
      </c>
      <c r="Q210" s="490" t="str">
        <f t="shared" si="200"/>
        <v>2019E</v>
      </c>
      <c r="R210" s="490" t="str">
        <f t="shared" si="200"/>
        <v>2020E</v>
      </c>
      <c r="S210" s="490" t="str">
        <f t="shared" si="200"/>
        <v>2021E</v>
      </c>
      <c r="T210" s="490" t="str">
        <f t="shared" si="200"/>
        <v>2022E</v>
      </c>
      <c r="U210" s="490" t="str">
        <f t="shared" si="200"/>
        <v>2023E</v>
      </c>
      <c r="V210" s="490" t="str">
        <f t="shared" si="200"/>
        <v>2024E</v>
      </c>
      <c r="W210" s="490" t="str">
        <f t="shared" si="200"/>
        <v>2025E</v>
      </c>
    </row>
    <row r="211" spans="1:23">
      <c r="A211" s="52" t="s">
        <v>79</v>
      </c>
      <c r="B211" s="514" t="e">
        <f>NA()</f>
        <v>#N/A</v>
      </c>
      <c r="C211" s="514" t="e">
        <f>NA()</f>
        <v>#N/A</v>
      </c>
      <c r="D211" s="188">
        <f t="shared" ref="D211:N211" si="201">D212</f>
        <v>629.76800000000003</v>
      </c>
      <c r="E211" s="188">
        <f t="shared" si="201"/>
        <v>676.34199999999998</v>
      </c>
      <c r="F211" s="188">
        <f t="shared" si="201"/>
        <v>605.74699999999996</v>
      </c>
      <c r="G211" s="188">
        <f t="shared" si="201"/>
        <v>417.7</v>
      </c>
      <c r="H211" s="188">
        <f t="shared" si="201"/>
        <v>818.7</v>
      </c>
      <c r="I211" s="188">
        <f t="shared" si="201"/>
        <v>836.2</v>
      </c>
      <c r="J211" s="182">
        <f t="shared" si="201"/>
        <v>825.6</v>
      </c>
      <c r="K211" s="182">
        <f t="shared" si="201"/>
        <v>976.19999999999993</v>
      </c>
      <c r="L211" s="182">
        <f t="shared" si="201"/>
        <v>991.2</v>
      </c>
      <c r="M211" s="182">
        <f t="shared" si="201"/>
        <v>1177.0999999999999</v>
      </c>
      <c r="N211" s="182">
        <f t="shared" si="201"/>
        <v>1201</v>
      </c>
      <c r="O211" s="182">
        <f>Bear!O$19</f>
        <v>1313.7</v>
      </c>
      <c r="P211" s="493">
        <f>Bear!P$19</f>
        <v>1370.9955396799971</v>
      </c>
      <c r="Q211" s="493">
        <f>Bear!Q$19</f>
        <v>1445.244496429229</v>
      </c>
      <c r="R211" s="493">
        <f>Bear!R$19</f>
        <v>1478.9803395854756</v>
      </c>
      <c r="S211" s="493">
        <f>Bear!S$19</f>
        <v>1526.5105401030817</v>
      </c>
      <c r="T211" s="493">
        <f>Bear!T$19</f>
        <v>1559.0264393983268</v>
      </c>
      <c r="U211" s="493">
        <f>Bear!U$19</f>
        <v>1592.2329674796097</v>
      </c>
      <c r="V211" s="493">
        <f>Bear!V$19</f>
        <v>1626.1467481627099</v>
      </c>
      <c r="W211" s="493">
        <f>Bear!W$19</f>
        <v>1660.7827184628845</v>
      </c>
    </row>
    <row r="212" spans="1:23">
      <c r="A212" s="52" t="s">
        <v>77</v>
      </c>
      <c r="B212" s="514" t="e">
        <f>NA()</f>
        <v>#N/A</v>
      </c>
      <c r="C212" s="514" t="e">
        <f>NA()</f>
        <v>#N/A</v>
      </c>
      <c r="D212" s="188">
        <f>Financials!D$19</f>
        <v>629.76800000000003</v>
      </c>
      <c r="E212" s="188">
        <f>Financials!E$19</f>
        <v>676.34199999999998</v>
      </c>
      <c r="F212" s="188">
        <f>Financials!F$19</f>
        <v>605.74699999999996</v>
      </c>
      <c r="G212" s="188">
        <f>Financials!G$19</f>
        <v>417.7</v>
      </c>
      <c r="H212" s="188">
        <f>Financials!H$19</f>
        <v>818.7</v>
      </c>
      <c r="I212" s="188">
        <f>Financials!I$19</f>
        <v>836.2</v>
      </c>
      <c r="J212" s="188">
        <f>Financials!J$19</f>
        <v>825.6</v>
      </c>
      <c r="K212" s="188">
        <f>Financials!K$19</f>
        <v>976.19999999999993</v>
      </c>
      <c r="L212" s="188">
        <f>Financials!L$19</f>
        <v>991.2</v>
      </c>
      <c r="M212" s="188">
        <f>Financials!M$19</f>
        <v>1177.0999999999999</v>
      </c>
      <c r="N212" s="188">
        <f>Financials!N$19</f>
        <v>1201</v>
      </c>
      <c r="O212" s="188">
        <f>Base!O$19</f>
        <v>1313.7</v>
      </c>
      <c r="P212" s="493">
        <f>Base!P$19</f>
        <v>1395.035815774088</v>
      </c>
      <c r="Q212" s="493">
        <f>Base!Q$19</f>
        <v>1477.5586582487051</v>
      </c>
      <c r="R212" s="493">
        <f>Base!R$19</f>
        <v>1514.9914199906761</v>
      </c>
      <c r="S212" s="493">
        <f>Base!S$19</f>
        <v>1568.2177770680119</v>
      </c>
      <c r="T212" s="493">
        <f>Base!T$19</f>
        <v>1604.4296709965454</v>
      </c>
      <c r="U212" s="493">
        <f>Base!U$19</f>
        <v>1641.4758404898287</v>
      </c>
      <c r="V212" s="493">
        <f>Base!V$19</f>
        <v>1679.3775243636262</v>
      </c>
      <c r="W212" s="493">
        <f>Base!W$19</f>
        <v>1718.1543510194051</v>
      </c>
    </row>
    <row r="213" spans="1:23">
      <c r="A213" s="52" t="s">
        <v>78</v>
      </c>
      <c r="B213" s="514" t="e">
        <f>NA()</f>
        <v>#N/A</v>
      </c>
      <c r="C213" s="514" t="e">
        <f>NA()</f>
        <v>#N/A</v>
      </c>
      <c r="D213" s="188">
        <f t="shared" ref="D213:N213" si="202">D212</f>
        <v>629.76800000000003</v>
      </c>
      <c r="E213" s="188">
        <f t="shared" si="202"/>
        <v>676.34199999999998</v>
      </c>
      <c r="F213" s="188">
        <f t="shared" si="202"/>
        <v>605.74699999999996</v>
      </c>
      <c r="G213" s="188">
        <f t="shared" si="202"/>
        <v>417.7</v>
      </c>
      <c r="H213" s="188">
        <f t="shared" si="202"/>
        <v>818.7</v>
      </c>
      <c r="I213" s="188">
        <f t="shared" si="202"/>
        <v>836.2</v>
      </c>
      <c r="J213" s="182">
        <f t="shared" si="202"/>
        <v>825.6</v>
      </c>
      <c r="K213" s="182">
        <f t="shared" si="202"/>
        <v>976.19999999999993</v>
      </c>
      <c r="L213" s="182">
        <f t="shared" si="202"/>
        <v>991.2</v>
      </c>
      <c r="M213" s="182">
        <f t="shared" si="202"/>
        <v>1177.0999999999999</v>
      </c>
      <c r="N213" s="182">
        <f t="shared" si="202"/>
        <v>1201</v>
      </c>
      <c r="O213" s="182">
        <f>Bull!O$19</f>
        <v>1313.7</v>
      </c>
      <c r="P213" s="493">
        <f>Bull!P$19</f>
        <v>1405.4855222592871</v>
      </c>
      <c r="Q213" s="493">
        <f>Bull!Q$19</f>
        <v>1488.4982699782331</v>
      </c>
      <c r="R213" s="493">
        <f>Bull!R$19</f>
        <v>1526.1523732298158</v>
      </c>
      <c r="S213" s="493">
        <f>Bull!S$19</f>
        <v>1579.7133713107332</v>
      </c>
      <c r="T213" s="493">
        <f>Bull!T$19</f>
        <v>1621.847400941057</v>
      </c>
      <c r="U213" s="493">
        <f>Bull!U$19</f>
        <v>1665.1036002070721</v>
      </c>
      <c r="V213" s="493">
        <f>Bull!V$19</f>
        <v>1709.5139103625604</v>
      </c>
      <c r="W213" s="493">
        <f>Bull!W$19</f>
        <v>1755.1090001274777</v>
      </c>
    </row>
    <row r="214" spans="1:23">
      <c r="M214" s="1401"/>
      <c r="N214" s="1401"/>
      <c r="O214" s="1401"/>
      <c r="S214" s="1401"/>
      <c r="T214" s="1401"/>
      <c r="U214" s="1401"/>
      <c r="V214" s="1401"/>
      <c r="W214" s="1401"/>
    </row>
    <row r="215" spans="1:23">
      <c r="A215" s="674" t="s">
        <v>1087</v>
      </c>
      <c r="B215" s="675">
        <f>Financials!B$4</f>
        <v>2004</v>
      </c>
      <c r="C215" s="675">
        <f>Financials!C$4</f>
        <v>2005</v>
      </c>
      <c r="D215" s="675">
        <f>Financials!D$4</f>
        <v>2006</v>
      </c>
      <c r="E215" s="675">
        <f>Financials!E$4</f>
        <v>2007</v>
      </c>
      <c r="F215" s="675">
        <f>Financials!F$4</f>
        <v>2008</v>
      </c>
      <c r="G215" s="675">
        <f>Financials!G$4</f>
        <v>2009</v>
      </c>
      <c r="H215" s="675">
        <f>Financials!H$4</f>
        <v>2010</v>
      </c>
      <c r="I215" s="675">
        <f>Financials!I$4</f>
        <v>2011</v>
      </c>
      <c r="J215" s="675">
        <f>Financials!J$4</f>
        <v>2012</v>
      </c>
      <c r="K215" s="675">
        <f>Financials!K$4</f>
        <v>2013</v>
      </c>
      <c r="L215" s="675">
        <f>Financials!L$4</f>
        <v>2014</v>
      </c>
      <c r="M215" s="675">
        <f>Financials!M$4</f>
        <v>2015</v>
      </c>
      <c r="N215" s="675">
        <f>Financials!N$4</f>
        <v>2016</v>
      </c>
      <c r="O215" s="675">
        <f t="shared" ref="O215:W215" si="203">O$7</f>
        <v>2017</v>
      </c>
      <c r="P215" s="490" t="str">
        <f t="shared" si="203"/>
        <v>2018E</v>
      </c>
      <c r="Q215" s="490" t="str">
        <f t="shared" si="203"/>
        <v>2019E</v>
      </c>
      <c r="R215" s="490" t="str">
        <f t="shared" si="203"/>
        <v>2020E</v>
      </c>
      <c r="S215" s="490" t="str">
        <f t="shared" si="203"/>
        <v>2021E</v>
      </c>
      <c r="T215" s="490" t="str">
        <f t="shared" si="203"/>
        <v>2022E</v>
      </c>
      <c r="U215" s="490" t="str">
        <f t="shared" si="203"/>
        <v>2023E</v>
      </c>
      <c r="V215" s="490" t="str">
        <f t="shared" si="203"/>
        <v>2024E</v>
      </c>
      <c r="W215" s="490" t="str">
        <f t="shared" si="203"/>
        <v>2025E</v>
      </c>
    </row>
    <row r="216" spans="1:23">
      <c r="A216" s="52" t="s">
        <v>79</v>
      </c>
      <c r="B216" s="514" t="e">
        <f>NA()</f>
        <v>#N/A</v>
      </c>
      <c r="C216" s="514" t="e">
        <f>NA()</f>
        <v>#N/A</v>
      </c>
      <c r="D216" s="188">
        <f t="shared" ref="D216:N216" si="204">D217</f>
        <v>629.76800000000003</v>
      </c>
      <c r="E216" s="188">
        <f t="shared" si="204"/>
        <v>676.34199999999998</v>
      </c>
      <c r="F216" s="188">
        <f t="shared" si="204"/>
        <v>605.74699999999996</v>
      </c>
      <c r="G216" s="188">
        <f t="shared" si="204"/>
        <v>417.7</v>
      </c>
      <c r="H216" s="188">
        <f t="shared" si="204"/>
        <v>818.7</v>
      </c>
      <c r="I216" s="188">
        <f t="shared" si="204"/>
        <v>836.2</v>
      </c>
      <c r="J216" s="182">
        <f t="shared" si="204"/>
        <v>401.40000000000003</v>
      </c>
      <c r="K216" s="182">
        <f t="shared" si="204"/>
        <v>450.8</v>
      </c>
      <c r="L216" s="182">
        <f t="shared" si="204"/>
        <v>638.6</v>
      </c>
      <c r="M216" s="182">
        <f t="shared" si="204"/>
        <v>713.39999999999986</v>
      </c>
      <c r="N216" s="182">
        <f t="shared" si="204"/>
        <v>795.00000000000011</v>
      </c>
      <c r="O216" s="182">
        <f>Bear!O$24</f>
        <v>698.4</v>
      </c>
      <c r="P216" s="493">
        <f>Bear!P$24</f>
        <v>864.39912213065668</v>
      </c>
      <c r="Q216" s="493">
        <f>Bear!Q$24</f>
        <v>917.03643071029592</v>
      </c>
      <c r="R216" s="493">
        <f>Bear!R$24</f>
        <v>937.98259204286251</v>
      </c>
      <c r="S216" s="493">
        <f>Bear!S$24</f>
        <v>968.16056908443056</v>
      </c>
      <c r="T216" s="493">
        <f>Bear!T$24</f>
        <v>988.78085798222094</v>
      </c>
      <c r="U216" s="493">
        <f>Bear!U$24</f>
        <v>1009.8415713728516</v>
      </c>
      <c r="V216" s="493">
        <f>Bear!V$24</f>
        <v>1031.3506923264661</v>
      </c>
      <c r="W216" s="493">
        <f>Bear!W$24</f>
        <v>1053.3178566094314</v>
      </c>
    </row>
    <row r="217" spans="1:23">
      <c r="A217" s="52" t="s">
        <v>77</v>
      </c>
      <c r="B217" s="514" t="e">
        <f>NA()</f>
        <v>#N/A</v>
      </c>
      <c r="C217" s="514" t="e">
        <f>NA()</f>
        <v>#N/A</v>
      </c>
      <c r="D217" s="188">
        <f>Financials!D$19</f>
        <v>629.76800000000003</v>
      </c>
      <c r="E217" s="188">
        <f>Financials!E$19</f>
        <v>676.34199999999998</v>
      </c>
      <c r="F217" s="188">
        <f>Financials!F$19</f>
        <v>605.74699999999996</v>
      </c>
      <c r="G217" s="188">
        <f>Financials!G$19</f>
        <v>417.7</v>
      </c>
      <c r="H217" s="188">
        <f>Financials!H$19</f>
        <v>818.7</v>
      </c>
      <c r="I217" s="188">
        <f>Financials!I$19</f>
        <v>836.2</v>
      </c>
      <c r="J217" s="188">
        <f>Financials!J$24</f>
        <v>401.40000000000003</v>
      </c>
      <c r="K217" s="188">
        <f>Financials!K$24</f>
        <v>450.8</v>
      </c>
      <c r="L217" s="188">
        <f>Financials!L$24</f>
        <v>638.6</v>
      </c>
      <c r="M217" s="188">
        <f>Financials!M$24</f>
        <v>713.39999999999986</v>
      </c>
      <c r="N217" s="188">
        <f>Financials!N$24</f>
        <v>795.00000000000011</v>
      </c>
      <c r="O217" s="188">
        <f>Base!O$24</f>
        <v>698.4</v>
      </c>
      <c r="P217" s="493">
        <f>Base!P$24</f>
        <v>879.55627833581912</v>
      </c>
      <c r="Q217" s="493">
        <f>Base!Q$24</f>
        <v>937.54041027191488</v>
      </c>
      <c r="R217" s="493">
        <f>Base!R$24</f>
        <v>960.82114211459702</v>
      </c>
      <c r="S217" s="493">
        <f>Base!S$24</f>
        <v>994.61259887007463</v>
      </c>
      <c r="T217" s="493">
        <f>Base!T$24</f>
        <v>1017.5769355600827</v>
      </c>
      <c r="U217" s="493">
        <f>Base!U$24</f>
        <v>1041.0728680958862</v>
      </c>
      <c r="V217" s="493">
        <f>Base!V$24</f>
        <v>1065.1112357398565</v>
      </c>
      <c r="W217" s="493">
        <f>Base!W$24</f>
        <v>1089.7046544504815</v>
      </c>
    </row>
    <row r="218" spans="1:23">
      <c r="A218" s="52" t="s">
        <v>78</v>
      </c>
      <c r="B218" s="514" t="e">
        <f>NA()</f>
        <v>#N/A</v>
      </c>
      <c r="C218" s="514" t="e">
        <f>NA()</f>
        <v>#N/A</v>
      </c>
      <c r="D218" s="188">
        <f t="shared" ref="D218:N218" si="205">D217</f>
        <v>629.76800000000003</v>
      </c>
      <c r="E218" s="188">
        <f t="shared" si="205"/>
        <v>676.34199999999998</v>
      </c>
      <c r="F218" s="188">
        <f t="shared" si="205"/>
        <v>605.74699999999996</v>
      </c>
      <c r="G218" s="188">
        <f t="shared" si="205"/>
        <v>417.7</v>
      </c>
      <c r="H218" s="188">
        <f t="shared" si="205"/>
        <v>818.7</v>
      </c>
      <c r="I218" s="188">
        <f t="shared" si="205"/>
        <v>836.2</v>
      </c>
      <c r="J218" s="182">
        <f t="shared" si="205"/>
        <v>401.40000000000003</v>
      </c>
      <c r="K218" s="182">
        <f t="shared" si="205"/>
        <v>450.8</v>
      </c>
      <c r="L218" s="182">
        <f t="shared" si="205"/>
        <v>638.6</v>
      </c>
      <c r="M218" s="182">
        <f t="shared" si="205"/>
        <v>713.39999999999986</v>
      </c>
      <c r="N218" s="182">
        <f t="shared" si="205"/>
        <v>795.00000000000011</v>
      </c>
      <c r="O218" s="182">
        <f>Bull!O$24</f>
        <v>698.4</v>
      </c>
      <c r="P218" s="493">
        <f>Bull!P$24</f>
        <v>886.14471487766025</v>
      </c>
      <c r="Q218" s="493">
        <f>Bull!Q$24</f>
        <v>944.48181189536967</v>
      </c>
      <c r="R218" s="493">
        <f>Bull!R$24</f>
        <v>967.89951872902304</v>
      </c>
      <c r="S218" s="493">
        <f>Bull!S$24</f>
        <v>1001.9034630807112</v>
      </c>
      <c r="T218" s="493">
        <f>Bull!T$24</f>
        <v>1028.6237770525747</v>
      </c>
      <c r="U218" s="493">
        <f>Bull!U$24</f>
        <v>1056.0582970426628</v>
      </c>
      <c r="V218" s="493">
        <f>Bull!V$24</f>
        <v>1084.2246291647336</v>
      </c>
      <c r="W218" s="493">
        <f>Bull!W$24</f>
        <v>1113.142393389802</v>
      </c>
    </row>
    <row r="219" spans="1:23">
      <c r="M219" s="1401"/>
      <c r="N219" s="1401"/>
      <c r="O219" s="1401"/>
      <c r="S219" s="1401"/>
      <c r="T219" s="1401"/>
      <c r="U219" s="1401"/>
      <c r="V219" s="1401"/>
      <c r="W219" s="1401"/>
    </row>
    <row r="220" spans="1:23">
      <c r="A220" s="674" t="s">
        <v>642</v>
      </c>
      <c r="B220" s="675">
        <f>Financials!B$4</f>
        <v>2004</v>
      </c>
      <c r="C220" s="675">
        <f>Financials!C$4</f>
        <v>2005</v>
      </c>
      <c r="D220" s="675">
        <f>Financials!D$4</f>
        <v>2006</v>
      </c>
      <c r="E220" s="675">
        <f>Financials!E$4</f>
        <v>2007</v>
      </c>
      <c r="F220" s="675">
        <f>Financials!F$4</f>
        <v>2008</v>
      </c>
      <c r="G220" s="675">
        <f>Financials!G$4</f>
        <v>2009</v>
      </c>
      <c r="H220" s="675">
        <f>Financials!H$4</f>
        <v>2010</v>
      </c>
      <c r="I220" s="675">
        <f>Financials!I$4</f>
        <v>2011</v>
      </c>
      <c r="J220" s="675">
        <f>Financials!J$4</f>
        <v>2012</v>
      </c>
      <c r="K220" s="675">
        <f>Financials!K$4</f>
        <v>2013</v>
      </c>
      <c r="L220" s="675">
        <f>Financials!L$4</f>
        <v>2014</v>
      </c>
      <c r="M220" s="675">
        <f>Financials!M$4</f>
        <v>2015</v>
      </c>
      <c r="N220" s="675">
        <f>Financials!N$4</f>
        <v>2016</v>
      </c>
      <c r="O220" s="675">
        <f t="shared" ref="O220:W220" si="206">O$7</f>
        <v>2017</v>
      </c>
      <c r="P220" s="490" t="str">
        <f t="shared" si="206"/>
        <v>2018E</v>
      </c>
      <c r="Q220" s="490" t="str">
        <f t="shared" si="206"/>
        <v>2019E</v>
      </c>
      <c r="R220" s="490" t="str">
        <f t="shared" si="206"/>
        <v>2020E</v>
      </c>
      <c r="S220" s="490" t="str">
        <f t="shared" si="206"/>
        <v>2021E</v>
      </c>
      <c r="T220" s="490" t="str">
        <f t="shared" si="206"/>
        <v>2022E</v>
      </c>
      <c r="U220" s="490" t="str">
        <f t="shared" si="206"/>
        <v>2023E</v>
      </c>
      <c r="V220" s="490" t="str">
        <f t="shared" si="206"/>
        <v>2024E</v>
      </c>
      <c r="W220" s="490" t="str">
        <f t="shared" si="206"/>
        <v>2025E</v>
      </c>
    </row>
    <row r="221" spans="1:23">
      <c r="A221" s="52" t="s">
        <v>79</v>
      </c>
      <c r="B221" s="188"/>
      <c r="C221" s="188"/>
      <c r="D221" s="188"/>
      <c r="E221" s="188"/>
      <c r="F221" s="188"/>
      <c r="G221" s="188"/>
      <c r="H221" s="188"/>
      <c r="I221" s="182">
        <f t="shared" ref="I221:N221" si="207">I222</f>
        <v>184.4</v>
      </c>
      <c r="J221" s="182">
        <f t="shared" si="207"/>
        <v>249.4</v>
      </c>
      <c r="K221" s="182">
        <f t="shared" si="207"/>
        <v>260.60000000000002</v>
      </c>
      <c r="L221" s="182">
        <f t="shared" si="207"/>
        <v>445.5</v>
      </c>
      <c r="M221" s="182">
        <f t="shared" si="207"/>
        <v>639</v>
      </c>
      <c r="N221" s="182">
        <f t="shared" si="207"/>
        <v>831.2</v>
      </c>
      <c r="O221" s="182">
        <f>Bear!O30</f>
        <v>914.5</v>
      </c>
      <c r="P221" s="493">
        <f>Bear!P30</f>
        <v>901.45</v>
      </c>
      <c r="Q221" s="493">
        <f>Bear!Q30</f>
        <v>901.45</v>
      </c>
      <c r="R221" s="493">
        <f>Bear!R30</f>
        <v>901.45</v>
      </c>
      <c r="S221" s="493">
        <f>Bear!S30</f>
        <v>918.3521874999999</v>
      </c>
      <c r="T221" s="493">
        <f>Bear!T30</f>
        <v>935.21988073979583</v>
      </c>
      <c r="U221" s="493">
        <f>Bear!U30</f>
        <v>952.05383859311212</v>
      </c>
      <c r="V221" s="493">
        <f>Bear!V30</f>
        <v>968.85478868593168</v>
      </c>
      <c r="W221" s="493">
        <f>Bear!W30</f>
        <v>985.62342925934195</v>
      </c>
    </row>
    <row r="222" spans="1:23">
      <c r="A222" s="52" t="s">
        <v>77</v>
      </c>
      <c r="B222" s="188"/>
      <c r="C222" s="188"/>
      <c r="D222" s="188"/>
      <c r="E222" s="188"/>
      <c r="F222" s="188"/>
      <c r="G222" s="188"/>
      <c r="H222" s="188"/>
      <c r="I222" s="182">
        <f>Financials!I30</f>
        <v>184.4</v>
      </c>
      <c r="J222" s="182">
        <f>Financials!J30</f>
        <v>249.4</v>
      </c>
      <c r="K222" s="182">
        <f>Financials!K30</f>
        <v>260.60000000000002</v>
      </c>
      <c r="L222" s="182">
        <f>Financials!L30</f>
        <v>445.5</v>
      </c>
      <c r="M222" s="182">
        <f>Financials!M30</f>
        <v>639</v>
      </c>
      <c r="N222" s="182">
        <f>Financials!N30</f>
        <v>831.2</v>
      </c>
      <c r="O222" s="182">
        <f>Base!O30</f>
        <v>914.5</v>
      </c>
      <c r="P222" s="493">
        <f>Base!P30</f>
        <v>900.00000000000011</v>
      </c>
      <c r="Q222" s="493">
        <f>Base!Q30</f>
        <v>900.00000000000011</v>
      </c>
      <c r="R222" s="493">
        <f>Base!R30</f>
        <v>918.75</v>
      </c>
      <c r="S222" s="493">
        <f>Base!S30</f>
        <v>937.5</v>
      </c>
      <c r="T222" s="493">
        <f>Base!T30</f>
        <v>956.25</v>
      </c>
      <c r="U222" s="493">
        <f>Base!U30</f>
        <v>974.99999999999989</v>
      </c>
      <c r="V222" s="493">
        <f>Base!V30</f>
        <v>993.74999999999977</v>
      </c>
      <c r="W222" s="493">
        <f>Base!W30</f>
        <v>1012.4999999999998</v>
      </c>
    </row>
    <row r="223" spans="1:23">
      <c r="A223" s="52" t="s">
        <v>78</v>
      </c>
      <c r="B223" s="188"/>
      <c r="C223" s="188"/>
      <c r="D223" s="188"/>
      <c r="E223" s="188"/>
      <c r="F223" s="188"/>
      <c r="G223" s="188"/>
      <c r="H223" s="188"/>
      <c r="I223" s="182">
        <f t="shared" ref="I223:N223" si="208">I222</f>
        <v>184.4</v>
      </c>
      <c r="J223" s="182">
        <f t="shared" si="208"/>
        <v>249.4</v>
      </c>
      <c r="K223" s="182">
        <f t="shared" si="208"/>
        <v>260.60000000000002</v>
      </c>
      <c r="L223" s="182">
        <f t="shared" si="208"/>
        <v>445.5</v>
      </c>
      <c r="M223" s="182">
        <f t="shared" si="208"/>
        <v>639</v>
      </c>
      <c r="N223" s="182">
        <f t="shared" si="208"/>
        <v>831.2</v>
      </c>
      <c r="O223" s="182">
        <f>Bull!O30</f>
        <v>914.5</v>
      </c>
      <c r="P223" s="493">
        <f>Bull!P30</f>
        <v>898.55000000000007</v>
      </c>
      <c r="Q223" s="493">
        <f>Bull!Q30</f>
        <v>898.55000000000007</v>
      </c>
      <c r="R223" s="493">
        <f>Bull!R30</f>
        <v>919.14177083333345</v>
      </c>
      <c r="S223" s="493">
        <f>Bull!S30</f>
        <v>939.77556568877571</v>
      </c>
      <c r="T223" s="493">
        <f>Bull!T30</f>
        <v>960.45062813392883</v>
      </c>
      <c r="U223" s="493">
        <f>Bull!U30</f>
        <v>981.16622991720953</v>
      </c>
      <c r="V223" s="493">
        <f>Bull!V30</f>
        <v>1001.9216693962273</v>
      </c>
      <c r="W223" s="493">
        <f>Bull!W30</f>
        <v>1022.7162700818093</v>
      </c>
    </row>
    <row r="224" spans="1:23">
      <c r="M224" s="1401"/>
      <c r="N224" s="1401"/>
      <c r="O224" s="1401"/>
      <c r="S224" s="1401"/>
      <c r="T224" s="1401"/>
      <c r="U224" s="1401"/>
      <c r="V224" s="1401"/>
      <c r="W224" s="1401"/>
    </row>
    <row r="225" spans="1:23">
      <c r="A225" s="674" t="s">
        <v>646</v>
      </c>
      <c r="B225" s="675">
        <f>Financials!B$4</f>
        <v>2004</v>
      </c>
      <c r="C225" s="675">
        <f>Financials!C$4</f>
        <v>2005</v>
      </c>
      <c r="D225" s="675">
        <f>Financials!D$4</f>
        <v>2006</v>
      </c>
      <c r="E225" s="675">
        <f>Financials!E$4</f>
        <v>2007</v>
      </c>
      <c r="F225" s="675">
        <f>Financials!F$4</f>
        <v>2008</v>
      </c>
      <c r="G225" s="675">
        <f>Financials!G$4</f>
        <v>2009</v>
      </c>
      <c r="H225" s="675">
        <f>Financials!H$4</f>
        <v>2010</v>
      </c>
      <c r="I225" s="675">
        <f>Financials!I$4</f>
        <v>2011</v>
      </c>
      <c r="J225" s="675">
        <f>Financials!J$4</f>
        <v>2012</v>
      </c>
      <c r="K225" s="675">
        <f>Financials!K$4</f>
        <v>2013</v>
      </c>
      <c r="L225" s="675">
        <f>Financials!L$4</f>
        <v>2014</v>
      </c>
      <c r="M225" s="675">
        <f>Financials!M$4</f>
        <v>2015</v>
      </c>
      <c r="N225" s="675">
        <f>Financials!N$4</f>
        <v>2016</v>
      </c>
      <c r="O225" s="675">
        <f t="shared" ref="O225:W225" si="209">O$7</f>
        <v>2017</v>
      </c>
      <c r="P225" s="490" t="str">
        <f t="shared" si="209"/>
        <v>2018E</v>
      </c>
      <c r="Q225" s="490" t="str">
        <f t="shared" si="209"/>
        <v>2019E</v>
      </c>
      <c r="R225" s="490" t="str">
        <f t="shared" si="209"/>
        <v>2020E</v>
      </c>
      <c r="S225" s="490" t="str">
        <f t="shared" si="209"/>
        <v>2021E</v>
      </c>
      <c r="T225" s="490" t="str">
        <f t="shared" si="209"/>
        <v>2022E</v>
      </c>
      <c r="U225" s="490" t="str">
        <f t="shared" si="209"/>
        <v>2023E</v>
      </c>
      <c r="V225" s="490" t="str">
        <f t="shared" si="209"/>
        <v>2024E</v>
      </c>
      <c r="W225" s="490" t="str">
        <f t="shared" si="209"/>
        <v>2025E</v>
      </c>
    </row>
    <row r="226" spans="1:23">
      <c r="A226" s="52" t="s">
        <v>79</v>
      </c>
      <c r="B226" s="514" t="e">
        <f>NA()</f>
        <v>#N/A</v>
      </c>
      <c r="C226" s="514" t="e">
        <f>NA()</f>
        <v>#N/A</v>
      </c>
      <c r="D226" s="514" t="e">
        <f>NA()</f>
        <v>#N/A</v>
      </c>
      <c r="E226" s="514" t="e">
        <f>NA()</f>
        <v>#N/A</v>
      </c>
      <c r="F226" s="514" t="e">
        <f>NA()</f>
        <v>#N/A</v>
      </c>
      <c r="G226" s="514" t="e">
        <f>NA()</f>
        <v>#N/A</v>
      </c>
      <c r="H226" s="514" t="e">
        <f>NA()</f>
        <v>#N/A</v>
      </c>
      <c r="I226" s="514" t="e">
        <f>NA()</f>
        <v>#N/A</v>
      </c>
      <c r="J226" s="514" t="e">
        <f>NA()</f>
        <v>#N/A</v>
      </c>
      <c r="K226" s="182">
        <f t="shared" ref="K226:N226" si="210">+K227</f>
        <v>139.13999999999999</v>
      </c>
      <c r="L226" s="182">
        <f t="shared" si="210"/>
        <v>136.94999999999999</v>
      </c>
      <c r="M226" s="182">
        <f t="shared" si="210"/>
        <v>141.6</v>
      </c>
      <c r="N226" s="182">
        <f t="shared" si="210"/>
        <v>128.9</v>
      </c>
      <c r="O226" s="182">
        <f>Bear!O$9</f>
        <v>130.30000000000001</v>
      </c>
      <c r="P226" s="493">
        <f>Bear!P$9</f>
        <v>133</v>
      </c>
      <c r="Q226" s="493">
        <f>Bear!Q$9</f>
        <v>134.56499999999997</v>
      </c>
      <c r="R226" s="493">
        <f>Bear!R$9</f>
        <v>135.24032499999996</v>
      </c>
      <c r="S226" s="493">
        <f>Bear!S$9</f>
        <v>135.91902662499993</v>
      </c>
      <c r="T226" s="493">
        <f>Bear!T$9</f>
        <v>136.60112175812492</v>
      </c>
      <c r="U226" s="493">
        <f>Bear!U$9</f>
        <v>137.28662736691552</v>
      </c>
      <c r="V226" s="493">
        <f>Bear!V$9</f>
        <v>137.97556050375007</v>
      </c>
      <c r="W226" s="493">
        <f>Bear!W$9</f>
        <v>138.66793830626881</v>
      </c>
    </row>
    <row r="227" spans="1:23">
      <c r="A227" s="52" t="s">
        <v>77</v>
      </c>
      <c r="B227" s="514" t="e">
        <f>NA()</f>
        <v>#N/A</v>
      </c>
      <c r="C227" s="514" t="e">
        <f>NA()</f>
        <v>#N/A</v>
      </c>
      <c r="D227" s="514" t="e">
        <f>NA()</f>
        <v>#N/A</v>
      </c>
      <c r="E227" s="514" t="e">
        <f>NA()</f>
        <v>#N/A</v>
      </c>
      <c r="F227" s="514" t="e">
        <f>NA()</f>
        <v>#N/A</v>
      </c>
      <c r="G227" s="514" t="e">
        <f>NA()</f>
        <v>#N/A</v>
      </c>
      <c r="H227" s="514" t="e">
        <f>NA()</f>
        <v>#N/A</v>
      </c>
      <c r="I227" s="514" t="e">
        <f>NA()</f>
        <v>#N/A</v>
      </c>
      <c r="J227" s="514" t="e">
        <f>NA()</f>
        <v>#N/A</v>
      </c>
      <c r="K227" s="188">
        <f>Financials!K9</f>
        <v>139.13999999999999</v>
      </c>
      <c r="L227" s="188">
        <f>Financials!L9</f>
        <v>136.94999999999999</v>
      </c>
      <c r="M227" s="188">
        <f>Financials!M9</f>
        <v>141.6</v>
      </c>
      <c r="N227" s="188">
        <f>Financials!N9</f>
        <v>128.9</v>
      </c>
      <c r="O227" s="188">
        <f>Base!O$9</f>
        <v>130.30000000000001</v>
      </c>
      <c r="P227" s="493">
        <f>Base!P$9</f>
        <v>133.5</v>
      </c>
      <c r="Q227" s="493">
        <f>Base!Q$9</f>
        <v>135.06499999999997</v>
      </c>
      <c r="R227" s="493">
        <f>Base!R$9</f>
        <v>135.74032499999996</v>
      </c>
      <c r="S227" s="493">
        <f>Base!S$9</f>
        <v>136.41902662499993</v>
      </c>
      <c r="T227" s="493">
        <f>Base!T$9</f>
        <v>137.10112175812492</v>
      </c>
      <c r="U227" s="493">
        <f>Base!U$9</f>
        <v>137.78662736691552</v>
      </c>
      <c r="V227" s="493">
        <f>Base!V$9</f>
        <v>138.47556050375007</v>
      </c>
      <c r="W227" s="493">
        <f>Base!W$9</f>
        <v>139.16793830626881</v>
      </c>
    </row>
    <row r="228" spans="1:23">
      <c r="A228" s="52" t="s">
        <v>78</v>
      </c>
      <c r="B228" s="514" t="e">
        <f>NA()</f>
        <v>#N/A</v>
      </c>
      <c r="C228" s="514" t="e">
        <f>NA()</f>
        <v>#N/A</v>
      </c>
      <c r="D228" s="514" t="e">
        <f>NA()</f>
        <v>#N/A</v>
      </c>
      <c r="E228" s="514" t="e">
        <f>NA()</f>
        <v>#N/A</v>
      </c>
      <c r="F228" s="514" t="e">
        <f>NA()</f>
        <v>#N/A</v>
      </c>
      <c r="G228" s="514" t="e">
        <f>NA()</f>
        <v>#N/A</v>
      </c>
      <c r="H228" s="514" t="e">
        <f>NA()</f>
        <v>#N/A</v>
      </c>
      <c r="I228" s="514" t="e">
        <f>NA()</f>
        <v>#N/A</v>
      </c>
      <c r="J228" s="514" t="e">
        <f>NA()</f>
        <v>#N/A</v>
      </c>
      <c r="K228" s="182">
        <f t="shared" ref="K228:N228" si="211">+K227</f>
        <v>139.13999999999999</v>
      </c>
      <c r="L228" s="182">
        <f t="shared" si="211"/>
        <v>136.94999999999999</v>
      </c>
      <c r="M228" s="182">
        <f t="shared" si="211"/>
        <v>141.6</v>
      </c>
      <c r="N228" s="182">
        <f t="shared" si="211"/>
        <v>128.9</v>
      </c>
      <c r="O228" s="182">
        <f>Bull!O$9</f>
        <v>130.30000000000001</v>
      </c>
      <c r="P228" s="493">
        <f>Bull!P$9</f>
        <v>134.5</v>
      </c>
      <c r="Q228" s="493">
        <f>Bull!Q$9</f>
        <v>136.06499999999997</v>
      </c>
      <c r="R228" s="493">
        <f>Bull!R$9</f>
        <v>136.74032499999996</v>
      </c>
      <c r="S228" s="493">
        <f>Bull!S$9</f>
        <v>137.41902662499993</v>
      </c>
      <c r="T228" s="493">
        <f>Bull!T$9</f>
        <v>138.10112175812492</v>
      </c>
      <c r="U228" s="493">
        <f>Bull!U$9</f>
        <v>138.78662736691552</v>
      </c>
      <c r="V228" s="493">
        <f>Bull!V$9</f>
        <v>139.47556050375007</v>
      </c>
      <c r="W228" s="493">
        <f>Bull!W$9</f>
        <v>140.16793830626881</v>
      </c>
    </row>
    <row r="229" spans="1:23">
      <c r="M229" s="1401"/>
      <c r="N229" s="1401"/>
      <c r="O229" s="1401"/>
      <c r="S229" s="1401"/>
      <c r="T229" s="1401"/>
      <c r="U229" s="1401"/>
      <c r="V229" s="1401"/>
      <c r="W229" s="1401"/>
    </row>
    <row r="230" spans="1:23" s="1401" customFormat="1">
      <c r="A230" s="674" t="s">
        <v>1557</v>
      </c>
      <c r="B230" s="675">
        <f>Financials!B$4</f>
        <v>2004</v>
      </c>
      <c r="C230" s="675">
        <f>Financials!C$4</f>
        <v>2005</v>
      </c>
      <c r="D230" s="675">
        <f>Financials!D$4</f>
        <v>2006</v>
      </c>
      <c r="E230" s="675">
        <f>Financials!E$4</f>
        <v>2007</v>
      </c>
      <c r="F230" s="675">
        <f>Financials!F$4</f>
        <v>2008</v>
      </c>
      <c r="G230" s="675">
        <f>Financials!G$4</f>
        <v>2009</v>
      </c>
      <c r="H230" s="675">
        <f>Financials!H$4</f>
        <v>2010</v>
      </c>
      <c r="I230" s="675">
        <f>Financials!I$4</f>
        <v>2011</v>
      </c>
      <c r="J230" s="675">
        <f>Financials!J$4</f>
        <v>2012</v>
      </c>
      <c r="K230" s="675">
        <f>Financials!K$4</f>
        <v>2013</v>
      </c>
      <c r="L230" s="675">
        <f>Financials!L$4</f>
        <v>2014</v>
      </c>
      <c r="M230" s="675">
        <f>Financials!M$4</f>
        <v>2015</v>
      </c>
      <c r="N230" s="675">
        <f>Financials!N$4</f>
        <v>2016</v>
      </c>
      <c r="O230" s="675">
        <f t="shared" ref="O230:W230" si="212">O$7</f>
        <v>2017</v>
      </c>
      <c r="P230" s="490" t="str">
        <f t="shared" si="212"/>
        <v>2018E</v>
      </c>
      <c r="Q230" s="490" t="str">
        <f t="shared" si="212"/>
        <v>2019E</v>
      </c>
      <c r="R230" s="490" t="str">
        <f t="shared" si="212"/>
        <v>2020E</v>
      </c>
      <c r="S230" s="490" t="str">
        <f t="shared" si="212"/>
        <v>2021E</v>
      </c>
      <c r="T230" s="490" t="str">
        <f t="shared" si="212"/>
        <v>2022E</v>
      </c>
      <c r="U230" s="490" t="str">
        <f t="shared" si="212"/>
        <v>2023E</v>
      </c>
      <c r="V230" s="490" t="str">
        <f t="shared" si="212"/>
        <v>2024E</v>
      </c>
      <c r="W230" s="490" t="str">
        <f t="shared" si="212"/>
        <v>2025E</v>
      </c>
    </row>
    <row r="231" spans="1:23" s="1401" customFormat="1">
      <c r="A231" s="1401" t="s">
        <v>79</v>
      </c>
      <c r="B231" s="514" t="e">
        <f>NA()</f>
        <v>#N/A</v>
      </c>
      <c r="C231" s="514" t="e">
        <f>NA()</f>
        <v>#N/A</v>
      </c>
      <c r="D231" s="514" t="e">
        <f>NA()</f>
        <v>#N/A</v>
      </c>
      <c r="E231" s="196">
        <f>Bear!E$10</f>
        <v>1403</v>
      </c>
      <c r="F231" s="196">
        <f>Bear!F$10</f>
        <v>1569</v>
      </c>
      <c r="G231" s="196">
        <f>Bear!G$10</f>
        <v>1514</v>
      </c>
      <c r="H231" s="196">
        <f>Bear!H$10</f>
        <v>1906</v>
      </c>
      <c r="I231" s="196">
        <f>Bear!I$10</f>
        <v>1774</v>
      </c>
      <c r="J231" s="196">
        <f>Bear!J$10</f>
        <v>1461</v>
      </c>
      <c r="K231" s="196">
        <f>Bear!K$10</f>
        <v>1793</v>
      </c>
      <c r="L231" s="196">
        <f>Bear!L$10</f>
        <v>2136</v>
      </c>
      <c r="M231" s="196">
        <f>Bear!M$10</f>
        <v>2650</v>
      </c>
      <c r="N231" s="196">
        <f>Bear!N$10</f>
        <v>2581</v>
      </c>
      <c r="O231" s="196">
        <f>Bear!O$10</f>
        <v>2512</v>
      </c>
      <c r="P231" s="500">
        <f>Bear!P$10</f>
        <v>2925.7473</v>
      </c>
      <c r="Q231" s="500">
        <f>Bear!Q$10</f>
        <v>3093.3821711924988</v>
      </c>
      <c r="R231" s="500">
        <f>Bear!R$10</f>
        <v>3164.8668700222361</v>
      </c>
      <c r="S231" s="500">
        <f>Bear!S$10</f>
        <v>3266.6299510087183</v>
      </c>
      <c r="T231" s="500">
        <f>Bear!T$10</f>
        <v>3336.2081604771702</v>
      </c>
      <c r="U231" s="500">
        <f>Bear!U$10</f>
        <v>3407.2680529525128</v>
      </c>
      <c r="V231" s="500">
        <f>Bear!V$10</f>
        <v>3479.8411761547409</v>
      </c>
      <c r="W231" s="500">
        <f>Bear!W$10</f>
        <v>3553.9597494304671</v>
      </c>
    </row>
    <row r="232" spans="1:23" s="1401" customFormat="1">
      <c r="A232" s="1401" t="s">
        <v>77</v>
      </c>
      <c r="B232" s="514" t="e">
        <f>NA()</f>
        <v>#N/A</v>
      </c>
      <c r="C232" s="514" t="e">
        <f>NA()</f>
        <v>#N/A</v>
      </c>
      <c r="D232" s="514" t="e">
        <f>NA()</f>
        <v>#N/A</v>
      </c>
      <c r="E232" s="196">
        <f>Base!E$10</f>
        <v>1403</v>
      </c>
      <c r="F232" s="196">
        <f>Base!F$10</f>
        <v>1569</v>
      </c>
      <c r="G232" s="196">
        <f>Base!G$10</f>
        <v>1514</v>
      </c>
      <c r="H232" s="196">
        <f>Base!H$10</f>
        <v>1906</v>
      </c>
      <c r="I232" s="196">
        <f>Base!I$10</f>
        <v>1774</v>
      </c>
      <c r="J232" s="196">
        <f>Base!J$10</f>
        <v>1461</v>
      </c>
      <c r="K232" s="196">
        <f>Base!K$10</f>
        <v>1793</v>
      </c>
      <c r="L232" s="196">
        <f>Base!L$10</f>
        <v>2136</v>
      </c>
      <c r="M232" s="196">
        <f>Base!M$10</f>
        <v>2650</v>
      </c>
      <c r="N232" s="196">
        <f>Base!N$10</f>
        <v>2581</v>
      </c>
      <c r="O232" s="196">
        <f>Base!O$10</f>
        <v>2512</v>
      </c>
      <c r="P232" s="500">
        <f>Base!P$10</f>
        <v>2977.0499999999997</v>
      </c>
      <c r="Q232" s="500">
        <f>Base!Q$10</f>
        <v>3162.5469749999988</v>
      </c>
      <c r="R232" s="500">
        <f>Base!R$10</f>
        <v>3241.9269040724985</v>
      </c>
      <c r="S232" s="500">
        <f>Base!S$10</f>
        <v>3355.8806347506461</v>
      </c>
      <c r="T232" s="500">
        <f>Base!T$10</f>
        <v>3433.3679186070385</v>
      </c>
      <c r="U232" s="500">
        <f>Base!U$10</f>
        <v>3512.6443838476744</v>
      </c>
      <c r="V232" s="500">
        <f>Base!V$10</f>
        <v>3593.7513426707169</v>
      </c>
      <c r="W232" s="500">
        <f>Base!W$10</f>
        <v>3676.7310611729831</v>
      </c>
    </row>
    <row r="233" spans="1:23" s="1401" customFormat="1">
      <c r="A233" s="1401" t="s">
        <v>78</v>
      </c>
      <c r="B233" s="514" t="e">
        <f>NA()</f>
        <v>#N/A</v>
      </c>
      <c r="C233" s="514" t="e">
        <f>NA()</f>
        <v>#N/A</v>
      </c>
      <c r="D233" s="514" t="e">
        <f>NA()</f>
        <v>#N/A</v>
      </c>
      <c r="E233" s="196">
        <f>Bull!E$10</f>
        <v>1403</v>
      </c>
      <c r="F233" s="196">
        <f>Bull!F$10</f>
        <v>1569</v>
      </c>
      <c r="G233" s="196">
        <f>Bull!G$10</f>
        <v>1514</v>
      </c>
      <c r="H233" s="196">
        <f>Bull!H$10</f>
        <v>1906</v>
      </c>
      <c r="I233" s="196">
        <f>Bull!I$10</f>
        <v>1774</v>
      </c>
      <c r="J233" s="196">
        <f>Bull!J$10</f>
        <v>1461</v>
      </c>
      <c r="K233" s="196">
        <f>Bull!K$10</f>
        <v>1793</v>
      </c>
      <c r="L233" s="196">
        <f>Bull!L$10</f>
        <v>2136</v>
      </c>
      <c r="M233" s="196">
        <f>Bull!M$10</f>
        <v>2650</v>
      </c>
      <c r="N233" s="196">
        <f>Bull!N$10</f>
        <v>2581</v>
      </c>
      <c r="O233" s="196">
        <f>Bull!O$10</f>
        <v>2512</v>
      </c>
      <c r="P233" s="500">
        <f>Bull!P$10</f>
        <v>2999.3499999999995</v>
      </c>
      <c r="Q233" s="500">
        <f>Bull!Q$10</f>
        <v>3185.9619749999988</v>
      </c>
      <c r="R233" s="500">
        <f>Bull!R$10</f>
        <v>3265.8102040724984</v>
      </c>
      <c r="S233" s="500">
        <f>Bull!S$10</f>
        <v>3380.4804337506462</v>
      </c>
      <c r="T233" s="500">
        <f>Bull!T$10</f>
        <v>3470.6406494019661</v>
      </c>
      <c r="U233" s="500">
        <f>Bull!U$10</f>
        <v>3563.2061499281981</v>
      </c>
      <c r="V233" s="500">
        <f>Bull!V$10</f>
        <v>3658.2411170518239</v>
      </c>
      <c r="W233" s="500">
        <f>Bull!W$10</f>
        <v>3755.811445394449</v>
      </c>
    </row>
    <row r="234" spans="1:23" s="1401" customFormat="1">
      <c r="B234" s="514"/>
      <c r="C234" s="514"/>
      <c r="D234" s="514"/>
      <c r="E234" s="196"/>
      <c r="F234" s="196"/>
      <c r="G234" s="196"/>
      <c r="H234" s="196"/>
      <c r="I234" s="196"/>
      <c r="J234" s="196"/>
      <c r="K234" s="196"/>
      <c r="L234" s="196"/>
      <c r="M234" s="196"/>
      <c r="N234" s="196"/>
      <c r="O234" s="196"/>
      <c r="P234" s="500"/>
      <c r="Q234" s="500"/>
      <c r="R234" s="500"/>
      <c r="S234" s="500"/>
      <c r="T234" s="500"/>
      <c r="U234" s="500"/>
      <c r="V234" s="500"/>
      <c r="W234" s="500"/>
    </row>
    <row r="235" spans="1:23" s="1401" customFormat="1">
      <c r="A235" s="1401" t="s">
        <v>1560</v>
      </c>
      <c r="B235" s="514" t="e">
        <f>NA()</f>
        <v>#N/A</v>
      </c>
      <c r="C235" s="514" t="e">
        <f>NA()</f>
        <v>#N/A</v>
      </c>
      <c r="D235" s="534">
        <f>Q_IS!B16</f>
        <v>1541.2452547999999</v>
      </c>
      <c r="E235" s="196">
        <f>Q_IS!C16</f>
        <v>1401.0633033999998</v>
      </c>
      <c r="F235" s="196">
        <f>Q_IS!D16</f>
        <v>1567.5386865999999</v>
      </c>
      <c r="G235" s="196">
        <f>Q_IS!E16</f>
        <v>1512.5045599999999</v>
      </c>
      <c r="H235" s="196">
        <f>Q_IS!F16</f>
        <v>1903.0068499999998</v>
      </c>
      <c r="I235" s="196">
        <f>Q_IS!G16</f>
        <v>1777.85933</v>
      </c>
      <c r="J235" s="196">
        <f>Q_IS!H16</f>
        <v>1555.70856</v>
      </c>
      <c r="K235" s="196">
        <f>Q_IS!I16</f>
        <v>1803.0816399999999</v>
      </c>
      <c r="L235" s="196">
        <f>Q_IS!J16</f>
        <v>2145.0521799999997</v>
      </c>
      <c r="M235" s="196">
        <f>Q_IS!K16</f>
        <v>2465.0345899999998</v>
      </c>
      <c r="N235" s="196">
        <f>Q_IS!L16</f>
        <v>2635.9530399999999</v>
      </c>
      <c r="O235" s="196">
        <f>Q_IS!M16</f>
        <v>2585.9814900000001</v>
      </c>
      <c r="P235" s="500">
        <f>Q_IS!N16</f>
        <v>2977.0499999999997</v>
      </c>
      <c r="Q235" s="500">
        <f>Q_IS!O16</f>
        <v>3162.5469749999988</v>
      </c>
      <c r="R235" s="500">
        <f>Q_IS!P16</f>
        <v>3241.9269040724985</v>
      </c>
      <c r="S235" s="500">
        <f>Q_IS!Q16</f>
        <v>3355.8806347506461</v>
      </c>
      <c r="T235" s="500">
        <f>Q_IS!R16</f>
        <v>3433.3679186070385</v>
      </c>
      <c r="U235" s="500">
        <f>Q_IS!S16</f>
        <v>3512.6443838476744</v>
      </c>
      <c r="V235" s="500">
        <f>Q_IS!T16</f>
        <v>3593.7513426707169</v>
      </c>
      <c r="W235" s="500">
        <f>Q_IS!U16</f>
        <v>3676.7310611729831</v>
      </c>
    </row>
    <row r="236" spans="1:23" s="1401" customFormat="1"/>
    <row r="237" spans="1:23" s="1401" customFormat="1">
      <c r="A237" s="674" t="s">
        <v>1583</v>
      </c>
      <c r="B237" s="675">
        <f>Financials!B$4</f>
        <v>2004</v>
      </c>
      <c r="C237" s="675">
        <f>Financials!C$4</f>
        <v>2005</v>
      </c>
      <c r="D237" s="675">
        <f>Financials!D$4</f>
        <v>2006</v>
      </c>
      <c r="E237" s="675">
        <f>Financials!E$4</f>
        <v>2007</v>
      </c>
      <c r="F237" s="675">
        <f>Financials!F$4</f>
        <v>2008</v>
      </c>
      <c r="G237" s="675">
        <f>Financials!G$4</f>
        <v>2009</v>
      </c>
      <c r="H237" s="675">
        <f>Financials!H$4</f>
        <v>2010</v>
      </c>
      <c r="I237" s="675">
        <f>Financials!I$4</f>
        <v>2011</v>
      </c>
      <c r="J237" s="675">
        <f>Financials!J$4</f>
        <v>2012</v>
      </c>
      <c r="K237" s="675">
        <f>Financials!K$4</f>
        <v>2013</v>
      </c>
      <c r="L237" s="675">
        <f>Financials!L$4</f>
        <v>2014</v>
      </c>
      <c r="M237" s="675">
        <f>Financials!M$4</f>
        <v>2015</v>
      </c>
      <c r="N237" s="675">
        <f>Financials!N$4</f>
        <v>2016</v>
      </c>
      <c r="O237" s="675">
        <f t="shared" ref="O237:W237" si="213">O$7</f>
        <v>2017</v>
      </c>
      <c r="P237" s="490" t="str">
        <f t="shared" si="213"/>
        <v>2018E</v>
      </c>
      <c r="Q237" s="490" t="str">
        <f t="shared" si="213"/>
        <v>2019E</v>
      </c>
      <c r="R237" s="490" t="str">
        <f t="shared" si="213"/>
        <v>2020E</v>
      </c>
      <c r="S237" s="490" t="str">
        <f t="shared" si="213"/>
        <v>2021E</v>
      </c>
      <c r="T237" s="490" t="str">
        <f t="shared" si="213"/>
        <v>2022E</v>
      </c>
      <c r="U237" s="490" t="str">
        <f t="shared" si="213"/>
        <v>2023E</v>
      </c>
      <c r="V237" s="490" t="str">
        <f t="shared" si="213"/>
        <v>2024E</v>
      </c>
      <c r="W237" s="490" t="str">
        <f t="shared" si="213"/>
        <v>2025E</v>
      </c>
    </row>
    <row r="238" spans="1:23" s="1401" customFormat="1">
      <c r="A238" s="1401" t="s">
        <v>79</v>
      </c>
      <c r="B238" s="514" t="e">
        <f>NA()</f>
        <v>#N/A</v>
      </c>
      <c r="C238" s="514" t="e">
        <f>NA()</f>
        <v>#N/A</v>
      </c>
      <c r="D238" s="514" t="e">
        <f>NA()</f>
        <v>#N/A</v>
      </c>
      <c r="E238" s="514" t="e">
        <f>NA()</f>
        <v>#N/A</v>
      </c>
      <c r="F238" s="514" t="e">
        <f>NA()</f>
        <v>#N/A</v>
      </c>
      <c r="G238" s="514" t="e">
        <f>NA()</f>
        <v>#N/A</v>
      </c>
      <c r="H238" s="1478">
        <f>-Bear!H$18</f>
        <v>335.65811965811963</v>
      </c>
      <c r="I238" s="1478">
        <f>-Bear!I$18</f>
        <v>294.35051546391753</v>
      </c>
      <c r="J238" s="1478">
        <f>-Bear!J$18</f>
        <v>421.47545219638238</v>
      </c>
      <c r="K238" s="1478">
        <f>-Bear!K$18</f>
        <v>404.72858617131061</v>
      </c>
      <c r="L238" s="1478">
        <f>-Bear!L$18</f>
        <v>419.89350912778906</v>
      </c>
      <c r="M238" s="1478">
        <f>-Bear!M$18</f>
        <v>380.00568643379364</v>
      </c>
      <c r="N238" s="1478">
        <f>-Bear!N$18</f>
        <v>464.8130081300813</v>
      </c>
      <c r="O238" s="1478">
        <f>-Bear!O$18</f>
        <v>540.44734819369705</v>
      </c>
      <c r="P238" s="1478">
        <f>-Bear!P$18</f>
        <v>479.91831690064578</v>
      </c>
      <c r="Q238" s="1478">
        <f>-Bear!Q$18</f>
        <v>486.08876544259061</v>
      </c>
      <c r="R238" s="1478">
        <f>-Bear!R$18</f>
        <v>544.47384605578645</v>
      </c>
      <c r="S238" s="1478">
        <f>-Bear!S$18</f>
        <v>604.81004024030096</v>
      </c>
      <c r="T238" s="1478">
        <f>-Bear!T$18</f>
        <v>600.27840526943953</v>
      </c>
      <c r="U238" s="1478">
        <f>-Bear!U$18</f>
        <v>581.54349688836533</v>
      </c>
      <c r="V238" s="1478">
        <f>-Bear!V$18</f>
        <v>618.80890643268424</v>
      </c>
      <c r="W238" s="1478">
        <f>-Bear!W$18</f>
        <v>597.15059470754022</v>
      </c>
    </row>
    <row r="239" spans="1:23" s="1401" customFormat="1">
      <c r="A239" s="1401" t="s">
        <v>77</v>
      </c>
      <c r="B239" s="514" t="e">
        <f>NA()</f>
        <v>#N/A</v>
      </c>
      <c r="C239" s="514" t="e">
        <f>NA()</f>
        <v>#N/A</v>
      </c>
      <c r="D239" s="514" t="e">
        <f>NA()</f>
        <v>#N/A</v>
      </c>
      <c r="E239" s="514" t="e">
        <f>NA()</f>
        <v>#N/A</v>
      </c>
      <c r="F239" s="514" t="e">
        <f>NA()</f>
        <v>#N/A</v>
      </c>
      <c r="G239" s="514" t="e">
        <f>NA()</f>
        <v>#N/A</v>
      </c>
      <c r="H239" s="1478">
        <f>-Base!H$18</f>
        <v>335.65811965811963</v>
      </c>
      <c r="I239" s="1478">
        <f>-Base!I$18</f>
        <v>294.35051546391753</v>
      </c>
      <c r="J239" s="1478">
        <f>-Base!J$18</f>
        <v>421.47545219638238</v>
      </c>
      <c r="K239" s="1478">
        <f>-Base!K$18</f>
        <v>404.72858617131061</v>
      </c>
      <c r="L239" s="1478">
        <f>-Base!L$18</f>
        <v>419.89350912778906</v>
      </c>
      <c r="M239" s="1478">
        <f>-Base!M$18</f>
        <v>380.00568643379364</v>
      </c>
      <c r="N239" s="1478">
        <f>-Base!N$18</f>
        <v>464.8130081300813</v>
      </c>
      <c r="O239" s="1478">
        <f>-Base!O$18</f>
        <v>540.44734819369705</v>
      </c>
      <c r="P239" s="1478">
        <f>-Base!P$18</f>
        <v>507.1305245299186</v>
      </c>
      <c r="Q239" s="1478">
        <f>-Base!Q$18</f>
        <v>512.53864833248508</v>
      </c>
      <c r="R239" s="1478">
        <f>-Base!R$18</f>
        <v>533.19481983669561</v>
      </c>
      <c r="S239" s="1478">
        <f>-Base!S$18</f>
        <v>589.26822832689129</v>
      </c>
      <c r="T239" s="1478">
        <f>-Base!T$18</f>
        <v>619.00142861769882</v>
      </c>
      <c r="U239" s="1478">
        <f>-Base!U$18</f>
        <v>593.91317171006688</v>
      </c>
      <c r="V239" s="1478">
        <f>-Base!V$18</f>
        <v>576.69103480975548</v>
      </c>
      <c r="W239" s="1478">
        <f>-Base!W$18</f>
        <v>553.62339341736526</v>
      </c>
    </row>
    <row r="240" spans="1:23" s="1401" customFormat="1">
      <c r="A240" s="1401" t="s">
        <v>78</v>
      </c>
      <c r="B240" s="514" t="e">
        <f>NA()</f>
        <v>#N/A</v>
      </c>
      <c r="C240" s="514" t="e">
        <f>NA()</f>
        <v>#N/A</v>
      </c>
      <c r="D240" s="514" t="e">
        <f>NA()</f>
        <v>#N/A</v>
      </c>
      <c r="E240" s="514" t="e">
        <f>NA()</f>
        <v>#N/A</v>
      </c>
      <c r="F240" s="514" t="e">
        <f>NA()</f>
        <v>#N/A</v>
      </c>
      <c r="G240" s="514" t="e">
        <f>NA()</f>
        <v>#N/A</v>
      </c>
      <c r="H240" s="1478">
        <f>-Bull!H$18</f>
        <v>335.65811965811963</v>
      </c>
      <c r="I240" s="1478">
        <f>-Bull!I$18</f>
        <v>294.35051546391753</v>
      </c>
      <c r="J240" s="1478">
        <f>-Bull!J$18</f>
        <v>421.47545219638238</v>
      </c>
      <c r="K240" s="1478">
        <f>-Bull!K$18</f>
        <v>404.72858617131061</v>
      </c>
      <c r="L240" s="1478">
        <f>-Bull!L$18</f>
        <v>419.89350912778906</v>
      </c>
      <c r="M240" s="1478">
        <f>-Bull!M$18</f>
        <v>380.00568643379364</v>
      </c>
      <c r="N240" s="1478">
        <f>-Bull!N$18</f>
        <v>464.8130081300813</v>
      </c>
      <c r="O240" s="1478">
        <f>-Bull!O$18</f>
        <v>540.44734819369705</v>
      </c>
      <c r="P240" s="1478">
        <f>-Bull!P$18</f>
        <v>526.67410344040832</v>
      </c>
      <c r="Q240" s="1478">
        <f>-Bull!Q$18</f>
        <v>523.53822730849174</v>
      </c>
      <c r="R240" s="1478">
        <f>-Bull!R$18</f>
        <v>559.89902235009538</v>
      </c>
      <c r="S240" s="1478">
        <f>-Bull!S$18</f>
        <v>582.70162857595983</v>
      </c>
      <c r="T240" s="1478">
        <f>-Bull!T$18</f>
        <v>559.66779145191219</v>
      </c>
      <c r="U240" s="1478">
        <f>-Bull!U$18</f>
        <v>531.23264410094566</v>
      </c>
      <c r="V240" s="1478">
        <f>-Bull!V$18</f>
        <v>545.25826136251146</v>
      </c>
      <c r="W240" s="1478">
        <f>-Bull!W$18</f>
        <v>512.54276568076079</v>
      </c>
    </row>
    <row r="241" spans="1:23" s="1401" customFormat="1"/>
    <row r="242" spans="1:23" s="1401" customFormat="1">
      <c r="A242" s="1401" t="s">
        <v>1579</v>
      </c>
      <c r="B242" s="514" t="e">
        <f>NA()</f>
        <v>#N/A</v>
      </c>
      <c r="C242" s="514" t="e">
        <f>NA()</f>
        <v>#N/A</v>
      </c>
      <c r="D242" s="514" t="e">
        <f>NA()</f>
        <v>#N/A</v>
      </c>
      <c r="E242" s="514" t="e">
        <f>NA()</f>
        <v>#N/A</v>
      </c>
      <c r="F242" s="514" t="e">
        <f>NA()</f>
        <v>#N/A</v>
      </c>
      <c r="G242" s="514" t="e">
        <f>NA()</f>
        <v>#N/A</v>
      </c>
      <c r="H242" s="1478">
        <f>Financials!H17+Financials!H18</f>
        <v>375.53401421265107</v>
      </c>
      <c r="I242" s="1478">
        <f>Financials!I17+Financials!I18</f>
        <v>545.37084306275074</v>
      </c>
      <c r="J242" s="1478">
        <f>Financials!J17+Financials!J18</f>
        <v>507.16674741602066</v>
      </c>
      <c r="K242" s="1478">
        <f>Financials!K17+Financials!K18</f>
        <v>568.76659924151477</v>
      </c>
      <c r="L242" s="1478">
        <f>Financials!L17+Financials!L18</f>
        <v>472.23118820877261</v>
      </c>
      <c r="M242" s="1478">
        <f>Financials!M17+Financials!M18</f>
        <v>545.27423880620313</v>
      </c>
      <c r="N242" s="1478">
        <f>Financials!N17+Financials!N18</f>
        <v>583.25526830622175</v>
      </c>
      <c r="O242" s="1478">
        <f>Financials!O17+Financials!O18</f>
        <v>711.45947984923509</v>
      </c>
      <c r="P242" s="1478">
        <f>Financials!P17+Financials!P18</f>
        <v>900.74668989322049</v>
      </c>
      <c r="Q242" s="1478">
        <f>Financials!Q17+Financials!Q18</f>
        <v>690.75077956208816</v>
      </c>
      <c r="R242" s="1478">
        <f>Financials!R17+Financials!R18</f>
        <v>711.91398658106232</v>
      </c>
      <c r="S242" s="1478">
        <f>Financials!S17+Financials!S18</f>
        <v>901.01792151546294</v>
      </c>
      <c r="T242" s="1478">
        <f>Financials!T17+Financials!T18</f>
        <v>967.84607548317945</v>
      </c>
      <c r="U242" s="1478">
        <f>Financials!U17+Financials!U18</f>
        <v>733.18359913036886</v>
      </c>
      <c r="V242" s="1478">
        <f>Financials!V17+Financials!V18</f>
        <v>571.58067674738174</v>
      </c>
      <c r="W242" s="1478">
        <f>Financials!W17+Financials!W18</f>
        <v>756.07056550843856</v>
      </c>
    </row>
    <row r="243" spans="1:23" s="1401" customFormat="1">
      <c r="B243" s="514"/>
      <c r="C243" s="514"/>
      <c r="D243" s="514"/>
      <c r="E243" s="514"/>
      <c r="F243" s="514"/>
      <c r="G243" s="514"/>
      <c r="H243" s="1478"/>
      <c r="I243" s="1478"/>
      <c r="J243" s="1478"/>
      <c r="K243" s="1478"/>
      <c r="L243" s="1478"/>
      <c r="M243" s="1478"/>
      <c r="N243" s="1478"/>
      <c r="O243" s="1478"/>
      <c r="P243" s="1478"/>
      <c r="Q243" s="1478"/>
      <c r="R243" s="1478"/>
      <c r="S243" s="1478"/>
      <c r="T243" s="1478"/>
      <c r="U243" s="1478"/>
      <c r="V243" s="1478"/>
      <c r="W243" s="1478"/>
    </row>
    <row r="244" spans="1:23" s="1401" customFormat="1">
      <c r="A244" s="674" t="s">
        <v>1699</v>
      </c>
      <c r="B244" s="675">
        <f>Financials!B$4</f>
        <v>2004</v>
      </c>
      <c r="C244" s="675">
        <f>Financials!C$4</f>
        <v>2005</v>
      </c>
      <c r="D244" s="675">
        <f>Financials!D$4</f>
        <v>2006</v>
      </c>
      <c r="E244" s="675">
        <f>Financials!E$4</f>
        <v>2007</v>
      </c>
      <c r="F244" s="675">
        <f>Financials!F$4</f>
        <v>2008</v>
      </c>
      <c r="G244" s="675">
        <f>Financials!G$4</f>
        <v>2009</v>
      </c>
      <c r="H244" s="675">
        <f>Financials!H$4</f>
        <v>2010</v>
      </c>
      <c r="I244" s="675">
        <f>Financials!I$4</f>
        <v>2011</v>
      </c>
      <c r="J244" s="675">
        <f>Financials!J$4</f>
        <v>2012</v>
      </c>
      <c r="K244" s="675">
        <f>Financials!K$4</f>
        <v>2013</v>
      </c>
      <c r="L244" s="675">
        <f>Financials!L$4</f>
        <v>2014</v>
      </c>
      <c r="M244" s="675">
        <f>Financials!M$4</f>
        <v>2015</v>
      </c>
      <c r="N244" s="675">
        <f>Financials!N$4</f>
        <v>2016</v>
      </c>
      <c r="O244" s="675">
        <f t="shared" ref="O244:W244" si="214">O$7</f>
        <v>2017</v>
      </c>
      <c r="P244" s="490" t="str">
        <f t="shared" si="214"/>
        <v>2018E</v>
      </c>
      <c r="Q244" s="490" t="str">
        <f t="shared" si="214"/>
        <v>2019E</v>
      </c>
      <c r="R244" s="490" t="str">
        <f t="shared" si="214"/>
        <v>2020E</v>
      </c>
      <c r="S244" s="490" t="str">
        <f t="shared" si="214"/>
        <v>2021E</v>
      </c>
      <c r="T244" s="490" t="str">
        <f t="shared" si="214"/>
        <v>2022E</v>
      </c>
      <c r="U244" s="490" t="str">
        <f t="shared" si="214"/>
        <v>2023E</v>
      </c>
      <c r="V244" s="490" t="str">
        <f t="shared" si="214"/>
        <v>2024E</v>
      </c>
      <c r="W244" s="490" t="str">
        <f t="shared" si="214"/>
        <v>2025E</v>
      </c>
    </row>
    <row r="245" spans="1:23" s="1401" customFormat="1">
      <c r="A245" s="1401" t="s">
        <v>79</v>
      </c>
      <c r="B245" s="514"/>
      <c r="C245" s="514"/>
      <c r="D245" s="514"/>
      <c r="E245" s="514"/>
      <c r="F245" s="514"/>
      <c r="G245" s="514"/>
      <c r="H245" s="2392">
        <f>+(H238*100/2204.6)/(Inputs!H$154)</f>
        <v>8.5506865266653769</v>
      </c>
      <c r="I245" s="2392">
        <f>+(I238*100/2204.6)/(Inputs!I$154)</f>
        <v>8.1997493057836568</v>
      </c>
      <c r="J245" s="2392">
        <f>+(J238*100/2204.6)/(Inputs!J$154)</f>
        <v>10.494017508804866</v>
      </c>
      <c r="K245" s="2392">
        <f>+(K238*100/2204.6)/(Inputs!K$154)</f>
        <v>9.1176400485895268</v>
      </c>
      <c r="L245" s="2392">
        <f>+(L238*100/2204.6)/(Inputs!L$154)</f>
        <v>8.4174855838916933</v>
      </c>
      <c r="M245" s="2392">
        <f>+(M238*100/2204.6)/(Inputs!M$154)</f>
        <v>5.3736150083482199</v>
      </c>
      <c r="N245" s="2392">
        <f>+(N238*100/2204.6)/(Inputs!N$154)</f>
        <v>5.924739993026864</v>
      </c>
      <c r="O245" s="2392">
        <f>+(O238*100/2204.6)/(Inputs!O$154)</f>
        <v>7.2101561466892363</v>
      </c>
      <c r="P245" s="922">
        <f>+(P238*100/2204.6)/(Inputs!P$154)</f>
        <v>7.0222425968670459</v>
      </c>
      <c r="Q245" s="922">
        <f>+(Q238*100/2204.6)/(Inputs!Q$154)</f>
        <v>6.6814672000224133</v>
      </c>
      <c r="R245" s="922">
        <f>+(R238*100/2204.6)/(Inputs!R$154)</f>
        <v>7.4839914071649982</v>
      </c>
      <c r="S245" s="922">
        <f>+(S238*100/2204.6)/(Inputs!S$154)</f>
        <v>8.3133343812840508</v>
      </c>
      <c r="T245" s="922">
        <f>+(T238*100/2204.6)/(Inputs!T$154)</f>
        <v>8.2510454073911514</v>
      </c>
      <c r="U245" s="922">
        <f>+(U238*100/2204.6)/(Inputs!U$154)</f>
        <v>7.9935272651448548</v>
      </c>
      <c r="V245" s="922">
        <f>+(V238*100/2204.6)/(Inputs!V$154)</f>
        <v>8.5057538979473275</v>
      </c>
      <c r="W245" s="922">
        <f>+(W238*100/2204.6)/(Inputs!W$154)</f>
        <v>8.2080525115191687</v>
      </c>
    </row>
    <row r="246" spans="1:23" s="1401" customFormat="1">
      <c r="A246" s="1401" t="s">
        <v>77</v>
      </c>
      <c r="B246" s="514"/>
      <c r="C246" s="514"/>
      <c r="D246" s="514"/>
      <c r="E246" s="514"/>
      <c r="F246" s="514"/>
      <c r="G246" s="514"/>
      <c r="H246" s="2392">
        <f>+(H239*100/2204.6)/(Inputs!H$154)</f>
        <v>8.5506865266653769</v>
      </c>
      <c r="I246" s="2392">
        <f>+(I239*100/2204.6)/(Inputs!I$154)</f>
        <v>8.1997493057836568</v>
      </c>
      <c r="J246" s="2392">
        <f>+(J239*100/2204.6)/(Inputs!J$154)</f>
        <v>10.494017508804866</v>
      </c>
      <c r="K246" s="2392">
        <f>+(K239*100/2204.6)/(Inputs!K$154)</f>
        <v>9.1176400485895268</v>
      </c>
      <c r="L246" s="2392">
        <f>+(L239*100/2204.6)/(Inputs!L$154)</f>
        <v>8.4174855838916933</v>
      </c>
      <c r="M246" s="2392">
        <f>+(M239*100/2204.6)/(Inputs!M$154)</f>
        <v>5.3736150083482199</v>
      </c>
      <c r="N246" s="2392">
        <f>+(N239*100/2204.6)/(Inputs!N$154)</f>
        <v>5.924739993026864</v>
      </c>
      <c r="O246" s="2392">
        <f>+(O239*100/2204.6)/(Inputs!O$154)</f>
        <v>7.2101561466892363</v>
      </c>
      <c r="P246" s="922">
        <f>+(P239*100/2204.6)/(Inputs!P$154)</f>
        <v>7.4204160293860433</v>
      </c>
      <c r="Q246" s="922">
        <f>+(Q239*100/2204.6)/(Inputs!Q$154)</f>
        <v>7.0450304780429507</v>
      </c>
      <c r="R246" s="922">
        <f>+(R239*100/2204.6)/(Inputs!R$154)</f>
        <v>7.3289570819786674</v>
      </c>
      <c r="S246" s="922">
        <f>+(S239*100/2204.6)/(Inputs!S$154)</f>
        <v>8.0997065134730875</v>
      </c>
      <c r="T246" s="922">
        <f>+(T239*100/2204.6)/(Inputs!T$154)</f>
        <v>8.5084001855307889</v>
      </c>
      <c r="U246" s="922">
        <f>+(U239*100/2204.6)/(Inputs!U$154)</f>
        <v>8.1635529527800959</v>
      </c>
      <c r="V246" s="922">
        <f>+(V239*100/2204.6)/(Inputs!V$154)</f>
        <v>7.926828405754299</v>
      </c>
      <c r="W246" s="922">
        <f>+(W239*100/2204.6)/(Inputs!W$154)</f>
        <v>7.6097552695241264</v>
      </c>
    </row>
    <row r="247" spans="1:23" s="1401" customFormat="1">
      <c r="A247" s="1401" t="s">
        <v>78</v>
      </c>
      <c r="H247" s="2392">
        <f>+(H240*100/2204.6)/(Inputs!H$154)</f>
        <v>8.5506865266653769</v>
      </c>
      <c r="I247" s="2392">
        <f>+(I240*100/2204.6)/(Inputs!I$154)</f>
        <v>8.1997493057836568</v>
      </c>
      <c r="J247" s="2392">
        <f>+(J240*100/2204.6)/(Inputs!J$154)</f>
        <v>10.494017508804866</v>
      </c>
      <c r="K247" s="2392">
        <f>+(K240*100/2204.6)/(Inputs!K$154)</f>
        <v>9.1176400485895268</v>
      </c>
      <c r="L247" s="2392">
        <f>+(L240*100/2204.6)/(Inputs!L$154)</f>
        <v>8.4174855838916933</v>
      </c>
      <c r="M247" s="2392">
        <f>+(M240*100/2204.6)/(Inputs!M$154)</f>
        <v>5.3736150083482199</v>
      </c>
      <c r="N247" s="2392">
        <f>+(N240*100/2204.6)/(Inputs!N$154)</f>
        <v>5.924739993026864</v>
      </c>
      <c r="O247" s="2392">
        <f>+(O240*100/2204.6)/(Inputs!O$154)</f>
        <v>7.2101561466892363</v>
      </c>
      <c r="P247" s="922">
        <f>+(P240*100/2204.6)/(Inputs!P$154)</f>
        <v>7.7063808435793826</v>
      </c>
      <c r="Q247" s="922">
        <f>+(Q240*100/2204.6)/(Inputs!Q$154)</f>
        <v>7.1962236990492583</v>
      </c>
      <c r="R247" s="922">
        <f>+(R240*100/2204.6)/(Inputs!R$154)</f>
        <v>7.696016075892218</v>
      </c>
      <c r="S247" s="922">
        <f>+(S240*100/2204.6)/(Inputs!S$154)</f>
        <v>8.009446207186075</v>
      </c>
      <c r="T247" s="922">
        <f>+(T240*100/2204.6)/(Inputs!T$154)</f>
        <v>7.6928377229417313</v>
      </c>
      <c r="U247" s="922">
        <f>+(U240*100/2204.6)/(Inputs!U$154)</f>
        <v>7.3019862615213054</v>
      </c>
      <c r="V247" s="922">
        <f>+(V240*100/2204.6)/(Inputs!V$154)</f>
        <v>7.4947734813779388</v>
      </c>
      <c r="W247" s="922">
        <f>+(W240*100/2204.6)/(Inputs!W$154)</f>
        <v>7.0450870724952628</v>
      </c>
    </row>
    <row r="248" spans="1:23" s="1401" customFormat="1"/>
    <row r="249" spans="1:23" s="1401" customFormat="1">
      <c r="A249" s="674" t="s">
        <v>1584</v>
      </c>
      <c r="B249" s="675">
        <f>Financials!B$4</f>
        <v>2004</v>
      </c>
      <c r="C249" s="675">
        <f>Financials!C$4</f>
        <v>2005</v>
      </c>
      <c r="D249" s="675">
        <f>Financials!D$4</f>
        <v>2006</v>
      </c>
      <c r="E249" s="675">
        <f>Financials!E$4</f>
        <v>2007</v>
      </c>
      <c r="F249" s="675">
        <f>Financials!F$4</f>
        <v>2008</v>
      </c>
      <c r="G249" s="675">
        <f>Financials!G$4</f>
        <v>2009</v>
      </c>
      <c r="H249" s="675">
        <f>Financials!H$4</f>
        <v>2010</v>
      </c>
      <c r="I249" s="675">
        <f>Financials!I$4</f>
        <v>2011</v>
      </c>
      <c r="J249" s="675">
        <f>Financials!J$4</f>
        <v>2012</v>
      </c>
      <c r="K249" s="675">
        <f>Financials!K$4</f>
        <v>2013</v>
      </c>
      <c r="L249" s="675">
        <f>Financials!L$4</f>
        <v>2014</v>
      </c>
      <c r="M249" s="675">
        <f>Financials!M$4</f>
        <v>2015</v>
      </c>
      <c r="N249" s="675">
        <f>Financials!N$4</f>
        <v>2016</v>
      </c>
      <c r="O249" s="675">
        <f t="shared" ref="O249:W249" si="215">O$7</f>
        <v>2017</v>
      </c>
      <c r="P249" s="490" t="str">
        <f t="shared" si="215"/>
        <v>2018E</v>
      </c>
      <c r="Q249" s="490" t="str">
        <f t="shared" si="215"/>
        <v>2019E</v>
      </c>
      <c r="R249" s="490" t="str">
        <f t="shared" si="215"/>
        <v>2020E</v>
      </c>
      <c r="S249" s="490" t="str">
        <f t="shared" si="215"/>
        <v>2021E</v>
      </c>
      <c r="T249" s="490" t="str">
        <f t="shared" si="215"/>
        <v>2022E</v>
      </c>
      <c r="U249" s="490" t="str">
        <f t="shared" si="215"/>
        <v>2023E</v>
      </c>
      <c r="V249" s="490" t="str">
        <f t="shared" si="215"/>
        <v>2024E</v>
      </c>
      <c r="W249" s="490" t="str">
        <f t="shared" si="215"/>
        <v>2025E</v>
      </c>
    </row>
    <row r="250" spans="1:23" s="1401" customFormat="1">
      <c r="A250" s="1401" t="s">
        <v>79</v>
      </c>
      <c r="B250" s="514" t="e">
        <f>NA()</f>
        <v>#N/A</v>
      </c>
      <c r="C250" s="514" t="e">
        <f>NA()</f>
        <v>#N/A</v>
      </c>
      <c r="D250" s="514" t="e">
        <f>NA()</f>
        <v>#N/A</v>
      </c>
      <c r="E250" s="514" t="e">
        <f>NA()</f>
        <v>#N/A</v>
      </c>
      <c r="F250" s="514" t="e">
        <f>NA()</f>
        <v>#N/A</v>
      </c>
      <c r="G250" s="514" t="e">
        <f>NA()</f>
        <v>#N/A</v>
      </c>
      <c r="H250" s="1478">
        <f>-Bear!H$23</f>
        <v>491.00674536256315</v>
      </c>
      <c r="I250" s="1478">
        <f>-Bear!I$23</f>
        <v>403.21238938053096</v>
      </c>
      <c r="J250" s="1478">
        <f>-Bear!J$23</f>
        <v>749.8733509234828</v>
      </c>
      <c r="K250" s="1478">
        <f>-Bear!K$23</f>
        <v>691.68292682926835</v>
      </c>
      <c r="L250" s="1478">
        <f>-Bear!L$23</f>
        <v>676.73593749999998</v>
      </c>
      <c r="M250" s="1478">
        <f>-Bear!M$23</f>
        <v>612.83059418457651</v>
      </c>
      <c r="N250" s="1478">
        <f>-Bear!N$23</f>
        <v>833.66577896138483</v>
      </c>
      <c r="O250" s="1478">
        <f>-Bear!O$23</f>
        <v>943.14992503748135</v>
      </c>
      <c r="P250" s="1478">
        <f>-Bear!P$23</f>
        <v>837.51900369531154</v>
      </c>
      <c r="Q250" s="1478">
        <f>-Bear!Q$23</f>
        <v>848.28722764762358</v>
      </c>
      <c r="R250" s="1478">
        <f>-Bear!R$23</f>
        <v>950.17668013117475</v>
      </c>
      <c r="S250" s="1478">
        <f>-Bear!S$23</f>
        <v>1055.4710759911329</v>
      </c>
      <c r="T250" s="1478">
        <f>-Bear!T$23</f>
        <v>1047.5627918680818</v>
      </c>
      <c r="U250" s="1478">
        <f>-Bear!U$23</f>
        <v>1014.8679743354378</v>
      </c>
      <c r="V250" s="1478">
        <f>-Bear!V$23</f>
        <v>1079.9008925941444</v>
      </c>
      <c r="W250" s="1478">
        <f>-Bear!W$23</f>
        <v>1042.1043613533493</v>
      </c>
    </row>
    <row r="251" spans="1:23" s="1401" customFormat="1">
      <c r="A251" s="1401" t="s">
        <v>77</v>
      </c>
      <c r="B251" s="514" t="e">
        <f>NA()</f>
        <v>#N/A</v>
      </c>
      <c r="C251" s="514" t="e">
        <f>NA()</f>
        <v>#N/A</v>
      </c>
      <c r="D251" s="514" t="e">
        <f>NA()</f>
        <v>#N/A</v>
      </c>
      <c r="E251" s="514" t="e">
        <f>NA()</f>
        <v>#N/A</v>
      </c>
      <c r="F251" s="514" t="e">
        <f>NA()</f>
        <v>#N/A</v>
      </c>
      <c r="G251" s="514" t="e">
        <f>NA()</f>
        <v>#N/A</v>
      </c>
      <c r="H251" s="1478">
        <f>-Base!H$23</f>
        <v>491.00674536256315</v>
      </c>
      <c r="I251" s="1478">
        <f>-Base!I$23</f>
        <v>403.21238938053096</v>
      </c>
      <c r="J251" s="1478">
        <f>-Base!J$23</f>
        <v>749.8733509234828</v>
      </c>
      <c r="K251" s="1478">
        <f>-Base!K$23</f>
        <v>691.68292682926835</v>
      </c>
      <c r="L251" s="1478">
        <f>-Base!L$23</f>
        <v>676.73593749999998</v>
      </c>
      <c r="M251" s="1478">
        <f>-Base!M$23</f>
        <v>612.83059418457651</v>
      </c>
      <c r="N251" s="1478">
        <f>-Base!N$23</f>
        <v>833.66577896138483</v>
      </c>
      <c r="O251" s="1478">
        <f>-Base!O$23</f>
        <v>943.14992503748135</v>
      </c>
      <c r="P251" s="1478">
        <f>-Base!P$23</f>
        <v>885.00779547388561</v>
      </c>
      <c r="Q251" s="1478">
        <f>-Base!Q$23</f>
        <v>894.44566500184544</v>
      </c>
      <c r="R251" s="1478">
        <f>-Base!R$23</f>
        <v>930.49333305104676</v>
      </c>
      <c r="S251" s="1478">
        <f>-Base!S$23</f>
        <v>1028.3486212504993</v>
      </c>
      <c r="T251" s="1478">
        <f>-Base!T$23</f>
        <v>1080.2368684944267</v>
      </c>
      <c r="U251" s="1478">
        <f>-Base!U$23</f>
        <v>1036.4546430827597</v>
      </c>
      <c r="V251" s="1478">
        <f>-Base!V$23</f>
        <v>1006.3998057691858</v>
      </c>
      <c r="W251" s="1478">
        <f>-Base!W$23</f>
        <v>966.14381353841839</v>
      </c>
    </row>
    <row r="252" spans="1:23" s="1401" customFormat="1">
      <c r="A252" s="1401" t="s">
        <v>78</v>
      </c>
      <c r="B252" s="514" t="e">
        <f>NA()</f>
        <v>#N/A</v>
      </c>
      <c r="C252" s="514" t="e">
        <f>NA()</f>
        <v>#N/A</v>
      </c>
      <c r="D252" s="514" t="e">
        <f>NA()</f>
        <v>#N/A</v>
      </c>
      <c r="E252" s="514" t="e">
        <f>NA()</f>
        <v>#N/A</v>
      </c>
      <c r="F252" s="514" t="e">
        <f>NA()</f>
        <v>#N/A</v>
      </c>
      <c r="G252" s="514" t="e">
        <f>NA()</f>
        <v>#N/A</v>
      </c>
      <c r="H252" s="1478">
        <f>-Bull!H$23</f>
        <v>491.00674536256315</v>
      </c>
      <c r="I252" s="1478">
        <f>-Bull!I$23</f>
        <v>403.21238938053096</v>
      </c>
      <c r="J252" s="1478">
        <f>-Bull!J$23</f>
        <v>749.8733509234828</v>
      </c>
      <c r="K252" s="1478">
        <f>-Bull!K$23</f>
        <v>691.68292682926835</v>
      </c>
      <c r="L252" s="1478">
        <f>-Bull!L$23</f>
        <v>676.73593749999998</v>
      </c>
      <c r="M252" s="1478">
        <f>-Bull!M$23</f>
        <v>612.83059418457651</v>
      </c>
      <c r="N252" s="1478">
        <f>-Bull!N$23</f>
        <v>833.66577896138483</v>
      </c>
      <c r="O252" s="1478">
        <f>-Bull!O$23</f>
        <v>943.14992503748135</v>
      </c>
      <c r="P252" s="1478">
        <f>-Bull!P$23</f>
        <v>917.69912188993624</v>
      </c>
      <c r="Q252" s="1478">
        <f>-Bull!Q$23</f>
        <v>910.8584906676017</v>
      </c>
      <c r="R252" s="1478">
        <f>-Bull!R$23</f>
        <v>972.75317827878075</v>
      </c>
      <c r="S252" s="1478">
        <f>-Bull!S$23</f>
        <v>1010.9106700695612</v>
      </c>
      <c r="T252" s="1478">
        <f>-Bull!T$23</f>
        <v>976.00454615485694</v>
      </c>
      <c r="U252" s="1478">
        <f>-Bull!U$23</f>
        <v>931.29652128130317</v>
      </c>
      <c r="V252" s="1478">
        <f>-Bull!V$23</f>
        <v>960.54111741869417</v>
      </c>
      <c r="W252" s="1478">
        <f>-Bull!W$23</f>
        <v>907.71135596066597</v>
      </c>
    </row>
    <row r="253" spans="1:23" s="1401" customFormat="1"/>
    <row r="254" spans="1:23" s="1401" customFormat="1">
      <c r="A254" s="1401" t="s">
        <v>1580</v>
      </c>
      <c r="B254" s="514" t="e">
        <f>NA()</f>
        <v>#N/A</v>
      </c>
      <c r="C254" s="514" t="e">
        <f>NA()</f>
        <v>#N/A</v>
      </c>
      <c r="D254" s="514" t="e">
        <f>NA()</f>
        <v>#N/A</v>
      </c>
      <c r="E254" s="514" t="e">
        <f>NA()</f>
        <v>#N/A</v>
      </c>
      <c r="F254" s="514" t="e">
        <f>NA()</f>
        <v>#N/A</v>
      </c>
      <c r="G254" s="514" t="e">
        <f>NA()</f>
        <v>#N/A</v>
      </c>
      <c r="H254" s="1478">
        <f>Financials!H22+Financials!H23</f>
        <v>366.9486205711421</v>
      </c>
      <c r="I254" s="1478">
        <f>Financials!I22+Financials!I23</f>
        <v>591.55369807411876</v>
      </c>
      <c r="J254" s="1478">
        <f>Financials!J22+Financials!J23</f>
        <v>508.39770039689574</v>
      </c>
      <c r="K254" s="1478">
        <f>Financials!K22+Financials!K23</f>
        <v>519.86543164455566</v>
      </c>
      <c r="L254" s="1478">
        <f>Financials!L22+Financials!L23</f>
        <v>640.41564408471652</v>
      </c>
      <c r="M254" s="1478">
        <f>Financials!M22+Financials!M23</f>
        <v>736.2764986104894</v>
      </c>
      <c r="N254" s="1478">
        <f>Financials!N22+Financials!N23</f>
        <v>803.6449128625145</v>
      </c>
      <c r="O254" s="1478">
        <f>Financials!O22+Financials!O23</f>
        <v>830.72894094189996</v>
      </c>
      <c r="P254" s="1478">
        <f>Financials!P22+Financials!P23</f>
        <v>806.36071863375332</v>
      </c>
      <c r="Q254" s="1478">
        <f>Financials!Q22+Financials!Q23</f>
        <v>946.704287494818</v>
      </c>
      <c r="R254" s="1478">
        <f>Financials!R22+Financials!R23</f>
        <v>1040.3150668045364</v>
      </c>
      <c r="S254" s="1478">
        <f>Financials!S22+Financials!S23</f>
        <v>1016.8941000648929</v>
      </c>
      <c r="T254" s="1478">
        <f>Financials!T22+Financials!T23</f>
        <v>1014.091678132535</v>
      </c>
      <c r="U254" s="1478">
        <f>Financials!U22+Financials!U23</f>
        <v>1108.1377886632488</v>
      </c>
      <c r="V254" s="1478">
        <f>Financials!V22+Financials!V23</f>
        <v>1189.6628443387269</v>
      </c>
      <c r="W254" s="1478">
        <f>Financials!W22+Financials!W23</f>
        <v>1377.7968579776298</v>
      </c>
    </row>
    <row r="255" spans="1:23" s="1401" customFormat="1"/>
    <row r="256" spans="1:23" s="1401" customFormat="1">
      <c r="A256" s="674" t="s">
        <v>1585</v>
      </c>
      <c r="B256" s="675">
        <f>Financials!B$4</f>
        <v>2004</v>
      </c>
      <c r="C256" s="675">
        <f>Financials!C$4</f>
        <v>2005</v>
      </c>
      <c r="D256" s="675">
        <f>Financials!D$4</f>
        <v>2006</v>
      </c>
      <c r="E256" s="675">
        <f>Financials!E$4</f>
        <v>2007</v>
      </c>
      <c r="F256" s="675">
        <f>Financials!F$4</f>
        <v>2008</v>
      </c>
      <c r="G256" s="675">
        <f>Financials!G$4</f>
        <v>2009</v>
      </c>
      <c r="H256" s="675">
        <f>Financials!H$4</f>
        <v>2010</v>
      </c>
      <c r="I256" s="675">
        <f>Financials!I$4</f>
        <v>2011</v>
      </c>
      <c r="J256" s="675">
        <f>Financials!J$4</f>
        <v>2012</v>
      </c>
      <c r="K256" s="675">
        <f>Financials!K$4</f>
        <v>2013</v>
      </c>
      <c r="L256" s="675">
        <f>Financials!L$4</f>
        <v>2014</v>
      </c>
      <c r="M256" s="675">
        <f>Financials!M$4</f>
        <v>2015</v>
      </c>
      <c r="N256" s="675">
        <f>Financials!N$4</f>
        <v>2016</v>
      </c>
      <c r="O256" s="675">
        <f t="shared" ref="O256:W256" si="216">O$7</f>
        <v>2017</v>
      </c>
      <c r="P256" s="490" t="str">
        <f t="shared" si="216"/>
        <v>2018E</v>
      </c>
      <c r="Q256" s="490" t="str">
        <f t="shared" si="216"/>
        <v>2019E</v>
      </c>
      <c r="R256" s="490" t="str">
        <f t="shared" si="216"/>
        <v>2020E</v>
      </c>
      <c r="S256" s="490" t="str">
        <f t="shared" si="216"/>
        <v>2021E</v>
      </c>
      <c r="T256" s="490" t="str">
        <f t="shared" si="216"/>
        <v>2022E</v>
      </c>
      <c r="U256" s="490" t="str">
        <f t="shared" si="216"/>
        <v>2023E</v>
      </c>
      <c r="V256" s="490" t="str">
        <f t="shared" si="216"/>
        <v>2024E</v>
      </c>
      <c r="W256" s="490" t="str">
        <f t="shared" si="216"/>
        <v>2025E</v>
      </c>
    </row>
    <row r="257" spans="1:23" s="1401" customFormat="1">
      <c r="A257" s="1401" t="s">
        <v>79</v>
      </c>
      <c r="B257" s="514" t="e">
        <f>NA()</f>
        <v>#N/A</v>
      </c>
      <c r="C257" s="514" t="e">
        <f>NA()</f>
        <v>#N/A</v>
      </c>
      <c r="D257" s="514" t="e">
        <f>NA()</f>
        <v>#N/A</v>
      </c>
      <c r="E257" s="514" t="e">
        <f>NA()</f>
        <v>#N/A</v>
      </c>
      <c r="F257" s="514" t="e">
        <f>NA()</f>
        <v>#N/A</v>
      </c>
      <c r="G257" s="514" t="e">
        <f>NA()</f>
        <v>#N/A</v>
      </c>
      <c r="H257" s="60">
        <f>Bear!H$45</f>
        <v>0.59530994258509617</v>
      </c>
      <c r="I257" s="60">
        <f>Bear!I$45</f>
        <v>0.63403994730658308</v>
      </c>
      <c r="J257" s="60">
        <f>Bear!J$45</f>
        <v>0.57450432836346521</v>
      </c>
      <c r="K257" s="60">
        <f>Bear!K$45</f>
        <v>0.58731845703474383</v>
      </c>
      <c r="L257" s="60">
        <f>Bear!L$45</f>
        <v>0.53180235990202129</v>
      </c>
      <c r="M257" s="60">
        <f>Bear!M$45</f>
        <v>0.57050150255199705</v>
      </c>
      <c r="N257" s="60">
        <f>Bear!N$45</f>
        <v>0.54579615962120553</v>
      </c>
      <c r="O257" s="60">
        <f>Bear!O$45</f>
        <v>0.57247405191441236</v>
      </c>
      <c r="P257" s="60">
        <f>Bear!P$45</f>
        <v>0.640244491872625</v>
      </c>
      <c r="Q257" s="60">
        <f>Bear!Q$45</f>
        <v>0.5032715014847019</v>
      </c>
      <c r="R257" s="60">
        <f>Bear!R$45</f>
        <v>0.54189768089738022</v>
      </c>
      <c r="S257" s="60">
        <f>Bear!S$45</f>
        <v>0.57274656120645362</v>
      </c>
      <c r="T257" s="60">
        <f>Bear!T$45</f>
        <v>0.52792312960717924</v>
      </c>
      <c r="U257" s="60">
        <f>Bear!U$45</f>
        <v>0.45726864725449379</v>
      </c>
      <c r="V257" s="60">
        <f>Bear!V$45</f>
        <v>0.46621997936047932</v>
      </c>
      <c r="W257" s="60">
        <f>Bear!W$45</f>
        <v>0.49885866632133968</v>
      </c>
    </row>
    <row r="258" spans="1:23" s="1401" customFormat="1">
      <c r="A258" s="1401" t="s">
        <v>77</v>
      </c>
      <c r="B258" s="514" t="e">
        <f>NA()</f>
        <v>#N/A</v>
      </c>
      <c r="C258" s="514" t="e">
        <f>NA()</f>
        <v>#N/A</v>
      </c>
      <c r="D258" s="514" t="e">
        <f>NA()</f>
        <v>#N/A</v>
      </c>
      <c r="E258" s="514" t="e">
        <f>NA()</f>
        <v>#N/A</v>
      </c>
      <c r="F258" s="514" t="e">
        <f>NA()</f>
        <v>#N/A</v>
      </c>
      <c r="G258" s="514" t="e">
        <f>NA()</f>
        <v>#N/A</v>
      </c>
      <c r="H258" s="60">
        <f>Base!H$45</f>
        <v>0.59530994258509617</v>
      </c>
      <c r="I258" s="60">
        <f>Base!I$45</f>
        <v>0.63403994730658308</v>
      </c>
      <c r="J258" s="60">
        <f>Base!J$45</f>
        <v>0.57450432836346521</v>
      </c>
      <c r="K258" s="60">
        <f>Base!K$45</f>
        <v>0.58731845703474383</v>
      </c>
      <c r="L258" s="60">
        <f>Base!L$45</f>
        <v>0.53180235990202129</v>
      </c>
      <c r="M258" s="60">
        <f>Base!M$45</f>
        <v>0.57050150255199705</v>
      </c>
      <c r="N258" s="60">
        <f>Base!N$45</f>
        <v>0.54579615962120553</v>
      </c>
      <c r="O258" s="60">
        <f>Base!O$45</f>
        <v>0.57247405191441236</v>
      </c>
      <c r="P258" s="60">
        <f>Base!P$45</f>
        <v>0.63979065835104854</v>
      </c>
      <c r="Q258" s="60">
        <f>Base!Q$45</f>
        <v>0.57278351634501423</v>
      </c>
      <c r="R258" s="60">
        <f>Base!R$45</f>
        <v>0.57059124886384605</v>
      </c>
      <c r="S258" s="60">
        <f>Base!S$45</f>
        <v>0.60350042892929268</v>
      </c>
      <c r="T258" s="60">
        <f>Base!T$45</f>
        <v>0.60883918068424969</v>
      </c>
      <c r="U258" s="60">
        <f>Base!U$45</f>
        <v>0.55123468491874372</v>
      </c>
      <c r="V258" s="60">
        <f>Base!V$45</f>
        <v>0.49638639865534995</v>
      </c>
      <c r="W258" s="60">
        <f>Base!W$45</f>
        <v>0.57611941458523397</v>
      </c>
    </row>
    <row r="259" spans="1:23" s="1401" customFormat="1">
      <c r="A259" s="1401" t="s">
        <v>78</v>
      </c>
      <c r="B259" s="514" t="e">
        <f>NA()</f>
        <v>#N/A</v>
      </c>
      <c r="C259" s="514" t="e">
        <f>NA()</f>
        <v>#N/A</v>
      </c>
      <c r="D259" s="514" t="e">
        <f>NA()</f>
        <v>#N/A</v>
      </c>
      <c r="E259" s="514" t="e">
        <f>NA()</f>
        <v>#N/A</v>
      </c>
      <c r="F259" s="514" t="e">
        <f>NA()</f>
        <v>#N/A</v>
      </c>
      <c r="G259" s="514" t="e">
        <f>NA()</f>
        <v>#N/A</v>
      </c>
      <c r="H259" s="60">
        <f>Bull!H$45</f>
        <v>0.59530994258509617</v>
      </c>
      <c r="I259" s="60">
        <f>Bull!I$45</f>
        <v>0.63403994730658308</v>
      </c>
      <c r="J259" s="60">
        <f>Bull!J$45</f>
        <v>0.57450432836346521</v>
      </c>
      <c r="K259" s="60">
        <f>Bull!K$45</f>
        <v>0.58731845703474383</v>
      </c>
      <c r="L259" s="60">
        <f>Bull!L$45</f>
        <v>0.53180235990202129</v>
      </c>
      <c r="M259" s="60">
        <f>Bull!M$45</f>
        <v>0.57050150255199705</v>
      </c>
      <c r="N259" s="60">
        <f>Bull!N$45</f>
        <v>0.54579615962120553</v>
      </c>
      <c r="O259" s="60">
        <f>Bull!O$45</f>
        <v>0.57247405191441236</v>
      </c>
      <c r="P259" s="60">
        <f>Bull!P$45</f>
        <v>0.65230411397221089</v>
      </c>
      <c r="Q259" s="60">
        <f>Bull!Q$45</f>
        <v>0.63370450704957426</v>
      </c>
      <c r="R259" s="60">
        <f>Bull!R$45</f>
        <v>0.66021537311495726</v>
      </c>
      <c r="S259" s="60">
        <f>Bull!S$45</f>
        <v>0.67281326518478402</v>
      </c>
      <c r="T259" s="60">
        <f>Bull!T$45</f>
        <v>0.6448279233610108</v>
      </c>
      <c r="U259" s="60">
        <f>Bull!U$45</f>
        <v>0.61505222530622028</v>
      </c>
      <c r="V259" s="60">
        <f>Bull!V$45</f>
        <v>0.63060429655318917</v>
      </c>
      <c r="W259" s="60">
        <f>Bull!W$45</f>
        <v>0.68175774354927388</v>
      </c>
    </row>
    <row r="260" spans="1:23" s="1401" customFormat="1"/>
    <row r="261" spans="1:23" s="1401" customFormat="1">
      <c r="A261" s="674" t="s">
        <v>1586</v>
      </c>
      <c r="B261" s="675">
        <f>Financials!B$4</f>
        <v>2004</v>
      </c>
      <c r="C261" s="675">
        <f>Financials!C$4</f>
        <v>2005</v>
      </c>
      <c r="D261" s="675">
        <f>Financials!D$4</f>
        <v>2006</v>
      </c>
      <c r="E261" s="675">
        <f>Financials!E$4</f>
        <v>2007</v>
      </c>
      <c r="F261" s="675">
        <f>Financials!F$4</f>
        <v>2008</v>
      </c>
      <c r="G261" s="675">
        <f>Financials!G$4</f>
        <v>2009</v>
      </c>
      <c r="H261" s="675">
        <f>Financials!H$4</f>
        <v>2010</v>
      </c>
      <c r="I261" s="675">
        <f>Financials!I$4</f>
        <v>2011</v>
      </c>
      <c r="J261" s="675">
        <f>Financials!J$4</f>
        <v>2012</v>
      </c>
      <c r="K261" s="675">
        <f>Financials!K$4</f>
        <v>2013</v>
      </c>
      <c r="L261" s="675">
        <f>Financials!L$4</f>
        <v>2014</v>
      </c>
      <c r="M261" s="675">
        <f>Financials!M$4</f>
        <v>2015</v>
      </c>
      <c r="N261" s="675">
        <f>Financials!N$4</f>
        <v>2016</v>
      </c>
      <c r="O261" s="675">
        <f t="shared" ref="O261:W261" si="217">O$7</f>
        <v>2017</v>
      </c>
      <c r="P261" s="490" t="str">
        <f t="shared" si="217"/>
        <v>2018E</v>
      </c>
      <c r="Q261" s="490" t="str">
        <f t="shared" si="217"/>
        <v>2019E</v>
      </c>
      <c r="R261" s="490" t="str">
        <f t="shared" si="217"/>
        <v>2020E</v>
      </c>
      <c r="S261" s="490" t="str">
        <f t="shared" si="217"/>
        <v>2021E</v>
      </c>
      <c r="T261" s="490" t="str">
        <f t="shared" si="217"/>
        <v>2022E</v>
      </c>
      <c r="U261" s="490" t="str">
        <f t="shared" si="217"/>
        <v>2023E</v>
      </c>
      <c r="V261" s="490" t="str">
        <f t="shared" si="217"/>
        <v>2024E</v>
      </c>
      <c r="W261" s="490" t="str">
        <f t="shared" si="217"/>
        <v>2025E</v>
      </c>
    </row>
    <row r="262" spans="1:23" s="1401" customFormat="1">
      <c r="A262" s="1401" t="s">
        <v>79</v>
      </c>
      <c r="B262" s="514" t="e">
        <f>NA()</f>
        <v>#N/A</v>
      </c>
      <c r="C262" s="514" t="e">
        <f>NA()</f>
        <v>#N/A</v>
      </c>
      <c r="D262" s="514" t="e">
        <f>NA()</f>
        <v>#N/A</v>
      </c>
      <c r="E262" s="514" t="e">
        <f>NA()</f>
        <v>#N/A</v>
      </c>
      <c r="F262" s="514" t="e">
        <f>NA()</f>
        <v>#N/A</v>
      </c>
      <c r="G262" s="514" t="e">
        <f>NA()</f>
        <v>#N/A</v>
      </c>
      <c r="H262" s="60">
        <f>Bear!H$46</f>
        <v>0.44310283491253505</v>
      </c>
      <c r="I262" s="60">
        <f>Bear!I$46</f>
        <v>0.56270071157231194</v>
      </c>
      <c r="J262" s="60">
        <f>Bear!J$46</f>
        <v>0.43730176015205813</v>
      </c>
      <c r="K262" s="60">
        <f>Bear!K$46</f>
        <v>0.42883848500272803</v>
      </c>
      <c r="L262" s="60">
        <f>Bear!L$46</f>
        <v>0.485086187321149</v>
      </c>
      <c r="M262" s="60">
        <f>Bear!M$46</f>
        <v>0.49634008102213817</v>
      </c>
      <c r="N262" s="60">
        <f>Bear!N$46</f>
        <v>0.51901261617839356</v>
      </c>
      <c r="O262" s="60">
        <f>Bear!O$46</f>
        <v>0.49221674145213767</v>
      </c>
      <c r="P262" s="60">
        <f>Bear!P$46</f>
        <v>0.45179745481281891</v>
      </c>
      <c r="Q262" s="60">
        <f>Bear!Q$46</f>
        <v>0.4935459475828804</v>
      </c>
      <c r="R262" s="60">
        <f>Bear!R$46</f>
        <v>0.47968530065734849</v>
      </c>
      <c r="S262" s="60">
        <f>Bear!S$46</f>
        <v>0.44644174728489028</v>
      </c>
      <c r="T262" s="60">
        <f>Bear!T$46</f>
        <v>0.46346551307372225</v>
      </c>
      <c r="U262" s="60">
        <f>Bear!U$46</f>
        <v>0.49239354585817013</v>
      </c>
      <c r="V262" s="60">
        <f>Bear!V$46</f>
        <v>0.4725254224022285</v>
      </c>
      <c r="W262" s="60">
        <f>Bear!W$46</f>
        <v>0.5231004012229008</v>
      </c>
    </row>
    <row r="263" spans="1:23" s="1401" customFormat="1">
      <c r="A263" s="1401" t="s">
        <v>77</v>
      </c>
      <c r="B263" s="514" t="e">
        <f>NA()</f>
        <v>#N/A</v>
      </c>
      <c r="C263" s="514" t="e">
        <f>NA()</f>
        <v>#N/A</v>
      </c>
      <c r="D263" s="514" t="e">
        <f>NA()</f>
        <v>#N/A</v>
      </c>
      <c r="E263" s="514" t="e">
        <f>NA()</f>
        <v>#N/A</v>
      </c>
      <c r="F263" s="514" t="e">
        <f>NA()</f>
        <v>#N/A</v>
      </c>
      <c r="G263" s="514" t="e">
        <f>NA()</f>
        <v>#N/A</v>
      </c>
      <c r="H263" s="60">
        <f>Base!H$46</f>
        <v>0.44310283491253505</v>
      </c>
      <c r="I263" s="60">
        <f>Base!I$46</f>
        <v>0.56270071157231194</v>
      </c>
      <c r="J263" s="60">
        <f>Base!J$46</f>
        <v>0.43730176015205813</v>
      </c>
      <c r="K263" s="60">
        <f>Base!K$46</f>
        <v>0.42883848500272803</v>
      </c>
      <c r="L263" s="60">
        <f>Base!L$46</f>
        <v>0.485086187321149</v>
      </c>
      <c r="M263" s="60">
        <f>Base!M$46</f>
        <v>0.49634008102213817</v>
      </c>
      <c r="N263" s="60">
        <f>Base!N$46</f>
        <v>0.51901261617839356</v>
      </c>
      <c r="O263" s="60">
        <f>Base!O$46</f>
        <v>0.49221674145213767</v>
      </c>
      <c r="P263" s="60">
        <f>Base!P$46</f>
        <v>0.47907371147576061</v>
      </c>
      <c r="Q263" s="60">
        <f>Base!Q$46</f>
        <v>0.51798925907754279</v>
      </c>
      <c r="R263" s="60">
        <f>Base!R$46</f>
        <v>0.53143002841686016</v>
      </c>
      <c r="S263" s="60">
        <f>Base!S$46</f>
        <v>0.5010086840201301</v>
      </c>
      <c r="T263" s="60">
        <f>Base!T$46</f>
        <v>0.4881152423738484</v>
      </c>
      <c r="U263" s="60">
        <f>Base!U$46</f>
        <v>0.5203731216200681</v>
      </c>
      <c r="V263" s="60">
        <f>Base!V$46</f>
        <v>0.54519649678958049</v>
      </c>
      <c r="W263" s="60">
        <f>Base!W$46</f>
        <v>0.59093422521959482</v>
      </c>
    </row>
    <row r="264" spans="1:23" s="1401" customFormat="1">
      <c r="A264" s="1401" t="s">
        <v>78</v>
      </c>
      <c r="B264" s="514" t="e">
        <f>NA()</f>
        <v>#N/A</v>
      </c>
      <c r="C264" s="514" t="e">
        <f>NA()</f>
        <v>#N/A</v>
      </c>
      <c r="D264" s="514" t="e">
        <f>NA()</f>
        <v>#N/A</v>
      </c>
      <c r="E264" s="514" t="e">
        <f>NA()</f>
        <v>#N/A</v>
      </c>
      <c r="F264" s="514" t="e">
        <f>NA()</f>
        <v>#N/A</v>
      </c>
      <c r="G264" s="514" t="e">
        <f>NA()</f>
        <v>#N/A</v>
      </c>
      <c r="H264" s="60">
        <f>Bull!H$46</f>
        <v>0.44310283491253505</v>
      </c>
      <c r="I264" s="60">
        <f>Bull!I$46</f>
        <v>0.56270071157231194</v>
      </c>
      <c r="J264" s="60">
        <f>Bull!J$46</f>
        <v>0.43730176015205813</v>
      </c>
      <c r="K264" s="60">
        <f>Bull!K$46</f>
        <v>0.42883848500272803</v>
      </c>
      <c r="L264" s="60">
        <f>Bull!L$46</f>
        <v>0.485086187321149</v>
      </c>
      <c r="M264" s="60">
        <f>Bull!M$46</f>
        <v>0.49634008102213817</v>
      </c>
      <c r="N264" s="60">
        <f>Bull!N$46</f>
        <v>0.51901261617839356</v>
      </c>
      <c r="O264" s="60">
        <f>Bull!O$46</f>
        <v>0.49221674145213767</v>
      </c>
      <c r="P264" s="60">
        <f>Bull!P$46</f>
        <v>0.50675277476254965</v>
      </c>
      <c r="Q264" s="60">
        <f>Bull!Q$46</f>
        <v>0.5416895598062984</v>
      </c>
      <c r="R264" s="60">
        <f>Bull!R$46</f>
        <v>0.52906903081601531</v>
      </c>
      <c r="S264" s="60">
        <f>Bull!S$46</f>
        <v>0.52703738096630581</v>
      </c>
      <c r="T264" s="60">
        <f>Bull!T$46</f>
        <v>0.55407023467969696</v>
      </c>
      <c r="U264" s="60">
        <f>Bull!U$46</f>
        <v>0.58446978216718992</v>
      </c>
      <c r="V264" s="60">
        <f>Bull!V$46</f>
        <v>0.58146610365302087</v>
      </c>
      <c r="W264" s="60">
        <f>Bull!W$46</f>
        <v>0.62943827813593878</v>
      </c>
    </row>
    <row r="265" spans="1:23" s="1401" customFormat="1"/>
    <row r="266" spans="1:23" s="1401" customFormat="1">
      <c r="A266" s="674" t="s">
        <v>1587</v>
      </c>
      <c r="B266" s="675">
        <f>Financials!B$4</f>
        <v>2004</v>
      </c>
      <c r="C266" s="675">
        <f>Financials!C$4</f>
        <v>2005</v>
      </c>
      <c r="D266" s="675">
        <f>Financials!D$4</f>
        <v>2006</v>
      </c>
      <c r="E266" s="675">
        <f>Financials!E$4</f>
        <v>2007</v>
      </c>
      <c r="F266" s="675">
        <f>Financials!F$4</f>
        <v>2008</v>
      </c>
      <c r="G266" s="675">
        <f>Financials!G$4</f>
        <v>2009</v>
      </c>
      <c r="H266" s="675">
        <f>Financials!H$4</f>
        <v>2010</v>
      </c>
      <c r="I266" s="675">
        <f>Financials!I$4</f>
        <v>2011</v>
      </c>
      <c r="J266" s="675">
        <f>Financials!J$4</f>
        <v>2012</v>
      </c>
      <c r="K266" s="675">
        <f>Financials!K$4</f>
        <v>2013</v>
      </c>
      <c r="L266" s="675">
        <f>Financials!L$4</f>
        <v>2014</v>
      </c>
      <c r="M266" s="675">
        <f>Financials!M$4</f>
        <v>2015</v>
      </c>
      <c r="N266" s="675">
        <f>Financials!N$4</f>
        <v>2016</v>
      </c>
      <c r="O266" s="675">
        <f t="shared" ref="O266:W266" si="218">O$7</f>
        <v>2017</v>
      </c>
      <c r="P266" s="490" t="str">
        <f t="shared" si="218"/>
        <v>2018E</v>
      </c>
      <c r="Q266" s="490" t="str">
        <f t="shared" si="218"/>
        <v>2019E</v>
      </c>
      <c r="R266" s="490" t="str">
        <f t="shared" si="218"/>
        <v>2020E</v>
      </c>
      <c r="S266" s="490" t="str">
        <f t="shared" si="218"/>
        <v>2021E</v>
      </c>
      <c r="T266" s="490" t="str">
        <f t="shared" si="218"/>
        <v>2022E</v>
      </c>
      <c r="U266" s="490" t="str">
        <f t="shared" si="218"/>
        <v>2023E</v>
      </c>
      <c r="V266" s="490" t="str">
        <f t="shared" si="218"/>
        <v>2024E</v>
      </c>
      <c r="W266" s="490" t="str">
        <f t="shared" si="218"/>
        <v>2025E</v>
      </c>
    </row>
    <row r="267" spans="1:23" s="1401" customFormat="1">
      <c r="A267" s="1401" t="s">
        <v>79</v>
      </c>
      <c r="B267" s="514" t="e">
        <f>NA()</f>
        <v>#N/A</v>
      </c>
      <c r="C267" s="514" t="e">
        <f>NA()</f>
        <v>#N/A</v>
      </c>
      <c r="D267" s="514" t="e">
        <f>NA()</f>
        <v>#N/A</v>
      </c>
      <c r="E267" s="514" t="e">
        <f>NA()</f>
        <v>#N/A</v>
      </c>
      <c r="F267" s="514" t="e">
        <f>NA()</f>
        <v>#N/A</v>
      </c>
      <c r="G267" s="514" t="e">
        <f>NA()</f>
        <v>#N/A</v>
      </c>
      <c r="H267" s="60">
        <f>Bear!H$47</f>
        <v>0.8</v>
      </c>
      <c r="I267" s="60">
        <f>Bear!I$47</f>
        <v>0.8</v>
      </c>
      <c r="J267" s="60">
        <f>Bear!J$47</f>
        <v>0.8</v>
      </c>
      <c r="K267" s="60">
        <f>Bear!K$47</f>
        <v>0.8</v>
      </c>
      <c r="L267" s="60">
        <f>Bear!L$47</f>
        <v>0.8</v>
      </c>
      <c r="M267" s="60">
        <f>Bear!M$47</f>
        <v>0.8</v>
      </c>
      <c r="N267" s="60">
        <f>Bear!N$47</f>
        <v>0.8</v>
      </c>
      <c r="O267" s="60">
        <f>Bear!O$47</f>
        <v>0.8</v>
      </c>
      <c r="P267" s="60">
        <f>Bear!P$47</f>
        <v>0.5</v>
      </c>
      <c r="Q267" s="60">
        <f>Bear!Q$47</f>
        <v>0.5</v>
      </c>
      <c r="R267" s="60">
        <f>Bear!R$47</f>
        <v>0.5</v>
      </c>
      <c r="S267" s="60">
        <f>Bear!S$47</f>
        <v>0.5</v>
      </c>
      <c r="T267" s="60">
        <f>Bear!T$47</f>
        <v>0.5</v>
      </c>
      <c r="U267" s="60">
        <f>Bear!U$47</f>
        <v>0.5</v>
      </c>
      <c r="V267" s="60">
        <f>Bear!V$47</f>
        <v>0.5</v>
      </c>
      <c r="W267" s="60">
        <f>Bear!W$47</f>
        <v>0.5</v>
      </c>
    </row>
    <row r="268" spans="1:23" s="1401" customFormat="1">
      <c r="A268" s="1401" t="s">
        <v>77</v>
      </c>
      <c r="B268" s="514" t="e">
        <f>NA()</f>
        <v>#N/A</v>
      </c>
      <c r="C268" s="514" t="e">
        <f>NA()</f>
        <v>#N/A</v>
      </c>
      <c r="D268" s="514" t="e">
        <f>NA()</f>
        <v>#N/A</v>
      </c>
      <c r="E268" s="514" t="e">
        <f>NA()</f>
        <v>#N/A</v>
      </c>
      <c r="F268" s="514" t="e">
        <f>NA()</f>
        <v>#N/A</v>
      </c>
      <c r="G268" s="514" t="e">
        <f>NA()</f>
        <v>#N/A</v>
      </c>
      <c r="H268" s="60">
        <f>Base!H$47</f>
        <v>0.8</v>
      </c>
      <c r="I268" s="60">
        <f>Base!I$47</f>
        <v>0.8</v>
      </c>
      <c r="J268" s="60">
        <f>Base!J$47</f>
        <v>0.8</v>
      </c>
      <c r="K268" s="60">
        <f>Base!K$47</f>
        <v>0.8</v>
      </c>
      <c r="L268" s="60">
        <f>Base!L$47</f>
        <v>0.8</v>
      </c>
      <c r="M268" s="60">
        <f>Base!M$47</f>
        <v>0.8</v>
      </c>
      <c r="N268" s="60">
        <f>Base!N$47</f>
        <v>0.8</v>
      </c>
      <c r="O268" s="60">
        <f>Base!O$47</f>
        <v>0.8</v>
      </c>
      <c r="P268" s="60">
        <f>Base!P$47</f>
        <v>0.5</v>
      </c>
      <c r="Q268" s="60">
        <f>Base!Q$47</f>
        <v>0.5</v>
      </c>
      <c r="R268" s="60">
        <f>Base!R$47</f>
        <v>0.5</v>
      </c>
      <c r="S268" s="60">
        <f>Base!S$47</f>
        <v>0.5</v>
      </c>
      <c r="T268" s="60">
        <f>Base!T$47</f>
        <v>0.5</v>
      </c>
      <c r="U268" s="60">
        <f>Base!U$47</f>
        <v>0.5</v>
      </c>
      <c r="V268" s="60">
        <f>Base!V$47</f>
        <v>0.5</v>
      </c>
      <c r="W268" s="60">
        <f>Base!W$47</f>
        <v>0.5</v>
      </c>
    </row>
    <row r="269" spans="1:23" s="1401" customFormat="1">
      <c r="A269" s="1401" t="s">
        <v>78</v>
      </c>
      <c r="B269" s="514" t="e">
        <f>NA()</f>
        <v>#N/A</v>
      </c>
      <c r="C269" s="514" t="e">
        <f>NA()</f>
        <v>#N/A</v>
      </c>
      <c r="D269" s="514" t="e">
        <f>NA()</f>
        <v>#N/A</v>
      </c>
      <c r="E269" s="514" t="e">
        <f>NA()</f>
        <v>#N/A</v>
      </c>
      <c r="F269" s="514" t="e">
        <f>NA()</f>
        <v>#N/A</v>
      </c>
      <c r="G269" s="514" t="e">
        <f>NA()</f>
        <v>#N/A</v>
      </c>
      <c r="H269" s="60">
        <f>Bull!H$47</f>
        <v>0.8</v>
      </c>
      <c r="I269" s="60">
        <f>Bull!I$47</f>
        <v>0.8</v>
      </c>
      <c r="J269" s="60">
        <f>Bull!J$47</f>
        <v>0.8</v>
      </c>
      <c r="K269" s="60">
        <f>Bull!K$47</f>
        <v>0.8</v>
      </c>
      <c r="L269" s="60">
        <f>Bull!L$47</f>
        <v>0.8</v>
      </c>
      <c r="M269" s="60">
        <f>Bull!M$47</f>
        <v>0.8</v>
      </c>
      <c r="N269" s="60">
        <f>Bull!N$47</f>
        <v>0.8</v>
      </c>
      <c r="O269" s="60">
        <f>Bull!O$47</f>
        <v>0.8</v>
      </c>
      <c r="P269" s="60">
        <f>Bull!P$47</f>
        <v>0.5</v>
      </c>
      <c r="Q269" s="60">
        <f>Bull!Q$47</f>
        <v>0.5</v>
      </c>
      <c r="R269" s="60">
        <f>Bull!R$47</f>
        <v>0.5</v>
      </c>
      <c r="S269" s="60">
        <f>Bull!S$47</f>
        <v>0.5</v>
      </c>
      <c r="T269" s="60">
        <f>Bull!T$47</f>
        <v>0.5</v>
      </c>
      <c r="U269" s="60">
        <f>Bull!U$47</f>
        <v>0.5</v>
      </c>
      <c r="V269" s="60">
        <f>Bull!V$47</f>
        <v>0.5</v>
      </c>
      <c r="W269" s="60">
        <f>Bull!W$47</f>
        <v>0.5</v>
      </c>
    </row>
    <row r="270" spans="1:23" s="1401" customFormat="1"/>
    <row r="271" spans="1:23" s="1401" customFormat="1">
      <c r="A271" s="674" t="s">
        <v>1588</v>
      </c>
      <c r="B271" s="675">
        <f>Financials!B$4</f>
        <v>2004</v>
      </c>
      <c r="C271" s="675">
        <f>Financials!C$4</f>
        <v>2005</v>
      </c>
      <c r="D271" s="675">
        <f>Financials!D$4</f>
        <v>2006</v>
      </c>
      <c r="E271" s="675">
        <f>Financials!E$4</f>
        <v>2007</v>
      </c>
      <c r="F271" s="675">
        <f>Financials!F$4</f>
        <v>2008</v>
      </c>
      <c r="G271" s="675">
        <f>Financials!G$4</f>
        <v>2009</v>
      </c>
      <c r="H271" s="675">
        <f>Financials!H$4</f>
        <v>2010</v>
      </c>
      <c r="I271" s="675">
        <f>Financials!I$4</f>
        <v>2011</v>
      </c>
      <c r="J271" s="675">
        <f>Financials!J$4</f>
        <v>2012</v>
      </c>
      <c r="K271" s="675">
        <f>Financials!K$4</f>
        <v>2013</v>
      </c>
      <c r="L271" s="675">
        <f>Financials!L$4</f>
        <v>2014</v>
      </c>
      <c r="M271" s="675">
        <f>Financials!M$4</f>
        <v>2015</v>
      </c>
      <c r="N271" s="675">
        <f>Financials!N$4</f>
        <v>2016</v>
      </c>
      <c r="O271" s="675">
        <f t="shared" ref="O271:W271" si="219">O$7</f>
        <v>2017</v>
      </c>
      <c r="P271" s="490" t="str">
        <f t="shared" si="219"/>
        <v>2018E</v>
      </c>
      <c r="Q271" s="490" t="str">
        <f t="shared" si="219"/>
        <v>2019E</v>
      </c>
      <c r="R271" s="490" t="str">
        <f t="shared" si="219"/>
        <v>2020E</v>
      </c>
      <c r="S271" s="490" t="str">
        <f t="shared" si="219"/>
        <v>2021E</v>
      </c>
      <c r="T271" s="490" t="str">
        <f t="shared" si="219"/>
        <v>2022E</v>
      </c>
      <c r="U271" s="490" t="str">
        <f t="shared" si="219"/>
        <v>2023E</v>
      </c>
      <c r="V271" s="490" t="str">
        <f t="shared" si="219"/>
        <v>2024E</v>
      </c>
      <c r="W271" s="490" t="str">
        <f t="shared" si="219"/>
        <v>2025E</v>
      </c>
    </row>
    <row r="272" spans="1:23" s="1401" customFormat="1">
      <c r="A272" s="1401" t="s">
        <v>79</v>
      </c>
      <c r="B272" s="514" t="e">
        <f>NA()</f>
        <v>#N/A</v>
      </c>
      <c r="C272" s="514" t="e">
        <f>NA()</f>
        <v>#N/A</v>
      </c>
      <c r="D272" s="514" t="e">
        <f>NA()</f>
        <v>#N/A</v>
      </c>
      <c r="E272" s="514" t="e">
        <f>NA()</f>
        <v>#N/A</v>
      </c>
      <c r="F272" s="514" t="e">
        <f>NA()</f>
        <v>#N/A</v>
      </c>
      <c r="G272" s="514" t="e">
        <f>NA()</f>
        <v>#N/A</v>
      </c>
      <c r="H272" s="60">
        <f>Bear!H$48</f>
        <v>2.7263404597906793</v>
      </c>
      <c r="I272" s="60">
        <f>Bear!I$48</f>
        <v>2.5795225685395571</v>
      </c>
      <c r="J272" s="60">
        <f>Bear!J$48</f>
        <v>1.3380898876404479</v>
      </c>
      <c r="K272" s="60">
        <f>Bear!K$48</f>
        <v>1.712567593157571</v>
      </c>
      <c r="L272" s="60">
        <f>Bear!L$48</f>
        <v>1.7736414785271699</v>
      </c>
      <c r="M272" s="60">
        <f>Bear!M$48</f>
        <v>1.3827237265291275</v>
      </c>
      <c r="N272" s="60">
        <f>Bear!N$48</f>
        <v>1.0317335807137262</v>
      </c>
      <c r="O272" s="60">
        <f>Bear!O$48</f>
        <v>1.8472565473994829</v>
      </c>
      <c r="P272" s="60">
        <f>Bear!P$48</f>
        <v>1.4502461678757324</v>
      </c>
      <c r="Q272" s="60">
        <f>Bear!Q$48</f>
        <v>1.168344245665806</v>
      </c>
      <c r="R272" s="60">
        <f>Bear!R$48</f>
        <v>1.168344245665806</v>
      </c>
      <c r="S272" s="60">
        <f>Bear!S$48</f>
        <v>1.168344245665806</v>
      </c>
      <c r="T272" s="60">
        <f>Bear!T$48</f>
        <v>1.168344245665806</v>
      </c>
      <c r="U272" s="60">
        <f>Bear!U$48</f>
        <v>1.168344245665806</v>
      </c>
      <c r="V272" s="60">
        <f>Bear!V$48</f>
        <v>1.168344245665806</v>
      </c>
      <c r="W272" s="60">
        <f>Bear!W$48</f>
        <v>1.168344245665806</v>
      </c>
    </row>
    <row r="273" spans="1:23" s="1401" customFormat="1">
      <c r="A273" s="1401" t="s">
        <v>77</v>
      </c>
      <c r="B273" s="514" t="e">
        <f>NA()</f>
        <v>#N/A</v>
      </c>
      <c r="C273" s="514" t="e">
        <f>NA()</f>
        <v>#N/A</v>
      </c>
      <c r="D273" s="514" t="e">
        <f>NA()</f>
        <v>#N/A</v>
      </c>
      <c r="E273" s="514" t="e">
        <f>NA()</f>
        <v>#N/A</v>
      </c>
      <c r="F273" s="514" t="e">
        <f>NA()</f>
        <v>#N/A</v>
      </c>
      <c r="G273" s="514" t="e">
        <f>NA()</f>
        <v>#N/A</v>
      </c>
      <c r="H273" s="60">
        <f>Base!H$48</f>
        <v>2.7263404597906793</v>
      </c>
      <c r="I273" s="60">
        <f>Base!I$48</f>
        <v>2.5795225685395571</v>
      </c>
      <c r="J273" s="60">
        <f>Base!J$48</f>
        <v>1.3380898876404479</v>
      </c>
      <c r="K273" s="60">
        <f>Base!K$48</f>
        <v>1.712567593157571</v>
      </c>
      <c r="L273" s="60">
        <f>Base!L$48</f>
        <v>1.7736414785271699</v>
      </c>
      <c r="M273" s="60">
        <f>Base!M$48</f>
        <v>1.3827237265291275</v>
      </c>
      <c r="N273" s="60">
        <f>Base!N$48</f>
        <v>1.0317335807137262</v>
      </c>
      <c r="O273" s="60">
        <f>Base!O$48</f>
        <v>1.8472565473994829</v>
      </c>
      <c r="P273" s="60">
        <f>Base!P$48</f>
        <v>1.4451206783810064</v>
      </c>
      <c r="Q273" s="60">
        <f>Base!Q$48</f>
        <v>1.168344245665806</v>
      </c>
      <c r="R273" s="60">
        <f>Base!R$48</f>
        <v>1.168344245665806</v>
      </c>
      <c r="S273" s="60">
        <f>Base!S$48</f>
        <v>1.168344245665806</v>
      </c>
      <c r="T273" s="60">
        <f>Base!T$48</f>
        <v>1.168344245665806</v>
      </c>
      <c r="U273" s="60">
        <f>Base!U$48</f>
        <v>1.168344245665806</v>
      </c>
      <c r="V273" s="60">
        <f>Base!V$48</f>
        <v>1.168344245665806</v>
      </c>
      <c r="W273" s="60">
        <f>Base!W$48</f>
        <v>1.168344245665806</v>
      </c>
    </row>
    <row r="274" spans="1:23" s="1401" customFormat="1">
      <c r="A274" s="1401" t="s">
        <v>78</v>
      </c>
      <c r="B274" s="514" t="e">
        <f>NA()</f>
        <v>#N/A</v>
      </c>
      <c r="C274" s="514" t="e">
        <f>NA()</f>
        <v>#N/A</v>
      </c>
      <c r="D274" s="514" t="e">
        <f>NA()</f>
        <v>#N/A</v>
      </c>
      <c r="E274" s="514" t="e">
        <f>NA()</f>
        <v>#N/A</v>
      </c>
      <c r="F274" s="514" t="e">
        <f>NA()</f>
        <v>#N/A</v>
      </c>
      <c r="G274" s="514" t="e">
        <f>NA()</f>
        <v>#N/A</v>
      </c>
      <c r="H274" s="60">
        <f>Bull!H$48</f>
        <v>2.7263404597906793</v>
      </c>
      <c r="I274" s="60">
        <f>Bull!I$48</f>
        <v>2.5795225685395571</v>
      </c>
      <c r="J274" s="60">
        <f>Bull!J$48</f>
        <v>1.3380898876404479</v>
      </c>
      <c r="K274" s="60">
        <f>Bull!K$48</f>
        <v>1.712567593157571</v>
      </c>
      <c r="L274" s="60">
        <f>Bull!L$48</f>
        <v>1.7736414785271699</v>
      </c>
      <c r="M274" s="60">
        <f>Bull!M$48</f>
        <v>1.3827237265291275</v>
      </c>
      <c r="N274" s="60">
        <f>Bull!N$48</f>
        <v>1.0317335807137262</v>
      </c>
      <c r="O274" s="60">
        <f>Bull!O$48</f>
        <v>1.8472565473994829</v>
      </c>
      <c r="P274" s="60">
        <f>Bull!P$48</f>
        <v>1.437059228884447</v>
      </c>
      <c r="Q274" s="60">
        <f>Bull!Q$48</f>
        <v>1.168344245665806</v>
      </c>
      <c r="R274" s="60">
        <f>Bull!R$48</f>
        <v>1.168344245665806</v>
      </c>
      <c r="S274" s="60">
        <f>Bull!S$48</f>
        <v>1.168344245665806</v>
      </c>
      <c r="T274" s="60">
        <f>Bull!T$48</f>
        <v>1.168344245665806</v>
      </c>
      <c r="U274" s="60">
        <f>Bull!U$48</f>
        <v>1.168344245665806</v>
      </c>
      <c r="V274" s="60">
        <f>Bull!V$48</f>
        <v>1.168344245665806</v>
      </c>
      <c r="W274" s="60">
        <f>Bull!W$48</f>
        <v>1.168344245665806</v>
      </c>
    </row>
    <row r="275" spans="1:23" s="1401" customFormat="1"/>
    <row r="276" spans="1:23" s="1401" customFormat="1">
      <c r="A276" s="674" t="s">
        <v>1591</v>
      </c>
      <c r="B276" s="675">
        <f>Financials!B$4</f>
        <v>2004</v>
      </c>
      <c r="C276" s="675">
        <f>Financials!C$4</f>
        <v>2005</v>
      </c>
      <c r="D276" s="675">
        <f>Financials!D$4</f>
        <v>2006</v>
      </c>
      <c r="E276" s="675">
        <f>Financials!E$4</f>
        <v>2007</v>
      </c>
      <c r="F276" s="675">
        <f>Financials!F$4</f>
        <v>2008</v>
      </c>
      <c r="G276" s="675">
        <f>Financials!G$4</f>
        <v>2009</v>
      </c>
      <c r="H276" s="675">
        <f>Financials!H$4</f>
        <v>2010</v>
      </c>
      <c r="I276" s="675">
        <f>Financials!I$4</f>
        <v>2011</v>
      </c>
      <c r="J276" s="675">
        <f>Financials!J$4</f>
        <v>2012</v>
      </c>
      <c r="K276" s="675">
        <f>Financials!K$4</f>
        <v>2013</v>
      </c>
      <c r="L276" s="675">
        <f>Financials!L$4</f>
        <v>2014</v>
      </c>
      <c r="M276" s="675">
        <f>Financials!M$4</f>
        <v>2015</v>
      </c>
      <c r="N276" s="675">
        <f>Financials!N$4</f>
        <v>2016</v>
      </c>
      <c r="O276" s="675">
        <f t="shared" ref="O276:W276" si="220">O$7</f>
        <v>2017</v>
      </c>
      <c r="P276" s="490" t="str">
        <f t="shared" si="220"/>
        <v>2018E</v>
      </c>
      <c r="Q276" s="490" t="str">
        <f t="shared" si="220"/>
        <v>2019E</v>
      </c>
      <c r="R276" s="490" t="str">
        <f t="shared" si="220"/>
        <v>2020E</v>
      </c>
      <c r="S276" s="490" t="str">
        <f t="shared" si="220"/>
        <v>2021E</v>
      </c>
      <c r="T276" s="490" t="str">
        <f t="shared" si="220"/>
        <v>2022E</v>
      </c>
      <c r="U276" s="490" t="str">
        <f t="shared" si="220"/>
        <v>2023E</v>
      </c>
      <c r="V276" s="490" t="str">
        <f t="shared" si="220"/>
        <v>2024E</v>
      </c>
      <c r="W276" s="490" t="str">
        <f t="shared" si="220"/>
        <v>2025E</v>
      </c>
    </row>
    <row r="277" spans="1:23" s="1401" customFormat="1">
      <c r="A277" s="1401" t="s">
        <v>79</v>
      </c>
      <c r="B277" s="60">
        <f>-Bear!B$50/Bear!B$36</f>
        <v>0.25154440154440155</v>
      </c>
      <c r="C277" s="60">
        <f>-Bear!C$50/Bear!C$36</f>
        <v>0.20024683739586552</v>
      </c>
      <c r="D277" s="60">
        <f>-Bear!D$50/Bear!D$36</f>
        <v>0.13367334057736052</v>
      </c>
      <c r="E277" s="60">
        <f>-Bear!E$50/Bear!E$36</f>
        <v>0.15699357681507303</v>
      </c>
      <c r="F277" s="60">
        <f>-Bear!F$50/Bear!F$36</f>
        <v>0.18787653350551639</v>
      </c>
      <c r="G277" s="60">
        <f>-Bear!G$50/Bear!G$36</f>
        <v>0.17451897686466275</v>
      </c>
      <c r="H277" s="60">
        <f>-Bear!H$50/Bear!H$36</f>
        <v>0.13047648666510042</v>
      </c>
      <c r="I277" s="60">
        <f>-Bear!I$50/Bear!I$36</f>
        <v>0.12302900014517062</v>
      </c>
      <c r="J277" s="60">
        <f>-Bear!J$50/Bear!J$36</f>
        <v>0.1258816816509265</v>
      </c>
      <c r="K277" s="60">
        <f>-Bear!K$50/Bear!K$36</f>
        <v>0.12226925557243322</v>
      </c>
      <c r="L277" s="60">
        <f>-Bear!L$50/Bear!L$36</f>
        <v>0.11582906034924355</v>
      </c>
      <c r="M277" s="60">
        <f>-Bear!M$50/Bear!M$36</f>
        <v>0.11091055160887715</v>
      </c>
      <c r="N277" s="60">
        <f>-Bear!N$50/Bear!N$36</f>
        <v>9.7209812057656816E-2</v>
      </c>
      <c r="O277" s="60">
        <f>-Bear!O$50/Bear!O$36</f>
        <v>9.0266284189655127E-2</v>
      </c>
      <c r="P277" s="60">
        <f>-Bear!P$50/Bear!P$36</f>
        <v>8.6625133579375596E-2</v>
      </c>
      <c r="Q277" s="60">
        <f>-Bear!Q$50/Bear!Q$36</f>
        <v>9.6411051514776414E-2</v>
      </c>
      <c r="R277" s="60">
        <f>-Bear!R$50/Bear!R$36</f>
        <v>8.7255081311423857E-2</v>
      </c>
      <c r="S277" s="60">
        <f>-Bear!S$50/Bear!S$36</f>
        <v>8.0636040439683726E-2</v>
      </c>
      <c r="T277" s="60">
        <f>-Bear!T$50/Bear!T$36</f>
        <v>8.6564614299349085E-2</v>
      </c>
      <c r="U277" s="60">
        <f>-Bear!U$50/Bear!U$36</f>
        <v>9.5145736074098777E-2</v>
      </c>
      <c r="V277" s="60">
        <f>-Bear!V$50/Bear!V$36</f>
        <v>9.3733540890546155E-2</v>
      </c>
      <c r="W277" s="60">
        <f>-Bear!W$50/Bear!W$36</f>
        <v>9.2571389795007883E-2</v>
      </c>
    </row>
    <row r="278" spans="1:23" s="1401" customFormat="1">
      <c r="A278" s="1401" t="s">
        <v>77</v>
      </c>
      <c r="B278" s="60">
        <f>-Base!B$50/Base!B$36</f>
        <v>0.25154440154440155</v>
      </c>
      <c r="C278" s="60">
        <f>-Base!C$50/Base!C$36</f>
        <v>0.20024683739586552</v>
      </c>
      <c r="D278" s="60">
        <f>-Base!D$50/Base!D$36</f>
        <v>0.13367334057736052</v>
      </c>
      <c r="E278" s="60">
        <f>-Base!E$50/Base!E$36</f>
        <v>0.15699357681507303</v>
      </c>
      <c r="F278" s="60">
        <f>-Base!F$50/Base!F$36</f>
        <v>0.18787653350551639</v>
      </c>
      <c r="G278" s="60">
        <f>-Base!G$50/Base!G$36</f>
        <v>0.17451897686466275</v>
      </c>
      <c r="H278" s="60">
        <f>-Base!H$50/Base!H$36</f>
        <v>0.13047648666510042</v>
      </c>
      <c r="I278" s="60">
        <f>-Base!I$50/Base!I$36</f>
        <v>0.12302900014517062</v>
      </c>
      <c r="J278" s="60">
        <f>-Base!J$50/Base!J$36</f>
        <v>0.1258816816509265</v>
      </c>
      <c r="K278" s="60">
        <f>-Base!K$50/Base!K$36</f>
        <v>0.12226925557243322</v>
      </c>
      <c r="L278" s="60">
        <f>-Base!L$50/Base!L$36</f>
        <v>0.11582906034924355</v>
      </c>
      <c r="M278" s="60">
        <f>-Base!M$50/Base!M$36</f>
        <v>0.11091055160887715</v>
      </c>
      <c r="N278" s="60">
        <f>-Base!N$50/Base!N$36</f>
        <v>9.7209812057656816E-2</v>
      </c>
      <c r="O278" s="60">
        <f>-Base!O$50/Base!O$36</f>
        <v>9.0266284189655127E-2</v>
      </c>
      <c r="P278" s="60">
        <f>-Base!P$50/Base!P$36</f>
        <v>7.9450430348279727E-2</v>
      </c>
      <c r="Q278" s="60">
        <f>-Base!Q$50/Base!Q$36</f>
        <v>8.1954043182386763E-2</v>
      </c>
      <c r="R278" s="60">
        <f>-Base!R$50/Base!R$36</f>
        <v>7.9993694324694262E-2</v>
      </c>
      <c r="S278" s="60">
        <f>-Base!S$50/Base!S$36</f>
        <v>7.3562412640739108E-2</v>
      </c>
      <c r="T278" s="60">
        <f>-Base!T$50/Base!T$36</f>
        <v>7.2402053852102355E-2</v>
      </c>
      <c r="U278" s="60">
        <f>-Base!U$50/Base!U$36</f>
        <v>8.013614578365405E-2</v>
      </c>
      <c r="V278" s="60">
        <f>-Base!V$50/Base!V$36</f>
        <v>8.6629259337431888E-2</v>
      </c>
      <c r="W278" s="60">
        <f>-Base!W$50/Base!W$36</f>
        <v>8.1540290484610409E-2</v>
      </c>
    </row>
    <row r="279" spans="1:23" s="1401" customFormat="1">
      <c r="A279" s="1401" t="s">
        <v>78</v>
      </c>
      <c r="B279" s="60">
        <f>-Bull!B$50/Bull!B$36</f>
        <v>0.25154440154440155</v>
      </c>
      <c r="C279" s="60">
        <f>-Bull!C$50/Bull!C$36</f>
        <v>0.20024683739586552</v>
      </c>
      <c r="D279" s="60">
        <f>-Bull!D$50/Bull!D$36</f>
        <v>0.13367334057736052</v>
      </c>
      <c r="E279" s="60">
        <f>-Bull!E$50/Bull!E$36</f>
        <v>0.15699357681507303</v>
      </c>
      <c r="F279" s="60">
        <f>-Bull!F$50/Bull!F$36</f>
        <v>0.18787653350551639</v>
      </c>
      <c r="G279" s="60">
        <f>-Bull!G$50/Bull!G$36</f>
        <v>0.17451897686466275</v>
      </c>
      <c r="H279" s="60">
        <f>-Bull!H$50/Bull!H$36</f>
        <v>0.13047648666510042</v>
      </c>
      <c r="I279" s="60">
        <f>-Bull!I$50/Bull!I$36</f>
        <v>0.12302900014517062</v>
      </c>
      <c r="J279" s="60">
        <f>-Bull!J$50/Bull!J$36</f>
        <v>0.1258816816509265</v>
      </c>
      <c r="K279" s="60">
        <f>-Bull!K$50/Bull!K$36</f>
        <v>0.12226925557243322</v>
      </c>
      <c r="L279" s="60">
        <f>-Bull!L$50/Bull!L$36</f>
        <v>0.11582906034924355</v>
      </c>
      <c r="M279" s="60">
        <f>-Bull!M$50/Bull!M$36</f>
        <v>0.11091055160887715</v>
      </c>
      <c r="N279" s="60">
        <f>-Bull!N$50/Bull!N$36</f>
        <v>9.7209812057656816E-2</v>
      </c>
      <c r="O279" s="60">
        <f>-Bull!O$50/Bull!O$36</f>
        <v>9.0266284189655127E-2</v>
      </c>
      <c r="P279" s="60">
        <f>-Bull!P$50/Bull!P$36</f>
        <v>7.2919317937779032E-2</v>
      </c>
      <c r="Q279" s="60">
        <f>-Bull!Q$50/Bull!Q$36</f>
        <v>7.1986869151626151E-2</v>
      </c>
      <c r="R279" s="60">
        <f>-Bull!R$50/Bull!R$36</f>
        <v>6.7093949944741091E-2</v>
      </c>
      <c r="S279" s="60">
        <f>-Bull!S$50/Bull!S$36</f>
        <v>6.4423782011486422E-2</v>
      </c>
      <c r="T279" s="60">
        <f>-Bull!T$50/Bull!T$36</f>
        <v>6.8938335778940416E-2</v>
      </c>
      <c r="U279" s="60">
        <f>-Bull!U$50/Bull!U$36</f>
        <v>7.3745242680308576E-2</v>
      </c>
      <c r="V279" s="60">
        <f>-Bull!V$50/Bull!V$36</f>
        <v>7.1826802535265688E-2</v>
      </c>
      <c r="W279" s="60">
        <f>-Bull!W$50/Bull!W$36</f>
        <v>6.8042663666980294E-2</v>
      </c>
    </row>
    <row r="280" spans="1:23" s="1401" customFormat="1"/>
    <row r="281" spans="1:23" s="1401" customFormat="1">
      <c r="A281" s="674" t="s">
        <v>1597</v>
      </c>
      <c r="B281" s="675">
        <f>Financials!B$4</f>
        <v>2004</v>
      </c>
      <c r="C281" s="675">
        <f>Financials!C$4</f>
        <v>2005</v>
      </c>
      <c r="D281" s="675">
        <f>Financials!D$4</f>
        <v>2006</v>
      </c>
      <c r="E281" s="675">
        <f>Financials!E$4</f>
        <v>2007</v>
      </c>
      <c r="F281" s="675">
        <f>Financials!F$4</f>
        <v>2008</v>
      </c>
      <c r="G281" s="675">
        <f>Financials!G$4</f>
        <v>2009</v>
      </c>
      <c r="H281" s="675">
        <f>Financials!H$4</f>
        <v>2010</v>
      </c>
      <c r="I281" s="675">
        <f>Financials!I$4</f>
        <v>2011</v>
      </c>
      <c r="J281" s="675">
        <f>Financials!J$4</f>
        <v>2012</v>
      </c>
      <c r="K281" s="675">
        <f>Financials!K$4</f>
        <v>2013</v>
      </c>
      <c r="L281" s="675">
        <f>Financials!L$4</f>
        <v>2014</v>
      </c>
      <c r="M281" s="675">
        <f>Financials!M$4</f>
        <v>2015</v>
      </c>
      <c r="N281" s="675">
        <f>Financials!N$4</f>
        <v>2016</v>
      </c>
      <c r="O281" s="675">
        <f t="shared" ref="O281:W281" si="221">O$7</f>
        <v>2017</v>
      </c>
      <c r="P281" s="490" t="str">
        <f t="shared" si="221"/>
        <v>2018E</v>
      </c>
      <c r="Q281" s="490" t="str">
        <f t="shared" si="221"/>
        <v>2019E</v>
      </c>
      <c r="R281" s="490" t="str">
        <f t="shared" si="221"/>
        <v>2020E</v>
      </c>
      <c r="S281" s="490" t="str">
        <f t="shared" si="221"/>
        <v>2021E</v>
      </c>
      <c r="T281" s="490" t="str">
        <f t="shared" si="221"/>
        <v>2022E</v>
      </c>
      <c r="U281" s="490" t="str">
        <f t="shared" si="221"/>
        <v>2023E</v>
      </c>
      <c r="V281" s="490" t="str">
        <f t="shared" si="221"/>
        <v>2024E</v>
      </c>
      <c r="W281" s="490" t="str">
        <f t="shared" si="221"/>
        <v>2025E</v>
      </c>
    </row>
    <row r="282" spans="1:23" s="1401" customFormat="1">
      <c r="A282" s="1552" t="s">
        <v>54</v>
      </c>
      <c r="I282" s="2255">
        <f>+Financials!I56</f>
        <v>355.96600000000001</v>
      </c>
      <c r="J282" s="2255">
        <f>+Financials!J56</f>
        <v>342.75</v>
      </c>
      <c r="K282" s="2255">
        <f>+Financials!K56</f>
        <v>439.67700000000002</v>
      </c>
      <c r="L282" s="2255">
        <f>+Financials!L56</f>
        <v>351.82900000000001</v>
      </c>
      <c r="M282" s="2255">
        <f>+Financials!M56</f>
        <v>480.26499999999999</v>
      </c>
      <c r="N282" s="2255">
        <f>+Financials!N56</f>
        <v>520.21900000000005</v>
      </c>
      <c r="O282" s="2255">
        <f>+Financials!O56</f>
        <v>782.11199999999997</v>
      </c>
      <c r="P282" s="2255">
        <f>+Financials!P56</f>
        <v>1085.4211436269286</v>
      </c>
      <c r="Q282" s="2255">
        <f>+Financials!Q56</f>
        <v>833.77523229599399</v>
      </c>
      <c r="R282" s="2255">
        <f>+Financials!R56</f>
        <v>880.80750104456365</v>
      </c>
      <c r="S282" s="2255">
        <f>+Financials!S56</f>
        <v>1202.1634743468278</v>
      </c>
      <c r="T282" s="2255">
        <f>+Financials!T56</f>
        <v>1329.7069063477907</v>
      </c>
      <c r="U282" s="2255">
        <f>+Financials!U56</f>
        <v>967.57021915772054</v>
      </c>
      <c r="V282" s="2255">
        <f>+Financials!V56</f>
        <v>710.3551910304684</v>
      </c>
      <c r="W282" s="2255">
        <f>+Financials!W56</f>
        <v>1035.0907974979129</v>
      </c>
    </row>
    <row r="283" spans="1:23" s="1401" customFormat="1">
      <c r="A283" s="1552" t="s">
        <v>42</v>
      </c>
      <c r="I283" s="2255">
        <f>+Financials!I57</f>
        <v>239.49799999999999</v>
      </c>
      <c r="J283" s="2255">
        <f>+Financials!J57</f>
        <v>171.54599999999999</v>
      </c>
      <c r="K283" s="2255">
        <f>+Financials!K57</f>
        <v>176.023</v>
      </c>
      <c r="L283" s="2255">
        <f>+Financials!L57</f>
        <v>325.45699999999999</v>
      </c>
      <c r="M283" s="2255">
        <f>+Financials!M57</f>
        <v>395.53</v>
      </c>
      <c r="N283" s="2255">
        <f>+Financials!N57</f>
        <v>613.322</v>
      </c>
      <c r="O283" s="2255">
        <f>+Financials!O57</f>
        <v>534.37699999999995</v>
      </c>
      <c r="P283" s="2255">
        <f>+Financials!P57</f>
        <v>630.89793856831238</v>
      </c>
      <c r="Q283" s="2255">
        <f>+Financials!Q57</f>
        <v>807.57610876893693</v>
      </c>
      <c r="R283" s="2255">
        <f>+Financials!R57</f>
        <v>915.46799225878112</v>
      </c>
      <c r="S283" s="2255">
        <f>+Financials!S57</f>
        <v>923.5880265590099</v>
      </c>
      <c r="T283" s="2255">
        <f>+Financials!T57</f>
        <v>939.94016750781043</v>
      </c>
      <c r="U283" s="2255">
        <f>+Financials!U57</f>
        <v>1056.5536977431084</v>
      </c>
      <c r="V283" s="2255">
        <f>+Financials!V57</f>
        <v>1164.7450409830858</v>
      </c>
      <c r="W283" s="2255">
        <f>+Financials!W57</f>
        <v>1393.3722617919086</v>
      </c>
    </row>
    <row r="284" spans="1:23" s="1401" customFormat="1">
      <c r="A284" s="1552" t="s">
        <v>1052</v>
      </c>
      <c r="I284" s="2255" t="str">
        <f>+Financials!I58</f>
        <v>NA</v>
      </c>
      <c r="J284" s="2255" t="str">
        <f>+Financials!J58</f>
        <v>NA</v>
      </c>
      <c r="K284" s="2255">
        <f>+Financials!K58</f>
        <v>26.98</v>
      </c>
      <c r="L284" s="2255">
        <f>+Financials!L58</f>
        <v>65.593000000000004</v>
      </c>
      <c r="M284" s="2255">
        <f>+Financials!M58</f>
        <v>174.95099999999999</v>
      </c>
      <c r="N284" s="2255">
        <f>+Financials!N58</f>
        <v>123.425</v>
      </c>
      <c r="O284" s="2255">
        <f>+Financials!O58</f>
        <v>84.957999999999998</v>
      </c>
      <c r="P284" s="2255">
        <f>+Financials!P58</f>
        <v>118.29242754512381</v>
      </c>
      <c r="Q284" s="2255">
        <f>+Financials!Q58</f>
        <v>117.11057767864212</v>
      </c>
      <c r="R284" s="2255">
        <f>+Financials!R58</f>
        <v>123.21805546592871</v>
      </c>
      <c r="S284" s="2255">
        <f>+Financials!S58</f>
        <v>129.63990531769946</v>
      </c>
      <c r="T284" s="2255">
        <f>+Financials!T58</f>
        <v>136.39339793697121</v>
      </c>
      <c r="U284" s="2255">
        <f>+Financials!U58</f>
        <v>143.49671522430944</v>
      </c>
      <c r="V284" s="2255">
        <f>+Financials!V58</f>
        <v>150.96899702713156</v>
      </c>
      <c r="W284" s="2255">
        <f>+Financials!W58</f>
        <v>158.83039023887028</v>
      </c>
    </row>
    <row r="285" spans="1:23" s="1401" customFormat="1">
      <c r="A285" s="1552" t="s">
        <v>222</v>
      </c>
      <c r="I285" s="2255" t="str">
        <f>+Financials!I59</f>
        <v>NA</v>
      </c>
      <c r="J285" s="2255" t="str">
        <f>+Financials!J59</f>
        <v>NA</v>
      </c>
      <c r="K285" s="2255">
        <f>+Financials!K59</f>
        <v>7.4219999999999997</v>
      </c>
      <c r="L285" s="2255">
        <f>+Financials!L59</f>
        <v>23.722000000000001</v>
      </c>
      <c r="M285" s="2255">
        <f>+Financials!M59</f>
        <v>40.847000000000001</v>
      </c>
      <c r="N285" s="2255">
        <f>+Financials!N59</f>
        <v>44.274000000000001</v>
      </c>
      <c r="O285" s="2255">
        <f>+Financials!O59</f>
        <v>43.637</v>
      </c>
      <c r="P285" s="2255">
        <f>+Financials!P59</f>
        <v>-74.899456936901544</v>
      </c>
      <c r="Q285" s="2255">
        <f>+Financials!Q59</f>
        <v>22.378982405681526</v>
      </c>
      <c r="R285" s="2255">
        <f>+Financials!R59</f>
        <v>34.187323357561596</v>
      </c>
      <c r="S285" s="2255">
        <f>+Financials!S59</f>
        <v>43.927850071744274</v>
      </c>
      <c r="T285" s="2255">
        <f>+Financials!T59</f>
        <v>52.656977515012102</v>
      </c>
      <c r="U285" s="2255">
        <f>+Financials!U59</f>
        <v>59.783799224528735</v>
      </c>
      <c r="V285" s="2255">
        <f>+Financials!V59</f>
        <v>64.733457613049438</v>
      </c>
      <c r="W285" s="2255">
        <f>+Financials!W59</f>
        <v>66.994411451118822</v>
      </c>
    </row>
    <row r="286" spans="1:23" s="1401" customFormat="1">
      <c r="A286" s="674" t="s">
        <v>1598</v>
      </c>
      <c r="B286" s="675">
        <f>Financials!B$4</f>
        <v>2004</v>
      </c>
      <c r="C286" s="675">
        <f>Financials!C$4</f>
        <v>2005</v>
      </c>
      <c r="D286" s="675">
        <f>Financials!D$4</f>
        <v>2006</v>
      </c>
      <c r="E286" s="675">
        <f>Financials!E$4</f>
        <v>2007</v>
      </c>
      <c r="F286" s="675">
        <f>Financials!F$4</f>
        <v>2008</v>
      </c>
      <c r="G286" s="675">
        <f>Financials!G$4</f>
        <v>2009</v>
      </c>
      <c r="H286" s="675">
        <f>Financials!H$4</f>
        <v>2010</v>
      </c>
      <c r="I286" s="675">
        <f>Financials!I$4</f>
        <v>2011</v>
      </c>
      <c r="J286" s="675">
        <f>Financials!J$4</f>
        <v>2012</v>
      </c>
      <c r="K286" s="675">
        <f>Financials!K$4</f>
        <v>2013</v>
      </c>
      <c r="L286" s="675">
        <f>Financials!L$4</f>
        <v>2014</v>
      </c>
      <c r="M286" s="675">
        <f>Financials!M$4</f>
        <v>2015</v>
      </c>
      <c r="N286" s="675">
        <f>Financials!N$4</f>
        <v>2016</v>
      </c>
      <c r="O286" s="675">
        <f t="shared" ref="O286:W286" si="222">O$7</f>
        <v>2017</v>
      </c>
      <c r="P286" s="490" t="str">
        <f t="shared" si="222"/>
        <v>2018E</v>
      </c>
      <c r="Q286" s="490" t="str">
        <f t="shared" si="222"/>
        <v>2019E</v>
      </c>
      <c r="R286" s="490" t="str">
        <f t="shared" si="222"/>
        <v>2020E</v>
      </c>
      <c r="S286" s="490" t="str">
        <f t="shared" si="222"/>
        <v>2021E</v>
      </c>
      <c r="T286" s="490" t="str">
        <f t="shared" si="222"/>
        <v>2022E</v>
      </c>
      <c r="U286" s="490" t="str">
        <f t="shared" si="222"/>
        <v>2023E</v>
      </c>
      <c r="V286" s="490" t="str">
        <f t="shared" si="222"/>
        <v>2024E</v>
      </c>
      <c r="W286" s="490" t="str">
        <f t="shared" si="222"/>
        <v>2025E</v>
      </c>
    </row>
    <row r="287" spans="1:23" s="1401" customFormat="1">
      <c r="A287" s="1552" t="s">
        <v>54</v>
      </c>
      <c r="I287" s="480">
        <f>+Financials!I63</f>
        <v>0.50694769822337737</v>
      </c>
      <c r="J287" s="480">
        <f>+Financials!J63</f>
        <v>0.4470533607586929</v>
      </c>
      <c r="K287" s="480">
        <f>+Financials!K63</f>
        <v>0.46265912960394645</v>
      </c>
      <c r="L287" s="480">
        <f>+Financials!L63</f>
        <v>0.39787328362023539</v>
      </c>
      <c r="M287" s="480">
        <f>+Financials!M63</f>
        <v>0.44095516950420838</v>
      </c>
      <c r="N287" s="480">
        <f>+Financials!N63</f>
        <v>0.41328879108307581</v>
      </c>
      <c r="O287" s="480">
        <f>+Financials!O63</f>
        <v>0.47555498805202379</v>
      </c>
      <c r="P287" s="480">
        <f>+Financials!P63</f>
        <v>0.55264741035071696</v>
      </c>
      <c r="Q287" s="480">
        <f>+Financials!Q63</f>
        <v>0.46895822565167894</v>
      </c>
      <c r="R287" s="480">
        <f>+Financials!R63</f>
        <v>0.46694263140266862</v>
      </c>
      <c r="S287" s="480">
        <f>+Financials!S63</f>
        <v>0.51438404652419922</v>
      </c>
      <c r="T287" s="480">
        <f>+Financials!T63</f>
        <v>0.5222759725638072</v>
      </c>
      <c r="U287" s="480">
        <f>+Financials!U63</f>
        <v>0.44416609623359188</v>
      </c>
      <c r="V287" s="480">
        <f>+Financials!V63</f>
        <v>0.36836855974328597</v>
      </c>
      <c r="W287" s="480">
        <f>+Financials!W63</f>
        <v>0.4599879415709196</v>
      </c>
    </row>
    <row r="288" spans="1:23" s="1401" customFormat="1">
      <c r="A288" s="1552" t="s">
        <v>42</v>
      </c>
      <c r="I288" s="480">
        <f>+Financials!I64</f>
        <v>0.45972523749469718</v>
      </c>
      <c r="J288" s="480">
        <f>+Financials!J64</f>
        <v>0.3396479695883739</v>
      </c>
      <c r="K288" s="480">
        <f>+Financials!K64</f>
        <v>0.32228846174972448</v>
      </c>
      <c r="L288" s="480">
        <f>+Financials!L64</f>
        <v>0.38692691881069935</v>
      </c>
      <c r="M288" s="480">
        <f>+Financials!M64</f>
        <v>0.41096032741339056</v>
      </c>
      <c r="N288" s="480">
        <f>+Financials!N64</f>
        <v>0.47118376352693708</v>
      </c>
      <c r="O288" s="480">
        <f>+Financials!O64</f>
        <v>0.43133983438226714</v>
      </c>
      <c r="P288" s="480">
        <f>+Financials!P64</f>
        <v>0.42408922052297315</v>
      </c>
      <c r="Q288" s="480">
        <f>+Financials!Q64</f>
        <v>0.46784749161328121</v>
      </c>
      <c r="R288" s="480">
        <f>+Financials!R64</f>
        <v>0.48345517026754453</v>
      </c>
      <c r="S288" s="480">
        <f>+Financials!S64</f>
        <v>0.45402470208576379</v>
      </c>
      <c r="T288" s="480">
        <f>+Financials!T64</f>
        <v>0.4410503206112889</v>
      </c>
      <c r="U288" s="480">
        <f>+Financials!U64</f>
        <v>0.47322281757289808</v>
      </c>
      <c r="V288" s="480">
        <f>+Financials!V64</f>
        <v>0.49795623929532251</v>
      </c>
      <c r="W288" s="480">
        <f>+Financials!W64</f>
        <v>0.54552133457272833</v>
      </c>
    </row>
    <row r="289" spans="1:23" s="1401" customFormat="1">
      <c r="A289" s="1552" t="s">
        <v>1052</v>
      </c>
      <c r="I289" s="480" t="str">
        <f>+Financials!I65</f>
        <v>NA</v>
      </c>
      <c r="J289" s="480" t="str">
        <f>+Financials!J65</f>
        <v>NA</v>
      </c>
      <c r="K289" s="480">
        <f>+Financials!K65</f>
        <v>0.60754818951540257</v>
      </c>
      <c r="L289" s="480">
        <f>+Financials!L65</f>
        <v>0.84884759230261553</v>
      </c>
      <c r="M289" s="480">
        <f>+Financials!M65</f>
        <v>0.92510866461499408</v>
      </c>
      <c r="N289" s="480">
        <f>+Financials!N65</f>
        <v>0.66510214309193683</v>
      </c>
      <c r="O289" s="480">
        <f>+Financials!O65</f>
        <v>0.55860713135072226</v>
      </c>
      <c r="P289" s="480">
        <f>+Financials!P65</f>
        <v>0.71627264635255106</v>
      </c>
      <c r="Q289" s="480">
        <f>+Financials!Q65</f>
        <v>0.71627264635255106</v>
      </c>
      <c r="R289" s="480">
        <f>+Financials!R65</f>
        <v>0.71627264635255106</v>
      </c>
      <c r="S289" s="480">
        <f>+Financials!S65</f>
        <v>0.71627264635255106</v>
      </c>
      <c r="T289" s="480">
        <f>+Financials!T65</f>
        <v>0.71627264635255106</v>
      </c>
      <c r="U289" s="480">
        <f>+Financials!U65</f>
        <v>0.71627264635255106</v>
      </c>
      <c r="V289" s="480">
        <f>+Financials!V65</f>
        <v>0.71627264635255106</v>
      </c>
      <c r="W289" s="480">
        <f>+Financials!W65</f>
        <v>0.71627264635255106</v>
      </c>
    </row>
    <row r="290" spans="1:23" s="1401" customFormat="1">
      <c r="A290" s="1552" t="s">
        <v>222</v>
      </c>
      <c r="I290" s="480" t="str">
        <f>+Financials!I66</f>
        <v>NA</v>
      </c>
      <c r="J290" s="480" t="str">
        <f>+Financials!J66</f>
        <v>NA</v>
      </c>
      <c r="K290" s="480">
        <f>+Financials!K66</f>
        <v>7.808193237528141E-2</v>
      </c>
      <c r="L290" s="480">
        <f>+Financials!L66</f>
        <v>0.14079006718419868</v>
      </c>
      <c r="M290" s="480">
        <f>+Financials!M66</f>
        <v>0.37457129756992208</v>
      </c>
      <c r="N290" s="480">
        <f>+Financials!N66</f>
        <v>0.71468465996222708</v>
      </c>
      <c r="O290" s="480">
        <f>+Financials!O66</f>
        <v>0.66659028764340167</v>
      </c>
      <c r="P290" s="480">
        <f>+Financials!P66</f>
        <v>-1.040135884349682</v>
      </c>
      <c r="Q290" s="480">
        <f>+Financials!Q66</f>
        <v>0.25898254815328864</v>
      </c>
      <c r="R290" s="480">
        <f>+Financials!R66</f>
        <v>0.34106509484025621</v>
      </c>
      <c r="S290" s="480">
        <f>+Financials!S66</f>
        <v>0.39128581255287703</v>
      </c>
      <c r="T290" s="480">
        <f>+Financials!T66</f>
        <v>0.42640019527659634</v>
      </c>
      <c r="U290" s="480">
        <f>+Financials!U66</f>
        <v>0.4482509544463954</v>
      </c>
      <c r="V290" s="480">
        <f>+Financials!V66</f>
        <v>0.4578894651029275</v>
      </c>
      <c r="W290" s="480">
        <f>+Financials!W66</f>
        <v>0.45565599001261503</v>
      </c>
    </row>
    <row r="291" spans="1:23" s="1401" customFormat="1">
      <c r="A291" s="1552"/>
      <c r="I291" s="2255"/>
      <c r="J291" s="2255"/>
      <c r="K291" s="2255"/>
      <c r="L291" s="2255"/>
      <c r="M291" s="2255"/>
      <c r="N291" s="2255"/>
      <c r="O291" s="2255"/>
      <c r="P291" s="2255"/>
      <c r="Q291" s="2255"/>
      <c r="R291" s="2255"/>
      <c r="S291" s="2255"/>
      <c r="T291" s="2255"/>
      <c r="U291" s="2255"/>
      <c r="V291" s="2255"/>
      <c r="W291" s="2255"/>
    </row>
    <row r="292" spans="1:23">
      <c r="A292" s="674"/>
      <c r="B292" s="675">
        <f>Financials!B$4</f>
        <v>2004</v>
      </c>
      <c r="C292" s="675">
        <f>Financials!C$4</f>
        <v>2005</v>
      </c>
      <c r="D292" s="675">
        <f>Financials!D$4</f>
        <v>2006</v>
      </c>
      <c r="E292" s="675">
        <f>Financials!E$4</f>
        <v>2007</v>
      </c>
      <c r="F292" s="675">
        <f>Financials!F$4</f>
        <v>2008</v>
      </c>
      <c r="G292" s="675">
        <f>Financials!G$4</f>
        <v>2009</v>
      </c>
      <c r="H292" s="675">
        <f>Financials!H$4</f>
        <v>2010</v>
      </c>
      <c r="I292" s="675">
        <f>Financials!I$4</f>
        <v>2011</v>
      </c>
      <c r="J292" s="675">
        <f>Financials!J$4</f>
        <v>2012</v>
      </c>
      <c r="K292" s="675">
        <f>Financials!K$4</f>
        <v>2013</v>
      </c>
      <c r="L292" s="675">
        <f>Financials!L$4</f>
        <v>2014</v>
      </c>
      <c r="M292" s="675">
        <f>Financials!M$4</f>
        <v>2015</v>
      </c>
      <c r="N292" s="675">
        <f t="shared" ref="N292:W292" si="223">N7</f>
        <v>2016</v>
      </c>
      <c r="O292" s="675">
        <f t="shared" si="223"/>
        <v>2017</v>
      </c>
      <c r="P292" s="490" t="str">
        <f t="shared" si="223"/>
        <v>2018E</v>
      </c>
      <c r="Q292" s="490" t="str">
        <f t="shared" si="223"/>
        <v>2019E</v>
      </c>
      <c r="R292" s="490" t="str">
        <f t="shared" si="223"/>
        <v>2020E</v>
      </c>
      <c r="S292" s="490" t="str">
        <f t="shared" si="223"/>
        <v>2021E</v>
      </c>
      <c r="T292" s="490" t="str">
        <f t="shared" si="223"/>
        <v>2022E</v>
      </c>
      <c r="U292" s="490" t="str">
        <f t="shared" si="223"/>
        <v>2023E</v>
      </c>
      <c r="V292" s="490" t="str">
        <f t="shared" si="223"/>
        <v>2024E</v>
      </c>
      <c r="W292" s="490" t="str">
        <f t="shared" si="223"/>
        <v>2025E</v>
      </c>
    </row>
    <row r="293" spans="1:23">
      <c r="A293" s="513" t="str">
        <f>Financials!A16</f>
        <v>Sugar Nybot prices (US$ cents/lb)</v>
      </c>
      <c r="B293" s="514" t="e">
        <f>NA()</f>
        <v>#N/A</v>
      </c>
      <c r="C293" s="514" t="e">
        <f>NA()</f>
        <v>#N/A</v>
      </c>
      <c r="D293" s="514">
        <f>Financials!D16</f>
        <v>13.545</v>
      </c>
      <c r="E293" s="514">
        <f>Financials!E16</f>
        <v>10.401666666666666</v>
      </c>
      <c r="F293" s="514">
        <f>Financials!F16</f>
        <v>12.4</v>
      </c>
      <c r="G293" s="514">
        <f>Financials!G16</f>
        <v>18.787500000000001</v>
      </c>
      <c r="H293" s="514">
        <f>Financials!H16</f>
        <v>23.440833333333334</v>
      </c>
      <c r="I293" s="514">
        <f>Financials!I16</f>
        <v>25.258333333333336</v>
      </c>
      <c r="J293" s="514">
        <f>Financials!J16</f>
        <v>20.410833333333333</v>
      </c>
      <c r="K293" s="514">
        <f>Financials!K16</f>
        <v>17.066666666666666</v>
      </c>
      <c r="L293" s="514">
        <f>Financials!L16</f>
        <v>15.978333333333333</v>
      </c>
      <c r="M293" s="514">
        <f>Financials!M16</f>
        <v>13.149166666666668</v>
      </c>
      <c r="N293" s="514">
        <f>Financials!N16</f>
        <v>19.252499999999998</v>
      </c>
      <c r="O293" s="514">
        <f>Financials!O16</f>
        <v>17.805000000000003</v>
      </c>
      <c r="P293" s="515">
        <f>Financials!P16</f>
        <v>16.244658605325153</v>
      </c>
      <c r="Q293" s="515">
        <f>Financials!Q16</f>
        <v>16.31531880717511</v>
      </c>
      <c r="R293" s="515">
        <f>Financials!R16</f>
        <v>16.498655235130911</v>
      </c>
      <c r="S293" s="515">
        <f>Financials!S16</f>
        <v>19.747444770453257</v>
      </c>
      <c r="T293" s="515">
        <f>Financials!T16</f>
        <v>20.93514679550681</v>
      </c>
      <c r="U293" s="515">
        <f>Financials!U16</f>
        <v>17.432162450241776</v>
      </c>
      <c r="V293" s="515">
        <f>Financials!V16</f>
        <v>15.017906650666538</v>
      </c>
      <c r="W293" s="515">
        <f>Financials!W16</f>
        <v>17.055276269110166</v>
      </c>
    </row>
    <row r="294" spans="1:23" s="1401" customFormat="1">
      <c r="A294" s="513" t="str">
        <f>Q_IS!A5</f>
        <v xml:space="preserve">Total area (ha) </v>
      </c>
      <c r="B294" s="514" t="e">
        <f>NA()</f>
        <v>#N/A</v>
      </c>
      <c r="C294" s="514" t="e">
        <f>NA()</f>
        <v>#N/A</v>
      </c>
      <c r="D294" s="514" t="e">
        <f>NA()</f>
        <v>#N/A</v>
      </c>
      <c r="E294" s="534">
        <f>Q_IS!C5</f>
        <v>50000</v>
      </c>
      <c r="F294" s="534">
        <f>Q_IS!D5</f>
        <v>50000</v>
      </c>
      <c r="G294" s="534">
        <f>Q_IS!E5</f>
        <v>50000</v>
      </c>
      <c r="H294" s="534">
        <f>Q_IS!F5</f>
        <v>50000</v>
      </c>
      <c r="I294" s="534">
        <f>Q_IS!G5</f>
        <v>50000</v>
      </c>
      <c r="J294" s="534">
        <f>Q_IS!H5</f>
        <v>50000</v>
      </c>
      <c r="K294" s="534">
        <f>Q_IS!I5</f>
        <v>50000</v>
      </c>
      <c r="L294" s="534">
        <f>Q_IS!J5</f>
        <v>52600</v>
      </c>
      <c r="M294" s="534">
        <f>Q_IS!K5</f>
        <v>52600</v>
      </c>
      <c r="N294" s="534">
        <f>Q_IS!L5</f>
        <v>52600</v>
      </c>
      <c r="O294" s="534">
        <f>Q_IS!M5</f>
        <v>55000</v>
      </c>
      <c r="P294" s="535">
        <f>Q_IS!N5</f>
        <v>55000</v>
      </c>
      <c r="Q294" s="535">
        <f>Q_IS!O5</f>
        <v>55000</v>
      </c>
      <c r="R294" s="535">
        <f>Q_IS!P5</f>
        <v>56100</v>
      </c>
      <c r="S294" s="535">
        <f>Q_IS!Q5</f>
        <v>57200</v>
      </c>
      <c r="T294" s="535">
        <f>Q_IS!R5</f>
        <v>58300</v>
      </c>
      <c r="U294" s="535">
        <f>Q_IS!S5</f>
        <v>59400</v>
      </c>
      <c r="V294" s="535">
        <f>Q_IS!T5</f>
        <v>60500</v>
      </c>
      <c r="W294" s="535">
        <f>Q_IS!U5</f>
        <v>61600</v>
      </c>
    </row>
    <row r="295" spans="1:23">
      <c r="A295" s="470" t="s">
        <v>341</v>
      </c>
      <c r="B295" s="514" t="e">
        <f>NA()</f>
        <v>#N/A</v>
      </c>
      <c r="C295" s="514" t="e">
        <f>NA()</f>
        <v>#N/A</v>
      </c>
      <c r="D295" s="514" t="e">
        <f>NA()</f>
        <v>#N/A</v>
      </c>
      <c r="E295" s="514" t="e">
        <f>NA()</f>
        <v>#N/A</v>
      </c>
      <c r="F295" s="514" t="e">
        <f>NA()</f>
        <v>#N/A</v>
      </c>
      <c r="G295" s="514" t="e">
        <f>NA()</f>
        <v>#N/A</v>
      </c>
      <c r="H295" s="514" t="e">
        <f>NA()</f>
        <v>#N/A</v>
      </c>
      <c r="I295" s="514" t="e">
        <f>NA()</f>
        <v>#N/A</v>
      </c>
      <c r="J295" s="514" t="e">
        <f>NA()</f>
        <v>#N/A</v>
      </c>
      <c r="K295" s="517">
        <f>Financials!K11</f>
        <v>88.58</v>
      </c>
      <c r="L295" s="517">
        <f>Financials!L11</f>
        <v>99.47</v>
      </c>
      <c r="M295" s="517">
        <f>Financials!M11</f>
        <v>87.6</v>
      </c>
      <c r="N295" s="517">
        <f>Financials!N11</f>
        <v>85.9</v>
      </c>
      <c r="O295" s="517">
        <f>Financials!O11</f>
        <v>78.752876712328785</v>
      </c>
      <c r="P295" s="518">
        <f>Financials!P11</f>
        <v>91.083924624497243</v>
      </c>
      <c r="Q295" s="518">
        <f>Financials!Q11</f>
        <v>95.638120855722107</v>
      </c>
      <c r="R295" s="518">
        <f>Financials!R11</f>
        <v>95.638120855722107</v>
      </c>
      <c r="S295" s="518">
        <f>Financials!S11</f>
        <v>96.612894010597728</v>
      </c>
      <c r="T295" s="518">
        <f>Financials!T11</f>
        <v>96.496229383867927</v>
      </c>
      <c r="U295" s="518">
        <f>Financials!U11</f>
        <v>96.414028892170592</v>
      </c>
      <c r="V295" s="518">
        <f>Financials!V11</f>
        <v>96.364945386552762</v>
      </c>
      <c r="W295" s="518">
        <f>Financials!W11</f>
        <v>96.34773736059087</v>
      </c>
    </row>
    <row r="296" spans="1:23">
      <c r="A296" s="470" t="s">
        <v>342</v>
      </c>
      <c r="B296" s="519"/>
      <c r="C296" s="516"/>
      <c r="D296" s="516"/>
      <c r="E296" s="516"/>
      <c r="F296" s="516"/>
      <c r="G296" s="516"/>
      <c r="H296" s="516"/>
      <c r="I296" s="516"/>
      <c r="J296" s="516"/>
      <c r="K296" s="516"/>
      <c r="L296" s="516"/>
      <c r="M296" s="516"/>
      <c r="N296" s="516"/>
      <c r="O296" s="516"/>
      <c r="P296" s="516"/>
      <c r="Q296" s="516"/>
      <c r="R296" s="516"/>
      <c r="S296" s="516"/>
      <c r="T296" s="516"/>
      <c r="U296" s="516"/>
      <c r="V296" s="516"/>
      <c r="W296" s="516"/>
    </row>
    <row r="297" spans="1:23">
      <c r="A297" s="157" t="s">
        <v>54</v>
      </c>
      <c r="B297" s="514" t="e">
        <f>NA()</f>
        <v>#N/A</v>
      </c>
      <c r="C297" s="514" t="e">
        <f>NA()</f>
        <v>#N/A</v>
      </c>
      <c r="D297" s="450">
        <f>Q_IS!B23</f>
        <v>0.4276852678359338</v>
      </c>
      <c r="E297" s="450">
        <f>Q_IS!C23</f>
        <v>0.50519321281368457</v>
      </c>
      <c r="F297" s="450">
        <f>Q_IS!D23</f>
        <v>0.40447370691386925</v>
      </c>
      <c r="G297" s="450">
        <f>Q_IS!E23</f>
        <v>0.28880521854426672</v>
      </c>
      <c r="H297" s="450">
        <f>Q_IS!F23</f>
        <v>0.44983986789117447</v>
      </c>
      <c r="I297" s="450">
        <f>Q_IS!G23</f>
        <v>0.49178107921508046</v>
      </c>
      <c r="J297" s="450">
        <f>Q_IS!H23</f>
        <v>0.56000000000000005</v>
      </c>
      <c r="K297" s="450">
        <f>Q_IS!I23</f>
        <v>0.56999999999999995</v>
      </c>
      <c r="L297" s="450">
        <f>Q_IS!J23</f>
        <v>0.48</v>
      </c>
      <c r="M297" s="450">
        <f>Q_IS!K23</f>
        <v>0.49</v>
      </c>
      <c r="N297" s="450">
        <f>Q_IS!L23</f>
        <v>0.5</v>
      </c>
      <c r="O297" s="450">
        <f>Q_IS!M23</f>
        <v>0.63</v>
      </c>
      <c r="P297" s="521">
        <f>Q_IS!N23</f>
        <v>0.49</v>
      </c>
      <c r="Q297" s="521">
        <f>Q_IS!O23</f>
        <v>0.49</v>
      </c>
      <c r="R297" s="521">
        <f>Q_IS!P23</f>
        <v>0.49</v>
      </c>
      <c r="S297" s="521">
        <f>Q_IS!Q23</f>
        <v>0.49</v>
      </c>
      <c r="T297" s="521">
        <f>Q_IS!R23</f>
        <v>0.49</v>
      </c>
      <c r="U297" s="521">
        <f>Q_IS!S23</f>
        <v>0.49</v>
      </c>
      <c r="V297" s="521">
        <f>Q_IS!T23</f>
        <v>0.49</v>
      </c>
      <c r="W297" s="521">
        <f>Q_IS!U23</f>
        <v>0.49</v>
      </c>
    </row>
    <row r="298" spans="1:23">
      <c r="A298" s="157" t="s">
        <v>42</v>
      </c>
      <c r="B298" s="514" t="e">
        <f>NA()</f>
        <v>#N/A</v>
      </c>
      <c r="C298" s="514" t="e">
        <f>NA()</f>
        <v>#N/A</v>
      </c>
      <c r="D298" s="450">
        <f>Q_IS!B24</f>
        <v>0.57231473216406625</v>
      </c>
      <c r="E298" s="450">
        <f>Q_IS!C24</f>
        <v>0.49480678718631554</v>
      </c>
      <c r="F298" s="450">
        <f>Q_IS!D24</f>
        <v>0.5955262930861307</v>
      </c>
      <c r="G298" s="450">
        <f>Q_IS!E24</f>
        <v>0.71119478145573334</v>
      </c>
      <c r="H298" s="450">
        <f>Q_IS!F24</f>
        <v>0.55016013210882564</v>
      </c>
      <c r="I298" s="450">
        <f>Q_IS!G24</f>
        <v>0.50821892078491948</v>
      </c>
      <c r="J298" s="450">
        <f>Q_IS!H24</f>
        <v>0.44</v>
      </c>
      <c r="K298" s="450">
        <f>Q_IS!I24</f>
        <v>0.43</v>
      </c>
      <c r="L298" s="450">
        <f>Q_IS!J24</f>
        <v>0.52</v>
      </c>
      <c r="M298" s="450">
        <f>Q_IS!K24</f>
        <v>0.51</v>
      </c>
      <c r="N298" s="450">
        <f>Q_IS!L24</f>
        <v>0.5</v>
      </c>
      <c r="O298" s="450">
        <f>Q_IS!M24</f>
        <v>0.37</v>
      </c>
      <c r="P298" s="521">
        <f>Q_IS!N24</f>
        <v>0.51</v>
      </c>
      <c r="Q298" s="521">
        <f>Q_IS!O24</f>
        <v>0.51</v>
      </c>
      <c r="R298" s="521">
        <f>Q_IS!P24</f>
        <v>0.51</v>
      </c>
      <c r="S298" s="521">
        <f>Q_IS!Q24</f>
        <v>0.51</v>
      </c>
      <c r="T298" s="521">
        <f>Q_IS!R24</f>
        <v>0.51</v>
      </c>
      <c r="U298" s="521">
        <f>Q_IS!S24</f>
        <v>0.51</v>
      </c>
      <c r="V298" s="521">
        <f>Q_IS!T24</f>
        <v>0.51</v>
      </c>
      <c r="W298" s="521">
        <f>Q_IS!U24</f>
        <v>0.51</v>
      </c>
    </row>
    <row r="299" spans="1:23">
      <c r="A299" s="470" t="s">
        <v>343</v>
      </c>
      <c r="B299" s="514" t="e">
        <f>NA()</f>
        <v>#N/A</v>
      </c>
      <c r="C299" s="514" t="e">
        <f>NA()</f>
        <v>#N/A</v>
      </c>
      <c r="D299" s="517">
        <f>Financials!D17</f>
        <v>549.87709759784548</v>
      </c>
      <c r="E299" s="517">
        <f>Financials!E17</f>
        <v>624.90574295252998</v>
      </c>
      <c r="F299" s="517">
        <f>Financials!F17</f>
        <v>452.08478127006822</v>
      </c>
      <c r="G299" s="517">
        <f>Financials!G17</f>
        <v>548.48455829542741</v>
      </c>
      <c r="H299" s="517">
        <f>Financials!H17</f>
        <v>711.1921338707707</v>
      </c>
      <c r="I299" s="517">
        <f>Financials!I17</f>
        <v>839.72135852666827</v>
      </c>
      <c r="J299" s="517">
        <f>Financials!J17</f>
        <v>928.64219961240303</v>
      </c>
      <c r="K299" s="517">
        <f>Financials!K17</f>
        <v>973.49518541282532</v>
      </c>
      <c r="L299" s="517">
        <f>Financials!L17</f>
        <v>892.12469733656167</v>
      </c>
      <c r="M299" s="517">
        <f>Financials!M17</f>
        <v>925.27992523999671</v>
      </c>
      <c r="N299" s="517">
        <f>Financials!N17</f>
        <v>1048.068276436303</v>
      </c>
      <c r="O299" s="517">
        <f>Financials!O17</f>
        <v>1251.9068280429321</v>
      </c>
      <c r="P299" s="518">
        <f>Financials!P17</f>
        <v>1407.8772144231391</v>
      </c>
      <c r="Q299" s="518">
        <f>Financials!Q17</f>
        <v>1203.2894278945732</v>
      </c>
      <c r="R299" s="518">
        <f>Financials!R17</f>
        <v>1245.1088064177579</v>
      </c>
      <c r="S299" s="518">
        <f>Financials!S17</f>
        <v>1490.2861498423542</v>
      </c>
      <c r="T299" s="518">
        <f>Financials!T17</f>
        <v>1586.8475041008783</v>
      </c>
      <c r="U299" s="518">
        <f>Financials!U17</f>
        <v>1327.0967708404357</v>
      </c>
      <c r="V299" s="518">
        <f>Financials!V17</f>
        <v>1148.2717115571372</v>
      </c>
      <c r="W299" s="518">
        <f>Financials!W17</f>
        <v>1309.6939589258038</v>
      </c>
    </row>
    <row r="300" spans="1:23">
      <c r="A300" s="470" t="s">
        <v>344</v>
      </c>
      <c r="B300" s="514" t="e">
        <f>NA()</f>
        <v>#N/A</v>
      </c>
      <c r="C300" s="514" t="e">
        <f>NA()</f>
        <v>#N/A</v>
      </c>
      <c r="D300" s="517">
        <f>Financials!D22</f>
        <v>850.76573527607229</v>
      </c>
      <c r="E300" s="517">
        <f>Financials!E22</f>
        <v>916.0210009941004</v>
      </c>
      <c r="F300" s="517">
        <f>Financials!F22</f>
        <v>749.30788867466026</v>
      </c>
      <c r="G300" s="517">
        <f>Financials!G22</f>
        <v>769.57647434872933</v>
      </c>
      <c r="H300" s="517">
        <f>Financials!H22</f>
        <v>857.95536593370525</v>
      </c>
      <c r="I300" s="517">
        <f>Financials!I22</f>
        <v>994.76608745464966</v>
      </c>
      <c r="J300" s="517">
        <f>Financials!J22</f>
        <v>1258.2710513203785</v>
      </c>
      <c r="K300" s="517">
        <f>Financials!K22</f>
        <v>1211.548358473824</v>
      </c>
      <c r="L300" s="517">
        <f>Financials!L22</f>
        <v>1317.1515815847165</v>
      </c>
      <c r="M300" s="517">
        <f>Financials!M22</f>
        <v>1349.1070927950659</v>
      </c>
      <c r="N300" s="517">
        <f>Financials!N22</f>
        <v>1637.3106918238993</v>
      </c>
      <c r="O300" s="517">
        <f>Financials!O22</f>
        <v>1773.8788659793813</v>
      </c>
      <c r="P300" s="518">
        <f>Financials!P22</f>
        <v>1691.3685141076389</v>
      </c>
      <c r="Q300" s="518">
        <f>Financials!Q22</f>
        <v>1841.1499524966634</v>
      </c>
      <c r="R300" s="518">
        <f>Financials!R22</f>
        <v>1970.8083998555833</v>
      </c>
      <c r="S300" s="518">
        <f>Financials!S22</f>
        <v>2045.2427213153921</v>
      </c>
      <c r="T300" s="518">
        <f>Financials!T22</f>
        <v>2094.3285466269617</v>
      </c>
      <c r="U300" s="518">
        <f>Financials!U22</f>
        <v>2144.5924317460085</v>
      </c>
      <c r="V300" s="518">
        <f>Financials!V22</f>
        <v>2196.0626501079128</v>
      </c>
      <c r="W300" s="518">
        <f>Financials!W22</f>
        <v>2343.940671516048</v>
      </c>
    </row>
    <row r="301" spans="1:23">
      <c r="A301" s="513" t="s">
        <v>1088</v>
      </c>
      <c r="B301" s="522">
        <f>Financials!B36</f>
        <v>518</v>
      </c>
      <c r="C301" s="522">
        <f>Financials!C36</f>
        <v>648.19999999999993</v>
      </c>
      <c r="D301" s="522">
        <f>Financials!D36</f>
        <v>808.02199999999993</v>
      </c>
      <c r="E301" s="522">
        <f>Financials!E36</f>
        <v>826.53699999999992</v>
      </c>
      <c r="F301" s="522">
        <f>Financials!F36</f>
        <v>712.42000000000007</v>
      </c>
      <c r="G301" s="522">
        <f>Financials!G36</f>
        <v>774.44299999999998</v>
      </c>
      <c r="H301" s="522">
        <f>Financials!H36</f>
        <v>1183.2859999999998</v>
      </c>
      <c r="I301" s="522">
        <f>Financials!I36</f>
        <v>1295.0279999999998</v>
      </c>
      <c r="J301" s="522">
        <f>Financials!J36</f>
        <v>1366.99</v>
      </c>
      <c r="K301" s="522">
        <f>Financials!K36</f>
        <v>1635.9549999999999</v>
      </c>
      <c r="L301" s="522">
        <f>Financials!L36</f>
        <v>1971.69</v>
      </c>
      <c r="M301" s="522">
        <f>Financials!M36</f>
        <v>2325.1619999999998</v>
      </c>
      <c r="N301" s="522">
        <f>Financials!N36</f>
        <v>2727.3789999999999</v>
      </c>
      <c r="O301" s="522">
        <f>Financials!O36</f>
        <v>3002.8820000000001</v>
      </c>
      <c r="P301" s="523">
        <f>Financials!P36</f>
        <v>3656.7611338954334</v>
      </c>
      <c r="Q301" s="523">
        <f>Financials!Q36</f>
        <v>3782.0958344005958</v>
      </c>
      <c r="R301" s="523">
        <f>Financials!R36</f>
        <v>4084.7849487160179</v>
      </c>
      <c r="S301" s="523">
        <f>Financials!S36</f>
        <v>4701.0846333566287</v>
      </c>
      <c r="T301" s="523">
        <f>Financials!T36</f>
        <v>5031.1990094477269</v>
      </c>
      <c r="U301" s="523">
        <f>Financials!U36</f>
        <v>4788.1568893299891</v>
      </c>
      <c r="V301" s="523">
        <f>Financials!V36</f>
        <v>4665.5521600540633</v>
      </c>
      <c r="W301" s="523">
        <f>Financials!W36</f>
        <v>5221.0482727477665</v>
      </c>
    </row>
    <row r="302" spans="1:23">
      <c r="A302" s="513" t="s">
        <v>216</v>
      </c>
      <c r="B302" s="524">
        <f>Financials!B43</f>
        <v>222.23199999999997</v>
      </c>
      <c r="C302" s="524">
        <f>Financials!C43</f>
        <v>292.90999999999997</v>
      </c>
      <c r="D302" s="524">
        <f>Financials!D43</f>
        <v>435.56699999999995</v>
      </c>
      <c r="E302" s="524">
        <f>Financials!E43</f>
        <v>530.04399999999987</v>
      </c>
      <c r="F302" s="524">
        <f>Financials!F43</f>
        <v>280.0510000000001</v>
      </c>
      <c r="G302" s="524">
        <f>Financials!G43</f>
        <v>339.90799999999996</v>
      </c>
      <c r="H302" s="524">
        <f>Financials!H43</f>
        <v>555.53299999999979</v>
      </c>
      <c r="I302" s="524">
        <f>Financials!I43</f>
        <v>729.69399999999973</v>
      </c>
      <c r="J302" s="524">
        <f>Financials!J43</f>
        <v>728.17900000000009</v>
      </c>
      <c r="K302" s="524">
        <f>Financials!K43</f>
        <v>855.20999999999981</v>
      </c>
      <c r="L302" s="524">
        <f>Financials!L43</f>
        <v>978.75699999999995</v>
      </c>
      <c r="M302" s="524">
        <f>Financials!M43</f>
        <v>1281.1349999999998</v>
      </c>
      <c r="N302" s="524">
        <f>Financials!N43</f>
        <v>1489.7589999999998</v>
      </c>
      <c r="O302" s="524">
        <f>Financials!O43</f>
        <v>1566.7600000000002</v>
      </c>
      <c r="P302" s="525">
        <f>Financials!P43</f>
        <v>2049.2862985723186</v>
      </c>
      <c r="Q302" s="525">
        <f>Financials!Q43</f>
        <v>2089.4829464816457</v>
      </c>
      <c r="R302" s="525">
        <f>Financials!R43</f>
        <v>2279.1219106965364</v>
      </c>
      <c r="S302" s="525">
        <f>Financials!S43</f>
        <v>2643.8263839532992</v>
      </c>
      <c r="T302" s="525">
        <f>Financials!T43</f>
        <v>2821.6505909302637</v>
      </c>
      <c r="U302" s="525">
        <f>Financials!U43</f>
        <v>2609.7928698680221</v>
      </c>
      <c r="V302" s="525">
        <f>Financials!V43</f>
        <v>2493.6600146793753</v>
      </c>
      <c r="W302" s="525">
        <f>Financials!W43</f>
        <v>3078.6976537738378</v>
      </c>
    </row>
    <row r="303" spans="1:23">
      <c r="A303" s="513" t="s">
        <v>219</v>
      </c>
      <c r="B303" s="522">
        <f>Financials!B61</f>
        <v>91.93199999999996</v>
      </c>
      <c r="C303" s="522">
        <f>Financials!C61</f>
        <v>163.10999999999996</v>
      </c>
      <c r="D303" s="522">
        <f>Financials!D61</f>
        <v>322.19099999999997</v>
      </c>
      <c r="E303" s="522">
        <f>Financials!E61</f>
        <v>390.47699999999986</v>
      </c>
      <c r="F303" s="522">
        <f>Financials!F61</f>
        <v>128.3730000000001</v>
      </c>
      <c r="G303" s="522">
        <f>Financials!G61</f>
        <v>243.17899999999995</v>
      </c>
      <c r="H303" s="522">
        <f>Financials!H61</f>
        <v>401.32199999999978</v>
      </c>
      <c r="I303" s="522">
        <f>Financials!I61</f>
        <v>566.1239999999998</v>
      </c>
      <c r="J303" s="522">
        <f>Financials!J61</f>
        <v>582.6350000000001</v>
      </c>
      <c r="K303" s="522">
        <f>Financials!K61</f>
        <v>651.75999999999976</v>
      </c>
      <c r="L303" s="522">
        <f>Financials!L61</f>
        <v>751.20299999999997</v>
      </c>
      <c r="M303" s="522">
        <f>Financials!M61</f>
        <v>1131.7149999999997</v>
      </c>
      <c r="N303" s="522">
        <f>Financials!N61</f>
        <v>1235.8139999999999</v>
      </c>
      <c r="O303" s="522">
        <f>Financials!O61</f>
        <v>1444.3980000000001</v>
      </c>
      <c r="P303" s="523">
        <f>Financials!P61</f>
        <v>1759.0220528034631</v>
      </c>
      <c r="Q303" s="523">
        <f>Financials!Q61</f>
        <v>1780.1509011492542</v>
      </c>
      <c r="R303" s="523">
        <f>Financials!R61</f>
        <v>1952.9908721268353</v>
      </c>
      <c r="S303" s="523">
        <f>Financials!S61</f>
        <v>2298.6292562952813</v>
      </c>
      <c r="T303" s="523">
        <f>Financials!T61</f>
        <v>2458.0074493075854</v>
      </c>
      <c r="U303" s="523">
        <f>Financials!U61</f>
        <v>2226.7144313496665</v>
      </c>
      <c r="V303" s="523">
        <f>Financials!V61</f>
        <v>2090.1126866537361</v>
      </c>
      <c r="W303" s="523">
        <f>Financials!W61</f>
        <v>2653.5978609798112</v>
      </c>
    </row>
    <row r="304" spans="1:23">
      <c r="A304" s="513" t="s">
        <v>220</v>
      </c>
      <c r="B304" s="522">
        <f>Financials!B68</f>
        <v>21.531999999999954</v>
      </c>
      <c r="C304" s="522">
        <f>Financials!C68</f>
        <v>85.509999999999962</v>
      </c>
      <c r="D304" s="522">
        <f>Financials!D68</f>
        <v>234.89099999999996</v>
      </c>
      <c r="E304" s="522">
        <f>Financials!E68</f>
        <v>250.38599999999985</v>
      </c>
      <c r="F304" s="522">
        <f>Financials!F68</f>
        <v>-62.840999999999923</v>
      </c>
      <c r="G304" s="522">
        <f>Financials!G68</f>
        <v>40.672999999999945</v>
      </c>
      <c r="H304" s="522">
        <f>Financials!H68</f>
        <v>124.30599999999981</v>
      </c>
      <c r="I304" s="522">
        <f>Financials!I68</f>
        <v>235.76899999999983</v>
      </c>
      <c r="J304" s="522">
        <f>Financials!J68</f>
        <v>231.00800000000015</v>
      </c>
      <c r="K304" s="522">
        <f>Financials!K68</f>
        <v>198.80999999999977</v>
      </c>
      <c r="L304" s="522">
        <f>Financials!L68</f>
        <v>302.91800000000001</v>
      </c>
      <c r="M304" s="522">
        <f>Financials!M68</f>
        <v>532.68599999999969</v>
      </c>
      <c r="N304" s="522">
        <f>Financials!N68</f>
        <v>512.05299999999988</v>
      </c>
      <c r="O304" s="522">
        <f>Financials!O68</f>
        <v>706.48700000000008</v>
      </c>
      <c r="P304" s="523">
        <f>Financials!P68</f>
        <v>821.99908906319183</v>
      </c>
      <c r="Q304" s="523">
        <f>Financials!Q68</f>
        <v>811.01167708280195</v>
      </c>
      <c r="R304" s="523">
        <f>Financials!R68</f>
        <v>906.28938993016277</v>
      </c>
      <c r="S304" s="523">
        <f>Financials!S68</f>
        <v>1094.004700671343</v>
      </c>
      <c r="T304" s="523">
        <f>Financials!T68</f>
        <v>1168.7930777968661</v>
      </c>
      <c r="U304" s="523">
        <f>Financials!U68</f>
        <v>999.77813581046735</v>
      </c>
      <c r="V304" s="523">
        <f>Financials!V68</f>
        <v>894.59311279477424</v>
      </c>
      <c r="W304" s="523">
        <f>Financials!W68</f>
        <v>1315.7357619179606</v>
      </c>
    </row>
    <row r="305" spans="1:24">
      <c r="A305" s="513" t="s">
        <v>37</v>
      </c>
      <c r="B305" s="522"/>
      <c r="C305" s="522">
        <f>Financials!C117</f>
        <v>99.736999999999966</v>
      </c>
      <c r="D305" s="522">
        <f>Financials!D117</f>
        <v>246.33299999999997</v>
      </c>
      <c r="E305" s="522">
        <f>Financials!E117</f>
        <v>499.52099999999973</v>
      </c>
      <c r="F305" s="522">
        <f>Financials!F117</f>
        <v>112.02500000000012</v>
      </c>
      <c r="G305" s="522">
        <f>Financials!G117</f>
        <v>34.098999999999876</v>
      </c>
      <c r="H305" s="522">
        <f>Financials!H117</f>
        <v>558.69499999999971</v>
      </c>
      <c r="I305" s="522">
        <f>Financials!I117</f>
        <v>274.33179200000006</v>
      </c>
      <c r="J305" s="522">
        <f>Financials!J117</f>
        <v>468.57283200000018</v>
      </c>
      <c r="K305" s="522">
        <f>Financials!K117</f>
        <v>352.6637759999997</v>
      </c>
      <c r="L305" s="522">
        <f>Financials!L117</f>
        <v>554.72020799999984</v>
      </c>
      <c r="M305" s="522">
        <f>Financials!M117</f>
        <v>690.92073999999991</v>
      </c>
      <c r="N305" s="522">
        <f>Financials!N117</f>
        <v>933.81365200000016</v>
      </c>
      <c r="O305" s="522">
        <f>Financials!O117</f>
        <v>895.50100000000009</v>
      </c>
      <c r="P305" s="523">
        <f>Financials!P117</f>
        <v>1462.7154812483714</v>
      </c>
      <c r="Q305" s="523">
        <f>Financials!Q117</f>
        <v>1566.0753335003888</v>
      </c>
      <c r="R305" s="523">
        <f>Financials!R117</f>
        <v>1764.9494537625233</v>
      </c>
      <c r="S305" s="523">
        <f>Financials!S117</f>
        <v>2090.7103215652078</v>
      </c>
      <c r="T305" s="523">
        <f>Financials!T117</f>
        <v>2266.896740735735</v>
      </c>
      <c r="U305" s="523">
        <f>Financials!U117</f>
        <v>2064.0264030851886</v>
      </c>
      <c r="V305" s="523">
        <f>Financials!V117</f>
        <v>1734.8443438208317</v>
      </c>
      <c r="W305" s="523">
        <f>Financials!W117</f>
        <v>2042.5382694421899</v>
      </c>
    </row>
    <row r="306" spans="1:24">
      <c r="A306" s="513" t="s">
        <v>345</v>
      </c>
      <c r="B306" s="522"/>
      <c r="C306" s="522">
        <f>Financials!C116</f>
        <v>-13.564999999999998</v>
      </c>
      <c r="D306" s="522">
        <f>Financials!D116</f>
        <v>-13.468999999999994</v>
      </c>
      <c r="E306" s="522">
        <f>Financials!E116</f>
        <v>160.66399999999987</v>
      </c>
      <c r="F306" s="522">
        <f>Financials!F116</f>
        <v>-30.394999999999982</v>
      </c>
      <c r="G306" s="522">
        <f>Financials!G116</f>
        <v>-96.54200000000003</v>
      </c>
      <c r="H306" s="522">
        <f>Financials!H116</f>
        <v>183.60699999999991</v>
      </c>
      <c r="I306" s="522">
        <f>Financials!I116</f>
        <v>-198.31420799999978</v>
      </c>
      <c r="J306" s="522">
        <f>Financials!J116</f>
        <v>-9.6651679999999658</v>
      </c>
      <c r="K306" s="522">
        <f>Financials!K116</f>
        <v>-173.23622400000005</v>
      </c>
      <c r="L306" s="522">
        <f>Financials!L116</f>
        <v>-28.566792000000191</v>
      </c>
      <c r="M306" s="522">
        <f>Financials!M116</f>
        <v>-225.34625999999969</v>
      </c>
      <c r="N306" s="522">
        <f>Financials!N116</f>
        <v>10.618652000000225</v>
      </c>
      <c r="O306" s="522">
        <f>Financials!O116</f>
        <v>-126.29800000000012</v>
      </c>
      <c r="P306" s="523">
        <f>Financials!P116</f>
        <v>2.8906308906073264</v>
      </c>
      <c r="Q306" s="523">
        <f>Financials!Q116</f>
        <v>23.946512812143283</v>
      </c>
      <c r="R306" s="523">
        <f>Financials!R116</f>
        <v>40.522229886226796</v>
      </c>
      <c r="S306" s="523">
        <f>Financials!S116</f>
        <v>76.033563564697488</v>
      </c>
      <c r="T306" s="523">
        <f>Financials!T116</f>
        <v>118.08696284599205</v>
      </c>
      <c r="U306" s="523">
        <f>Financials!U116</f>
        <v>126.32866976449145</v>
      </c>
      <c r="V306" s="523">
        <f>Financials!V116</f>
        <v>-57.55419217074359</v>
      </c>
      <c r="W306" s="523">
        <f>Financials!W116</f>
        <v>-75.469040342519065</v>
      </c>
    </row>
    <row r="307" spans="1:24">
      <c r="A307" s="513" t="s">
        <v>80</v>
      </c>
      <c r="B307" s="526"/>
      <c r="C307" s="526"/>
      <c r="D307" s="527">
        <f>Financials!D117+Financials!D118</f>
        <v>165.12500000000006</v>
      </c>
      <c r="E307" s="527">
        <f>Financials!E117+Financials!E118</f>
        <v>-432.71500000000026</v>
      </c>
      <c r="F307" s="527">
        <f>Financials!F117+Financials!F118</f>
        <v>-407.16099999999994</v>
      </c>
      <c r="G307" s="527">
        <f>Financials!G117+Financials!G118</f>
        <v>-423.19200000000018</v>
      </c>
      <c r="H307" s="527">
        <f>Financials!H117+Financials!H118</f>
        <v>224.34899999999971</v>
      </c>
      <c r="I307" s="527">
        <f>Financials!I117+Financials!I118</f>
        <v>-179.83720799999992</v>
      </c>
      <c r="J307" s="527">
        <f>Financials!J117+Financials!J118</f>
        <v>-162.49316799999986</v>
      </c>
      <c r="K307" s="527">
        <f>Financials!K117+Financials!K118</f>
        <v>-327.17722400000019</v>
      </c>
      <c r="L307" s="527">
        <f>Financials!L117+Financials!L118</f>
        <v>-103.72379200000012</v>
      </c>
      <c r="M307" s="527">
        <f>Financials!M117+Financials!M118</f>
        <v>-121.10826000000009</v>
      </c>
      <c r="N307" s="527">
        <f>Financials!N117+Financials!N118</f>
        <v>92.999652000000083</v>
      </c>
      <c r="O307" s="527">
        <f>Financials!O117+Financials!O118</f>
        <v>-81.478999999999928</v>
      </c>
      <c r="P307" s="528">
        <f>Financials!P117+Financials!P118</f>
        <v>471.8031977745145</v>
      </c>
      <c r="Q307" s="528">
        <f>Financials!Q117+Financials!Q118</f>
        <v>543.82937490024051</v>
      </c>
      <c r="R307" s="528">
        <f>Financials!R117+Financials!R118</f>
        <v>541.14360858351824</v>
      </c>
      <c r="S307" s="528">
        <f>Financials!S117+Financials!S118</f>
        <v>707.29050047404962</v>
      </c>
      <c r="T307" s="528">
        <f>Financials!T117+Financials!T118</f>
        <v>795.16555246071607</v>
      </c>
      <c r="U307" s="528">
        <f>Financials!U117+Financials!U118</f>
        <v>647.01852965942794</v>
      </c>
      <c r="V307" s="528">
        <f>Financials!V117+Financials!V118</f>
        <v>342.18480006594859</v>
      </c>
      <c r="W307" s="528">
        <f>Financials!W117+Financials!W118</f>
        <v>504.42451934925953</v>
      </c>
    </row>
    <row r="308" spans="1:24">
      <c r="A308" s="513" t="s">
        <v>304</v>
      </c>
      <c r="B308" s="529">
        <f>Financials!B87</f>
        <v>-6.133666666666681E-2</v>
      </c>
      <c r="C308" s="529">
        <f>Financials!C87</f>
        <v>0.11900666666666654</v>
      </c>
      <c r="D308" s="529">
        <f>Financials!D87</f>
        <v>0.57500666666666655</v>
      </c>
      <c r="E308" s="529">
        <f>Financials!E87</f>
        <v>0.58633038348082556</v>
      </c>
      <c r="F308" s="529">
        <f>Financials!F87</f>
        <v>-0.14393510324483755</v>
      </c>
      <c r="G308" s="529">
        <f>Financials!G87</f>
        <v>-0.21225223948042304</v>
      </c>
      <c r="H308" s="529">
        <f>Financials!H87</f>
        <v>0.28965423544596103</v>
      </c>
      <c r="I308" s="529">
        <f>Financials!I87</f>
        <v>0.42025441324579155</v>
      </c>
      <c r="J308" s="529">
        <f>Financials!J87</f>
        <v>0.37440819959605326</v>
      </c>
      <c r="K308" s="529">
        <f>Financials!K87</f>
        <v>0.2164039857490776</v>
      </c>
      <c r="L308" s="529">
        <f>Financials!L87</f>
        <v>0.4000592671615476</v>
      </c>
      <c r="M308" s="529">
        <f>Financials!M87</f>
        <v>0.93696615275562545</v>
      </c>
      <c r="N308" s="529">
        <f>Financials!N87</f>
        <v>0.5872511086376565</v>
      </c>
      <c r="O308" s="529">
        <f>Financials!O87</f>
        <v>0.83975874033822517</v>
      </c>
      <c r="P308" s="530">
        <f>Financials!P87</f>
        <v>1.4811048649185479</v>
      </c>
      <c r="Q308" s="530">
        <f>Financials!Q87</f>
        <v>1.5764518198367707</v>
      </c>
      <c r="R308" s="530">
        <f>Financials!R87</f>
        <v>1.8646097330913265</v>
      </c>
      <c r="S308" s="530">
        <f>Financials!S87</f>
        <v>2.2286761856205777</v>
      </c>
      <c r="T308" s="530">
        <f>Financials!T87</f>
        <v>2.3649831527464777</v>
      </c>
      <c r="U308" s="530">
        <f>Financials!U87</f>
        <v>1.9555000102384512</v>
      </c>
      <c r="V308" s="530">
        <f>Financials!V87</f>
        <v>1.642178028403759</v>
      </c>
      <c r="W308" s="530">
        <f>Financials!W87</f>
        <v>2.1463938340799791</v>
      </c>
    </row>
    <row r="309" spans="1:24">
      <c r="A309" s="423"/>
      <c r="B309" s="423"/>
      <c r="C309" s="423"/>
      <c r="D309" s="423"/>
      <c r="E309" s="423"/>
      <c r="F309" s="423"/>
      <c r="G309" s="423"/>
      <c r="H309" s="423"/>
      <c r="I309" s="423"/>
      <c r="J309" s="423"/>
      <c r="K309" s="423"/>
      <c r="L309" s="423"/>
      <c r="M309" s="423"/>
      <c r="N309" s="423"/>
      <c r="O309" s="423"/>
      <c r="P309" s="423"/>
      <c r="Q309" s="423"/>
      <c r="R309" s="423"/>
      <c r="S309" s="423"/>
      <c r="T309" s="423"/>
      <c r="U309" s="423"/>
      <c r="V309" s="423"/>
      <c r="W309" s="423"/>
    </row>
    <row r="310" spans="1:24">
      <c r="A310" s="674" t="s">
        <v>346</v>
      </c>
      <c r="B310" s="675">
        <f>Financials!B$4</f>
        <v>2004</v>
      </c>
      <c r="C310" s="675">
        <f>Financials!C$4</f>
        <v>2005</v>
      </c>
      <c r="D310" s="675">
        <f>Financials!D$4</f>
        <v>2006</v>
      </c>
      <c r="E310" s="675">
        <f>Financials!E$4</f>
        <v>2007</v>
      </c>
      <c r="F310" s="675">
        <f>Financials!F$4</f>
        <v>2008</v>
      </c>
      <c r="G310" s="675">
        <f>Financials!G$4</f>
        <v>2009</v>
      </c>
      <c r="H310" s="675">
        <f>Financials!H$4</f>
        <v>2010</v>
      </c>
      <c r="I310" s="675">
        <f>Financials!I$4</f>
        <v>2011</v>
      </c>
      <c r="J310" s="675">
        <f>Financials!J$4</f>
        <v>2012</v>
      </c>
      <c r="K310" s="675">
        <f>Financials!K$4</f>
        <v>2013</v>
      </c>
      <c r="L310" s="675">
        <f>Financials!L$4</f>
        <v>2014</v>
      </c>
      <c r="M310" s="675">
        <f>Financials!M$4</f>
        <v>2015</v>
      </c>
      <c r="N310" s="675">
        <f t="shared" ref="N310:W310" si="224">N$7</f>
        <v>2016</v>
      </c>
      <c r="O310" s="675">
        <f t="shared" si="224"/>
        <v>2017</v>
      </c>
      <c r="P310" s="490" t="str">
        <f t="shared" si="224"/>
        <v>2018E</v>
      </c>
      <c r="Q310" s="490" t="str">
        <f t="shared" si="224"/>
        <v>2019E</v>
      </c>
      <c r="R310" s="490" t="str">
        <f t="shared" si="224"/>
        <v>2020E</v>
      </c>
      <c r="S310" s="490" t="str">
        <f t="shared" si="224"/>
        <v>2021E</v>
      </c>
      <c r="T310" s="490" t="str">
        <f t="shared" si="224"/>
        <v>2022E</v>
      </c>
      <c r="U310" s="490" t="str">
        <f t="shared" si="224"/>
        <v>2023E</v>
      </c>
      <c r="V310" s="490" t="str">
        <f t="shared" si="224"/>
        <v>2024E</v>
      </c>
      <c r="W310" s="490" t="str">
        <f t="shared" si="224"/>
        <v>2025E</v>
      </c>
    </row>
    <row r="311" spans="1:24">
      <c r="A311" s="513" t="s">
        <v>1089</v>
      </c>
      <c r="B311" s="60">
        <f t="shared" ref="B311:R311" si="225">B302/B301</f>
        <v>0.42901930501930496</v>
      </c>
      <c r="C311" s="60">
        <f t="shared" si="225"/>
        <v>0.45188213514347425</v>
      </c>
      <c r="D311" s="60">
        <f t="shared" si="225"/>
        <v>0.53905339211061087</v>
      </c>
      <c r="E311" s="60">
        <f t="shared" si="225"/>
        <v>0.64128284638195254</v>
      </c>
      <c r="F311" s="60">
        <f t="shared" si="225"/>
        <v>0.39309817242637779</v>
      </c>
      <c r="G311" s="60">
        <f t="shared" si="225"/>
        <v>0.43890641402917963</v>
      </c>
      <c r="H311" s="60">
        <f t="shared" si="225"/>
        <v>0.46948328637370834</v>
      </c>
      <c r="I311" s="60">
        <f t="shared" si="225"/>
        <v>0.56345808739270486</v>
      </c>
      <c r="J311" s="60">
        <f t="shared" si="225"/>
        <v>0.53268787628292824</v>
      </c>
      <c r="K311" s="60">
        <f t="shared" si="225"/>
        <v>0.52275887784199437</v>
      </c>
      <c r="L311" s="60">
        <f t="shared" ref="L311:M311" si="226">L302/L301</f>
        <v>0.49640511439425056</v>
      </c>
      <c r="M311" s="60">
        <f t="shared" si="226"/>
        <v>0.55098741507043369</v>
      </c>
      <c r="N311" s="60">
        <f t="shared" si="225"/>
        <v>0.54622368215051886</v>
      </c>
      <c r="O311" s="60">
        <f t="shared" si="225"/>
        <v>0.5217521034792576</v>
      </c>
      <c r="P311" s="404">
        <f t="shared" si="225"/>
        <v>0.56041021645547784</v>
      </c>
      <c r="Q311" s="404">
        <f t="shared" si="225"/>
        <v>0.55246694900654114</v>
      </c>
      <c r="R311" s="404">
        <f t="shared" si="225"/>
        <v>0.55795395334408959</v>
      </c>
      <c r="S311" s="404">
        <f t="shared" ref="S311:W311" si="227">S302/S301</f>
        <v>0.56238646826180971</v>
      </c>
      <c r="T311" s="404">
        <f t="shared" si="227"/>
        <v>0.56083064606104605</v>
      </c>
      <c r="U311" s="404">
        <f t="shared" si="227"/>
        <v>0.54505166187927745</v>
      </c>
      <c r="V311" s="404">
        <f t="shared" si="227"/>
        <v>0.5344833642692528</v>
      </c>
      <c r="W311" s="404">
        <f t="shared" si="227"/>
        <v>0.58967040581556651</v>
      </c>
    </row>
    <row r="312" spans="1:24">
      <c r="A312" s="531" t="s">
        <v>1084</v>
      </c>
      <c r="B312" s="359">
        <f t="shared" ref="B312:R312" si="228">B304/B301</f>
        <v>4.1567567567567479E-2</v>
      </c>
      <c r="C312" s="359">
        <f t="shared" si="228"/>
        <v>0.13191916075285401</v>
      </c>
      <c r="D312" s="359">
        <f t="shared" si="228"/>
        <v>0.29069876810284867</v>
      </c>
      <c r="E312" s="359">
        <f t="shared" si="228"/>
        <v>0.3029338069560103</v>
      </c>
      <c r="F312" s="359">
        <f t="shared" si="228"/>
        <v>-8.8207798770388132E-2</v>
      </c>
      <c r="G312" s="359">
        <f t="shared" si="228"/>
        <v>5.2519036262190948E-2</v>
      </c>
      <c r="H312" s="359">
        <f t="shared" si="228"/>
        <v>0.10505152600470202</v>
      </c>
      <c r="I312" s="359">
        <f t="shared" si="228"/>
        <v>0.18205706749197692</v>
      </c>
      <c r="J312" s="359">
        <f t="shared" si="228"/>
        <v>0.16899026327917552</v>
      </c>
      <c r="K312" s="359">
        <f t="shared" si="228"/>
        <v>0.12152534757985384</v>
      </c>
      <c r="L312" s="359">
        <f t="shared" ref="L312:M312" si="229">L304/L301</f>
        <v>0.15363368480846382</v>
      </c>
      <c r="M312" s="359">
        <f t="shared" si="229"/>
        <v>0.22909629522588093</v>
      </c>
      <c r="N312" s="359">
        <f t="shared" si="228"/>
        <v>0.1877454508522651</v>
      </c>
      <c r="O312" s="359">
        <f t="shared" si="228"/>
        <v>0.23526965095531563</v>
      </c>
      <c r="P312" s="360">
        <f t="shared" si="228"/>
        <v>0.22478883880160416</v>
      </c>
      <c r="Q312" s="360">
        <f t="shared" si="228"/>
        <v>0.21443445977918613</v>
      </c>
      <c r="R312" s="360">
        <f t="shared" si="228"/>
        <v>0.22186954792198774</v>
      </c>
      <c r="S312" s="360">
        <f t="shared" ref="S312:W312" si="230">S304/S301</f>
        <v>0.23271325364125833</v>
      </c>
      <c r="T312" s="360">
        <f t="shared" si="230"/>
        <v>0.23230905309093788</v>
      </c>
      <c r="U312" s="360">
        <f t="shared" si="230"/>
        <v>0.20880229259788669</v>
      </c>
      <c r="V312" s="360">
        <f t="shared" si="230"/>
        <v>0.19174431709373665</v>
      </c>
      <c r="W312" s="360">
        <f t="shared" si="230"/>
        <v>0.25200605188534425</v>
      </c>
    </row>
    <row r="313" spans="1:24">
      <c r="A313" s="513" t="s">
        <v>392</v>
      </c>
      <c r="B313" s="60">
        <f>Financials!B135</f>
        <v>0.13403861003861006</v>
      </c>
      <c r="C313" s="60">
        <f>Financials!C135</f>
        <v>0.18430268435668007</v>
      </c>
      <c r="D313" s="60">
        <f>Financials!D135</f>
        <v>0.17413015982238109</v>
      </c>
      <c r="E313" s="60">
        <f>Financials!E135</f>
        <v>0.16199758752481741</v>
      </c>
      <c r="F313" s="60">
        <f>Financials!F135</f>
        <v>0.23683922405322699</v>
      </c>
      <c r="G313" s="60">
        <f>Financials!G135</f>
        <v>0.34907139712025287</v>
      </c>
      <c r="H313" s="60">
        <f>Financials!H135</f>
        <v>1.369647743656225E-2</v>
      </c>
      <c r="I313" s="60">
        <f>Financials!I135</f>
        <v>7.3580648449299915E-2</v>
      </c>
      <c r="J313" s="60">
        <f>Financials!J135</f>
        <v>3.2267609858155508E-2</v>
      </c>
      <c r="K313" s="60">
        <f>Financials!K135</f>
        <v>6.0132308040257834E-2</v>
      </c>
      <c r="L313" s="60">
        <f>Financials!L135</f>
        <v>5.2097185663060611E-2</v>
      </c>
      <c r="M313" s="60">
        <f>Financials!M135</f>
        <v>2.1536176834130304E-2</v>
      </c>
      <c r="N313" s="60">
        <f>Financials!N135</f>
        <v>3.8319903467761561E-2</v>
      </c>
      <c r="O313" s="60">
        <f>Financials!O135</f>
        <v>5.844786774838303E-2</v>
      </c>
      <c r="P313" s="404">
        <f>Financials!P135</f>
        <v>6.1559253852271976E-2</v>
      </c>
      <c r="Q313" s="404">
        <f>Financials!Q135</f>
        <v>7.7482659639042079E-2</v>
      </c>
      <c r="R313" s="404">
        <f>Financials!R135</f>
        <v>9.031771278531206E-2</v>
      </c>
      <c r="S313" s="404">
        <f>Financials!S135</f>
        <v>0.10415131807922773</v>
      </c>
      <c r="T313" s="404">
        <f>Financials!T135</f>
        <v>0.11799899113412919</v>
      </c>
      <c r="U313" s="404">
        <f>Financials!U135</f>
        <v>0.13457420479084992</v>
      </c>
      <c r="V313" s="404">
        <f>Financials!V135</f>
        <v>0.14999004137041977</v>
      </c>
      <c r="W313" s="404">
        <f>Financials!W135</f>
        <v>0.15457244701069117</v>
      </c>
    </row>
    <row r="314" spans="1:24">
      <c r="A314" s="513" t="s">
        <v>389</v>
      </c>
      <c r="B314" s="514" t="e">
        <f>NA()</f>
        <v>#N/A</v>
      </c>
      <c r="C314" s="60">
        <f>Financials!C130</f>
        <v>4.0399902683557441E-2</v>
      </c>
      <c r="D314" s="60">
        <f>Financials!D130</f>
        <v>0.18952681471194455</v>
      </c>
      <c r="E314" s="60">
        <f>Financials!E130</f>
        <v>0.21236795516004561</v>
      </c>
      <c r="F314" s="60">
        <f>Financials!F130</f>
        <v>-2.9059771030873208E-2</v>
      </c>
      <c r="G314" s="60">
        <f>Financials!G130</f>
        <v>-4.4029746500411762E-2</v>
      </c>
      <c r="H314" s="60">
        <f>Financials!H130</f>
        <v>6.1547189609424513E-2</v>
      </c>
      <c r="I314" s="60">
        <f>Financials!I130</f>
        <v>7.4521666856081262E-2</v>
      </c>
      <c r="J314" s="60">
        <f>Financials!J130</f>
        <v>6.4814843254876381E-2</v>
      </c>
      <c r="K314" s="60">
        <f>Financials!K130</f>
        <v>3.6028534401694109E-2</v>
      </c>
      <c r="L314" s="60">
        <f>Financials!L130</f>
        <v>6.4267784179600579E-2</v>
      </c>
      <c r="M314" s="60">
        <f>Financials!M130</f>
        <v>0.15281567203865967</v>
      </c>
      <c r="N314" s="60">
        <f>Financials!N130</f>
        <v>7.6233761517687681E-2</v>
      </c>
      <c r="O314" s="60">
        <f>Financials!O130</f>
        <v>0.10726529199572134</v>
      </c>
      <c r="P314" s="404">
        <f>Financials!P130</f>
        <v>0.1536152599865698</v>
      </c>
      <c r="Q314" s="404">
        <f>Financials!Q130</f>
        <v>0.16796228854269005</v>
      </c>
      <c r="R314" s="404">
        <f>Financials!R130</f>
        <v>0.18327249842198215</v>
      </c>
      <c r="S314" s="404">
        <f>Financials!S130</f>
        <v>0.20764017164641008</v>
      </c>
      <c r="T314" s="404">
        <f>Financials!T130</f>
        <v>0.20741899524148216</v>
      </c>
      <c r="U314" s="404">
        <f>Financials!U130</f>
        <v>0.16145871555437435</v>
      </c>
      <c r="V314" s="404">
        <f>Financials!V130</f>
        <v>0.13558882832496355</v>
      </c>
      <c r="W314" s="404">
        <f>Financials!W130</f>
        <v>0.17722014303754671</v>
      </c>
    </row>
    <row r="315" spans="1:24">
      <c r="A315" s="532" t="s">
        <v>390</v>
      </c>
      <c r="B315" s="514" t="e">
        <f>NA()</f>
        <v>#N/A</v>
      </c>
      <c r="C315" s="418">
        <f>IF((Financials!C131)&lt;0,"n.s.",(Financials!C131))</f>
        <v>4.9597239822901505E-2</v>
      </c>
      <c r="D315" s="418">
        <f>IF((Financials!D131)&lt;0,"n.s.",(Financials!D131))</f>
        <v>0.13414572857799245</v>
      </c>
      <c r="E315" s="418">
        <f>IF((Financials!E131)&lt;0,"n.s.",(Financials!E131))</f>
        <v>0.10421085489537274</v>
      </c>
      <c r="F315" s="418" t="str">
        <f>IF((Financials!F131)&lt;0,"n.s.",(Financials!F131))</f>
        <v>n.s.</v>
      </c>
      <c r="G315" s="418">
        <f>IF((Financials!G131)&lt;0,"n.s.",(Financials!G131))</f>
        <v>1.089235211389904E-2</v>
      </c>
      <c r="H315" s="418">
        <f>IF((Financials!H131)&lt;0,"n.s.",(Financials!H131))</f>
        <v>2.9418368219598305E-2</v>
      </c>
      <c r="I315" s="418">
        <f>IF((Financials!I131)&lt;0,"n.s.",(Financials!I131))</f>
        <v>5.6018699835137992E-2</v>
      </c>
      <c r="J315" s="418">
        <f>IF((Financials!J131)&lt;0,"n.s.",(Financials!J131))</f>
        <v>5.1141831150253898E-2</v>
      </c>
      <c r="K315" s="418">
        <f>IF((Financials!K131)&lt;0,"n.s.",(Financials!K131))</f>
        <v>3.5685402364574716E-2</v>
      </c>
      <c r="L315" s="418">
        <f>IF((Financials!L131)&lt;0,"n.s.",(Financials!L131))</f>
        <v>4.7785048179808179E-2</v>
      </c>
      <c r="M315" s="418">
        <f>IF((Financials!M131)&lt;0,"n.s.",(Financials!M131))</f>
        <v>6.6871600763110439E-2</v>
      </c>
      <c r="N315" s="418">
        <f>IF((Financials!N131)&lt;0,"n.s.",(Financials!N131))</f>
        <v>5.3213869602196151E-2</v>
      </c>
      <c r="O315" s="418">
        <f>IF((Financials!O131)&lt;0,"n.s.",(Financials!O131))</f>
        <v>6.8597832675230827E-2</v>
      </c>
      <c r="P315" s="533">
        <f>IF((Financials!P131)&lt;0,"n.s.",(Financials!P131))</f>
        <v>7.7162616768305353E-2</v>
      </c>
      <c r="Q315" s="533">
        <f>IF((Financials!Q131)&lt;0,"n.s.",(Financials!Q131))</f>
        <v>7.5577160545731756E-2</v>
      </c>
      <c r="R315" s="533">
        <f>IF((Financials!R131)&lt;0,"n.s.",(Financials!R131))</f>
        <v>8.1633133523451515E-2</v>
      </c>
      <c r="S315" s="533">
        <f>IF((Financials!S131)&lt;0,"n.s.",(Financials!S131))</f>
        <v>9.5628853366744565E-2</v>
      </c>
      <c r="T315" s="533">
        <f>IF((Financials!T131)&lt;0,"n.s.",(Financials!T131))</f>
        <v>9.8886206931128137E-2</v>
      </c>
      <c r="U315" s="533">
        <f>IF((Financials!U131)&lt;0,"n.s.",(Financials!U131))</f>
        <v>8.3211253622587397E-2</v>
      </c>
      <c r="V315" s="533">
        <f>IF((Financials!V131)&lt;0,"n.s.",(Financials!V131))</f>
        <v>7.4456733680659207E-2</v>
      </c>
      <c r="W315" s="533">
        <f>IF((Financials!W131)&lt;0,"n.s.",(Financials!W131))</f>
        <v>0.10950831815951925</v>
      </c>
    </row>
    <row r="316" spans="1:24">
      <c r="M316" s="1401"/>
      <c r="N316" s="1401"/>
      <c r="O316" s="1401"/>
      <c r="S316" s="1401"/>
      <c r="T316" s="1401"/>
      <c r="U316" s="1401"/>
      <c r="V316" s="1401"/>
      <c r="W316" s="1401"/>
    </row>
    <row r="317" spans="1:24">
      <c r="A317" s="674" t="s">
        <v>46</v>
      </c>
      <c r="B317" s="675">
        <f>Financials!B$4</f>
        <v>2004</v>
      </c>
      <c r="C317" s="675">
        <f>Financials!C$4</f>
        <v>2005</v>
      </c>
      <c r="D317" s="675">
        <f>Financials!D$4</f>
        <v>2006</v>
      </c>
      <c r="E317" s="675">
        <f>Financials!E$4</f>
        <v>2007</v>
      </c>
      <c r="F317" s="675">
        <f>Financials!F$4</f>
        <v>2008</v>
      </c>
      <c r="G317" s="675">
        <f>Financials!G$4</f>
        <v>2009</v>
      </c>
      <c r="H317" s="675">
        <f>Financials!H$4</f>
        <v>2010</v>
      </c>
      <c r="I317" s="675">
        <f>Financials!I$4</f>
        <v>2011</v>
      </c>
      <c r="J317" s="675">
        <f>Financials!J$4</f>
        <v>2012</v>
      </c>
      <c r="K317" s="675">
        <f>Financials!K$4</f>
        <v>2013</v>
      </c>
      <c r="L317" s="675">
        <f>Financials!L$4</f>
        <v>2014</v>
      </c>
      <c r="M317" s="675">
        <f>Financials!M$4</f>
        <v>2015</v>
      </c>
      <c r="N317" s="675">
        <f t="shared" ref="N317:W317" si="231">N$7</f>
        <v>2016</v>
      </c>
      <c r="O317" s="675">
        <f t="shared" si="231"/>
        <v>2017</v>
      </c>
      <c r="P317" s="490" t="str">
        <f t="shared" si="231"/>
        <v>2018E</v>
      </c>
      <c r="Q317" s="490" t="str">
        <f t="shared" si="231"/>
        <v>2019E</v>
      </c>
      <c r="R317" s="490" t="str">
        <f t="shared" si="231"/>
        <v>2020E</v>
      </c>
      <c r="S317" s="490" t="str">
        <f t="shared" si="231"/>
        <v>2021E</v>
      </c>
      <c r="T317" s="490" t="str">
        <f t="shared" si="231"/>
        <v>2022E</v>
      </c>
      <c r="U317" s="490" t="str">
        <f t="shared" si="231"/>
        <v>2023E</v>
      </c>
      <c r="V317" s="490" t="str">
        <f t="shared" si="231"/>
        <v>2024E</v>
      </c>
      <c r="W317" s="490" t="str">
        <f t="shared" si="231"/>
        <v>2025E</v>
      </c>
    </row>
    <row r="318" spans="1:24">
      <c r="A318" s="513" t="s">
        <v>347</v>
      </c>
      <c r="B318" s="534">
        <f>Financials!B134</f>
        <v>69.432000000000016</v>
      </c>
      <c r="C318" s="534">
        <f>Financials!C134</f>
        <v>119.465</v>
      </c>
      <c r="D318" s="534">
        <f>Financials!D134</f>
        <v>140.70099999999999</v>
      </c>
      <c r="E318" s="534">
        <f>Financials!E134</f>
        <v>133.89699999999999</v>
      </c>
      <c r="F318" s="534">
        <f>Financials!F134</f>
        <v>168.72899999999998</v>
      </c>
      <c r="G318" s="534">
        <f>Financials!G134</f>
        <v>270.33589999999998</v>
      </c>
      <c r="H318" s="534">
        <f>Financials!H134</f>
        <v>16.206849999999996</v>
      </c>
      <c r="I318" s="534">
        <f>Financials!I134</f>
        <v>95.288999999999959</v>
      </c>
      <c r="J318" s="534">
        <f>Financials!J134</f>
        <v>44.109499999999997</v>
      </c>
      <c r="K318" s="534">
        <f>Financials!K134</f>
        <v>98.373750000000001</v>
      </c>
      <c r="L318" s="534">
        <f>Financials!L134</f>
        <v>102.71949999999998</v>
      </c>
      <c r="M318" s="534">
        <f>Financials!M134</f>
        <v>50.075100000000077</v>
      </c>
      <c r="N318" s="534">
        <f>Financials!N134</f>
        <v>104.51290000000006</v>
      </c>
      <c r="O318" s="534">
        <f>Financials!O134</f>
        <v>175.51204999999993</v>
      </c>
      <c r="P318" s="535">
        <f>Financials!P134</f>
        <v>225.10748691859089</v>
      </c>
      <c r="Q318" s="535">
        <f>Financials!Q134</f>
        <v>293.04684425910023</v>
      </c>
      <c r="R318" s="535">
        <f>Financials!R134</f>
        <v>368.92843378789894</v>
      </c>
      <c r="S318" s="535">
        <f>Financials!S134</f>
        <v>489.62416096609593</v>
      </c>
      <c r="T318" s="535">
        <f>Financials!T134</f>
        <v>593.67640730986193</v>
      </c>
      <c r="U318" s="535">
        <f>Financials!U134</f>
        <v>644.36240579541288</v>
      </c>
      <c r="V318" s="535">
        <f>Financials!V134</f>
        <v>699.78636150236025</v>
      </c>
      <c r="W318" s="535">
        <f>Financials!W134</f>
        <v>807.03020747956475</v>
      </c>
    </row>
    <row r="319" spans="1:24">
      <c r="A319" s="513" t="s">
        <v>348</v>
      </c>
      <c r="B319" s="536">
        <f>Financials!B68/-Financials!B71</f>
        <v>0.5221777616102814</v>
      </c>
      <c r="C319" s="536">
        <f>Financials!C68/-Financials!C71</f>
        <v>2.6668537924151683</v>
      </c>
      <c r="D319" s="536">
        <f>Financials!D68/-Financials!D71</f>
        <v>7.0756694882067643</v>
      </c>
      <c r="E319" s="536">
        <f>Financials!E68/-Financials!E71</f>
        <v>11.046278731195121</v>
      </c>
      <c r="F319" s="536" t="s">
        <v>36</v>
      </c>
      <c r="G319" s="536">
        <f>Financials!G68/-Financials!G71</f>
        <v>0.39751947379223329</v>
      </c>
      <c r="H319" s="536">
        <f>Financials!H68/-Financials!H71</f>
        <v>1.6321905487204382</v>
      </c>
      <c r="I319" s="536">
        <f>Financials!I68/-Financials!I71</f>
        <v>3.7941583521081403</v>
      </c>
      <c r="J319" s="536">
        <f>Financials!J68/-Financials!J71</f>
        <v>5.4377854149992997</v>
      </c>
      <c r="K319" s="536">
        <f>Financials!K68/-Financials!K71</f>
        <v>2.3421926910298989</v>
      </c>
      <c r="L319" s="536">
        <f>Financials!L68/-Financials!L71</f>
        <v>2.6412814118549783</v>
      </c>
      <c r="M319" s="536">
        <f>Financials!M68/-Financials!M71</f>
        <v>3.1602346952699034</v>
      </c>
      <c r="N319" s="536">
        <f>Financials!N68/-Financials!N71</f>
        <v>2.6802462221338206</v>
      </c>
      <c r="O319" s="536">
        <f>Financials!O68/-Financials!O71</f>
        <v>3.3480257421238209</v>
      </c>
      <c r="P319" s="537">
        <f>Financials!P68/-Financials!P71</f>
        <v>4.494054136029046</v>
      </c>
      <c r="Q319" s="537">
        <f>Financials!Q68/-Financials!Q71</f>
        <v>5.3214960859678584</v>
      </c>
      <c r="R319" s="537">
        <f>Financials!R68/-Financials!R71</f>
        <v>7.119639291935651</v>
      </c>
      <c r="S319" s="537">
        <f>Financials!S68/-Financials!S71</f>
        <v>9.2682265302246023</v>
      </c>
      <c r="T319" s="537">
        <f>Financials!T68/-Financials!T71</f>
        <v>10.866006384060212</v>
      </c>
      <c r="U319" s="537">
        <f>Financials!U68/-Financials!U71</f>
        <v>9.989778216888503</v>
      </c>
      <c r="V319" s="537">
        <f>Financials!V68/-Financials!V71</f>
        <v>7.4907967117086116</v>
      </c>
      <c r="W319" s="537">
        <f>Financials!W68/-Financials!W71</f>
        <v>9.8411349017875658</v>
      </c>
    </row>
    <row r="320" spans="1:24">
      <c r="A320" s="54" t="s">
        <v>325</v>
      </c>
      <c r="B320" s="107"/>
      <c r="C320" s="1134"/>
      <c r="D320" s="84">
        <f>-Financials!D73/(Financials!D105)</f>
        <v>0.29637150245325555</v>
      </c>
      <c r="E320" s="84">
        <f>-Financials!E73/(Financials!E105)</f>
        <v>0.28225883898228954</v>
      </c>
      <c r="F320" s="84">
        <f>-Financials!F73/(Financials!F105)</f>
        <v>0.14895559944803702</v>
      </c>
      <c r="G320" s="84">
        <f>-Financials!G73/(Financials!G105)</f>
        <v>0.13599796110276222</v>
      </c>
      <c r="H320" s="84">
        <f>-Financials!H73/(Financials!H105)</f>
        <v>0.18927925673645404</v>
      </c>
      <c r="I320" s="84">
        <f>-Financials!I73/(Financials!I105)</f>
        <v>0.13775333818690594</v>
      </c>
      <c r="J320" s="84">
        <f>-Financials!J73/(Financials!J105)</f>
        <v>9.4794158368347509E-2</v>
      </c>
      <c r="K320" s="84">
        <f>-Financials!K73/(Financials!K105)</f>
        <v>8.8885760618711285E-2</v>
      </c>
      <c r="L320" s="84">
        <f>-Financials!L73/(Financials!L105)</f>
        <v>7.1722081348094477E-2</v>
      </c>
      <c r="M320" s="84">
        <f>-Financials!M73/(Financials!M105)</f>
        <v>7.363984014837277E-2</v>
      </c>
      <c r="N320" s="84">
        <f>-Financials!N73/(Financials!N105)</f>
        <v>8.1368089756056736E-2</v>
      </c>
      <c r="O320" s="84">
        <f>-Financials!O73/(Financials!O105)</f>
        <v>9.2376056095286041E-2</v>
      </c>
      <c r="P320" s="111">
        <f>-Financials!P73/(Financials!P105)</f>
        <v>8.7833747693575465E-2</v>
      </c>
      <c r="Q320" s="111">
        <f>-Financials!Q73/(Financials!Q105)</f>
        <v>7.3006367233024561E-2</v>
      </c>
      <c r="R320" s="111">
        <f>-Financials!R73/(Financials!R105)</f>
        <v>6.8599051338588346E-2</v>
      </c>
      <c r="S320" s="111">
        <f>-Financials!S73/(Financials!S105)</f>
        <v>6.8599051338588346E-2</v>
      </c>
      <c r="T320" s="111">
        <f>-Financials!T73/(Financials!T105)</f>
        <v>6.8599051338588346E-2</v>
      </c>
      <c r="U320" s="111">
        <f>-Financials!U73/(Financials!U105)</f>
        <v>6.8599051338588346E-2</v>
      </c>
      <c r="V320" s="111">
        <f>-Financials!V73/(Financials!V105)</f>
        <v>6.8599051338588346E-2</v>
      </c>
      <c r="W320" s="111">
        <f>-Financials!W73/(Financials!W105)</f>
        <v>6.8599051338588346E-2</v>
      </c>
      <c r="X320" s="107"/>
    </row>
    <row r="321" spans="1:25">
      <c r="A321" s="54"/>
      <c r="E321" s="107"/>
      <c r="F321" s="107"/>
      <c r="G321" s="107"/>
      <c r="H321" s="107"/>
      <c r="I321" s="107"/>
      <c r="J321" s="107"/>
      <c r="K321" s="107"/>
      <c r="L321" s="107"/>
      <c r="M321" s="107"/>
      <c r="N321" s="107"/>
      <c r="O321" s="107"/>
      <c r="P321" s="421"/>
      <c r="Q321" s="421"/>
      <c r="R321" s="421"/>
      <c r="S321" s="421"/>
      <c r="T321" s="421"/>
      <c r="U321" s="421"/>
      <c r="V321" s="421"/>
      <c r="W321" s="421"/>
      <c r="X321" s="107"/>
    </row>
    <row r="322" spans="1:25">
      <c r="A322" s="674"/>
      <c r="B322" s="675">
        <f>Financials!$B$4</f>
        <v>2004</v>
      </c>
      <c r="C322" s="675">
        <f>Financials!$C$4</f>
        <v>2005</v>
      </c>
      <c r="D322" s="675">
        <f>Financials!$D$4</f>
        <v>2006</v>
      </c>
      <c r="E322" s="675">
        <f>Financials!$E$4</f>
        <v>2007</v>
      </c>
      <c r="F322" s="675">
        <f>Financials!$F$4</f>
        <v>2008</v>
      </c>
      <c r="G322" s="675">
        <f>Financials!$G$4</f>
        <v>2009</v>
      </c>
      <c r="H322" s="675">
        <f>Financials!$H$4</f>
        <v>2010</v>
      </c>
      <c r="I322" s="675">
        <f>Financials!$I$4</f>
        <v>2011</v>
      </c>
      <c r="J322" s="675">
        <f>Financials!$J$4</f>
        <v>2012</v>
      </c>
      <c r="K322" s="675">
        <f>Financials!$K$4</f>
        <v>2013</v>
      </c>
      <c r="L322" s="675">
        <f>Financials!$K$4</f>
        <v>2013</v>
      </c>
      <c r="M322" s="675">
        <f>Financials!M$4</f>
        <v>2015</v>
      </c>
      <c r="N322" s="675">
        <f>Financials!N$4</f>
        <v>2016</v>
      </c>
      <c r="O322" s="675">
        <f>Financials!O$4</f>
        <v>2017</v>
      </c>
      <c r="P322" s="490">
        <f>Financials!P$4</f>
        <v>2018</v>
      </c>
      <c r="Q322" s="490">
        <f>Financials!Q$4</f>
        <v>2019</v>
      </c>
      <c r="R322" s="490">
        <f>Financials!R$4</f>
        <v>2020</v>
      </c>
      <c r="S322" s="490">
        <f>Financials!S$4</f>
        <v>2021</v>
      </c>
      <c r="T322" s="490">
        <f>Financials!T$4</f>
        <v>2022</v>
      </c>
      <c r="U322" s="490">
        <f>Financials!U$4</f>
        <v>2023</v>
      </c>
      <c r="V322" s="490">
        <f>Financials!V$4</f>
        <v>2024</v>
      </c>
      <c r="W322" s="490">
        <f>Financials!W$4</f>
        <v>2025</v>
      </c>
    </row>
    <row r="323" spans="1:25" s="31" customFormat="1" ht="12.75">
      <c r="A323" s="210" t="s">
        <v>190</v>
      </c>
      <c r="B323" s="514" t="e">
        <f>NA()</f>
        <v>#N/A</v>
      </c>
      <c r="C323" s="1600">
        <f>Financials!C37</f>
        <v>312.7</v>
      </c>
      <c r="D323" s="1600">
        <f>Financials!D37</f>
        <v>346.29500000000002</v>
      </c>
      <c r="E323" s="1600">
        <f>Financials!E37</f>
        <v>422.65</v>
      </c>
      <c r="F323" s="1600">
        <f>Financials!F37</f>
        <v>273.84899999999999</v>
      </c>
      <c r="G323" s="1600">
        <f>Financials!G37</f>
        <v>229.102</v>
      </c>
      <c r="H323" s="1600">
        <f>Financials!H37</f>
        <v>582.25300000000004</v>
      </c>
      <c r="I323" s="1600">
        <f>Financials!I37</f>
        <v>702.17499999999995</v>
      </c>
      <c r="J323" s="1600">
        <f>Financials!J37</f>
        <v>766.68700000000001</v>
      </c>
      <c r="K323" s="1600">
        <f>Financials!K37</f>
        <v>950.32600000000002</v>
      </c>
      <c r="L323" s="1600">
        <f>Financials!L37</f>
        <v>884.274</v>
      </c>
      <c r="M323" s="1600">
        <f>Financials!M37</f>
        <v>1089.1469999999999</v>
      </c>
      <c r="N323" s="1600">
        <f>Financials!N37</f>
        <v>1258.73</v>
      </c>
      <c r="O323" s="1600">
        <f>Financials!O37</f>
        <v>1644.63</v>
      </c>
      <c r="P323" s="1600">
        <f>Financials!P37</f>
        <v>1964.0391383325343</v>
      </c>
      <c r="Q323" s="1600">
        <f>Financials!Q37</f>
        <v>1777.9307125647576</v>
      </c>
      <c r="R323" s="1600">
        <f>Financials!R37</f>
        <v>1886.329158677735</v>
      </c>
      <c r="S323" s="1600">
        <f>Financials!S37</f>
        <v>2337.0932331010231</v>
      </c>
      <c r="T323" s="1600">
        <f>Financials!T37</f>
        <v>2545.985218926261</v>
      </c>
      <c r="U323" s="1600">
        <f>Financials!U37</f>
        <v>2178.3972873266416</v>
      </c>
      <c r="V323" s="1600">
        <f>Financials!V37</f>
        <v>1928.3817042516089</v>
      </c>
      <c r="W323" s="1600">
        <f>Financials!W37</f>
        <v>2250.2563740321998</v>
      </c>
      <c r="X323" s="52"/>
      <c r="Y323" s="52"/>
    </row>
    <row r="324" spans="1:25" s="31" customFormat="1" ht="12.75">
      <c r="A324" s="210" t="s">
        <v>191</v>
      </c>
      <c r="B324" s="514" t="e">
        <f>NA()</f>
        <v>#N/A</v>
      </c>
      <c r="C324" s="514" t="e">
        <f>NA()</f>
        <v>#N/A</v>
      </c>
      <c r="D324" s="211">
        <f>Financials!D17</f>
        <v>549.87709759784548</v>
      </c>
      <c r="E324" s="211">
        <f>Financials!E17</f>
        <v>624.90574295252998</v>
      </c>
      <c r="F324" s="211">
        <f>Financials!F17</f>
        <v>452.08478127006822</v>
      </c>
      <c r="G324" s="211">
        <f>Financials!G17</f>
        <v>548.48455829542741</v>
      </c>
      <c r="H324" s="211">
        <f>Financials!H17</f>
        <v>711.1921338707707</v>
      </c>
      <c r="I324" s="211">
        <f>Financials!I17</f>
        <v>839.72135852666827</v>
      </c>
      <c r="J324" s="211">
        <f>Financials!J17</f>
        <v>928.64219961240303</v>
      </c>
      <c r="K324" s="211">
        <f>Financials!K17</f>
        <v>973.49518541282532</v>
      </c>
      <c r="L324" s="211">
        <f>Financials!L17</f>
        <v>892.12469733656167</v>
      </c>
      <c r="M324" s="211">
        <f>Financials!M17</f>
        <v>925.27992523999671</v>
      </c>
      <c r="N324" s="211">
        <f>Financials!N17</f>
        <v>1048.068276436303</v>
      </c>
      <c r="O324" s="211">
        <f>Financials!O17</f>
        <v>1251.9068280429321</v>
      </c>
      <c r="P324" s="1601">
        <f>Financials!P17</f>
        <v>1407.8772144231391</v>
      </c>
      <c r="Q324" s="1601">
        <f>Financials!Q17</f>
        <v>1203.2894278945732</v>
      </c>
      <c r="R324" s="1601">
        <f>Financials!R17</f>
        <v>1245.1088064177579</v>
      </c>
      <c r="S324" s="1601">
        <f>Financials!S17</f>
        <v>1490.2861498423542</v>
      </c>
      <c r="T324" s="1601">
        <f>Financials!T17</f>
        <v>1586.8475041008783</v>
      </c>
      <c r="U324" s="1601">
        <f>Financials!U17</f>
        <v>1327.0967708404357</v>
      </c>
      <c r="V324" s="1601">
        <f>Financials!V17</f>
        <v>1148.2717115571372</v>
      </c>
      <c r="W324" s="1601">
        <f>Financials!W17</f>
        <v>1309.6939589258038</v>
      </c>
      <c r="X324" s="52"/>
      <c r="Y324" s="52"/>
    </row>
    <row r="325" spans="1:25" s="31" customFormat="1" ht="12.75">
      <c r="A325" s="210" t="s">
        <v>1102</v>
      </c>
      <c r="B325" s="514" t="e">
        <f>NA()</f>
        <v>#N/A</v>
      </c>
      <c r="C325" s="514" t="e">
        <f>NA()</f>
        <v>#N/A</v>
      </c>
      <c r="D325" s="212">
        <f>Financials!D19</f>
        <v>629.76800000000003</v>
      </c>
      <c r="E325" s="212">
        <f>Financials!E19</f>
        <v>676.34199999999998</v>
      </c>
      <c r="F325" s="212">
        <f>Financials!F19</f>
        <v>605.74699999999996</v>
      </c>
      <c r="G325" s="212">
        <f>Financials!G19</f>
        <v>417.7</v>
      </c>
      <c r="H325" s="212">
        <f>Financials!H19</f>
        <v>818.7</v>
      </c>
      <c r="I325" s="212">
        <f>Financials!I19</f>
        <v>836.2</v>
      </c>
      <c r="J325" s="212">
        <f>Financials!J19</f>
        <v>825.6</v>
      </c>
      <c r="K325" s="212">
        <f>Financials!K19</f>
        <v>976.19999999999993</v>
      </c>
      <c r="L325" s="212">
        <f>Financials!L19</f>
        <v>991.2</v>
      </c>
      <c r="M325" s="212">
        <f>Financials!M19</f>
        <v>1177.0999999999999</v>
      </c>
      <c r="N325" s="212">
        <f>Financials!N19</f>
        <v>1201</v>
      </c>
      <c r="O325" s="212">
        <f>Financials!O19</f>
        <v>1313.7</v>
      </c>
      <c r="P325" s="1602">
        <f>Financials!P19</f>
        <v>1395.035815774088</v>
      </c>
      <c r="Q325" s="1602">
        <f>Financials!Q19</f>
        <v>1477.5586582487051</v>
      </c>
      <c r="R325" s="1602">
        <f>Financials!R19</f>
        <v>1514.9914199906761</v>
      </c>
      <c r="S325" s="1602">
        <f>Financials!S19</f>
        <v>1568.2177770680119</v>
      </c>
      <c r="T325" s="1602">
        <f>Financials!T19</f>
        <v>1604.4296709965454</v>
      </c>
      <c r="U325" s="1602">
        <f>Financials!U19</f>
        <v>1641.4758404898287</v>
      </c>
      <c r="V325" s="1602">
        <f>Financials!V19</f>
        <v>1679.3775243636262</v>
      </c>
      <c r="W325" s="1602">
        <f>Financials!W19</f>
        <v>1718.1543510194051</v>
      </c>
      <c r="X325" s="52"/>
      <c r="Y325" s="52"/>
    </row>
    <row r="326" spans="1:25" s="31" customFormat="1" ht="12.75">
      <c r="A326" s="213" t="s">
        <v>192</v>
      </c>
      <c r="B326" s="514" t="e">
        <f>NA()</f>
        <v>#N/A</v>
      </c>
      <c r="C326" s="514" t="e">
        <f>NA()</f>
        <v>#N/A</v>
      </c>
      <c r="D326" s="193">
        <f>Financials!D20</f>
        <v>0.67055169522744873</v>
      </c>
      <c r="E326" s="193">
        <f>Financials!E20</f>
        <v>0.70873463425308492</v>
      </c>
      <c r="F326" s="193">
        <f>Financials!F20</f>
        <v>0.66949733139412992</v>
      </c>
      <c r="G326" s="193">
        <f>Financials!G20</f>
        <v>0.88747905195116117</v>
      </c>
      <c r="H326" s="193">
        <f>Financials!H20</f>
        <v>0.92402589471112739</v>
      </c>
      <c r="I326" s="193">
        <f>Financials!I20</f>
        <v>0.93231284381726853</v>
      </c>
      <c r="J326" s="193">
        <f>Financials!J20</f>
        <v>0.92599321705426352</v>
      </c>
      <c r="K326" s="193">
        <f>Financials!K20</f>
        <v>0.9314689612784266</v>
      </c>
      <c r="L326" s="193">
        <f>Financials!L20</f>
        <v>0.92877320419693299</v>
      </c>
      <c r="M326" s="193">
        <f>Financials!M20</f>
        <v>0.91750913261405154</v>
      </c>
      <c r="N326" s="193">
        <f>Financials!N20</f>
        <v>0.91923397169025811</v>
      </c>
      <c r="O326" s="193">
        <f>Financials!O20</f>
        <v>0.89518154829869834</v>
      </c>
      <c r="P326" s="1603">
        <f>Financials!P20</f>
        <v>0.91064203284489875</v>
      </c>
      <c r="Q326" s="1603">
        <f>Financials!Q20</f>
        <v>0.91064203284489875</v>
      </c>
      <c r="R326" s="1603">
        <f>Financials!R20</f>
        <v>0.91064203284489864</v>
      </c>
      <c r="S326" s="1603">
        <f>Financials!S20</f>
        <v>0.91064203284489875</v>
      </c>
      <c r="T326" s="1603">
        <f>Financials!T20</f>
        <v>0.91064203284489875</v>
      </c>
      <c r="U326" s="1603">
        <f>Financials!U20</f>
        <v>0.91064203284489875</v>
      </c>
      <c r="V326" s="1603">
        <f>Financials!V20</f>
        <v>0.91064203284489875</v>
      </c>
      <c r="W326" s="1603">
        <f>Financials!W20</f>
        <v>0.91064203284489875</v>
      </c>
      <c r="X326" s="52"/>
      <c r="Y326" s="52"/>
    </row>
    <row r="327" spans="1:25" s="31" customFormat="1" ht="12.75">
      <c r="A327" s="210" t="s">
        <v>193</v>
      </c>
      <c r="B327" s="514" t="e">
        <f>NA()</f>
        <v>#N/A</v>
      </c>
      <c r="C327" s="514" t="e">
        <f>NA()</f>
        <v>#N/A</v>
      </c>
      <c r="D327" s="356">
        <f>Financials!D38</f>
        <v>429.86299999999994</v>
      </c>
      <c r="E327" s="356">
        <f>Financials!E38</f>
        <v>366.74</v>
      </c>
      <c r="F327" s="356">
        <f>Financials!F38</f>
        <v>403.01299999999998</v>
      </c>
      <c r="G327" s="356">
        <f>Financials!G38</f>
        <v>481.524</v>
      </c>
      <c r="H327" s="356">
        <f>Financials!H38</f>
        <v>522.83799999999997</v>
      </c>
      <c r="I327" s="356">
        <f>Financials!I38</f>
        <v>520.95900000000006</v>
      </c>
      <c r="J327" s="356">
        <f>Financials!J38</f>
        <v>505.07</v>
      </c>
      <c r="K327" s="356">
        <f>Financials!K38</f>
        <v>546.16599999999994</v>
      </c>
      <c r="L327" s="356">
        <f>Financials!L38</f>
        <v>841.13300000000004</v>
      </c>
      <c r="M327" s="356">
        <f>Financials!M38</f>
        <v>962.45299999999997</v>
      </c>
      <c r="N327" s="356">
        <f>Financials!N38</f>
        <v>1301.662</v>
      </c>
      <c r="O327" s="356">
        <f>Financials!O38</f>
        <v>1238.877</v>
      </c>
      <c r="P327" s="356">
        <f>Financials!P38</f>
        <v>1487.6537955628992</v>
      </c>
      <c r="Q327" s="356">
        <f>Financials!Q38</f>
        <v>1726.1524818358384</v>
      </c>
      <c r="R327" s="356">
        <f>Financials!R38</f>
        <v>1893.594377638283</v>
      </c>
      <c r="S327" s="356">
        <f>Financials!S38</f>
        <v>2034.2241783676059</v>
      </c>
      <c r="T327" s="356">
        <f>Financials!T38</f>
        <v>2131.1404245326653</v>
      </c>
      <c r="U327" s="356">
        <f>Financials!U38</f>
        <v>2232.676993814548</v>
      </c>
      <c r="V327" s="356">
        <f>Financials!V38</f>
        <v>2339.0510030185833</v>
      </c>
      <c r="W327" s="356">
        <f>Financials!W38</f>
        <v>2554.2030595068245</v>
      </c>
      <c r="X327" s="52"/>
      <c r="Y327" s="52"/>
    </row>
    <row r="328" spans="1:25" s="31" customFormat="1" ht="12.75">
      <c r="A328" s="210" t="s">
        <v>184</v>
      </c>
      <c r="B328" s="514" t="e">
        <f>NA()</f>
        <v>#N/A</v>
      </c>
      <c r="C328" s="514" t="e">
        <f>NA()</f>
        <v>#N/A</v>
      </c>
      <c r="D328" s="211">
        <f>Financials!D22</f>
        <v>850.76573527607229</v>
      </c>
      <c r="E328" s="211">
        <f>Financials!E22</f>
        <v>916.0210009941004</v>
      </c>
      <c r="F328" s="211">
        <f>Financials!F22</f>
        <v>749.30788867466026</v>
      </c>
      <c r="G328" s="211">
        <f>Financials!G22</f>
        <v>769.57647434872933</v>
      </c>
      <c r="H328" s="211">
        <f>Financials!H22</f>
        <v>857.95536593370525</v>
      </c>
      <c r="I328" s="211">
        <f>Financials!I22</f>
        <v>994.76608745464966</v>
      </c>
      <c r="J328" s="211">
        <f>Financials!J22</f>
        <v>1258.2710513203785</v>
      </c>
      <c r="K328" s="211">
        <f>Financials!K22</f>
        <v>1211.548358473824</v>
      </c>
      <c r="L328" s="211">
        <f>Financials!L22</f>
        <v>1317.1515815847165</v>
      </c>
      <c r="M328" s="211">
        <f>Financials!M22</f>
        <v>1349.1070927950659</v>
      </c>
      <c r="N328" s="211">
        <f>Financials!N22</f>
        <v>1637.3106918238993</v>
      </c>
      <c r="O328" s="211">
        <f>Financials!O22</f>
        <v>1773.8788659793813</v>
      </c>
      <c r="P328" s="1601">
        <f>Financials!P22</f>
        <v>1691.3685141076389</v>
      </c>
      <c r="Q328" s="1601">
        <f>Financials!Q22</f>
        <v>1841.1499524966634</v>
      </c>
      <c r="R328" s="1601">
        <f>Financials!R22</f>
        <v>1970.8083998555833</v>
      </c>
      <c r="S328" s="1601">
        <f>Financials!S22</f>
        <v>2045.2427213153921</v>
      </c>
      <c r="T328" s="1601">
        <f>Financials!T22</f>
        <v>2094.3285466269617</v>
      </c>
      <c r="U328" s="1601">
        <f>Financials!U22</f>
        <v>2144.5924317460085</v>
      </c>
      <c r="V328" s="1601">
        <f>Financials!V22</f>
        <v>2196.0626501079128</v>
      </c>
      <c r="W328" s="1601">
        <f>Financials!W22</f>
        <v>2343.940671516048</v>
      </c>
      <c r="X328" s="52"/>
      <c r="Y328" s="52"/>
    </row>
    <row r="329" spans="1:25" s="31" customFormat="1" ht="12.75">
      <c r="A329" s="210" t="s">
        <v>1103</v>
      </c>
      <c r="B329" s="514" t="e">
        <f>NA()</f>
        <v>#N/A</v>
      </c>
      <c r="C329" s="514" t="e">
        <f>NA()</f>
        <v>#N/A</v>
      </c>
      <c r="D329" s="212">
        <f>Financials!D24</f>
        <v>505.26600000000002</v>
      </c>
      <c r="E329" s="212">
        <f>Financials!E24</f>
        <v>400.36199999999997</v>
      </c>
      <c r="F329" s="212">
        <f>Financials!F24</f>
        <v>537.84699999999998</v>
      </c>
      <c r="G329" s="212">
        <f>Financials!G24</f>
        <v>625.69999999999993</v>
      </c>
      <c r="H329" s="212">
        <f>Financials!H24</f>
        <v>609.4</v>
      </c>
      <c r="I329" s="212">
        <f>Financials!I24</f>
        <v>523.70000000000005</v>
      </c>
      <c r="J329" s="212">
        <f>Financials!J24</f>
        <v>401.40000000000003</v>
      </c>
      <c r="K329" s="212">
        <f>Financials!K24</f>
        <v>450.8</v>
      </c>
      <c r="L329" s="212">
        <f>Financials!L24</f>
        <v>638.6</v>
      </c>
      <c r="M329" s="212">
        <f>Financials!M24</f>
        <v>713.39999999999986</v>
      </c>
      <c r="N329" s="212">
        <f>Financials!N24</f>
        <v>795.00000000000011</v>
      </c>
      <c r="O329" s="212">
        <f>Financials!O24</f>
        <v>698.4</v>
      </c>
      <c r="P329" s="1602">
        <f>Financials!P24</f>
        <v>879.55627833581912</v>
      </c>
      <c r="Q329" s="1602">
        <f>Financials!Q24</f>
        <v>937.54041027191488</v>
      </c>
      <c r="R329" s="1602">
        <f>Financials!R24</f>
        <v>960.82114211459702</v>
      </c>
      <c r="S329" s="1602">
        <f>Financials!S24</f>
        <v>994.61259887007463</v>
      </c>
      <c r="T329" s="1602">
        <f>Financials!T24</f>
        <v>1017.5769355600827</v>
      </c>
      <c r="U329" s="1602">
        <f>Financials!U24</f>
        <v>1041.0728680958862</v>
      </c>
      <c r="V329" s="1602">
        <f>Financials!V24</f>
        <v>1065.1112357398565</v>
      </c>
      <c r="W329" s="1602">
        <f>Financials!W24</f>
        <v>1089.7046544504815</v>
      </c>
      <c r="X329" s="52"/>
      <c r="Y329" s="52"/>
    </row>
    <row r="330" spans="1:25" s="31" customFormat="1" ht="12.75">
      <c r="A330" s="213" t="s">
        <v>192</v>
      </c>
      <c r="B330" s="514" t="e">
        <f>NA()</f>
        <v>#N/A</v>
      </c>
      <c r="C330" s="514" t="e">
        <f>NA()</f>
        <v>#N/A</v>
      </c>
      <c r="D330" s="193">
        <f>Financials!D25</f>
        <v>0.17739171050496172</v>
      </c>
      <c r="E330" s="193">
        <f>Financials!E25</f>
        <v>0.30257367082790082</v>
      </c>
      <c r="F330" s="193">
        <f>Financials!F25</f>
        <v>0.26400630662623387</v>
      </c>
      <c r="G330" s="193">
        <f>Financials!G25</f>
        <v>8.9819402269458212E-2</v>
      </c>
      <c r="H330" s="193">
        <f>Financials!H25</f>
        <v>0.14243518214637349</v>
      </c>
      <c r="I330" s="193">
        <f>Financials!I25</f>
        <v>9.9866335688371194E-2</v>
      </c>
      <c r="J330" s="193">
        <f>Financials!J25</f>
        <v>0.13602391629297458</v>
      </c>
      <c r="K330" s="193">
        <f>Financials!K25</f>
        <v>0.20629991126885536</v>
      </c>
      <c r="L330" s="193">
        <f>Financials!L25</f>
        <v>0.26980895709364233</v>
      </c>
      <c r="M330" s="193">
        <f>Financials!M25</f>
        <v>0.12643678160919541</v>
      </c>
      <c r="N330" s="193">
        <f>Financials!N25</f>
        <v>0.17408805031446539</v>
      </c>
      <c r="O330" s="193">
        <f>Financials!O25</f>
        <v>9.8797250859106539E-2</v>
      </c>
      <c r="P330" s="1603">
        <f>Financials!P25</f>
        <v>0.13309733143461588</v>
      </c>
      <c r="Q330" s="1603">
        <f>Financials!Q25</f>
        <v>0.13309733143461588</v>
      </c>
      <c r="R330" s="1603">
        <f>Financials!R25</f>
        <v>0.13309733143461588</v>
      </c>
      <c r="S330" s="1603">
        <f>Financials!S25</f>
        <v>0.13309733143461591</v>
      </c>
      <c r="T330" s="1603">
        <f>Financials!T25</f>
        <v>0.13309733143461588</v>
      </c>
      <c r="U330" s="1603">
        <f>Financials!U25</f>
        <v>0.13309733143461586</v>
      </c>
      <c r="V330" s="1603">
        <f>Financials!V25</f>
        <v>0.13309733143461586</v>
      </c>
      <c r="W330" s="1603">
        <f>Financials!W25</f>
        <v>0.13309733143461588</v>
      </c>
      <c r="X330" s="52"/>
      <c r="Y330" s="52"/>
    </row>
    <row r="331" spans="1:25" s="31" customFormat="1" ht="12.75">
      <c r="A331" s="210" t="s">
        <v>185</v>
      </c>
      <c r="B331" s="514" t="e">
        <f>NA()</f>
        <v>#N/A</v>
      </c>
      <c r="C331" s="514" t="e">
        <f>NA()</f>
        <v>#N/A</v>
      </c>
      <c r="D331" s="1602">
        <f>Financials!D39</f>
        <v>0</v>
      </c>
      <c r="E331" s="1602">
        <f>Financials!E39</f>
        <v>0</v>
      </c>
      <c r="F331" s="1602">
        <f>Financials!F39</f>
        <v>0</v>
      </c>
      <c r="G331" s="1602">
        <f>Financials!G39</f>
        <v>16.445</v>
      </c>
      <c r="H331" s="1602">
        <f>Financials!H39</f>
        <v>22.300999999999998</v>
      </c>
      <c r="I331" s="1602">
        <f>Financials!I39</f>
        <v>23.946000000000002</v>
      </c>
      <c r="J331" s="1602">
        <f>Financials!J39</f>
        <v>27.593</v>
      </c>
      <c r="K331" s="1602">
        <f>Financials!K39</f>
        <v>44.408000000000001</v>
      </c>
      <c r="L331" s="1602">
        <f>Financials!L39</f>
        <v>77.272999999999996</v>
      </c>
      <c r="M331" s="1602">
        <f>Financials!M39</f>
        <v>189.114</v>
      </c>
      <c r="N331" s="1602">
        <f>Financials!N39</f>
        <v>185.57300000000001</v>
      </c>
      <c r="O331" s="1602">
        <f>Financials!O39</f>
        <v>152.089</v>
      </c>
      <c r="P331" s="1602">
        <f>Financials!P39</f>
        <v>165.15</v>
      </c>
      <c r="Q331" s="1602">
        <f>Financials!Q39</f>
        <v>163.50000000000003</v>
      </c>
      <c r="R331" s="1602">
        <f>Financials!R39</f>
        <v>172.02674999999999</v>
      </c>
      <c r="S331" s="1602">
        <f>Financials!S39</f>
        <v>180.9924</v>
      </c>
      <c r="T331" s="1602">
        <f>Financials!T39</f>
        <v>190.421061912</v>
      </c>
      <c r="U331" s="1602">
        <f>Financials!U39</f>
        <v>200.33811978585598</v>
      </c>
      <c r="V331" s="1602">
        <f>Financials!V39</f>
        <v>210.77029507674968</v>
      </c>
      <c r="W331" s="1602">
        <f>Financials!W39</f>
        <v>221.74571519333659</v>
      </c>
      <c r="X331" s="52"/>
      <c r="Y331" s="52"/>
    </row>
    <row r="332" spans="1:25">
      <c r="A332" s="54"/>
      <c r="E332" s="107"/>
      <c r="F332" s="107"/>
      <c r="G332" s="107"/>
      <c r="H332" s="107"/>
      <c r="I332" s="107"/>
      <c r="J332" s="107"/>
      <c r="K332" s="107"/>
      <c r="L332" s="107"/>
      <c r="M332" s="107"/>
      <c r="N332" s="107"/>
      <c r="O332" s="107"/>
      <c r="P332" s="421"/>
      <c r="Q332" s="421"/>
      <c r="R332" s="421"/>
      <c r="S332" s="421"/>
      <c r="T332" s="421"/>
      <c r="U332" s="421"/>
      <c r="V332" s="421"/>
      <c r="W332" s="421"/>
      <c r="X332" s="107"/>
    </row>
    <row r="333" spans="1:25">
      <c r="A333" s="674"/>
      <c r="B333" s="675"/>
      <c r="C333" s="675"/>
      <c r="D333" s="675">
        <f>Q_IS!B4</f>
        <v>2006</v>
      </c>
      <c r="E333" s="675">
        <f>Q_IS!C4</f>
        <v>2007</v>
      </c>
      <c r="F333" s="675">
        <f>Q_IS!D4</f>
        <v>2008</v>
      </c>
      <c r="G333" s="675">
        <f>Q_IS!E4</f>
        <v>2009</v>
      </c>
      <c r="H333" s="675">
        <f>Q_IS!F4</f>
        <v>2010</v>
      </c>
      <c r="I333" s="675">
        <f>Q_IS!G4</f>
        <v>2011</v>
      </c>
      <c r="J333" s="675">
        <f>Q_IS!H4</f>
        <v>2012</v>
      </c>
      <c r="K333" s="675">
        <f>Q_IS!I4</f>
        <v>2013</v>
      </c>
      <c r="L333" s="675">
        <f>Q_IS!J4</f>
        <v>2014</v>
      </c>
      <c r="M333" s="675">
        <f>Q_IS!K4</f>
        <v>2015</v>
      </c>
      <c r="N333" s="675" t="str">
        <f>Q_IS!L4&amp;"E"</f>
        <v>2016E</v>
      </c>
      <c r="O333" s="675" t="str">
        <f>Q_IS!M4&amp;"E"</f>
        <v>2017E</v>
      </c>
      <c r="P333" s="490" t="str">
        <f>Q_IS!N4&amp;"E"</f>
        <v>2018E</v>
      </c>
      <c r="Q333" s="490" t="str">
        <f>Q_IS!O4&amp;"E"</f>
        <v>2019E</v>
      </c>
      <c r="R333" s="490" t="str">
        <f>Q_IS!P4&amp;"E"</f>
        <v>2020E</v>
      </c>
      <c r="S333" s="490" t="str">
        <f>Q_IS!Q4&amp;"E"</f>
        <v>2021E</v>
      </c>
      <c r="T333" s="490" t="str">
        <f>Q_IS!R4&amp;"E"</f>
        <v>2022E</v>
      </c>
      <c r="U333" s="490" t="str">
        <f>Q_IS!S4&amp;"E"</f>
        <v>2023E</v>
      </c>
      <c r="V333" s="490" t="str">
        <f>Q_IS!T4&amp;"E"</f>
        <v>2024E</v>
      </c>
      <c r="W333" s="490" t="str">
        <f>Q_IS!U4&amp;"E"</f>
        <v>2025E</v>
      </c>
    </row>
    <row r="334" spans="1:25">
      <c r="A334" s="52" t="str">
        <f>Q_BS!A84</f>
        <v>Maintenance</v>
      </c>
      <c r="B334" s="514" t="e">
        <f>NA()</f>
        <v>#N/A</v>
      </c>
      <c r="C334" s="514" t="e">
        <f>NA()</f>
        <v>#N/A</v>
      </c>
      <c r="D334" s="224">
        <f>-Q_BS!D84</f>
        <v>99.22</v>
      </c>
      <c r="E334" s="224">
        <f>-Q_BS!E84</f>
        <v>228.22500000000002</v>
      </c>
      <c r="F334" s="224">
        <f>-Q_BS!F84</f>
        <v>497.62399999999997</v>
      </c>
      <c r="G334" s="223">
        <f>-Q_BS!G84</f>
        <v>442.93899999999996</v>
      </c>
      <c r="H334" s="223">
        <f>-Q_BS!H84</f>
        <v>383.01799999999997</v>
      </c>
      <c r="I334" s="223">
        <f>-Q_BS!I84</f>
        <v>421.20400000000001</v>
      </c>
      <c r="J334" s="223">
        <f>-Q_BS!J84</f>
        <v>466.89099999999996</v>
      </c>
      <c r="K334" s="223">
        <f>-Q_BS!K84</f>
        <v>420.779</v>
      </c>
      <c r="L334" s="223">
        <f>-Q_BS!L84</f>
        <v>442.11</v>
      </c>
      <c r="M334" s="223">
        <f>-Q_BS!M84</f>
        <v>626.80200000000002</v>
      </c>
      <c r="N334" s="223">
        <f>-Q_BS!N84</f>
        <v>675.596</v>
      </c>
      <c r="O334" s="223">
        <f>-Q_BS!O84</f>
        <v>792.11199999999997</v>
      </c>
      <c r="P334" s="1600">
        <f>-Q_BS!P84</f>
        <v>914.19028347385836</v>
      </c>
      <c r="Q334" s="1600">
        <f>-Q_BS!Q84</f>
        <v>945.52395860014894</v>
      </c>
      <c r="R334" s="1600">
        <f>-Q_BS!R84</f>
        <v>1021.1962371790045</v>
      </c>
      <c r="S334" s="1600">
        <f>-Q_BS!S84</f>
        <v>1175.2711583391572</v>
      </c>
      <c r="T334" s="1600">
        <f>-Q_BS!T84</f>
        <v>1257.7997523619317</v>
      </c>
      <c r="U334" s="1600">
        <f>-Q_BS!U84</f>
        <v>1197.0392223324973</v>
      </c>
      <c r="V334" s="1600">
        <f>-Q_BS!V84</f>
        <v>1166.3880400135158</v>
      </c>
      <c r="W334" s="1600">
        <f>-Q_BS!W84</f>
        <v>1305.2620681869419</v>
      </c>
    </row>
    <row r="335" spans="1:25">
      <c r="A335" s="52" t="str">
        <f>Q_BS!A86</f>
        <v>Operational Improvements</v>
      </c>
      <c r="B335" s="514" t="e">
        <f>NA()</f>
        <v>#N/A</v>
      </c>
      <c r="C335" s="514" t="e">
        <f>NA()</f>
        <v>#N/A</v>
      </c>
      <c r="D335" s="211">
        <v>0</v>
      </c>
      <c r="E335" s="211">
        <v>0</v>
      </c>
      <c r="F335" s="211">
        <v>0</v>
      </c>
      <c r="G335" s="202">
        <v>0</v>
      </c>
      <c r="H335" s="202">
        <v>0</v>
      </c>
      <c r="I335" s="202">
        <v>0</v>
      </c>
      <c r="J335" s="202">
        <v>0</v>
      </c>
      <c r="K335" s="202">
        <f>-Q_BS!K86</f>
        <v>32.942999999999998</v>
      </c>
      <c r="L335" s="202">
        <f>-Q_BS!L86</f>
        <v>44.298000000000002</v>
      </c>
      <c r="M335" s="202">
        <f>-Q_BS!M86</f>
        <v>60.195</v>
      </c>
      <c r="N335" s="202">
        <f>-Q_BS!N86</f>
        <v>74.545000000000002</v>
      </c>
      <c r="O335" s="202">
        <f>-Q_BS!O86</f>
        <v>76.971999999999994</v>
      </c>
      <c r="P335" s="356">
        <f>-Q_BS!P86</f>
        <v>76.971999999999994</v>
      </c>
      <c r="Q335" s="356">
        <f>-Q_BS!Q86</f>
        <v>76.971999999999994</v>
      </c>
      <c r="R335" s="356">
        <f>-Q_BS!R86</f>
        <v>76.971999999999994</v>
      </c>
      <c r="S335" s="356">
        <f>-Q_BS!S86</f>
        <v>76.971999999999994</v>
      </c>
      <c r="T335" s="356">
        <f>-Q_BS!T86</f>
        <v>76.971999999999994</v>
      </c>
      <c r="U335" s="356">
        <f>-Q_BS!U86</f>
        <v>76.971999999999994</v>
      </c>
      <c r="V335" s="356">
        <f>-Q_BS!V86</f>
        <v>76.971999999999994</v>
      </c>
      <c r="W335" s="356">
        <f>-Q_BS!W86</f>
        <v>76.971999999999994</v>
      </c>
    </row>
    <row r="336" spans="1:25">
      <c r="A336" s="52" t="str">
        <f>Q_BS!A87</f>
        <v>Upgrading/Expansion</v>
      </c>
      <c r="B336" s="514" t="e">
        <f>NA()</f>
        <v>#N/A</v>
      </c>
      <c r="C336" s="514" t="e">
        <f>NA()</f>
        <v>#N/A</v>
      </c>
      <c r="D336" s="211">
        <f>-Q_BS!D87</f>
        <v>27.992000000000001</v>
      </c>
      <c r="E336" s="211">
        <f>-Q_BS!E87</f>
        <v>74.691000000000003</v>
      </c>
      <c r="F336" s="211">
        <f>-Q_BS!F87</f>
        <v>21.577000000000002</v>
      </c>
      <c r="G336" s="202">
        <f>-Q_BS!G87</f>
        <v>14.494</v>
      </c>
      <c r="H336" s="202">
        <f>-Q_BS!H87</f>
        <v>23.734999999999999</v>
      </c>
      <c r="I336" s="202">
        <f>-Q_BS!I87</f>
        <v>32.905000000000001</v>
      </c>
      <c r="J336" s="202">
        <f>-Q_BS!J87</f>
        <v>164.178</v>
      </c>
      <c r="K336" s="202">
        <f>-Q_BS!K87</f>
        <v>226.12</v>
      </c>
      <c r="L336" s="202">
        <f>-Q_BS!L87</f>
        <v>172.08099999999999</v>
      </c>
      <c r="M336" s="202">
        <f>-Q_BS!M87</f>
        <v>125.029</v>
      </c>
      <c r="N336" s="202">
        <f>-Q_BS!N87</f>
        <v>89.674999999999997</v>
      </c>
      <c r="O336" s="202">
        <f>-Q_BS!O87</f>
        <v>107.82599999999999</v>
      </c>
      <c r="P336" s="356">
        <f>-Q_BS!P87</f>
        <v>0</v>
      </c>
      <c r="Q336" s="356">
        <f>-Q_BS!Q87</f>
        <v>0</v>
      </c>
      <c r="R336" s="356">
        <f>-Q_BS!R87</f>
        <v>125.88760799999999</v>
      </c>
      <c r="S336" s="356">
        <f>-Q_BS!S87</f>
        <v>131.42666275199997</v>
      </c>
      <c r="T336" s="356">
        <f>-Q_BS!T87</f>
        <v>137.20943591308799</v>
      </c>
      <c r="U336" s="356">
        <f>-Q_BS!U87</f>
        <v>143.24665109326386</v>
      </c>
      <c r="V336" s="356">
        <f>-Q_BS!V87</f>
        <v>149.54950374136746</v>
      </c>
      <c r="W336" s="356">
        <f>-Q_BS!W87</f>
        <v>156.12968190598764</v>
      </c>
    </row>
    <row r="337" spans="1:24">
      <c r="A337" s="54"/>
      <c r="B337" s="52" t="s">
        <v>1115</v>
      </c>
      <c r="C337" s="52" t="s">
        <v>1116</v>
      </c>
      <c r="D337" s="52" t="s">
        <v>1117</v>
      </c>
      <c r="E337" s="107" t="s">
        <v>1118</v>
      </c>
      <c r="F337" s="107"/>
      <c r="G337" s="107"/>
      <c r="H337" s="107"/>
      <c r="I337" s="107"/>
      <c r="J337" s="107"/>
      <c r="K337" s="107"/>
      <c r="L337" s="372"/>
      <c r="M337" s="107"/>
      <c r="N337" s="107"/>
      <c r="O337" s="107"/>
      <c r="P337" s="421"/>
      <c r="Q337" s="421"/>
      <c r="R337" s="421"/>
      <c r="S337" s="421"/>
      <c r="T337" s="421"/>
      <c r="U337" s="421"/>
      <c r="V337" s="421"/>
      <c r="W337" s="421"/>
      <c r="X337" s="107"/>
    </row>
    <row r="338" spans="1:24" s="1401" customFormat="1">
      <c r="A338" s="674" t="s">
        <v>1201</v>
      </c>
      <c r="B338" s="675"/>
      <c r="C338" s="675"/>
      <c r="D338" s="675"/>
      <c r="E338" s="675"/>
      <c r="F338" s="675"/>
      <c r="G338" s="675"/>
      <c r="H338" s="675"/>
      <c r="I338" s="675"/>
      <c r="J338" s="675"/>
      <c r="K338" s="675"/>
      <c r="L338" s="675"/>
      <c r="M338" s="675"/>
      <c r="N338" s="675">
        <v>2016</v>
      </c>
      <c r="O338" s="675">
        <v>2017</v>
      </c>
      <c r="P338" s="675">
        <v>2018</v>
      </c>
      <c r="Q338" s="490"/>
      <c r="R338" s="490"/>
      <c r="S338" s="490"/>
      <c r="T338" s="490"/>
      <c r="U338" s="490"/>
      <c r="V338" s="490"/>
      <c r="W338" s="490"/>
    </row>
    <row r="339" spans="1:24" s="1401" customFormat="1">
      <c r="A339" s="1401" t="s">
        <v>414</v>
      </c>
      <c r="B339" s="492"/>
      <c r="C339" s="492"/>
      <c r="D339" s="492"/>
      <c r="E339" s="492"/>
      <c r="F339" s="492"/>
      <c r="G339" s="492"/>
      <c r="H339" s="492"/>
      <c r="I339" s="492"/>
      <c r="J339" s="492"/>
      <c r="K339" s="492"/>
      <c r="L339" s="492"/>
      <c r="M339" s="492"/>
      <c r="N339" s="492">
        <f>Q_IS!L10/Q_IS!L9</f>
        <v>0.64847183379944062</v>
      </c>
      <c r="O339" s="503">
        <f>Q_IS!M10/Q_IS!M9</f>
        <v>0.69488097090399881</v>
      </c>
      <c r="P339" s="503">
        <f>Q_IS!N10/Q_IS!N9</f>
        <v>0.69488097090399881</v>
      </c>
      <c r="Q339" s="493"/>
      <c r="R339" s="493"/>
      <c r="S339" s="493"/>
      <c r="T339" s="493"/>
      <c r="U339" s="493"/>
      <c r="V339" s="493"/>
      <c r="W339" s="493"/>
    </row>
    <row r="340" spans="1:24" s="1401" customFormat="1">
      <c r="A340" s="1401" t="s">
        <v>45</v>
      </c>
      <c r="B340" s="492"/>
      <c r="C340" s="492"/>
      <c r="D340" s="492"/>
      <c r="E340" s="492"/>
      <c r="F340" s="492"/>
      <c r="G340" s="492"/>
      <c r="H340" s="492"/>
      <c r="I340" s="492"/>
      <c r="J340" s="492"/>
      <c r="K340" s="492"/>
      <c r="L340" s="492"/>
      <c r="M340" s="492"/>
      <c r="N340" s="492">
        <f>1-N339</f>
        <v>0.35152816620055938</v>
      </c>
      <c r="O340" s="503">
        <f>1-O339</f>
        <v>0.30511902909600119</v>
      </c>
      <c r="P340" s="503">
        <f>1-P339</f>
        <v>0.30511902909600119</v>
      </c>
      <c r="Q340" s="493"/>
      <c r="R340" s="493"/>
      <c r="S340" s="493"/>
      <c r="T340" s="493"/>
      <c r="U340" s="493"/>
      <c r="V340" s="493"/>
      <c r="W340" s="493"/>
    </row>
    <row r="341" spans="1:24" s="1401" customFormat="1">
      <c r="D341" s="188"/>
      <c r="E341" s="188"/>
      <c r="F341" s="188"/>
      <c r="G341" s="188"/>
      <c r="H341" s="188"/>
      <c r="I341" s="188"/>
      <c r="J341" s="182"/>
      <c r="K341" s="182"/>
      <c r="L341" s="182"/>
      <c r="M341" s="182"/>
      <c r="N341" s="182"/>
      <c r="O341" s="831"/>
      <c r="P341" s="491"/>
      <c r="Q341" s="491"/>
      <c r="R341" s="491"/>
      <c r="S341" s="491"/>
      <c r="T341" s="491"/>
      <c r="U341" s="491"/>
      <c r="V341" s="491"/>
      <c r="W341" s="491"/>
    </row>
    <row r="342" spans="1:24" s="1401" customFormat="1">
      <c r="A342" s="674" t="s">
        <v>51</v>
      </c>
      <c r="B342" s="675"/>
      <c r="C342" s="675"/>
      <c r="D342" s="675"/>
      <c r="E342" s="675"/>
      <c r="F342" s="675"/>
      <c r="G342" s="675"/>
      <c r="H342" s="675"/>
      <c r="I342" s="675"/>
      <c r="J342" s="675"/>
      <c r="K342" s="675"/>
      <c r="L342" s="675"/>
      <c r="M342" s="675"/>
      <c r="N342" s="675">
        <v>2016</v>
      </c>
      <c r="O342" s="675">
        <f>O338</f>
        <v>2017</v>
      </c>
      <c r="P342" s="675">
        <v>2018</v>
      </c>
      <c r="Q342" s="490"/>
      <c r="R342" s="490"/>
      <c r="S342" s="490"/>
      <c r="T342" s="490"/>
      <c r="U342" s="490"/>
      <c r="V342" s="490"/>
      <c r="W342" s="490"/>
    </row>
    <row r="343" spans="1:24" s="1401" customFormat="1">
      <c r="A343" s="1401" t="s">
        <v>52</v>
      </c>
      <c r="B343" s="492"/>
      <c r="C343" s="492"/>
      <c r="D343" s="492"/>
      <c r="E343" s="492"/>
      <c r="F343" s="492"/>
      <c r="G343" s="492"/>
      <c r="H343" s="492"/>
      <c r="I343" s="492"/>
      <c r="J343" s="492"/>
      <c r="K343" s="492"/>
      <c r="L343" s="492"/>
      <c r="M343" s="492"/>
      <c r="N343" s="492">
        <f>1-N344</f>
        <v>0.49267367060679634</v>
      </c>
      <c r="O343" s="178">
        <f>1-O344</f>
        <v>0.46896345859375577</v>
      </c>
      <c r="P343" s="178">
        <f>1-P344</f>
        <v>0.45674894501794172</v>
      </c>
      <c r="Q343" s="493"/>
      <c r="R343" s="493"/>
      <c r="S343" s="493"/>
      <c r="T343" s="493"/>
      <c r="U343" s="493"/>
      <c r="V343" s="493"/>
      <c r="W343" s="493"/>
    </row>
    <row r="344" spans="1:24" s="1401" customFormat="1">
      <c r="A344" s="1401" t="s">
        <v>43</v>
      </c>
      <c r="B344" s="492"/>
      <c r="C344" s="492"/>
      <c r="D344" s="492"/>
      <c r="E344" s="492"/>
      <c r="F344" s="492"/>
      <c r="G344" s="492"/>
      <c r="H344" s="492"/>
      <c r="I344" s="492"/>
      <c r="J344" s="492"/>
      <c r="K344" s="492"/>
      <c r="L344" s="492"/>
      <c r="M344" s="492"/>
      <c r="N344" s="492">
        <f>(Financials!N20*Financials!N37+Financials!N25*Financials!N38)/(Financials!N36)</f>
        <v>0.50732632939320366</v>
      </c>
      <c r="O344" s="622">
        <f>(Financials!O20*Financials!O37+Financials!O25*Financials!O38)/(Financials!O36)</f>
        <v>0.53103654140624423</v>
      </c>
      <c r="P344" s="622">
        <f>(Financials!P20*Financials!P37+Financials!P25*Financials!P38)/(Financials!P36)</f>
        <v>0.54325105498205828</v>
      </c>
      <c r="Q344" s="493"/>
      <c r="R344" s="493"/>
      <c r="S344" s="493"/>
      <c r="T344" s="493"/>
      <c r="U344" s="493"/>
      <c r="V344" s="493"/>
      <c r="W344" s="493"/>
    </row>
    <row r="345" spans="1:24" s="1401" customFormat="1">
      <c r="D345" s="188"/>
      <c r="E345" s="188"/>
      <c r="F345" s="188"/>
      <c r="G345" s="188"/>
      <c r="H345" s="188"/>
      <c r="I345" s="188"/>
      <c r="J345" s="182"/>
      <c r="K345" s="182"/>
      <c r="L345" s="182"/>
      <c r="M345" s="182"/>
      <c r="N345" s="182"/>
      <c r="O345" s="831"/>
      <c r="P345" s="491"/>
      <c r="Q345" s="491"/>
      <c r="R345" s="491"/>
      <c r="S345" s="491"/>
      <c r="T345" s="491"/>
      <c r="U345" s="491"/>
      <c r="V345" s="491"/>
      <c r="W345" s="491"/>
    </row>
    <row r="346" spans="1:24" s="1401" customFormat="1">
      <c r="A346" s="674" t="s">
        <v>51</v>
      </c>
      <c r="B346" s="675"/>
      <c r="C346" s="675"/>
      <c r="D346" s="675"/>
      <c r="E346" s="675"/>
      <c r="F346" s="675"/>
      <c r="G346" s="675"/>
      <c r="H346" s="675"/>
      <c r="I346" s="675"/>
      <c r="J346" s="675"/>
      <c r="K346" s="675"/>
      <c r="L346" s="675">
        <v>2014</v>
      </c>
      <c r="M346" s="675"/>
      <c r="N346" s="675">
        <v>2016</v>
      </c>
      <c r="O346" s="675">
        <v>2017</v>
      </c>
      <c r="P346" s="675">
        <v>2018</v>
      </c>
      <c r="Q346" s="490"/>
      <c r="R346" s="490"/>
      <c r="S346" s="490"/>
      <c r="T346" s="490"/>
      <c r="U346" s="490"/>
      <c r="V346" s="490"/>
      <c r="W346" s="490"/>
    </row>
    <row r="347" spans="1:24" s="1401" customFormat="1">
      <c r="A347" s="1401" t="str">
        <f>Financials!A37</f>
        <v>Sugar</v>
      </c>
      <c r="D347" s="188"/>
      <c r="E347" s="188"/>
      <c r="F347" s="188"/>
      <c r="G347" s="188"/>
      <c r="H347" s="188"/>
      <c r="I347" s="188"/>
      <c r="J347" s="182"/>
      <c r="K347" s="182"/>
      <c r="L347" s="1412">
        <f>Financials!L37</f>
        <v>884.274</v>
      </c>
      <c r="M347" s="831"/>
      <c r="N347" s="831">
        <f>Financials!N37</f>
        <v>1258.73</v>
      </c>
      <c r="O347" s="831">
        <f>Financials!O37</f>
        <v>1644.63</v>
      </c>
      <c r="P347" s="831">
        <f>Financials!P37</f>
        <v>1964.0391383325343</v>
      </c>
      <c r="Q347" s="491"/>
      <c r="R347" s="491"/>
      <c r="S347" s="491"/>
      <c r="T347" s="491"/>
      <c r="U347" s="491"/>
      <c r="V347" s="491"/>
      <c r="W347" s="491"/>
    </row>
    <row r="348" spans="1:24" s="1401" customFormat="1">
      <c r="A348" s="1401" t="str">
        <f>Financials!A38</f>
        <v>Ethanol</v>
      </c>
      <c r="D348" s="188"/>
      <c r="E348" s="188"/>
      <c r="F348" s="188"/>
      <c r="G348" s="188"/>
      <c r="H348" s="188"/>
      <c r="I348" s="188"/>
      <c r="J348" s="182"/>
      <c r="K348" s="182"/>
      <c r="L348" s="1412">
        <f>Financials!L38</f>
        <v>841.13300000000004</v>
      </c>
      <c r="M348" s="831"/>
      <c r="N348" s="831">
        <f>Financials!N38</f>
        <v>1301.662</v>
      </c>
      <c r="O348" s="831">
        <f>Financials!O38</f>
        <v>1238.877</v>
      </c>
      <c r="P348" s="831">
        <f>Financials!P38</f>
        <v>1487.6537955628992</v>
      </c>
      <c r="Q348" s="491"/>
      <c r="R348" s="491"/>
      <c r="S348" s="491"/>
      <c r="T348" s="491"/>
      <c r="U348" s="491"/>
      <c r="V348" s="491"/>
      <c r="W348" s="491"/>
    </row>
    <row r="349" spans="1:24" s="1401" customFormat="1">
      <c r="A349" s="1401" t="str">
        <f>Financials!A39</f>
        <v>Energy</v>
      </c>
      <c r="D349" s="188"/>
      <c r="E349" s="188"/>
      <c r="F349" s="188"/>
      <c r="G349" s="188"/>
      <c r="H349" s="188"/>
      <c r="I349" s="188"/>
      <c r="J349" s="182"/>
      <c r="K349" s="182"/>
      <c r="L349" s="1412">
        <f>Financials!L39</f>
        <v>77.272999999999996</v>
      </c>
      <c r="M349" s="831"/>
      <c r="N349" s="831">
        <f>Financials!N39</f>
        <v>185.57300000000001</v>
      </c>
      <c r="O349" s="831">
        <f>Financials!O39</f>
        <v>152.089</v>
      </c>
      <c r="P349" s="831">
        <f>Financials!P39</f>
        <v>165.15</v>
      </c>
      <c r="Q349" s="491"/>
      <c r="R349" s="491"/>
      <c r="S349" s="491"/>
      <c r="T349" s="491"/>
      <c r="U349" s="491"/>
      <c r="V349" s="491"/>
      <c r="W349" s="491"/>
    </row>
    <row r="350" spans="1:24" s="1401" customFormat="1">
      <c r="A350" s="1401" t="str">
        <f>Financials!A40</f>
        <v>Other</v>
      </c>
      <c r="D350" s="188"/>
      <c r="E350" s="188"/>
      <c r="F350" s="188"/>
      <c r="G350" s="188"/>
      <c r="H350" s="188"/>
      <c r="I350" s="188"/>
      <c r="J350" s="182"/>
      <c r="K350" s="182"/>
      <c r="L350" s="1412">
        <f>Financials!L40</f>
        <v>168.49199999999999</v>
      </c>
      <c r="M350" s="831"/>
      <c r="N350" s="831">
        <f>Financials!N40</f>
        <v>-18.586000000000006</v>
      </c>
      <c r="O350" s="831">
        <f>Financials!O40</f>
        <v>-32.714000000000013</v>
      </c>
      <c r="P350" s="831">
        <f>Financials!P40</f>
        <v>39.918199999999999</v>
      </c>
      <c r="Q350" s="491"/>
      <c r="R350" s="491"/>
      <c r="S350" s="491"/>
      <c r="T350" s="491"/>
      <c r="U350" s="491"/>
      <c r="V350" s="491"/>
      <c r="W350" s="491"/>
    </row>
    <row r="351" spans="1:24" s="1401" customFormat="1">
      <c r="A351" s="275"/>
      <c r="B351" s="275" t="s">
        <v>54</v>
      </c>
      <c r="C351" s="275" t="s">
        <v>42</v>
      </c>
      <c r="D351" s="188"/>
      <c r="E351" s="188"/>
      <c r="F351" s="188"/>
      <c r="G351" s="188"/>
      <c r="H351" s="188"/>
      <c r="I351" s="188"/>
      <c r="J351" s="182"/>
      <c r="K351" s="182"/>
      <c r="L351" s="182"/>
      <c r="M351" s="831"/>
      <c r="N351" s="831"/>
      <c r="O351" s="1646"/>
      <c r="P351" s="491"/>
      <c r="Q351" s="491"/>
      <c r="R351" s="491"/>
      <c r="S351" s="491"/>
      <c r="T351" s="491"/>
      <c r="U351" s="491"/>
      <c r="V351" s="491"/>
      <c r="W351" s="491"/>
    </row>
    <row r="352" spans="1:24" s="1401" customFormat="1">
      <c r="A352" s="1401" t="s">
        <v>55</v>
      </c>
      <c r="B352" s="1413">
        <f>1-B353</f>
        <v>8.9357967155101248E-2</v>
      </c>
      <c r="C352" s="1413">
        <f>1-C353</f>
        <v>0.86690266856538412</v>
      </c>
      <c r="D352" s="188"/>
      <c r="E352" s="188"/>
      <c r="F352" s="188"/>
      <c r="G352" s="188"/>
      <c r="H352" s="188"/>
      <c r="I352" s="188"/>
      <c r="J352" s="182"/>
      <c r="K352" s="182"/>
      <c r="L352" s="182"/>
      <c r="M352" s="831"/>
      <c r="N352" s="831"/>
      <c r="O352" s="1646"/>
      <c r="P352" s="491"/>
      <c r="Q352" s="491"/>
      <c r="R352" s="491"/>
      <c r="S352" s="491"/>
      <c r="T352" s="491"/>
      <c r="U352" s="491"/>
      <c r="V352" s="491"/>
      <c r="W352" s="491"/>
    </row>
    <row r="353" spans="1:77" s="1401" customFormat="1">
      <c r="A353" s="1401" t="s">
        <v>43</v>
      </c>
      <c r="B353" s="1413">
        <f>Financials!P20</f>
        <v>0.91064203284489875</v>
      </c>
      <c r="C353" s="1413">
        <f>Financials!P25</f>
        <v>0.13309733143461588</v>
      </c>
      <c r="D353" s="188"/>
      <c r="E353" s="188"/>
      <c r="F353" s="188"/>
      <c r="G353" s="188"/>
      <c r="H353" s="188"/>
      <c r="I353" s="188"/>
      <c r="J353" s="182"/>
      <c r="K353" s="182"/>
      <c r="L353" s="182"/>
      <c r="M353" s="831"/>
      <c r="N353" s="831"/>
      <c r="O353" s="1646"/>
      <c r="P353" s="491"/>
      <c r="Q353" s="491"/>
      <c r="R353" s="491"/>
      <c r="S353" s="491"/>
      <c r="T353" s="491"/>
      <c r="U353" s="491"/>
      <c r="V353" s="491"/>
      <c r="W353" s="491"/>
    </row>
    <row r="354" spans="1:77" s="1401" customFormat="1">
      <c r="D354" s="188"/>
      <c r="E354" s="188"/>
      <c r="F354" s="188"/>
      <c r="G354" s="188"/>
      <c r="H354" s="188"/>
      <c r="I354" s="188"/>
      <c r="J354" s="182"/>
      <c r="K354" s="182"/>
      <c r="L354" s="182"/>
      <c r="M354" s="831"/>
      <c r="N354" s="831"/>
      <c r="O354" s="1646"/>
      <c r="P354" s="491"/>
      <c r="Q354" s="491"/>
      <c r="R354" s="491"/>
      <c r="S354" s="491"/>
    </row>
    <row r="355" spans="1:77">
      <c r="A355" s="351"/>
      <c r="B355" s="538" t="s">
        <v>578</v>
      </c>
      <c r="C355" s="538" t="s">
        <v>580</v>
      </c>
      <c r="D355" s="538" t="s">
        <v>581</v>
      </c>
      <c r="E355" s="538" t="s">
        <v>582</v>
      </c>
      <c r="F355" s="538" t="s">
        <v>583</v>
      </c>
      <c r="G355" s="538" t="s">
        <v>579</v>
      </c>
      <c r="H355" s="538" t="s">
        <v>584</v>
      </c>
      <c r="I355" s="538" t="s">
        <v>585</v>
      </c>
      <c r="J355" s="538" t="s">
        <v>586</v>
      </c>
      <c r="K355" s="538" t="s">
        <v>587</v>
      </c>
      <c r="L355" s="538" t="s">
        <v>588</v>
      </c>
      <c r="M355" s="538" t="s">
        <v>589</v>
      </c>
      <c r="N355" s="538" t="s">
        <v>590</v>
      </c>
      <c r="O355" s="538" t="s">
        <v>591</v>
      </c>
      <c r="P355" s="538" t="s">
        <v>592</v>
      </c>
      <c r="Q355" s="538" t="s">
        <v>593</v>
      </c>
      <c r="R355" s="538" t="s">
        <v>594</v>
      </c>
      <c r="S355" s="538" t="s">
        <v>595</v>
      </c>
      <c r="T355" s="538" t="s">
        <v>517</v>
      </c>
      <c r="U355" s="538" t="s">
        <v>518</v>
      </c>
      <c r="V355" s="538" t="s">
        <v>519</v>
      </c>
      <c r="W355" s="538" t="s">
        <v>520</v>
      </c>
      <c r="X355" s="538" t="s">
        <v>521</v>
      </c>
      <c r="Y355" s="538" t="s">
        <v>522</v>
      </c>
      <c r="Z355" s="538" t="s">
        <v>523</v>
      </c>
      <c r="AA355" s="538" t="s">
        <v>467</v>
      </c>
      <c r="AB355" s="538" t="s">
        <v>524</v>
      </c>
      <c r="AC355" s="538" t="s">
        <v>525</v>
      </c>
      <c r="AD355" s="538" t="s">
        <v>526</v>
      </c>
      <c r="AE355" s="538" t="s">
        <v>446</v>
      </c>
      <c r="AF355" s="538" t="s">
        <v>596</v>
      </c>
      <c r="AG355" s="538" t="s">
        <v>597</v>
      </c>
      <c r="AH355" s="538" t="s">
        <v>650</v>
      </c>
      <c r="AI355" s="538" t="s">
        <v>777</v>
      </c>
      <c r="AJ355" s="538" t="s">
        <v>778</v>
      </c>
      <c r="AK355" s="1452" t="s">
        <v>779</v>
      </c>
      <c r="AL355" s="1452" t="s">
        <v>780</v>
      </c>
      <c r="AM355" s="1452" t="s">
        <v>781</v>
      </c>
      <c r="AN355" s="1452" t="s">
        <v>782</v>
      </c>
      <c r="AO355" s="1452" t="s">
        <v>783</v>
      </c>
      <c r="AP355" s="1452" t="s">
        <v>785</v>
      </c>
      <c r="AQ355" s="1452" t="s">
        <v>786</v>
      </c>
      <c r="AR355" s="1452" t="s">
        <v>787</v>
      </c>
      <c r="AS355" s="1452" t="s">
        <v>788</v>
      </c>
      <c r="AT355" s="1452" t="s">
        <v>789</v>
      </c>
      <c r="AU355" s="1344" t="s">
        <v>615</v>
      </c>
      <c r="AV355" s="1344" t="s">
        <v>616</v>
      </c>
      <c r="AW355" s="1344" t="s">
        <v>617</v>
      </c>
      <c r="AX355" s="1344" t="s">
        <v>618</v>
      </c>
      <c r="AY355" s="1795" t="s">
        <v>619</v>
      </c>
      <c r="AZ355" s="1795" t="s">
        <v>620</v>
      </c>
      <c r="BA355" s="1795" t="s">
        <v>621</v>
      </c>
      <c r="BB355" s="1795" t="s">
        <v>622</v>
      </c>
      <c r="BC355" s="1795" t="s">
        <v>623</v>
      </c>
      <c r="BD355" s="1795" t="s">
        <v>624</v>
      </c>
      <c r="BE355" s="1795" t="s">
        <v>625</v>
      </c>
      <c r="BF355" s="1795" t="s">
        <v>626</v>
      </c>
      <c r="BG355" s="1795" t="s">
        <v>627</v>
      </c>
      <c r="BH355" s="1795" t="s">
        <v>628</v>
      </c>
      <c r="BI355" s="1795" t="s">
        <v>629</v>
      </c>
      <c r="BJ355" s="1795" t="s">
        <v>1269</v>
      </c>
      <c r="BK355" s="1795" t="s">
        <v>1270</v>
      </c>
      <c r="BL355" s="1795" t="s">
        <v>1271</v>
      </c>
      <c r="BM355" s="1795" t="s">
        <v>1272</v>
      </c>
      <c r="BN355" s="1795" t="s">
        <v>1273</v>
      </c>
      <c r="BO355" s="1795" t="s">
        <v>1274</v>
      </c>
      <c r="BP355" s="1795" t="s">
        <v>1275</v>
      </c>
      <c r="BQ355" s="1795" t="s">
        <v>1276</v>
      </c>
      <c r="BR355" s="1795" t="s">
        <v>1277</v>
      </c>
      <c r="BS355" s="1795" t="s">
        <v>1278</v>
      </c>
      <c r="BT355" s="1795" t="s">
        <v>1279</v>
      </c>
      <c r="BU355" s="1795" t="s">
        <v>1280</v>
      </c>
      <c r="BV355" s="1795" t="s">
        <v>1281</v>
      </c>
      <c r="BW355" s="1795" t="s">
        <v>1282</v>
      </c>
      <c r="BX355" s="1795" t="s">
        <v>1283</v>
      </c>
      <c r="BY355" s="1795" t="s">
        <v>1284</v>
      </c>
    </row>
    <row r="356" spans="1:77">
      <c r="A356" s="385" t="s">
        <v>148</v>
      </c>
      <c r="B356" s="546">
        <f>Q_Financials!B7</f>
        <v>218.71</v>
      </c>
      <c r="C356" s="546">
        <f>Q_Financials!C7</f>
        <v>280.84399999999999</v>
      </c>
      <c r="D356" s="546">
        <f>Q_Financials!D7</f>
        <v>205.83799999999999</v>
      </c>
      <c r="E356" s="546">
        <f>Q_Financials!E7</f>
        <v>201.43299999999999</v>
      </c>
      <c r="F356" s="546">
        <f>Q_Financials!F7</f>
        <v>189.80500000000001</v>
      </c>
      <c r="G356" s="546">
        <f>Q_Financials!G7</f>
        <v>195.21899999999999</v>
      </c>
      <c r="H356" s="546">
        <f>Q_Financials!H7</f>
        <v>145.16399999999999</v>
      </c>
      <c r="I356" s="546">
        <f>Q_Financials!I7</f>
        <v>257.23599999999999</v>
      </c>
      <c r="J356" s="546">
        <f>Q_Financials!J7</f>
        <v>103.41</v>
      </c>
      <c r="K356" s="546">
        <f>Q_Financials!K7</f>
        <v>217.268</v>
      </c>
      <c r="L356" s="546">
        <f>Q_Financials!L7</f>
        <v>246.76599999999999</v>
      </c>
      <c r="M356" s="546">
        <f>Q_Financials!M7</f>
        <v>300.185</v>
      </c>
      <c r="N356" s="546">
        <f>Q_Financials!N7</f>
        <v>241.26499999999999</v>
      </c>
      <c r="O356" s="546">
        <f>Q_Financials!O7</f>
        <v>308.15199999999999</v>
      </c>
      <c r="P356" s="546">
        <f>Q_Financials!P7</f>
        <v>353.399</v>
      </c>
      <c r="Q356" s="546">
        <f>Q_Financials!Q7</f>
        <v>379.33300000000003</v>
      </c>
      <c r="R356" s="546">
        <f>Q_Financials!R7</f>
        <v>304.16399999999999</v>
      </c>
      <c r="S356" s="546">
        <f>Q_Financials!S7</f>
        <v>357.35399999999998</v>
      </c>
      <c r="T356" s="546">
        <f>Q_Financials!T7</f>
        <v>417.64499999999998</v>
      </c>
      <c r="U356" s="546">
        <f>Q_Financials!U7</f>
        <v>305.2</v>
      </c>
      <c r="V356" s="546">
        <f>Q_Financials!V7</f>
        <v>348.47</v>
      </c>
      <c r="W356" s="546">
        <f>Q_Financials!W7</f>
        <v>416.73899999999998</v>
      </c>
      <c r="X356" s="546">
        <f>Q_Financials!X7</f>
        <v>402.35599999999999</v>
      </c>
      <c r="Y356" s="546">
        <f>Q_Financials!Y7</f>
        <v>279.70100000000002</v>
      </c>
      <c r="Z356" s="546">
        <f>Q_Financials!Z7</f>
        <v>307.87200000000001</v>
      </c>
      <c r="AA356" s="546">
        <f>Q_Financials!AA7</f>
        <v>564.05399999999997</v>
      </c>
      <c r="AB356" s="546">
        <f>Q_Financials!AB7</f>
        <v>416.351</v>
      </c>
      <c r="AC356" s="546">
        <f>Q_Financials!AC7</f>
        <v>420.28899999999999</v>
      </c>
      <c r="AD356" s="546">
        <f>Q_Financials!AD7</f>
        <v>512.27700000000004</v>
      </c>
      <c r="AE356" s="546">
        <f>Q_Financials!AE7</f>
        <v>631.75900000000001</v>
      </c>
      <c r="AF356" s="546">
        <f>Q_Financials!AF7</f>
        <v>444.44499999999999</v>
      </c>
      <c r="AG356" s="546">
        <f>Q_Financials!AG7</f>
        <v>459.19400000000002</v>
      </c>
      <c r="AH356" s="546">
        <f>Q_Financials!AH7</f>
        <v>522.49300000000005</v>
      </c>
      <c r="AI356" s="546">
        <f>Q_Financials!AI7</f>
        <v>529.85599999999999</v>
      </c>
      <c r="AJ356" s="546">
        <f>Q_Financials!AJ7</f>
        <v>608.12099999999998</v>
      </c>
      <c r="AK356" s="1453">
        <f>Q_Financials!AK7</f>
        <v>738.27</v>
      </c>
      <c r="AL356" s="1453">
        <f>Q_Financials!AL7</f>
        <v>472.04399999999998</v>
      </c>
      <c r="AM356" s="1453">
        <f>Q_Financials!AM7</f>
        <v>680.53399999999999</v>
      </c>
      <c r="AN356" s="1453">
        <f>Q_Financials!AN7</f>
        <v>840.99599999999998</v>
      </c>
      <c r="AO356" s="1453">
        <f>Q_Financials!AO7</f>
        <v>844.08900000000006</v>
      </c>
      <c r="AP356" s="1453">
        <f>Q_Financials!AP7</f>
        <v>667.88900000000001</v>
      </c>
      <c r="AQ356" s="1453">
        <f>Q_Financials!AQ7</f>
        <v>754.53800000000001</v>
      </c>
      <c r="AR356" s="1453">
        <f>Q_Financials!AR7</f>
        <v>766.66300000000001</v>
      </c>
      <c r="AS356" s="1453">
        <f>Q_Financials!AS7</f>
        <v>941.06700000000001</v>
      </c>
      <c r="AT356" s="647">
        <f>Q_Financials!AT7</f>
        <v>932.529</v>
      </c>
      <c r="AU356" s="547">
        <f>Q_Financials!AU7</f>
        <v>1052.3148068497242</v>
      </c>
      <c r="AV356" s="547">
        <f>Q_Financials!AV7</f>
        <v>1018.9274659041116</v>
      </c>
      <c r="AW356" s="547">
        <f>Q_Financials!AW7</f>
        <v>1193.9863399786234</v>
      </c>
      <c r="AX356" s="547">
        <f>Q_Financials!AX7</f>
        <v>1359.9685605367397</v>
      </c>
      <c r="AY356" s="547">
        <f>Q_Financials!AY7</f>
        <v>1087.0464011167194</v>
      </c>
      <c r="AZ356" s="547">
        <f>Q_Financials!AZ7</f>
        <v>1048.3957941959343</v>
      </c>
      <c r="BA356" s="547">
        <f>Q_Financials!BA7</f>
        <v>846.22409521518102</v>
      </c>
      <c r="BB356" s="547">
        <f>Q_Financials!BB7</f>
        <v>1458.5903524069097</v>
      </c>
      <c r="BC356" s="547">
        <f>Q_Financials!BC7</f>
        <v>1177.2395909614656</v>
      </c>
      <c r="BD356" s="547">
        <f>Q_Financials!BD7</f>
        <v>1133.8329270312261</v>
      </c>
      <c r="BE356" s="547">
        <f>Q_Financials!BE7</f>
        <v>919.44218377207687</v>
      </c>
      <c r="BF356" s="547">
        <f>Q_Financials!BF7</f>
        <v>1723.5572172971797</v>
      </c>
      <c r="BG356" s="547">
        <f>Q_Financials!BG7</f>
        <v>1344.0083049784514</v>
      </c>
      <c r="BH356" s="547">
        <f>Q_Financials!BH7</f>
        <v>1298.3202122173636</v>
      </c>
      <c r="BI356" s="547">
        <f>Q_Financials!BI7</f>
        <v>1030.6969476113572</v>
      </c>
      <c r="BJ356" s="547">
        <f>Q_Financials!BJ7</f>
        <v>1857.3256454130856</v>
      </c>
      <c r="BK356" s="547">
        <f>Q_Financials!BK7</f>
        <v>1436.5546583712915</v>
      </c>
      <c r="BL356" s="547">
        <f>Q_Financials!BL7</f>
        <v>1387.3091710585145</v>
      </c>
      <c r="BM356" s="547">
        <f>Q_Financials!BM7</f>
        <v>1094.3460796446354</v>
      </c>
      <c r="BN356" s="547">
        <f>Q_Financials!BN7</f>
        <v>1701.3132964661352</v>
      </c>
      <c r="BO356" s="547">
        <f>Q_Financials!BO7</f>
        <v>1385.4478816949254</v>
      </c>
      <c r="BP356" s="547">
        <f>Q_Financials!BP7</f>
        <v>1329.6589890788971</v>
      </c>
      <c r="BQ356" s="547">
        <f>Q_Financials!BQ7</f>
        <v>1080.1166031918979</v>
      </c>
      <c r="BR356" s="547">
        <f>Q_Financials!BR7</f>
        <v>1605.086384437961</v>
      </c>
      <c r="BS356" s="547">
        <f>Q_Financials!BS7</f>
        <v>1364.2438552942001</v>
      </c>
      <c r="BT356" s="547">
        <f>Q_Financials!BT7</f>
        <v>1303.096974248532</v>
      </c>
      <c r="BU356" s="547">
        <f>Q_Financials!BU7</f>
        <v>1083.3661726669529</v>
      </c>
      <c r="BV356" s="547">
        <f>Q_Financials!BV7</f>
        <v>1819.4406833535509</v>
      </c>
      <c r="BW356" s="547">
        <f>Q_Financials!BW7</f>
        <v>1518.1420255600578</v>
      </c>
      <c r="BX356" s="547">
        <f>Q_Financials!BX7</f>
        <v>1455.5100074820868</v>
      </c>
      <c r="BY356" s="547">
        <f>Q_Financials!BY7</f>
        <v>1200.3791924526195</v>
      </c>
    </row>
    <row r="357" spans="1:77" s="1401" customFormat="1">
      <c r="A357" s="385" t="s">
        <v>1453</v>
      </c>
      <c r="B357" s="546">
        <f>+Q_Financials!B10</f>
        <v>195.63</v>
      </c>
      <c r="C357" s="546">
        <f>+Q_Financials!C10</f>
        <v>259.541</v>
      </c>
      <c r="D357" s="546">
        <f>+Q_Financials!D10</f>
        <v>187.601</v>
      </c>
      <c r="E357" s="546">
        <f>+Q_Financials!E10</f>
        <v>183.76499999999999</v>
      </c>
      <c r="F357" s="546">
        <f>+Q_Financials!F10</f>
        <v>174.56300000000002</v>
      </c>
      <c r="G357" s="546">
        <f>+Q_Financials!G10</f>
        <v>179.071</v>
      </c>
      <c r="H357" s="546">
        <f>+Q_Financials!H10</f>
        <v>127.28599999999999</v>
      </c>
      <c r="I357" s="546">
        <f>+Q_Financials!I10</f>
        <v>231.5</v>
      </c>
      <c r="J357" s="546">
        <f>+Q_Financials!J10</f>
        <v>92.055999999999997</v>
      </c>
      <c r="K357" s="546">
        <f>+Q_Financials!K10</f>
        <v>194.31299999999999</v>
      </c>
      <c r="L357" s="546">
        <f>+Q_Financials!L10</f>
        <v>220.816</v>
      </c>
      <c r="M357" s="546">
        <f>+Q_Financials!M10</f>
        <v>267.25799999999998</v>
      </c>
      <c r="N357" s="546">
        <f>+Q_Financials!N10</f>
        <v>217.45499999999998</v>
      </c>
      <c r="O357" s="546">
        <f>+Q_Financials!O10</f>
        <v>286.29699999999997</v>
      </c>
      <c r="P357" s="546">
        <f>+Q_Financials!P10</f>
        <v>324.15699999999998</v>
      </c>
      <c r="Q357" s="546">
        <f>+Q_Financials!Q10</f>
        <v>355.37700000000001</v>
      </c>
      <c r="R357" s="546">
        <f>+Q_Financials!R10</f>
        <v>285.45099999999996</v>
      </c>
      <c r="S357" s="546">
        <f>+Q_Financials!S10</f>
        <v>338.75200000000001</v>
      </c>
      <c r="T357" s="546">
        <f>+Q_Financials!T10</f>
        <v>390.28499999999997</v>
      </c>
      <c r="U357" s="546">
        <f>+Q_Financials!U10</f>
        <v>280.53999999999996</v>
      </c>
      <c r="V357" s="546">
        <f>+Q_Financials!V10</f>
        <v>328.94800000000004</v>
      </c>
      <c r="W357" s="546">
        <f>+Q_Financials!W10</f>
        <v>398.12199999999996</v>
      </c>
      <c r="X357" s="546">
        <f>+Q_Financials!X10</f>
        <v>380.44799999999998</v>
      </c>
      <c r="Y357" s="546">
        <f>+Q_Financials!Y10</f>
        <v>259.47200000000004</v>
      </c>
      <c r="Z357" s="546">
        <f>+Q_Financials!Z10</f>
        <v>290.31299999999999</v>
      </c>
      <c r="AA357" s="546">
        <f>+Q_Financials!AA10</f>
        <v>546.91300000000001</v>
      </c>
      <c r="AB357" s="546">
        <f>+Q_Financials!AB10</f>
        <v>394.916</v>
      </c>
      <c r="AC357" s="546">
        <f>+Q_Financials!AC10</f>
        <v>403.81299999999999</v>
      </c>
      <c r="AD357" s="546">
        <f>+Q_Financials!AD10</f>
        <v>494.26100000000002</v>
      </c>
      <c r="AE357" s="546">
        <f>+Q_Financials!AE10</f>
        <v>614.49400000000003</v>
      </c>
      <c r="AF357" s="546">
        <f>+Q_Financials!AF10</f>
        <v>424.81200000000001</v>
      </c>
      <c r="AG357" s="546">
        <f>+Q_Financials!AG10</f>
        <v>438.12299999999999</v>
      </c>
      <c r="AH357" s="546">
        <f>+Q_Financials!AH10</f>
        <v>504.63400000000007</v>
      </c>
      <c r="AI357" s="546">
        <f>+Q_Financials!AI10</f>
        <v>507.50700000000001</v>
      </c>
      <c r="AJ357" s="546">
        <f>+Q_Financials!AJ10</f>
        <v>584.98699999999997</v>
      </c>
      <c r="AK357" s="1453">
        <f>+Q_Financials!AK10</f>
        <v>696.85400000000004</v>
      </c>
      <c r="AL357" s="1453">
        <f>+Q_Financials!AL10</f>
        <v>451.12</v>
      </c>
      <c r="AM357" s="1453">
        <f>+Q_Financials!AM10</f>
        <v>660.75599999999997</v>
      </c>
      <c r="AN357" s="1453">
        <f>+Q_Financials!AN10</f>
        <v>802.05700000000002</v>
      </c>
      <c r="AO357" s="1453">
        <f>+Q_Financials!AO10</f>
        <v>813.48500000000001</v>
      </c>
      <c r="AP357" s="1453">
        <f>+Q_Financials!AP10</f>
        <v>641.43799999999999</v>
      </c>
      <c r="AQ357" s="1453">
        <f>+Q_Financials!AQ10</f>
        <v>724.447</v>
      </c>
      <c r="AR357" s="1453">
        <f>+Q_Financials!AR10</f>
        <v>736.92399999999998</v>
      </c>
      <c r="AS357" s="1453">
        <f>+Q_Financials!AS10</f>
        <v>900.072</v>
      </c>
      <c r="AT357" s="647">
        <f>+Q_Financials!AT10</f>
        <v>812.34699999999998</v>
      </c>
      <c r="AU357" s="547">
        <f>+Q_Financials!AU10</f>
        <v>916.69511232353398</v>
      </c>
      <c r="AV357" s="547">
        <f>+Q_Financials!AV10</f>
        <v>887.61064818875047</v>
      </c>
      <c r="AW357" s="547">
        <f>+Q_Financials!AW10</f>
        <v>1040.1083733831492</v>
      </c>
      <c r="AX357" s="547">
        <f>+Q_Financials!AX10</f>
        <v>1184.6992214143891</v>
      </c>
      <c r="AY357" s="547">
        <f>+Q_Financials!AY10</f>
        <v>946.95058578120745</v>
      </c>
      <c r="AZ357" s="547">
        <f>+Q_Financials!AZ10</f>
        <v>913.28117219698765</v>
      </c>
      <c r="BA357" s="547">
        <f>+Q_Financials!BA10</f>
        <v>737.16485500801218</v>
      </c>
      <c r="BB357" s="547">
        <f>+Q_Financials!BB10</f>
        <v>1270.6108839582423</v>
      </c>
      <c r="BC357" s="547">
        <f>+Q_Financials!BC10</f>
        <v>1025.519903401153</v>
      </c>
      <c r="BD357" s="547">
        <f>+Q_Financials!BD10</f>
        <v>987.70738151310616</v>
      </c>
      <c r="BE357" s="547">
        <f>+Q_Financials!BE10</f>
        <v>800.94677984351722</v>
      </c>
      <c r="BF357" s="547">
        <f>+Q_Financials!BF10</f>
        <v>1501.4294834795614</v>
      </c>
      <c r="BG357" s="547">
        <f>+Q_Financials!BG10</f>
        <v>1170.7958835857437</v>
      </c>
      <c r="BH357" s="547">
        <f>+Q_Financials!BH10</f>
        <v>1130.9959576958342</v>
      </c>
      <c r="BI357" s="547">
        <f>+Q_Financials!BI10</f>
        <v>897.86330859548946</v>
      </c>
      <c r="BJ357" s="547">
        <f>+Q_Financials!BJ10</f>
        <v>1617.9581718899722</v>
      </c>
      <c r="BK357" s="547">
        <f>+Q_Financials!BK10</f>
        <v>1251.4150949342525</v>
      </c>
      <c r="BL357" s="547">
        <f>+Q_Financials!BL10</f>
        <v>1208.5162425853471</v>
      </c>
      <c r="BM357" s="547">
        <f>+Q_Financials!BM10</f>
        <v>953.30950003815497</v>
      </c>
      <c r="BN357" s="547">
        <f>+Q_Financials!BN10</f>
        <v>1482.0523034075889</v>
      </c>
      <c r="BO357" s="547">
        <f>+Q_Financials!BO10</f>
        <v>1206.8948315293439</v>
      </c>
      <c r="BP357" s="547">
        <f>+Q_Financials!BP10</f>
        <v>1158.29587155067</v>
      </c>
      <c r="BQ357" s="547">
        <f>+Q_Financials!BQ10</f>
        <v>940.91388284238724</v>
      </c>
      <c r="BR357" s="547">
        <f>+Q_Financials!BR10</f>
        <v>1398.2268745948106</v>
      </c>
      <c r="BS357" s="547">
        <f>+Q_Financials!BS10</f>
        <v>1188.4235269001581</v>
      </c>
      <c r="BT357" s="547">
        <f>+Q_Financials!BT10</f>
        <v>1135.1571026100767</v>
      </c>
      <c r="BU357" s="547">
        <f>+Q_Financials!BU10</f>
        <v>943.74465594901744</v>
      </c>
      <c r="BV357" s="547">
        <f>+Q_Financials!BV10</f>
        <v>1584.9557287764851</v>
      </c>
      <c r="BW357" s="547">
        <f>+Q_Financials!BW10</f>
        <v>1322.4876867503706</v>
      </c>
      <c r="BX357" s="547">
        <f>+Q_Financials!BX10</f>
        <v>1267.9275261659968</v>
      </c>
      <c r="BY357" s="547">
        <f>+Q_Financials!BY10</f>
        <v>1045.6773310549142</v>
      </c>
    </row>
    <row r="358" spans="1:77">
      <c r="A358" s="385" t="s">
        <v>1163</v>
      </c>
      <c r="B358" s="546"/>
      <c r="C358" s="546"/>
      <c r="D358" s="546"/>
      <c r="E358" s="546"/>
      <c r="F358" s="480">
        <f>F356/B356-1</f>
        <v>-0.13216130949659366</v>
      </c>
      <c r="G358" s="480">
        <f t="shared" ref="G358:BH358" si="232">G356/C356-1</f>
        <v>-0.3048845622480808</v>
      </c>
      <c r="H358" s="480">
        <f t="shared" si="232"/>
        <v>-0.29476578668661768</v>
      </c>
      <c r="I358" s="480">
        <f t="shared" si="232"/>
        <v>0.27703007948052205</v>
      </c>
      <c r="J358" s="480">
        <f t="shared" si="232"/>
        <v>-0.45517768235820977</v>
      </c>
      <c r="K358" s="480">
        <f t="shared" si="232"/>
        <v>0.11294494900598817</v>
      </c>
      <c r="L358" s="480">
        <f t="shared" si="232"/>
        <v>0.69991182386817674</v>
      </c>
      <c r="M358" s="480">
        <f t="shared" si="232"/>
        <v>0.16696341103111556</v>
      </c>
      <c r="N358" s="480">
        <f t="shared" si="232"/>
        <v>1.3330915772169036</v>
      </c>
      <c r="O358" s="480">
        <f t="shared" si="232"/>
        <v>0.41830366183699397</v>
      </c>
      <c r="P358" s="480">
        <f t="shared" si="232"/>
        <v>0.432121929277129</v>
      </c>
      <c r="Q358" s="480">
        <f t="shared" si="232"/>
        <v>0.26366407382114376</v>
      </c>
      <c r="R358" s="480">
        <f t="shared" si="232"/>
        <v>0.26070503388390365</v>
      </c>
      <c r="S358" s="480">
        <f t="shared" si="232"/>
        <v>0.15966795607362605</v>
      </c>
      <c r="T358" s="480">
        <f t="shared" si="232"/>
        <v>0.18179451554758219</v>
      </c>
      <c r="U358" s="480">
        <f t="shared" si="232"/>
        <v>-0.19542987296122416</v>
      </c>
      <c r="V358" s="480">
        <f t="shared" si="232"/>
        <v>0.14566483870543534</v>
      </c>
      <c r="W358" s="480">
        <f t="shared" si="232"/>
        <v>0.16617975452912237</v>
      </c>
      <c r="X358" s="480">
        <f t="shared" si="232"/>
        <v>-3.6607645248955434E-2</v>
      </c>
      <c r="Y358" s="480">
        <f t="shared" si="232"/>
        <v>-8.3548492791611917E-2</v>
      </c>
      <c r="Z358" s="480">
        <f t="shared" si="232"/>
        <v>-0.11650357276092638</v>
      </c>
      <c r="AA358" s="480">
        <f t="shared" si="232"/>
        <v>0.35349463333165354</v>
      </c>
      <c r="AB358" s="480">
        <f t="shared" si="232"/>
        <v>3.478263030748896E-2</v>
      </c>
      <c r="AC358" s="480">
        <f t="shared" si="232"/>
        <v>0.50263674423759652</v>
      </c>
      <c r="AD358" s="480">
        <f t="shared" si="232"/>
        <v>0.663928515746804</v>
      </c>
      <c r="AE358" s="480">
        <f t="shared" si="232"/>
        <v>0.12003283373577722</v>
      </c>
      <c r="AF358" s="480">
        <f t="shared" si="232"/>
        <v>6.7476720363347287E-2</v>
      </c>
      <c r="AG358" s="480">
        <f t="shared" si="232"/>
        <v>9.2567257292006211E-2</v>
      </c>
      <c r="AH358" s="480">
        <f t="shared" si="232"/>
        <v>1.9942335884687301E-2</v>
      </c>
      <c r="AI358" s="480">
        <f t="shared" si="232"/>
        <v>-0.16130043260167248</v>
      </c>
      <c r="AJ358" s="480">
        <f t="shared" ref="AJ358" si="233">AJ356/AF356-1</f>
        <v>0.36827053966182532</v>
      </c>
      <c r="AK358" s="418">
        <f t="shared" ref="AK358" si="234">AK356/AG356-1</f>
        <v>0.60775184344743161</v>
      </c>
      <c r="AL358" s="418">
        <f t="shared" si="232"/>
        <v>-9.6554403599665606E-2</v>
      </c>
      <c r="AM358" s="418">
        <f t="shared" si="232"/>
        <v>0.28437537746104602</v>
      </c>
      <c r="AN358" s="418">
        <f t="shared" si="232"/>
        <v>0.38294188163210952</v>
      </c>
      <c r="AO358" s="418">
        <f t="shared" si="232"/>
        <v>0.14333373968873198</v>
      </c>
      <c r="AP358" s="418">
        <f t="shared" si="232"/>
        <v>0.41488717153485699</v>
      </c>
      <c r="AQ358" s="418">
        <f t="shared" si="232"/>
        <v>0.10874401572882464</v>
      </c>
      <c r="AR358" s="418">
        <f t="shared" si="232"/>
        <v>-8.8386865098050382E-2</v>
      </c>
      <c r="AS358" s="418">
        <f t="shared" si="232"/>
        <v>0.11489072834736613</v>
      </c>
      <c r="AT358" s="420">
        <f t="shared" si="232"/>
        <v>0.3962335058669928</v>
      </c>
      <c r="AU358" s="1599">
        <f t="shared" si="232"/>
        <v>0.39464785981583983</v>
      </c>
      <c r="AV358" s="1599">
        <f t="shared" si="232"/>
        <v>0.32904218138101293</v>
      </c>
      <c r="AW358" s="1599">
        <f t="shared" si="232"/>
        <v>0.26875805864898394</v>
      </c>
      <c r="AX358" s="1599">
        <f t="shared" si="232"/>
        <v>0.45836597096362652</v>
      </c>
      <c r="AY358" s="1599">
        <f t="shared" si="232"/>
        <v>3.300494684757882E-2</v>
      </c>
      <c r="AZ358" s="1599">
        <f t="shared" si="232"/>
        <v>2.8920928405512081E-2</v>
      </c>
      <c r="BA358" s="1599">
        <f t="shared" si="232"/>
        <v>-0.29126149363624088</v>
      </c>
      <c r="BB358" s="1599">
        <f t="shared" si="232"/>
        <v>7.2517699843918981E-2</v>
      </c>
      <c r="BC358" s="1599">
        <f t="shared" si="232"/>
        <v>8.2970873876304641E-2</v>
      </c>
      <c r="BD358" s="1599">
        <f t="shared" si="232"/>
        <v>8.1493204482776083E-2</v>
      </c>
      <c r="BE358" s="1599">
        <f t="shared" si="232"/>
        <v>8.6523284991403715E-2</v>
      </c>
      <c r="BF358" s="1599">
        <f t="shared" si="232"/>
        <v>0.18165954851753408</v>
      </c>
      <c r="BG358" s="1599">
        <f t="shared" si="232"/>
        <v>0.14166080999771991</v>
      </c>
      <c r="BH358" s="1599">
        <f t="shared" si="232"/>
        <v>0.14507188957443962</v>
      </c>
      <c r="BI358" s="1599">
        <f t="shared" ref="BI358" si="235">BI356/BE356-1</f>
        <v>0.12100245758014916</v>
      </c>
      <c r="BJ358" s="1599">
        <f t="shared" ref="BJ358" si="236">BJ356/BF356-1</f>
        <v>7.7611829055304948E-2</v>
      </c>
      <c r="BK358" s="1599">
        <f t="shared" ref="BK358" si="237">BK356/BG356-1</f>
        <v>6.8858468396386874E-2</v>
      </c>
      <c r="BL358" s="1599">
        <f t="shared" ref="BL358" si="238">BL356/BH356-1</f>
        <v>6.8541610924449214E-2</v>
      </c>
      <c r="BM358" s="1599">
        <f t="shared" ref="BM358" si="239">BM356/BI356-1</f>
        <v>6.1753488434001191E-2</v>
      </c>
      <c r="BN358" s="1599">
        <f t="shared" ref="BN358" si="240">BN356/BJ356-1</f>
        <v>-8.3998381938161337E-2</v>
      </c>
      <c r="BO358" s="1599">
        <f t="shared" ref="BO358" si="241">BO356/BK356-1</f>
        <v>-3.5575936062404279E-2</v>
      </c>
      <c r="BP358" s="1599">
        <f t="shared" ref="BP358" si="242">BP356/BL356-1</f>
        <v>-4.1555396001332845E-2</v>
      </c>
      <c r="BQ358" s="1599">
        <f t="shared" ref="BQ358" si="243">BQ356/BM356-1</f>
        <v>-1.3002720727393946E-2</v>
      </c>
      <c r="BR358" s="1599">
        <f t="shared" ref="BR358" si="244">BR356/BN356-1</f>
        <v>-5.6560371466002679E-2</v>
      </c>
      <c r="BS358" s="1599">
        <f t="shared" ref="BS358" si="245">BS356/BO356-1</f>
        <v>-1.5304817078203414E-2</v>
      </c>
      <c r="BT358" s="1599">
        <f t="shared" ref="BT358" si="246">BT356/BP356-1</f>
        <v>-1.9976561696292916E-2</v>
      </c>
      <c r="BU358" s="1599">
        <f t="shared" ref="BU358" si="247">BU356/BQ356-1</f>
        <v>3.008535805719692E-3</v>
      </c>
      <c r="BV358" s="1599">
        <f t="shared" ref="BV358" si="248">BV356/BR356-1</f>
        <v>0.13354689254974184</v>
      </c>
      <c r="BW358" s="1599">
        <f t="shared" ref="BW358" si="249">BW356/BS356-1</f>
        <v>0.11280840274165604</v>
      </c>
      <c r="BX358" s="1599">
        <f t="shared" ref="BX358" si="250">BX356/BT356-1</f>
        <v>0.11696215726496351</v>
      </c>
      <c r="BY358" s="1599">
        <f t="shared" ref="BY358" si="251">BY356/BU356-1</f>
        <v>0.10800874416967643</v>
      </c>
    </row>
    <row r="359" spans="1:77">
      <c r="A359" s="385" t="s">
        <v>217</v>
      </c>
      <c r="B359" s="158">
        <f>Q_Financials!B15</f>
        <v>0.55168941368910696</v>
      </c>
      <c r="C359" s="158">
        <f>Q_Financials!C15</f>
        <v>0.47670695574109678</v>
      </c>
      <c r="D359" s="158">
        <f>Q_Financials!D15</f>
        <v>0.42722586766595061</v>
      </c>
      <c r="E359" s="158">
        <f>Q_Financials!E15</f>
        <v>0.45383506108344901</v>
      </c>
      <c r="F359" s="158">
        <f>Q_Financials!F15</f>
        <v>0.37614500209093576</v>
      </c>
      <c r="G359" s="158">
        <f>Q_Financials!G15</f>
        <v>0.34896772788447045</v>
      </c>
      <c r="H359" s="158">
        <f>Q_Financials!H15</f>
        <v>0.3594189463098848</v>
      </c>
      <c r="I359" s="158">
        <f>Q_Financials!I15</f>
        <v>0.45853563714902812</v>
      </c>
      <c r="J359" s="158">
        <f>Q_Financials!J15</f>
        <v>0.34567002694012339</v>
      </c>
      <c r="K359" s="158">
        <f>Q_Financials!K15</f>
        <v>0.45220855012274008</v>
      </c>
      <c r="L359" s="158">
        <f>Q_Financials!L15</f>
        <v>0.49155405405405406</v>
      </c>
      <c r="M359" s="158">
        <f>Q_Financials!M15</f>
        <v>0.41785091559466875</v>
      </c>
      <c r="N359" s="158">
        <f>Q_Financials!N15</f>
        <v>0.36973626727368875</v>
      </c>
      <c r="O359" s="158">
        <f>Q_Financials!O15</f>
        <v>0.45096874923593333</v>
      </c>
      <c r="P359" s="158">
        <f>Q_Financials!P15</f>
        <v>0.4794713672695638</v>
      </c>
      <c r="Q359" s="158">
        <f>Q_Financials!Q15</f>
        <v>0.53632339740613488</v>
      </c>
      <c r="R359" s="158">
        <f>Q_Financials!R15</f>
        <v>0.56277960140269245</v>
      </c>
      <c r="S359" s="158">
        <f>Q_Financials!S15</f>
        <v>0.58596259210277724</v>
      </c>
      <c r="T359" s="158">
        <f>Q_Financials!T15</f>
        <v>0.57069064914101231</v>
      </c>
      <c r="U359" s="158">
        <f>Q_Financials!U15</f>
        <v>0.52691238326085388</v>
      </c>
      <c r="V359" s="158">
        <f>Q_Financials!V15</f>
        <v>0.55695125065359885</v>
      </c>
      <c r="W359" s="158">
        <f>Q_Financials!W15</f>
        <v>0.60613831940962815</v>
      </c>
      <c r="X359" s="158">
        <f>Q_Financials!X15</f>
        <v>0.51108955757422825</v>
      </c>
      <c r="Y359" s="158">
        <f>Q_Financials!Y15</f>
        <v>0.42089705247579701</v>
      </c>
      <c r="Z359" s="158">
        <f>Q_Financials!Z15</f>
        <v>0.54960680369118853</v>
      </c>
      <c r="AA359" s="158">
        <f>Q_Financials!AA15</f>
        <v>0.54388723617833179</v>
      </c>
      <c r="AB359" s="158">
        <f>Q_Financials!AB15</f>
        <v>0.5091918281356036</v>
      </c>
      <c r="AC359" s="158">
        <f>Q_Financials!AC15</f>
        <v>0.48810959528296505</v>
      </c>
      <c r="AD359" s="158">
        <f>Q_Financials!AD15</f>
        <v>0.5444835825606309</v>
      </c>
      <c r="AE359" s="158">
        <f>Q_Financials!AE15</f>
        <v>0.49602437127132243</v>
      </c>
      <c r="AF359" s="158">
        <f>Q_Financials!AF15</f>
        <v>0.49376194646102284</v>
      </c>
      <c r="AG359" s="158">
        <f>Q_Financials!AG15</f>
        <v>0.44526308821951821</v>
      </c>
      <c r="AH359" s="158">
        <f>Q_Financials!AH15</f>
        <v>0.55015912522739252</v>
      </c>
      <c r="AI359" s="158">
        <f>Q_Financials!AI15</f>
        <v>0.5740807515955445</v>
      </c>
      <c r="AJ359" s="158">
        <f>Q_Financials!AJ15</f>
        <v>0.58554976435373773</v>
      </c>
      <c r="AK359" s="336">
        <f>Q_Financials!AK15</f>
        <v>0.48566414198670038</v>
      </c>
      <c r="AL359" s="336">
        <f>Q_Financials!AL15</f>
        <v>0.53790787373647808</v>
      </c>
      <c r="AM359" s="336">
        <f>Q_Financials!AM15</f>
        <v>0.61302962061638477</v>
      </c>
      <c r="AN359" s="336">
        <f>Q_Financials!AN15</f>
        <v>0.52681791942467926</v>
      </c>
      <c r="AO359" s="336">
        <f>Q_Financials!AO15</f>
        <v>0.51572678045692288</v>
      </c>
      <c r="AP359" s="336">
        <f>Q_Financials!AP15</f>
        <v>0.54106086636588424</v>
      </c>
      <c r="AQ359" s="336">
        <f>Q_Financials!AQ15</f>
        <v>0.53875300746638466</v>
      </c>
      <c r="AR359" s="336">
        <f>Q_Financials!AR15</f>
        <v>0.51874548800147635</v>
      </c>
      <c r="AS359" s="336">
        <f>Q_Financials!AS15</f>
        <v>0.49676914735710037</v>
      </c>
      <c r="AT359" s="365">
        <f>Q_Financials!AT15</f>
        <v>0.58779930251481205</v>
      </c>
      <c r="AU359" s="366">
        <f>Q_Financials!AU15</f>
        <v>0.59199254578983229</v>
      </c>
      <c r="AV359" s="366">
        <f>Q_Financials!AV15</f>
        <v>0.55277316046562619</v>
      </c>
      <c r="AW359" s="366">
        <f>Q_Financials!AW15</f>
        <v>0.51770113175910226</v>
      </c>
      <c r="AX359" s="366">
        <f>Q_Financials!AX15</f>
        <v>0.61344390566124885</v>
      </c>
      <c r="AY359" s="366">
        <f>Q_Financials!AY15</f>
        <v>0.5841093498666835</v>
      </c>
      <c r="AZ359" s="366">
        <f>Q_Financials!AZ15</f>
        <v>0.54232275696218935</v>
      </c>
      <c r="BA359" s="366">
        <f>Q_Financials!BA15</f>
        <v>0.42639115623042051</v>
      </c>
      <c r="BB359" s="366">
        <f>Q_Financials!BB15</f>
        <v>0.61550816532508856</v>
      </c>
      <c r="BC359" s="366">
        <f>Q_Financials!BC15</f>
        <v>0.59032312974411971</v>
      </c>
      <c r="BD359" s="366">
        <f>Q_Financials!BD15</f>
        <v>0.54854487404597208</v>
      </c>
      <c r="BE359" s="366">
        <f>Q_Financials!BE15</f>
        <v>0.43680879341399381</v>
      </c>
      <c r="BF359" s="366">
        <f>Q_Financials!BF15</f>
        <v>0.62927928253000154</v>
      </c>
      <c r="BG359" s="366">
        <f>Q_Financials!BG15</f>
        <v>0.59115710373776309</v>
      </c>
      <c r="BH359" s="366">
        <f>Q_Financials!BH15</f>
        <v>0.55080600731185458</v>
      </c>
      <c r="BI359" s="366">
        <f>Q_Financials!BI15</f>
        <v>0.42759765411009215</v>
      </c>
      <c r="BJ359" s="366">
        <f>Q_Financials!BJ15</f>
        <v>0.63051295367295934</v>
      </c>
      <c r="BK359" s="366">
        <f>Q_Financials!BK15</f>
        <v>0.58918058094834203</v>
      </c>
      <c r="BL359" s="366">
        <f>Q_Financials!BL15</f>
        <v>0.54850056529622293</v>
      </c>
      <c r="BM359" s="366">
        <f>Q_Financials!BM15</f>
        <v>0.42098152821086432</v>
      </c>
      <c r="BN359" s="366">
        <f>Q_Financials!BN15</f>
        <v>0.60232351758381086</v>
      </c>
      <c r="BO359" s="366">
        <f>Q_Financials!BO15</f>
        <v>0.58003813264783111</v>
      </c>
      <c r="BP359" s="366">
        <f>Q_Financials!BP15</f>
        <v>0.53557335671115436</v>
      </c>
      <c r="BQ359" s="366">
        <f>Q_Financials!BQ15</f>
        <v>0.42163314634519605</v>
      </c>
      <c r="BR359" s="366">
        <f>Q_Financials!BR15</f>
        <v>0.57973464132113917</v>
      </c>
      <c r="BS359" s="366">
        <f>Q_Financials!BS15</f>
        <v>0.5747778838957861</v>
      </c>
      <c r="BT359" s="366">
        <f>Q_Financials!BT15</f>
        <v>0.52751452331030291</v>
      </c>
      <c r="BU359" s="366">
        <f>Q_Financials!BU15</f>
        <v>0.42508112622674055</v>
      </c>
      <c r="BV359" s="366">
        <f>Q_Financials!BV15</f>
        <v>0.63429036899197067</v>
      </c>
      <c r="BW359" s="366">
        <f>Q_Financials!BW15</f>
        <v>0.62308124953168753</v>
      </c>
      <c r="BX359" s="366">
        <f>Q_Financials!BX15</f>
        <v>0.58274428012047486</v>
      </c>
      <c r="BY359" s="366">
        <f>Q_Financials!BY15</f>
        <v>0.48818186140273612</v>
      </c>
    </row>
    <row r="360" spans="1:77">
      <c r="A360" s="385" t="s">
        <v>1084</v>
      </c>
      <c r="B360" s="158">
        <f>Q_Financials!B28</f>
        <v>0.21205847773858813</v>
      </c>
      <c r="C360" s="158">
        <f>Q_Financials!C28</f>
        <v>0.19125687270989936</v>
      </c>
      <c r="D360" s="158">
        <f>Q_Financials!D28</f>
        <v>0.11175313564426627</v>
      </c>
      <c r="E360" s="158">
        <f>Q_Financials!E28</f>
        <v>2.2071667618969868E-2</v>
      </c>
      <c r="F360" s="158">
        <f>Q_Financials!F28</f>
        <v>-0.12888183635707434</v>
      </c>
      <c r="G360" s="158">
        <f>Q_Financials!G28</f>
        <v>-0.24382507497026315</v>
      </c>
      <c r="H360" s="158">
        <f>Q_Financials!H28</f>
        <v>-4.5032446616281502E-2</v>
      </c>
      <c r="I360" s="158">
        <f>Q_Financials!I28</f>
        <v>3.9097192224622039E-2</v>
      </c>
      <c r="J360" s="158">
        <f>Q_Financials!J28</f>
        <v>-0.30913791605109936</v>
      </c>
      <c r="K360" s="158">
        <f>Q_Financials!K28</f>
        <v>-3.2720404707868259E-2</v>
      </c>
      <c r="L360" s="158">
        <f>Q_Financials!L28</f>
        <v>0.1739457285703935</v>
      </c>
      <c r="M360" s="158">
        <f>Q_Financials!M28</f>
        <v>0.13873859716079587</v>
      </c>
      <c r="N360" s="158">
        <f>Q_Financials!N28</f>
        <v>-5.9419190177278126E-2</v>
      </c>
      <c r="O360" s="158">
        <f>Q_Financials!O28</f>
        <v>7.0716773141178552E-2</v>
      </c>
      <c r="P360" s="158">
        <f>Q_Financials!P28</f>
        <v>0.16268042954494269</v>
      </c>
      <c r="Q360" s="158">
        <f>Q_Financials!Q28</f>
        <v>0.18078547570608119</v>
      </c>
      <c r="R360" s="158">
        <f>Q_Financials!R28</f>
        <v>0.16194723437647779</v>
      </c>
      <c r="S360" s="158">
        <f>Q_Financials!S28</f>
        <v>0.1917479453995844</v>
      </c>
      <c r="T360" s="158">
        <f>Q_Financials!T28</f>
        <v>0.24799825768348768</v>
      </c>
      <c r="U360" s="158">
        <f>Q_Financials!U28</f>
        <v>9.9080345048834173E-2</v>
      </c>
      <c r="V360" s="158">
        <f>Q_Financials!V28</f>
        <v>0.18495324488976989</v>
      </c>
      <c r="W360" s="158">
        <f>Q_Financials!W28</f>
        <v>0.24592712786532764</v>
      </c>
      <c r="X360" s="158">
        <f>Q_Financials!X28</f>
        <v>0.21692583480528219</v>
      </c>
      <c r="Y360" s="158">
        <f>Q_Financials!Y28</f>
        <v>-3.958037861503353E-2</v>
      </c>
      <c r="Z360" s="158">
        <f>Q_Financials!Z28</f>
        <v>0.11015352395517941</v>
      </c>
      <c r="AA360" s="158">
        <f>Q_Financials!AA28</f>
        <v>0.17406059098979185</v>
      </c>
      <c r="AB360" s="158">
        <f>Q_Financials!AB28</f>
        <v>9.4807503367804843E-2</v>
      </c>
      <c r="AC360" s="158">
        <f>Q_Financials!AC28</f>
        <v>8.4677808787730818E-2</v>
      </c>
      <c r="AD360" s="158">
        <f>Q_Financials!AD28</f>
        <v>0.13316041524619585</v>
      </c>
      <c r="AE360" s="158">
        <f>Q_Financials!AE28</f>
        <v>0.18761127041110248</v>
      </c>
      <c r="AF360" s="158">
        <f>Q_Financials!AF28</f>
        <v>0.14436974473414127</v>
      </c>
      <c r="AG360" s="158">
        <f>Q_Financials!AG28</f>
        <v>0.13805712094548786</v>
      </c>
      <c r="AH360" s="158">
        <f>Q_Financials!AH28</f>
        <v>0.19489570659131175</v>
      </c>
      <c r="AI360" s="158">
        <f>Q_Financials!AI28</f>
        <v>0.35511431369419538</v>
      </c>
      <c r="AJ360" s="158">
        <f>Q_Financials!AJ28</f>
        <v>0.19603170668749903</v>
      </c>
      <c r="AK360" s="336">
        <f>Q_Financials!AK28</f>
        <v>0.15534961412290108</v>
      </c>
      <c r="AL360" s="336">
        <f>Q_Financials!AL28</f>
        <v>0.15973576875332507</v>
      </c>
      <c r="AM360" s="336">
        <f>Q_Financials!AM28</f>
        <v>0.20112719369933829</v>
      </c>
      <c r="AN360" s="336">
        <f>Q_Financials!AN28</f>
        <v>0.19613568611707147</v>
      </c>
      <c r="AO360" s="336">
        <f>Q_Financials!AO28</f>
        <v>0.18417549186524634</v>
      </c>
      <c r="AP360" s="336">
        <f>Q_Financials!AP28</f>
        <v>0.18820836932018378</v>
      </c>
      <c r="AQ360" s="336">
        <f>Q_Financials!AQ28</f>
        <v>0.19461050980955127</v>
      </c>
      <c r="AR360" s="336">
        <f>Q_Financials!AR28</f>
        <v>0.18200519999348641</v>
      </c>
      <c r="AS360" s="336">
        <f>Q_Financials!AS28</f>
        <v>0.34514238860891133</v>
      </c>
      <c r="AT360" s="365">
        <f>Q_Financials!AT28</f>
        <v>0.24681201506252873</v>
      </c>
      <c r="AU360" s="366">
        <f>Q_Financials!AU28</f>
        <v>0.26944422970104742</v>
      </c>
      <c r="AV360" s="366">
        <f>Q_Financials!AV28</f>
        <v>0.20107890268837597</v>
      </c>
      <c r="AW360" s="366">
        <f>Q_Financials!AW28</f>
        <v>0.18846507779044691</v>
      </c>
      <c r="AX360" s="366">
        <f>Q_Financials!AX28</f>
        <v>0.31431811881857413</v>
      </c>
      <c r="AY360" s="366">
        <f>Q_Financials!AY28</f>
        <v>0.25883266690722578</v>
      </c>
      <c r="AZ360" s="366">
        <f>Q_Financials!AZ28</f>
        <v>0.186232340195081</v>
      </c>
      <c r="BA360" s="366">
        <f>Q_Financials!BA28</f>
        <v>3.1817863780668726E-2</v>
      </c>
      <c r="BB360" s="366">
        <f>Q_Financials!BB28</f>
        <v>0.31598104905582647</v>
      </c>
      <c r="BC360" s="366">
        <f>Q_Financials!BC28</f>
        <v>0.2677345552815244</v>
      </c>
      <c r="BD360" s="366">
        <f>Q_Financials!BD28</f>
        <v>0.19492508344758036</v>
      </c>
      <c r="BE360" s="366">
        <f>Q_Financials!BE28</f>
        <v>4.7074751770598729E-2</v>
      </c>
      <c r="BF360" s="366">
        <f>Q_Financials!BF28</f>
        <v>0.34298614151037993</v>
      </c>
      <c r="BG360" s="366">
        <f>Q_Financials!BG28</f>
        <v>0.27195411499954653</v>
      </c>
      <c r="BH360" s="366">
        <f>Q_Financials!BH28</f>
        <v>0.20197436905084534</v>
      </c>
      <c r="BI360" s="366">
        <f>Q_Financials!BI28</f>
        <v>3.5863189590395812E-2</v>
      </c>
      <c r="BJ360" s="366">
        <f>Q_Financials!BJ28</f>
        <v>0.33883608267424153</v>
      </c>
      <c r="BK360" s="366">
        <f>Q_Financials!BK28</f>
        <v>0.2740776496831967</v>
      </c>
      <c r="BL360" s="366">
        <f>Q_Financials!BL28</f>
        <v>0.20407393013435032</v>
      </c>
      <c r="BM360" s="366">
        <f>Q_Financials!BM28</f>
        <v>3.2475184238075223E-2</v>
      </c>
      <c r="BN360" s="366">
        <f>Q_Financials!BN28</f>
        <v>0.28252241568470204</v>
      </c>
      <c r="BO360" s="366">
        <f>Q_Financials!BO28</f>
        <v>0.2658799573623038</v>
      </c>
      <c r="BP360" s="366">
        <f>Q_Financials!BP28</f>
        <v>0.19001777826890492</v>
      </c>
      <c r="BQ360" s="366">
        <f>Q_Financials!BQ28</f>
        <v>4.2596017737239596E-2</v>
      </c>
      <c r="BR360" s="366">
        <f>Q_Financials!BR28</f>
        <v>0.23239749333990473</v>
      </c>
      <c r="BS360" s="366">
        <f>Q_Financials!BS28</f>
        <v>0.26217560649399024</v>
      </c>
      <c r="BT360" s="366">
        <f>Q_Financials!BT28</f>
        <v>0.18202092284711313</v>
      </c>
      <c r="BU360" s="366">
        <f>Q_Financials!BU28</f>
        <v>5.4517595796498168E-2</v>
      </c>
      <c r="BV360" s="366">
        <f>Q_Financials!BV28</f>
        <v>0.28919241724532124</v>
      </c>
      <c r="BW360" s="366">
        <f>Q_Financials!BW28</f>
        <v>0.3159529522496497</v>
      </c>
      <c r="BX360" s="366">
        <f>Q_Financials!BX28</f>
        <v>0.24460567698398192</v>
      </c>
      <c r="BY360" s="366">
        <f>Q_Financials!BY28</f>
        <v>0.12374029712271334</v>
      </c>
    </row>
    <row r="361" spans="1:77">
      <c r="A361" s="385" t="s">
        <v>219</v>
      </c>
      <c r="B361" s="546">
        <f>Q_Financials!B24</f>
        <v>78.36099999999999</v>
      </c>
      <c r="C361" s="546">
        <f>Q_Financials!C24</f>
        <v>83.033999999999992</v>
      </c>
      <c r="D361" s="546">
        <f>Q_Financials!D24</f>
        <v>55.611999999999995</v>
      </c>
      <c r="E361" s="546">
        <f>Q_Financials!E24</f>
        <v>39.228999999999999</v>
      </c>
      <c r="F361" s="546">
        <f>Q_Financials!F24</f>
        <v>27.026000000000032</v>
      </c>
      <c r="G361" s="546">
        <f>Q_Financials!G24</f>
        <v>5.149000000000008</v>
      </c>
      <c r="H361" s="546">
        <f>Q_Financials!H24</f>
        <v>27.181999999999995</v>
      </c>
      <c r="I361" s="546">
        <f>Q_Financials!I24</f>
        <v>69.016000000000005</v>
      </c>
      <c r="J361" s="546">
        <f>Q_Financials!J24</f>
        <v>4.6989999999999945</v>
      </c>
      <c r="K361" s="546">
        <f>Q_Financials!K24</f>
        <v>42.400999999999996</v>
      </c>
      <c r="L361" s="546">
        <f>Q_Financials!L24</f>
        <v>94.779000000000011</v>
      </c>
      <c r="M361" s="546">
        <f>Q_Financials!M24</f>
        <v>101.29999999999998</v>
      </c>
      <c r="N361" s="546">
        <f>Q_Financials!N24</f>
        <v>41.838999999999984</v>
      </c>
      <c r="O361" s="546">
        <f>Q_Financials!O24</f>
        <v>85.920999999999992</v>
      </c>
      <c r="P361" s="546">
        <f>Q_Financials!P24</f>
        <v>124.77999999999999</v>
      </c>
      <c r="Q361" s="546">
        <f>Q_Financials!Q24</f>
        <v>148.78200000000001</v>
      </c>
      <c r="R361" s="546">
        <f>Q_Financials!R24</f>
        <v>127.43999999999996</v>
      </c>
      <c r="S361" s="546">
        <f>Q_Financials!S24</f>
        <v>145.49100000000001</v>
      </c>
      <c r="T361" s="546">
        <f>Q_Financials!T24</f>
        <v>193.81699999999998</v>
      </c>
      <c r="U361" s="546">
        <f>Q_Financials!U24</f>
        <v>99.375999999999934</v>
      </c>
      <c r="V361" s="546">
        <f>Q_Financials!V24</f>
        <v>147.10900000000004</v>
      </c>
      <c r="W361" s="546">
        <f>Q_Financials!W24</f>
        <v>185.75399999999996</v>
      </c>
      <c r="X361" s="546">
        <f>Q_Financials!X24</f>
        <v>179.34899999999999</v>
      </c>
      <c r="Y361" s="546">
        <f>Q_Financials!Y24</f>
        <v>70.423000000000016</v>
      </c>
      <c r="Z361" s="546">
        <f>Q_Financials!Z24</f>
        <v>119.393</v>
      </c>
      <c r="AA361" s="546">
        <f>Q_Financials!AA24</f>
        <v>232.78800000000001</v>
      </c>
      <c r="AB361" s="546">
        <f>Q_Financials!AB24</f>
        <v>156.49500000000003</v>
      </c>
      <c r="AC361" s="546">
        <f>Q_Financials!AC24</f>
        <v>143.08399999999995</v>
      </c>
      <c r="AD361" s="546">
        <f>Q_Financials!AD24</f>
        <v>212.91400000000002</v>
      </c>
      <c r="AE361" s="546">
        <f>Q_Financials!AE24</f>
        <v>238.49600000000001</v>
      </c>
      <c r="AF361" s="546">
        <f>Q_Financials!AF24</f>
        <v>163.36400000000003</v>
      </c>
      <c r="AG361" s="546">
        <f>Q_Financials!AG24</f>
        <v>136.42899999999997</v>
      </c>
      <c r="AH361" s="546">
        <f>Q_Financials!AH24</f>
        <v>224.23700000000002</v>
      </c>
      <c r="AI361" s="546">
        <f>Q_Financials!AI24</f>
        <v>308.75700000000001</v>
      </c>
      <c r="AJ361" s="546">
        <f>Q_Financials!AJ24</f>
        <v>278.77199999999999</v>
      </c>
      <c r="AK361" s="1453">
        <f>Q_Financials!AK24</f>
        <v>288.76900000000012</v>
      </c>
      <c r="AL361" s="1453">
        <f>Q_Financials!AL24</f>
        <v>196.154</v>
      </c>
      <c r="AM361" s="1453">
        <f>Q_Financials!AM24</f>
        <v>339.14699999999993</v>
      </c>
      <c r="AN361" s="1453">
        <f>Q_Financials!AN24</f>
        <v>352.04399999999998</v>
      </c>
      <c r="AO361" s="1453">
        <f>Q_Financials!AO24</f>
        <v>348.50799999999992</v>
      </c>
      <c r="AP361" s="1453">
        <f>Q_Financials!AP24</f>
        <v>277.77200000000005</v>
      </c>
      <c r="AQ361" s="1453">
        <f>Q_Financials!AQ24</f>
        <v>317.267</v>
      </c>
      <c r="AR361" s="1453">
        <f>Q_Financials!AR24</f>
        <v>319.94599999999997</v>
      </c>
      <c r="AS361" s="1453">
        <f>Q_Financials!AS24</f>
        <v>529.41200000000003</v>
      </c>
      <c r="AT361" s="647">
        <f>Q_Financials!AT24</f>
        <v>402.64400000000001</v>
      </c>
      <c r="AU361" s="547">
        <f>Q_Financials!AU24</f>
        <v>475.22310874946385</v>
      </c>
      <c r="AV361" s="547">
        <f>Q_Financials!AV24</f>
        <v>419.05571274517035</v>
      </c>
      <c r="AW361" s="547">
        <f>Q_Financials!AW24</f>
        <v>462.0992313088293</v>
      </c>
      <c r="AX361" s="547">
        <f>Q_Financials!AX24</f>
        <v>643.05375600561138</v>
      </c>
      <c r="AY361" s="547">
        <f>Q_Financials!AY24</f>
        <v>481.14900520448595</v>
      </c>
      <c r="AZ361" s="547">
        <f>Q_Financials!AZ24</f>
        <v>418.90411600836171</v>
      </c>
      <c r="BA361" s="547">
        <f>Q_Financials!BA24</f>
        <v>237.04402393079613</v>
      </c>
      <c r="BB361" s="547">
        <f>Q_Financials!BB24</f>
        <v>693.83348334586708</v>
      </c>
      <c r="BC361" s="547">
        <f>Q_Financials!BC24</f>
        <v>529.50573545567272</v>
      </c>
      <c r="BD361" s="547">
        <f>Q_Financials!BD24</f>
        <v>461.26428985780058</v>
      </c>
      <c r="BE361" s="547">
        <f>Q_Financials!BE24</f>
        <v>268.38736346749528</v>
      </c>
      <c r="BF361" s="547">
        <f>Q_Financials!BF24</f>
        <v>851.42206358573935</v>
      </c>
      <c r="BG361" s="547">
        <f>Q_Financials!BG24</f>
        <v>611.80572690708254</v>
      </c>
      <c r="BH361" s="547">
        <f>Q_Financials!BH24</f>
        <v>537.71349662076341</v>
      </c>
      <c r="BI361" s="547">
        <f>Q_Financials!BI24</f>
        <v>297.68796918169619</v>
      </c>
      <c r="BJ361" s="547">
        <f>Q_Financials!BJ24</f>
        <v>908.30116736531784</v>
      </c>
      <c r="BK361" s="547">
        <f>Q_Financials!BK24</f>
        <v>656.99089593932661</v>
      </c>
      <c r="BL361" s="547">
        <f>Q_Financials!BL24</f>
        <v>577.62597110420393</v>
      </c>
      <c r="BM361" s="547">
        <f>Q_Financials!BM24</f>
        <v>315.08941489873666</v>
      </c>
      <c r="BN361" s="547">
        <f>Q_Financials!BN24</f>
        <v>761.39724122364078</v>
      </c>
      <c r="BO361" s="547">
        <f>Q_Financials!BO24</f>
        <v>619.72644768103851</v>
      </c>
      <c r="BP361" s="547">
        <f>Q_Financials!BP24</f>
        <v>535.10653686753813</v>
      </c>
      <c r="BQ361" s="547">
        <f>Q_Financials!BQ24</f>
        <v>310.48420557745004</v>
      </c>
      <c r="BR361" s="547">
        <f>Q_Financials!BR24</f>
        <v>658.85395071350911</v>
      </c>
      <c r="BS361" s="547">
        <f>Q_Financials!BS24</f>
        <v>602.76098326207875</v>
      </c>
      <c r="BT361" s="547">
        <f>Q_Financials!BT24</f>
        <v>513.56598674213285</v>
      </c>
      <c r="BU361" s="547">
        <f>Q_Financials!BU24</f>
        <v>314.93176593601521</v>
      </c>
      <c r="BV361" s="547">
        <f>Q_Financials!BV24</f>
        <v>832.02308435789632</v>
      </c>
      <c r="BW361" s="547">
        <f>Q_Financials!BW24</f>
        <v>743.69870364913095</v>
      </c>
      <c r="BX361" s="547">
        <f>Q_Financials!BX24</f>
        <v>653.63164235701208</v>
      </c>
      <c r="BY361" s="547">
        <f>Q_Financials!BY24</f>
        <v>424.24443061577233</v>
      </c>
    </row>
    <row r="362" spans="1:77">
      <c r="A362" s="385" t="s">
        <v>32</v>
      </c>
      <c r="B362" s="158">
        <f>Q_Financials!B25</f>
        <v>0.4005571742575269</v>
      </c>
      <c r="C362" s="158">
        <f>Q_Financials!C25</f>
        <v>0.31992633148519883</v>
      </c>
      <c r="D362" s="158">
        <f>Q_Financials!D25</f>
        <v>0.29643765225132057</v>
      </c>
      <c r="E362" s="158">
        <f>Q_Financials!E25</f>
        <v>0.21347373003564335</v>
      </c>
      <c r="F362" s="158">
        <f>Q_Financials!F25</f>
        <v>0.15482089560788959</v>
      </c>
      <c r="G362" s="158">
        <f>Q_Financials!G25</f>
        <v>2.8753957927302624E-2</v>
      </c>
      <c r="H362" s="158">
        <f>Q_Financials!H25</f>
        <v>0.21355058686736952</v>
      </c>
      <c r="I362" s="158">
        <f>Q_Financials!I25</f>
        <v>0.29812526997840177</v>
      </c>
      <c r="J362" s="158">
        <f>Q_Financials!J25</f>
        <v>5.1045016077170359E-2</v>
      </c>
      <c r="K362" s="158">
        <f>Q_Financials!K25</f>
        <v>0.21820979553606809</v>
      </c>
      <c r="L362" s="158">
        <f>Q_Financials!L25</f>
        <v>0.42922161437576989</v>
      </c>
      <c r="M362" s="158">
        <f>Q_Financials!M25</f>
        <v>0.37903449101617159</v>
      </c>
      <c r="N362" s="158">
        <f>Q_Financials!N25</f>
        <v>0.19240302591340733</v>
      </c>
      <c r="O362" s="158">
        <f>Q_Financials!O25</f>
        <v>0.30011142275329467</v>
      </c>
      <c r="P362" s="158">
        <f>Q_Financials!P25</f>
        <v>0.38493692871047053</v>
      </c>
      <c r="Q362" s="158">
        <f>Q_Financials!Q25</f>
        <v>0.41865962062823425</v>
      </c>
      <c r="R362" s="158">
        <f>Q_Financials!R25</f>
        <v>0.44645140496967944</v>
      </c>
      <c r="S362" s="158">
        <f>Q_Financials!S25</f>
        <v>0.42949119119591916</v>
      </c>
      <c r="T362" s="158">
        <f>Q_Financials!T25</f>
        <v>0.49660376391611255</v>
      </c>
      <c r="U362" s="158">
        <f>Q_Financials!U25</f>
        <v>0.35423112568617648</v>
      </c>
      <c r="V362" s="158">
        <f>Q_Financials!V25</f>
        <v>0.44721050135583745</v>
      </c>
      <c r="W362" s="158">
        <f>Q_Financials!W25</f>
        <v>0.4665755723120048</v>
      </c>
      <c r="X362" s="158">
        <f>Q_Financials!X25</f>
        <v>0.47141527882916984</v>
      </c>
      <c r="Y362" s="158">
        <f>Q_Financials!Y25</f>
        <v>0.27140886107171491</v>
      </c>
      <c r="Z362" s="158">
        <f>Q_Financials!Z25</f>
        <v>0.41125612700774683</v>
      </c>
      <c r="AA362" s="158">
        <f>Q_Financials!AA25</f>
        <v>0.42563990982112332</v>
      </c>
      <c r="AB362" s="158">
        <f>Q_Financials!AB25</f>
        <v>0.39627414437500641</v>
      </c>
      <c r="AC362" s="158">
        <f>Q_Financials!AC25</f>
        <v>0.35433232709199541</v>
      </c>
      <c r="AD362" s="158">
        <f>Q_Financials!AD25</f>
        <v>0.43077240567230674</v>
      </c>
      <c r="AE362" s="158">
        <f>Q_Financials!AE25</f>
        <v>0.38811770334616774</v>
      </c>
      <c r="AF362" s="158">
        <f>Q_Financials!AF25</f>
        <v>0.38455599182697292</v>
      </c>
      <c r="AG362" s="158">
        <f>Q_Financials!AG25</f>
        <v>0.31139428881843678</v>
      </c>
      <c r="AH362" s="158">
        <f>Q_Financials!AH25</f>
        <v>0.44435571126796847</v>
      </c>
      <c r="AI362" s="158">
        <f>Q_Financials!AI25</f>
        <v>0.60837978589457875</v>
      </c>
      <c r="AJ362" s="158">
        <f>Q_Financials!AJ25</f>
        <v>0.47654392319829331</v>
      </c>
      <c r="AK362" s="336">
        <f>Q_Financials!AK25</f>
        <v>0.41438952779204841</v>
      </c>
      <c r="AL362" s="336">
        <f>Q_Financials!AL25</f>
        <v>0.43481557013654903</v>
      </c>
      <c r="AM362" s="336">
        <f>Q_Financials!AM25</f>
        <v>0.51327116212338586</v>
      </c>
      <c r="AN362" s="336">
        <f>Q_Financials!AN25</f>
        <v>0.43892641046708647</v>
      </c>
      <c r="AO362" s="336">
        <f>Q_Financials!AO25</f>
        <v>0.42841355402988368</v>
      </c>
      <c r="AP362" s="336">
        <f>Q_Financials!AP25</f>
        <v>0.43304575032972797</v>
      </c>
      <c r="AQ362" s="336">
        <f>Q_Financials!AQ25</f>
        <v>0.43794370050535097</v>
      </c>
      <c r="AR362" s="336">
        <f>Q_Financials!AR25</f>
        <v>0.43416417432462501</v>
      </c>
      <c r="AS362" s="336">
        <f>Q_Financials!AS25</f>
        <v>0.58818850047551752</v>
      </c>
      <c r="AT362" s="365">
        <f>Q_Financials!AT25</f>
        <v>0.49565518183731833</v>
      </c>
      <c r="AU362" s="366">
        <f>Q_Financials!AU25</f>
        <v>0.51840912246703552</v>
      </c>
      <c r="AV362" s="366">
        <f>Q_Financials!AV25</f>
        <v>0.47211659030937869</v>
      </c>
      <c r="AW362" s="366">
        <f>Q_Financials!AW25</f>
        <v>0.44427988768686105</v>
      </c>
      <c r="AX362" s="366">
        <f>Q_Financials!AX25</f>
        <v>0.54279917162255087</v>
      </c>
      <c r="AY362" s="366">
        <f>Q_Financials!AY25</f>
        <v>0.50810360374565022</v>
      </c>
      <c r="AZ362" s="366">
        <f>Q_Financials!AZ25</f>
        <v>0.45868033718536722</v>
      </c>
      <c r="BA362" s="366">
        <f>Q_Financials!BA25</f>
        <v>0.32156175422690181</v>
      </c>
      <c r="BB362" s="366">
        <f>Q_Financials!BB25</f>
        <v>0.54606291517385541</v>
      </c>
      <c r="BC362" s="366">
        <f>Q_Financials!BC25</f>
        <v>0.51632906752912211</v>
      </c>
      <c r="BD362" s="366">
        <f>Q_Financials!BD25</f>
        <v>0.46700500420597491</v>
      </c>
      <c r="BE362" s="366">
        <f>Q_Financials!BE25</f>
        <v>0.33508763655923646</v>
      </c>
      <c r="BF362" s="366">
        <f>Q_Financials!BF25</f>
        <v>0.56707429350099714</v>
      </c>
      <c r="BG362" s="366">
        <f>Q_Financials!BG25</f>
        <v>0.52255541335978462</v>
      </c>
      <c r="BH362" s="366">
        <f>Q_Financials!BH25</f>
        <v>0.47543361491427544</v>
      </c>
      <c r="BI362" s="366">
        <f>Q_Financials!BI25</f>
        <v>0.33155154724761371</v>
      </c>
      <c r="BJ362" s="366">
        <f>Q_Financials!BJ25</f>
        <v>0.56138729860013092</v>
      </c>
      <c r="BK362" s="366">
        <f>Q_Financials!BK25</f>
        <v>0.52499837871449362</v>
      </c>
      <c r="BL362" s="366">
        <f>Q_Financials!BL25</f>
        <v>0.47796293566440107</v>
      </c>
      <c r="BM362" s="366">
        <f>Q_Financials!BM25</f>
        <v>0.3305216352990562</v>
      </c>
      <c r="BN362" s="366">
        <f>Q_Financials!BN25</f>
        <v>0.51374518933846558</v>
      </c>
      <c r="BO362" s="366">
        <f>Q_Financials!BO25</f>
        <v>0.51348835995572062</v>
      </c>
      <c r="BP362" s="366">
        <f>Q_Financials!BP25</f>
        <v>0.46197741873254161</v>
      </c>
      <c r="BQ362" s="366">
        <f>Q_Financials!BQ25</f>
        <v>0.32998153310217376</v>
      </c>
      <c r="BR362" s="366">
        <f>Q_Financials!BR25</f>
        <v>0.47120675670351214</v>
      </c>
      <c r="BS362" s="366">
        <f>Q_Financials!BS25</f>
        <v>0.50719374837209696</v>
      </c>
      <c r="BT362" s="366">
        <f>Q_Financials!BT25</f>
        <v>0.45241842345987715</v>
      </c>
      <c r="BU362" s="366">
        <f>Q_Financials!BU25</f>
        <v>0.333704423066983</v>
      </c>
      <c r="BV362" s="366">
        <f>Q_Financials!BV25</f>
        <v>0.52495036249383498</v>
      </c>
      <c r="BW362" s="366">
        <f>Q_Financials!BW25</f>
        <v>0.56234830093318644</v>
      </c>
      <c r="BX362" s="366">
        <f>Q_Financials!BX25</f>
        <v>0.51551183239430576</v>
      </c>
      <c r="BY362" s="366">
        <f>Q_Financials!BY25</f>
        <v>0.40571256353791313</v>
      </c>
    </row>
    <row r="363" spans="1:77">
      <c r="A363" s="385" t="s">
        <v>270</v>
      </c>
      <c r="B363" s="546">
        <f>Q_Financials!B37</f>
        <v>18.748999999999992</v>
      </c>
      <c r="C363" s="546">
        <f>Q_Financials!C37</f>
        <v>30.741999999999987</v>
      </c>
      <c r="D363" s="546">
        <f>Q_Financials!D37</f>
        <v>15.652999999999995</v>
      </c>
      <c r="E363" s="546">
        <f>Q_Financials!E37</f>
        <v>-0.6180000000000021</v>
      </c>
      <c r="F363" s="546">
        <f>Q_Financials!F37</f>
        <v>-11.591999999999969</v>
      </c>
      <c r="G363" s="546">
        <f>Q_Financials!G37</f>
        <v>-32.139999999999993</v>
      </c>
      <c r="H363" s="546">
        <f>Q_Financials!H37</f>
        <v>-5.7770000000000055</v>
      </c>
      <c r="I363" s="546">
        <f>Q_Financials!I37</f>
        <v>0.71500000000000119</v>
      </c>
      <c r="J363" s="546">
        <f>Q_Financials!J37</f>
        <v>-26.230000000000004</v>
      </c>
      <c r="K363" s="546">
        <f>Q_Financials!K37</f>
        <v>-42.428000000000011</v>
      </c>
      <c r="L363" s="546">
        <f>Q_Financials!L37</f>
        <v>-36.36099999999999</v>
      </c>
      <c r="M363" s="546">
        <f>Q_Financials!M37</f>
        <v>33.153999999999975</v>
      </c>
      <c r="N363" s="546">
        <f>Q_Financials!N37</f>
        <v>28.906999999999982</v>
      </c>
      <c r="O363" s="546">
        <f>Q_Financials!O37</f>
        <v>20.249000000000006</v>
      </c>
      <c r="P363" s="546">
        <f>Q_Financials!P37</f>
        <v>23.139999999999976</v>
      </c>
      <c r="Q363" s="546">
        <f>Q_Financials!Q37</f>
        <v>25.776000000000014</v>
      </c>
      <c r="R363" s="546">
        <f>Q_Financials!R37</f>
        <v>19.071999999999953</v>
      </c>
      <c r="S363" s="546">
        <f>Q_Financials!S37</f>
        <v>41.676000000000016</v>
      </c>
      <c r="T363" s="546">
        <f>Q_Financials!T37</f>
        <v>69.664999999999978</v>
      </c>
      <c r="U363" s="546">
        <f>Q_Financials!U37</f>
        <v>11.877999999999936</v>
      </c>
      <c r="V363" s="546">
        <f>Q_Financials!V37</f>
        <v>37.964000000000034</v>
      </c>
      <c r="W363" s="546">
        <f>Q_Financials!W37</f>
        <v>48.666999999999959</v>
      </c>
      <c r="X363" s="546">
        <f>Q_Financials!X37</f>
        <v>55.455999999999996</v>
      </c>
      <c r="Y363" s="546">
        <f>Q_Financials!Y37</f>
        <v>-15.475999999999981</v>
      </c>
      <c r="Z363" s="546">
        <f>Q_Financials!Z37</f>
        <v>2.3780000000000019</v>
      </c>
      <c r="AA363" s="546">
        <f>Q_Financials!AA37</f>
        <v>50.523000000000017</v>
      </c>
      <c r="AB363" s="546">
        <f>Q_Financials!AB37</f>
        <v>7.31000000000002</v>
      </c>
      <c r="AC363" s="546">
        <f>Q_Financials!AC37</f>
        <v>12.738999999999947</v>
      </c>
      <c r="AD363" s="546">
        <f>Q_Financials!AD37</f>
        <v>34.728999999999999</v>
      </c>
      <c r="AE363" s="546">
        <f>Q_Financials!AE37</f>
        <v>60.887000000000022</v>
      </c>
      <c r="AF363" s="546">
        <f>Q_Financials!AF37</f>
        <v>32.958000000000027</v>
      </c>
      <c r="AG363" s="546">
        <f>Q_Financials!AG37</f>
        <v>6.4279999999999688</v>
      </c>
      <c r="AH363" s="546">
        <f>Q_Financials!AH37</f>
        <v>60.726000000000028</v>
      </c>
      <c r="AI363" s="546">
        <f>Q_Financials!AI37</f>
        <v>115.22200000000002</v>
      </c>
      <c r="AJ363" s="546">
        <f>Q_Financials!AJ37</f>
        <v>53.539999999999978</v>
      </c>
      <c r="AK363" s="546">
        <f>Q_Financials!AK37</f>
        <v>56.570000000000114</v>
      </c>
      <c r="AL363" s="546">
        <f>Q_Financials!AL37</f>
        <v>33.073000000000008</v>
      </c>
      <c r="AM363" s="546">
        <f>Q_Financials!AM37</f>
        <v>21.053999999999956</v>
      </c>
      <c r="AN363" s="546">
        <f>Q_Financials!AN37</f>
        <v>76.019999999999982</v>
      </c>
      <c r="AO363" s="546">
        <f>Q_Financials!AO37</f>
        <v>69.325999999999937</v>
      </c>
      <c r="AP363" s="546">
        <f>Q_Financials!AP37</f>
        <v>39.669000000000047</v>
      </c>
      <c r="AQ363" s="546">
        <f>Q_Financials!AQ37</f>
        <v>68.912999999999982</v>
      </c>
      <c r="AR363" s="546">
        <f>Q_Financials!AR37</f>
        <v>55.863999999999962</v>
      </c>
      <c r="AS363" s="546">
        <f>Q_Financials!AS37</f>
        <v>119.44100000000003</v>
      </c>
      <c r="AT363" s="647">
        <f>Q_Financials!AT37</f>
        <v>116.87300000000002</v>
      </c>
      <c r="AU363" s="547">
        <f>Q_Financials!AU37</f>
        <v>167.97690711466393</v>
      </c>
      <c r="AV363" s="547">
        <f>Q_Financials!AV37</f>
        <v>108.13490503887017</v>
      </c>
      <c r="AW363" s="547">
        <f>Q_Financials!AW37</f>
        <v>129.81707446395905</v>
      </c>
      <c r="AX363" s="547">
        <f>Q_Financials!AX37</f>
        <v>291.7512496441924</v>
      </c>
      <c r="AY363" s="547">
        <f>Q_Financials!AY37</f>
        <v>178.83886787296225</v>
      </c>
      <c r="AZ363" s="547">
        <f>Q_Financials!AZ37</f>
        <v>111.64054311989058</v>
      </c>
      <c r="BA363" s="547">
        <f>Q_Financials!BA37</f>
        <v>-9.2410640152511512</v>
      </c>
      <c r="BB363" s="547">
        <f>Q_Financials!BB37</f>
        <v>322.59531833142807</v>
      </c>
      <c r="BC363" s="547">
        <f>Q_Financials!BC37</f>
        <v>209.78532531903454</v>
      </c>
      <c r="BD363" s="547">
        <f>Q_Financials!BD37</f>
        <v>138.41686121348258</v>
      </c>
      <c r="BE363" s="547">
        <f>Q_Financials!BE37</f>
        <v>6.9282368156792202</v>
      </c>
      <c r="BF363" s="547">
        <f>Q_Financials!BF37</f>
        <v>403.02824912469146</v>
      </c>
      <c r="BG363" s="547">
        <f>Q_Financials!BG37</f>
        <v>237.94475739074127</v>
      </c>
      <c r="BH363" s="547">
        <f>Q_Financials!BH37</f>
        <v>163.93995555528542</v>
      </c>
      <c r="BI363" s="547">
        <f>Q_Financials!BI37</f>
        <v>5.1392403058542593</v>
      </c>
      <c r="BJ363" s="547">
        <f>Q_Financials!BJ37</f>
        <v>422.45870555879083</v>
      </c>
      <c r="BK363" s="547">
        <f>Q_Financials!BK37</f>
        <v>253.80370308244278</v>
      </c>
      <c r="BL363" s="547">
        <f>Q_Financials!BL37</f>
        <v>176.82518503866021</v>
      </c>
      <c r="BM363" s="547">
        <f>Q_Financials!BM37</f>
        <v>6.5078126991297793</v>
      </c>
      <c r="BN363" s="547">
        <f>Q_Financials!BN37</f>
        <v>312.68388579447395</v>
      </c>
      <c r="BO363" s="547">
        <f>Q_Financials!BO37</f>
        <v>231.36364362709156</v>
      </c>
      <c r="BP363" s="547">
        <f>Q_Financials!BP37</f>
        <v>152.53224039835862</v>
      </c>
      <c r="BQ363" s="547">
        <f>Q_Financials!BQ37</f>
        <v>14.181667961574828</v>
      </c>
      <c r="BR363" s="547">
        <f>Q_Financials!BR37</f>
        <v>231.61253987675173</v>
      </c>
      <c r="BS363" s="547">
        <f>Q_Financials!BS37</f>
        <v>214.70417476737589</v>
      </c>
      <c r="BT363" s="547">
        <f>Q_Financials!BT37</f>
        <v>133.55664900934443</v>
      </c>
      <c r="BU363" s="547">
        <f>Q_Financials!BU37</f>
        <v>17.005598479141263</v>
      </c>
      <c r="BV363" s="547">
        <f>Q_Financials!BV37</f>
        <v>283.31188769542592</v>
      </c>
      <c r="BW363" s="547">
        <f>Q_Financials!BW37</f>
        <v>251.25411329324405</v>
      </c>
      <c r="BX363" s="547">
        <f>Q_Financials!BX37</f>
        <v>181.08253393082225</v>
      </c>
      <c r="BY363" s="547">
        <f>Q_Financials!BY37</f>
        <v>64.496675803366571</v>
      </c>
    </row>
    <row r="364" spans="1:77" s="1401" customFormat="1">
      <c r="A364" s="385" t="s">
        <v>1454</v>
      </c>
      <c r="B364" s="1935" t="str">
        <f>+Q_Financials!B43</f>
        <v>NM</v>
      </c>
      <c r="C364" s="1935" t="str">
        <f>+Q_Financials!C43</f>
        <v>NM</v>
      </c>
      <c r="D364" s="1935" t="str">
        <f>+Q_Financials!D43</f>
        <v>NM</v>
      </c>
      <c r="E364" s="1935" t="str">
        <f>+Q_Financials!E43</f>
        <v>NM</v>
      </c>
      <c r="F364" s="1935" t="str">
        <f>+Q_Financials!F43</f>
        <v>NM</v>
      </c>
      <c r="G364" s="1935" t="str">
        <f>+Q_Financials!G43</f>
        <v>NM</v>
      </c>
      <c r="H364" s="1935" t="str">
        <f>+Q_Financials!H43</f>
        <v>NM</v>
      </c>
      <c r="I364" s="1935" t="str">
        <f>+Q_Financials!I43</f>
        <v>NM</v>
      </c>
      <c r="J364" s="1935" t="str">
        <f>+Q_Financials!J43</f>
        <v>NM</v>
      </c>
      <c r="K364" s="1935" t="str">
        <f>+Q_Financials!K43</f>
        <v>NM</v>
      </c>
      <c r="L364" s="1935" t="str">
        <f>+Q_Financials!L43</f>
        <v>NM</v>
      </c>
      <c r="M364" s="1935" t="str">
        <f>+Q_Financials!M43</f>
        <v>NM</v>
      </c>
      <c r="N364" s="1935">
        <f>+Q_Financials!N43</f>
        <v>0.25612922090004503</v>
      </c>
      <c r="O364" s="1935">
        <f>+Q_Financials!O43</f>
        <v>0.17941538706904958</v>
      </c>
      <c r="P364" s="1935">
        <f>+Q_Financials!P43</f>
        <v>0.20503096729605422</v>
      </c>
      <c r="Q364" s="1935">
        <f>+Q_Financials!Q43</f>
        <v>0.22838713107273562</v>
      </c>
      <c r="R364" s="1935">
        <f>+Q_Financials!R43</f>
        <v>0.16898662957088767</v>
      </c>
      <c r="S364" s="1935">
        <f>+Q_Financials!S43</f>
        <v>0.36926839209292861</v>
      </c>
      <c r="T364" s="1935">
        <f>+Q_Financials!T43</f>
        <v>0.61726371377180755</v>
      </c>
      <c r="U364" s="1935">
        <f>+Q_Financials!U43</f>
        <v>0.10524450430175114</v>
      </c>
      <c r="V364" s="1935">
        <f>+Q_Financials!V43</f>
        <v>0.33637837694154787</v>
      </c>
      <c r="W364" s="1935">
        <f>+Q_Financials!W43</f>
        <v>0.43121184465847334</v>
      </c>
      <c r="X364" s="1935">
        <f>+Q_Financials!X43</f>
        <v>0.4914242672633421</v>
      </c>
      <c r="Y364" s="1935">
        <f>+Q_Financials!Y43</f>
        <v>-0.13722595375850663</v>
      </c>
      <c r="Z364" s="1935">
        <f>+Q_Financials!Z43</f>
        <v>2.1140596523980992E-2</v>
      </c>
      <c r="AA364" s="1935">
        <f>+Q_Financials!AA43</f>
        <v>0.45015369537131927</v>
      </c>
      <c r="AB364" s="1935">
        <f>+Q_Financials!AB43</f>
        <v>6.5141645205272103E-2</v>
      </c>
      <c r="AC364" s="1935">
        <f>+Q_Financials!AC43</f>
        <v>0.11352314752929597</v>
      </c>
      <c r="AD364" s="1935">
        <f>+Q_Financials!AD43</f>
        <v>0.3094586767654266</v>
      </c>
      <c r="AE364" s="1935">
        <f>+Q_Financials!AE43</f>
        <v>0.54250532374613547</v>
      </c>
      <c r="AF364" s="1935">
        <f>+Q_Financials!AF43</f>
        <v>0.29366087061119228</v>
      </c>
      <c r="AG364" s="1935">
        <f>+Q_Financials!AG43</f>
        <v>5.7271921344660325E-2</v>
      </c>
      <c r="AH364" s="1935">
        <f>+Q_Financials!AH43</f>
        <v>0.54074318127176102</v>
      </c>
      <c r="AI364" s="1935">
        <f>+Q_Financials!AI43</f>
        <v>1.0253530652380913</v>
      </c>
      <c r="AJ364" s="1935">
        <f>+Q_Financials!AJ43</f>
        <v>0.47586458212974714</v>
      </c>
      <c r="AK364" s="1936">
        <f>+Q_Financials!AK43</f>
        <v>0.25122961285236928</v>
      </c>
      <c r="AL364" s="1936">
        <f>+Q_Financials!AL43</f>
        <v>0.14678137683265916</v>
      </c>
      <c r="AM364" s="1936">
        <f>+Q_Financials!AM43</f>
        <v>0.18624523970648688</v>
      </c>
      <c r="AN364" s="1936">
        <f>+Q_Financials!AN43</f>
        <v>0.67168827726359015</v>
      </c>
      <c r="AO364" s="1936">
        <f>+Q_Financials!AO43</f>
        <v>0.30620686609025932</v>
      </c>
      <c r="AP364" s="1936">
        <f>+Q_Financials!AP43</f>
        <v>0.11695352992163605</v>
      </c>
      <c r="AQ364" s="1936">
        <f>+Q_Financials!AQ43</f>
        <v>0.30521108296277916</v>
      </c>
      <c r="AR364" s="1936">
        <f>+Q_Financials!AR43</f>
        <v>0.2476564976359939</v>
      </c>
      <c r="AS364" s="1936">
        <f>+Q_Financials!AS43</f>
        <v>0.35317198657579213</v>
      </c>
      <c r="AT364" s="2415">
        <f>+Q_Financials!AT43</f>
        <v>0.34706986357508124</v>
      </c>
      <c r="AU364" s="2416">
        <f>+Q_Financials!AU43</f>
        <v>0.50078827491887579</v>
      </c>
      <c r="AV364" s="2416">
        <f>+Q_Financials!AV43</f>
        <v>0.32238176951291697</v>
      </c>
      <c r="AW364" s="2416">
        <f>+Q_Financials!AW43</f>
        <v>0.38702265622407106</v>
      </c>
      <c r="AX364" s="1936">
        <f>+Q_Financials!AX43</f>
        <v>0.86979578041050132</v>
      </c>
      <c r="AY364" s="1936">
        <f>+Q_Financials!AY43</f>
        <v>0.53317095587079744</v>
      </c>
      <c r="AZ364" s="1936">
        <f>+Q_Financials!AZ43</f>
        <v>0.33283310164683783</v>
      </c>
      <c r="BA364" s="1936">
        <f>+Q_Financials!BA43</f>
        <v>-2.7550313826492215E-2</v>
      </c>
      <c r="BB364" s="1936">
        <f>+Q_Financials!BB43</f>
        <v>0.96175096767214152</v>
      </c>
      <c r="BC364" s="1936">
        <f>+Q_Financials!BC43</f>
        <v>0.62543139396000458</v>
      </c>
      <c r="BD364" s="1936">
        <f>+Q_Financials!BD43</f>
        <v>0.41266113501820845</v>
      </c>
      <c r="BE364" s="1936">
        <f>+Q_Financials!BE43</f>
        <v>2.0655099696442483E-2</v>
      </c>
      <c r="BF364" s="1936">
        <f>+Q_Financials!BF43</f>
        <v>1.2015450521716968</v>
      </c>
      <c r="BG364" s="1936">
        <f>+Q_Financials!BG43</f>
        <v>0.70938289450917869</v>
      </c>
      <c r="BH364" s="1936">
        <f>+Q_Financials!BH43</f>
        <v>0.48875294195508806</v>
      </c>
      <c r="BI364" s="1936">
        <f>+Q_Financials!BI43</f>
        <v>1.5321578015515418E-2</v>
      </c>
      <c r="BJ364" s="1936">
        <f>+Q_Financials!BJ43</f>
        <v>1.2594729240777844</v>
      </c>
      <c r="BK364" s="1936">
        <f>+Q_Financials!BK43</f>
        <v>0.75666304861725509</v>
      </c>
      <c r="BL364" s="1936">
        <f>+Q_Financials!BL43</f>
        <v>0.52716757856051344</v>
      </c>
      <c r="BM364" s="1936">
        <f>+Q_Financials!BM43</f>
        <v>1.9401692477095563E-2</v>
      </c>
      <c r="BN364" s="1936">
        <f>+Q_Financials!BN43</f>
        <v>0.93220208927323234</v>
      </c>
      <c r="BO364" s="1936">
        <f>+Q_Financials!BO43</f>
        <v>0.6897626701262326</v>
      </c>
      <c r="BP364" s="1936">
        <f>+Q_Financials!BP43</f>
        <v>0.45474320756758924</v>
      </c>
      <c r="BQ364" s="1936">
        <f>+Q_Financials!BQ43</f>
        <v>4.227969877491191E-2</v>
      </c>
      <c r="BR364" s="1936">
        <f>+Q_Financials!BR43</f>
        <v>0.69050470262130648</v>
      </c>
      <c r="BS364" s="1936">
        <f>+Q_Financials!BS43</f>
        <v>0.64009592238913582</v>
      </c>
      <c r="BT364" s="1936">
        <f>+Q_Financials!BT43</f>
        <v>0.39817142135900552</v>
      </c>
      <c r="BU364" s="1936">
        <f>+Q_Financials!BU43</f>
        <v>5.069866133753078E-2</v>
      </c>
      <c r="BV364" s="1936">
        <f>+Q_Financials!BV43</f>
        <v>0.84463557485406848</v>
      </c>
      <c r="BW364" s="1936">
        <f>+Q_Financials!BW43</f>
        <v>0.74906197598045476</v>
      </c>
      <c r="BX364" s="1936">
        <f>+Q_Financials!BX43</f>
        <v>0.53985998041536032</v>
      </c>
      <c r="BY364" s="1936">
        <f>+Q_Financials!BY43</f>
        <v>0.19228344876907377</v>
      </c>
    </row>
    <row r="365" spans="1:77">
      <c r="A365" s="353" t="s">
        <v>573</v>
      </c>
      <c r="B365" s="539">
        <f>Q_Financials!B54-Q_Financials!B75-Q_Financials!B53-Q_Financials!B49-Q_Financials!B48+Q_Financials!B74+Q_Financials!B68+Q_Financials!B71</f>
        <v>81.207000000000008</v>
      </c>
      <c r="C365" s="539">
        <f>Q_Financials!C54-Q_Financials!C75-Q_Financials!C53-Q_Financials!C49-Q_Financials!C48+Q_Financials!C74+Q_Financials!C68+Q_Financials!C71</f>
        <v>319.88200000000006</v>
      </c>
      <c r="D365" s="539">
        <f>Q_Financials!D54-Q_Financials!D75-Q_Financials!D53-Q_Financials!D49-Q_Financials!D48+Q_Financials!D74+Q_Financials!D68+Q_Financials!D71</f>
        <v>257.36799999999994</v>
      </c>
      <c r="E365" s="539">
        <f>Q_Financials!E54-Q_Financials!E75-Q_Financials!E53-Q_Financials!E49-Q_Financials!E48+Q_Financials!E74+Q_Financials!E68+Q_Financials!E71</f>
        <v>146.75900000000001</v>
      </c>
      <c r="F365" s="539">
        <f>Q_Financials!F54-Q_Financials!F75-Q_Financials!F53-Q_Financials!F49-Q_Financials!F48+Q_Financials!F74+Q_Financials!F68+Q_Financials!F71</f>
        <v>156.00599999999997</v>
      </c>
      <c r="G365" s="539">
        <f>Q_Financials!G54-Q_Financials!G75-Q_Financials!G53-Q_Financials!G49-Q_Financials!G48+Q_Financials!G74+Q_Financials!G68+Q_Financials!G71</f>
        <v>236.72400000000002</v>
      </c>
      <c r="H365" s="539">
        <f>Q_Financials!H54-Q_Financials!H75-Q_Financials!H53-Q_Financials!H49-Q_Financials!H48+Q_Financials!H74+Q_Financials!H68+Q_Financials!H71</f>
        <v>225.58200000000002</v>
      </c>
      <c r="I365" s="539">
        <f>Q_Financials!I54-Q_Financials!I75-Q_Financials!I53-Q_Financials!I49-Q_Financials!I48+Q_Financials!I74+Q_Financials!I68+Q_Financials!I71</f>
        <v>157.15399999999997</v>
      </c>
      <c r="J365" s="539">
        <f>Q_Financials!J54-Q_Financials!J75-Q_Financials!J53-Q_Financials!J49-Q_Financials!J48+Q_Financials!J74+Q_Financials!J68+Q_Financials!J71</f>
        <v>224.49699999999999</v>
      </c>
      <c r="K365" s="539">
        <f>Q_Financials!K54-Q_Financials!K75-Q_Financials!K53-Q_Financials!K49-Q_Financials!K48+Q_Financials!K74+Q_Financials!K68+Q_Financials!K71</f>
        <v>352.23600000000005</v>
      </c>
      <c r="L365" s="539">
        <f>Q_Financials!L54-Q_Financials!L75-Q_Financials!L53-Q_Financials!L49-Q_Financials!L48+Q_Financials!L74+Q_Financials!L68+Q_Financials!L71</f>
        <v>426.85899999999998</v>
      </c>
      <c r="M365" s="539">
        <f>Q_Financials!M54-Q_Financials!M75-Q_Financials!M53-Q_Financials!M49-Q_Financials!M48+Q_Financials!M74+Q_Financials!M68+Q_Financials!M71</f>
        <v>256.9729999999999</v>
      </c>
      <c r="N365" s="539">
        <f>Q_Financials!N54-Q_Financials!N75-Q_Financials!N53-Q_Financials!N49-Q_Financials!N48+Q_Financials!N74+Q_Financials!N68+Q_Financials!N71</f>
        <v>281.60599999999999</v>
      </c>
      <c r="O365" s="539">
        <f>Q_Financials!O54-Q_Financials!O75-Q_Financials!O53-Q_Financials!O49-Q_Financials!O48+Q_Financials!O74+Q_Financials!O68+Q_Financials!O71</f>
        <v>331.60900000000015</v>
      </c>
      <c r="P365" s="539">
        <f>Q_Financials!P54-Q_Financials!P75-Q_Financials!P53-Q_Financials!P49-Q_Financials!P48+Q_Financials!P74+Q_Financials!P68+Q_Financials!P71</f>
        <v>343.47800000000007</v>
      </c>
      <c r="Q365" s="539">
        <f>Q_Financials!Q54-Q_Financials!Q75-Q_Financials!Q53-Q_Financials!Q49-Q_Financials!Q48+Q_Financials!Q74+Q_Financials!Q68+Q_Financials!Q71</f>
        <v>-1.561999999999955</v>
      </c>
      <c r="R365" s="539">
        <f>Q_Financials!R54-Q_Financials!R75-Q_Financials!R53-Q_Financials!R49-Q_Financials!R48+Q_Financials!R74+Q_Financials!R68+Q_Financials!R71</f>
        <v>223.27699999999987</v>
      </c>
      <c r="S365" s="539">
        <f>Q_Financials!S54-Q_Financials!S75-Q_Financials!S53-Q_Financials!S49-Q_Financials!S48+Q_Financials!S74+Q_Financials!S68+Q_Financials!S71</f>
        <v>341.72199999999987</v>
      </c>
      <c r="T365" s="539">
        <f>Q_Financials!T54-Q_Financials!T75-Q_Financials!T53-Q_Financials!T49-Q_Financials!T48+Q_Financials!T74+Q_Financials!T68+Q_Financials!T71</f>
        <v>321.59000000000009</v>
      </c>
      <c r="U365" s="539">
        <f>Q_Financials!U54-Q_Financials!U75-Q_Financials!U53-Q_Financials!U49-Q_Financials!U48+Q_Financials!U74+Q_Financials!U68+Q_Financials!U71</f>
        <v>66.786999999999978</v>
      </c>
      <c r="V365" s="539">
        <f>Q_Financials!V54-Q_Financials!V75-Q_Financials!V53-Q_Financials!V49-Q_Financials!V48+Q_Financials!V74+Q_Financials!V68+Q_Financials!V71</f>
        <v>117.4380000000001</v>
      </c>
      <c r="W365" s="539">
        <f>Q_Financials!W54-Q_Financials!W75-Q_Financials!W53-Q_Financials!W49-Q_Financials!W48+Q_Financials!W74+Q_Financials!W68+Q_Financials!W71</f>
        <v>261.36199999999997</v>
      </c>
      <c r="X365" s="539">
        <f>Q_Financials!X54-Q_Financials!X75-Q_Financials!X53-Q_Financials!X49-Q_Financials!X48+Q_Financials!X74+Q_Financials!X68+Q_Financials!X71</f>
        <v>282.49800000000005</v>
      </c>
      <c r="Y365" s="539">
        <f>Q_Financials!Y54-Q_Financials!Y75-Q_Financials!Y53-Q_Financials!Y49-Q_Financials!Y48+Q_Financials!Y74+Q_Financials!Y68+Q_Financials!Y71</f>
        <v>-32.658000000000065</v>
      </c>
      <c r="Z365" s="539">
        <f>Q_Financials!Z54-Q_Financials!Z75-Q_Financials!Z53-Q_Financials!Z49-Q_Financials!Z48+Q_Financials!Z74+Q_Financials!Z68+Q_Financials!Z71</f>
        <v>64.951999999999771</v>
      </c>
      <c r="AA365" s="539">
        <f>Q_Financials!AA54-Q_Financials!AA75-Q_Financials!AA53-Q_Financials!AA49-Q_Financials!AA48+Q_Financials!AA74+Q_Financials!AA68+Q_Financials!AA71</f>
        <v>197.25000000000009</v>
      </c>
      <c r="AB365" s="539">
        <f>Q_Financials!AB54-Q_Financials!AB75-Q_Financials!AB53-Q_Financials!AB49-Q_Financials!AB48+Q_Financials!AB74+Q_Financials!AB68+Q_Financials!AB71</f>
        <v>362.91099999999966</v>
      </c>
      <c r="AC365" s="539">
        <f>Q_Financials!AC54-Q_Financials!AC75-Q_Financials!AC53-Q_Financials!AC49-Q_Financials!AC48+Q_Financials!AC74+Q_Financials!AC68+Q_Financials!AC71</f>
        <v>13.234999999999822</v>
      </c>
      <c r="AD365" s="539">
        <f>Q_Financials!AD54-Q_Financials!AD75-Q_Financials!AD53-Q_Financials!AD49-Q_Financials!AD48+Q_Financials!AD74+Q_Financials!AD68+Q_Financials!AD71</f>
        <v>-18.432000000000095</v>
      </c>
      <c r="AE365" s="539">
        <f>Q_Financials!AE54-Q_Financials!AE75-Q_Financials!AE53-Q_Financials!AE49-Q_Financials!AE48+Q_Financials!AE74+Q_Financials!AE68+Q_Financials!AE71</f>
        <v>89.935999999999922</v>
      </c>
      <c r="AF365" s="539">
        <f>Q_Financials!AF54-Q_Financials!AF75-Q_Financials!AF53-Q_Financials!AF49-Q_Financials!AF48+Q_Financials!AF74+Q_Financials!AF68+Q_Financials!AF71</f>
        <v>226.90200000000004</v>
      </c>
      <c r="AG365" s="539">
        <f>Q_Financials!AG54-Q_Financials!AG75-Q_Financials!AG53-Q_Financials!AG49-Q_Financials!AG48+Q_Financials!AG74+Q_Financials!AG68+Q_Financials!AG71</f>
        <v>0.99200000000012523</v>
      </c>
      <c r="AH365" s="539">
        <f>Q_Financials!AH54-Q_Financials!AH75-Q_Financials!AH53-Q_Financials!AH49-Q_Financials!AH48+Q_Financials!AH74+Q_Financials!AH68+Q_Financials!AH71</f>
        <v>134.26099999999985</v>
      </c>
      <c r="AI365" s="539">
        <f>Q_Financials!AI54-Q_Financials!AI75-Q_Financials!AI53-Q_Financials!AI49-Q_Financials!AI48+Q_Financials!AI74+Q_Financials!AI68+Q_Financials!AI71</f>
        <v>461.27300000000014</v>
      </c>
      <c r="AJ365" s="539">
        <f>Q_Financials!AJ54-Q_Financials!AJ75-Q_Financials!AJ53-Q_Financials!AJ49-Q_Financials!AJ48+Q_Financials!AJ74+Q_Financials!AJ68+Q_Financials!AJ71</f>
        <v>570.33499999999981</v>
      </c>
      <c r="AK365" s="539">
        <f>Q_Financials!AK54-Q_Financials!AK75-Q_Financials!AK53-Q_Financials!AK49-Q_Financials!AK48+Q_Financials!AK74+Q_Financials!AK68+Q_Financials!AK71</f>
        <v>-68.945000000000022</v>
      </c>
      <c r="AL365" s="539">
        <f>Q_Financials!AL54-Q_Financials!AL75-Q_Financials!AL53-Q_Financials!AL49-Q_Financials!AL48+Q_Financials!AL74+Q_Financials!AL68+Q_Financials!AL71</f>
        <v>294.07399999999984</v>
      </c>
      <c r="AM365" s="539">
        <f>Q_Financials!AM54-Q_Financials!AM75-Q_Financials!AM53-Q_Financials!AM49-Q_Financials!AM48+Q_Financials!AM74+Q_Financials!AM68+Q_Financials!AM71</f>
        <v>441.81700000000012</v>
      </c>
      <c r="AN365" s="539">
        <f>Q_Financials!AN54-Q_Financials!AN75-Q_Financials!AN53-Q_Financials!AN49-Q_Financials!AN48+Q_Financials!AN74+Q_Financials!AN68+Q_Financials!AN71</f>
        <v>528.28500000000008</v>
      </c>
      <c r="AO365" s="539">
        <f>Q_Financials!AO54-Q_Financials!AO75-Q_Financials!AO53-Q_Financials!AO49-Q_Financials!AO48+Q_Financials!AO74+Q_Financials!AO68+Q_Financials!AO71</f>
        <v>-33.464000000000041</v>
      </c>
      <c r="AP365" s="539">
        <f>Q_Financials!AP54-Q_Financials!AP75-Q_Financials!AP53-Q_Financials!AP49-Q_Financials!AP48+Q_Financials!AP74+Q_Financials!AP68+Q_Financials!AP71</f>
        <v>162.03399999999988</v>
      </c>
      <c r="AQ365" s="539">
        <f>Q_Financials!AQ54-Q_Financials!AQ75-Q_Financials!AQ53-Q_Financials!AQ49-Q_Financials!AQ48+Q_Financials!AQ74+Q_Financials!AQ68+Q_Financials!AQ71</f>
        <v>483.61800000000017</v>
      </c>
      <c r="AR365" s="539">
        <f>Q_Financials!AR54-Q_Financials!AR75-Q_Financials!AR53-Q_Financials!AR49-Q_Financials!AR48+Q_Financials!AR74+Q_Financials!AR68+Q_Financials!AR71</f>
        <v>491.12580000000003</v>
      </c>
      <c r="AS365" s="539">
        <f>Q_Financials!AS54-Q_Financials!AS75-Q_Financials!AS53-Q_Financials!AS49-Q_Financials!AS48+Q_Financials!AS74+Q_Financials!AS68+Q_Financials!AS71</f>
        <v>21.193999999999789</v>
      </c>
      <c r="AT365" s="1458">
        <f>Q_Financials!AT54-Q_Financials!AT75-Q_Financials!AT53-Q_Financials!AT49-Q_Financials!AT48+Q_Financials!AT74+Q_Financials!AT68+Q_Financials!AT71</f>
        <v>375.39700000000022</v>
      </c>
      <c r="AU365" s="540">
        <f>Q_Financials!AU54-Q_Financials!AU75-Q_Financials!AU53-Q_Financials!AU49-Q_Financials!AU48+Q_Financials!AU74+Q_Financials!AU68+Q_Financials!AU71</f>
        <v>733.77709656249272</v>
      </c>
      <c r="AV365" s="540">
        <f>Q_Financials!AV54-Q_Financials!AV75-Q_Financials!AV53-Q_Financials!AV49-Q_Financials!AV48+Q_Financials!AV74+Q_Financials!AV68+Q_Financials!AV71</f>
        <v>614.91339321846237</v>
      </c>
      <c r="AW365" s="540">
        <f>Q_Financials!AW54-Q_Financials!AW75-Q_Financials!AW53-Q_Financials!AW49-Q_Financials!AW48+Q_Financials!AW74+Q_Financials!AW68+Q_Financials!AW71</f>
        <v>42.269430223819199</v>
      </c>
      <c r="AX365" s="540">
        <f>Q_Financials!AX54-Q_Financials!AX75-Q_Financials!AX53-Q_Financials!AX49-Q_Financials!AX48+Q_Financials!AX74+Q_Financials!AX68+Q_Financials!AX71</f>
        <v>589.43252972522737</v>
      </c>
      <c r="AY365" s="540">
        <f>Q_Financials!AY54-Q_Financials!AY75-Q_Financials!AY53-Q_Financials!AY49-Q_Financials!AY48+Q_Financials!AY74+Q_Financials!AY68+Q_Financials!AY71</f>
        <v>833.83664899127552</v>
      </c>
      <c r="AZ365" s="540">
        <f>Q_Financials!AZ54-Q_Financials!AZ75-Q_Financials!AZ53-Q_Financials!AZ49-Q_Financials!AZ48+Q_Financials!AZ74+Q_Financials!AZ68+Q_Financials!AZ71</f>
        <v>706.73944905514372</v>
      </c>
      <c r="BA365" s="540">
        <f>Q_Financials!BA54-Q_Financials!BA75-Q_Financials!BA53-Q_Financials!BA49-Q_Financials!BA48+Q_Financials!BA74+Q_Financials!BA68+Q_Financials!BA71</f>
        <v>103.94205253907035</v>
      </c>
      <c r="BB365" s="540">
        <f>Q_Financials!BB54-Q_Financials!BB75-Q_Financials!BB53-Q_Financials!BB49-Q_Financials!BB48+Q_Financials!BB74+Q_Financials!BB68+Q_Financials!BB71</f>
        <v>702.61510143569296</v>
      </c>
      <c r="BC365" s="540">
        <f>Q_Financials!BC54-Q_Financials!BC75-Q_Financials!BC53-Q_Financials!BC49-Q_Financials!BC48+Q_Financials!BC74+Q_Financials!BC68+Q_Financials!BC71</f>
        <v>946.98965461172156</v>
      </c>
      <c r="BD365" s="540">
        <f>Q_Financials!BD54-Q_Financials!BD75-Q_Financials!BD53-Q_Financials!BD49-Q_Financials!BD48+Q_Financials!BD74+Q_Financials!BD68+Q_Financials!BD71</f>
        <v>814.27442287669362</v>
      </c>
      <c r="BE365" s="540">
        <f>Q_Financials!BE54-Q_Financials!BE75-Q_Financials!BE53-Q_Financials!BE49-Q_Financials!BE48+Q_Financials!BE74+Q_Financials!BE68+Q_Financials!BE71</f>
        <v>164.68918635209775</v>
      </c>
      <c r="BF365" s="540">
        <f>Q_Financials!BF54-Q_Financials!BF75-Q_Financials!BF53-Q_Financials!BF49-Q_Financials!BF48+Q_Financials!BF74+Q_Financials!BF68+Q_Financials!BF71</f>
        <v>886.22277997176116</v>
      </c>
      <c r="BG365" s="540">
        <f>Q_Financials!BG54-Q_Financials!BG75-Q_Financials!BG53-Q_Financials!BG49-Q_Financials!BG48+Q_Financials!BG74+Q_Financials!BG68+Q_Financials!BG71</f>
        <v>1147.8879117351244</v>
      </c>
      <c r="BH365" s="540">
        <f>Q_Financials!BH54-Q_Financials!BH75-Q_Financials!BH53-Q_Financials!BH49-Q_Financials!BH48+Q_Financials!BH74+Q_Financials!BH68+Q_Financials!BH71</f>
        <v>997.52688410492112</v>
      </c>
      <c r="BI365" s="540">
        <f>Q_Financials!BI54-Q_Financials!BI75-Q_Financials!BI53-Q_Financials!BI49-Q_Financials!BI48+Q_Financials!BI74+Q_Financials!BI68+Q_Financials!BI71</f>
        <v>254.56992929826458</v>
      </c>
      <c r="BJ365" s="540">
        <f>Q_Financials!BJ54-Q_Financials!BJ75-Q_Financials!BJ53-Q_Financials!BJ49-Q_Financials!BJ48+Q_Financials!BJ74+Q_Financials!BJ68+Q_Financials!BJ71</f>
        <v>1043.7102167944322</v>
      </c>
      <c r="BK365" s="540">
        <f>Q_Financials!BK54-Q_Financials!BK75-Q_Financials!BK53-Q_Financials!BK49-Q_Financials!BK48+Q_Financials!BK74+Q_Financials!BK68+Q_Financials!BK71</f>
        <v>1306.1368698919266</v>
      </c>
      <c r="BL365" s="540">
        <f>Q_Financials!BL54-Q_Financials!BL75-Q_Financials!BL53-Q_Financials!BL49-Q_Financials!BL48+Q_Financials!BL74+Q_Financials!BL68+Q_Financials!BL71</f>
        <v>1143.4007944524583</v>
      </c>
      <c r="BM365" s="540">
        <f>Q_Financials!BM54-Q_Financials!BM75-Q_Financials!BM53-Q_Financials!BM49-Q_Financials!BM48+Q_Financials!BM74+Q_Financials!BM68+Q_Financials!BM71</f>
        <v>338.11645683747577</v>
      </c>
      <c r="BN365" s="540">
        <f>Q_Financials!BN54-Q_Financials!BN75-Q_Financials!BN53-Q_Financials!BN49-Q_Financials!BN48+Q_Financials!BN74+Q_Financials!BN68+Q_Financials!BN71</f>
        <v>1106.2591331998638</v>
      </c>
      <c r="BO365" s="540">
        <f>Q_Financials!BO54-Q_Financials!BO75-Q_Financials!BO53-Q_Financials!BO49-Q_Financials!BO48+Q_Financials!BO74+Q_Financials!BO68+Q_Financials!BO71</f>
        <v>1359.3825449665251</v>
      </c>
      <c r="BP365" s="540">
        <f>Q_Financials!BP54-Q_Financials!BP75-Q_Financials!BP53-Q_Financials!BP49-Q_Financials!BP48+Q_Financials!BP74+Q_Financials!BP68+Q_Financials!BP71</f>
        <v>1195.1942290953461</v>
      </c>
      <c r="BQ365" s="540">
        <f>Q_Financials!BQ54-Q_Financials!BQ75-Q_Financials!BQ53-Q_Financials!BQ49-Q_Financials!BQ48+Q_Financials!BQ74+Q_Financials!BQ68+Q_Financials!BQ71</f>
        <v>396.95456132891371</v>
      </c>
      <c r="BR365" s="540">
        <f>Q_Financials!BR54-Q_Financials!BR75-Q_Financials!BR53-Q_Financials!BR49-Q_Financials!BR48+Q_Financials!BR74+Q_Financials!BR68+Q_Financials!BR71</f>
        <v>1176.6659215431382</v>
      </c>
      <c r="BS365" s="540">
        <f>Q_Financials!BS54-Q_Financials!BS75-Q_Financials!BS53-Q_Financials!BS49-Q_Financials!BS48+Q_Financials!BS74+Q_Financials!BS68+Q_Financials!BS71</f>
        <v>1424.3782470461206</v>
      </c>
      <c r="BT365" s="540">
        <f>Q_Financials!BT54-Q_Financials!BT75-Q_Financials!BT53-Q_Financials!BT49-Q_Financials!BT48+Q_Financials!BT74+Q_Financials!BT68+Q_Financials!BT71</f>
        <v>1258.4521964643907</v>
      </c>
      <c r="BU365" s="540">
        <f>Q_Financials!BU54-Q_Financials!BU75-Q_Financials!BU53-Q_Financials!BU49-Q_Financials!BU48+Q_Financials!BU74+Q_Financials!BU68+Q_Financials!BU71</f>
        <v>454.50875349965713</v>
      </c>
      <c r="BV365" s="540">
        <f>Q_Financials!BV54-Q_Financials!BV75-Q_Financials!BV53-Q_Financials!BV49-Q_Financials!BV48+Q_Financials!BV74+Q_Financials!BV68+Q_Financials!BV71</f>
        <v>1272.2654776369839</v>
      </c>
      <c r="BW365" s="540">
        <f>Q_Financials!BW54-Q_Financials!BW75-Q_Financials!BW53-Q_Financials!BW49-Q_Financials!BW48+Q_Financials!BW74+Q_Financials!BW68+Q_Financials!BW71</f>
        <v>1467.8560840669875</v>
      </c>
      <c r="BX365" s="540">
        <f>Q_Financials!BX54-Q_Financials!BX75-Q_Financials!BX53-Q_Financials!BX49-Q_Financials!BX48+Q_Financials!BX74+Q_Financials!BX68+Q_Financials!BX71</f>
        <v>1326.6357308863071</v>
      </c>
      <c r="BY365" s="540">
        <f>Q_Financials!BY54-Q_Financials!BY75-Q_Financials!BY53-Q_Financials!BY49-Q_Financials!BY48+Q_Financials!BY74+Q_Financials!BY68+Q_Financials!BY71</f>
        <v>529.9777938421762</v>
      </c>
    </row>
    <row r="366" spans="1:77">
      <c r="A366" s="378" t="s">
        <v>575</v>
      </c>
      <c r="B366" s="541">
        <f>Q_Financials!B93</f>
        <v>0</v>
      </c>
      <c r="C366" s="541">
        <f>Q_Financials!C93</f>
        <v>-160.89800000000008</v>
      </c>
      <c r="D366" s="541">
        <f>Q_Financials!D93</f>
        <v>97.903000000000063</v>
      </c>
      <c r="E366" s="541">
        <f>Q_Financials!E93</f>
        <v>165.18200000000002</v>
      </c>
      <c r="F366" s="541">
        <f>Q_Financials!F93</f>
        <v>28.685000000000045</v>
      </c>
      <c r="G366" s="541">
        <f>Q_Financials!G93</f>
        <v>-84.04599999999995</v>
      </c>
      <c r="H366" s="541">
        <f>Q_Financials!H93</f>
        <v>38.27899999999994</v>
      </c>
      <c r="I366" s="541">
        <f>Q_Financials!I93</f>
        <v>129.10700000000003</v>
      </c>
      <c r="J366" s="541">
        <f>Q_Financials!J93</f>
        <v>-60.415999999999997</v>
      </c>
      <c r="K366" s="541">
        <f>Q_Financials!K93</f>
        <v>-121.4080000000001</v>
      </c>
      <c r="L366" s="541">
        <f>Q_Financials!L93</f>
        <v>-54.614999999999981</v>
      </c>
      <c r="M366" s="541">
        <f>Q_Financials!M93</f>
        <v>270.53800000000001</v>
      </c>
      <c r="N366" s="541">
        <f>Q_Financials!N93</f>
        <v>58.657999999999902</v>
      </c>
      <c r="O366" s="541">
        <f>Q_Financials!O93</f>
        <v>-21.660000000000053</v>
      </c>
      <c r="P366" s="541">
        <f>Q_Financials!P93</f>
        <v>65.36200000000008</v>
      </c>
      <c r="Q366" s="541">
        <f>Q_Financials!Q93</f>
        <v>456.33499999999992</v>
      </c>
      <c r="R366" s="541">
        <f>Q_Financials!R93</f>
        <v>-130.10399999999984</v>
      </c>
      <c r="S366" s="541">
        <f>Q_Financials!S93</f>
        <v>-0.7999999999999261</v>
      </c>
      <c r="T366" s="541">
        <f>Q_Financials!T93</f>
        <v>224.47499999999977</v>
      </c>
      <c r="U366" s="541">
        <f>Q_Financials!U93</f>
        <v>180.76079200000012</v>
      </c>
      <c r="V366" s="541">
        <f>Q_Financials!V93</f>
        <v>84.922903999999988</v>
      </c>
      <c r="W366" s="541">
        <f>Q_Financials!W93</f>
        <v>-13.257676000000174</v>
      </c>
      <c r="X366" s="541">
        <f>Q_Financials!X93</f>
        <v>103.4013680000001</v>
      </c>
      <c r="Y366" s="541">
        <f>Q_Financials!Y93</f>
        <v>293.50623600000006</v>
      </c>
      <c r="Z366" s="541">
        <f>Q_Financials!Z93</f>
        <v>-20.306932000000046</v>
      </c>
      <c r="AA366" s="541">
        <f>Q_Financials!AA93</f>
        <v>26.981351999999902</v>
      </c>
      <c r="AB366" s="541">
        <f>Q_Financials!AB93</f>
        <v>-50.771159999999838</v>
      </c>
      <c r="AC366" s="541">
        <f>Q_Financials!AC93</f>
        <v>396.76051599999994</v>
      </c>
      <c r="AD366" s="541">
        <f>Q_Financials!AD93</f>
        <v>211.13745599999987</v>
      </c>
      <c r="AE366" s="541">
        <f>Q_Financials!AE93</f>
        <v>52.161664000000172</v>
      </c>
      <c r="AF366" s="541">
        <f>Q_Financials!AF93</f>
        <v>-6.0684159999998997</v>
      </c>
      <c r="AG366" s="541">
        <f>Q_Financials!AG93</f>
        <v>297.48950399999967</v>
      </c>
      <c r="AH366" s="541">
        <f>Q_Financials!AH93</f>
        <v>-6.7296199999998976</v>
      </c>
      <c r="AI366" s="541">
        <f>Q_Financials!AI93</f>
        <v>-165.96833999999984</v>
      </c>
      <c r="AJ366" s="541">
        <f>Q_Financials!AJ93</f>
        <v>16.644219999999677</v>
      </c>
      <c r="AK366" s="541">
        <f>Q_Financials!AK93</f>
        <v>815.79448000000048</v>
      </c>
      <c r="AL366" s="541">
        <f>Q_Financials!AL93</f>
        <v>-110.88309999999993</v>
      </c>
      <c r="AM366" s="541">
        <f>Q_Financials!AM93</f>
        <v>27.256715999999614</v>
      </c>
      <c r="AN366" s="541">
        <f>Q_Financials!AN93</f>
        <v>231.35412800000029</v>
      </c>
      <c r="AO366" s="541">
        <f>Q_Financials!AO93</f>
        <v>786.124908</v>
      </c>
      <c r="AP366" s="541">
        <f>Q_Financials!AP93</f>
        <v>-46.285999999999774</v>
      </c>
      <c r="AQ366" s="541">
        <f>Q_Financials!AQ93</f>
        <v>30.466999999999928</v>
      </c>
      <c r="AR366" s="541">
        <f>Q_Financials!AR93</f>
        <v>128.86920000000015</v>
      </c>
      <c r="AS366" s="541">
        <f>Q_Financials!AS93</f>
        <v>782.44979999999964</v>
      </c>
      <c r="AT366" s="1459">
        <f>Q_Financials!AT93</f>
        <v>-20.115999999999985</v>
      </c>
      <c r="AU366" s="542">
        <f>Q_Financials!AU93</f>
        <v>-2.0163804229591733</v>
      </c>
      <c r="AV366" s="542">
        <f>Q_Financials!AV93</f>
        <v>489.72265905600972</v>
      </c>
      <c r="AW366" s="542">
        <f>Q_Financials!AW93</f>
        <v>995.12520261532109</v>
      </c>
      <c r="AX366" s="542">
        <f>Q_Financials!AX93</f>
        <v>58.864489822244423</v>
      </c>
      <c r="AY366" s="542">
        <f>Q_Financials!AY93</f>
        <v>197.20505748668796</v>
      </c>
      <c r="AZ366" s="542">
        <f>Q_Financials!AZ93</f>
        <v>504.24128934633745</v>
      </c>
      <c r="BA366" s="542">
        <f>Q_Financials!BA93</f>
        <v>805.76449684511977</v>
      </c>
      <c r="BB366" s="542">
        <f>Q_Financials!BB93</f>
        <v>64.470690867274016</v>
      </c>
      <c r="BC366" s="542">
        <f>Q_Financials!BC93</f>
        <v>251.69662484815558</v>
      </c>
      <c r="BD366" s="542">
        <f>Q_Financials!BD93</f>
        <v>560.55041830486198</v>
      </c>
      <c r="BE366" s="542">
        <f>Q_Financials!BE93</f>
        <v>888.23171974223192</v>
      </c>
      <c r="BF366" s="542">
        <f>Q_Financials!BF93</f>
        <v>100.49516844218692</v>
      </c>
      <c r="BG366" s="542">
        <f>Q_Financials!BG93</f>
        <v>318.41826736930102</v>
      </c>
      <c r="BH366" s="542">
        <f>Q_Financials!BH93</f>
        <v>657.16034803760135</v>
      </c>
      <c r="BI366" s="542">
        <f>Q_Financials!BI93</f>
        <v>1014.6365377161188</v>
      </c>
      <c r="BJ366" s="542">
        <f>Q_Financials!BJ93</f>
        <v>92.492228455163968</v>
      </c>
      <c r="BK366" s="542">
        <f>Q_Financials!BK93</f>
        <v>364.91723988422973</v>
      </c>
      <c r="BL366" s="542">
        <f>Q_Financials!BL93</f>
        <v>712.03808486667583</v>
      </c>
      <c r="BM366" s="542">
        <f>Q_Financials!BM93</f>
        <v>1097.4491875296653</v>
      </c>
      <c r="BN366" s="542">
        <f>Q_Financials!BN93</f>
        <v>-29.656044986923803</v>
      </c>
      <c r="BO366" s="542">
        <f>Q_Financials!BO93</f>
        <v>338.57926124643382</v>
      </c>
      <c r="BP366" s="542">
        <f>Q_Financials!BP93</f>
        <v>672.27682996299131</v>
      </c>
      <c r="BQ366" s="542">
        <f>Q_Financials!BQ93</f>
        <v>1082.8263568626885</v>
      </c>
      <c r="BR366" s="542">
        <f>Q_Financials!BR93</f>
        <v>-214.18929040028661</v>
      </c>
      <c r="BS366" s="542">
        <f>Q_Financials!BS93</f>
        <v>258.17717358969549</v>
      </c>
      <c r="BT366" s="542">
        <f>Q_Financials!BT93</f>
        <v>606.4263429396666</v>
      </c>
      <c r="BU366" s="542">
        <f>Q_Financials!BU93</f>
        <v>1084.4301176917561</v>
      </c>
      <c r="BV366" s="542">
        <f>Q_Financials!BV93</f>
        <v>-160.7789305156964</v>
      </c>
      <c r="BW366" s="542">
        <f>Q_Financials!BW93</f>
        <v>381.51832156978185</v>
      </c>
      <c r="BX366" s="542">
        <f>Q_Financials!BX93</f>
        <v>665.79225856405606</v>
      </c>
      <c r="BY366" s="542">
        <f>Q_Financials!BY93</f>
        <v>1156.0066198240488</v>
      </c>
    </row>
    <row r="367" spans="1:77">
      <c r="A367" s="205" t="s">
        <v>574</v>
      </c>
      <c r="B367" s="202"/>
      <c r="C367" s="196">
        <f>+ChartSupport!B365-ChartSupport!C365</f>
        <v>-238.67500000000007</v>
      </c>
      <c r="D367" s="196">
        <f>+ChartSupport!C365-ChartSupport!D365</f>
        <v>62.514000000000124</v>
      </c>
      <c r="E367" s="196">
        <f>+ChartSupport!D365-ChartSupport!E365</f>
        <v>110.60899999999992</v>
      </c>
      <c r="F367" s="196">
        <f>+ChartSupport!E365-ChartSupport!F365</f>
        <v>-9.2469999999999573</v>
      </c>
      <c r="G367" s="196">
        <f>+ChartSupport!F365-ChartSupport!G365</f>
        <v>-80.718000000000046</v>
      </c>
      <c r="H367" s="196">
        <f>+ChartSupport!G365-ChartSupport!H365</f>
        <v>11.141999999999996</v>
      </c>
      <c r="I367" s="196">
        <f>+ChartSupport!H365-ChartSupport!I365</f>
        <v>68.428000000000054</v>
      </c>
      <c r="J367" s="196">
        <f>+ChartSupport!I365-ChartSupport!J365</f>
        <v>-67.343000000000018</v>
      </c>
      <c r="K367" s="196">
        <f>+ChartSupport!J365-ChartSupport!K365</f>
        <v>-127.73900000000006</v>
      </c>
      <c r="L367" s="196">
        <f>+ChartSupport!K365-ChartSupport!L365</f>
        <v>-74.622999999999934</v>
      </c>
      <c r="M367" s="196">
        <f>+ChartSupport!L365-ChartSupport!M365</f>
        <v>169.88600000000008</v>
      </c>
      <c r="N367" s="196">
        <f>+ChartSupport!M365-ChartSupport!N365</f>
        <v>-24.633000000000095</v>
      </c>
      <c r="O367" s="196">
        <f>+ChartSupport!N365-ChartSupport!O365</f>
        <v>-50.003000000000156</v>
      </c>
      <c r="P367" s="196">
        <f>+ChartSupport!O365-ChartSupport!P365</f>
        <v>-11.868999999999915</v>
      </c>
      <c r="Q367" s="196">
        <f>+ChartSupport!P365-ChartSupport!Q365</f>
        <v>345.04</v>
      </c>
      <c r="R367" s="196">
        <f>+ChartSupport!Q365-ChartSupport!R365</f>
        <v>-224.83899999999983</v>
      </c>
      <c r="S367" s="196">
        <f>+ChartSupport!R365-ChartSupport!S365</f>
        <v>-118.44499999999999</v>
      </c>
      <c r="T367" s="196">
        <f>+ChartSupport!S365-ChartSupport!T365</f>
        <v>20.131999999999778</v>
      </c>
      <c r="U367" s="196">
        <f>+ChartSupport!T365-ChartSupport!U365</f>
        <v>254.80300000000011</v>
      </c>
      <c r="V367" s="196">
        <f>+ChartSupport!U365-ChartSupport!V365</f>
        <v>-50.651000000000124</v>
      </c>
      <c r="W367" s="196">
        <f>+ChartSupport!V365-ChartSupport!W365</f>
        <v>-143.92399999999986</v>
      </c>
      <c r="X367" s="196">
        <f>+ChartSupport!W365-ChartSupport!X365</f>
        <v>-21.136000000000081</v>
      </c>
      <c r="Y367" s="196">
        <f>+ChartSupport!X365-ChartSupport!Y365</f>
        <v>315.15600000000012</v>
      </c>
      <c r="Z367" s="196">
        <f>+ChartSupport!Y365-ChartSupport!Z365</f>
        <v>-97.609999999999843</v>
      </c>
      <c r="AA367" s="196">
        <f>+ChartSupport!Z365-ChartSupport!AA365</f>
        <v>-132.29800000000031</v>
      </c>
      <c r="AB367" s="196">
        <f>+ChartSupport!AA365-ChartSupport!AB365</f>
        <v>-165.66099999999958</v>
      </c>
      <c r="AC367" s="196">
        <f>+ChartSupport!AB365-ChartSupport!AC365</f>
        <v>349.67599999999982</v>
      </c>
      <c r="AD367" s="196">
        <f>+ChartSupport!AC365-ChartSupport!AD365</f>
        <v>31.666999999999916</v>
      </c>
      <c r="AE367" s="196">
        <f>+ChartSupport!AD365-ChartSupport!AE365</f>
        <v>-108.36800000000002</v>
      </c>
      <c r="AF367" s="196">
        <f>+ChartSupport!AE365-ChartSupport!AF365</f>
        <v>-136.96600000000012</v>
      </c>
      <c r="AG367" s="196">
        <f>+ChartSupport!AF365-ChartSupport!AG365</f>
        <v>225.90999999999991</v>
      </c>
      <c r="AH367" s="196">
        <f>+ChartSupport!AG365-ChartSupport!AH365</f>
        <v>-133.26899999999972</v>
      </c>
      <c r="AI367" s="196">
        <f>+ChartSupport!AH365-ChartSupport!AI365</f>
        <v>-327.01200000000028</v>
      </c>
      <c r="AJ367" s="196">
        <f>+ChartSupport!AI365-ChartSupport!AJ365</f>
        <v>-109.06199999999967</v>
      </c>
      <c r="AK367" s="202">
        <f>+ChartSupport!AJ365-ChartSupport!AK365</f>
        <v>639.27999999999986</v>
      </c>
      <c r="AL367" s="202">
        <f>+ChartSupport!AK365-ChartSupport!AL365</f>
        <v>-363.01899999999989</v>
      </c>
      <c r="AM367" s="202">
        <f>+ChartSupport!AL365-ChartSupport!AM365</f>
        <v>-147.74300000000028</v>
      </c>
      <c r="AN367" s="202">
        <f>+ChartSupport!AM365-ChartSupport!AN365</f>
        <v>-86.467999999999961</v>
      </c>
      <c r="AO367" s="202">
        <f>+ChartSupport!AN365-ChartSupport!AO365</f>
        <v>561.74900000000014</v>
      </c>
      <c r="AP367" s="202">
        <f>+ChartSupport!AO365-ChartSupport!AP365</f>
        <v>-195.49799999999993</v>
      </c>
      <c r="AQ367" s="202">
        <f>+ChartSupport!AP365-ChartSupport!AQ365</f>
        <v>-321.58400000000029</v>
      </c>
      <c r="AR367" s="202">
        <f>+ChartSupport!AQ365-ChartSupport!AR365</f>
        <v>-7.507799999999861</v>
      </c>
      <c r="AS367" s="202">
        <f>+ChartSupport!AR365-ChartSupport!AS365</f>
        <v>469.93180000000024</v>
      </c>
      <c r="AT367" s="355">
        <f>+ChartSupport!AS365-ChartSupport!AT365</f>
        <v>-354.20300000000043</v>
      </c>
      <c r="AU367" s="357">
        <f>+ChartSupport!AT365-ChartSupport!AU365</f>
        <v>-358.3800965624925</v>
      </c>
      <c r="AV367" s="357">
        <f>+ChartSupport!AU365-ChartSupport!AV365</f>
        <v>118.86370334403034</v>
      </c>
      <c r="AW367" s="357">
        <f>+ChartSupport!AV365-ChartSupport!AW365</f>
        <v>572.64396299464318</v>
      </c>
      <c r="AX367" s="357">
        <f>+ChartSupport!AW365-ChartSupport!AX365</f>
        <v>-547.16309950140817</v>
      </c>
      <c r="AY367" s="357">
        <f>+ChartSupport!AX365-ChartSupport!AY365</f>
        <v>-244.40411926604816</v>
      </c>
      <c r="AZ367" s="357">
        <f>+ChartSupport!AY365-ChartSupport!AZ365</f>
        <v>127.0971999361318</v>
      </c>
      <c r="BA367" s="357">
        <f>+ChartSupport!AZ365-ChartSupport!BA365</f>
        <v>602.79739651607338</v>
      </c>
      <c r="BB367" s="357">
        <f>+ChartSupport!BA365-ChartSupport!BB365</f>
        <v>-598.67304889662262</v>
      </c>
      <c r="BC367" s="357">
        <f>+ChartSupport!BB365-ChartSupport!BC365</f>
        <v>-244.3745531760286</v>
      </c>
      <c r="BD367" s="357">
        <f>+ChartSupport!BC365-ChartSupport!BD365</f>
        <v>132.71523173502794</v>
      </c>
      <c r="BE367" s="357">
        <f>+ChartSupport!BD365-ChartSupport!BE365</f>
        <v>649.58523652459587</v>
      </c>
      <c r="BF367" s="357">
        <f>+ChartSupport!BE365-ChartSupport!BF365</f>
        <v>-721.53359361966341</v>
      </c>
      <c r="BG367" s="357">
        <f>+ChartSupport!BF365-ChartSupport!BG365</f>
        <v>-261.66513176336321</v>
      </c>
      <c r="BH367" s="357">
        <f>+ChartSupport!BG365-ChartSupport!BH365</f>
        <v>150.36102763020324</v>
      </c>
      <c r="BI367" s="357">
        <f>+ChartSupport!BH365-ChartSupport!BI365</f>
        <v>742.95695480665654</v>
      </c>
      <c r="BJ367" s="357">
        <f>+ChartSupport!BI365-ChartSupport!BJ365</f>
        <v>-789.14028749616762</v>
      </c>
      <c r="BK367" s="357">
        <f>+ChartSupport!BJ365-ChartSupport!BK365</f>
        <v>-262.42665309749441</v>
      </c>
      <c r="BL367" s="357">
        <f>+ChartSupport!BK365-ChartSupport!BL365</f>
        <v>162.73607543946832</v>
      </c>
      <c r="BM367" s="357">
        <f>+ChartSupport!BL365-ChartSupport!BM365</f>
        <v>805.28433761498252</v>
      </c>
      <c r="BN367" s="357">
        <f>+ChartSupport!BM365-ChartSupport!BN365</f>
        <v>-768.14267636238799</v>
      </c>
      <c r="BO367" s="357">
        <f>+ChartSupport!BN365-ChartSupport!BO365</f>
        <v>-253.12341176666132</v>
      </c>
      <c r="BP367" s="357">
        <f>+ChartSupport!BO365-ChartSupport!BP365</f>
        <v>164.18831587117893</v>
      </c>
      <c r="BQ367" s="357">
        <f>+ChartSupport!BP365-ChartSupport!BQ365</f>
        <v>798.23966776643238</v>
      </c>
      <c r="BR367" s="357">
        <f>+ChartSupport!BQ365-ChartSupport!BR365</f>
        <v>-779.71136021422444</v>
      </c>
      <c r="BS367" s="357">
        <f>+ChartSupport!BR365-ChartSupport!BS365</f>
        <v>-247.71232550298237</v>
      </c>
      <c r="BT367" s="357">
        <f>+ChartSupport!BS365-ChartSupport!BT365</f>
        <v>165.9260505817299</v>
      </c>
      <c r="BU367" s="357">
        <f>+ChartSupport!BT365-ChartSupport!BU365</f>
        <v>803.94344296473355</v>
      </c>
      <c r="BV367" s="357">
        <f>+ChartSupport!BU365-ChartSupport!BV365</f>
        <v>-817.75672413732673</v>
      </c>
      <c r="BW367" s="357">
        <f>+ChartSupport!BV365-ChartSupport!BW365</f>
        <v>-195.59060643000362</v>
      </c>
      <c r="BX367" s="357">
        <f>+ChartSupport!BW365-ChartSupport!BX365</f>
        <v>141.22035318068038</v>
      </c>
      <c r="BY367" s="357">
        <f>+ChartSupport!BX365-ChartSupport!BY365</f>
        <v>796.6579370441309</v>
      </c>
    </row>
    <row r="368" spans="1:77">
      <c r="A368" s="378" t="s">
        <v>1090</v>
      </c>
      <c r="B368" s="541">
        <f>Q_Financials!B93+Q_Financials!B100</f>
        <v>0</v>
      </c>
      <c r="C368" s="541">
        <f>Q_Financials!C93+Q_Financials!C100</f>
        <v>-203.8900000000001</v>
      </c>
      <c r="D368" s="541">
        <f>Q_Financials!D93+Q_Financials!D100</f>
        <v>22.626000000000076</v>
      </c>
      <c r="E368" s="541">
        <f>Q_Financials!E93+Q_Financials!E100</f>
        <v>43.729000000000013</v>
      </c>
      <c r="F368" s="541">
        <f>Q_Financials!F93+Q_Financials!F100</f>
        <v>-65.06399999999995</v>
      </c>
      <c r="G368" s="541">
        <f>Q_Financials!G93+Q_Financials!G100</f>
        <v>-197.06299999999996</v>
      </c>
      <c r="H368" s="541">
        <f>Q_Financials!H93+Q_Financials!H100</f>
        <v>-101.62100000000007</v>
      </c>
      <c r="I368" s="541">
        <f>Q_Financials!I93+Q_Financials!I100</f>
        <v>-43.412999999999982</v>
      </c>
      <c r="J368" s="541">
        <f>Q_Financials!J93+Q_Financials!J100</f>
        <v>-212.12899999999996</v>
      </c>
      <c r="K368" s="541">
        <f>Q_Financials!K93+Q_Financials!K100</f>
        <v>-208.5680000000001</v>
      </c>
      <c r="L368" s="541">
        <f>Q_Financials!L93+Q_Financials!L100</f>
        <v>-137.93799999999999</v>
      </c>
      <c r="M368" s="541">
        <f>Q_Financials!M93+Q_Financials!M100</f>
        <v>135.44300000000001</v>
      </c>
      <c r="N368" s="541">
        <f>Q_Financials!N93+Q_Financials!N100</f>
        <v>-16.141000000000105</v>
      </c>
      <c r="O368" s="541">
        <f>Q_Financials!O93+Q_Financials!O100</f>
        <v>-73.82000000000005</v>
      </c>
      <c r="P368" s="541">
        <f>Q_Financials!P93+Q_Financials!P100</f>
        <v>12.721000000000075</v>
      </c>
      <c r="Q368" s="541">
        <f>Q_Financials!Q93+Q_Financials!Q100</f>
        <v>301.58899999999994</v>
      </c>
      <c r="R368" s="541">
        <f>Q_Financials!R93+Q_Financials!R100</f>
        <v>-199.66699999999986</v>
      </c>
      <c r="S368" s="541">
        <f>Q_Financials!S93+Q_Financials!S100</f>
        <v>-104.44799999999992</v>
      </c>
      <c r="T368" s="541">
        <f>Q_Financials!T93+Q_Financials!T100</f>
        <v>89.853999999999758</v>
      </c>
      <c r="U368" s="541">
        <f>Q_Financials!U93+Q_Financials!U100</f>
        <v>34.423792000000105</v>
      </c>
      <c r="V368" s="541">
        <f>Q_Financials!V93+Q_Financials!V100</f>
        <v>-24.775096000000005</v>
      </c>
      <c r="W368" s="541">
        <f>Q_Financials!W93+Q_Financials!W100</f>
        <v>-142.97267600000015</v>
      </c>
      <c r="X368" s="541">
        <f>Q_Financials!X93+Q_Financials!X100</f>
        <v>-73.655631999999912</v>
      </c>
      <c r="Y368" s="541">
        <f>Q_Financials!Y93+Q_Financials!Y100</f>
        <v>78.910236000000054</v>
      </c>
      <c r="Z368" s="541">
        <f>Q_Financials!Z93+Q_Financials!Z100</f>
        <v>-152.06593200000003</v>
      </c>
      <c r="AA368" s="541">
        <f>Q_Financials!AA93+Q_Financials!AA100</f>
        <v>-122.22864800000008</v>
      </c>
      <c r="AB368" s="541">
        <f>Q_Financials!AB93+Q_Financials!AB100</f>
        <v>-188.30615999999984</v>
      </c>
      <c r="AC368" s="541">
        <f>Q_Financials!AC93+Q_Financials!AC100</f>
        <v>135.42351599999995</v>
      </c>
      <c r="AD368" s="541">
        <f>Q_Financials!AD93+Q_Financials!AD100</f>
        <v>95.721455999999861</v>
      </c>
      <c r="AE368" s="541">
        <f>Q_Financials!AE93+Q_Financials!AE100</f>
        <v>-67.531335999999811</v>
      </c>
      <c r="AF368" s="541">
        <f>Q_Financials!AF93+Q_Financials!AF100</f>
        <v>-172.9974159999999</v>
      </c>
      <c r="AG368" s="541">
        <f>Q_Financials!AG93+Q_Financials!AG100</f>
        <v>41.083503999999664</v>
      </c>
      <c r="AH368" s="541">
        <f>Q_Financials!AH93+Q_Financials!AH100</f>
        <v>-125.9136199999999</v>
      </c>
      <c r="AI368" s="541">
        <f>Q_Financials!AI93+Q_Financials!AI100</f>
        <v>-314.53933999999981</v>
      </c>
      <c r="AJ368" s="541">
        <f>Q_Financials!AJ93+Q_Financials!AJ100</f>
        <v>-204.07778000000033</v>
      </c>
      <c r="AK368" s="541">
        <f>Q_Financials!AK93+Q_Financials!AK100</f>
        <v>492.24248000000051</v>
      </c>
      <c r="AL368" s="541">
        <f>Q_Financials!AL93+Q_Financials!AL100</f>
        <v>-270.69509999999991</v>
      </c>
      <c r="AM368" s="541">
        <f>Q_Financials!AM93+Q_Financials!AM100</f>
        <v>-125.48328400000037</v>
      </c>
      <c r="AN368" s="541">
        <f>Q_Financials!AN93+Q_Financials!AN100</f>
        <v>21.800128000000285</v>
      </c>
      <c r="AO368" s="541">
        <f>Q_Financials!AO93+Q_Financials!AO100</f>
        <v>467.41690799999998</v>
      </c>
      <c r="AP368" s="541">
        <f>Q_Financials!AP93+Q_Financials!AP100</f>
        <v>-209.92699999999977</v>
      </c>
      <c r="AQ368" s="541">
        <f>Q_Financials!AQ93+Q_Financials!AQ100</f>
        <v>-155.74000000000007</v>
      </c>
      <c r="AR368" s="541">
        <f>Q_Financials!AR93+Q_Financials!AR100</f>
        <v>-152.09679999999986</v>
      </c>
      <c r="AS368" s="541">
        <f>Q_Financials!AS93+Q_Financials!AS100</f>
        <v>436.28379999999964</v>
      </c>
      <c r="AT368" s="1459">
        <f>Q_Financials!AT93+Q_Financials!AT100</f>
        <v>-134.60199999999998</v>
      </c>
      <c r="AU368" s="542">
        <f>Q_Financials!AU93+Q_Financials!AU100</f>
        <v>-195.60112651129873</v>
      </c>
      <c r="AV368" s="542">
        <f>Q_Financials!AV93+Q_Financials!AV100</f>
        <v>207.24578272598166</v>
      </c>
      <c r="AW368" s="542">
        <f>Q_Financials!AW93+Q_Financials!AW100</f>
        <v>594.76054155983184</v>
      </c>
      <c r="AX368" s="542">
        <f>Q_Financials!AX93+Q_Financials!AX100</f>
        <v>-118.61486267164389</v>
      </c>
      <c r="AY368" s="542">
        <f>Q_Financials!AY93+Q_Financials!AY100</f>
        <v>-6.7254522917283168</v>
      </c>
      <c r="AZ368" s="542">
        <f>Q_Financials!AZ93+Q_Financials!AZ100</f>
        <v>208.31657477247052</v>
      </c>
      <c r="BA368" s="542">
        <f>Q_Financials!BA93+Q_Financials!BA100</f>
        <v>460.85311509114308</v>
      </c>
      <c r="BB368" s="542">
        <f>Q_Financials!BB93+Q_Financials!BB100</f>
        <v>-141.29190650703657</v>
      </c>
      <c r="BC368" s="542">
        <f>Q_Financials!BC93+Q_Financials!BC100</f>
        <v>0.28075723125775198</v>
      </c>
      <c r="BD368" s="542">
        <f>Q_Financials!BD93+Q_Financials!BD100</f>
        <v>189.85479280087577</v>
      </c>
      <c r="BE368" s="542">
        <f>Q_Financials!BE93+Q_Financials!BE100</f>
        <v>492.29996505842155</v>
      </c>
      <c r="BF368" s="542">
        <f>Q_Financials!BF93+Q_Financials!BF100</f>
        <v>-119.88884393744848</v>
      </c>
      <c r="BG368" s="542">
        <f>Q_Financials!BG93+Q_Financials!BG100</f>
        <v>41.600371124595824</v>
      </c>
      <c r="BH368" s="542">
        <f>Q_Financials!BH93+Q_Financials!BH100</f>
        <v>252.53020849739301</v>
      </c>
      <c r="BI368" s="542">
        <f>Q_Financials!BI93+Q_Financials!BI100</f>
        <v>533.04876478950962</v>
      </c>
      <c r="BJ368" s="542">
        <f>Q_Financials!BJ93+Q_Financials!BJ100</f>
        <v>-153.31348168450899</v>
      </c>
      <c r="BK368" s="542">
        <f>Q_Financials!BK93+Q_Financials!BK100</f>
        <v>68.104809714859073</v>
      </c>
      <c r="BL368" s="542">
        <f>Q_Financials!BL93+Q_Financials!BL100</f>
        <v>277.93908605770474</v>
      </c>
      <c r="BM368" s="542">
        <f>Q_Financials!BM93+Q_Financials!BM100</f>
        <v>602.43513837266119</v>
      </c>
      <c r="BN368" s="542">
        <f>Q_Financials!BN93+Q_Financials!BN100</f>
        <v>-263.20502783693638</v>
      </c>
      <c r="BO368" s="542">
        <f>Q_Financials!BO93+Q_Financials!BO100</f>
        <v>51.772036325740714</v>
      </c>
      <c r="BP368" s="542">
        <f>Q_Financials!BP93+Q_Financials!BP100</f>
        <v>251.73371203949682</v>
      </c>
      <c r="BQ368" s="542">
        <f>Q_Financials!BQ93+Q_Financials!BQ100</f>
        <v>606.71780913112798</v>
      </c>
      <c r="BR368" s="542">
        <f>Q_Financials!BR93+Q_Financials!BR100</f>
        <v>-442.18635084633905</v>
      </c>
      <c r="BS368" s="542">
        <f>Q_Financials!BS93+Q_Financials!BS100</f>
        <v>-22.293284913824436</v>
      </c>
      <c r="BT368" s="542">
        <f>Q_Financials!BT93+Q_Financials!BT100</f>
        <v>195.9510887244075</v>
      </c>
      <c r="BU368" s="542">
        <f>Q_Financials!BU93+Q_Financials!BU100</f>
        <v>610.71334710170458</v>
      </c>
      <c r="BV368" s="542">
        <f>Q_Financials!BV93+Q_Financials!BV100</f>
        <v>-414.84963883710395</v>
      </c>
      <c r="BW368" s="542">
        <f>Q_Financials!BW93+Q_Financials!BW100</f>
        <v>71.090516142839078</v>
      </c>
      <c r="BX368" s="542">
        <f>Q_Financials!BX93+Q_Financials!BX100</f>
        <v>211.28858862899517</v>
      </c>
      <c r="BY368" s="542">
        <f>Q_Financials!BY93+Q_Financials!BY100</f>
        <v>636.89505341452968</v>
      </c>
    </row>
    <row r="369" spans="1:80">
      <c r="A369" s="208" t="s">
        <v>1091</v>
      </c>
      <c r="B369" s="543"/>
      <c r="C369" s="543"/>
      <c r="D369" s="543"/>
      <c r="E369" s="543"/>
      <c r="F369" s="543"/>
      <c r="G369" s="543"/>
      <c r="H369" s="543"/>
      <c r="I369" s="543"/>
      <c r="J369" s="543">
        <f>Q_IS!AF53</f>
        <v>35.57</v>
      </c>
      <c r="K369" s="543">
        <f>Q_IS!AG53</f>
        <v>109.80499999999999</v>
      </c>
      <c r="L369" s="543">
        <f>Q_IS!AH53</f>
        <v>139</v>
      </c>
      <c r="M369" s="543">
        <f>Q_IS!AI53</f>
        <v>133.30000000000001</v>
      </c>
      <c r="N369" s="543">
        <f>Q_IS!AJ53</f>
        <v>172.2</v>
      </c>
      <c r="O369" s="543">
        <f>Q_IS!AK53</f>
        <v>228.2</v>
      </c>
      <c r="P369" s="543">
        <f>Q_IS!AL53</f>
        <v>192.6</v>
      </c>
      <c r="Q369" s="543">
        <f>Q_IS!AM53</f>
        <v>225.7</v>
      </c>
      <c r="R369" s="543">
        <f>Q_IS!AN53</f>
        <v>217.5</v>
      </c>
      <c r="S369" s="543">
        <f>Q_IS!AO53</f>
        <v>270</v>
      </c>
      <c r="T369" s="543">
        <f>Q_IS!AP53</f>
        <v>230.1</v>
      </c>
      <c r="U369" s="543">
        <f>Q_IS!AQ53</f>
        <v>118.5</v>
      </c>
      <c r="V369" s="543">
        <f>Q_IS!AR53</f>
        <v>219.4</v>
      </c>
      <c r="W369" s="543">
        <f>Q_IS!AS53</f>
        <v>297.5</v>
      </c>
      <c r="X369" s="543">
        <f>Q_IS!AT53</f>
        <v>198</v>
      </c>
      <c r="Y369" s="543">
        <f>Q_IS!AU53</f>
        <v>110.80000000000001</v>
      </c>
      <c r="Z369" s="543">
        <f>Q_IS!AV53</f>
        <v>136</v>
      </c>
      <c r="AA369" s="544">
        <f>Q_IS!AW53</f>
        <v>414.2</v>
      </c>
      <c r="AB369" s="544">
        <f>Q_IS!AX53</f>
        <v>173.9</v>
      </c>
      <c r="AC369" s="544">
        <f>Q_IS!AY53</f>
        <v>252.3</v>
      </c>
      <c r="AD369" s="544">
        <f>Q_IS!AZ53</f>
        <v>256.80000000000007</v>
      </c>
      <c r="AE369" s="544">
        <f>Q_IS!BA53</f>
        <v>324.89999999999998</v>
      </c>
      <c r="AF369" s="544">
        <f>Q_IS!BB53</f>
        <v>185.6</v>
      </c>
      <c r="AG369" s="544">
        <f>Q_IS!BC53</f>
        <v>223.9</v>
      </c>
      <c r="AH369" s="544">
        <f>Q_IS!BD53</f>
        <v>233.9</v>
      </c>
      <c r="AI369" s="544">
        <f>Q_IS!BE53</f>
        <v>287.5</v>
      </c>
      <c r="AJ369" s="544">
        <f>Q_IS!BF53</f>
        <v>316.8</v>
      </c>
      <c r="AK369" s="1454">
        <f>Q_IS!BG53</f>
        <v>338.9</v>
      </c>
      <c r="AL369" s="1454">
        <f>Q_IS!BH53</f>
        <v>202.8</v>
      </c>
      <c r="AM369" s="1454">
        <f>Q_IS!BI53</f>
        <v>279.3</v>
      </c>
      <c r="AN369" s="1454">
        <f>Q_IS!BJ53</f>
        <v>356.3</v>
      </c>
      <c r="AO369" s="1454">
        <f>Q_IS!BK53</f>
        <v>362.59999999999997</v>
      </c>
      <c r="AP369" s="1454">
        <f>Q_IS!BL53</f>
        <v>329.1</v>
      </c>
      <c r="AQ369" s="1454">
        <f>Q_IS!BM53</f>
        <v>327.40000000000003</v>
      </c>
      <c r="AR369" s="1454">
        <f>Q_IS!BN53</f>
        <v>283.40000000000003</v>
      </c>
      <c r="AS369" s="1454">
        <f>Q_IS!BO53</f>
        <v>373.8</v>
      </c>
      <c r="AT369" s="1460">
        <f>Q_IS!BP53</f>
        <v>372</v>
      </c>
      <c r="AU369" s="545">
        <f>Q_IS!BQ53</f>
        <v>304.24401188024819</v>
      </c>
      <c r="AV369" s="545">
        <f>Q_IS!BR53</f>
        <v>311.56031459427254</v>
      </c>
      <c r="AW369" s="545">
        <f>Q_IS!BS53</f>
        <v>407.23148929956733</v>
      </c>
      <c r="AX369" s="545">
        <f>Q_IS!BT53</f>
        <v>648.37884521751312</v>
      </c>
      <c r="AY369" s="545">
        <f>Q_IS!BU53</f>
        <v>322.24145709444696</v>
      </c>
      <c r="AZ369" s="545">
        <f>Q_IS!BV53</f>
        <v>329.99055306692327</v>
      </c>
      <c r="BA369" s="545">
        <f>Q_IS!BW53</f>
        <v>176.94780286982171</v>
      </c>
      <c r="BB369" s="545">
        <f>Q_IS!BX53</f>
        <v>664.80500244387224</v>
      </c>
      <c r="BC369" s="545">
        <f>Q_IS!BY53</f>
        <v>330.40518556604553</v>
      </c>
      <c r="BD369" s="545">
        <f>Q_IS!BZ53</f>
        <v>338.35059866044054</v>
      </c>
      <c r="BE369" s="545">
        <f>Q_IS!CA53</f>
        <v>181.43063332031778</v>
      </c>
      <c r="BF369" s="545">
        <f>Q_IS!CB53</f>
        <v>688.16166834967282</v>
      </c>
      <c r="BG369" s="545">
        <f>Q_IS!CC53</f>
        <v>342.01334661242953</v>
      </c>
      <c r="BH369" s="545">
        <f>Q_IS!CD53</f>
        <v>350.23790676264866</v>
      </c>
      <c r="BI369" s="545">
        <f>Q_IS!CE53</f>
        <v>187.80485534326087</v>
      </c>
      <c r="BJ369" s="545">
        <f>Q_IS!CF53</f>
        <v>704.05208720881342</v>
      </c>
      <c r="BK369" s="545">
        <f>Q_IS!CG53</f>
        <v>349.91081545303109</v>
      </c>
      <c r="BL369" s="545">
        <f>Q_IS!CH53</f>
        <v>358.32528985120967</v>
      </c>
      <c r="BM369" s="545">
        <f>Q_IS!CI53</f>
        <v>192.14147848349108</v>
      </c>
      <c r="BN369" s="545">
        <f>Q_IS!CJ53</f>
        <v>720.30860092601301</v>
      </c>
      <c r="BO369" s="545">
        <f>Q_IS!CK53</f>
        <v>357.99023184075872</v>
      </c>
      <c r="BP369" s="545">
        <f>Q_IS!CL53</f>
        <v>366.59899586744945</v>
      </c>
      <c r="BQ369" s="545">
        <f>Q_IS!CM53</f>
        <v>196.57801185560754</v>
      </c>
      <c r="BR369" s="545">
        <f>Q_IS!CN53</f>
        <v>736.9405294688836</v>
      </c>
      <c r="BS369" s="545">
        <f>Q_IS!CO53</f>
        <v>366.25622775885097</v>
      </c>
      <c r="BT369" s="545">
        <f>Q_IS!CP53</f>
        <v>375.06376818214488</v>
      </c>
      <c r="BU369" s="545">
        <f>Q_IS!CQ53</f>
        <v>201.11699895374673</v>
      </c>
      <c r="BV369" s="545">
        <f>Q_IS!CR53</f>
        <v>753.95648612678951</v>
      </c>
      <c r="BW369" s="545">
        <f>Q_IS!CS53</f>
        <v>374.71308397454089</v>
      </c>
      <c r="BX369" s="545">
        <f>Q_IS!CT53</f>
        <v>383.72399050420643</v>
      </c>
      <c r="BY369" s="545">
        <f>Q_IS!CU53</f>
        <v>205.76079041386836</v>
      </c>
    </row>
    <row r="370" spans="1:80">
      <c r="A370" s="208" t="s">
        <v>1092</v>
      </c>
      <c r="B370" s="543"/>
      <c r="C370" s="543"/>
      <c r="D370" s="543"/>
      <c r="E370" s="543"/>
      <c r="F370" s="543"/>
      <c r="G370" s="543"/>
      <c r="H370" s="543"/>
      <c r="I370" s="543"/>
      <c r="J370" s="543">
        <f>Q_IS!AF56</f>
        <v>93.97</v>
      </c>
      <c r="K370" s="543">
        <f>Q_IS!AG56</f>
        <v>171.35799999999998</v>
      </c>
      <c r="L370" s="543">
        <f>Q_IS!AH56</f>
        <v>151.9</v>
      </c>
      <c r="M370" s="543">
        <f>Q_IS!AI56</f>
        <v>208.60000000000002</v>
      </c>
      <c r="N370" s="543">
        <f>Q_IS!AJ56</f>
        <v>140.6</v>
      </c>
      <c r="O370" s="543">
        <f>Q_IS!AK56</f>
        <v>171.9</v>
      </c>
      <c r="P370" s="543">
        <f>Q_IS!AL56</f>
        <v>170.20000000000002</v>
      </c>
      <c r="Q370" s="543">
        <f>Q_IS!AM56</f>
        <v>126.69999999999999</v>
      </c>
      <c r="R370" s="543">
        <f>Q_IS!AN56</f>
        <v>113.19999999999999</v>
      </c>
      <c r="S370" s="543">
        <f>Q_IS!AO56</f>
        <v>112.8</v>
      </c>
      <c r="T370" s="543">
        <f>Q_IS!AP56</f>
        <v>163.19999999999999</v>
      </c>
      <c r="U370" s="543">
        <f>Q_IS!AQ56</f>
        <v>134.6</v>
      </c>
      <c r="V370" s="544">
        <f>Q_IS!AR56</f>
        <v>82.6</v>
      </c>
      <c r="W370" s="544">
        <f>Q_IS!AS56</f>
        <v>74.399999999999991</v>
      </c>
      <c r="X370" s="544">
        <f>Q_IS!AT56</f>
        <v>127.7</v>
      </c>
      <c r="Y370" s="544">
        <f>Q_IS!AU56</f>
        <v>116.9</v>
      </c>
      <c r="Z370" s="544">
        <f>Q_IS!AV56</f>
        <v>87.699999999999989</v>
      </c>
      <c r="AA370" s="544">
        <f>Q_IS!AW56</f>
        <v>89.9</v>
      </c>
      <c r="AB370" s="544">
        <f>Q_IS!AX56</f>
        <v>152.60000000000002</v>
      </c>
      <c r="AC370" s="544">
        <f>Q_IS!AY56</f>
        <v>120.7</v>
      </c>
      <c r="AD370" s="544">
        <f>Q_IS!AZ56</f>
        <v>170.9</v>
      </c>
      <c r="AE370" s="544">
        <f>Q_IS!BA56</f>
        <v>177</v>
      </c>
      <c r="AF370" s="544">
        <f>Q_IS!BB56</f>
        <v>133.29999999999998</v>
      </c>
      <c r="AG370" s="544">
        <f>Q_IS!BC56</f>
        <v>157.4</v>
      </c>
      <c r="AH370" s="544">
        <f>Q_IS!BD56</f>
        <v>171.3</v>
      </c>
      <c r="AI370" s="544">
        <f>Q_IS!BE56</f>
        <v>132.80000000000001</v>
      </c>
      <c r="AJ370" s="544">
        <f>Q_IS!BF56</f>
        <v>155.10000000000002</v>
      </c>
      <c r="AK370" s="1454">
        <f>Q_IS!BG56</f>
        <v>254.3</v>
      </c>
      <c r="AL370" s="1454">
        <f>Q_IS!BH56</f>
        <v>132.69999999999999</v>
      </c>
      <c r="AM370" s="1454">
        <f>Q_IS!BI56</f>
        <v>212.79999999999998</v>
      </c>
      <c r="AN370" s="1454">
        <f>Q_IS!BJ56</f>
        <v>241.10000000000002</v>
      </c>
      <c r="AO370" s="1454">
        <f>Q_IS!BK56</f>
        <v>208.5</v>
      </c>
      <c r="AP370" s="1454">
        <f>Q_IS!BL56</f>
        <v>160</v>
      </c>
      <c r="AQ370" s="1454">
        <f>Q_IS!BM56</f>
        <v>188.20000000000002</v>
      </c>
      <c r="AR370" s="1454">
        <f>Q_IS!BN56</f>
        <v>171.39999999999998</v>
      </c>
      <c r="AS370" s="1454">
        <f>Q_IS!BO56</f>
        <v>178.89999999999998</v>
      </c>
      <c r="AT370" s="1460">
        <f>Q_IS!BP56</f>
        <v>145.20000000000002</v>
      </c>
      <c r="AU370" s="545">
        <f>Q_IS!BQ56</f>
        <v>233.3404706083341</v>
      </c>
      <c r="AV370" s="545">
        <f>Q_IS!BR56</f>
        <v>234.85114910228205</v>
      </c>
      <c r="AW370" s="545">
        <f>Q_IS!BS56</f>
        <v>266.16465862520289</v>
      </c>
      <c r="AX370" s="545">
        <f>Q_IS!BT56</f>
        <v>172.09992413121748</v>
      </c>
      <c r="AY370" s="545">
        <f>Q_IS!BU56</f>
        <v>248.7232777885456</v>
      </c>
      <c r="AZ370" s="545">
        <f>Q_IS!BV56</f>
        <v>250.33354670469126</v>
      </c>
      <c r="BA370" s="545">
        <f>Q_IS!BW56</f>
        <v>266.3836616474606</v>
      </c>
      <c r="BB370" s="545">
        <f>Q_IS!BX56</f>
        <v>176.37345958627355</v>
      </c>
      <c r="BC370" s="545">
        <f>Q_IS!BY56</f>
        <v>254.89950216222215</v>
      </c>
      <c r="BD370" s="545">
        <f>Q_IS!BZ56</f>
        <v>256.54975680956471</v>
      </c>
      <c r="BE370" s="545">
        <f>Q_IS!CA56</f>
        <v>272.99842355653675</v>
      </c>
      <c r="BF370" s="545">
        <f>Q_IS!CB56</f>
        <v>182.57639983309912</v>
      </c>
      <c r="BG370" s="545">
        <f>Q_IS!CC56</f>
        <v>263.86415242517415</v>
      </c>
      <c r="BH370" s="545">
        <f>Q_IS!CD56</f>
        <v>265.57244545875426</v>
      </c>
      <c r="BI370" s="545">
        <f>Q_IS!CE56</f>
        <v>282.59960115304727</v>
      </c>
      <c r="BJ370" s="545">
        <f>Q_IS!CF56</f>
        <v>186.79185610439504</v>
      </c>
      <c r="BK370" s="545">
        <f>Q_IS!CG56</f>
        <v>269.95643925483944</v>
      </c>
      <c r="BL370" s="545">
        <f>Q_IS!CH56</f>
        <v>271.70417459634211</v>
      </c>
      <c r="BM370" s="545">
        <f>Q_IS!CI56</f>
        <v>289.12446560450616</v>
      </c>
      <c r="BN370" s="545">
        <f>Q_IS!CJ56</f>
        <v>191.10489494784204</v>
      </c>
      <c r="BO370" s="545">
        <f>Q_IS!CK56</f>
        <v>276.18975495086221</v>
      </c>
      <c r="BP370" s="545">
        <f>Q_IS!CL56</f>
        <v>277.9778456406824</v>
      </c>
      <c r="BQ370" s="545">
        <f>Q_IS!CM56</f>
        <v>295.80037255649961</v>
      </c>
      <c r="BR370" s="545">
        <f>Q_IS!CN56</f>
        <v>195.51750607632206</v>
      </c>
      <c r="BS370" s="545">
        <f>Q_IS!CO56</f>
        <v>282.56697509794935</v>
      </c>
      <c r="BT370" s="545">
        <f>Q_IS!CP56</f>
        <v>284.39635279341525</v>
      </c>
      <c r="BU370" s="545">
        <f>Q_IS!CQ56</f>
        <v>302.63040177216976</v>
      </c>
      <c r="BV370" s="545">
        <f>Q_IS!CR56</f>
        <v>200.03200534254381</v>
      </c>
      <c r="BW370" s="545">
        <f>Q_IS!CS56</f>
        <v>289.0914466265512</v>
      </c>
      <c r="BX370" s="545">
        <f>Q_IS!CT56</f>
        <v>290.96306465348181</v>
      </c>
      <c r="BY370" s="545">
        <f>Q_IS!CU56</f>
        <v>309.6181378279046</v>
      </c>
    </row>
    <row r="371" spans="1:80">
      <c r="A371" s="410" t="s">
        <v>264</v>
      </c>
      <c r="B371" s="546">
        <f>Q_Financials!B68+Q_Financials!B77-Q_Financials!B48-Q_Financials!B49</f>
        <v>96.367999999999995</v>
      </c>
      <c r="C371" s="546">
        <f>Q_Financials!C68+Q_Financials!C77-Q_Financials!C48-Q_Financials!C49</f>
        <v>225.81699999999995</v>
      </c>
      <c r="D371" s="546">
        <f>Q_Financials!D68+Q_Financials!D77-Q_Financials!D48-Q_Financials!D49</f>
        <v>235.40500000000003</v>
      </c>
      <c r="E371" s="546">
        <f>Q_Financials!E68+Q_Financials!E77-Q_Financials!E48-Q_Financials!E49</f>
        <v>-44.161000000000001</v>
      </c>
      <c r="F371" s="546">
        <f>Q_Financials!F68+Q_Financials!F77-Q_Financials!F48-Q_Financials!F49</f>
        <v>127.94899999999998</v>
      </c>
      <c r="G371" s="546">
        <f>Q_Financials!G68+Q_Financials!G77-Q_Financials!G48-Q_Financials!G49</f>
        <v>290.43400000000008</v>
      </c>
      <c r="H371" s="546">
        <f>Q_Financials!H68+Q_Financials!H77-Q_Financials!H48-Q_Financials!H49</f>
        <v>421.30199999999996</v>
      </c>
      <c r="I371" s="546">
        <f>Q_Financials!I68+Q_Financials!I77-Q_Financials!I48-Q_Financials!I49</f>
        <v>518.80999999999995</v>
      </c>
      <c r="J371" s="546">
        <f>Q_Financials!J68+Q_Financials!J77-Q_Financials!J48-Q_Financials!J49</f>
        <v>690.44399999999996</v>
      </c>
      <c r="K371" s="546">
        <f>Q_Financials!K68+Q_Financials!K77-Q_Financials!K48-Q_Financials!K49</f>
        <v>854.36599999999999</v>
      </c>
      <c r="L371" s="546">
        <f>Q_Financials!L68+Q_Financials!L77-Q_Financials!L48-Q_Financials!L49</f>
        <v>1009.9390000000001</v>
      </c>
      <c r="M371" s="546">
        <f>Q_Financials!M68+Q_Financials!M77-Q_Financials!M48-Q_Financials!M49</f>
        <v>941.69699999999978</v>
      </c>
      <c r="N371" s="546">
        <f>Q_Financials!N68+Q_Financials!N77-Q_Financials!N48-Q_Financials!N49</f>
        <v>922.73700000000019</v>
      </c>
      <c r="O371" s="546">
        <f>Q_Financials!O68+Q_Financials!O77-Q_Financials!O48-Q_Financials!O49</f>
        <v>964.85299999999984</v>
      </c>
      <c r="P371" s="546">
        <f>Q_Financials!P68+Q_Financials!P77-Q_Financials!P48-Q_Financials!P49</f>
        <v>967.28700000000003</v>
      </c>
      <c r="Q371" s="546">
        <f>Q_Financials!Q68+Q_Financials!Q77-Q_Financials!Q48-Q_Financials!Q49</f>
        <v>766.101</v>
      </c>
      <c r="R371" s="546">
        <f>Q_Financials!R68+Q_Financials!R77-Q_Financials!R48-Q_Financials!R49</f>
        <v>806.5870000000001</v>
      </c>
      <c r="S371" s="546">
        <f>Q_Financials!S68+Q_Financials!S77-Q_Financials!S48-Q_Financials!S49</f>
        <v>926.88700000000006</v>
      </c>
      <c r="T371" s="546">
        <f>Q_Financials!T68+Q_Financials!T77-Q_Financials!T48-Q_Financials!T49</f>
        <v>630.25299999999993</v>
      </c>
      <c r="U371" s="546">
        <f>Q_Financials!U68+Q_Financials!U77-Q_Financials!U48-Q_Financials!U49</f>
        <v>515.38199999999995</v>
      </c>
      <c r="V371" s="546">
        <f>Q_Financials!V68+Q_Financials!V77-Q_Financials!V48-Q_Financials!V49</f>
        <v>496.50000000000006</v>
      </c>
      <c r="W371" s="546">
        <f>Q_Financials!W68+Q_Financials!W77-Q_Financials!W48-Q_Financials!W49</f>
        <v>666.2410000000001</v>
      </c>
      <c r="X371" s="546">
        <f>Q_Financials!X68+Q_Financials!X77-Q_Financials!X48-Q_Financials!X49</f>
        <v>835.10699999999997</v>
      </c>
      <c r="Y371" s="546">
        <f>Q_Financials!Y68+Q_Financials!Y77-Q_Financials!Y48-Q_Financials!Y49</f>
        <v>836.07099999999991</v>
      </c>
      <c r="Z371" s="546">
        <f>Q_Financials!Z68+Q_Financials!Z77-Q_Financials!Z48-Q_Financials!Z49</f>
        <v>1068.624</v>
      </c>
      <c r="AA371" s="546">
        <f>Q_Financials!AA68+Q_Financials!AA77-Q_Financials!AA48-Q_Financials!AA49</f>
        <v>1140.6680000000001</v>
      </c>
      <c r="AB371" s="546">
        <f>Q_Financials!AB68+Q_Financials!AB77-Q_Financials!AB48-Q_Financials!AB49</f>
        <v>1317.4490000000001</v>
      </c>
      <c r="AC371" s="546">
        <f>Q_Financials!AC68+Q_Financials!AC77-Q_Financials!AC48-Q_Financials!AC49</f>
        <v>1347.636</v>
      </c>
      <c r="AD371" s="546">
        <f>Q_Financials!AD68+Q_Financials!AD77-Q_Financials!AD48-Q_Financials!AD49</f>
        <v>1412.0720000000001</v>
      </c>
      <c r="AE371" s="546">
        <f>Q_Financials!AE68+Q_Financials!AE77-Q_Financials!AE48-Q_Financials!AE49</f>
        <v>1421.999</v>
      </c>
      <c r="AF371" s="546">
        <f>Q_Financials!AF68+Q_Financials!AF77-Q_Financials!AF48-Q_Financials!AF49</f>
        <v>1582.8720000000003</v>
      </c>
      <c r="AG371" s="546">
        <f>Q_Financials!AG68+Q_Financials!AG77-Q_Financials!AG48-Q_Financials!AG49</f>
        <v>1538.4810000000002</v>
      </c>
      <c r="AH371" s="546">
        <f>Q_Financials!AH68+Q_Financials!AH77-Q_Financials!AH48-Q_Financials!AH49</f>
        <v>1568.308</v>
      </c>
      <c r="AI371" s="546">
        <f>Q_Financials!AI68+Q_Financials!AI77-Q_Financials!AI48-Q_Financials!AI49</f>
        <v>2298.5300000000007</v>
      </c>
      <c r="AJ371" s="546">
        <f>Q_Financials!AJ68+Q_Financials!AJ77-Q_Financials!AJ48-Q_Financials!AJ49</f>
        <v>2592.9610000000002</v>
      </c>
      <c r="AK371" s="1453">
        <f>Q_Financials!AK68+Q_Financials!AK77-Q_Financials!AK48-Q_Financials!AK49</f>
        <v>2487.0840000000003</v>
      </c>
      <c r="AL371" s="1453">
        <f>Q_Financials!AL68+Q_Financials!AL77-Q_Financials!AL48-Q_Financials!AL49</f>
        <v>2589.9610000000002</v>
      </c>
      <c r="AM371" s="1453">
        <f>Q_Financials!AM68+Q_Financials!AM77-Q_Financials!AM48-Q_Financials!AM49</f>
        <v>3153.9750000000004</v>
      </c>
      <c r="AN371" s="1453">
        <f>Q_Financials!AN68+Q_Financials!AN77-Q_Financials!AN48-Q_Financials!AN49</f>
        <v>3191.7830000000004</v>
      </c>
      <c r="AO371" s="1453">
        <f>Q_Financials!AO68+Q_Financials!AO77-Q_Financials!AO48-Q_Financials!AO49</f>
        <v>2719.038</v>
      </c>
      <c r="AP371" s="1453">
        <f>Q_Financials!AP68+Q_Financials!AP77-Q_Financials!AP48-Q_Financials!AP49</f>
        <v>2686.4329999999995</v>
      </c>
      <c r="AQ371" s="1453">
        <f>Q_Financials!AQ68+Q_Financials!AQ77-Q_Financials!AQ48-Q_Financials!AQ49</f>
        <v>2782.6009999999997</v>
      </c>
      <c r="AR371" s="1453">
        <f>Q_Financials!AR68+Q_Financials!AR77-Q_Financials!AR48-Q_Financials!AR49</f>
        <v>2844.6378000000004</v>
      </c>
      <c r="AS371" s="1453">
        <f>Q_Financials!AS68+Q_Financials!AS77-Q_Financials!AS48-Q_Financials!AS49</f>
        <v>2547.1280000000002</v>
      </c>
      <c r="AT371" s="647">
        <f>Q_Financials!AT68+Q_Financials!AT77-Q_Financials!AT48-Q_Financials!AT49</f>
        <v>2647.8519999999999</v>
      </c>
      <c r="AU371" s="547">
        <f>Q_Financials!AU68+Q_Financials!AU77-Q_Financials!AU48-Q_Financials!AU49</f>
        <v>2843.4531265112987</v>
      </c>
      <c r="AV371" s="547">
        <f>Q_Financials!AV68+Q_Financials!AV77-Q_Financials!AV48-Q_Financials!AV49</f>
        <v>2636.2073437853169</v>
      </c>
      <c r="AW371" s="547">
        <f>Q_Financials!AW68+Q_Financials!AW77-Q_Financials!AW48-Q_Financials!AW49</f>
        <v>2250.5675568724828</v>
      </c>
      <c r="AX371" s="547">
        <f>Q_Financials!AX68+Q_Financials!AX77-Q_Financials!AX48-Q_Financials!AX49</f>
        <v>2369.1824195441268</v>
      </c>
      <c r="AY371" s="547">
        <f>Q_Financials!AY68+Q_Financials!AY77-Q_Financials!AY48-Q_Financials!AY49</f>
        <v>2375.9078718358551</v>
      </c>
      <c r="AZ371" s="547">
        <f>Q_Financials!AZ68+Q_Financials!AZ77-Q_Financials!AZ48-Q_Financials!AZ49</f>
        <v>2167.5912970633844</v>
      </c>
      <c r="BA371" s="547">
        <f>Q_Financials!BA68+Q_Financials!BA77-Q_Financials!BA48-Q_Financials!BA49</f>
        <v>1993.232980283138</v>
      </c>
      <c r="BB371" s="547">
        <f>Q_Financials!BB68+Q_Financials!BB77-Q_Financials!BB48-Q_Financials!BB49</f>
        <v>2134.5248867901746</v>
      </c>
      <c r="BC371" s="547">
        <f>Q_Financials!BC68+Q_Financials!BC77-Q_Financials!BC48-Q_Financials!BC49</f>
        <v>2134.2441295589169</v>
      </c>
      <c r="BD371" s="547">
        <f>Q_Financials!BD68+Q_Financials!BD77-Q_Financials!BD48-Q_Financials!BD49</f>
        <v>1944.3893367580413</v>
      </c>
      <c r="BE371" s="547">
        <f>Q_Financials!BE68+Q_Financials!BE77-Q_Financials!BE48-Q_Financials!BE49</f>
        <v>1926.497390875357</v>
      </c>
      <c r="BF371" s="547">
        <f>Q_Financials!BF68+Q_Financials!BF77-Q_Financials!BF48-Q_Financials!BF49</f>
        <v>2046.386234812805</v>
      </c>
      <c r="BG371" s="547">
        <f>Q_Financials!BG68+Q_Financials!BG77-Q_Financials!BG48-Q_Financials!BG49</f>
        <v>2004.7858636882095</v>
      </c>
      <c r="BH371" s="547">
        <f>Q_Financials!BH68+Q_Financials!BH77-Q_Financials!BH48-Q_Financials!BH49</f>
        <v>1752.2556551908165</v>
      </c>
      <c r="BI371" s="547">
        <f>Q_Financials!BI68+Q_Financials!BI77-Q_Financials!BI48-Q_Financials!BI49</f>
        <v>1786.2434320649077</v>
      </c>
      <c r="BJ371" s="547">
        <f>Q_Financials!BJ68+Q_Financials!BJ77-Q_Financials!BJ48-Q_Financials!BJ49</f>
        <v>1939.5569137494167</v>
      </c>
      <c r="BK371" s="547">
        <f>Q_Financials!BK68+Q_Financials!BK77-Q_Financials!BK48-Q_Financials!BK49</f>
        <v>1871.4521040345576</v>
      </c>
      <c r="BL371" s="547">
        <f>Q_Financials!BL68+Q_Financials!BL77-Q_Financials!BL48-Q_Financials!BL49</f>
        <v>1593.5130179768532</v>
      </c>
      <c r="BM371" s="547">
        <f>Q_Financials!BM68+Q_Financials!BM77-Q_Financials!BM48-Q_Financials!BM49</f>
        <v>1592.7946640695084</v>
      </c>
      <c r="BN371" s="547">
        <f>Q_Financials!BN68+Q_Financials!BN77-Q_Financials!BN48-Q_Financials!BN49</f>
        <v>1855.9996919064449</v>
      </c>
      <c r="BO371" s="547">
        <f>Q_Financials!BO68+Q_Financials!BO77-Q_Financials!BO48-Q_Financials!BO49</f>
        <v>1804.2276555807041</v>
      </c>
      <c r="BP371" s="547">
        <f>Q_Financials!BP68+Q_Financials!BP77-Q_Financials!BP48-Q_Financials!BP49</f>
        <v>1552.4939435412073</v>
      </c>
      <c r="BQ371" s="547">
        <f>Q_Financials!BQ68+Q_Financials!BQ77-Q_Financials!BQ48-Q_Financials!BQ49</f>
        <v>1656.5375721915777</v>
      </c>
      <c r="BR371" s="547">
        <f>Q_Financials!BR68+Q_Financials!BR77-Q_Financials!BR48-Q_Financials!BR49</f>
        <v>2098.7239230379173</v>
      </c>
      <c r="BS371" s="547">
        <f>Q_Financials!BS68+Q_Financials!BS77-Q_Financials!BS48-Q_Financials!BS49</f>
        <v>2121.0172079517424</v>
      </c>
      <c r="BT371" s="547">
        <f>Q_Financials!BT68+Q_Financials!BT77-Q_Financials!BT48-Q_Financials!BT49</f>
        <v>1925.0661192273344</v>
      </c>
      <c r="BU371" s="547">
        <f>Q_Financials!BU68+Q_Financials!BU77-Q_Financials!BU48-Q_Financials!BU49</f>
        <v>1911.231734258243</v>
      </c>
      <c r="BV371" s="547">
        <f>Q_Financials!BV68+Q_Financials!BV77-Q_Financials!BV48-Q_Financials!BV49</f>
        <v>2326.0813730953469</v>
      </c>
      <c r="BW371" s="547">
        <f>Q_Financials!BW68+Q_Financials!BW77-Q_Financials!BW48-Q_Financials!BW49</f>
        <v>2254.9908569525087</v>
      </c>
      <c r="BX371" s="547">
        <f>Q_Financials!BX68+Q_Financials!BX77-Q_Financials!BX48-Q_Financials!BX49</f>
        <v>2043.7022683235134</v>
      </c>
      <c r="BY371" s="547">
        <f>Q_Financials!BY68+Q_Financials!BY77-Q_Financials!BY48-Q_Financials!BY49</f>
        <v>2186.9524256318423</v>
      </c>
    </row>
    <row r="372" spans="1:80">
      <c r="A372" s="410" t="s">
        <v>1148</v>
      </c>
      <c r="B372" s="871"/>
      <c r="C372" s="871"/>
      <c r="D372" s="871"/>
      <c r="E372" s="871">
        <f ca="1">E371/(Q_Financials!B22+Q_Financials!C22+Q_Financials!D22+Q_Financials!E22)</f>
        <v>-0.23435791842236539</v>
      </c>
      <c r="F372" s="871">
        <f>F371/(Q_Financials!C22+Q_Financials!D22+Q_Financials!E22+Q_Financials!F22)</f>
        <v>0.58242028358786435</v>
      </c>
      <c r="G372" s="871">
        <f>G371/(Q_Financials!D22+Q_Financials!E22+Q_Financials!F22+Q_Financials!G22)</f>
        <v>1.8613388021918165</v>
      </c>
      <c r="H372" s="871">
        <f>H371/(Q_Financials!E22+Q_Financials!F22+Q_Financials!G22+Q_Financials!H22)</f>
        <v>3.1397568991601021</v>
      </c>
      <c r="I372" s="871">
        <f>I371/(Q_Financials!F22+Q_Financials!G22+Q_Financials!H22+Q_Financials!I22)</f>
        <v>3.912387732171001</v>
      </c>
      <c r="J372" s="871">
        <f>J371/(Q_Financials!G22+Q_Financials!H22+Q_Financials!I22+Q_Financials!J22)</f>
        <v>6.0175180191565207</v>
      </c>
      <c r="K372" s="871">
        <f>K371/(Q_Financials!H22+Q_Financials!I22+Q_Financials!J22+Q_Financials!K22)</f>
        <v>6.7846671854898917</v>
      </c>
      <c r="L372" s="871">
        <f>L371/(Q_Financials!I22+Q_Financials!J22+Q_Financials!K22+Q_Financials!L22)</f>
        <v>6.0296665572106631</v>
      </c>
      <c r="M372" s="871">
        <f>M371/(Q_Financials!J22+Q_Financials!K22+Q_Financials!L22+Q_Financials!M22)</f>
        <v>4.9617317905918048</v>
      </c>
      <c r="N372" s="871">
        <f>N371/(Q_Financials!K22+Q_Financials!L22+Q_Financials!M22+Q_Financials!N22)</f>
        <v>4.1827754709796752</v>
      </c>
      <c r="O372" s="871">
        <f>O371/(Q_Financials!L22+Q_Financials!M22+Q_Financials!N22+Q_Financials!O22)</f>
        <v>3.6807905940518513</v>
      </c>
      <c r="P372" s="871">
        <f>P371/(Q_Financials!M22+Q_Financials!N22+Q_Financials!O22+Q_Financials!P22)</f>
        <v>3.0179902467028805</v>
      </c>
      <c r="Q372" s="871">
        <f>Q371/(Q_Financials!N22+Q_Financials!O22+Q_Financials!P22+Q_Financials!Q22)</f>
        <v>1.6935161912846257</v>
      </c>
      <c r="R372" s="871">
        <f>R371/(Q_Financials!O22+Q_Financials!P22+Q_Financials!Q22+Q_Financials!R22)</f>
        <v>1.472766347495198</v>
      </c>
      <c r="S372" s="871">
        <f>S371/(Q_Financials!P22+Q_Financials!Q22+Q_Financials!R22+Q_Financials!S22)</f>
        <v>1.4899779932195325</v>
      </c>
      <c r="T372" s="871">
        <f>T371/(Q_Financials!Q22+Q_Financials!R22+Q_Financials!S22+Q_Financials!T22)</f>
        <v>0.91233121410042606</v>
      </c>
      <c r="U372" s="871">
        <f>U371/(Q_Financials!R22+Q_Financials!S22+Q_Financials!T22+Q_Financials!U22)</f>
        <v>0.84132736515274686</v>
      </c>
      <c r="V372" s="871">
        <f>V371/(Q_Financials!S22+Q_Financials!T22+Q_Financials!U22+Q_Financials!V22)</f>
        <v>0.80056628172838495</v>
      </c>
      <c r="W372" s="871">
        <f>W371/(Q_Financials!T22+Q_Financials!U22+Q_Financials!V22+Q_Financials!W22)</f>
        <v>1.0536019837241006</v>
      </c>
      <c r="X372" s="871">
        <f>X371/(Q_Financials!U22+Q_Financials!V22+Q_Financials!W22+Q_Financials!X22)</f>
        <v>1.4034539028665443</v>
      </c>
      <c r="Y372" s="871">
        <f>Y371/(Q_Financials!V22+Q_Financials!W22+Q_Financials!X22+Q_Financials!Y22)</f>
        <v>1.5685575936317466</v>
      </c>
      <c r="Z372" s="871">
        <f>Z371/(Q_Financials!W22+Q_Financials!X22+Q_Financials!Y22+Q_Financials!Z22)</f>
        <v>2.1632020987811766</v>
      </c>
      <c r="AA372" s="871">
        <f>AA371/(Q_Financials!X22+Q_Financials!Y22+Q_Financials!Z22+Q_Financials!AA22)</f>
        <v>2.0039951018715843</v>
      </c>
      <c r="AB372" s="871">
        <f>AB371/(Q_Financials!Y22+Q_Financials!Z22+Q_Financials!AA22+Q_Financials!AB22)</f>
        <v>2.287086963012857</v>
      </c>
      <c r="AC372" s="871">
        <f>AC371/(Q_Financials!Z22+Q_Financials!AA22+Q_Financials!AB22+Q_Financials!AC22)</f>
        <v>2.0674939899144094</v>
      </c>
      <c r="AD372" s="871">
        <f>AD371/(Q_Financials!AA22+Q_Financials!AB22+Q_Financials!AC22+Q_Financials!AD22)</f>
        <v>1.869343274414073</v>
      </c>
      <c r="AE372" s="871">
        <f>AE371/(Q_Financials!AB22+Q_Financials!AC22+Q_Financials!AD22+Q_Financials!AE22)</f>
        <v>1.8814936052988824</v>
      </c>
      <c r="AF372" s="871">
        <f>AF371/(Q_Financials!AC22+Q_Financials!AD22+Q_Financials!AE22+Q_Financials!AF22)</f>
        <v>2.074118723088656</v>
      </c>
      <c r="AG372" s="871">
        <f>AG371/(Q_Financials!AD22+Q_Financials!AE22+Q_Financials!AF22+Q_Financials!AG22)</f>
        <v>2.0078317498433917</v>
      </c>
      <c r="AH372" s="871">
        <f>AH371/(Q_Financials!AE22+Q_Financials!AF22+Q_Financials!AG22+Q_Financials!AH22)</f>
        <v>2.0064146603262087</v>
      </c>
      <c r="AI372" s="871">
        <f>AI371/(Q_Financials!AF22+Q_Financials!AG22+Q_Financials!AH22+Q_Financials!AI22)</f>
        <v>2.8735360596877602</v>
      </c>
      <c r="AJ372" s="871">
        <f>AJ371/(Q_Financials!AG22+Q_Financials!AH22+Q_Financials!AI22+Q_Financials!AJ22)</f>
        <v>2.8210330597843885</v>
      </c>
      <c r="AK372" s="1455">
        <f>AK371/(Q_Financials!AH22+Q_Financials!AI22+Q_Financials!AJ22+Q_Financials!AK22)</f>
        <v>2.2785405739676148</v>
      </c>
      <c r="AL372" s="1455">
        <f>AL371/(Q_Financials!AI22+Q_Financials!AJ22+Q_Financials!AK22+Q_Financials!AL22)</f>
        <v>2.3770203830272685</v>
      </c>
      <c r="AM372" s="1455">
        <f>AM371/(Q_Financials!AJ22+Q_Financials!AK22+Q_Financials!AL22+Q_Financials!AM22)</f>
        <v>2.7388525905547918</v>
      </c>
      <c r="AN372" s="1455">
        <f>AN371/(Q_Financials!AK22+Q_Financials!AL22+Q_Financials!AM22+Q_Financials!AN22)</f>
        <v>2.501801231233256</v>
      </c>
      <c r="AO372" s="1455">
        <f>AO371/(Q_Financials!AL22+Q_Financials!AM22+Q_Financials!AN22+Q_Financials!AO22)</f>
        <v>2.0880132512883836</v>
      </c>
      <c r="AP372" s="1455">
        <f>AP371/(Q_Financials!AM22+Q_Financials!AN22+Q_Financials!AO22+Q_Financials!AP22)</f>
        <v>1.9041048605677084</v>
      </c>
      <c r="AQ372" s="1455">
        <f>AQ371/(Q_Financials!AN22+Q_Financials!AO22+Q_Financials!AP22+Q_Financials!AQ22)</f>
        <v>1.9050233968774495</v>
      </c>
      <c r="AR372" s="1455">
        <f>AR371/(Q_Financials!AO22+Q_Financials!AP22+Q_Financials!AQ22+Q_Financials!AR22)</f>
        <v>2.045922091148265</v>
      </c>
      <c r="AS372" s="1455">
        <f>AS371/(Q_Financials!AP22+Q_Financials!AQ22+Q_Financials!AR22+Q_Financials!AS22)</f>
        <v>1.7626109967005472</v>
      </c>
      <c r="AT372" s="1153">
        <f>AT371/(Q_Financials!AQ22+Q_Financials!AR22+Q_Financials!AS22+Q_Financials!AT22)</f>
        <v>1.6688076245073811</v>
      </c>
      <c r="AU372" s="992">
        <f>AU371/Q_Financials!AU22</f>
        <v>6.6649424408535571</v>
      </c>
      <c r="AV372" s="992">
        <f>AV371/Q_Financials!AV22</f>
        <v>6.4147524278804564</v>
      </c>
      <c r="AW372" s="992">
        <f>AW371/Q_Financials!AW22</f>
        <v>5.0372875108653759</v>
      </c>
      <c r="AX372" s="992">
        <f>AX371/Q_Financials!AX22</f>
        <v>3.442303055644039</v>
      </c>
      <c r="AY372" s="992">
        <f>AY371/Q_Financials!AY22</f>
        <v>5.2451918605391192</v>
      </c>
      <c r="AZ372" s="992">
        <f>AZ371/Q_Financials!AZ22</f>
        <v>4.948440975939584</v>
      </c>
      <c r="BA372" s="992">
        <f>BA371/Q_Financials!BA22</f>
        <v>9.8879538997121266</v>
      </c>
      <c r="BB372" s="992">
        <f>BB371/Q_Financials!BB22</f>
        <v>2.8826431170815252</v>
      </c>
      <c r="BC372" s="992">
        <f>BC371/Q_Financials!BC22</f>
        <v>4.283576538100883</v>
      </c>
      <c r="BD372" s="992">
        <f>BD371/Q_Financials!BD22</f>
        <v>4.0168250385748223</v>
      </c>
      <c r="BE372" s="992">
        <f>BE371/Q_Financials!BE22</f>
        <v>8.3432142871661057</v>
      </c>
      <c r="BF372" s="992">
        <f>BF371/Q_Financials!BF22</f>
        <v>2.1664023759682229</v>
      </c>
      <c r="BG372" s="992">
        <f>BG371/Q_Financials!BG22</f>
        <v>3.4461871450677788</v>
      </c>
      <c r="BH372" s="992">
        <f>BH371/Q_Financials!BH22</f>
        <v>3.1760541418524864</v>
      </c>
      <c r="BI372" s="992">
        <f>BI371/Q_Financials!BI22</f>
        <v>8.0727076406787042</v>
      </c>
      <c r="BJ372" s="992">
        <f>BJ371/Q_Financials!BJ22</f>
        <v>1.8814045406205488</v>
      </c>
      <c r="BK372" s="992">
        <f>BK371/Q_Financials!BK22</f>
        <v>3.00875641987898</v>
      </c>
      <c r="BL372" s="992">
        <f>BL371/Q_Financials!BL22</f>
        <v>2.7259207274774537</v>
      </c>
      <c r="BM372" s="992">
        <f>BM371/Q_Financials!BM22</f>
        <v>7.2004172489563087</v>
      </c>
      <c r="BN372" s="992">
        <f>BN371/Q_Financials!BN22</f>
        <v>2.2301493531011376</v>
      </c>
      <c r="BO372" s="992">
        <f>BO371/Q_Financials!BO22</f>
        <v>3.1493873197066464</v>
      </c>
      <c r="BP372" s="992">
        <f>BP371/Q_Financials!BP22</f>
        <v>2.8021636343681728</v>
      </c>
      <c r="BQ372" s="992">
        <f>BQ371/Q_Financials!BQ22</f>
        <v>6.1751841143525512</v>
      </c>
      <c r="BR372" s="992">
        <f>BR371/Q_Financials!BR22</f>
        <v>3.015682807376777</v>
      </c>
      <c r="BS372" s="992">
        <f>BS371/Q_Financials!BS22</f>
        <v>3.8899189158877467</v>
      </c>
      <c r="BT372" s="992">
        <f>BT371/Q_Financials!BT22</f>
        <v>3.5608322639596195</v>
      </c>
      <c r="BU372" s="992">
        <f>BU371/Q_Financials!BU22</f>
        <v>6.1855443000427988</v>
      </c>
      <c r="BV372" s="992">
        <f>BV371/Q_Financials!BV22</f>
        <v>2.4884633342930504</v>
      </c>
      <c r="BW372" s="992">
        <f>BW371/Q_Financials!BW22</f>
        <v>3.3086330533822959</v>
      </c>
      <c r="BX372" s="992">
        <f>BX371/Q_Financials!BX22</f>
        <v>3.0269733367526674</v>
      </c>
      <c r="BY372" s="992">
        <f>BY371/Q_Financials!BY22</f>
        <v>6.0274756330721839</v>
      </c>
    </row>
    <row r="373" spans="1:80">
      <c r="A373" s="410" t="s">
        <v>417</v>
      </c>
      <c r="B373" s="548">
        <f>Q_Financials!B100</f>
        <v>0</v>
      </c>
      <c r="C373" s="548">
        <f>Q_Financials!C100</f>
        <v>-42.992000000000004</v>
      </c>
      <c r="D373" s="548">
        <f>Q_Financials!D100</f>
        <v>-75.276999999999987</v>
      </c>
      <c r="E373" s="548">
        <f>Q_Financials!E100</f>
        <v>-121.453</v>
      </c>
      <c r="F373" s="548">
        <f>Q_Financials!F100</f>
        <v>-93.748999999999995</v>
      </c>
      <c r="G373" s="548">
        <f>Q_Financials!G100</f>
        <v>-113.01700000000001</v>
      </c>
      <c r="H373" s="548">
        <f>Q_Financials!H100</f>
        <v>-139.9</v>
      </c>
      <c r="I373" s="548">
        <f>Q_Financials!I100</f>
        <v>-172.52</v>
      </c>
      <c r="J373" s="548">
        <f>Q_Financials!J100</f>
        <v>-151.71299999999997</v>
      </c>
      <c r="K373" s="548">
        <f>Q_Financials!K100</f>
        <v>-87.160000000000011</v>
      </c>
      <c r="L373" s="548">
        <f>Q_Financials!L100</f>
        <v>-83.323000000000008</v>
      </c>
      <c r="M373" s="548">
        <f>Q_Financials!M100</f>
        <v>-135.095</v>
      </c>
      <c r="N373" s="548">
        <f>Q_Financials!N100</f>
        <v>-74.799000000000007</v>
      </c>
      <c r="O373" s="548">
        <f>Q_Financials!O100</f>
        <v>-52.16</v>
      </c>
      <c r="P373" s="548">
        <f>Q_Financials!P100</f>
        <v>-52.641000000000005</v>
      </c>
      <c r="Q373" s="548">
        <f>Q_Financials!Q100</f>
        <v>-154.74600000000001</v>
      </c>
      <c r="R373" s="548">
        <f>Q_Financials!R100</f>
        <v>-69.563000000000002</v>
      </c>
      <c r="S373" s="548">
        <f>Q_Financials!S100</f>
        <v>-103.648</v>
      </c>
      <c r="T373" s="548">
        <f>Q_Financials!T100</f>
        <v>-134.62100000000001</v>
      </c>
      <c r="U373" s="548">
        <f>Q_Financials!U100</f>
        <v>-146.33700000000002</v>
      </c>
      <c r="V373" s="548">
        <f>Q_Financials!V100</f>
        <v>-109.69799999999999</v>
      </c>
      <c r="W373" s="548">
        <f>Q_Financials!W100</f>
        <v>-129.71499999999997</v>
      </c>
      <c r="X373" s="548">
        <f>Q_Financials!X100</f>
        <v>-177.05700000000002</v>
      </c>
      <c r="Y373" s="548">
        <f>Q_Financials!Y100</f>
        <v>-214.596</v>
      </c>
      <c r="Z373" s="548">
        <f>Q_Financials!Z100</f>
        <v>-131.75899999999999</v>
      </c>
      <c r="AA373" s="548">
        <f>Q_Financials!AA100</f>
        <v>-149.20999999999998</v>
      </c>
      <c r="AB373" s="548">
        <f>Q_Financials!AB100</f>
        <v>-137.535</v>
      </c>
      <c r="AC373" s="548">
        <f>Q_Financials!AC100</f>
        <v>-261.33699999999999</v>
      </c>
      <c r="AD373" s="548">
        <f>Q_Financials!AD100</f>
        <v>-115.41600000000001</v>
      </c>
      <c r="AE373" s="548">
        <f>Q_Financials!AE100</f>
        <v>-119.69299999999998</v>
      </c>
      <c r="AF373" s="548">
        <f>Q_Financials!AF100</f>
        <v>-166.929</v>
      </c>
      <c r="AG373" s="548">
        <f>Q_Financials!AG100</f>
        <v>-256.40600000000001</v>
      </c>
      <c r="AH373" s="548">
        <f>Q_Financials!AH100</f>
        <v>-119.184</v>
      </c>
      <c r="AI373" s="548">
        <f>Q_Financials!AI100</f>
        <v>-148.571</v>
      </c>
      <c r="AJ373" s="548">
        <f>Q_Financials!AJ100</f>
        <v>-220.72200000000001</v>
      </c>
      <c r="AK373" s="1456">
        <f>Q_Financials!AK100</f>
        <v>-323.55199999999996</v>
      </c>
      <c r="AL373" s="1456">
        <f>Q_Financials!AL100</f>
        <v>-159.81200000000001</v>
      </c>
      <c r="AM373" s="1456">
        <f>Q_Financials!AM100</f>
        <v>-152.73999999999998</v>
      </c>
      <c r="AN373" s="1456">
        <f>Q_Financials!AN100</f>
        <v>-209.554</v>
      </c>
      <c r="AO373" s="1456">
        <f>Q_Financials!AO100</f>
        <v>-318.70800000000003</v>
      </c>
      <c r="AP373" s="1456">
        <f>Q_Financials!AP100</f>
        <v>-163.64099999999999</v>
      </c>
      <c r="AQ373" s="1456">
        <f>Q_Financials!AQ100</f>
        <v>-186.20699999999999</v>
      </c>
      <c r="AR373" s="1456">
        <f>Q_Financials!AR100</f>
        <v>-280.96600000000001</v>
      </c>
      <c r="AS373" s="1456">
        <f>Q_Financials!AS100</f>
        <v>-346.166</v>
      </c>
      <c r="AT373" s="975">
        <f>Q_Financials!AT100</f>
        <v>-114.48599999999999</v>
      </c>
      <c r="AU373" s="549">
        <f>Q_Financials!AU100</f>
        <v>-193.58474608833956</v>
      </c>
      <c r="AV373" s="549">
        <f>Q_Financials!AV100</f>
        <v>-282.47687633002806</v>
      </c>
      <c r="AW373" s="549">
        <f>Q_Financials!AW100</f>
        <v>-400.36466105548925</v>
      </c>
      <c r="AX373" s="549">
        <f>Q_Financials!AX100</f>
        <v>-177.47935249388831</v>
      </c>
      <c r="AY373" s="549">
        <f>Q_Financials!AY100</f>
        <v>-203.93050977841628</v>
      </c>
      <c r="AZ373" s="549">
        <f>Q_Financials!AZ100</f>
        <v>-295.92471457386694</v>
      </c>
      <c r="BA373" s="549">
        <f>Q_Financials!BA100</f>
        <v>-344.91138175397668</v>
      </c>
      <c r="BB373" s="549">
        <f>Q_Financials!BB100</f>
        <v>-205.76259737431059</v>
      </c>
      <c r="BC373" s="549">
        <f>Q_Financials!BC100</f>
        <v>-251.41586761689783</v>
      </c>
      <c r="BD373" s="549">
        <f>Q_Financials!BD100</f>
        <v>-370.69562550398621</v>
      </c>
      <c r="BE373" s="549">
        <f>Q_Financials!BE100</f>
        <v>-395.93175468381037</v>
      </c>
      <c r="BF373" s="549">
        <f>Q_Financials!BF100</f>
        <v>-220.38401237963541</v>
      </c>
      <c r="BG373" s="549">
        <f>Q_Financials!BG100</f>
        <v>-276.8178962447052</v>
      </c>
      <c r="BH373" s="549">
        <f>Q_Financials!BH100</f>
        <v>-404.63013954020835</v>
      </c>
      <c r="BI373" s="549">
        <f>Q_Financials!BI100</f>
        <v>-481.5877729266092</v>
      </c>
      <c r="BJ373" s="549">
        <f>Q_Financials!BJ100</f>
        <v>-245.80571013967295</v>
      </c>
      <c r="BK373" s="549">
        <f>Q_Financials!BK100</f>
        <v>-296.81243016937066</v>
      </c>
      <c r="BL373" s="549">
        <f>Q_Financials!BL100</f>
        <v>-434.09899880897109</v>
      </c>
      <c r="BM373" s="549">
        <f>Q_Financials!BM100</f>
        <v>-495.01404915700414</v>
      </c>
      <c r="BN373" s="549">
        <f>Q_Financials!BN100</f>
        <v>-233.54898285001258</v>
      </c>
      <c r="BO373" s="549">
        <f>Q_Financials!BO100</f>
        <v>-286.8072249206931</v>
      </c>
      <c r="BP373" s="549">
        <f>Q_Financials!BP100</f>
        <v>-420.54311792349449</v>
      </c>
      <c r="BQ373" s="549">
        <f>Q_Financials!BQ100</f>
        <v>-476.10854773156052</v>
      </c>
      <c r="BR373" s="549">
        <f>Q_Financials!BR100</f>
        <v>-227.99706044605244</v>
      </c>
      <c r="BS373" s="549">
        <f>Q_Financials!BS100</f>
        <v>-280.47045850351992</v>
      </c>
      <c r="BT373" s="549">
        <f>Q_Financials!BT100</f>
        <v>-410.4752542152591</v>
      </c>
      <c r="BU373" s="549">
        <f>Q_Financials!BU100</f>
        <v>-473.71677059005151</v>
      </c>
      <c r="BV373" s="549">
        <f>Q_Financials!BV100</f>
        <v>-254.07070832140755</v>
      </c>
      <c r="BW373" s="549">
        <f>Q_Financials!BW100</f>
        <v>-310.42780542694277</v>
      </c>
      <c r="BX373" s="549">
        <f>Q_Financials!BX100</f>
        <v>-454.50366993506088</v>
      </c>
      <c r="BY373" s="549">
        <f>Q_Financials!BY100</f>
        <v>-519.11156640951913</v>
      </c>
    </row>
    <row r="374" spans="1:80">
      <c r="A374" s="410" t="s">
        <v>389</v>
      </c>
      <c r="B374" s="158"/>
      <c r="C374" s="158">
        <f>Q_Financials!C37/Q_Financials!B89*4</f>
        <v>0.3311983882870701</v>
      </c>
      <c r="D374" s="158">
        <f>Q_Financials!D37/Q_Financials!C89*4</f>
        <v>6.3829093148148885E-2</v>
      </c>
      <c r="E374" s="158">
        <f>Q_Financials!E37/Q_Financials!D89*4</f>
        <v>-2.4731821810825656E-3</v>
      </c>
      <c r="F374" s="158">
        <f>Q_Financials!F37/Q_Financials!E89*4</f>
        <v>-2.7740684902002943E-2</v>
      </c>
      <c r="G374" s="158">
        <f>Q_Financials!G37/Q_Financials!F89*4</f>
        <v>-7.7396780712934155E-2</v>
      </c>
      <c r="H374" s="158">
        <f>Q_Financials!H37/Q_Financials!G89*4</f>
        <v>-1.4185381101669073E-2</v>
      </c>
      <c r="I374" s="158">
        <f>Q_Financials!I37/Q_Financials!H89*4</f>
        <v>1.762971556364854E-3</v>
      </c>
      <c r="J374" s="158">
        <f>Q_Financials!J37/Q_Financials!I89*4</f>
        <v>-6.458280627435628E-2</v>
      </c>
      <c r="K374" s="158">
        <f>Q_Financials!K37/Q_Financials!J89*4</f>
        <v>-0.10458392775160458</v>
      </c>
      <c r="L374" s="158">
        <f>Q_Financials!L37/Q_Financials!K89*4</f>
        <v>-9.1933999474099359E-2</v>
      </c>
      <c r="M374" s="158">
        <f>Q_Financials!M37/Q_Financials!L89*4</f>
        <v>8.5995622922914738E-2</v>
      </c>
      <c r="N374" s="158">
        <f>Q_Financials!N37/Q_Financials!M89*4</f>
        <v>7.3405235268387922E-2</v>
      </c>
      <c r="O374" s="158">
        <f>Q_Financials!O37/Q_Financials!N89*4</f>
        <v>5.0492859583020612E-2</v>
      </c>
      <c r="P374" s="158">
        <f>Q_Financials!P37/Q_Financials!O89*4</f>
        <v>5.6982547555740469E-2</v>
      </c>
      <c r="Q374" s="158">
        <f>Q_Financials!Q37/Q_Financials!P89*4</f>
        <v>6.328640745412531E-2</v>
      </c>
      <c r="R374" s="158">
        <f>Q_Financials!R37/Q_Financials!Q89*4</f>
        <v>3.9954100548289906E-2</v>
      </c>
      <c r="S374" s="158">
        <f>Q_Financials!S37/Q_Financials!R89*4</f>
        <v>9.751640394806195E-2</v>
      </c>
      <c r="T374" s="158">
        <f>Q_Financials!T37/Q_Financials!S89*4</f>
        <v>0.16329998886564345</v>
      </c>
      <c r="U374" s="158">
        <f>Q_Financials!U37/Q_Financials!T89*4</f>
        <v>2.7949040884119449E-2</v>
      </c>
      <c r="V374" s="158">
        <f>Q_Financials!V37/Q_Financials!U89*4</f>
        <v>7.7738291596405565E-2</v>
      </c>
      <c r="W374" s="158">
        <f>Q_Financials!W37/Q_Financials!V89*4</f>
        <v>9.710299198207456E-2</v>
      </c>
      <c r="X374" s="158">
        <f>Q_Financials!X37/Q_Financials!W89*4</f>
        <v>0.11151832513375221</v>
      </c>
      <c r="Y374" s="158">
        <f>Q_Financials!Y37/Q_Financials!X89*4</f>
        <v>-3.0098906687749095E-2</v>
      </c>
      <c r="Z374" s="158">
        <f>Q_Financials!Z37/Q_Financials!Y89*4</f>
        <v>4.6977850476890414E-3</v>
      </c>
      <c r="AA374" s="158">
        <f>Q_Financials!AA37/Q_Financials!Z89*4</f>
        <v>0.10163400352740785</v>
      </c>
      <c r="AB374" s="158">
        <f>Q_Financials!AB37/Q_Financials!AA89*4</f>
        <v>1.4370548828166317E-2</v>
      </c>
      <c r="AC374" s="158">
        <f>Q_Financials!AC37/Q_Financials!AB89*4</f>
        <v>2.4691298202326472E-2</v>
      </c>
      <c r="AD374" s="158">
        <f>Q_Financials!AD37/Q_Financials!AC89*4</f>
        <v>6.6131046259265719E-2</v>
      </c>
      <c r="AE374" s="158">
        <f>Q_Financials!AE37/Q_Financials!AD89*4</f>
        <v>0.11946644586489663</v>
      </c>
      <c r="AF374" s="158">
        <f>Q_Financials!AF37/Q_Financials!AE89*4</f>
        <v>6.3520667392945762E-2</v>
      </c>
      <c r="AG374" s="158">
        <f>Q_Financials!AG37/Q_Financials!AF89*4</f>
        <v>1.2366526690333205E-2</v>
      </c>
      <c r="AH374" s="158">
        <f>Q_Financials!AH37/Q_Financials!AG89*4</f>
        <v>0.11700848574533519</v>
      </c>
      <c r="AI374" s="158">
        <f>Q_Financials!AI37/Q_Financials!AH89*4</f>
        <v>0.21157626354577821</v>
      </c>
      <c r="AJ374" s="158">
        <f>Q_Financials!AJ37/Q_Financials!AI89*4</f>
        <v>9.5851564346225715E-2</v>
      </c>
      <c r="AK374" s="336">
        <f>Q_Financials!AK37/Q_Financials!AJ89*4</f>
        <v>0.10071727901330202</v>
      </c>
      <c r="AL374" s="336">
        <f>Q_Financials!AL37/Q_Financials!AK89*4</f>
        <v>5.0568693295516019E-2</v>
      </c>
      <c r="AM374" s="336">
        <f>Q_Financials!AM37/Q_Financials!AL89*4</f>
        <v>3.0998210395899228E-2</v>
      </c>
      <c r="AN374" s="336">
        <f>Q_Financials!AN37/Q_Financials!AM89*4</f>
        <v>0.12436057040310031</v>
      </c>
      <c r="AO374" s="336">
        <f>Q_Financials!AO37/Q_Financials!AN89*4</f>
        <v>0.11155545811299795</v>
      </c>
      <c r="AP374" s="336">
        <f>Q_Financials!AP37/Q_Financials!AO89*4</f>
        <v>5.9954726767996867E-2</v>
      </c>
      <c r="AQ374" s="336">
        <f>Q_Financials!AQ37/Q_Financials!AP89*4</f>
        <v>9.8348864242089482E-2</v>
      </c>
      <c r="AR374" s="336">
        <f>Q_Financials!AR37/Q_Financials!AQ89*4</f>
        <v>7.8194461552243438E-2</v>
      </c>
      <c r="AS374" s="336">
        <f>Q_Financials!AS37/Q_Financials!AR89*4</f>
        <v>0.15815407247630411</v>
      </c>
      <c r="AT374" s="365">
        <f>Q_Financials!AT37/Q_Financials!AS89*4</f>
        <v>0.13736351562591823</v>
      </c>
      <c r="AU374" s="366">
        <f>Q_Financials!AU37/Q_Financials!AT89*4</f>
        <v>0.20901684137691842</v>
      </c>
      <c r="AV374" s="366">
        <f>Q_Financials!AV37/Q_Financials!AU89*4</f>
        <v>0.12787243374167603</v>
      </c>
      <c r="AW374" s="366">
        <f>Q_Financials!AW37/Q_Financials!AV89*4</f>
        <v>0.14875671159125783</v>
      </c>
      <c r="AX374" s="366">
        <f>Q_Financials!AX37/Q_Financials!AW89*4</f>
        <v>0.34208793921801861</v>
      </c>
      <c r="AY374" s="366">
        <f>Q_Financials!AY37/Q_Financials!AX89*4</f>
        <v>0.19317384590707903</v>
      </c>
      <c r="AZ374" s="366">
        <f>Q_Financials!AZ37/Q_Financials!AY89*4</f>
        <v>0.11503380306790946</v>
      </c>
      <c r="BA374" s="366">
        <f>Q_Financials!BA37/Q_Financials!AZ89*4</f>
        <v>-9.2557603286066194E-3</v>
      </c>
      <c r="BB374" s="366">
        <f>Q_Financials!BB37/Q_Financials!BA89*4</f>
        <v>0.34894852790044478</v>
      </c>
      <c r="BC374" s="366">
        <f>Q_Financials!BC37/Q_Financials!BB89*4</f>
        <v>0.20871522936575582</v>
      </c>
      <c r="BD374" s="366">
        <f>Q_Financials!BD37/Q_Financials!BC89*4</f>
        <v>0.13088156535181619</v>
      </c>
      <c r="BE374" s="366">
        <f>Q_Financials!BE37/Q_Financials!BD89*4</f>
        <v>6.3435074661328354E-3</v>
      </c>
      <c r="BF374" s="366">
        <f>Q_Financials!BF37/Q_Financials!BE89*4</f>
        <v>0.41323191064024861</v>
      </c>
      <c r="BG374" s="366">
        <f>Q_Financials!BG37/Q_Financials!BF89*4</f>
        <v>0.22112494885951739</v>
      </c>
      <c r="BH374" s="366">
        <f>Q_Financials!BH37/Q_Financials!BG89*4</f>
        <v>0.14437041388014249</v>
      </c>
      <c r="BI374" s="366">
        <f>Q_Financials!BI37/Q_Financials!BH89*4</f>
        <v>4.3681117504626027E-3</v>
      </c>
      <c r="BJ374" s="366">
        <f>Q_Financials!BJ37/Q_Financials!BI89*4</f>
        <v>0.4077544369723371</v>
      </c>
      <c r="BK374" s="366">
        <f>Q_Financials!BK37/Q_Financials!BJ89*4</f>
        <v>0.22230794590262326</v>
      </c>
      <c r="BL374" s="366">
        <f>Q_Financials!BL37/Q_Financials!BK89*4</f>
        <v>0.1467274059491214</v>
      </c>
      <c r="BM374" s="366">
        <f>Q_Financials!BM37/Q_Financials!BL89*4</f>
        <v>5.2090277095808947E-3</v>
      </c>
      <c r="BN374" s="366">
        <f>Q_Financials!BN37/Q_Financials!BM89*4</f>
        <v>0.28412086470254838</v>
      </c>
      <c r="BO374" s="366">
        <f>Q_Financials!BO37/Q_Financials!BN89*4</f>
        <v>0.19628676572119411</v>
      </c>
      <c r="BP374" s="366">
        <f>Q_Financials!BP37/Q_Financials!BO89*4</f>
        <v>0.12335375806875952</v>
      </c>
      <c r="BQ374" s="366">
        <f>Q_Financials!BQ37/Q_Financials!BP89*4</f>
        <v>1.1125702531486269E-2</v>
      </c>
      <c r="BR374" s="366">
        <f>Q_Financials!BR37/Q_Financials!BQ89*4</f>
        <v>0.21045521721893337</v>
      </c>
      <c r="BS374" s="366">
        <f>Q_Financials!BS37/Q_Financials!BR89*4</f>
        <v>0.18533995584546881</v>
      </c>
      <c r="BT374" s="366">
        <f>Q_Financials!BT37/Q_Financials!BS89*4</f>
        <v>0.11018521714728646</v>
      </c>
      <c r="BU374" s="366">
        <f>Q_Financials!BU37/Q_Financials!BT89*4</f>
        <v>1.3653636519571941E-2</v>
      </c>
      <c r="BV374" s="366">
        <f>Q_Financials!BV37/Q_Financials!BU89*4</f>
        <v>0.25743193739585507</v>
      </c>
      <c r="BW374" s="366">
        <f>Q_Financials!BW37/Q_Financials!BV89*4</f>
        <v>0.21449792006937121</v>
      </c>
      <c r="BX374" s="366">
        <f>Q_Financials!BX37/Q_Financials!BW89*4</f>
        <v>0.14672381663240247</v>
      </c>
      <c r="BY374" s="366">
        <f>Q_Financials!BY37/Q_Financials!BX89*4</f>
        <v>5.0409949699621592E-2</v>
      </c>
    </row>
    <row r="375" spans="1:80">
      <c r="A375" s="410" t="s">
        <v>390</v>
      </c>
      <c r="B375" s="158"/>
      <c r="C375" s="158">
        <f>(Q_Financials!C37*(1-34%)/AVERAGE(Q_Financials!C68+Q_Financials!C77+Q_Financials!C89,Q_Financials!B68+Q_Financials!B77+Q_Financials!B89))*4</f>
        <v>9.1422160266970767E-2</v>
      </c>
      <c r="D375" s="158">
        <f>(Q_Financials!D37*(1-34%)/AVERAGE(Q_Financials!D68+Q_Financials!D77+Q_Financials!D89,Q_Financials!C68+Q_Financials!C77+Q_Financials!C89))*4</f>
        <v>3.2083464996083097E-2</v>
      </c>
      <c r="E375" s="158">
        <f>(Q_Financials!E37*(1-34%)/AVERAGE(Q_Financials!E68+Q_Financials!E77+Q_Financials!E89,Q_Financials!D68+Q_Financials!D77+Q_Financials!D89))*4</f>
        <v>-9.9084083185883485E-4</v>
      </c>
      <c r="F375" s="158">
        <f>(Q_Financials!F37*(1-34%)/AVERAGE(Q_Financials!F68+Q_Financials!F77+Q_Financials!F89,Q_Financials!E68+Q_Financials!E77+Q_Financials!E89))*4</f>
        <v>-1.5160252567835703E-2</v>
      </c>
      <c r="G375" s="158">
        <f>(Q_Financials!G37*(1-34%)/AVERAGE(Q_Financials!G68+Q_Financials!G77+Q_Financials!G89,Q_Financials!F68+Q_Financials!F77+Q_Financials!F89))*4</f>
        <v>-4.0907184367162612E-2</v>
      </c>
      <c r="H375" s="158">
        <f>(Q_Financials!H37*(1-34%)/AVERAGE(Q_Financials!H68+Q_Financials!H77+Q_Financials!H89,Q_Financials!G68+Q_Financials!G77+Q_Financials!G89))*4</f>
        <v>-7.097438016644312E-3</v>
      </c>
      <c r="I375" s="158">
        <f>(Q_Financials!I37*(1-34%)/AVERAGE(Q_Financials!I68+Q_Financials!I77+Q_Financials!I89,Q_Financials!H68+Q_Financials!H77+Q_Financials!H89))*4</f>
        <v>8.56407082825945E-4</v>
      </c>
      <c r="J375" s="158">
        <f>(Q_Financials!J37*(1-34%)/AVERAGE(Q_Financials!J68+Q_Financials!J77+Q_Financials!J89,Q_Financials!I68+Q_Financials!I77+Q_Financials!I89))*4</f>
        <v>-3.0197539139010455E-2</v>
      </c>
      <c r="K375" s="158">
        <f>(Q_Financials!K37*(1-34%)/AVERAGE(Q_Financials!K68+Q_Financials!K77+Q_Financials!K89,Q_Financials!J68+Q_Financials!J77+Q_Financials!J89))*4</f>
        <v>-4.4492476174303706E-2</v>
      </c>
      <c r="L375" s="158">
        <f>(Q_Financials!L37*(1-34%)/AVERAGE(Q_Financials!L68+Q_Financials!L77+Q_Financials!L89,Q_Financials!K68+Q_Financials!K77+Q_Financials!K89))*4</f>
        <v>-3.5769642450912374E-2</v>
      </c>
      <c r="M375" s="158">
        <f>(Q_Financials!M37*(1-34%)/AVERAGE(Q_Financials!M68+Q_Financials!M77+Q_Financials!M89,Q_Financials!L68+Q_Financials!L77+Q_Financials!L89))*4</f>
        <v>3.2323189947473185E-2</v>
      </c>
      <c r="N375" s="158">
        <f>(Q_Financials!N37*(1-34%)/AVERAGE(Q_Financials!N68+Q_Financials!N77+Q_Financials!N89,Q_Financials!M68+Q_Financials!M77+Q_Financials!M89))*4</f>
        <v>2.8448557954150203E-2</v>
      </c>
      <c r="O375" s="158">
        <f>(Q_Financials!O37*(1-34%)/AVERAGE(Q_Financials!O68+Q_Financials!O77+Q_Financials!O89,Q_Financials!N68+Q_Financials!N77+Q_Financials!N89))*4</f>
        <v>1.9882495566107265E-2</v>
      </c>
      <c r="P375" s="158">
        <f>(Q_Financials!P37*(1-34%)/AVERAGE(Q_Financials!P68+Q_Financials!P77+Q_Financials!P89,Q_Financials!O68+Q_Financials!O77+Q_Financials!O89))*4</f>
        <v>2.2328796514214072E-2</v>
      </c>
      <c r="Q375" s="158">
        <f>(Q_Financials!Q37*(1-34%)/AVERAGE(Q_Financials!Q68+Q_Financials!Q77+Q_Financials!Q89,Q_Financials!P68+Q_Financials!P77+Q_Financials!P89))*4</f>
        <v>2.4255276831131795E-2</v>
      </c>
      <c r="R375" s="158">
        <f>(Q_Financials!R37*(1-34%)/AVERAGE(Q_Financials!R68+Q_Financials!R77+Q_Financials!R89,Q_Financials!Q68+Q_Financials!Q77+Q_Financials!Q89))*4</f>
        <v>1.7889116080104694E-2</v>
      </c>
      <c r="S375" s="158">
        <f>(Q_Financials!S37*(1-34%)/AVERAGE(Q_Financials!S68+Q_Financials!S77+Q_Financials!S89,Q_Financials!R68+Q_Financials!R77+Q_Financials!R89))*4</f>
        <v>3.9079125498480263E-2</v>
      </c>
      <c r="T375" s="158">
        <f>(Q_Financials!T37*(1-34%)/AVERAGE(Q_Financials!T68+Q_Financials!T77+Q_Financials!T89,Q_Financials!S68+Q_Financials!S77+Q_Financials!S89))*4</f>
        <v>6.753999725309226E-2</v>
      </c>
      <c r="U375" s="158">
        <f>(Q_Financials!U37*(1-34%)/AVERAGE(Q_Financials!U68+Q_Financials!U77+Q_Financials!U89,Q_Financials!T68+Q_Financials!T77+Q_Financials!T89))*4</f>
        <v>1.1898538499978874E-2</v>
      </c>
      <c r="V375" s="158">
        <f>(Q_Financials!V37*(1-34%)/AVERAGE(Q_Financials!V68+Q_Financials!V77+Q_Financials!V89,Q_Financials!U68+Q_Financials!U77+Q_Financials!U89))*4</f>
        <v>3.6238812877845618E-2</v>
      </c>
      <c r="W375" s="158">
        <f>(Q_Financials!W37*(1-34%)/AVERAGE(Q_Financials!W68+Q_Financials!W77+Q_Financials!W89,Q_Financials!V68+Q_Financials!V77+Q_Financials!V89))*4</f>
        <v>4.4531584523993917E-2</v>
      </c>
      <c r="X375" s="158">
        <f>(Q_Financials!X37*(1-34%)/AVERAGE(Q_Financials!X68+Q_Financials!X77+Q_Financials!X89,Q_Financials!W68+Q_Financials!W77+Q_Financials!W89))*4</f>
        <v>4.6581752649744949E-2</v>
      </c>
      <c r="Y375" s="158">
        <f>(Q_Financials!Y37*(1-34%)/AVERAGE(Q_Financials!Y68+Q_Financials!Y77+Q_Financials!Y89,Q_Financials!X68+Q_Financials!X77+Q_Financials!X89))*4</f>
        <v>-1.2329767838176431E-2</v>
      </c>
      <c r="Z375" s="158">
        <f>(Q_Financials!Z37*(1-34%)/AVERAGE(Q_Financials!Z68+Q_Financials!Z77+Q_Financials!Z89,Q_Financials!Y68+Q_Financials!Y77+Q_Financials!Y89))*4</f>
        <v>1.7630795815342735E-3</v>
      </c>
      <c r="AA375" s="158">
        <f>(Q_Financials!AA37*(1-34%)/AVERAGE(Q_Financials!AA68+Q_Financials!AA77+Q_Financials!AA89,Q_Financials!Z68+Q_Financials!Z77+Q_Financials!Z89))*4</f>
        <v>3.4479388091103895E-2</v>
      </c>
      <c r="AB375" s="158">
        <f>(Q_Financials!AB37*(1-34%)/AVERAGE(Q_Financials!AB68+Q_Financials!AB77+Q_Financials!AB89,Q_Financials!AA68+Q_Financials!AA77+Q_Financials!AA89))*4</f>
        <v>4.9218646589234945E-3</v>
      </c>
      <c r="AC375" s="158">
        <f>(Q_Financials!AC37*(1-34%)/AVERAGE(Q_Financials!AC68+Q_Financials!AC77+Q_Financials!AC89,Q_Financials!AB68+Q_Financials!AB77+Q_Financials!AB89))*4</f>
        <v>8.3682752140903146E-3</v>
      </c>
      <c r="AD375" s="158">
        <f>(Q_Financials!AD37*(1-34%)/AVERAGE(Q_Financials!AD68+Q_Financials!AD77+Q_Financials!AD89,Q_Financials!AC68+Q_Financials!AC77+Q_Financials!AC89))*4</f>
        <v>2.2609961920335656E-2</v>
      </c>
      <c r="AE375" s="158">
        <f>(Q_Financials!AE37*(1-34%)/AVERAGE(Q_Financials!AE68+Q_Financials!AE77+Q_Financials!AE89,Q_Financials!AD68+Q_Financials!AD77+Q_Financials!AD89))*4</f>
        <v>3.9670198340280814E-2</v>
      </c>
      <c r="AF375" s="158">
        <f>(Q_Financials!AF37*(1-34%)/AVERAGE(Q_Financials!AF68+Q_Financials!AF77+Q_Financials!AF89,Q_Financials!AE68+Q_Financials!AE77+Q_Financials!AE89))*4</f>
        <v>2.1037117917127781E-2</v>
      </c>
      <c r="AG375" s="158">
        <f>(Q_Financials!AG37*(1-34%)/AVERAGE(Q_Financials!AG68+Q_Financials!AG77+Q_Financials!AG89,Q_Financials!AF68+Q_Financials!AF77+Q_Financials!AF89))*4</f>
        <v>4.0019644384753821E-3</v>
      </c>
      <c r="AH375" s="158">
        <f>(Q_Financials!AH37*(1-34%)/AVERAGE(Q_Financials!AH68+Q_Financials!AH77+Q_Financials!AH89,Q_Financials!AG68+Q_Financials!AG77+Q_Financials!AG89))*4</f>
        <v>3.6005178547947117E-2</v>
      </c>
      <c r="AI375" s="158">
        <f>(Q_Financials!AI37*(1-34%)/AVERAGE(Q_Financials!AI68+Q_Financials!AI77+Q_Financials!AI89,Q_Financials!AH68+Q_Financials!AH77+Q_Financials!AH89))*4</f>
        <v>6.2051527155517178E-2</v>
      </c>
      <c r="AJ375" s="158">
        <f>(Q_Financials!AJ37*(1-34%)/AVERAGE(Q_Financials!AJ68+Q_Financials!AJ77+Q_Financials!AJ89,Q_Financials!AI68+Q_Financials!AI77+Q_Financials!AI89))*4</f>
        <v>2.6489971401747289E-2</v>
      </c>
      <c r="AK375" s="336">
        <f>(Q_Financials!AK37*(1-34%)/AVERAGE(Q_Financials!AK68+Q_Financials!AK77+Q_Financials!AK89,Q_Financials!AJ68+Q_Financials!AJ77+Q_Financials!AJ89))*4</f>
        <v>2.5491907680406593E-2</v>
      </c>
      <c r="AL375" s="336">
        <f>(Q_Financials!AL37*(1-34%)/AVERAGE(Q_Financials!AL68+Q_Financials!AL77+Q_Financials!AL89,Q_Financials!AK68+Q_Financials!AK77+Q_Financials!AK89))*4</f>
        <v>1.3848625958060799E-2</v>
      </c>
      <c r="AM375" s="336">
        <f>(Q_Financials!AM37*(1-34%)/AVERAGE(Q_Financials!AM68+Q_Financials!AM77+Q_Financials!AM89,Q_Financials!AL68+Q_Financials!AL77+Q_Financials!AL89))*4</f>
        <v>8.6231812332970212E-3</v>
      </c>
      <c r="AN375" s="336">
        <f>(Q_Financials!AN37*(1-34%)/AVERAGE(Q_Financials!AN68+Q_Financials!AN77+Q_Financials!AN89,Q_Financials!AM68+Q_Financials!AM77+Q_Financials!AM89))*4</f>
        <v>3.1007044351783895E-2</v>
      </c>
      <c r="AO375" s="336">
        <f>(Q_Financials!AO37*(1-34%)/AVERAGE(Q_Financials!AO68+Q_Financials!AO77+Q_Financials!AO89,Q_Financials!AN68+Q_Financials!AN77+Q_Financials!AN89))*4</f>
        <v>2.8363134253300691E-2</v>
      </c>
      <c r="AP375" s="336">
        <f>(Q_Financials!AP37*(1-34%)/AVERAGE(Q_Financials!AP68+Q_Financials!AP77+Q_Financials!AP89,Q_Financials!AO68+Q_Financials!AO77+Q_Financials!AO89))*4</f>
        <v>1.6652908259671518E-2</v>
      </c>
      <c r="AQ375" s="336">
        <f>(Q_Financials!AQ37*(1-34%)/AVERAGE(Q_Financials!AQ68+Q_Financials!AQ77+Q_Financials!AQ89,Q_Financials!AP68+Q_Financials!AP77+Q_Financials!AP89))*4</f>
        <v>2.874135730754003E-2</v>
      </c>
      <c r="AR375" s="336">
        <f>(Q_Financials!AR37*(1-34%)/AVERAGE(Q_Financials!AR68+Q_Financials!AR77+Q_Financials!AR89,Q_Financials!AQ68+Q_Financials!AQ77+Q_Financials!AQ89))*4</f>
        <v>2.2177916803398E-2</v>
      </c>
      <c r="AS375" s="336">
        <f>(Q_Financials!AS37*(1-34%)/AVERAGE(Q_Financials!AS68+Q_Financials!AS77+Q_Financials!AS89,Q_Financials!AR68+Q_Financials!AR77+Q_Financials!AR89))*4</f>
        <v>4.5475141489215005E-2</v>
      </c>
      <c r="AT375" s="365">
        <f>(Q_Financials!AT37*(1-34%)/AVERAGE(Q_Financials!AT68+Q_Financials!AT77+Q_Financials!AT89,Q_Financials!AS68+Q_Financials!AS77+Q_Financials!AS89))*4</f>
        <v>4.3075349156424907E-2</v>
      </c>
      <c r="AU375" s="366">
        <f>(Q_Financials!AU37*(1-34%)/AVERAGE(Q_Financials!AU68+Q_Financials!AU77+Q_Financials!AU89,Q_Financials!AT68+Q_Financials!AT77+Q_Financials!AT89))*4</f>
        <v>6.0854187324149774E-2</v>
      </c>
      <c r="AV375" s="366">
        <f>(Q_Financials!AV37*(1-34%)/AVERAGE(Q_Financials!AV68+Q_Financials!AV77+Q_Financials!AV89,Q_Financials!AU68+Q_Financials!AU77+Q_Financials!AU89))*4</f>
        <v>3.8446436872335378E-2</v>
      </c>
      <c r="AW375" s="366">
        <f>(Q_Financials!AW37*(1-34%)/AVERAGE(Q_Financials!AW68+Q_Financials!AW77+Q_Financials!AW89,Q_Financials!AV68+Q_Financials!AV77+Q_Financials!AV89))*4</f>
        <v>4.7538468267722928E-2</v>
      </c>
      <c r="AX375" s="366">
        <f>(Q_Financials!AX37*(1-34%)/AVERAGE(Q_Financials!AX68+Q_Financials!AX77+Q_Financials!AX89,Q_Financials!AW68+Q_Financials!AW77+Q_Financials!AW89))*4</f>
        <v>0.10871138950064438</v>
      </c>
      <c r="AY375" s="366">
        <f>(Q_Financials!AY37*(1-34%)/AVERAGE(Q_Financials!AY68+Q_Financials!AY77+Q_Financials!AY89,Q_Financials!AX68+Q_Financials!AX77+Q_Financials!AX89))*4</f>
        <v>6.4496412451168911E-2</v>
      </c>
      <c r="AZ375" s="366">
        <f>(Q_Financials!AZ37*(1-34%)/AVERAGE(Q_Financials!AZ68+Q_Financials!AZ77+Q_Financials!AZ89,Q_Financials!AY68+Q_Financials!AY77+Q_Financials!AY89))*4</f>
        <v>3.9478740071171657E-2</v>
      </c>
      <c r="BA375" s="366">
        <f>(Q_Financials!BA37*(1-34%)/AVERAGE(Q_Financials!BA68+Q_Financials!BA77+Q_Financials!BA89,Q_Financials!AZ68+Q_Financials!AZ77+Q_Financials!AZ89))*4</f>
        <v>-3.3086535813343339E-3</v>
      </c>
      <c r="BB375" s="366">
        <f>(Q_Financials!BB37*(1-34%)/AVERAGE(Q_Financials!BB68+Q_Financials!BB77+Q_Financials!BB89,Q_Financials!BA68+Q_Financials!BA77+Q_Financials!BA89))*4</f>
        <v>0.11529144937386818</v>
      </c>
      <c r="BC375" s="366">
        <f>(Q_Financials!BC37*(1-34%)/AVERAGE(Q_Financials!BC68+Q_Financials!BC77+Q_Financials!BC89,Q_Financials!BB68+Q_Financials!BB77+Q_Financials!BB89))*4</f>
        <v>7.2366841479958019E-2</v>
      </c>
      <c r="BD375" s="366">
        <f>(Q_Financials!BD37*(1-34%)/AVERAGE(Q_Financials!BD68+Q_Financials!BD77+Q_Financials!BD89,Q_Financials!BC68+Q_Financials!BC77+Q_Financials!BC89))*4</f>
        <v>4.6685761875979795E-2</v>
      </c>
      <c r="BE375" s="366">
        <f>(Q_Financials!BE37*(1-34%)/AVERAGE(Q_Financials!BE68+Q_Financials!BE77+Q_Financials!BE89,Q_Financials!BD68+Q_Financials!BD77+Q_Financials!BD89))*4</f>
        <v>2.3869566128883819E-3</v>
      </c>
      <c r="BF375" s="366">
        <f>(Q_Financials!BF37*(1-34%)/AVERAGE(Q_Financials!BF68+Q_Financials!BF77+Q_Financials!BF89,Q_Financials!BE68+Q_Financials!BE77+Q_Financials!BE89))*4</f>
        <v>0.13944006623749228</v>
      </c>
      <c r="BG375" s="366">
        <f>(Q_Financials!BG37*(1-34%)/AVERAGE(Q_Financials!BG68+Q_Financials!BG77+Q_Financials!BG89,Q_Financials!BF68+Q_Financials!BF77+Q_Financials!BF89))*4</f>
        <v>7.9006016771201115E-2</v>
      </c>
      <c r="BH375" s="366">
        <f>(Q_Financials!BH37*(1-34%)/AVERAGE(Q_Financials!BH68+Q_Financials!BH77+Q_Financials!BH89,Q_Financials!BG68+Q_Financials!BG77+Q_Financials!BG89))*4</f>
        <v>5.3092044152187448E-2</v>
      </c>
      <c r="BI375" s="366">
        <f>(Q_Financials!BI37*(1-34%)/AVERAGE(Q_Financials!BI68+Q_Financials!BI77+Q_Financials!BI89,Q_Financials!BH68+Q_Financials!BH77+Q_Financials!BH89))*4</f>
        <v>1.7059869519492803E-3</v>
      </c>
      <c r="BJ375" s="366">
        <f>(Q_Financials!BJ37*(1-34%)/AVERAGE(Q_Financials!BJ68+Q_Financials!BJ77+Q_Financials!BJ89,Q_Financials!BI68+Q_Financials!BI77+Q_Financials!BI89))*4</f>
        <v>0.14147674826723661</v>
      </c>
      <c r="BK375" s="366">
        <f>(Q_Financials!BK37*(1-34%)/AVERAGE(Q_Financials!BK68+Q_Financials!BK77+Q_Financials!BK89,Q_Financials!BJ68+Q_Financials!BJ77+Q_Financials!BJ89))*4</f>
        <v>8.1500295570235096E-2</v>
      </c>
      <c r="BL375" s="366">
        <f>(Q_Financials!BL37*(1-34%)/AVERAGE(Q_Financials!BL68+Q_Financials!BL77+Q_Financials!BL89,Q_Financials!BK68+Q_Financials!BK77+Q_Financials!BK89))*4</f>
        <v>5.5332169778848604E-2</v>
      </c>
      <c r="BM375" s="366">
        <f>(Q_Financials!BM37*(1-34%)/AVERAGE(Q_Financials!BM68+Q_Financials!BM77+Q_Financials!BM89,Q_Financials!BL68+Q_Financials!BL77+Q_Financials!BL89))*4</f>
        <v>2.0882042222966097E-3</v>
      </c>
      <c r="BN375" s="366">
        <f>(Q_Financials!BN37*(1-34%)/AVERAGE(Q_Financials!BN68+Q_Financials!BN77+Q_Financials!BN89,Q_Financials!BM68+Q_Financials!BM77+Q_Financials!BM89))*4</f>
        <v>0.10208568761174135</v>
      </c>
      <c r="BO375" s="366">
        <f>(Q_Financials!BO37*(1-34%)/AVERAGE(Q_Financials!BO68+Q_Financials!BO77+Q_Financials!BO89,Q_Financials!BN68+Q_Financials!BN77+Q_Financials!BN89))*4</f>
        <v>7.3077715280533098E-2</v>
      </c>
      <c r="BP375" s="366">
        <f>(Q_Financials!BP37*(1-34%)/AVERAGE(Q_Financials!BP68+Q_Financials!BP77+Q_Financials!BP89,Q_Financials!BO68+Q_Financials!BO77+Q_Financials!BO89))*4</f>
        <v>4.7096719156195975E-2</v>
      </c>
      <c r="BQ375" s="366">
        <f>(Q_Financials!BQ37*(1-34%)/AVERAGE(Q_Financials!BQ68+Q_Financials!BQ77+Q_Financials!BQ89,Q_Financials!BP68+Q_Financials!BP77+Q_Financials!BP89))*4</f>
        <v>4.5227019485909684E-3</v>
      </c>
      <c r="BR375" s="366">
        <f>(Q_Financials!BR37*(1-34%)/AVERAGE(Q_Financials!BR68+Q_Financials!BR77+Q_Financials!BR89,Q_Financials!BQ68+Q_Financials!BQ77+Q_Financials!BQ89))*4</f>
        <v>7.5998320694397214E-2</v>
      </c>
      <c r="BS375" s="366">
        <f>(Q_Financials!BS37*(1-34%)/AVERAGE(Q_Financials!BS68+Q_Financials!BS77+Q_Financials!BS89,Q_Financials!BR68+Q_Financials!BR77+Q_Financials!BR89))*4</f>
        <v>6.854892503759534E-2</v>
      </c>
      <c r="BT375" s="366">
        <f>(Q_Financials!BT37*(1-34%)/AVERAGE(Q_Financials!BT68+Q_Financials!BT77+Q_Financials!BT89,Q_Financials!BS68+Q_Financials!BS77+Q_Financials!BS89))*4</f>
        <v>4.17613931140609E-2</v>
      </c>
      <c r="BU375" s="366">
        <f>(Q_Financials!BU37*(1-34%)/AVERAGE(Q_Financials!BU68+Q_Financials!BU77+Q_Financials!BU89,Q_Financials!BT68+Q_Financials!BT77+Q_Financials!BT89))*4</f>
        <v>5.4617873370657755E-3</v>
      </c>
      <c r="BV375" s="366">
        <f>(Q_Financials!BV37*(1-34%)/AVERAGE(Q_Financials!BV68+Q_Financials!BV77+Q_Financials!BV89,Q_Financials!BU68+Q_Financials!BU77+Q_Financials!BU89))*4</f>
        <v>9.2664551893000408E-2</v>
      </c>
      <c r="BW375" s="366">
        <f>(Q_Financials!BW37*(1-34%)/AVERAGE(Q_Financials!BW68+Q_Financials!BW77+Q_Financials!BW89,Q_Financials!BV68+Q_Financials!BV77+Q_Financials!BV89))*4</f>
        <v>7.9545134085636876E-2</v>
      </c>
      <c r="BX375" s="366">
        <f>(Q_Financials!BX37*(1-34%)/AVERAGE(Q_Financials!BX68+Q_Financials!BX77+Q_Financials!BX89,Q_Financials!BW68+Q_Financials!BW77+Q_Financials!BW89))*4</f>
        <v>5.5880740321882463E-2</v>
      </c>
      <c r="BY375" s="366">
        <f>(Q_Financials!BY37*(1-34%)/AVERAGE(Q_Financials!BY68+Q_Financials!BY77+Q_Financials!BY89,Q_Financials!BX68+Q_Financials!BX77+Q_Financials!BX89))*4</f>
        <v>2.0545091253707102E-2</v>
      </c>
    </row>
    <row r="376" spans="1:80">
      <c r="A376" s="410" t="s">
        <v>418</v>
      </c>
      <c r="B376" s="550" t="e">
        <v>#N/A</v>
      </c>
      <c r="C376" s="550" t="e">
        <v>#N/A</v>
      </c>
      <c r="D376" s="550" t="e">
        <v>#N/A</v>
      </c>
      <c r="E376" s="550" t="e">
        <v>#N/A</v>
      </c>
      <c r="F376" s="550" t="e">
        <v>#N/A</v>
      </c>
      <c r="G376" s="550" t="e">
        <v>#N/A</v>
      </c>
      <c r="H376" s="550" t="e">
        <v>#N/A</v>
      </c>
      <c r="I376" s="550" t="e">
        <v>#N/A</v>
      </c>
      <c r="J376" s="550" t="e">
        <v>#N/A</v>
      </c>
      <c r="K376" s="550" t="e">
        <v>#N/A</v>
      </c>
      <c r="L376" s="550" t="e">
        <v>#N/A</v>
      </c>
      <c r="M376" s="550" t="e">
        <v>#N/A</v>
      </c>
      <c r="N376" s="550" t="e">
        <v>#N/A</v>
      </c>
      <c r="O376" s="550" t="e">
        <v>#N/A</v>
      </c>
      <c r="P376" s="550" t="e">
        <v>#N/A</v>
      </c>
      <c r="Q376" s="550" t="e">
        <v>#N/A</v>
      </c>
      <c r="R376" s="550" t="e">
        <v>#N/A</v>
      </c>
      <c r="S376" s="550" t="e">
        <v>#N/A</v>
      </c>
      <c r="T376" s="550" t="e">
        <v>#N/A</v>
      </c>
      <c r="U376" s="550" t="e">
        <v>#N/A</v>
      </c>
      <c r="V376" s="550" t="e">
        <v>#N/A</v>
      </c>
      <c r="W376" s="550">
        <v>0</v>
      </c>
      <c r="X376" s="550">
        <v>0</v>
      </c>
      <c r="Y376" s="550">
        <v>31.78</v>
      </c>
      <c r="Z376" s="550">
        <v>23.923333333333336</v>
      </c>
      <c r="AA376" s="550">
        <v>28.603333333333335</v>
      </c>
      <c r="AB376" s="550">
        <v>24.593333333333334</v>
      </c>
      <c r="AC376" s="550">
        <v>23.913333333333338</v>
      </c>
      <c r="AD376" s="550">
        <v>21.540000000000003</v>
      </c>
      <c r="AE376" s="550">
        <v>21.246666666666666</v>
      </c>
      <c r="AF376" s="550">
        <v>20.086666666666666</v>
      </c>
      <c r="AG376" s="550">
        <v>18.77</v>
      </c>
      <c r="AH376" s="550">
        <v>17.149999999999999</v>
      </c>
      <c r="AI376" s="550">
        <v>16.62</v>
      </c>
      <c r="AJ376" s="550">
        <v>17.846666666666668</v>
      </c>
      <c r="AK376" s="1457">
        <v>16.650000000000002</v>
      </c>
      <c r="AL376" s="1457">
        <v>17.386666666666667</v>
      </c>
      <c r="AM376" s="1457">
        <v>16.54666666666667</v>
      </c>
      <c r="AN376" s="1457">
        <v>15.853333333333333</v>
      </c>
      <c r="AO376" s="2115">
        <v>14.126666666666667</v>
      </c>
      <c r="AP376" s="2115">
        <v>12.493333333333334</v>
      </c>
      <c r="AQ376" s="2115">
        <v>11.346666666666666</v>
      </c>
      <c r="AR376" s="2115">
        <v>14.603333333333332</v>
      </c>
      <c r="AS376" s="2115">
        <f>+AR376</f>
        <v>14.603333333333332</v>
      </c>
      <c r="AT376" s="2287">
        <v>16.29765375671262</v>
      </c>
      <c r="AU376" s="551">
        <v>16.29765375671262</v>
      </c>
      <c r="AV376" s="551">
        <v>16.29765375671262</v>
      </c>
      <c r="AW376" s="551">
        <v>16.29765375671262</v>
      </c>
      <c r="AX376" s="551">
        <v>16.452821128141963</v>
      </c>
      <c r="AY376" s="551">
        <v>16.452821128141963</v>
      </c>
      <c r="AZ376" s="551">
        <v>16.452821128141963</v>
      </c>
      <c r="BA376" s="551">
        <v>16.452821128141963</v>
      </c>
      <c r="BB376" s="551">
        <v>18.93524738662267</v>
      </c>
      <c r="BC376" s="551">
        <v>18.93524738662267</v>
      </c>
      <c r="BD376" s="551">
        <v>18.93524738662267</v>
      </c>
      <c r="BE376" s="551">
        <v>18.93524738662267</v>
      </c>
      <c r="BF376" s="551">
        <v>20.638221289243422</v>
      </c>
      <c r="BG376" s="551">
        <v>20.638221289243422</v>
      </c>
      <c r="BH376" s="551">
        <v>20.638221289243422</v>
      </c>
      <c r="BI376" s="551">
        <v>20.638221289243422</v>
      </c>
      <c r="BJ376" s="551">
        <v>18.307908536558035</v>
      </c>
      <c r="BK376" s="551">
        <v>18.307908536558035</v>
      </c>
      <c r="BL376" s="551">
        <v>18.307908536558035</v>
      </c>
      <c r="BM376" s="551">
        <v>18.307908536558035</v>
      </c>
      <c r="BN376" s="551">
        <v>15.621470600560347</v>
      </c>
      <c r="BO376" s="551">
        <v>15.621470600560347</v>
      </c>
      <c r="BP376" s="551">
        <v>15.621470600560347</v>
      </c>
      <c r="BQ376" s="551">
        <v>15.621470600560347</v>
      </c>
      <c r="BR376" s="551">
        <v>16.545933864499258</v>
      </c>
      <c r="BS376" s="551">
        <v>16.545933864499258</v>
      </c>
      <c r="BT376" s="551">
        <v>16.545933864499258</v>
      </c>
      <c r="BU376" s="551">
        <v>16.545933864499258</v>
      </c>
      <c r="BV376" s="551">
        <v>17.1594312266459</v>
      </c>
      <c r="BW376" s="551">
        <v>17.1594312266459</v>
      </c>
      <c r="BX376" s="551">
        <v>17.1594312266459</v>
      </c>
      <c r="BY376" s="551">
        <v>17.1594312266459</v>
      </c>
    </row>
    <row r="377" spans="1:80">
      <c r="A377" s="415" t="s">
        <v>49</v>
      </c>
      <c r="B377" s="546">
        <f>Q_Financials!B7</f>
        <v>218.71</v>
      </c>
      <c r="C377" s="546">
        <f>Q_Financials!C7</f>
        <v>280.84399999999999</v>
      </c>
      <c r="D377" s="546">
        <f>Q_Financials!D7</f>
        <v>205.83799999999999</v>
      </c>
      <c r="E377" s="546">
        <f>Q_Financials!E7</f>
        <v>201.43299999999999</v>
      </c>
      <c r="F377" s="546">
        <f>Q_Financials!F7</f>
        <v>189.80500000000001</v>
      </c>
      <c r="G377" s="546">
        <f>Q_Financials!G7</f>
        <v>195.21899999999999</v>
      </c>
      <c r="H377" s="546">
        <f>Q_Financials!H7</f>
        <v>145.16399999999999</v>
      </c>
      <c r="I377" s="546">
        <f>Q_Financials!I7</f>
        <v>257.23599999999999</v>
      </c>
      <c r="J377" s="546">
        <f>Q_Financials!J7</f>
        <v>103.41</v>
      </c>
      <c r="K377" s="546">
        <f>Q_Financials!K7</f>
        <v>217.268</v>
      </c>
      <c r="L377" s="546">
        <f>Q_Financials!L7</f>
        <v>246.76599999999999</v>
      </c>
      <c r="M377" s="546">
        <f>Q_Financials!M7</f>
        <v>300.185</v>
      </c>
      <c r="N377" s="546">
        <f>Q_Financials!N7</f>
        <v>241.26499999999999</v>
      </c>
      <c r="O377" s="546">
        <f>Q_Financials!O7</f>
        <v>308.15199999999999</v>
      </c>
      <c r="P377" s="546">
        <f>Q_Financials!P7</f>
        <v>353.399</v>
      </c>
      <c r="Q377" s="546">
        <f>Q_Financials!Q7</f>
        <v>379.33300000000003</v>
      </c>
      <c r="R377" s="546">
        <f>Q_Financials!R7</f>
        <v>304.16399999999999</v>
      </c>
      <c r="S377" s="546">
        <f>Q_Financials!S7</f>
        <v>357.35399999999998</v>
      </c>
      <c r="T377" s="546">
        <f>Q_Financials!T7</f>
        <v>417.64499999999998</v>
      </c>
      <c r="U377" s="546">
        <f>Q_Financials!U7</f>
        <v>305.2</v>
      </c>
      <c r="V377" s="546">
        <f>Q_Financials!V7</f>
        <v>348.47</v>
      </c>
      <c r="W377" s="546">
        <f>Q_Financials!W7</f>
        <v>416.73899999999998</v>
      </c>
      <c r="X377" s="546">
        <f>Q_Financials!X7</f>
        <v>402.35599999999999</v>
      </c>
      <c r="Y377" s="546">
        <f>Q_Financials!Y7</f>
        <v>279.70100000000002</v>
      </c>
      <c r="Z377" s="546">
        <f>Q_Financials!Z7</f>
        <v>307.87200000000001</v>
      </c>
      <c r="AA377" s="546">
        <f>Q_Financials!AA7</f>
        <v>564.05399999999997</v>
      </c>
      <c r="AB377" s="546">
        <f>Q_Financials!AB7</f>
        <v>416.351</v>
      </c>
      <c r="AC377" s="546">
        <f>Q_Financials!AC7</f>
        <v>420.28899999999999</v>
      </c>
      <c r="AD377" s="546">
        <f>Q_Financials!AD7</f>
        <v>512.27700000000004</v>
      </c>
      <c r="AE377" s="546">
        <f>Q_Financials!AE7</f>
        <v>631.75900000000001</v>
      </c>
      <c r="AF377" s="546">
        <f>Q_Financials!AF7</f>
        <v>444.44499999999999</v>
      </c>
      <c r="AG377" s="546">
        <f>Q_Financials!AG7</f>
        <v>459.19400000000002</v>
      </c>
      <c r="AH377" s="546">
        <f>Q_Financials!AH7</f>
        <v>522.49300000000005</v>
      </c>
      <c r="AI377" s="546">
        <f>Q_Financials!AI7</f>
        <v>529.85599999999999</v>
      </c>
      <c r="AJ377" s="546">
        <f>Q_Financials!AJ7</f>
        <v>608.12099999999998</v>
      </c>
      <c r="AK377" s="1453">
        <f>Q_Financials!AK7</f>
        <v>738.27</v>
      </c>
      <c r="AL377" s="1453">
        <f>Q_Financials!AL7</f>
        <v>472.04399999999998</v>
      </c>
      <c r="AM377" s="1453">
        <f>Q_Financials!AM7</f>
        <v>680.53399999999999</v>
      </c>
      <c r="AN377" s="1453">
        <f>Q_Financials!AN7</f>
        <v>840.99599999999998</v>
      </c>
      <c r="AO377" s="1453">
        <f>Q_Financials!AO7</f>
        <v>844.08900000000006</v>
      </c>
      <c r="AP377" s="1453">
        <f>Q_Financials!AP7</f>
        <v>667.88900000000001</v>
      </c>
      <c r="AQ377" s="1453">
        <f>Q_Financials!AQ7</f>
        <v>754.53800000000001</v>
      </c>
      <c r="AR377" s="1453">
        <f>Q_Financials!AR7</f>
        <v>766.66300000000001</v>
      </c>
      <c r="AS377" s="1453">
        <f>Q_Financials!AS7</f>
        <v>941.06700000000001</v>
      </c>
      <c r="AT377" s="647">
        <f>Q_Financials!AT7</f>
        <v>932.529</v>
      </c>
      <c r="AU377" s="547">
        <f>Q_Financials!AU7</f>
        <v>1052.3148068497242</v>
      </c>
      <c r="AV377" s="547">
        <f>Q_Financials!AV7</f>
        <v>1018.9274659041116</v>
      </c>
      <c r="AW377" s="547">
        <f>Q_Financials!AW7</f>
        <v>1193.9863399786234</v>
      </c>
      <c r="AX377" s="547">
        <f>Q_Financials!AX7</f>
        <v>1359.9685605367397</v>
      </c>
      <c r="AY377" s="547">
        <f>Q_Financials!AY7</f>
        <v>1087.0464011167194</v>
      </c>
      <c r="AZ377" s="547">
        <f>Q_Financials!AZ7</f>
        <v>1048.3957941959343</v>
      </c>
      <c r="BA377" s="547">
        <f>Q_Financials!BA7</f>
        <v>846.22409521518102</v>
      </c>
      <c r="BB377" s="547">
        <f>Q_Financials!BB7</f>
        <v>1458.5903524069097</v>
      </c>
      <c r="BC377" s="547">
        <f>Q_Financials!BC7</f>
        <v>1177.2395909614656</v>
      </c>
      <c r="BD377" s="547">
        <f>Q_Financials!BD7</f>
        <v>1133.8329270312261</v>
      </c>
      <c r="BE377" s="547">
        <f>Q_Financials!BE7</f>
        <v>919.44218377207687</v>
      </c>
      <c r="BF377" s="547">
        <f>Q_Financials!BF7</f>
        <v>1723.5572172971797</v>
      </c>
      <c r="BG377" s="547">
        <f>Q_Financials!BG7</f>
        <v>1344.0083049784514</v>
      </c>
      <c r="BH377" s="547">
        <f>Q_Financials!BH7</f>
        <v>1298.3202122173636</v>
      </c>
      <c r="BI377" s="547">
        <f>Q_Financials!BI7</f>
        <v>1030.6969476113572</v>
      </c>
      <c r="BJ377" s="547">
        <f>Q_Financials!BJ7</f>
        <v>1857.3256454130856</v>
      </c>
      <c r="BK377" s="547">
        <f>Q_Financials!BK7</f>
        <v>1436.5546583712915</v>
      </c>
      <c r="BL377" s="547">
        <f>Q_Financials!BL7</f>
        <v>1387.3091710585145</v>
      </c>
      <c r="BM377" s="547">
        <f>Q_Financials!BM7</f>
        <v>1094.3460796446354</v>
      </c>
      <c r="BN377" s="547">
        <f>Q_Financials!BN7</f>
        <v>1701.3132964661352</v>
      </c>
      <c r="BO377" s="547">
        <f>Q_Financials!BO7</f>
        <v>1385.4478816949254</v>
      </c>
      <c r="BP377" s="547">
        <f>Q_Financials!BP7</f>
        <v>1329.6589890788971</v>
      </c>
      <c r="BQ377" s="547">
        <f>Q_Financials!BQ7</f>
        <v>1080.1166031918979</v>
      </c>
      <c r="BR377" s="547">
        <f>Q_Financials!BR7</f>
        <v>1605.086384437961</v>
      </c>
      <c r="BS377" s="547">
        <f>Q_Financials!BS7</f>
        <v>1364.2438552942001</v>
      </c>
      <c r="BT377" s="547">
        <f>Q_Financials!BT7</f>
        <v>1303.096974248532</v>
      </c>
      <c r="BU377" s="547">
        <f>Q_Financials!BU7</f>
        <v>1083.3661726669529</v>
      </c>
      <c r="BV377" s="547">
        <f>Q_Financials!BV7</f>
        <v>1819.4406833535509</v>
      </c>
      <c r="BW377" s="547">
        <f>Q_Financials!BW7</f>
        <v>1518.1420255600578</v>
      </c>
      <c r="BX377" s="547">
        <f>Q_Financials!BX7</f>
        <v>1455.5100074820868</v>
      </c>
      <c r="BY377" s="547">
        <f>Q_Financials!BY7</f>
        <v>1200.3791924526195</v>
      </c>
    </row>
    <row r="378" spans="1:80">
      <c r="A378" s="552" t="s">
        <v>649</v>
      </c>
      <c r="C378" s="158">
        <f>C377/B377-1</f>
        <v>0.28409309130812477</v>
      </c>
      <c r="D378" s="158">
        <f t="shared" ref="D378:BH378" si="252">D377/C377-1</f>
        <v>-0.26707353548589252</v>
      </c>
      <c r="E378" s="158">
        <f t="shared" si="252"/>
        <v>-2.1400324527055314E-2</v>
      </c>
      <c r="F378" s="158">
        <f t="shared" si="252"/>
        <v>-5.7726390412693007E-2</v>
      </c>
      <c r="G378" s="158">
        <f t="shared" si="252"/>
        <v>2.8524011485471901E-2</v>
      </c>
      <c r="H378" s="158">
        <f t="shared" si="252"/>
        <v>-0.25640434588846372</v>
      </c>
      <c r="I378" s="158">
        <f t="shared" si="252"/>
        <v>0.77203714419553071</v>
      </c>
      <c r="J378" s="158">
        <f t="shared" si="252"/>
        <v>-0.59799561492170605</v>
      </c>
      <c r="K378" s="158">
        <f t="shared" si="252"/>
        <v>1.1010347161783196</v>
      </c>
      <c r="L378" s="158">
        <f t="shared" si="252"/>
        <v>0.13576780750041428</v>
      </c>
      <c r="M378" s="158">
        <f t="shared" si="252"/>
        <v>0.21647633790716725</v>
      </c>
      <c r="N378" s="158">
        <f t="shared" si="252"/>
        <v>-0.19627896130719391</v>
      </c>
      <c r="O378" s="158">
        <f t="shared" si="252"/>
        <v>0.2772345760885333</v>
      </c>
      <c r="P378" s="158">
        <f t="shared" si="252"/>
        <v>0.1468333809288922</v>
      </c>
      <c r="Q378" s="158">
        <f t="shared" si="252"/>
        <v>7.3384474772141495E-2</v>
      </c>
      <c r="R378" s="158">
        <f t="shared" si="252"/>
        <v>-0.19816098256676862</v>
      </c>
      <c r="S378" s="158">
        <f t="shared" si="252"/>
        <v>0.17487276600781154</v>
      </c>
      <c r="T378" s="158">
        <f t="shared" si="252"/>
        <v>0.16871505565909439</v>
      </c>
      <c r="U378" s="158">
        <f t="shared" si="252"/>
        <v>-0.26923583426115483</v>
      </c>
      <c r="V378" s="158">
        <f t="shared" si="252"/>
        <v>0.14177588466579305</v>
      </c>
      <c r="W378" s="158">
        <f t="shared" si="252"/>
        <v>0.19591069532527894</v>
      </c>
      <c r="X378" s="158">
        <f t="shared" si="252"/>
        <v>-3.4513208507003124E-2</v>
      </c>
      <c r="Y378" s="158">
        <f t="shared" si="252"/>
        <v>-0.30484198073347979</v>
      </c>
      <c r="Z378" s="158">
        <f t="shared" si="252"/>
        <v>0.1007182670065534</v>
      </c>
      <c r="AA378" s="158">
        <f t="shared" si="252"/>
        <v>0.83210555035859035</v>
      </c>
      <c r="AB378" s="158">
        <f t="shared" si="252"/>
        <v>-0.26185968010155047</v>
      </c>
      <c r="AC378" s="158">
        <f t="shared" si="252"/>
        <v>9.4583656578224318E-3</v>
      </c>
      <c r="AD378" s="158">
        <f t="shared" si="252"/>
        <v>0.21886844528407856</v>
      </c>
      <c r="AE378" s="158">
        <f t="shared" si="252"/>
        <v>0.23323709633655221</v>
      </c>
      <c r="AF378" s="158">
        <f t="shared" si="252"/>
        <v>-0.2964959739394295</v>
      </c>
      <c r="AG378" s="158">
        <f t="shared" si="252"/>
        <v>3.3185208518489384E-2</v>
      </c>
      <c r="AH378" s="158">
        <f t="shared" si="252"/>
        <v>0.13784805550595181</v>
      </c>
      <c r="AI378" s="158">
        <f t="shared" si="252"/>
        <v>1.4092054821786881E-2</v>
      </c>
      <c r="AJ378" s="158">
        <f t="shared" ref="AJ378" si="253">AJ377/AI377-1</f>
        <v>0.14770994383379632</v>
      </c>
      <c r="AK378" s="336">
        <f t="shared" ref="AK378" si="254">AK377/AJ377-1</f>
        <v>0.21401826281282843</v>
      </c>
      <c r="AL378" s="336">
        <f t="shared" si="252"/>
        <v>-0.36060790767605344</v>
      </c>
      <c r="AM378" s="336">
        <f t="shared" si="252"/>
        <v>0.44167492860835011</v>
      </c>
      <c r="AN378" s="336">
        <f t="shared" si="252"/>
        <v>0.23578836619478238</v>
      </c>
      <c r="AO378" s="336">
        <f t="shared" si="252"/>
        <v>3.6777820584166232E-3</v>
      </c>
      <c r="AP378" s="336">
        <f t="shared" si="252"/>
        <v>-0.20874576022196711</v>
      </c>
      <c r="AQ378" s="336">
        <f t="shared" si="252"/>
        <v>0.12973562972290309</v>
      </c>
      <c r="AR378" s="336">
        <f t="shared" si="252"/>
        <v>1.606943586671572E-2</v>
      </c>
      <c r="AS378" s="336">
        <f t="shared" si="252"/>
        <v>0.22748456623053404</v>
      </c>
      <c r="AT378" s="365">
        <f t="shared" si="252"/>
        <v>-9.0726802661235117E-3</v>
      </c>
      <c r="AU378" s="366">
        <f t="shared" si="252"/>
        <v>0.12845263455584144</v>
      </c>
      <c r="AV378" s="366">
        <f t="shared" si="252"/>
        <v>-3.1727521772275558E-2</v>
      </c>
      <c r="AW378" s="366">
        <f t="shared" si="252"/>
        <v>0.17180700288531248</v>
      </c>
      <c r="AX378" s="366">
        <f t="shared" si="252"/>
        <v>0.13901517546765896</v>
      </c>
      <c r="AY378" s="366">
        <f t="shared" si="252"/>
        <v>-0.20068269762964663</v>
      </c>
      <c r="AZ378" s="366">
        <f t="shared" si="252"/>
        <v>-3.5555618307626435E-2</v>
      </c>
      <c r="BA378" s="366">
        <f t="shared" si="252"/>
        <v>-0.19283909769574059</v>
      </c>
      <c r="BB378" s="366">
        <f t="shared" si="252"/>
        <v>0.72364549846103587</v>
      </c>
      <c r="BC378" s="366">
        <f t="shared" si="252"/>
        <v>-0.19289224077285982</v>
      </c>
      <c r="BD378" s="366">
        <f t="shared" si="252"/>
        <v>-3.6871563158004883E-2</v>
      </c>
      <c r="BE378" s="366">
        <f t="shared" si="252"/>
        <v>-0.18908495083177701</v>
      </c>
      <c r="BF378" s="366">
        <f t="shared" si="252"/>
        <v>0.87456834993818067</v>
      </c>
      <c r="BG378" s="366">
        <f t="shared" si="252"/>
        <v>-0.22021253980411704</v>
      </c>
      <c r="BH378" s="366">
        <f t="shared" si="252"/>
        <v>-3.3993906579186106E-2</v>
      </c>
      <c r="BI378" s="366">
        <f t="shared" ref="BI378" si="255">BI377/BH377-1</f>
        <v>-0.20613039994882332</v>
      </c>
      <c r="BJ378" s="366">
        <f t="shared" ref="BJ378" si="256">BJ377/BI377-1</f>
        <v>0.80200945556057235</v>
      </c>
      <c r="BK378" s="366">
        <f t="shared" ref="BK378" si="257">BK377/BJ377-1</f>
        <v>-0.22654669528789662</v>
      </c>
      <c r="BL378" s="366">
        <f t="shared" ref="BL378" si="258">BL377/BK377-1</f>
        <v>-3.4280274005452416E-2</v>
      </c>
      <c r="BM378" s="366">
        <f t="shared" ref="BM378" si="259">BM377/BL377-1</f>
        <v>-0.2111736140188194</v>
      </c>
      <c r="BN378" s="366">
        <f t="shared" ref="BN378" si="260">BN377/BM377-1</f>
        <v>0.55463918417709213</v>
      </c>
      <c r="BO378" s="366">
        <f t="shared" ref="BO378" si="261">BO377/BN377-1</f>
        <v>-0.18565975792189848</v>
      </c>
      <c r="BP378" s="366">
        <f t="shared" ref="BP378" si="262">BP377/BO377-1</f>
        <v>-4.0267767090435336E-2</v>
      </c>
      <c r="BQ378" s="366">
        <f t="shared" ref="BQ378" si="263">BQ377/BP377-1</f>
        <v>-0.18767397350494075</v>
      </c>
      <c r="BR378" s="366">
        <f t="shared" ref="BR378" si="264">BR377/BQ377-1</f>
        <v>0.4860306560372305</v>
      </c>
      <c r="BS378" s="366">
        <f t="shared" ref="BS378" si="265">BS377/BR377-1</f>
        <v>-0.15004957457669454</v>
      </c>
      <c r="BT378" s="366">
        <f t="shared" ref="BT378" si="266">BT377/BS377-1</f>
        <v>-4.482107858384432E-2</v>
      </c>
      <c r="BU378" s="366">
        <f t="shared" ref="BU378" si="267">BU377/BT377-1</f>
        <v>-0.16862198740680301</v>
      </c>
      <c r="BV378" s="366">
        <f t="shared" ref="BV378" si="268">BV377/BU377-1</f>
        <v>0.6794327986765385</v>
      </c>
      <c r="BW378" s="366">
        <f t="shared" ref="BW378" si="269">BW377/BV377-1</f>
        <v>-0.16559960462033108</v>
      </c>
      <c r="BX378" s="366">
        <f t="shared" ref="BX378" si="270">BX377/BW377-1</f>
        <v>-4.1255704027339246E-2</v>
      </c>
      <c r="BY378" s="366">
        <f t="shared" ref="BY378" si="271">BY377/BX377-1</f>
        <v>-0.17528619777120102</v>
      </c>
    </row>
    <row r="379" spans="1:80">
      <c r="AK379" s="106"/>
      <c r="AL379" s="106"/>
      <c r="AM379" s="106"/>
      <c r="AN379" s="106"/>
      <c r="AO379" s="106"/>
      <c r="AP379" s="106"/>
      <c r="AQ379" s="106"/>
      <c r="AR379" s="106"/>
      <c r="AS379" s="106"/>
      <c r="AT379" s="381"/>
      <c r="BI379" s="1401"/>
      <c r="BJ379" s="1401"/>
      <c r="BK379" s="1401"/>
      <c r="BL379" s="1401"/>
      <c r="BM379" s="1401"/>
      <c r="BN379" s="1401"/>
      <c r="BO379" s="1401"/>
      <c r="BP379" s="1401"/>
      <c r="BQ379" s="1401"/>
      <c r="BR379" s="1401"/>
      <c r="BS379" s="1401"/>
      <c r="BT379" s="1401"/>
      <c r="BU379" s="1401"/>
      <c r="BV379" s="1401"/>
      <c r="BW379" s="1401"/>
      <c r="BX379" s="1401"/>
      <c r="BY379" s="1401"/>
    </row>
    <row r="380" spans="1:80">
      <c r="A380" s="14" t="s">
        <v>1100</v>
      </c>
      <c r="AK380" s="106"/>
      <c r="AL380" s="106"/>
      <c r="AM380" s="106"/>
      <c r="AN380" s="106"/>
      <c r="AO380" s="106"/>
      <c r="AP380" s="106"/>
      <c r="AQ380" s="106"/>
      <c r="AR380" s="106"/>
      <c r="AS380" s="106"/>
      <c r="AT380" s="381"/>
      <c r="BI380" s="1401"/>
      <c r="BJ380" s="1401"/>
      <c r="BK380" s="1401"/>
      <c r="BL380" s="1401"/>
      <c r="BM380" s="1401"/>
      <c r="BN380" s="1401"/>
      <c r="BO380" s="1401"/>
      <c r="BP380" s="1401"/>
      <c r="BQ380" s="1401"/>
      <c r="BR380" s="1401"/>
      <c r="BS380" s="1401"/>
      <c r="BT380" s="1401"/>
      <c r="BU380" s="1401"/>
      <c r="BV380" s="1401"/>
      <c r="BW380" s="1401"/>
      <c r="BX380" s="1401"/>
      <c r="BY380" s="1401"/>
      <c r="BZ380" s="1401"/>
      <c r="CA380" s="1401"/>
      <c r="CB380" s="1401"/>
    </row>
    <row r="381" spans="1:80">
      <c r="A381" s="52" t="s">
        <v>1363</v>
      </c>
      <c r="B381" s="196">
        <f>Q_IS!M6</f>
        <v>24000</v>
      </c>
      <c r="L381" s="106"/>
      <c r="AK381" s="106"/>
      <c r="AL381" s="106"/>
      <c r="AM381" s="106"/>
      <c r="AN381" s="106"/>
      <c r="AO381" s="106"/>
      <c r="AP381" s="106"/>
      <c r="AQ381" s="106"/>
      <c r="AR381" s="106"/>
      <c r="AS381" s="106"/>
      <c r="AT381" s="381"/>
      <c r="BI381" s="1401"/>
      <c r="BJ381" s="1401"/>
      <c r="BK381" s="1401"/>
      <c r="BL381" s="1401"/>
      <c r="BM381" s="1401"/>
      <c r="BN381" s="1401"/>
      <c r="BO381" s="1401"/>
      <c r="BP381" s="1401"/>
      <c r="BQ381" s="1401"/>
      <c r="BR381" s="1401"/>
      <c r="BS381" s="1401"/>
      <c r="BT381" s="1401"/>
      <c r="BU381" s="1401"/>
      <c r="BV381" s="1401"/>
      <c r="BW381" s="1401"/>
      <c r="BX381" s="1401"/>
      <c r="BY381" s="1401"/>
      <c r="BZ381" s="1401"/>
    </row>
    <row r="382" spans="1:80">
      <c r="A382" s="52" t="s">
        <v>1551</v>
      </c>
      <c r="B382" s="196">
        <f>B381</f>
        <v>24000</v>
      </c>
      <c r="C382" s="196">
        <v>0</v>
      </c>
      <c r="L382" s="106"/>
      <c r="AK382" s="106"/>
      <c r="AL382" s="106"/>
      <c r="AM382" s="106"/>
      <c r="AN382" s="106"/>
      <c r="AO382" s="106"/>
      <c r="AP382" s="106"/>
      <c r="AQ382" s="106"/>
      <c r="AR382" s="106"/>
      <c r="AS382" s="106"/>
      <c r="AT382" s="381"/>
      <c r="BI382" s="1401"/>
      <c r="BJ382" s="1401"/>
      <c r="BK382" s="1401"/>
      <c r="BL382" s="1401"/>
      <c r="BM382" s="1401"/>
      <c r="BN382" s="1401"/>
      <c r="BO382" s="1401"/>
      <c r="BP382" s="1401"/>
      <c r="BQ382" s="1401"/>
      <c r="BR382" s="1401"/>
      <c r="BS382" s="1401"/>
      <c r="BT382" s="1401"/>
      <c r="BU382" s="1401"/>
      <c r="BV382" s="1401"/>
      <c r="BW382" s="1401"/>
      <c r="BX382" s="1401"/>
      <c r="BY382" s="1401"/>
      <c r="BZ382" s="1401"/>
    </row>
    <row r="383" spans="1:80">
      <c r="A383" s="52" t="s">
        <v>1550</v>
      </c>
      <c r="B383" s="196">
        <f>B382+C382</f>
        <v>24000</v>
      </c>
      <c r="C383" s="196">
        <v>0</v>
      </c>
      <c r="L383" s="106"/>
      <c r="AK383" s="106"/>
      <c r="AL383" s="106"/>
      <c r="AM383" s="106"/>
      <c r="AN383" s="106"/>
      <c r="AO383" s="106"/>
      <c r="AP383" s="106"/>
      <c r="AQ383" s="106"/>
      <c r="AR383" s="106"/>
      <c r="AS383" s="106"/>
      <c r="AT383" s="381"/>
      <c r="BI383" s="1401"/>
      <c r="BJ383" s="1401"/>
      <c r="BK383" s="1401"/>
      <c r="BL383" s="1401"/>
      <c r="BM383" s="1401"/>
      <c r="BN383" s="1401"/>
      <c r="BO383" s="1401"/>
      <c r="BP383" s="1401"/>
      <c r="BQ383" s="1401"/>
      <c r="BR383" s="1401"/>
      <c r="BS383" s="1401"/>
      <c r="BT383" s="1401"/>
      <c r="BU383" s="1401"/>
      <c r="BV383" s="1401"/>
      <c r="BW383" s="1401"/>
      <c r="BX383" s="1401"/>
      <c r="BY383" s="1401"/>
    </row>
    <row r="384" spans="1:80">
      <c r="A384" s="52" t="s">
        <v>46</v>
      </c>
      <c r="B384" s="196">
        <f>B383+C383</f>
        <v>24000</v>
      </c>
      <c r="C384" s="196">
        <f>B385-B381-C383-C382</f>
        <v>0</v>
      </c>
      <c r="L384" s="106"/>
      <c r="AK384" s="106"/>
      <c r="AL384" s="106"/>
      <c r="AM384" s="106"/>
      <c r="AN384" s="106"/>
      <c r="AO384" s="106"/>
      <c r="AP384" s="106"/>
      <c r="AQ384" s="106"/>
      <c r="AR384" s="106"/>
      <c r="AS384" s="106"/>
      <c r="AT384" s="381"/>
      <c r="BI384" s="1401"/>
      <c r="BJ384" s="1401"/>
      <c r="BK384" s="1401"/>
      <c r="BL384" s="1401"/>
      <c r="BM384" s="1401"/>
      <c r="BN384" s="1401"/>
      <c r="BO384" s="1401"/>
      <c r="BP384" s="1401"/>
      <c r="BQ384" s="1401"/>
      <c r="BR384" s="1401"/>
      <c r="BS384" s="1401"/>
      <c r="BT384" s="1401"/>
      <c r="BU384" s="1401"/>
      <c r="BV384" s="1401"/>
      <c r="BW384" s="1401"/>
      <c r="BX384" s="1401"/>
      <c r="BY384" s="1401"/>
    </row>
    <row r="385" spans="1:78">
      <c r="A385" s="52" t="s">
        <v>1599</v>
      </c>
      <c r="B385" s="196">
        <f>Q_IS!N6</f>
        <v>24000</v>
      </c>
      <c r="L385" s="106"/>
      <c r="AK385" s="106"/>
      <c r="AL385" s="106"/>
      <c r="AM385" s="106"/>
      <c r="AN385" s="106"/>
      <c r="AO385" s="106"/>
      <c r="AP385" s="106"/>
      <c r="AQ385" s="106"/>
      <c r="AR385" s="106"/>
      <c r="AS385" s="106"/>
      <c r="AT385" s="381"/>
      <c r="BI385" s="1401"/>
      <c r="BJ385" s="1401"/>
      <c r="BK385" s="1401"/>
      <c r="BL385" s="1401"/>
      <c r="BM385" s="1401"/>
      <c r="BN385" s="1401"/>
      <c r="BO385" s="1401"/>
      <c r="BP385" s="1401"/>
      <c r="BQ385" s="1401"/>
      <c r="BR385" s="1401"/>
      <c r="BS385" s="1401"/>
      <c r="BT385" s="1401"/>
      <c r="BU385" s="1401"/>
      <c r="BV385" s="1401"/>
      <c r="BW385" s="1401"/>
      <c r="BX385" s="1401"/>
      <c r="BY385" s="1401"/>
    </row>
    <row r="386" spans="1:78">
      <c r="L386" s="106"/>
      <c r="AK386" s="106"/>
      <c r="AL386" s="106"/>
      <c r="AM386" s="106"/>
      <c r="AN386" s="106"/>
      <c r="AO386" s="106"/>
      <c r="AP386" s="106"/>
      <c r="AQ386" s="106"/>
      <c r="AR386" s="106"/>
      <c r="AS386" s="106"/>
      <c r="AT386" s="381"/>
      <c r="BI386" s="1401"/>
      <c r="BJ386" s="1401"/>
      <c r="BK386" s="1401"/>
      <c r="BL386" s="1401"/>
      <c r="BM386" s="1401"/>
      <c r="BN386" s="1401"/>
      <c r="BO386" s="1401"/>
      <c r="BP386" s="1401"/>
      <c r="BQ386" s="1401"/>
      <c r="BR386" s="1401"/>
      <c r="BS386" s="1401"/>
      <c r="BT386" s="1401"/>
      <c r="BU386" s="1401"/>
      <c r="BV386" s="1401"/>
      <c r="BW386" s="1401"/>
      <c r="BX386" s="1401"/>
      <c r="BY386" s="1401"/>
    </row>
    <row r="387" spans="1:78">
      <c r="A387" s="14"/>
      <c r="L387" s="106"/>
      <c r="AK387" s="106"/>
      <c r="AL387" s="106"/>
      <c r="AM387" s="106"/>
      <c r="AN387" s="106"/>
      <c r="AO387" s="106"/>
      <c r="AP387" s="106"/>
      <c r="AQ387" s="106"/>
      <c r="AR387" s="106"/>
      <c r="AS387" s="106"/>
      <c r="AT387" s="381"/>
      <c r="BI387" s="1401"/>
      <c r="BJ387" s="1401"/>
      <c r="BK387" s="1401"/>
      <c r="BL387" s="1401"/>
      <c r="BM387" s="1401"/>
      <c r="BN387" s="1401"/>
      <c r="BO387" s="1401"/>
      <c r="BP387" s="1401"/>
      <c r="BQ387" s="1401"/>
      <c r="BR387" s="1401"/>
      <c r="BS387" s="1401"/>
      <c r="BT387" s="1401"/>
      <c r="BU387" s="1401"/>
      <c r="BV387" s="1401"/>
      <c r="BW387" s="1401"/>
      <c r="BX387" s="1401"/>
      <c r="BY387" s="1401"/>
    </row>
    <row r="388" spans="1:78">
      <c r="A388" s="14" t="s">
        <v>888</v>
      </c>
      <c r="B388" s="983">
        <f>Q_IS!X9</f>
        <v>3754</v>
      </c>
      <c r="C388" s="983">
        <f>Q_IS!Y9</f>
        <v>4882</v>
      </c>
      <c r="D388" s="983">
        <f>Q_IS!Z9</f>
        <v>640</v>
      </c>
      <c r="E388" s="983">
        <f>Q_IS!AA9</f>
        <v>0</v>
      </c>
      <c r="F388" s="983">
        <f>Q_IS!AB9</f>
        <v>3199</v>
      </c>
      <c r="G388" s="983">
        <f>Q_IS!AC9</f>
        <v>4679</v>
      </c>
      <c r="H388" s="983">
        <f>Q_IS!AD9</f>
        <v>2340</v>
      </c>
      <c r="I388" s="983">
        <f>Q_IS!AE9</f>
        <v>0</v>
      </c>
      <c r="J388" s="983">
        <f>Q_IS!AF9</f>
        <v>2996</v>
      </c>
      <c r="K388" s="983">
        <f>Q_IS!AG9</f>
        <v>5674</v>
      </c>
      <c r="L388" s="935">
        <f>Q_IS!AH9</f>
        <v>3331</v>
      </c>
      <c r="M388" s="983">
        <f>Q_IS!AI9</f>
        <v>0</v>
      </c>
      <c r="N388" s="983">
        <f>Q_IS!AJ9</f>
        <v>4484</v>
      </c>
      <c r="O388" s="983">
        <f>Q_IS!AK9</f>
        <v>4982</v>
      </c>
      <c r="P388" s="983">
        <f>Q_IS!AL9</f>
        <v>3457</v>
      </c>
      <c r="Q388" s="983">
        <f>Q_IS!AM9</f>
        <v>0</v>
      </c>
      <c r="R388" s="983">
        <f>Q_IS!AN9</f>
        <v>5252</v>
      </c>
      <c r="S388" s="983">
        <f>Q_IS!AO9</f>
        <v>5561</v>
      </c>
      <c r="T388" s="983">
        <f>Q_IS!AP9</f>
        <v>2254</v>
      </c>
      <c r="U388" s="983">
        <f>Q_IS!AQ9</f>
        <v>0</v>
      </c>
      <c r="V388" s="983">
        <f>Q_IS!AR9</f>
        <v>3648</v>
      </c>
      <c r="W388" s="983">
        <f>Q_IS!AS9</f>
        <v>5035</v>
      </c>
      <c r="X388" s="983">
        <f>Q_IS!AT9</f>
        <v>1907</v>
      </c>
      <c r="Y388" s="983">
        <f>Q_IS!AU9</f>
        <v>0</v>
      </c>
      <c r="Z388" s="983">
        <f>Q_IS!AV9</f>
        <v>2918</v>
      </c>
      <c r="AA388" s="983">
        <f>Q_IS!AW9</f>
        <v>6036</v>
      </c>
      <c r="AB388" s="983">
        <f>Q_IS!AX9</f>
        <v>3931</v>
      </c>
      <c r="AC388" s="983">
        <f>Q_IS!AY9</f>
        <v>0</v>
      </c>
      <c r="AD388" s="983">
        <f>Q_IS!AZ9</f>
        <v>5543</v>
      </c>
      <c r="AE388" s="983">
        <f>Q_IS!BA9</f>
        <v>6097</v>
      </c>
      <c r="AF388" s="983">
        <f>Q_IS!BB9</f>
        <v>3952</v>
      </c>
      <c r="AG388" s="983">
        <f>Q_IS!BC9</f>
        <v>0</v>
      </c>
      <c r="AH388" s="983">
        <f>Q_IS!BD9</f>
        <v>6467</v>
      </c>
      <c r="AI388" s="983">
        <f>Q_IS!BE9</f>
        <v>8691</v>
      </c>
      <c r="AJ388" s="983">
        <f>Q_IS!BF9</f>
        <v>3559</v>
      </c>
      <c r="AK388" s="935">
        <f>Q_IS!BG9</f>
        <v>0</v>
      </c>
      <c r="AL388" s="935">
        <f>Q_IS!BH9</f>
        <v>7409</v>
      </c>
      <c r="AM388" s="935">
        <f>Q_IS!BI9</f>
        <v>7628</v>
      </c>
      <c r="AN388" s="935">
        <f>Q_IS!BJ9</f>
        <v>4987</v>
      </c>
      <c r="AO388" s="935">
        <f>Q_IS!BK9</f>
        <v>0</v>
      </c>
      <c r="AP388" s="935">
        <f>Q_IS!BL9</f>
        <v>8186</v>
      </c>
      <c r="AQ388" s="935">
        <f>Q_IS!BM9</f>
        <v>8346</v>
      </c>
      <c r="AR388" s="935">
        <f>Q_IS!BN9</f>
        <v>2749</v>
      </c>
      <c r="AS388" s="935">
        <f>Q_IS!BO9</f>
        <v>0</v>
      </c>
      <c r="AT388" s="1046">
        <f>Q_IS!BP9</f>
        <v>8739</v>
      </c>
      <c r="AU388" s="1598">
        <f>Q_IS!BQ9</f>
        <v>9365.9999999999982</v>
      </c>
      <c r="AV388" s="1598">
        <f>Q_IS!BR9</f>
        <v>3179.435713915253</v>
      </c>
      <c r="AW388" s="1598">
        <f>Q_IS!BS9</f>
        <v>22.258053563772158</v>
      </c>
      <c r="AX388" s="1598">
        <f>Q_IS!BT9</f>
        <v>10218.921544147022</v>
      </c>
      <c r="AY388" s="1598">
        <f>Q_IS!BU9</f>
        <v>9834.2999999999975</v>
      </c>
      <c r="AZ388" s="1598">
        <f>Q_IS!BV9</f>
        <v>3361.778455852977</v>
      </c>
      <c r="BA388" s="1598">
        <f>Q_IS!BW9</f>
        <v>0</v>
      </c>
      <c r="BB388" s="1598">
        <f>Q_IS!BX9</f>
        <v>10423.299975029962</v>
      </c>
      <c r="BC388" s="1598">
        <f>Q_IS!BY9</f>
        <v>10030.985999999997</v>
      </c>
      <c r="BD388" s="1598">
        <f>Q_IS!BZ9</f>
        <v>3429.0140249700366</v>
      </c>
      <c r="BE388" s="1598">
        <f>Q_IS!CA9</f>
        <v>0</v>
      </c>
      <c r="BF388" s="1598">
        <f>Q_IS!CB9</f>
        <v>10735.998974280861</v>
      </c>
      <c r="BG388" s="1598">
        <f>Q_IS!CC9</f>
        <v>10331.915579999997</v>
      </c>
      <c r="BH388" s="1598">
        <f>Q_IS!CD9</f>
        <v>3531.8844457191376</v>
      </c>
      <c r="BI388" s="1598">
        <f>Q_IS!CE9</f>
        <v>0</v>
      </c>
      <c r="BJ388" s="1598">
        <f>Q_IS!CF9</f>
        <v>10929.246955817916</v>
      </c>
      <c r="BK388" s="1598">
        <f>Q_IS!CG9</f>
        <v>10517.890060439999</v>
      </c>
      <c r="BL388" s="1598">
        <f>Q_IS!CH9</f>
        <v>3595.4583657420822</v>
      </c>
      <c r="BM388" s="1598">
        <f>Q_IS!CI9</f>
        <v>0</v>
      </c>
      <c r="BN388" s="1598">
        <f>Q_IS!CJ9</f>
        <v>11125.97340102264</v>
      </c>
      <c r="BO388" s="1598">
        <f>Q_IS!CK9</f>
        <v>10707.21208152792</v>
      </c>
      <c r="BP388" s="1598">
        <f>Q_IS!CL9</f>
        <v>3660.1766163254401</v>
      </c>
      <c r="BQ388" s="1598">
        <f>Q_IS!CM9</f>
        <v>0</v>
      </c>
      <c r="BR388" s="1598">
        <f>Q_IS!CN9</f>
        <v>11326.240922241048</v>
      </c>
      <c r="BS388" s="1598">
        <f>Q_IS!CO9</f>
        <v>10899.941898995421</v>
      </c>
      <c r="BT388" s="1598">
        <f>Q_IS!CP9</f>
        <v>3726.0597954192981</v>
      </c>
      <c r="BU388" s="1598">
        <f>Q_IS!CQ9</f>
        <v>0</v>
      </c>
      <c r="BV388" s="1598">
        <f>Q_IS!CR9</f>
        <v>11530.113258841388</v>
      </c>
      <c r="BW388" s="1598">
        <f>Q_IS!CS9</f>
        <v>11096.14085317734</v>
      </c>
      <c r="BX388" s="1598">
        <f>Q_IS!CT9</f>
        <v>3793.1288717368457</v>
      </c>
      <c r="BY388" s="1598">
        <f>Q_IS!CU9</f>
        <v>0</v>
      </c>
    </row>
    <row r="389" spans="1:78">
      <c r="A389" s="52" t="s">
        <v>1142</v>
      </c>
      <c r="B389" s="983" t="e">
        <f>Q_IS!X19</f>
        <v>#N/A</v>
      </c>
      <c r="C389" s="983" t="e">
        <f>Q_IS!Y19</f>
        <v>#N/A</v>
      </c>
      <c r="D389" s="983" t="e">
        <f>Q_IS!Z19</f>
        <v>#N/A</v>
      </c>
      <c r="E389" s="983" t="e">
        <f>Q_IS!AA19</f>
        <v>#N/A</v>
      </c>
      <c r="F389" s="983" t="e">
        <f>Q_IS!AB19</f>
        <v>#N/A</v>
      </c>
      <c r="G389" s="983" t="e">
        <f>Q_IS!AC19</f>
        <v>#N/A</v>
      </c>
      <c r="H389" s="983" t="e">
        <f>Q_IS!AD19</f>
        <v>#N/A</v>
      </c>
      <c r="I389" s="983" t="e">
        <f>Q_IS!AE19</f>
        <v>#N/A</v>
      </c>
      <c r="J389" s="983" t="e">
        <f>Q_IS!AF19</f>
        <v>#N/A</v>
      </c>
      <c r="K389" s="983" t="e">
        <f>Q_IS!AG19</f>
        <v>#N/A</v>
      </c>
      <c r="L389" s="935" t="e">
        <f>Q_IS!AH19</f>
        <v>#N/A</v>
      </c>
      <c r="M389" s="983" t="e">
        <f>Q_IS!AI19</f>
        <v>#N/A</v>
      </c>
      <c r="N389" s="983" t="e">
        <f>Q_IS!AJ19</f>
        <v>#N/A</v>
      </c>
      <c r="O389" s="983" t="e">
        <f>Q_IS!AK19</f>
        <v>#N/A</v>
      </c>
      <c r="P389" s="983" t="e">
        <f>Q_IS!AL19</f>
        <v>#N/A</v>
      </c>
      <c r="Q389" s="983" t="e">
        <f>Q_IS!AM19</f>
        <v>#N/A</v>
      </c>
      <c r="R389" s="983" t="e">
        <f>Q_IS!AN19</f>
        <v>#N/A</v>
      </c>
      <c r="S389" s="983" t="e">
        <f>Q_IS!AO19</f>
        <v>#N/A</v>
      </c>
      <c r="T389" s="983" t="e">
        <f>Q_IS!AP19</f>
        <v>#N/A</v>
      </c>
      <c r="U389" s="983" t="e">
        <f>Q_IS!AQ19</f>
        <v>#N/A</v>
      </c>
      <c r="V389" s="983" t="e">
        <f>Q_IS!AR19</f>
        <v>#N/A</v>
      </c>
      <c r="W389" s="983" t="e">
        <f>Q_IS!AS19</f>
        <v>#N/A</v>
      </c>
      <c r="X389" s="983" t="e">
        <f>Q_IS!AT19</f>
        <v>#N/A</v>
      </c>
      <c r="Y389" s="983" t="e">
        <f>Q_IS!AU19</f>
        <v>#N/A</v>
      </c>
      <c r="Z389" s="983" t="e">
        <f>Q_IS!AV19</f>
        <v>#N/A</v>
      </c>
      <c r="AA389" s="983">
        <f>Q_IS!AW19</f>
        <v>90.2</v>
      </c>
      <c r="AB389" s="983">
        <f>Q_IS!AX19</f>
        <v>84.889977105062329</v>
      </c>
      <c r="AC389" s="983">
        <f>Q_IS!AY19</f>
        <v>88.58</v>
      </c>
      <c r="AD389" s="983">
        <f>Q_IS!AZ19</f>
        <v>81.790000000000006</v>
      </c>
      <c r="AE389" s="983">
        <f>Q_IS!BA19</f>
        <v>116.55536001312122</v>
      </c>
      <c r="AF389" s="983">
        <f>Q_IS!BB19</f>
        <v>98.027327935222672</v>
      </c>
      <c r="AG389" s="983">
        <f>Q_IS!BC19</f>
        <v>99.47</v>
      </c>
      <c r="AH389" s="983">
        <f>Q_IS!BD19</f>
        <v>93.33</v>
      </c>
      <c r="AI389" s="983">
        <f>Q_IS!BE19</f>
        <v>83.266525140950407</v>
      </c>
      <c r="AJ389" s="983">
        <f>Q_IS!BF19</f>
        <v>87.770362461365551</v>
      </c>
      <c r="AK389" s="935">
        <f>Q_IS!BG19</f>
        <v>87.6</v>
      </c>
      <c r="AL389" s="935">
        <f>Q_IS!BH19</f>
        <v>83.2</v>
      </c>
      <c r="AM389" s="935">
        <f>Q_IS!BI19</f>
        <v>85.171289984268498</v>
      </c>
      <c r="AN389" s="935">
        <f>Q_IS!BJ19</f>
        <v>91.02590735913374</v>
      </c>
      <c r="AO389" s="935">
        <f>Q_IS!BK19</f>
        <v>85.9</v>
      </c>
      <c r="AP389" s="935">
        <f>Q_IS!BL19</f>
        <v>85.4</v>
      </c>
      <c r="AQ389" s="935">
        <f>Q_IS!BM19</f>
        <v>76.486268871315602</v>
      </c>
      <c r="AR389" s="935">
        <f>Q_IS!BN19</f>
        <v>65.469588941433216</v>
      </c>
      <c r="AS389" s="935">
        <f>Q_IS!BO19</f>
        <v>78.7</v>
      </c>
      <c r="AT389" s="1046">
        <f>Q_IS!BP19</f>
        <v>86</v>
      </c>
      <c r="AU389" s="1598">
        <f>Q_IS!BQ19</f>
        <v>91.083924624497243</v>
      </c>
      <c r="AV389" s="1598">
        <f>Q_IS!BR19</f>
        <v>91.083924624497243</v>
      </c>
      <c r="AW389" s="1598">
        <f>Q_IS!BS19</f>
        <v>91.083924624497243</v>
      </c>
      <c r="AX389" s="1598">
        <f>Q_IS!BT19</f>
        <v>95.638120855722107</v>
      </c>
      <c r="AY389" s="1598">
        <f>Q_IS!BU19</f>
        <v>95.638120855722107</v>
      </c>
      <c r="AZ389" s="1598">
        <f>Q_IS!BV19</f>
        <v>95.638120855722107</v>
      </c>
      <c r="BA389" s="1598">
        <f>Q_IS!BW19</f>
        <v>95.638120855722107</v>
      </c>
      <c r="BB389" s="1598">
        <f>Q_IS!BX19</f>
        <v>95.638120855722107</v>
      </c>
      <c r="BC389" s="1598">
        <f>Q_IS!BY19</f>
        <v>95.638120855722107</v>
      </c>
      <c r="BD389" s="1598">
        <f>Q_IS!BZ19</f>
        <v>95.638120855722107</v>
      </c>
      <c r="BE389" s="1598">
        <f>Q_IS!CA19</f>
        <v>95.638120855722107</v>
      </c>
      <c r="BF389" s="1598">
        <f>Q_IS!CB19</f>
        <v>96.612894010597728</v>
      </c>
      <c r="BG389" s="1598">
        <f>Q_IS!CC19</f>
        <v>96.612894010597728</v>
      </c>
      <c r="BH389" s="1598">
        <f>Q_IS!CD19</f>
        <v>96.612894010597728</v>
      </c>
      <c r="BI389" s="1598">
        <f>Q_IS!CE19</f>
        <v>96.612894010597728</v>
      </c>
      <c r="BJ389" s="1598">
        <f>Q_IS!CF19</f>
        <v>96.496229383867927</v>
      </c>
      <c r="BK389" s="1598">
        <f>Q_IS!CG19</f>
        <v>96.496229383867927</v>
      </c>
      <c r="BL389" s="1598">
        <f>Q_IS!CH19</f>
        <v>96.496229383867927</v>
      </c>
      <c r="BM389" s="1598">
        <f>Q_IS!CI19</f>
        <v>96.496229383867927</v>
      </c>
      <c r="BN389" s="1598">
        <f>Q_IS!CJ19</f>
        <v>96.414028892170592</v>
      </c>
      <c r="BO389" s="1598">
        <f>Q_IS!CK19</f>
        <v>96.414028892170592</v>
      </c>
      <c r="BP389" s="1598">
        <f>Q_IS!CL19</f>
        <v>96.414028892170592</v>
      </c>
      <c r="BQ389" s="1598">
        <f>Q_IS!CM19</f>
        <v>96.414028892170592</v>
      </c>
      <c r="BR389" s="1598">
        <f>Q_IS!CN19</f>
        <v>96.364945386552762</v>
      </c>
      <c r="BS389" s="1598">
        <f>Q_IS!CO19</f>
        <v>96.364945386552762</v>
      </c>
      <c r="BT389" s="1598">
        <f>Q_IS!CP19</f>
        <v>96.364945386552762</v>
      </c>
      <c r="BU389" s="1598">
        <f>Q_IS!CQ19</f>
        <v>96.364945386552762</v>
      </c>
      <c r="BV389" s="1598">
        <f>Q_IS!CR19</f>
        <v>96.34773736059087</v>
      </c>
      <c r="BW389" s="1598">
        <f>Q_IS!CS19</f>
        <v>96.34773736059087</v>
      </c>
      <c r="BX389" s="1598">
        <f>Q_IS!CT19</f>
        <v>96.34773736059087</v>
      </c>
      <c r="BY389" s="1598">
        <f>Q_IS!CU19</f>
        <v>96.34773736059087</v>
      </c>
    </row>
    <row r="390" spans="1:78">
      <c r="A390" s="52" t="s">
        <v>1141</v>
      </c>
      <c r="B390" s="983" t="str">
        <f>Q_IS!X18</f>
        <v>ND</v>
      </c>
      <c r="C390" s="983" t="str">
        <f>Q_IS!Y18</f>
        <v>ND</v>
      </c>
      <c r="D390" s="983" t="str">
        <f>Q_IS!Z18</f>
        <v>ND</v>
      </c>
      <c r="E390" s="983" t="str">
        <f>Q_IS!AA18</f>
        <v>ND</v>
      </c>
      <c r="F390" s="983" t="str">
        <f>Q_IS!AB18</f>
        <v>ND</v>
      </c>
      <c r="G390" s="983" t="str">
        <f>Q_IS!AC18</f>
        <v>ND</v>
      </c>
      <c r="H390" s="983" t="str">
        <f>Q_IS!AD18</f>
        <v>ND</v>
      </c>
      <c r="I390" s="983" t="str">
        <f>Q_IS!AE18</f>
        <v>ND</v>
      </c>
      <c r="J390" s="983" t="str">
        <f>Q_IS!AF18</f>
        <v>ND</v>
      </c>
      <c r="K390" s="983" t="str">
        <f>Q_IS!AG18</f>
        <v>ND</v>
      </c>
      <c r="L390" s="935" t="str">
        <f>Q_IS!AH18</f>
        <v>ND</v>
      </c>
      <c r="M390" s="983" t="str">
        <f>Q_IS!AI18</f>
        <v>ND</v>
      </c>
      <c r="N390" s="983" t="str">
        <f>Q_IS!AJ18</f>
        <v>ND</v>
      </c>
      <c r="O390" s="983" t="str">
        <f>Q_IS!AK18</f>
        <v>ND</v>
      </c>
      <c r="P390" s="983" t="str">
        <f>Q_IS!AL18</f>
        <v>ND</v>
      </c>
      <c r="Q390" s="983" t="str">
        <f>Q_IS!AM18</f>
        <v>ND</v>
      </c>
      <c r="R390" s="983" t="str">
        <f>Q_IS!AN18</f>
        <v>ND</v>
      </c>
      <c r="S390" s="983" t="str">
        <f>Q_IS!AO18</f>
        <v>ND</v>
      </c>
      <c r="T390" s="983" t="str">
        <f>Q_IS!AP18</f>
        <v>ND</v>
      </c>
      <c r="U390" s="983" t="str">
        <f>Q_IS!AQ18</f>
        <v>ND</v>
      </c>
      <c r="V390" s="983" t="str">
        <f>Q_IS!AR18</f>
        <v>ND</v>
      </c>
      <c r="W390" s="983" t="str">
        <f>Q_IS!AS18</f>
        <v>ND</v>
      </c>
      <c r="X390" s="983" t="str">
        <f>Q_IS!AT18</f>
        <v>ND</v>
      </c>
      <c r="Y390" s="983" t="str">
        <f>Q_IS!AU18</f>
        <v>ND</v>
      </c>
      <c r="Z390" s="983">
        <f>Q_IS!AV18</f>
        <v>122.3440712816998</v>
      </c>
      <c r="AA390" s="983">
        <f>Q_IS!AW18</f>
        <v>144.96355202120608</v>
      </c>
      <c r="AB390" s="983">
        <f>Q_IS!AX18</f>
        <v>142.71177817349275</v>
      </c>
      <c r="AC390" s="983" t="str">
        <f>Q_IS!AY18</f>
        <v>NM</v>
      </c>
      <c r="AD390" s="983">
        <f>Q_IS!AZ18</f>
        <v>127.00703590113658</v>
      </c>
      <c r="AE390" s="983">
        <f>Q_IS!BA18</f>
        <v>146.13744464490733</v>
      </c>
      <c r="AF390" s="983">
        <f>Q_IS!BB18</f>
        <v>136.89271255060729</v>
      </c>
      <c r="AG390" s="983" t="str">
        <f>Q_IS!BC18</f>
        <v>NM</v>
      </c>
      <c r="AH390" s="983">
        <f>Q_IS!BD18</f>
        <v>129.89021184475027</v>
      </c>
      <c r="AI390" s="983">
        <f>Q_IS!BE18</f>
        <v>149.34990219767573</v>
      </c>
      <c r="AJ390" s="983">
        <f>Q_IS!BF18</f>
        <v>143.86063500983423</v>
      </c>
      <c r="AK390" s="935" t="str">
        <f>Q_IS!BG18</f>
        <v>NM</v>
      </c>
      <c r="AL390" s="935">
        <f>Q_IS!BH18</f>
        <v>118.77446349034958</v>
      </c>
      <c r="AM390" s="935">
        <f>Q_IS!BI18</f>
        <v>141.19035133717881</v>
      </c>
      <c r="AN390" s="935">
        <f>Q_IS!BJ18</f>
        <v>125.12532584720273</v>
      </c>
      <c r="AO390" s="935" t="str">
        <f>Q_IS!BK18</f>
        <v>NM</v>
      </c>
      <c r="AP390" s="935">
        <f>Q_IS!BL18</f>
        <v>122.40410456877596</v>
      </c>
      <c r="AQ390" s="935">
        <f>Q_IS!BM18</f>
        <v>135.75365444524323</v>
      </c>
      <c r="AR390" s="935">
        <f>Q_IS!BN18</f>
        <v>137.14077846489633</v>
      </c>
      <c r="AS390" s="935" t="str">
        <f>Q_IS!BO18</f>
        <v>NM</v>
      </c>
      <c r="AT390" s="1046">
        <f>Q_IS!BP18</f>
        <v>124.9570889117748</v>
      </c>
      <c r="AU390" s="1598">
        <f>Q_IS!BQ18</f>
        <v>132.61717394063814</v>
      </c>
      <c r="AV390" s="1598">
        <f>Q_IS!BR18</f>
        <v>142.92573714758703</v>
      </c>
      <c r="AW390" s="1598" t="str">
        <f>Q_IS!BS18</f>
        <v>NM</v>
      </c>
      <c r="AX390" s="1598">
        <f>Q_IS!BT18</f>
        <v>133.5</v>
      </c>
      <c r="AY390" s="1598">
        <f>Q_IS!BU18</f>
        <v>136.34763702940839</v>
      </c>
      <c r="AZ390" s="1598">
        <f>Q_IS!BV18</f>
        <v>135.34736297059158</v>
      </c>
      <c r="BA390" s="1598" t="str">
        <f>Q_IS!BW18</f>
        <v>NM</v>
      </c>
      <c r="BB390" s="1598">
        <f>Q_IS!BX18</f>
        <v>135.06499999999997</v>
      </c>
      <c r="BC390" s="1598">
        <f>Q_IS!BY18</f>
        <v>135.58666666666662</v>
      </c>
      <c r="BD390" s="1598">
        <f>Q_IS!BZ18</f>
        <v>136.56930833333325</v>
      </c>
      <c r="BE390" s="1598" t="str">
        <f>Q_IS!CA18</f>
        <v>NM</v>
      </c>
      <c r="BF390" s="1598">
        <f>Q_IS!CB18</f>
        <v>135.74032499999996</v>
      </c>
      <c r="BG390" s="1598">
        <f>Q_IS!CC18</f>
        <v>135.96543333333329</v>
      </c>
      <c r="BH390" s="1598">
        <f>Q_IS!CD18</f>
        <v>137.55132154166654</v>
      </c>
      <c r="BI390" s="1598" t="str">
        <f>Q_IS!CE18</f>
        <v>NM</v>
      </c>
      <c r="BJ390" s="1598">
        <f>Q_IS!CF18</f>
        <v>136.41902662499993</v>
      </c>
      <c r="BK390" s="1598">
        <f>Q_IS!CG18</f>
        <v>136.64526049999992</v>
      </c>
      <c r="BL390" s="1598">
        <f>Q_IS!CH18</f>
        <v>138.2390781493749</v>
      </c>
      <c r="BM390" s="1598" t="str">
        <f>Q_IS!CI18</f>
        <v>NM</v>
      </c>
      <c r="BN390" s="1598">
        <f>Q_IS!CJ18</f>
        <v>137.10112175812492</v>
      </c>
      <c r="BO390" s="1598">
        <f>Q_IS!CK18</f>
        <v>137.32848680249992</v>
      </c>
      <c r="BP390" s="1598">
        <f>Q_IS!CL18</f>
        <v>138.93027354012173</v>
      </c>
      <c r="BQ390" s="1598" t="str">
        <f>Q_IS!CM18</f>
        <v>NM</v>
      </c>
      <c r="BR390" s="1598">
        <f>Q_IS!CN18</f>
        <v>137.78662736691552</v>
      </c>
      <c r="BS390" s="1598">
        <f>Q_IS!CO18</f>
        <v>138.01512923651239</v>
      </c>
      <c r="BT390" s="1598">
        <f>Q_IS!CP18</f>
        <v>139.62492490782228</v>
      </c>
      <c r="BU390" s="1598" t="str">
        <f>Q_IS!CQ18</f>
        <v>NM</v>
      </c>
      <c r="BV390" s="1598">
        <f>Q_IS!CR18</f>
        <v>138.47556050375007</v>
      </c>
      <c r="BW390" s="1598">
        <f>Q_IS!CS18</f>
        <v>138.70520488269491</v>
      </c>
      <c r="BX390" s="1598">
        <f>Q_IS!CT18</f>
        <v>140.32304953236144</v>
      </c>
      <c r="BY390" s="1598" t="str">
        <f>Q_IS!CU18</f>
        <v>NM</v>
      </c>
    </row>
    <row r="391" spans="1:78">
      <c r="A391" s="751" t="s">
        <v>882</v>
      </c>
      <c r="B391" s="196">
        <f>Q_IS!X81</f>
        <v>530.86401491058086</v>
      </c>
      <c r="C391" s="196">
        <f>Q_IS!Y81</f>
        <v>747.76834194865557</v>
      </c>
      <c r="D391" s="196">
        <f>Q_IS!Z81</f>
        <v>581.3303756107797</v>
      </c>
      <c r="E391" s="196">
        <f>Q_IS!AA81</f>
        <v>541.71727847801742</v>
      </c>
      <c r="F391" s="196">
        <f>Q_IS!AB81</f>
        <v>467.79859484777529</v>
      </c>
      <c r="G391" s="196">
        <f>Q_IS!AC81</f>
        <v>453.39606679723255</v>
      </c>
      <c r="H391" s="196">
        <f>Q_IS!AD81</f>
        <v>402.51149435731548</v>
      </c>
      <c r="I391" s="196">
        <f>Q_IS!AE81</f>
        <v>468.74823272151463</v>
      </c>
      <c r="J391" s="196">
        <f>Q_IS!AF81</f>
        <v>400.9277481023334</v>
      </c>
      <c r="K391" s="196">
        <f>Q_IS!AG81</f>
        <v>404.64459724056286</v>
      </c>
      <c r="L391" s="202">
        <f>Q_IS!AH81</f>
        <v>587.89928057553959</v>
      </c>
      <c r="M391" s="196">
        <f>Q_IS!AI81</f>
        <v>665.3413353338334</v>
      </c>
      <c r="N391" s="196">
        <f>Q_IS!AJ81</f>
        <v>608.66434378629503</v>
      </c>
      <c r="O391" s="196">
        <f>Q_IS!AK81</f>
        <v>601.74846625766872</v>
      </c>
      <c r="P391" s="196">
        <f>Q_IS!AL81</f>
        <v>731.32917964693672</v>
      </c>
      <c r="Q391" s="196">
        <f>Q_IS!AM81</f>
        <v>882.88435976960579</v>
      </c>
      <c r="R391" s="196">
        <f>Q_IS!AN81</f>
        <v>815.84827586206893</v>
      </c>
      <c r="S391" s="196">
        <f>Q_IS!AO81</f>
        <v>790.14444444444439</v>
      </c>
      <c r="T391" s="196">
        <f>Q_IS!AP81</f>
        <v>855.7279443720123</v>
      </c>
      <c r="U391" s="196">
        <f>Q_IS!AQ81</f>
        <v>966.12658227848101</v>
      </c>
      <c r="V391" s="196">
        <f>Q_IS!AR81</f>
        <v>899.0154968094804</v>
      </c>
      <c r="W391" s="196">
        <f>Q_IS!AS81</f>
        <v>916.88403361344535</v>
      </c>
      <c r="X391" s="196">
        <f>Q_IS!AT81</f>
        <v>963.25757575757575</v>
      </c>
      <c r="Y391" s="196">
        <f>Q_IS!AU81</f>
        <v>956.19133574007208</v>
      </c>
      <c r="Z391" s="196">
        <f>Q_IS!AV81</f>
        <v>1071.9338235294117</v>
      </c>
      <c r="AA391" s="196">
        <f>Q_IS!AW81</f>
        <v>983.59005311443741</v>
      </c>
      <c r="AB391" s="196">
        <f>Q_IS!AX81</f>
        <v>947.60207015526157</v>
      </c>
      <c r="AC391" s="196">
        <f>Q_IS!AY81</f>
        <v>920.93539437177958</v>
      </c>
      <c r="AD391" s="196">
        <f>Q_IS!AZ81</f>
        <v>892.09112149532689</v>
      </c>
      <c r="AE391" s="196">
        <f>Q_IS!BA81</f>
        <v>911.24038165589423</v>
      </c>
      <c r="AF391" s="196">
        <f>Q_IS!BB81</f>
        <v>912.65086206896558</v>
      </c>
      <c r="AG391" s="196">
        <f>Q_IS!BC81</f>
        <v>847.41402411790989</v>
      </c>
      <c r="AH391" s="196">
        <f>Q_IS!BD81</f>
        <v>871.58614792646426</v>
      </c>
      <c r="AI391" s="196">
        <f>Q_IS!BE81</f>
        <v>868.80347826086961</v>
      </c>
      <c r="AJ391" s="196">
        <f>Q_IS!BF81</f>
        <v>899.80429292929284</v>
      </c>
      <c r="AK391" s="202">
        <f>Q_IS!BG81</f>
        <v>1022.2514015933906</v>
      </c>
      <c r="AL391" s="202">
        <f>Q_IS!BH81</f>
        <v>962.20907297830388</v>
      </c>
      <c r="AM391" s="202">
        <f>Q_IS!BI81</f>
        <v>1038.499820981024</v>
      </c>
      <c r="AN391" s="202">
        <f>Q_IS!BJ81</f>
        <v>1070.2975021049676</v>
      </c>
      <c r="AO391" s="202">
        <f>Q_IS!BK81</f>
        <v>1081.6050744622173</v>
      </c>
      <c r="AP391" s="202">
        <f>Q_IS!BL81</f>
        <v>1177.1801883925857</v>
      </c>
      <c r="AQ391" s="202">
        <f>Q_IS!BM81</f>
        <v>1181.0354306658521</v>
      </c>
      <c r="AR391" s="202">
        <f>Q_IS!BN81</f>
        <v>1227.6958362738178</v>
      </c>
      <c r="AS391" s="202">
        <f>Q_IS!BO81</f>
        <v>1398.1273408239699</v>
      </c>
      <c r="AT391" s="355">
        <f>Q_IS!BP81</f>
        <v>1485.6263440860216</v>
      </c>
      <c r="AU391" s="357">
        <f>Q_IS!BQ81</f>
        <v>1408.3313146170381</v>
      </c>
      <c r="AV391" s="357">
        <f>Q_IS!BR81</f>
        <v>1407.1027539009983</v>
      </c>
      <c r="AW391" s="357">
        <f>Q_IS!BS81</f>
        <v>1337.1077796109391</v>
      </c>
      <c r="AX391" s="357">
        <f>Q_IS!BT81</f>
        <v>1203.5551625608605</v>
      </c>
      <c r="AY391" s="357">
        <f>Q_IS!BU81</f>
        <v>1203.6775398385169</v>
      </c>
      <c r="AZ391" s="357">
        <f>Q_IS!BV81</f>
        <v>1202.6275092634123</v>
      </c>
      <c r="BA391" s="357">
        <f>Q_IS!BW81</f>
        <v>1202.8433325041178</v>
      </c>
      <c r="BB391" s="357">
        <f>Q_IS!BX81</f>
        <v>1245.383776483558</v>
      </c>
      <c r="BC391" s="357">
        <f>Q_IS!BY81</f>
        <v>1245.5104068873356</v>
      </c>
      <c r="BD391" s="357">
        <f>Q_IS!BZ81</f>
        <v>1244.4238833247059</v>
      </c>
      <c r="BE391" s="357">
        <f>Q_IS!CA81</f>
        <v>1244.6472073325479</v>
      </c>
      <c r="BF391" s="357">
        <f>Q_IS!CB81</f>
        <v>1490.6152649193427</v>
      </c>
      <c r="BG391" s="357">
        <f>Q_IS!CC81</f>
        <v>1490.7668304178167</v>
      </c>
      <c r="BH391" s="357">
        <f>Q_IS!CD81</f>
        <v>1489.4663569101851</v>
      </c>
      <c r="BI391" s="357">
        <f>Q_IS!CE81</f>
        <v>1489.7336561808186</v>
      </c>
      <c r="BJ391" s="357">
        <f>Q_IS!CF81</f>
        <v>1587.2379505236511</v>
      </c>
      <c r="BK391" s="357">
        <f>Q_IS!CG81</f>
        <v>1587.4177605987056</v>
      </c>
      <c r="BL391" s="357">
        <f>Q_IS!CH81</f>
        <v>1585.8749408846656</v>
      </c>
      <c r="BM391" s="357">
        <f>Q_IS!CI81</f>
        <v>1586.1920519844775</v>
      </c>
      <c r="BN391" s="357">
        <f>Q_IS!CJ81</f>
        <v>1327.4564722899215</v>
      </c>
      <c r="BO391" s="357">
        <f>Q_IS!CK81</f>
        <v>1327.6221235569251</v>
      </c>
      <c r="BP391" s="357">
        <f>Q_IS!CL81</f>
        <v>1326.2007902956436</v>
      </c>
      <c r="BQ391" s="357">
        <f>Q_IS!CM81</f>
        <v>1326.4929310750094</v>
      </c>
      <c r="BR391" s="357">
        <f>Q_IS!CN81</f>
        <v>1148.6113930112581</v>
      </c>
      <c r="BS391" s="357">
        <f>Q_IS!CO81</f>
        <v>1148.767824583422</v>
      </c>
      <c r="BT391" s="357">
        <f>Q_IS!CP81</f>
        <v>1147.4255988301682</v>
      </c>
      <c r="BU391" s="357">
        <f>Q_IS!CQ81</f>
        <v>1147.7014798556277</v>
      </c>
      <c r="BV391" s="357">
        <f>Q_IS!CR81</f>
        <v>1310.1135613880729</v>
      </c>
      <c r="BW391" s="357">
        <f>Q_IS!CS81</f>
        <v>1310.3067985285181</v>
      </c>
      <c r="BX391" s="357">
        <f>Q_IS!CT81</f>
        <v>1308.6487709142527</v>
      </c>
      <c r="BY391" s="357">
        <f>Q_IS!CU81</f>
        <v>1308.989561841081</v>
      </c>
    </row>
    <row r="392" spans="1:78">
      <c r="A392" s="54" t="s">
        <v>640</v>
      </c>
      <c r="B392" s="196">
        <f>Q_IS!X53</f>
        <v>135.20600000000002</v>
      </c>
      <c r="C392" s="196">
        <f>Q_IS!Y53</f>
        <v>184.16800000000001</v>
      </c>
      <c r="D392" s="196">
        <f>Q_IS!Z53</f>
        <v>166.79500000000002</v>
      </c>
      <c r="E392" s="196">
        <f>Q_IS!AA53</f>
        <v>190.173</v>
      </c>
      <c r="F392" s="196">
        <f>Q_IS!AB53</f>
        <v>163.96799999999999</v>
      </c>
      <c r="G392" s="196">
        <f>Q_IS!AC53</f>
        <v>172.58199999999999</v>
      </c>
      <c r="H392" s="196">
        <f>Q_IS!AD53</f>
        <v>110.054</v>
      </c>
      <c r="I392" s="196">
        <f>Q_IS!AE53</f>
        <v>159.143</v>
      </c>
      <c r="J392" s="196">
        <f>Q_IS!AF53</f>
        <v>35.57</v>
      </c>
      <c r="K392" s="196">
        <f>Q_IS!AG53</f>
        <v>109.80499999999999</v>
      </c>
      <c r="L392" s="196">
        <f>Q_IS!AH53</f>
        <v>139</v>
      </c>
      <c r="M392" s="196">
        <f>Q_IS!AI53</f>
        <v>133.30000000000001</v>
      </c>
      <c r="N392" s="196">
        <f>Q_IS!AJ53</f>
        <v>172.2</v>
      </c>
      <c r="O392" s="196">
        <f>Q_IS!AK53</f>
        <v>228.2</v>
      </c>
      <c r="P392" s="196">
        <f>Q_IS!AL53</f>
        <v>192.6</v>
      </c>
      <c r="Q392" s="196">
        <f>Q_IS!AM53</f>
        <v>225.7</v>
      </c>
      <c r="R392" s="196">
        <f>Q_IS!AN53</f>
        <v>217.5</v>
      </c>
      <c r="S392" s="196">
        <f>Q_IS!AO53</f>
        <v>270</v>
      </c>
      <c r="T392" s="196">
        <f>Q_IS!AP53</f>
        <v>230.1</v>
      </c>
      <c r="U392" s="196">
        <f>Q_IS!AQ53</f>
        <v>118.5</v>
      </c>
      <c r="V392" s="196">
        <f>Q_IS!AR53</f>
        <v>219.4</v>
      </c>
      <c r="W392" s="196">
        <f>Q_IS!AS53</f>
        <v>297.5</v>
      </c>
      <c r="X392" s="196">
        <f>Q_IS!AT53</f>
        <v>198</v>
      </c>
      <c r="Y392" s="196">
        <f>Q_IS!AU53</f>
        <v>110.80000000000001</v>
      </c>
      <c r="Z392" s="196">
        <f>Q_IS!AV53</f>
        <v>136</v>
      </c>
      <c r="AA392" s="196">
        <f>Q_IS!AW53</f>
        <v>414.2</v>
      </c>
      <c r="AB392" s="196">
        <f>Q_IS!AX53</f>
        <v>173.9</v>
      </c>
      <c r="AC392" s="196">
        <f>Q_IS!AY53</f>
        <v>252.3</v>
      </c>
      <c r="AD392" s="196">
        <f>Q_IS!AZ53</f>
        <v>256.80000000000007</v>
      </c>
      <c r="AE392" s="196">
        <f>Q_IS!BA53</f>
        <v>324.89999999999998</v>
      </c>
      <c r="AF392" s="196">
        <f>Q_IS!BB53</f>
        <v>185.6</v>
      </c>
      <c r="AG392" s="196">
        <f>Q_IS!BC53</f>
        <v>223.9</v>
      </c>
      <c r="AH392" s="196">
        <f>Q_IS!BD53</f>
        <v>233.9</v>
      </c>
      <c r="AI392" s="196">
        <f>Q_IS!BE53</f>
        <v>287.5</v>
      </c>
      <c r="AJ392" s="196">
        <f>Q_IS!BF53</f>
        <v>316.8</v>
      </c>
      <c r="AK392" s="202">
        <f>Q_IS!BG53</f>
        <v>338.9</v>
      </c>
      <c r="AL392" s="202">
        <f>Q_IS!BH53</f>
        <v>202.8</v>
      </c>
      <c r="AM392" s="202">
        <f>Q_IS!BI53</f>
        <v>279.3</v>
      </c>
      <c r="AN392" s="202">
        <f>Q_IS!BJ53</f>
        <v>356.3</v>
      </c>
      <c r="AO392" s="202">
        <f>Q_IS!BK53</f>
        <v>362.59999999999997</v>
      </c>
      <c r="AP392" s="202">
        <f>Q_IS!BL53</f>
        <v>329.1</v>
      </c>
      <c r="AQ392" s="202">
        <f>Q_IS!BM53</f>
        <v>327.40000000000003</v>
      </c>
      <c r="AR392" s="202">
        <f>Q_IS!BN53</f>
        <v>283.40000000000003</v>
      </c>
      <c r="AS392" s="202">
        <f>Q_IS!BO53</f>
        <v>373.8</v>
      </c>
      <c r="AT392" s="355">
        <f>Q_IS!BP53</f>
        <v>372</v>
      </c>
      <c r="AU392" s="357">
        <f>Q_IS!BQ53</f>
        <v>304.24401188024819</v>
      </c>
      <c r="AV392" s="357">
        <f>Q_IS!BR53</f>
        <v>311.56031459427254</v>
      </c>
      <c r="AW392" s="357">
        <f>Q_IS!BS53</f>
        <v>407.23148929956733</v>
      </c>
      <c r="AX392" s="357">
        <f>Q_IS!BT53</f>
        <v>648.37884521751312</v>
      </c>
      <c r="AY392" s="357">
        <f>Q_IS!BU53</f>
        <v>322.24145709444696</v>
      </c>
      <c r="AZ392" s="357">
        <f>Q_IS!BV53</f>
        <v>329.99055306692327</v>
      </c>
      <c r="BA392" s="357">
        <f>Q_IS!BW53</f>
        <v>176.94780286982171</v>
      </c>
      <c r="BB392" s="357">
        <f>Q_IS!BX53</f>
        <v>664.80500244387224</v>
      </c>
      <c r="BC392" s="357">
        <f>Q_IS!BY53</f>
        <v>330.40518556604553</v>
      </c>
      <c r="BD392" s="357">
        <f>Q_IS!BZ53</f>
        <v>338.35059866044054</v>
      </c>
      <c r="BE392" s="357">
        <f>Q_IS!CA53</f>
        <v>181.43063332031778</v>
      </c>
      <c r="BF392" s="357">
        <f>Q_IS!CB53</f>
        <v>688.16166834967282</v>
      </c>
      <c r="BG392" s="357">
        <f>Q_IS!CC53</f>
        <v>342.01334661242953</v>
      </c>
      <c r="BH392" s="357">
        <f>Q_IS!CD53</f>
        <v>350.23790676264866</v>
      </c>
      <c r="BI392" s="357">
        <f>Q_IS!CE53</f>
        <v>187.80485534326087</v>
      </c>
      <c r="BJ392" s="357">
        <f>Q_IS!CF53</f>
        <v>704.05208720881342</v>
      </c>
      <c r="BK392" s="357">
        <f>Q_IS!CG53</f>
        <v>349.91081545303109</v>
      </c>
      <c r="BL392" s="357">
        <f>Q_IS!CH53</f>
        <v>358.32528985120967</v>
      </c>
      <c r="BM392" s="357">
        <f>Q_IS!CI53</f>
        <v>192.14147848349108</v>
      </c>
      <c r="BN392" s="357">
        <f>Q_IS!CJ53</f>
        <v>720.30860092601301</v>
      </c>
      <c r="BO392" s="357">
        <f>Q_IS!CK53</f>
        <v>357.99023184075872</v>
      </c>
      <c r="BP392" s="357">
        <f>Q_IS!CL53</f>
        <v>366.59899586744945</v>
      </c>
      <c r="BQ392" s="357">
        <f>Q_IS!CM53</f>
        <v>196.57801185560754</v>
      </c>
      <c r="BR392" s="357">
        <f>Q_IS!CN53</f>
        <v>736.9405294688836</v>
      </c>
      <c r="BS392" s="357">
        <f>Q_IS!CO53</f>
        <v>366.25622775885097</v>
      </c>
      <c r="BT392" s="357">
        <f>Q_IS!CP53</f>
        <v>375.06376818214488</v>
      </c>
      <c r="BU392" s="357">
        <f>Q_IS!CQ53</f>
        <v>201.11699895374673</v>
      </c>
      <c r="BV392" s="357">
        <f>Q_IS!CR53</f>
        <v>753.95648612678951</v>
      </c>
      <c r="BW392" s="357">
        <f>Q_IS!CS53</f>
        <v>374.71308397454089</v>
      </c>
      <c r="BX392" s="357">
        <f>Q_IS!CT53</f>
        <v>383.72399050420643</v>
      </c>
      <c r="BY392" s="357">
        <f>Q_IS!CU53</f>
        <v>205.76079041386836</v>
      </c>
    </row>
    <row r="393" spans="1:78">
      <c r="A393" s="736" t="s">
        <v>1143</v>
      </c>
      <c r="B393" s="196">
        <f>Q_IS!X87</f>
        <v>814.27056214444144</v>
      </c>
      <c r="C393" s="196">
        <f>Q_IS!Y87</f>
        <v>955.86163444962665</v>
      </c>
      <c r="D393" s="196">
        <f>Q_IS!Z87</f>
        <v>842.63086469631514</v>
      </c>
      <c r="E393" s="196">
        <f>Q_IS!AA87</f>
        <v>868.84348352826066</v>
      </c>
      <c r="F393" s="196">
        <f>Q_IS!AB87</f>
        <v>774.7569983614012</v>
      </c>
      <c r="G393" s="196">
        <f>Q_IS!AC87</f>
        <v>673.51857213280232</v>
      </c>
      <c r="H393" s="196">
        <f>Q_IS!AD87</f>
        <v>733.11971141853905</v>
      </c>
      <c r="I393" s="196">
        <f>Q_IS!AE87</f>
        <v>793.7395310989109</v>
      </c>
      <c r="J393" s="196">
        <f>Q_IS!AF87</f>
        <v>721.75162285835927</v>
      </c>
      <c r="K393" s="196">
        <f>Q_IS!AG87</f>
        <v>755.9787112361256</v>
      </c>
      <c r="L393" s="196">
        <f>Q_IS!AH87</f>
        <v>782.60697827518106</v>
      </c>
      <c r="M393" s="196">
        <f>Q_IS!AI87</f>
        <v>792.32023010546493</v>
      </c>
      <c r="N393" s="196">
        <f>Q_IS!AJ87</f>
        <v>637.78805120910386</v>
      </c>
      <c r="O393" s="196">
        <f>Q_IS!AK87</f>
        <v>749.32518906340897</v>
      </c>
      <c r="P393" s="196">
        <f>Q_IS!AL87</f>
        <v>949.57109283196235</v>
      </c>
      <c r="Q393" s="196">
        <f>Q_IS!AM87</f>
        <v>1126.6061562746647</v>
      </c>
      <c r="R393" s="196">
        <f>Q_IS!AN87</f>
        <v>777.47349823321565</v>
      </c>
      <c r="S393" s="196">
        <f>Q_IS!AO87</f>
        <v>883.78546099290782</v>
      </c>
      <c r="T393" s="196">
        <f>Q_IS!AP87</f>
        <v>1059.7610294117646</v>
      </c>
      <c r="U393" s="196">
        <f>Q_IS!AQ87</f>
        <v>1191.1887072808322</v>
      </c>
      <c r="V393" s="196">
        <f>Q_IS!AR87</f>
        <v>1340.5084745762713</v>
      </c>
      <c r="W393" s="196">
        <f>Q_IS!AS87</f>
        <v>1189.5026881720432</v>
      </c>
      <c r="X393" s="196">
        <f>Q_IS!AT87</f>
        <v>1300.9318715740017</v>
      </c>
      <c r="Y393" s="196">
        <f>Q_IS!AU87</f>
        <v>1195.1668092386651</v>
      </c>
      <c r="Z393" s="196">
        <f>Q_IS!AV87</f>
        <v>1220.0342075256558</v>
      </c>
      <c r="AA393" s="196">
        <f>Q_IS!AW87</f>
        <v>1157.0300333704115</v>
      </c>
      <c r="AB393" s="196">
        <f>Q_IS!AX87</f>
        <v>1198.840104849279</v>
      </c>
      <c r="AC393" s="196">
        <f>Q_IS!AY87</f>
        <v>1261.0604805302401</v>
      </c>
      <c r="AD393" s="196">
        <f>Q_IS!AZ87</f>
        <v>1290.1111761263896</v>
      </c>
      <c r="AE393" s="196">
        <f>Q_IS!BA87</f>
        <v>1286.920903954802</v>
      </c>
      <c r="AF393" s="196">
        <f>Q_IS!BB87</f>
        <v>1263.2633158289577</v>
      </c>
      <c r="AG393" s="196">
        <f>Q_IS!BC87</f>
        <v>1426.1372299872935</v>
      </c>
      <c r="AH393" s="196">
        <f>Q_IS!BD87</f>
        <v>1438.1727962638645</v>
      </c>
      <c r="AI393" s="196">
        <f>Q_IS!BE87</f>
        <v>1267.8388554216867</v>
      </c>
      <c r="AJ393" s="196">
        <f>Q_IS!BF87</f>
        <v>1298.2398452611217</v>
      </c>
      <c r="AK393" s="202">
        <f>Q_IS!BG87</f>
        <v>1377.7821470703893</v>
      </c>
      <c r="AL393" s="202">
        <f>Q_IS!BH87</f>
        <v>1351.8462697814621</v>
      </c>
      <c r="AM393" s="202">
        <f>Q_IS!BI87</f>
        <v>1421.2828947368423</v>
      </c>
      <c r="AN393" s="202">
        <f>Q_IS!BJ87</f>
        <v>1675.8772293654083</v>
      </c>
      <c r="AO393" s="202">
        <f>Q_IS!BK87</f>
        <v>1994.0959232613909</v>
      </c>
      <c r="AP393" s="202">
        <f>Q_IS!BL87</f>
        <v>1617.3687500000001</v>
      </c>
      <c r="AQ393" s="202">
        <f>Q_IS!BM87</f>
        <v>1633.4643995749202</v>
      </c>
      <c r="AR393" s="202">
        <f>Q_IS!BN87</f>
        <v>1992.4445740956828</v>
      </c>
      <c r="AS393" s="202">
        <f>Q_IS!BO87</f>
        <v>1851.1682504192288</v>
      </c>
      <c r="AT393" s="355">
        <f>Q_IS!BP87</f>
        <v>1602.7272727272725</v>
      </c>
      <c r="AU393" s="357">
        <f>Q_IS!BQ87</f>
        <v>1693.4261010425971</v>
      </c>
      <c r="AV393" s="357">
        <f>Q_IS!BR87</f>
        <v>1680.9140248840508</v>
      </c>
      <c r="AW393" s="357">
        <f>Q_IS!BS87</f>
        <v>1747.1454111187877</v>
      </c>
      <c r="AX393" s="357">
        <f>Q_IS!BT87</f>
        <v>1851.0618396371667</v>
      </c>
      <c r="AY393" s="357">
        <f>Q_IS!BU87</f>
        <v>1843.3897518401875</v>
      </c>
      <c r="AZ393" s="357">
        <f>Q_IS!BV87</f>
        <v>1829.7696517657248</v>
      </c>
      <c r="BA393" s="357">
        <f>Q_IS!BW87</f>
        <v>1843.3495835916415</v>
      </c>
      <c r="BB393" s="357">
        <f>Q_IS!BX87</f>
        <v>1981.4183072172489</v>
      </c>
      <c r="BC393" s="357">
        <f>Q_IS!BY87</f>
        <v>1973.2059315472429</v>
      </c>
      <c r="BD393" s="357">
        <f>Q_IS!BZ87</f>
        <v>1958.6266694957051</v>
      </c>
      <c r="BE393" s="357">
        <f>Q_IS!CA87</f>
        <v>1973.1629345488002</v>
      </c>
      <c r="BF393" s="357">
        <f>Q_IS!CB87</f>
        <v>2056.2533481256223</v>
      </c>
      <c r="BG393" s="357">
        <f>Q_IS!CC87</f>
        <v>2047.730803993469</v>
      </c>
      <c r="BH393" s="357">
        <f>Q_IS!CD87</f>
        <v>2032.6009062341323</v>
      </c>
      <c r="BI393" s="357">
        <f>Q_IS!CE87</f>
        <v>2047.6861830662845</v>
      </c>
      <c r="BJ393" s="357">
        <f>Q_IS!CF87</f>
        <v>2105.6034284806374</v>
      </c>
      <c r="BK393" s="357">
        <f>Q_IS!CG87</f>
        <v>2096.8763432893124</v>
      </c>
      <c r="BL393" s="357">
        <f>Q_IS!CH87</f>
        <v>2081.3833279837518</v>
      </c>
      <c r="BM393" s="357">
        <f>Q_IS!CI87</f>
        <v>2096.8306514598767</v>
      </c>
      <c r="BN393" s="357">
        <f>Q_IS!CJ87</f>
        <v>2156.1379107641724</v>
      </c>
      <c r="BO393" s="357">
        <f>Q_IS!CK87</f>
        <v>2147.201375528256</v>
      </c>
      <c r="BP393" s="357">
        <f>Q_IS!CL87</f>
        <v>2131.3365278553615</v>
      </c>
      <c r="BQ393" s="357">
        <f>Q_IS!CM87</f>
        <v>2147.1545870949126</v>
      </c>
      <c r="BR393" s="357">
        <f>Q_IS!CN87</f>
        <v>2207.8852206225133</v>
      </c>
      <c r="BS393" s="357">
        <f>Q_IS!CO87</f>
        <v>2198.7342085409346</v>
      </c>
      <c r="BT393" s="357">
        <f>Q_IS!CP87</f>
        <v>2182.4886045238909</v>
      </c>
      <c r="BU393" s="357">
        <f>Q_IS!CQ87</f>
        <v>2198.686297185192</v>
      </c>
      <c r="BV393" s="357">
        <f>Q_IS!CR87</f>
        <v>2356.5593478865408</v>
      </c>
      <c r="BW393" s="357">
        <f>Q_IS!CS87</f>
        <v>2346.7921268090849</v>
      </c>
      <c r="BX393" s="357">
        <f>Q_IS!CT87</f>
        <v>2329.4525796030789</v>
      </c>
      <c r="BY393" s="357">
        <f>Q_IS!CU87</f>
        <v>2346.7409892081837</v>
      </c>
    </row>
    <row r="394" spans="1:78">
      <c r="A394" s="54" t="s">
        <v>837</v>
      </c>
      <c r="B394" s="196">
        <f>Q_IS!X56</f>
        <v>103.71</v>
      </c>
      <c r="C394" s="196">
        <f>Q_IS!Y56</f>
        <v>114.27700000000002</v>
      </c>
      <c r="D394" s="196">
        <f>Q_IS!Z56</f>
        <v>96.531000000000006</v>
      </c>
      <c r="E394" s="196">
        <f>Q_IS!AA56</f>
        <v>85.843999999999994</v>
      </c>
      <c r="F394" s="196">
        <f>Q_IS!AB56</f>
        <v>116.56299999999999</v>
      </c>
      <c r="G394" s="196">
        <f>Q_IS!AC56</f>
        <v>127.79899999999999</v>
      </c>
      <c r="H394" s="196">
        <f>Q_IS!AD56</f>
        <v>104.23399999999999</v>
      </c>
      <c r="I394" s="196">
        <f>Q_IS!AE56</f>
        <v>189.251</v>
      </c>
      <c r="J394" s="196">
        <f>Q_IS!AF56</f>
        <v>93.97</v>
      </c>
      <c r="K394" s="196">
        <f>Q_IS!AG56</f>
        <v>171.35799999999998</v>
      </c>
      <c r="L394" s="196">
        <f>Q_IS!AH56</f>
        <v>151.9</v>
      </c>
      <c r="M394" s="196">
        <f>Q_IS!AI56</f>
        <v>208.60000000000002</v>
      </c>
      <c r="N394" s="196">
        <f>Q_IS!AJ56</f>
        <v>140.6</v>
      </c>
      <c r="O394" s="196">
        <f>Q_IS!AK56</f>
        <v>171.9</v>
      </c>
      <c r="P394" s="196">
        <f>Q_IS!AL56</f>
        <v>170.20000000000002</v>
      </c>
      <c r="Q394" s="196">
        <f>Q_IS!AM56</f>
        <v>126.69999999999999</v>
      </c>
      <c r="R394" s="196">
        <f>Q_IS!AN56</f>
        <v>113.19999999999999</v>
      </c>
      <c r="S394" s="196">
        <f>Q_IS!AO56</f>
        <v>112.8</v>
      </c>
      <c r="T394" s="196">
        <f>Q_IS!AP56</f>
        <v>163.19999999999999</v>
      </c>
      <c r="U394" s="196">
        <f>Q_IS!AQ56</f>
        <v>134.6</v>
      </c>
      <c r="V394" s="196">
        <f>Q_IS!AR56</f>
        <v>82.6</v>
      </c>
      <c r="W394" s="196">
        <f>Q_IS!AS56</f>
        <v>74.399999999999991</v>
      </c>
      <c r="X394" s="196">
        <f>Q_IS!AT56</f>
        <v>127.7</v>
      </c>
      <c r="Y394" s="196">
        <f>Q_IS!AU56</f>
        <v>116.9</v>
      </c>
      <c r="Z394" s="196">
        <f>Q_IS!AV56</f>
        <v>87.699999999999989</v>
      </c>
      <c r="AA394" s="196">
        <f>Q_IS!AW56</f>
        <v>89.9</v>
      </c>
      <c r="AB394" s="196">
        <f>Q_IS!AX56</f>
        <v>152.60000000000002</v>
      </c>
      <c r="AC394" s="196">
        <f>Q_IS!AY56</f>
        <v>120.7</v>
      </c>
      <c r="AD394" s="196">
        <f>Q_IS!AZ56</f>
        <v>170.9</v>
      </c>
      <c r="AE394" s="196">
        <f>Q_IS!BA56</f>
        <v>177</v>
      </c>
      <c r="AF394" s="196">
        <f>Q_IS!BB56</f>
        <v>133.29999999999998</v>
      </c>
      <c r="AG394" s="196">
        <f>Q_IS!BC56</f>
        <v>157.4</v>
      </c>
      <c r="AH394" s="196">
        <f>Q_IS!BD56</f>
        <v>171.3</v>
      </c>
      <c r="AI394" s="196">
        <f>Q_IS!BE56</f>
        <v>132.80000000000001</v>
      </c>
      <c r="AJ394" s="196">
        <f>Q_IS!BF56</f>
        <v>155.10000000000002</v>
      </c>
      <c r="AK394" s="202">
        <f>Q_IS!BG56</f>
        <v>254.3</v>
      </c>
      <c r="AL394" s="202">
        <f>Q_IS!BH56</f>
        <v>132.69999999999999</v>
      </c>
      <c r="AM394" s="202">
        <f>Q_IS!BI56</f>
        <v>212.79999999999998</v>
      </c>
      <c r="AN394" s="202">
        <f>Q_IS!BJ56</f>
        <v>241.10000000000002</v>
      </c>
      <c r="AO394" s="202">
        <f>Q_IS!BK56</f>
        <v>208.5</v>
      </c>
      <c r="AP394" s="202">
        <f>Q_IS!BL56</f>
        <v>160</v>
      </c>
      <c r="AQ394" s="202">
        <f>Q_IS!BM56</f>
        <v>188.20000000000002</v>
      </c>
      <c r="AR394" s="202">
        <f>Q_IS!BN56</f>
        <v>171.39999999999998</v>
      </c>
      <c r="AS394" s="202">
        <f>Q_IS!BO56</f>
        <v>178.89999999999998</v>
      </c>
      <c r="AT394" s="355">
        <f>Q_IS!BP56</f>
        <v>145.20000000000002</v>
      </c>
      <c r="AU394" s="357">
        <f>Q_IS!BQ56</f>
        <v>233.3404706083341</v>
      </c>
      <c r="AV394" s="357">
        <f>Q_IS!BR56</f>
        <v>234.85114910228205</v>
      </c>
      <c r="AW394" s="357">
        <f>Q_IS!BS56</f>
        <v>266.16465862520289</v>
      </c>
      <c r="AX394" s="357">
        <f>Q_IS!BT56</f>
        <v>172.09992413121748</v>
      </c>
      <c r="AY394" s="357">
        <f>Q_IS!BU56</f>
        <v>248.7232777885456</v>
      </c>
      <c r="AZ394" s="357">
        <f>Q_IS!BV56</f>
        <v>250.33354670469126</v>
      </c>
      <c r="BA394" s="357">
        <f>Q_IS!BW56</f>
        <v>266.3836616474606</v>
      </c>
      <c r="BB394" s="357">
        <f>Q_IS!BX56</f>
        <v>176.37345958627355</v>
      </c>
      <c r="BC394" s="357">
        <f>Q_IS!BY56</f>
        <v>254.89950216222215</v>
      </c>
      <c r="BD394" s="357">
        <f>Q_IS!BZ56</f>
        <v>256.54975680956471</v>
      </c>
      <c r="BE394" s="357">
        <f>Q_IS!CA56</f>
        <v>272.99842355653675</v>
      </c>
      <c r="BF394" s="357">
        <f>Q_IS!CB56</f>
        <v>182.57639983309912</v>
      </c>
      <c r="BG394" s="357">
        <f>Q_IS!CC56</f>
        <v>263.86415242517415</v>
      </c>
      <c r="BH394" s="357">
        <f>Q_IS!CD56</f>
        <v>265.57244545875426</v>
      </c>
      <c r="BI394" s="357">
        <f>Q_IS!CE56</f>
        <v>282.59960115304727</v>
      </c>
      <c r="BJ394" s="357">
        <f>Q_IS!CF56</f>
        <v>186.79185610439504</v>
      </c>
      <c r="BK394" s="357">
        <f>Q_IS!CG56</f>
        <v>269.95643925483944</v>
      </c>
      <c r="BL394" s="357">
        <f>Q_IS!CH56</f>
        <v>271.70417459634211</v>
      </c>
      <c r="BM394" s="357">
        <f>Q_IS!CI56</f>
        <v>289.12446560450616</v>
      </c>
      <c r="BN394" s="357">
        <f>Q_IS!CJ56</f>
        <v>191.10489494784204</v>
      </c>
      <c r="BO394" s="357">
        <f>Q_IS!CK56</f>
        <v>276.18975495086221</v>
      </c>
      <c r="BP394" s="357">
        <f>Q_IS!CL56</f>
        <v>277.9778456406824</v>
      </c>
      <c r="BQ394" s="357">
        <f>Q_IS!CM56</f>
        <v>295.80037255649961</v>
      </c>
      <c r="BR394" s="357">
        <f>Q_IS!CN56</f>
        <v>195.51750607632206</v>
      </c>
      <c r="BS394" s="357">
        <f>Q_IS!CO56</f>
        <v>282.56697509794935</v>
      </c>
      <c r="BT394" s="357">
        <f>Q_IS!CP56</f>
        <v>284.39635279341525</v>
      </c>
      <c r="BU394" s="357">
        <f>Q_IS!CQ56</f>
        <v>302.63040177216976</v>
      </c>
      <c r="BV394" s="357">
        <f>Q_IS!CR56</f>
        <v>200.03200534254381</v>
      </c>
      <c r="BW394" s="357">
        <f>Q_IS!CS56</f>
        <v>289.0914466265512</v>
      </c>
      <c r="BX394" s="357">
        <f>Q_IS!CT56</f>
        <v>290.96306465348181</v>
      </c>
      <c r="BY394" s="357">
        <f>Q_IS!CU56</f>
        <v>309.6181378279046</v>
      </c>
    </row>
    <row r="395" spans="1:78">
      <c r="A395" s="736" t="s">
        <v>818</v>
      </c>
      <c r="B395" s="196">
        <f>Q_IS!X98</f>
        <v>0</v>
      </c>
      <c r="C395" s="196">
        <f>Q_IS!Y98</f>
        <v>0</v>
      </c>
      <c r="D395" s="196">
        <f>Q_IS!Z98</f>
        <v>0</v>
      </c>
      <c r="E395" s="196">
        <f>Q_IS!AA98</f>
        <v>0</v>
      </c>
      <c r="F395" s="196">
        <f>Q_IS!AB98</f>
        <v>0</v>
      </c>
      <c r="G395" s="196">
        <f>Q_IS!AC98</f>
        <v>0</v>
      </c>
      <c r="H395" s="196">
        <f>Q_IS!AD98</f>
        <v>0</v>
      </c>
      <c r="I395" s="196">
        <f>Q_IS!AE98</f>
        <v>0</v>
      </c>
      <c r="J395" s="196">
        <f>Q_IS!AF98</f>
        <v>249.17331258510026</v>
      </c>
      <c r="K395" s="196">
        <f>Q_IS!AG98</f>
        <v>181.70887502818067</v>
      </c>
      <c r="L395" s="196">
        <f>Q_IS!AH98</f>
        <v>139.97606223818073</v>
      </c>
      <c r="M395" s="196">
        <f>Q_IS!AI98</f>
        <v>88.758572706490412</v>
      </c>
      <c r="N395" s="196">
        <f>Q_IS!AJ98</f>
        <v>103.77160317005635</v>
      </c>
      <c r="O395" s="196">
        <f>Q_IS!AK98</f>
        <v>140.4792362172787</v>
      </c>
      <c r="P395" s="196">
        <f>Q_IS!AL98</f>
        <v>138.7819947043248</v>
      </c>
      <c r="Q395" s="196">
        <f>Q_IS!AM98</f>
        <v>0</v>
      </c>
      <c r="R395" s="196">
        <f>Q_IS!AN98</f>
        <v>166.73919048837325</v>
      </c>
      <c r="S395" s="196">
        <f>Q_IS!AO98</f>
        <v>165.05238382699463</v>
      </c>
      <c r="T395" s="196">
        <f>Q_IS!AP98</f>
        <v>87.655259822560197</v>
      </c>
      <c r="U395" s="196">
        <f>Q_IS!AQ98</f>
        <v>104.79452054794521</v>
      </c>
      <c r="V395" s="196">
        <f>Q_IS!AR98</f>
        <v>126.06918238993711</v>
      </c>
      <c r="W395" s="196">
        <f>Q_IS!AS98</f>
        <v>121.85714285714286</v>
      </c>
      <c r="X395" s="196">
        <f>Q_IS!AT98</f>
        <v>110.54499366286437</v>
      </c>
      <c r="Y395" s="196">
        <f>Q_IS!AU98</f>
        <v>84.57038391224863</v>
      </c>
      <c r="Z395" s="196">
        <f>Q_IS!AV98</f>
        <v>153.31868131868131</v>
      </c>
      <c r="AA395" s="196">
        <f>Q_IS!AW98</f>
        <v>160.03694581280789</v>
      </c>
      <c r="AB395" s="196">
        <f>Q_IS!AX98</f>
        <v>184.4956772334294</v>
      </c>
      <c r="AC395" s="196">
        <f>Q_IS!AY98</f>
        <v>174.98327759197326</v>
      </c>
      <c r="AD395" s="196">
        <f>Q_IS!AZ98</f>
        <v>95.560344827586192</v>
      </c>
      <c r="AE395" s="196">
        <f>Q_IS!BA98</f>
        <v>156.75476336816229</v>
      </c>
      <c r="AF395" s="196">
        <f>Q_IS!BB98</f>
        <v>222.84928492849284</v>
      </c>
      <c r="AG395" s="196">
        <f>Q_IS!BC98</f>
        <v>291.34146341463418</v>
      </c>
      <c r="AH395" s="196">
        <f>Q_IS!BD98</f>
        <v>256.89781021897807</v>
      </c>
      <c r="AI395" s="196">
        <f>Q_IS!BE98</f>
        <v>264.78837109876014</v>
      </c>
      <c r="AJ395" s="196">
        <f>Q_IS!BF98</f>
        <v>345.63619227144204</v>
      </c>
      <c r="AK395" s="202">
        <f>Q_IS!BG98</f>
        <v>593.63636363636363</v>
      </c>
      <c r="AL395" s="202">
        <f>Q_IS!BH98</f>
        <v>249.30882352941177</v>
      </c>
      <c r="AM395" s="202">
        <f>Q_IS!BI98</f>
        <v>214.34853420195441</v>
      </c>
      <c r="AN395" s="202">
        <f>Q_IS!BJ98</f>
        <v>208.47363945578232</v>
      </c>
      <c r="AO395" s="202">
        <f>Q_IS!BK98</f>
        <v>171.94117647058823</v>
      </c>
      <c r="AP395" s="202">
        <f>Q_IS!BL98</f>
        <v>158.82994186046511</v>
      </c>
      <c r="AQ395" s="202">
        <f>Q_IS!BM98</f>
        <v>170.3707590066457</v>
      </c>
      <c r="AR395" s="202">
        <f>Q_IS!BN98</f>
        <v>164.67924528301887</v>
      </c>
      <c r="AS395" s="202">
        <f>Q_IS!BO98</f>
        <v>173.3452380952381</v>
      </c>
      <c r="AT395" s="355">
        <f>Q_IS!BP98</f>
        <v>213.17450096587248</v>
      </c>
      <c r="AU395" s="357">
        <f>Q_IS!BQ98</f>
        <v>183.5</v>
      </c>
      <c r="AV395" s="357">
        <f>Q_IS!BR98</f>
        <v>183.49999999999997</v>
      </c>
      <c r="AW395" s="357">
        <f>Q_IS!BS98</f>
        <v>106.94115637608874</v>
      </c>
      <c r="AX395" s="357">
        <f>Q_IS!BT98</f>
        <v>181.66666666666666</v>
      </c>
      <c r="AY395" s="357">
        <f>Q_IS!BU98</f>
        <v>181.66666666666669</v>
      </c>
      <c r="AZ395" s="357">
        <f>Q_IS!BV98</f>
        <v>181.66666666666666</v>
      </c>
      <c r="BA395" s="357">
        <f>Q_IS!BW98</f>
        <v>181.66666666666654</v>
      </c>
      <c r="BB395" s="357">
        <f>Q_IS!BX98</f>
        <v>187.23999999999998</v>
      </c>
      <c r="BC395" s="357">
        <f>Q_IS!BY98</f>
        <v>187.23999999999998</v>
      </c>
      <c r="BD395" s="357">
        <f>Q_IS!BZ98</f>
        <v>187.23999999999998</v>
      </c>
      <c r="BE395" s="357">
        <f>Q_IS!CA98</f>
        <v>187.2399999999999</v>
      </c>
      <c r="BF395" s="357">
        <f>Q_IS!CB98</f>
        <v>193.05856</v>
      </c>
      <c r="BG395" s="357">
        <f>Q_IS!CC98</f>
        <v>193.05856</v>
      </c>
      <c r="BH395" s="357">
        <f>Q_IS!CD98</f>
        <v>193.05856</v>
      </c>
      <c r="BI395" s="357">
        <f>Q_IS!CE98</f>
        <v>193.05856000000006</v>
      </c>
      <c r="BJ395" s="357">
        <f>Q_IS!CF98</f>
        <v>199.13313664</v>
      </c>
      <c r="BK395" s="357">
        <f>Q_IS!CG98</f>
        <v>199.13313664000003</v>
      </c>
      <c r="BL395" s="357">
        <f>Q_IS!CH98</f>
        <v>199.13313664</v>
      </c>
      <c r="BM395" s="357">
        <f>Q_IS!CI98</f>
        <v>199.13313663999992</v>
      </c>
      <c r="BN395" s="357">
        <f>Q_IS!CJ98</f>
        <v>205.47499465216001</v>
      </c>
      <c r="BO395" s="357">
        <f>Q_IS!CK98</f>
        <v>205.47499465216004</v>
      </c>
      <c r="BP395" s="357">
        <f>Q_IS!CL98</f>
        <v>205.47499465216001</v>
      </c>
      <c r="BQ395" s="357">
        <f>Q_IS!CM98</f>
        <v>205.47499465216001</v>
      </c>
      <c r="BR395" s="357">
        <f>Q_IS!CN98</f>
        <v>212.09589441685506</v>
      </c>
      <c r="BS395" s="357">
        <f>Q_IS!CO98</f>
        <v>212.09589441685506</v>
      </c>
      <c r="BT395" s="357">
        <f>Q_IS!CP98</f>
        <v>212.09589441685509</v>
      </c>
      <c r="BU395" s="357">
        <f>Q_IS!CQ98</f>
        <v>212.09589441685509</v>
      </c>
      <c r="BV395" s="357">
        <f>Q_IS!CR98</f>
        <v>219.00811377119666</v>
      </c>
      <c r="BW395" s="357">
        <f>Q_IS!CS98</f>
        <v>219.00811377119669</v>
      </c>
      <c r="BX395" s="357">
        <f>Q_IS!CT98</f>
        <v>219.00811377119669</v>
      </c>
      <c r="BY395" s="357">
        <f>Q_IS!CU98</f>
        <v>219.00811377119672</v>
      </c>
    </row>
    <row r="396" spans="1:78">
      <c r="A396" s="54" t="s">
        <v>642</v>
      </c>
      <c r="B396" s="196">
        <f>Q_IS!X61</f>
        <v>0</v>
      </c>
      <c r="C396" s="196">
        <f>Q_IS!Y61</f>
        <v>0</v>
      </c>
      <c r="D396" s="196">
        <f>Q_IS!Z61</f>
        <v>0</v>
      </c>
      <c r="E396" s="196">
        <f>Q_IS!AA61</f>
        <v>0</v>
      </c>
      <c r="F396" s="196">
        <f>Q_IS!AB61</f>
        <v>0</v>
      </c>
      <c r="G396" s="196">
        <f>Q_IS!AC61</f>
        <v>0</v>
      </c>
      <c r="H396" s="196">
        <f>Q_IS!AD61</f>
        <v>0</v>
      </c>
      <c r="I396" s="196">
        <f>Q_IS!AE61</f>
        <v>0</v>
      </c>
      <c r="J396" s="196">
        <f>Q_IS!AF61</f>
        <v>5.1409999999999982</v>
      </c>
      <c r="K396" s="196">
        <f>Q_IS!AG61</f>
        <v>39.920999999999999</v>
      </c>
      <c r="L396" s="202">
        <f>Q_IS!AH61</f>
        <v>50.13</v>
      </c>
      <c r="M396" s="202">
        <f>Q_IS!AI61</f>
        <v>10.061</v>
      </c>
      <c r="N396" s="196">
        <f>Q_IS!AJ61</f>
        <v>52.364999999999995</v>
      </c>
      <c r="O396" s="196">
        <f>Q_IS!AK61</f>
        <v>64.102000000000004</v>
      </c>
      <c r="P396" s="196">
        <f>Q_IS!AL61</f>
        <v>56.65</v>
      </c>
      <c r="Q396" s="196">
        <f>Q_IS!AM61</f>
        <v>1E-3</v>
      </c>
      <c r="R396" s="196">
        <f>Q_IS!AN61</f>
        <v>34.299074999999995</v>
      </c>
      <c r="S396" s="196">
        <f>Q_IS!AO61</f>
        <v>63.900925000000015</v>
      </c>
      <c r="T396" s="196">
        <f>Q_IS!AP61</f>
        <v>78.900000000000006</v>
      </c>
      <c r="U396" s="196">
        <f>Q_IS!AQ61</f>
        <v>7.3</v>
      </c>
      <c r="V396" s="196">
        <f>Q_IS!AR61</f>
        <v>31.8</v>
      </c>
      <c r="W396" s="196">
        <f>Q_IS!AS61</f>
        <v>84</v>
      </c>
      <c r="X396" s="196">
        <f>Q_IS!AT61</f>
        <v>78.900000000000006</v>
      </c>
      <c r="Y396" s="196">
        <f>Q_IS!AU61</f>
        <v>54.7</v>
      </c>
      <c r="Z396" s="196">
        <f>Q_IS!AV61</f>
        <v>45.5</v>
      </c>
      <c r="AA396" s="196">
        <f>Q_IS!AW61</f>
        <v>81.2</v>
      </c>
      <c r="AB396" s="196">
        <f>Q_IS!AX61</f>
        <v>104.1</v>
      </c>
      <c r="AC396" s="196">
        <f>Q_IS!AY61</f>
        <v>29.9</v>
      </c>
      <c r="AD396" s="196">
        <f>Q_IS!AZ61</f>
        <v>92.800000000000011</v>
      </c>
      <c r="AE396" s="196">
        <f>Q_IS!BA61</f>
        <v>162.69999999999999</v>
      </c>
      <c r="AF396" s="196">
        <f>Q_IS!BB61</f>
        <v>181.8</v>
      </c>
      <c r="AG396" s="196">
        <f>Q_IS!BC61</f>
        <v>8.1999999999999993</v>
      </c>
      <c r="AH396" s="196">
        <f>Q_IS!BD61</f>
        <v>191.8</v>
      </c>
      <c r="AI396" s="196">
        <f>Q_IS!BE61</f>
        <v>233.9</v>
      </c>
      <c r="AJ396" s="196">
        <f>Q_IS!BF61</f>
        <v>212.2</v>
      </c>
      <c r="AK396" s="202">
        <f>Q_IS!BG61</f>
        <v>1.1000000000000001</v>
      </c>
      <c r="AL396" s="202">
        <f>Q_IS!BH61</f>
        <v>272</v>
      </c>
      <c r="AM396" s="202">
        <f>Q_IS!BI61</f>
        <v>307</v>
      </c>
      <c r="AN396" s="202">
        <f>Q_IS!BJ61</f>
        <v>235.2</v>
      </c>
      <c r="AO396" s="202">
        <f>Q_IS!BK61</f>
        <v>17</v>
      </c>
      <c r="AP396" s="202">
        <f>Q_IS!BL61</f>
        <v>275.2</v>
      </c>
      <c r="AQ396" s="202">
        <f>Q_IS!BM61</f>
        <v>285.89999999999998</v>
      </c>
      <c r="AR396" s="202">
        <f>Q_IS!BN61</f>
        <v>185.5</v>
      </c>
      <c r="AS396" s="202">
        <f>Q_IS!BO61</f>
        <v>168</v>
      </c>
      <c r="AT396" s="355">
        <f>Q_IS!BP61</f>
        <v>310.60000000000002</v>
      </c>
      <c r="AU396" s="357">
        <f>Q_IS!BQ61</f>
        <v>288.23978065474824</v>
      </c>
      <c r="AV396" s="357">
        <f>Q_IS!BR61</f>
        <v>180.77046992221662</v>
      </c>
      <c r="AW396" s="357">
        <f>Q_IS!BS61</f>
        <v>120.38974942303525</v>
      </c>
      <c r="AX396" s="357">
        <f>Q_IS!BT61</f>
        <v>321.11783502988044</v>
      </c>
      <c r="AY396" s="357">
        <f>Q_IS!BU61</f>
        <v>288.23978065474824</v>
      </c>
      <c r="AZ396" s="357">
        <f>Q_IS!BV61</f>
        <v>180.77046992221662</v>
      </c>
      <c r="BA396" s="357">
        <f>Q_IS!BW61</f>
        <v>109.87191439315484</v>
      </c>
      <c r="BB396" s="357">
        <f>Q_IS!BX61</f>
        <v>327.80778992633623</v>
      </c>
      <c r="BC396" s="357">
        <f>Q_IS!BY61</f>
        <v>294.24477608505549</v>
      </c>
      <c r="BD396" s="357">
        <f>Q_IS!BZ61</f>
        <v>184.53652137892945</v>
      </c>
      <c r="BE396" s="357">
        <f>Q_IS!CA61</f>
        <v>112.1609126096788</v>
      </c>
      <c r="BF396" s="357">
        <f>Q_IS!CB61</f>
        <v>334.49774482279207</v>
      </c>
      <c r="BG396" s="357">
        <f>Q_IS!CC61</f>
        <v>300.24977151536274</v>
      </c>
      <c r="BH396" s="357">
        <f>Q_IS!CD61</f>
        <v>188.30257283564228</v>
      </c>
      <c r="BI396" s="357">
        <f>Q_IS!CE61</f>
        <v>114.44991082620288</v>
      </c>
      <c r="BJ396" s="357">
        <f>Q_IS!CF61</f>
        <v>341.18769971924792</v>
      </c>
      <c r="BK396" s="357">
        <f>Q_IS!CG61</f>
        <v>306.25476694566999</v>
      </c>
      <c r="BL396" s="357">
        <f>Q_IS!CH61</f>
        <v>192.06862429235514</v>
      </c>
      <c r="BM396" s="357">
        <f>Q_IS!CI61</f>
        <v>116.73890904272696</v>
      </c>
      <c r="BN396" s="357">
        <f>Q_IS!CJ61</f>
        <v>347.8776546157037</v>
      </c>
      <c r="BO396" s="357">
        <f>Q_IS!CK61</f>
        <v>312.25976237597717</v>
      </c>
      <c r="BP396" s="357">
        <f>Q_IS!CL61</f>
        <v>195.83467574906797</v>
      </c>
      <c r="BQ396" s="357">
        <f>Q_IS!CM61</f>
        <v>119.02790725925104</v>
      </c>
      <c r="BR396" s="357">
        <f>Q_IS!CN61</f>
        <v>354.56760951215949</v>
      </c>
      <c r="BS396" s="357">
        <f>Q_IS!CO61</f>
        <v>318.26475780628442</v>
      </c>
      <c r="BT396" s="357">
        <f>Q_IS!CP61</f>
        <v>199.60072720578077</v>
      </c>
      <c r="BU396" s="357">
        <f>Q_IS!CQ61</f>
        <v>121.31690547577512</v>
      </c>
      <c r="BV396" s="357">
        <f>Q_IS!CR61</f>
        <v>361.25756440861534</v>
      </c>
      <c r="BW396" s="357">
        <f>Q_IS!CS61</f>
        <v>324.26975323659167</v>
      </c>
      <c r="BX396" s="357">
        <f>Q_IS!CT61</f>
        <v>203.36677866249363</v>
      </c>
      <c r="BY396" s="357">
        <f>Q_IS!CU61</f>
        <v>123.60590369229919</v>
      </c>
    </row>
    <row r="397" spans="1:78" s="14" customFormat="1">
      <c r="A397" s="14" t="s">
        <v>1145</v>
      </c>
      <c r="B397" s="390">
        <f t="shared" ref="B397:AJ397" si="272">SUM(B398:B402)</f>
        <v>195.63</v>
      </c>
      <c r="C397" s="390">
        <f t="shared" si="272"/>
        <v>259.54000000000002</v>
      </c>
      <c r="D397" s="390">
        <f t="shared" si="272"/>
        <v>187.602</v>
      </c>
      <c r="E397" s="390">
        <f t="shared" si="272"/>
        <v>183.76700000000002</v>
      </c>
      <c r="F397" s="390">
        <f t="shared" si="272"/>
        <v>174.56399999999999</v>
      </c>
      <c r="G397" s="390">
        <f t="shared" si="272"/>
        <v>179.07199999999997</v>
      </c>
      <c r="H397" s="390">
        <f t="shared" si="272"/>
        <v>127.286</v>
      </c>
      <c r="I397" s="390">
        <f t="shared" si="272"/>
        <v>231.49900000000002</v>
      </c>
      <c r="J397" s="390">
        <f t="shared" si="272"/>
        <v>92.054000000000002</v>
      </c>
      <c r="K397" s="390">
        <f t="shared" si="272"/>
        <v>194.31400000000002</v>
      </c>
      <c r="L397" s="390">
        <f t="shared" si="272"/>
        <v>220.81299999999999</v>
      </c>
      <c r="M397" s="390">
        <f t="shared" si="272"/>
        <v>267.25900000000001</v>
      </c>
      <c r="N397" s="390">
        <f t="shared" si="272"/>
        <v>217.45600000000002</v>
      </c>
      <c r="O397" s="390">
        <f t="shared" si="272"/>
        <v>286.29699999999997</v>
      </c>
      <c r="P397" s="390">
        <f t="shared" si="272"/>
        <v>324.15700000000004</v>
      </c>
      <c r="Q397" s="390">
        <f t="shared" si="272"/>
        <v>355.37800000000004</v>
      </c>
      <c r="R397" s="390">
        <f t="shared" si="272"/>
        <v>285.48199999999997</v>
      </c>
      <c r="S397" s="390">
        <f t="shared" si="272"/>
        <v>338.75</v>
      </c>
      <c r="T397" s="390">
        <f t="shared" si="272"/>
        <v>390.286</v>
      </c>
      <c r="U397" s="390">
        <f t="shared" si="272"/>
        <v>280.55799999999999</v>
      </c>
      <c r="V397" s="390">
        <f t="shared" si="272"/>
        <v>328.94600000000003</v>
      </c>
      <c r="W397" s="390">
        <f t="shared" si="272"/>
        <v>398.12100000000004</v>
      </c>
      <c r="X397" s="390">
        <f t="shared" si="272"/>
        <v>380.43700000000001</v>
      </c>
      <c r="Y397" s="390">
        <f t="shared" si="272"/>
        <v>259.476</v>
      </c>
      <c r="Z397" s="390">
        <f t="shared" si="272"/>
        <v>290.31199999999995</v>
      </c>
      <c r="AA397" s="390">
        <f t="shared" si="272"/>
        <v>546.91399999999999</v>
      </c>
      <c r="AB397" s="390">
        <f t="shared" si="272"/>
        <v>394.916</v>
      </c>
      <c r="AC397" s="390">
        <f t="shared" si="272"/>
        <v>403.81400000000002</v>
      </c>
      <c r="AD397" s="390">
        <f t="shared" si="272"/>
        <v>493.74899999999997</v>
      </c>
      <c r="AE397" s="390">
        <f t="shared" si="272"/>
        <v>614.49400000000003</v>
      </c>
      <c r="AF397" s="390">
        <f t="shared" si="272"/>
        <v>424.81200000000007</v>
      </c>
      <c r="AG397" s="390">
        <f t="shared" si="272"/>
        <v>438.12300000000005</v>
      </c>
      <c r="AH397" s="390">
        <f t="shared" si="272"/>
        <v>498.23400000000004</v>
      </c>
      <c r="AI397" s="390">
        <f t="shared" si="272"/>
        <v>488.78699999999992</v>
      </c>
      <c r="AJ397" s="390">
        <f t="shared" si="272"/>
        <v>575.78700000000003</v>
      </c>
      <c r="AK397" s="390">
        <f>SUM(AK398:AK402)</f>
        <v>690.99700000000007</v>
      </c>
      <c r="AL397" s="390">
        <f t="shared" ref="AL397:AO397" si="273">SUM(AL398:AL402)</f>
        <v>437.178</v>
      </c>
      <c r="AM397" s="390">
        <f t="shared" si="273"/>
        <v>655.42000000000007</v>
      </c>
      <c r="AN397" s="390">
        <f t="shared" si="273"/>
        <v>787.48199999999997</v>
      </c>
      <c r="AO397" s="390">
        <f t="shared" si="273"/>
        <v>813.11300000000006</v>
      </c>
      <c r="AP397" s="390">
        <f t="shared" ref="AP397:BH397" si="274">SUM(AP398:AP401)</f>
        <v>704.34900000000016</v>
      </c>
      <c r="AQ397" s="390">
        <f t="shared" si="274"/>
        <v>766.29100000000005</v>
      </c>
      <c r="AR397" s="390">
        <f t="shared" si="274"/>
        <v>736.46699999999998</v>
      </c>
      <c r="AS397" s="390">
        <f t="shared" si="274"/>
        <v>893.94999999999993</v>
      </c>
      <c r="AT397" s="391">
        <f t="shared" si="274"/>
        <v>866.75</v>
      </c>
      <c r="AU397" s="364">
        <f t="shared" si="274"/>
        <v>902.35551232353396</v>
      </c>
      <c r="AV397" s="364">
        <f t="shared" si="274"/>
        <v>884.46684818875042</v>
      </c>
      <c r="AW397" s="364">
        <f t="shared" si="274"/>
        <v>1035.2798733831492</v>
      </c>
      <c r="AX397" s="364">
        <f t="shared" si="274"/>
        <v>1183.7900703911632</v>
      </c>
      <c r="AY397" s="364">
        <f t="shared" si="274"/>
        <v>929.74306578120741</v>
      </c>
      <c r="AZ397" s="364">
        <f t="shared" si="274"/>
        <v>909.50861219698766</v>
      </c>
      <c r="BA397" s="364">
        <f t="shared" si="274"/>
        <v>730.95260603123802</v>
      </c>
      <c r="BB397" s="364">
        <f t="shared" si="274"/>
        <v>1269.5562687713002</v>
      </c>
      <c r="BC397" s="364">
        <f t="shared" si="274"/>
        <v>1005.5591802011529</v>
      </c>
      <c r="BD397" s="364">
        <f t="shared" si="274"/>
        <v>983.33121191310613</v>
      </c>
      <c r="BE397" s="364">
        <f t="shared" si="274"/>
        <v>793.74057103045925</v>
      </c>
      <c r="BF397" s="364">
        <f t="shared" si="274"/>
        <v>1500.2483144701864</v>
      </c>
      <c r="BG397" s="364">
        <f t="shared" si="274"/>
        <v>1148.4398736017438</v>
      </c>
      <c r="BH397" s="364">
        <f t="shared" si="274"/>
        <v>1126.0946477438342</v>
      </c>
      <c r="BI397" s="364">
        <f t="shared" ref="BI397:BY397" si="275">SUM(BI398:BI401)</f>
        <v>889.79235472486448</v>
      </c>
      <c r="BJ397" s="364">
        <f t="shared" si="275"/>
        <v>1616.6588859796595</v>
      </c>
      <c r="BK397" s="364">
        <f t="shared" si="275"/>
        <v>1226.8234839518525</v>
      </c>
      <c r="BL397" s="364">
        <f t="shared" si="275"/>
        <v>1203.1248016381471</v>
      </c>
      <c r="BM397" s="364">
        <f t="shared" si="275"/>
        <v>944.43145078046769</v>
      </c>
      <c r="BN397" s="364">
        <f t="shared" si="275"/>
        <v>1480.6490746244513</v>
      </c>
      <c r="BO397" s="364">
        <f t="shared" si="275"/>
        <v>1180.3358916683519</v>
      </c>
      <c r="BP397" s="364">
        <f t="shared" si="275"/>
        <v>1152.4731153276939</v>
      </c>
      <c r="BQ397" s="364">
        <f t="shared" si="275"/>
        <v>931.32558964408486</v>
      </c>
      <c r="BR397" s="364">
        <f t="shared" si="275"/>
        <v>1396.7394520846849</v>
      </c>
      <c r="BS397" s="364">
        <f t="shared" si="275"/>
        <v>1160.2710506475066</v>
      </c>
      <c r="BT397" s="364">
        <f t="shared" si="275"/>
        <v>1128.9849810137221</v>
      </c>
      <c r="BU397" s="364">
        <f t="shared" si="275"/>
        <v>933.58106515881684</v>
      </c>
      <c r="BV397" s="364">
        <f t="shared" si="275"/>
        <v>1583.4088093659543</v>
      </c>
      <c r="BW397" s="364">
        <f t="shared" si="275"/>
        <v>1293.2091114476129</v>
      </c>
      <c r="BX397" s="364">
        <f t="shared" si="275"/>
        <v>1261.5085197057881</v>
      </c>
      <c r="BY397" s="364">
        <f t="shared" si="275"/>
        <v>1035.1071966331053</v>
      </c>
      <c r="BZ397" s="52"/>
    </row>
    <row r="398" spans="1:78">
      <c r="A398" s="396" t="s">
        <v>1144</v>
      </c>
      <c r="B398" s="196">
        <f>Q_IS!X105</f>
        <v>71.775999999999996</v>
      </c>
      <c r="C398" s="196">
        <f>Q_IS!Y105</f>
        <v>137.715</v>
      </c>
      <c r="D398" s="196">
        <f>Q_IS!Z105</f>
        <v>96.962999999999994</v>
      </c>
      <c r="E398" s="196">
        <f>Q_IS!AA105</f>
        <v>103.02000000000001</v>
      </c>
      <c r="F398" s="196">
        <f>Q_IS!AB105</f>
        <v>76.704000000000008</v>
      </c>
      <c r="G398" s="196">
        <f>Q_IS!AC105</f>
        <v>78.24799999999999</v>
      </c>
      <c r="H398" s="196">
        <f>Q_IS!AD105</f>
        <v>44.298000000000002</v>
      </c>
      <c r="I398" s="196">
        <f>Q_IS!AE105</f>
        <v>74.597999999999999</v>
      </c>
      <c r="J398" s="196">
        <f>Q_IS!AF105</f>
        <v>14.260999999999999</v>
      </c>
      <c r="K398" s="196">
        <f>Q_IS!AG105</f>
        <v>44.432000000000002</v>
      </c>
      <c r="L398" s="196">
        <f>Q_IS!AH105</f>
        <v>81.718000000000004</v>
      </c>
      <c r="M398" s="196">
        <f>Q_IS!AI105</f>
        <v>88.69</v>
      </c>
      <c r="N398" s="196">
        <f>Q_IS!AJ105</f>
        <v>104.812</v>
      </c>
      <c r="O398" s="196">
        <f>Q_IS!AK105</f>
        <v>137.31899999999999</v>
      </c>
      <c r="P398" s="196">
        <f>Q_IS!AL105</f>
        <v>140.85400000000001</v>
      </c>
      <c r="Q398" s="196">
        <f>Q_IS!AM105</f>
        <v>199.26700000000002</v>
      </c>
      <c r="R398" s="196">
        <f>Q_IS!AN105</f>
        <v>177.447</v>
      </c>
      <c r="S398" s="196">
        <f>Q_IS!AO105</f>
        <v>213.339</v>
      </c>
      <c r="T398" s="196">
        <f>Q_IS!AP105</f>
        <v>196.90300000000002</v>
      </c>
      <c r="U398" s="196">
        <f>Q_IS!AQ105</f>
        <v>114.486</v>
      </c>
      <c r="V398" s="196">
        <f>Q_IS!AR105</f>
        <v>197.244</v>
      </c>
      <c r="W398" s="196">
        <f>Q_IS!AS105</f>
        <v>272.77300000000002</v>
      </c>
      <c r="X398" s="196">
        <f>Q_IS!AT105</f>
        <v>190.72499999999999</v>
      </c>
      <c r="Y398" s="196">
        <f>Q_IS!AU105</f>
        <v>105.946</v>
      </c>
      <c r="Z398" s="196">
        <f>Q_IS!AV105</f>
        <v>145.78299999999999</v>
      </c>
      <c r="AA398" s="196">
        <f>Q_IS!AW105</f>
        <v>407.40299999999996</v>
      </c>
      <c r="AB398" s="196">
        <f>Q_IS!AX105</f>
        <v>164.78800000000001</v>
      </c>
      <c r="AC398" s="196">
        <f>Q_IS!AY105</f>
        <v>232.352</v>
      </c>
      <c r="AD398" s="196">
        <f>Q_IS!AZ105</f>
        <v>229.089</v>
      </c>
      <c r="AE398" s="196">
        <f>Q_IS!BA105</f>
        <v>296.06200000000001</v>
      </c>
      <c r="AF398" s="196">
        <f>Q_IS!BB105</f>
        <v>169.38800000000001</v>
      </c>
      <c r="AG398" s="196">
        <f>Q_IS!BC105</f>
        <v>189.73600000000002</v>
      </c>
      <c r="AH398" s="196">
        <f>Q_IS!BD105</f>
        <v>203.864</v>
      </c>
      <c r="AI398" s="196">
        <f>Q_IS!BE105</f>
        <v>249.78100000000001</v>
      </c>
      <c r="AJ398" s="196">
        <f>Q_IS!BF105</f>
        <v>285.05799999999999</v>
      </c>
      <c r="AK398" s="202">
        <f>Q_IS!BG105</f>
        <v>346.44100000000003</v>
      </c>
      <c r="AL398" s="202">
        <f>Q_IS!BH105</f>
        <v>195.13600000000002</v>
      </c>
      <c r="AM398" s="202">
        <f>Q_IS!BI105</f>
        <v>290.053</v>
      </c>
      <c r="AN398" s="202">
        <f>Q_IS!BJ105</f>
        <v>381.34699999999998</v>
      </c>
      <c r="AO398" s="202">
        <f>Q_IS!BK105</f>
        <v>392.19</v>
      </c>
      <c r="AP398" s="202">
        <f>Q_IS!BL105</f>
        <v>387.41</v>
      </c>
      <c r="AQ398" s="202">
        <f>Q_IS!BM105</f>
        <v>386.67099999999999</v>
      </c>
      <c r="AR398" s="202">
        <f>Q_IS!BN105</f>
        <v>347.92899999999997</v>
      </c>
      <c r="AS398" s="202">
        <f>Q_IS!BO105</f>
        <v>522.62</v>
      </c>
      <c r="AT398" s="355">
        <f>Q_IS!BP105</f>
        <v>552.65300000000002</v>
      </c>
      <c r="AU398" s="357">
        <f>Q_IS!BQ105</f>
        <v>428.4763692156717</v>
      </c>
      <c r="AV398" s="357">
        <f>Q_IS!BR105</f>
        <v>438.39737667186228</v>
      </c>
      <c r="AW398" s="357">
        <f>Q_IS!BS105</f>
        <v>544.51239244500039</v>
      </c>
      <c r="AX398" s="357">
        <f>Q_IS!BT105</f>
        <v>780.35970645678697</v>
      </c>
      <c r="AY398" s="357">
        <f>Q_IS!BU105</f>
        <v>387.87480430942293</v>
      </c>
      <c r="AZ398" s="357">
        <f>Q_IS!BV105</f>
        <v>396.85571691532982</v>
      </c>
      <c r="BA398" s="357">
        <f>Q_IS!BW105</f>
        <v>212.84048488321804</v>
      </c>
      <c r="BB398" s="357">
        <f>Q_IS!BX105</f>
        <v>827.93736456871056</v>
      </c>
      <c r="BC398" s="357">
        <f>Q_IS!BY105</f>
        <v>411.52309711205106</v>
      </c>
      <c r="BD398" s="357">
        <f>Q_IS!BZ105</f>
        <v>421.05156591026446</v>
      </c>
      <c r="BE398" s="357">
        <f>Q_IS!CA105</f>
        <v>225.81713108670903</v>
      </c>
      <c r="BF398" s="357">
        <f>Q_IS!CB105</f>
        <v>1025.7842875743845</v>
      </c>
      <c r="BG398" s="357">
        <f>Q_IS!CC105</f>
        <v>509.86215269000166</v>
      </c>
      <c r="BH398" s="357">
        <f>Q_IS!CD105</f>
        <v>521.6675790376114</v>
      </c>
      <c r="BI398" s="357">
        <f>Q_IS!CE105</f>
        <v>279.77921379902574</v>
      </c>
      <c r="BJ398" s="357">
        <f>Q_IS!CF105</f>
        <v>1117.4981919632157</v>
      </c>
      <c r="BK398" s="357">
        <f>Q_IS!CG105</f>
        <v>555.45464307571763</v>
      </c>
      <c r="BL398" s="357">
        <f>Q_IS!CH105</f>
        <v>568.25909786026784</v>
      </c>
      <c r="BM398" s="357">
        <f>Q_IS!CI105</f>
        <v>304.77328602706007</v>
      </c>
      <c r="BN398" s="357">
        <f>Q_IS!CJ105</f>
        <v>956.17831434533412</v>
      </c>
      <c r="BO398" s="357">
        <f>Q_IS!CK105</f>
        <v>475.27575180906399</v>
      </c>
      <c r="BP398" s="357">
        <f>Q_IS!CL105</f>
        <v>486.18387804100087</v>
      </c>
      <c r="BQ398" s="357">
        <f>Q_IS!CM105</f>
        <v>260.75934313124282</v>
      </c>
      <c r="BR398" s="357">
        <f>Q_IS!CN105</f>
        <v>846.45828811970853</v>
      </c>
      <c r="BS398" s="357">
        <f>Q_IS!CO105</f>
        <v>420.74337000266559</v>
      </c>
      <c r="BT398" s="357">
        <f>Q_IS!CP105</f>
        <v>430.35776880589691</v>
      </c>
      <c r="BU398" s="357">
        <f>Q_IS!CQ105</f>
        <v>230.82227732333786</v>
      </c>
      <c r="BV398" s="357">
        <f>Q_IS!CR105</f>
        <v>987.76861717120539</v>
      </c>
      <c r="BW398" s="357">
        <f>Q_IS!CS105</f>
        <v>490.98910142942844</v>
      </c>
      <c r="BX398" s="357">
        <f>Q_IS!CT105</f>
        <v>502.15992854364208</v>
      </c>
      <c r="BY398" s="357">
        <f>Q_IS!CU105</f>
        <v>269.33872688792405</v>
      </c>
    </row>
    <row r="399" spans="1:78">
      <c r="A399" s="396" t="s">
        <v>42</v>
      </c>
      <c r="B399" s="196">
        <f>Q_IS!X108</f>
        <v>84.448000000000008</v>
      </c>
      <c r="C399" s="196">
        <f>Q_IS!Y108</f>
        <v>109.233</v>
      </c>
      <c r="D399" s="196">
        <f>Q_IS!Z108</f>
        <v>81.34</v>
      </c>
      <c r="E399" s="196">
        <f>Q_IS!AA108</f>
        <v>74.584999999999994</v>
      </c>
      <c r="F399" s="196">
        <f>Q_IS!AB108</f>
        <v>90.308000000000007</v>
      </c>
      <c r="G399" s="196">
        <f>Q_IS!AC108</f>
        <v>86.075000000000003</v>
      </c>
      <c r="H399" s="196">
        <f>Q_IS!AD108</f>
        <v>76.415999999999997</v>
      </c>
      <c r="I399" s="196">
        <f>Q_IS!AE108</f>
        <v>150.21600000000001</v>
      </c>
      <c r="J399" s="196">
        <f>Q_IS!AF108</f>
        <v>67.823000000000008</v>
      </c>
      <c r="K399" s="196">
        <f>Q_IS!AG108</f>
        <v>129.54300000000001</v>
      </c>
      <c r="L399" s="196">
        <f>Q_IS!AH108</f>
        <v>118.878</v>
      </c>
      <c r="M399" s="196">
        <f>Q_IS!AI108</f>
        <v>165.27799999999999</v>
      </c>
      <c r="N399" s="196">
        <f>Q_IS!AJ108</f>
        <v>89.673000000000002</v>
      </c>
      <c r="O399" s="196">
        <f>Q_IS!AK108</f>
        <v>128.809</v>
      </c>
      <c r="P399" s="196">
        <f>Q_IS!AL108</f>
        <v>161.61699999999999</v>
      </c>
      <c r="Q399" s="196">
        <f>Q_IS!AM108</f>
        <v>142.74100000000001</v>
      </c>
      <c r="R399" s="196">
        <f>Q_IS!AN108</f>
        <v>88.01</v>
      </c>
      <c r="S399" s="196">
        <f>Q_IS!AO108</f>
        <v>99.691000000000003</v>
      </c>
      <c r="T399" s="196">
        <f>Q_IS!AP108</f>
        <v>172.95299999999997</v>
      </c>
      <c r="U399" s="196">
        <f>Q_IS!AQ108</f>
        <v>160.334</v>
      </c>
      <c r="V399" s="196">
        <f>Q_IS!AR108</f>
        <v>110.726</v>
      </c>
      <c r="W399" s="196">
        <f>Q_IS!AS108</f>
        <v>88.498999999999995</v>
      </c>
      <c r="X399" s="196">
        <f>Q_IS!AT108</f>
        <v>166.12900000000002</v>
      </c>
      <c r="Y399" s="196">
        <f>Q_IS!AU108</f>
        <v>139.71499999999997</v>
      </c>
      <c r="Z399" s="196">
        <f>Q_IS!AV108</f>
        <v>106.997</v>
      </c>
      <c r="AA399" s="196">
        <f>Q_IS!AW108</f>
        <v>104.017</v>
      </c>
      <c r="AB399" s="196">
        <f>Q_IS!AX108</f>
        <v>182.94300000000001</v>
      </c>
      <c r="AC399" s="196">
        <f>Q_IS!AY108</f>
        <v>152.20999999999998</v>
      </c>
      <c r="AD399" s="196">
        <f>Q_IS!AZ108</f>
        <v>220.48</v>
      </c>
      <c r="AE399" s="196">
        <f>Q_IS!BA108</f>
        <v>227.78499999999997</v>
      </c>
      <c r="AF399" s="196">
        <f>Q_IS!BB108</f>
        <v>168.39300000000003</v>
      </c>
      <c r="AG399" s="196">
        <f>Q_IS!BC108</f>
        <v>224.47399999999999</v>
      </c>
      <c r="AH399" s="196">
        <f>Q_IS!BD108</f>
        <v>246.35900000000001</v>
      </c>
      <c r="AI399" s="196">
        <f>Q_IS!BE108</f>
        <v>168.369</v>
      </c>
      <c r="AJ399" s="196">
        <f>Q_IS!BF108</f>
        <v>201.357</v>
      </c>
      <c r="AK399" s="202">
        <f>Q_IS!BG108</f>
        <v>350.37</v>
      </c>
      <c r="AL399" s="202">
        <f>Q_IS!BH108</f>
        <v>179.39</v>
      </c>
      <c r="AM399" s="202">
        <f>Q_IS!BI108</f>
        <v>302.44900000000001</v>
      </c>
      <c r="AN399" s="202">
        <f>Q_IS!BJ108</f>
        <v>404.05399999999997</v>
      </c>
      <c r="AO399" s="202">
        <f>Q_IS!BK108</f>
        <v>415.76900000000001</v>
      </c>
      <c r="AP399" s="202">
        <f>Q_IS!BL108</f>
        <v>258.779</v>
      </c>
      <c r="AQ399" s="202">
        <f>Q_IS!BM108</f>
        <v>307.41800000000001</v>
      </c>
      <c r="AR399" s="202">
        <f>Q_IS!BN108</f>
        <v>341.505</v>
      </c>
      <c r="AS399" s="202">
        <f>Q_IS!BO108</f>
        <v>331.17399999999998</v>
      </c>
      <c r="AT399" s="355">
        <f>Q_IS!BP108</f>
        <v>232.71600000000001</v>
      </c>
      <c r="AU399" s="357">
        <f>Q_IS!BQ108</f>
        <v>395.14484335771596</v>
      </c>
      <c r="AV399" s="357">
        <f>Q_IS!BR108</f>
        <v>394.76459028616131</v>
      </c>
      <c r="AW399" s="357">
        <f>Q_IS!BS108</f>
        <v>465.02836191902185</v>
      </c>
      <c r="AX399" s="357">
        <f>Q_IS!BT108</f>
        <v>318.56760216374823</v>
      </c>
      <c r="AY399" s="357">
        <f>Q_IS!BU108</f>
        <v>458.4939413195051</v>
      </c>
      <c r="AZ399" s="357">
        <f>Q_IS!BV108</f>
        <v>458.05272657912172</v>
      </c>
      <c r="BA399" s="357">
        <f>Q_IS!BW108</f>
        <v>491.03821177346322</v>
      </c>
      <c r="BB399" s="357">
        <f>Q_IS!BX108</f>
        <v>349.46960173148398</v>
      </c>
      <c r="BC399" s="357">
        <f>Q_IS!BY108</f>
        <v>502.96920961493601</v>
      </c>
      <c r="BD399" s="357">
        <f>Q_IS!BZ108</f>
        <v>502.48519573985084</v>
      </c>
      <c r="BE399" s="357">
        <f>Q_IS!CA108</f>
        <v>538.6703705520124</v>
      </c>
      <c r="BF399" s="357">
        <f>Q_IS!CB108</f>
        <v>375.42333344553236</v>
      </c>
      <c r="BG399" s="357">
        <f>Q_IS!CC108</f>
        <v>540.32275299065714</v>
      </c>
      <c r="BH399" s="357">
        <f>Q_IS!CD108</f>
        <v>539.80279331027862</v>
      </c>
      <c r="BI399" s="357">
        <f>Q_IS!CE108</f>
        <v>578.6752986211377</v>
      </c>
      <c r="BJ399" s="357">
        <f>Q_IS!CF108</f>
        <v>393.30957262567608</v>
      </c>
      <c r="BK399" s="357">
        <f>Q_IS!CG108</f>
        <v>566.06527119209113</v>
      </c>
      <c r="BL399" s="357">
        <f>Q_IS!CH108</f>
        <v>565.52053914841292</v>
      </c>
      <c r="BM399" s="357">
        <f>Q_IS!CI108</f>
        <v>606.24504156648527</v>
      </c>
      <c r="BN399" s="357">
        <f>Q_IS!CJ108</f>
        <v>412.04850892964674</v>
      </c>
      <c r="BO399" s="357">
        <f>Q_IS!CK108</f>
        <v>593.03502173730328</v>
      </c>
      <c r="BP399" s="357">
        <f>Q_IS!CL108</f>
        <v>592.46433634852576</v>
      </c>
      <c r="BQ399" s="357">
        <f>Q_IS!CM108</f>
        <v>635.12912679907231</v>
      </c>
      <c r="BR399" s="357">
        <f>Q_IS!CN108</f>
        <v>431.68021203888395</v>
      </c>
      <c r="BS399" s="357">
        <f>Q_IS!CO108</f>
        <v>621.28967435179561</v>
      </c>
      <c r="BT399" s="357">
        <f>Q_IS!CP108</f>
        <v>620.69179913978496</v>
      </c>
      <c r="BU399" s="357">
        <f>Q_IS!CQ108</f>
        <v>665.38931748811888</v>
      </c>
      <c r="BV399" s="357">
        <f>Q_IS!CR108</f>
        <v>471.38729206646207</v>
      </c>
      <c r="BW399" s="357">
        <f>Q_IS!CS108</f>
        <v>678.43753087103914</v>
      </c>
      <c r="BX399" s="357">
        <f>Q_IS!CT108</f>
        <v>677.78466152627061</v>
      </c>
      <c r="BY399" s="357">
        <f>Q_IS!CU108</f>
        <v>726.59357504305262</v>
      </c>
      <c r="BZ399" s="14"/>
    </row>
    <row r="400" spans="1:78">
      <c r="A400" s="396" t="s">
        <v>1052</v>
      </c>
      <c r="B400" s="196">
        <f>Q_IS!X113</f>
        <v>0</v>
      </c>
      <c r="C400" s="196">
        <f>Q_IS!Y113</f>
        <v>0</v>
      </c>
      <c r="D400" s="196">
        <f>Q_IS!Z113</f>
        <v>0</v>
      </c>
      <c r="E400" s="196">
        <f>Q_IS!AA113</f>
        <v>0</v>
      </c>
      <c r="F400" s="196">
        <f>Q_IS!AB113</f>
        <v>0</v>
      </c>
      <c r="G400" s="196">
        <f>Q_IS!AC113</f>
        <v>0</v>
      </c>
      <c r="H400" s="196">
        <f>Q_IS!AD113</f>
        <v>0</v>
      </c>
      <c r="I400" s="196">
        <f>Q_IS!AE113</f>
        <v>0</v>
      </c>
      <c r="J400" s="196">
        <f>Q_IS!AF113</f>
        <v>1.2809999999999999</v>
      </c>
      <c r="K400" s="196">
        <f>Q_IS!AG113</f>
        <v>7.2539999999999996</v>
      </c>
      <c r="L400" s="196">
        <f>Q_IS!AH113</f>
        <v>7.0170000000000003</v>
      </c>
      <c r="M400" s="196">
        <f>Q_IS!AI113</f>
        <v>0.89300000000000002</v>
      </c>
      <c r="N400" s="196">
        <f>Q_IS!AJ113</f>
        <v>5.4340000000000002</v>
      </c>
      <c r="O400" s="196">
        <f>Q_IS!AK113</f>
        <v>9.0050000000000008</v>
      </c>
      <c r="P400" s="196">
        <f>Q_IS!AL113</f>
        <v>7.8620000000000001</v>
      </c>
      <c r="Q400" s="196">
        <f>Q_IS!AM113</f>
        <v>0</v>
      </c>
      <c r="R400" s="196">
        <f>Q_IS!AN113</f>
        <v>5.7190000000000003</v>
      </c>
      <c r="S400" s="196">
        <f>Q_IS!AO113</f>
        <v>10.547000000000001</v>
      </c>
      <c r="T400" s="196">
        <f>Q_IS!AP113</f>
        <v>6.9160000000000004</v>
      </c>
      <c r="U400" s="196">
        <f>Q_IS!AQ113</f>
        <v>0.76500000000000001</v>
      </c>
      <c r="V400" s="196">
        <f>Q_IS!AR113</f>
        <v>4.0090000000000003</v>
      </c>
      <c r="W400" s="196">
        <f>Q_IS!AS113</f>
        <v>10.236000000000001</v>
      </c>
      <c r="X400" s="196">
        <f>Q_IS!AT113</f>
        <v>8.7219999999999995</v>
      </c>
      <c r="Y400" s="196">
        <f>Q_IS!AU113</f>
        <v>4.6260000000000003</v>
      </c>
      <c r="Z400" s="196">
        <f>Q_IS!AV113</f>
        <v>6.976</v>
      </c>
      <c r="AA400" s="196">
        <f>Q_IS!AW113</f>
        <v>12.994999999999999</v>
      </c>
      <c r="AB400" s="196">
        <f>Q_IS!AX113</f>
        <v>19.206</v>
      </c>
      <c r="AC400" s="196">
        <f>Q_IS!AY113</f>
        <v>5.2320000000000002</v>
      </c>
      <c r="AD400" s="196">
        <f>Q_IS!AZ113</f>
        <v>8.8680000000000003</v>
      </c>
      <c r="AE400" s="196">
        <f>Q_IS!BA113</f>
        <v>25.504000000000001</v>
      </c>
      <c r="AF400" s="196">
        <f>Q_IS!BB113</f>
        <v>40.514000000000003</v>
      </c>
      <c r="AG400" s="196">
        <f>Q_IS!BC113</f>
        <v>2.3889999999999998</v>
      </c>
      <c r="AH400" s="196">
        <f>Q_IS!BD113</f>
        <v>49.273000000000003</v>
      </c>
      <c r="AI400" s="196">
        <f>Q_IS!BE113</f>
        <v>61.933999999999997</v>
      </c>
      <c r="AJ400" s="196">
        <f>Q_IS!BF113</f>
        <v>73.343999999999994</v>
      </c>
      <c r="AK400" s="202">
        <f>Q_IS!BG113</f>
        <v>0.65300000000000002</v>
      </c>
      <c r="AL400" s="202">
        <f>Q_IS!BH113</f>
        <v>67.811999999999998</v>
      </c>
      <c r="AM400" s="202">
        <f>Q_IS!BI113</f>
        <v>65.805000000000007</v>
      </c>
      <c r="AN400" s="202">
        <f>Q_IS!BJ113</f>
        <v>49.033000000000001</v>
      </c>
      <c r="AO400" s="202">
        <f>Q_IS!BK113</f>
        <v>2.923</v>
      </c>
      <c r="AP400" s="202">
        <f>Q_IS!BL113</f>
        <v>43.71</v>
      </c>
      <c r="AQ400" s="202">
        <f>Q_IS!BM113</f>
        <v>48.709000000000003</v>
      </c>
      <c r="AR400" s="202">
        <f>Q_IS!BN113</f>
        <v>30.547999999999998</v>
      </c>
      <c r="AS400" s="202">
        <f>Q_IS!BO113</f>
        <v>29.122</v>
      </c>
      <c r="AT400" s="355">
        <f>Q_IS!BP113</f>
        <v>66.212000000000003</v>
      </c>
      <c r="AU400" s="357">
        <f>Q_IS!BQ113</f>
        <v>52.891999750146297</v>
      </c>
      <c r="AV400" s="357">
        <f>Q_IS!BR113</f>
        <v>33.171381230726745</v>
      </c>
      <c r="AW400" s="357">
        <f>Q_IS!BS113</f>
        <v>12.874619019126953</v>
      </c>
      <c r="AX400" s="357">
        <f>Q_IS!BT113</f>
        <v>58.336406697094944</v>
      </c>
      <c r="AY400" s="357">
        <f>Q_IS!BU113</f>
        <v>52.36356015227927</v>
      </c>
      <c r="AZ400" s="357">
        <f>Q_IS!BV113</f>
        <v>32.839968702536019</v>
      </c>
      <c r="BA400" s="357">
        <f>Q_IS!BW113</f>
        <v>19.960064448089781</v>
      </c>
      <c r="BB400" s="357">
        <f>Q_IS!BX113</f>
        <v>61.37873058580719</v>
      </c>
      <c r="BC400" s="357">
        <f>Q_IS!BY113</f>
        <v>55.094391874165787</v>
      </c>
      <c r="BD400" s="357">
        <f>Q_IS!BZ113</f>
        <v>34.552618262990748</v>
      </c>
      <c r="BE400" s="357">
        <f>Q_IS!CA113</f>
        <v>21.001009277036246</v>
      </c>
      <c r="BF400" s="357">
        <f>Q_IS!CB113</f>
        <v>64.577652938735696</v>
      </c>
      <c r="BG400" s="357">
        <f>Q_IS!CC113</f>
        <v>57.965788529084946</v>
      </c>
      <c r="BH400" s="357">
        <f>Q_IS!CD113</f>
        <v>36.353423555944218</v>
      </c>
      <c r="BI400" s="357">
        <f>Q_IS!CE113</f>
        <v>22.095534976235143</v>
      </c>
      <c r="BJ400" s="357">
        <f>Q_IS!CF113</f>
        <v>67.941776828080279</v>
      </c>
      <c r="BK400" s="357">
        <f>Q_IS!CG113</f>
        <v>60.985472352843459</v>
      </c>
      <c r="BL400" s="357">
        <f>Q_IS!CH113</f>
        <v>38.247227605466378</v>
      </c>
      <c r="BM400" s="357">
        <f>Q_IS!CI113</f>
        <v>23.246585125609869</v>
      </c>
      <c r="BN400" s="357">
        <f>Q_IS!CJ113</f>
        <v>71.480159221767678</v>
      </c>
      <c r="BO400" s="357">
        <f>Q_IS!CK113</f>
        <v>64.16157300428867</v>
      </c>
      <c r="BP400" s="357">
        <f>Q_IS!CL113</f>
        <v>40.239128952247228</v>
      </c>
      <c r="BQ400" s="357">
        <f>Q_IS!CM113</f>
        <v>24.457258607552404</v>
      </c>
      <c r="BR400" s="357">
        <f>Q_IS!CN113</f>
        <v>75.202334270727675</v>
      </c>
      <c r="BS400" s="357">
        <f>Q_IS!CO113</f>
        <v>67.502648468287646</v>
      </c>
      <c r="BT400" s="357">
        <f>Q_IS!CP113</f>
        <v>42.334494762964773</v>
      </c>
      <c r="BU400" s="357">
        <f>Q_IS!CQ113</f>
        <v>25.730817574769588</v>
      </c>
      <c r="BV400" s="357">
        <f>Q_IS!CR113</f>
        <v>79.118337766707441</v>
      </c>
      <c r="BW400" s="357">
        <f>Q_IS!CS113</f>
        <v>71.017707009397341</v>
      </c>
      <c r="BX400" s="357">
        <f>Q_IS!CT113</f>
        <v>44.538974598597179</v>
      </c>
      <c r="BY400" s="357">
        <f>Q_IS!CU113</f>
        <v>27.070695818634647</v>
      </c>
    </row>
    <row r="401" spans="1:78">
      <c r="A401" s="396" t="s">
        <v>222</v>
      </c>
      <c r="B401" s="196">
        <f>Q_IS!X115+31.999</f>
        <v>39.405999999999999</v>
      </c>
      <c r="C401" s="196">
        <f>Q_IS!Y115</f>
        <v>12.591999999999999</v>
      </c>
      <c r="D401" s="196">
        <f>Q_IS!Z115</f>
        <v>9.2989999999999995</v>
      </c>
      <c r="E401" s="196">
        <f>Q_IS!AA115</f>
        <v>6.1619999999999999</v>
      </c>
      <c r="F401" s="196">
        <f>Q_IS!AB115</f>
        <v>7.5519999999999996</v>
      </c>
      <c r="G401" s="196">
        <f>Q_IS!AC115</f>
        <v>14.749000000000001</v>
      </c>
      <c r="H401" s="196">
        <f>Q_IS!AD115</f>
        <v>6.5719999999999992</v>
      </c>
      <c r="I401" s="196">
        <f>Q_IS!AE115</f>
        <v>6.6850000000000005</v>
      </c>
      <c r="J401" s="196">
        <f>Q_IS!AF115</f>
        <v>8.6890000000000001</v>
      </c>
      <c r="K401" s="196">
        <f>Q_IS!AG115</f>
        <v>13.085000000000001</v>
      </c>
      <c r="L401" s="196">
        <f>Q_IS!AH115</f>
        <v>13.2</v>
      </c>
      <c r="M401" s="196">
        <f>Q_IS!AI115</f>
        <v>12.398</v>
      </c>
      <c r="N401" s="196">
        <f>Q_IS!AJ115</f>
        <v>17.536999999999999</v>
      </c>
      <c r="O401" s="196">
        <f>Q_IS!AK115</f>
        <v>11.164000000000001</v>
      </c>
      <c r="P401" s="196">
        <f>Q_IS!AL115</f>
        <v>13.824</v>
      </c>
      <c r="Q401" s="196">
        <f>Q_IS!AM115</f>
        <v>13.37</v>
      </c>
      <c r="R401" s="196">
        <f>Q_IS!AN115</f>
        <v>14.306000000000001</v>
      </c>
      <c r="S401" s="196">
        <f>Q_IS!AO115</f>
        <v>15.173000000000002</v>
      </c>
      <c r="T401" s="196">
        <f>Q_IS!AP115</f>
        <v>13.513999999999999</v>
      </c>
      <c r="U401" s="196">
        <f>Q_IS!AQ115</f>
        <v>4.9729999999999999</v>
      </c>
      <c r="V401" s="196">
        <f>Q_IS!AR115</f>
        <v>16.966999999999999</v>
      </c>
      <c r="W401" s="196">
        <f>Q_IS!AS115</f>
        <v>26.613</v>
      </c>
      <c r="X401" s="196">
        <f>Q_IS!AT115</f>
        <v>14.861000000000001</v>
      </c>
      <c r="Y401" s="196">
        <f>Q_IS!AU115</f>
        <v>9.1890000000000001</v>
      </c>
      <c r="Z401" s="196">
        <f>Q_IS!AV115</f>
        <v>30.555999999999997</v>
      </c>
      <c r="AA401" s="196">
        <f>Q_IS!AW115</f>
        <v>22.499000000000002</v>
      </c>
      <c r="AB401" s="196">
        <f>Q_IS!AX115</f>
        <v>27.978999999999999</v>
      </c>
      <c r="AC401" s="196">
        <f>Q_IS!AY115</f>
        <v>14.02</v>
      </c>
      <c r="AD401" s="196">
        <f>Q_IS!AZ115</f>
        <v>35.312000000000005</v>
      </c>
      <c r="AE401" s="196">
        <f>Q_IS!BA115</f>
        <v>65.143000000000001</v>
      </c>
      <c r="AF401" s="196">
        <f>Q_IS!BB115</f>
        <v>46.516999999999996</v>
      </c>
      <c r="AG401" s="196">
        <f>Q_IS!BC115</f>
        <v>21.524000000000001</v>
      </c>
      <c r="AH401" s="196">
        <f>Q_IS!BD115</f>
        <v>5.125</v>
      </c>
      <c r="AI401" s="196">
        <f>Q_IS!BE115</f>
        <v>27.422999999999998</v>
      </c>
      <c r="AJ401" s="196">
        <f>Q_IS!BF115</f>
        <v>25.229999999999997</v>
      </c>
      <c r="AK401" s="202">
        <f>Q_IS!BG115</f>
        <v>15.003</v>
      </c>
      <c r="AL401" s="202">
        <f>Q_IS!BH115</f>
        <v>20.426000000000002</v>
      </c>
      <c r="AM401" s="202">
        <f>Q_IS!BI115</f>
        <v>19.956</v>
      </c>
      <c r="AN401" s="202">
        <f>Q_IS!BJ115</f>
        <v>3.6640000000000001</v>
      </c>
      <c r="AO401" s="202">
        <f>Q_IS!BK115</f>
        <v>6.931</v>
      </c>
      <c r="AP401" s="202">
        <f>Q_IS!BL115</f>
        <v>14.45</v>
      </c>
      <c r="AQ401" s="202">
        <f>Q_IS!BM115</f>
        <v>23.492999999999999</v>
      </c>
      <c r="AR401" s="202">
        <f>Q_IS!BN115</f>
        <v>16.484999999999999</v>
      </c>
      <c r="AS401" s="202">
        <f>Q_IS!BO115</f>
        <v>11.034000000000001</v>
      </c>
      <c r="AT401" s="355">
        <f>Q_IS!BP115</f>
        <v>15.169</v>
      </c>
      <c r="AU401" s="357">
        <f>Q_IS!BQ115</f>
        <v>25.842299999999998</v>
      </c>
      <c r="AV401" s="357">
        <f>Q_IS!BR115</f>
        <v>18.133500000000002</v>
      </c>
      <c r="AW401" s="357">
        <f>Q_IS!BS115</f>
        <v>12.864500000000001</v>
      </c>
      <c r="AX401" s="357">
        <f>Q_IS!BT115</f>
        <v>26.526355073533036</v>
      </c>
      <c r="AY401" s="357">
        <f>Q_IS!BU115</f>
        <v>31.010759999999998</v>
      </c>
      <c r="AZ401" s="357">
        <f>Q_IS!BV115</f>
        <v>21.760200000000001</v>
      </c>
      <c r="BA401" s="357">
        <f>Q_IS!BW115</f>
        <v>7.1138449264669568</v>
      </c>
      <c r="BB401" s="357">
        <f>Q_IS!BX115</f>
        <v>30.770571885298317</v>
      </c>
      <c r="BC401" s="357">
        <f>Q_IS!BY115</f>
        <v>35.972481599999995</v>
      </c>
      <c r="BD401" s="357">
        <f>Q_IS!BZ115</f>
        <v>25.241831999999999</v>
      </c>
      <c r="BE401" s="357">
        <f>Q_IS!CA115</f>
        <v>8.2520601147016706</v>
      </c>
      <c r="BF401" s="357">
        <f>Q_IS!CB115</f>
        <v>34.463040511534118</v>
      </c>
      <c r="BG401" s="357">
        <f>Q_IS!CC115</f>
        <v>40.289179391999994</v>
      </c>
      <c r="BH401" s="357">
        <f>Q_IS!CD115</f>
        <v>28.270851839999995</v>
      </c>
      <c r="BI401" s="357">
        <f>Q_IS!CE115</f>
        <v>9.2423073284658877</v>
      </c>
      <c r="BJ401" s="357">
        <f>Q_IS!CF115</f>
        <v>37.909344562687536</v>
      </c>
      <c r="BK401" s="357">
        <f>Q_IS!CG115</f>
        <v>44.318097331200001</v>
      </c>
      <c r="BL401" s="357">
        <f>Q_IS!CH115</f>
        <v>31.097937024000004</v>
      </c>
      <c r="BM401" s="357">
        <f>Q_IS!CI115</f>
        <v>10.166538061312451</v>
      </c>
      <c r="BN401" s="357">
        <f>Q_IS!CJ115</f>
        <v>40.942092127702537</v>
      </c>
      <c r="BO401" s="357">
        <f>Q_IS!CK115</f>
        <v>47.863545117695999</v>
      </c>
      <c r="BP401" s="357">
        <f>Q_IS!CL115</f>
        <v>33.585771985919997</v>
      </c>
      <c r="BQ401" s="357">
        <f>Q_IS!CM115</f>
        <v>10.979861106217466</v>
      </c>
      <c r="BR401" s="357">
        <f>Q_IS!CN115</f>
        <v>43.398617655364689</v>
      </c>
      <c r="BS401" s="357">
        <f>Q_IS!CO115</f>
        <v>50.735357824757756</v>
      </c>
      <c r="BT401" s="357">
        <f>Q_IS!CP115</f>
        <v>35.600918305075197</v>
      </c>
      <c r="BU401" s="357">
        <f>Q_IS!CQ115</f>
        <v>11.638652772590518</v>
      </c>
      <c r="BV401" s="357">
        <f>Q_IS!CR115</f>
        <v>45.13456236157927</v>
      </c>
      <c r="BW401" s="357">
        <f>Q_IS!CS115</f>
        <v>52.764772137748061</v>
      </c>
      <c r="BX401" s="357">
        <f>Q_IS!CT115</f>
        <v>37.024955037278204</v>
      </c>
      <c r="BY401" s="357">
        <f>Q_IS!CU115</f>
        <v>12.104198883494128</v>
      </c>
    </row>
    <row r="402" spans="1:78" s="1401" customFormat="1">
      <c r="A402" s="886" t="s">
        <v>1196</v>
      </c>
      <c r="B402" s="196">
        <f>Q_IS!X120</f>
        <v>0</v>
      </c>
      <c r="C402" s="196">
        <f>Q_IS!Y120</f>
        <v>0</v>
      </c>
      <c r="D402" s="196">
        <f>Q_IS!Z120</f>
        <v>0</v>
      </c>
      <c r="E402" s="196">
        <f>Q_IS!AA120</f>
        <v>0</v>
      </c>
      <c r="F402" s="196">
        <f>Q_IS!AB120</f>
        <v>0</v>
      </c>
      <c r="G402" s="196">
        <f>Q_IS!AC120</f>
        <v>0</v>
      </c>
      <c r="H402" s="196">
        <f>Q_IS!AD120</f>
        <v>0</v>
      </c>
      <c r="I402" s="196">
        <f>Q_IS!AE120</f>
        <v>0</v>
      </c>
      <c r="J402" s="196">
        <f>Q_IS!AF120</f>
        <v>0</v>
      </c>
      <c r="K402" s="196">
        <f>Q_IS!AG120</f>
        <v>0</v>
      </c>
      <c r="L402" s="196">
        <f>Q_IS!AH120</f>
        <v>0</v>
      </c>
      <c r="M402" s="196">
        <f>Q_IS!AI120</f>
        <v>0</v>
      </c>
      <c r="N402" s="196">
        <f>Q_IS!AJ120</f>
        <v>0</v>
      </c>
      <c r="O402" s="196">
        <f>Q_IS!AK120</f>
        <v>0</v>
      </c>
      <c r="P402" s="196">
        <f>Q_IS!AL120</f>
        <v>0</v>
      </c>
      <c r="Q402" s="196">
        <f>Q_IS!AM120</f>
        <v>0</v>
      </c>
      <c r="R402" s="196">
        <f>Q_IS!AN120</f>
        <v>0</v>
      </c>
      <c r="S402" s="196">
        <f>Q_IS!AO120</f>
        <v>0</v>
      </c>
      <c r="T402" s="196">
        <f>Q_IS!AP120</f>
        <v>0</v>
      </c>
      <c r="U402" s="196">
        <f>Q_IS!AQ120</f>
        <v>0</v>
      </c>
      <c r="V402" s="196">
        <f>Q_IS!AR120</f>
        <v>0</v>
      </c>
      <c r="W402" s="196">
        <f>Q_IS!AS120</f>
        <v>0</v>
      </c>
      <c r="X402" s="196">
        <f>Q_IS!AT120</f>
        <v>0</v>
      </c>
      <c r="Y402" s="196">
        <f>Q_IS!AU120</f>
        <v>0</v>
      </c>
      <c r="Z402" s="196">
        <f>Q_IS!AV120</f>
        <v>0</v>
      </c>
      <c r="AA402" s="196">
        <f>Q_IS!AW120</f>
        <v>0</v>
      </c>
      <c r="AB402" s="196">
        <f>Q_IS!AX120</f>
        <v>0</v>
      </c>
      <c r="AC402" s="196">
        <f>Q_IS!AY120</f>
        <v>0</v>
      </c>
      <c r="AD402" s="196">
        <f>Q_IS!AZ120</f>
        <v>0</v>
      </c>
      <c r="AE402" s="196">
        <f>Q_IS!BA120</f>
        <v>0</v>
      </c>
      <c r="AF402" s="196">
        <f>Q_IS!BB120</f>
        <v>0</v>
      </c>
      <c r="AG402" s="196">
        <f>Q_IS!BC120</f>
        <v>0</v>
      </c>
      <c r="AH402" s="196">
        <f>Q_IS!BD120</f>
        <v>-6.3869999999999996</v>
      </c>
      <c r="AI402" s="196">
        <f>Q_IS!BE120</f>
        <v>-18.72</v>
      </c>
      <c r="AJ402" s="196">
        <f>Q_IS!BF120</f>
        <v>-9.202</v>
      </c>
      <c r="AK402" s="196">
        <f>Q_IS!BG120</f>
        <v>-21.47</v>
      </c>
      <c r="AL402" s="196">
        <f>Q_IS!BH120</f>
        <v>-25.585999999999999</v>
      </c>
      <c r="AM402" s="196">
        <f>Q_IS!BI120</f>
        <v>-22.843</v>
      </c>
      <c r="AN402" s="196">
        <f>Q_IS!BJ120</f>
        <v>-50.616</v>
      </c>
      <c r="AO402" s="196">
        <f>Q_IS!BK120</f>
        <v>-4.7</v>
      </c>
      <c r="AP402" s="196">
        <f>Q_IS!BL120</f>
        <v>-67.988</v>
      </c>
      <c r="AQ402" s="196">
        <f>Q_IS!BM120</f>
        <v>-54.88</v>
      </c>
      <c r="AR402" s="196">
        <f>Q_IS!BN120</f>
        <v>-2.4</v>
      </c>
      <c r="AS402" s="196">
        <f>Q_IS!BO120</f>
        <v>5.8019999999999996</v>
      </c>
      <c r="AT402" s="355">
        <f>Q_IS!BP120</f>
        <v>-55.509</v>
      </c>
      <c r="AU402" s="196"/>
      <c r="AV402" s="196"/>
      <c r="AW402" s="196"/>
      <c r="AX402" s="196"/>
      <c r="AY402" s="196"/>
      <c r="AZ402" s="196"/>
      <c r="BA402" s="196"/>
      <c r="BB402" s="196"/>
      <c r="BC402" s="196"/>
      <c r="BD402" s="196"/>
      <c r="BE402" s="196"/>
      <c r="BF402" s="196"/>
      <c r="BG402" s="196"/>
      <c r="BH402" s="196"/>
      <c r="BI402" s="196"/>
      <c r="BJ402" s="196"/>
      <c r="BK402" s="196"/>
      <c r="BL402" s="196"/>
      <c r="BM402" s="196"/>
      <c r="BN402" s="196"/>
      <c r="BO402" s="196"/>
      <c r="BP402" s="196"/>
      <c r="BQ402" s="196"/>
      <c r="BR402" s="196"/>
      <c r="BS402" s="196"/>
      <c r="BT402" s="196"/>
      <c r="BU402" s="196"/>
      <c r="BV402" s="196"/>
      <c r="BW402" s="196"/>
      <c r="BX402" s="196"/>
      <c r="BY402" s="196"/>
      <c r="BZ402" s="52"/>
    </row>
    <row r="403" spans="1:78">
      <c r="B403" s="764">
        <f>Q_IS!X104-B397</f>
        <v>-31.998999999999995</v>
      </c>
      <c r="C403" s="764">
        <f>Q_IS!Y104-C397</f>
        <v>0</v>
      </c>
      <c r="D403" s="764">
        <f>Q_IS!Z104-D397</f>
        <v>0</v>
      </c>
      <c r="E403" s="764">
        <f>Q_IS!AA104-E397</f>
        <v>0</v>
      </c>
      <c r="F403" s="764">
        <f>Q_IS!AB104-F397</f>
        <v>0</v>
      </c>
      <c r="G403" s="764">
        <f>Q_IS!AC104-G397</f>
        <v>0</v>
      </c>
      <c r="H403" s="764">
        <f>Q_IS!AD104-H397</f>
        <v>0</v>
      </c>
      <c r="I403" s="764">
        <f>Q_IS!AE104-I397</f>
        <v>0</v>
      </c>
      <c r="J403" s="764">
        <f>Q_IS!AF104-J397</f>
        <v>0</v>
      </c>
      <c r="K403" s="764">
        <f>Q_IS!AG104-K397</f>
        <v>0</v>
      </c>
      <c r="L403" s="764">
        <f>Q_IS!AH104-L397</f>
        <v>0</v>
      </c>
      <c r="M403" s="764">
        <f>Q_IS!AI104-M397</f>
        <v>0</v>
      </c>
      <c r="N403" s="764">
        <f>Q_IS!AJ104-N397</f>
        <v>0</v>
      </c>
      <c r="O403" s="764">
        <f>Q_IS!AK104-O397</f>
        <v>0</v>
      </c>
      <c r="P403" s="764">
        <f>Q_IS!AL104-P397</f>
        <v>0</v>
      </c>
      <c r="Q403" s="764">
        <f>Q_IS!AM104-Q397</f>
        <v>0</v>
      </c>
      <c r="R403" s="764">
        <f>Q_IS!AN104-R397</f>
        <v>0</v>
      </c>
      <c r="S403" s="764">
        <f>Q_IS!AO104-S397</f>
        <v>0</v>
      </c>
      <c r="T403" s="764">
        <f>Q_IS!AP104-T397</f>
        <v>0</v>
      </c>
      <c r="U403" s="764">
        <f>Q_IS!AQ104-U397</f>
        <v>0</v>
      </c>
      <c r="V403" s="764">
        <f>Q_IS!AR104-V397</f>
        <v>0</v>
      </c>
      <c r="W403" s="764">
        <f>Q_IS!AS104-W397</f>
        <v>0</v>
      </c>
      <c r="X403" s="764">
        <f>Q_IS!AT104-X397</f>
        <v>0</v>
      </c>
      <c r="Y403" s="764">
        <f>Q_IS!AU104-Y397</f>
        <v>0</v>
      </c>
      <c r="Z403" s="764">
        <f>Q_IS!AV104-Z397</f>
        <v>0</v>
      </c>
      <c r="AA403" s="764">
        <f>Q_IS!AW104-AA397</f>
        <v>0</v>
      </c>
      <c r="AB403" s="764">
        <f>Q_IS!AX104-AB397</f>
        <v>0</v>
      </c>
      <c r="AC403" s="764">
        <f>Q_IS!AY104-AC397</f>
        <v>0</v>
      </c>
      <c r="AD403" s="764">
        <f>Q_IS!AZ104-AD397</f>
        <v>0</v>
      </c>
      <c r="AE403" s="764">
        <f>Q_IS!BA104-AE397</f>
        <v>0</v>
      </c>
      <c r="AF403" s="764">
        <f>Q_IS!BB104-AF397</f>
        <v>0</v>
      </c>
      <c r="AG403" s="764">
        <f>Q_IS!BC104-AG397</f>
        <v>0</v>
      </c>
      <c r="AH403" s="764">
        <f>Q_IS!BD104-AH397</f>
        <v>0</v>
      </c>
      <c r="AI403" s="764">
        <f>Q_IS!BE104-AI397</f>
        <v>18.363999999999976</v>
      </c>
      <c r="AJ403" s="764">
        <f>Q_IS!BF104-AJ397</f>
        <v>7.9199999999999591</v>
      </c>
      <c r="AK403" s="808">
        <f>Q_IS!BG104-AK397</f>
        <v>5.8579999999999472</v>
      </c>
      <c r="AL403" s="808">
        <f>Q_IS!BH104-AL397</f>
        <v>13.942000000000007</v>
      </c>
      <c r="AM403" s="808">
        <f>Q_IS!BI104-AM397</f>
        <v>5.3360000000000127</v>
      </c>
      <c r="AN403" s="808">
        <f>Q_IS!BJ104-AN397</f>
        <v>14.575000000000045</v>
      </c>
      <c r="AO403" s="808">
        <f>Q_IS!BK104-AO397</f>
        <v>0.33299999999996999</v>
      </c>
      <c r="AP403" s="808">
        <f>Q_IS!BL104-AP397</f>
        <v>-62.911000000000058</v>
      </c>
      <c r="AQ403" s="808">
        <f>Q_IS!BM104-AQ397</f>
        <v>-41.844000000000051</v>
      </c>
      <c r="AR403" s="808">
        <f>Q_IS!BN104-AR397</f>
        <v>0.45799999999996999</v>
      </c>
      <c r="AS403" s="808">
        <f>Q_IS!BO104-AS397-AS402</f>
        <v>0.32000000000007134</v>
      </c>
      <c r="AT403" s="1588">
        <f>Q_IS!BP104-AT397-AT402</f>
        <v>1.1059999999999803</v>
      </c>
      <c r="AU403" s="764">
        <f>Q_IS!BQ104-AU397</f>
        <v>14.339600000000019</v>
      </c>
      <c r="AV403" s="764">
        <f>Q_IS!BR104-AV397</f>
        <v>3.1438000000000557</v>
      </c>
      <c r="AW403" s="764">
        <f>Q_IS!BS104-AW397</f>
        <v>4.8285000000000764</v>
      </c>
      <c r="AX403" s="764">
        <f>Q_IS!BT104-AX397</f>
        <v>0.90915102322583152</v>
      </c>
      <c r="AY403" s="764">
        <f>Q_IS!BU104-AY397</f>
        <v>17.207520000000045</v>
      </c>
      <c r="AZ403" s="764">
        <f>Q_IS!BV104-AZ397</f>
        <v>3.7725599999999986</v>
      </c>
      <c r="BA403" s="764">
        <f>Q_IS!BW104-BA397</f>
        <v>6.2122489767741627</v>
      </c>
      <c r="BB403" s="764">
        <f>Q_IS!BX104-BB397</f>
        <v>1.054615186942101</v>
      </c>
      <c r="BC403" s="764">
        <f>Q_IS!BY104-BC397</f>
        <v>19.960723200000075</v>
      </c>
      <c r="BD403" s="764">
        <f>Q_IS!BZ104-BD397</f>
        <v>4.3761696000000256</v>
      </c>
      <c r="BE403" s="764">
        <f>Q_IS!CA104-BE397</f>
        <v>7.2062088130579696</v>
      </c>
      <c r="BF403" s="764">
        <f>Q_IS!CB104-BF397</f>
        <v>1.1811690093750258</v>
      </c>
      <c r="BG403" s="764">
        <f>Q_IS!CC104-BG397</f>
        <v>22.356009983999911</v>
      </c>
      <c r="BH403" s="764">
        <f>Q_IS!CD104-BH397</f>
        <v>4.9013099520000196</v>
      </c>
      <c r="BI403" s="764">
        <f>Q_IS!CE104-BI397</f>
        <v>8.0709538706249759</v>
      </c>
      <c r="BJ403" s="764">
        <f>Q_IS!CF104-BJ397</f>
        <v>1.2992859103126193</v>
      </c>
      <c r="BK403" s="764">
        <f>Q_IS!CG104-BK397</f>
        <v>24.59161098239997</v>
      </c>
      <c r="BL403" s="764">
        <f>Q_IS!CH104-BL397</f>
        <v>5.3914409471999534</v>
      </c>
      <c r="BM403" s="764">
        <f>Q_IS!CI104-BM397</f>
        <v>8.8780492576872803</v>
      </c>
      <c r="BN403" s="764">
        <f>Q_IS!CJ104-BN397</f>
        <v>1.4032287831375925</v>
      </c>
      <c r="BO403" s="764">
        <f>Q_IS!CK104-BO397</f>
        <v>26.558939860992041</v>
      </c>
      <c r="BP403" s="764">
        <f>Q_IS!CL104-BP397</f>
        <v>5.8227562229760679</v>
      </c>
      <c r="BQ403" s="764">
        <f>Q_IS!CM104-BQ397</f>
        <v>9.5882931983023809</v>
      </c>
      <c r="BR403" s="764">
        <f>Q_IS!CN104-BR397</f>
        <v>1.4874225101257252</v>
      </c>
      <c r="BS403" s="764">
        <f>Q_IS!CO104-BS397</f>
        <v>28.152476252651468</v>
      </c>
      <c r="BT403" s="764">
        <f>Q_IS!CP104-BT397</f>
        <v>6.1721215963546001</v>
      </c>
      <c r="BU403" s="764">
        <f>Q_IS!CQ104-BU397</f>
        <v>10.163590790200601</v>
      </c>
      <c r="BV403" s="764">
        <f>Q_IS!CR104-BV397</f>
        <v>1.5469194105307906</v>
      </c>
      <c r="BW403" s="764">
        <f>Q_IS!CS104-BW397</f>
        <v>29.278575302757645</v>
      </c>
      <c r="BX403" s="764">
        <f>Q_IS!CT104-BX397</f>
        <v>6.4190064602087205</v>
      </c>
      <c r="BY403" s="764">
        <f>Q_IS!CU104-BY397</f>
        <v>10.570134421808916</v>
      </c>
    </row>
    <row r="404" spans="1:78">
      <c r="A404" s="14" t="s">
        <v>1146</v>
      </c>
      <c r="B404" s="362"/>
      <c r="C404" s="764"/>
      <c r="L404" s="106"/>
      <c r="M404" s="106"/>
      <c r="AB404" s="362">
        <f>SUM(AB405:AB407)</f>
        <v>161.054</v>
      </c>
      <c r="AC404" s="362">
        <f t="shared" ref="AC404:BH404" si="276">SUM(AC405:AC407)</f>
        <v>144.42000000000004</v>
      </c>
      <c r="AD404" s="362">
        <f t="shared" si="276"/>
        <v>211.63900000000001</v>
      </c>
      <c r="AE404" s="362">
        <f t="shared" si="276"/>
        <v>238.84300000000002</v>
      </c>
      <c r="AF404" s="362">
        <f t="shared" si="276"/>
        <v>168.42600000000002</v>
      </c>
      <c r="AG404" s="362">
        <f t="shared" si="276"/>
        <v>147.69300000000004</v>
      </c>
      <c r="AH404" s="362">
        <f t="shared" si="276"/>
        <v>227.15399999999997</v>
      </c>
      <c r="AI404" s="362">
        <f t="shared" si="276"/>
        <v>250.202</v>
      </c>
      <c r="AJ404" s="362">
        <f t="shared" ref="AJ404:AK404" si="277">SUM(AJ405:AJ407)</f>
        <v>287.68299999999999</v>
      </c>
      <c r="AK404" s="390">
        <f t="shared" si="277"/>
        <v>326.55399999999997</v>
      </c>
      <c r="AL404" s="390">
        <f t="shared" si="276"/>
        <v>225.10400000000001</v>
      </c>
      <c r="AM404" s="390">
        <f t="shared" si="276"/>
        <v>318.90199999999999</v>
      </c>
      <c r="AN404" s="390">
        <f t="shared" si="276"/>
        <v>411.90900000000005</v>
      </c>
      <c r="AO404" s="390">
        <f t="shared" si="276"/>
        <v>345.32599999999985</v>
      </c>
      <c r="AP404" s="390">
        <f t="shared" si="276"/>
        <v>333.75100000000003</v>
      </c>
      <c r="AQ404" s="390">
        <f t="shared" si="276"/>
        <v>368.70400000000001</v>
      </c>
      <c r="AR404" s="390">
        <f t="shared" si="276"/>
        <v>342.00799999999998</v>
      </c>
      <c r="AS404" s="390">
        <f t="shared" si="276"/>
        <v>400.6219999999999</v>
      </c>
      <c r="AT404" s="391">
        <f t="shared" si="276"/>
        <v>475.34199999999998</v>
      </c>
      <c r="AU404" s="357">
        <f t="shared" si="276"/>
        <v>0</v>
      </c>
      <c r="AV404" s="357">
        <f t="shared" si="276"/>
        <v>0</v>
      </c>
      <c r="AW404" s="357">
        <f t="shared" si="276"/>
        <v>0</v>
      </c>
      <c r="AX404" s="357">
        <f t="shared" si="276"/>
        <v>0</v>
      </c>
      <c r="AY404" s="357">
        <f t="shared" si="276"/>
        <v>0</v>
      </c>
      <c r="AZ404" s="357">
        <f t="shared" si="276"/>
        <v>0</v>
      </c>
      <c r="BA404" s="357">
        <f t="shared" si="276"/>
        <v>0</v>
      </c>
      <c r="BB404" s="357">
        <f t="shared" si="276"/>
        <v>0</v>
      </c>
      <c r="BC404" s="357">
        <f t="shared" si="276"/>
        <v>0</v>
      </c>
      <c r="BD404" s="357">
        <f t="shared" si="276"/>
        <v>0</v>
      </c>
      <c r="BE404" s="357">
        <f t="shared" si="276"/>
        <v>0</v>
      </c>
      <c r="BF404" s="357">
        <f t="shared" si="276"/>
        <v>0</v>
      </c>
      <c r="BG404" s="357">
        <f t="shared" si="276"/>
        <v>0</v>
      </c>
      <c r="BH404" s="357">
        <f t="shared" si="276"/>
        <v>0</v>
      </c>
      <c r="BI404" s="357">
        <f t="shared" ref="BI404:BY404" si="278">SUM(BI405:BI407)</f>
        <v>0</v>
      </c>
      <c r="BJ404" s="357">
        <f t="shared" si="278"/>
        <v>0</v>
      </c>
      <c r="BK404" s="357">
        <f t="shared" si="278"/>
        <v>0</v>
      </c>
      <c r="BL404" s="357">
        <f t="shared" si="278"/>
        <v>0</v>
      </c>
      <c r="BM404" s="357">
        <f t="shared" si="278"/>
        <v>0</v>
      </c>
      <c r="BN404" s="357">
        <f t="shared" si="278"/>
        <v>0</v>
      </c>
      <c r="BO404" s="357">
        <f t="shared" si="278"/>
        <v>0</v>
      </c>
      <c r="BP404" s="357">
        <f t="shared" si="278"/>
        <v>0</v>
      </c>
      <c r="BQ404" s="357">
        <f t="shared" si="278"/>
        <v>0</v>
      </c>
      <c r="BR404" s="357">
        <f t="shared" si="278"/>
        <v>0</v>
      </c>
      <c r="BS404" s="357">
        <f t="shared" si="278"/>
        <v>0</v>
      </c>
      <c r="BT404" s="357">
        <f t="shared" si="278"/>
        <v>0</v>
      </c>
      <c r="BU404" s="357">
        <f t="shared" si="278"/>
        <v>0</v>
      </c>
      <c r="BV404" s="357">
        <f t="shared" si="278"/>
        <v>0</v>
      </c>
      <c r="BW404" s="357">
        <f t="shared" si="278"/>
        <v>0</v>
      </c>
      <c r="BX404" s="357">
        <f t="shared" si="278"/>
        <v>0</v>
      </c>
      <c r="BY404" s="357">
        <f t="shared" si="278"/>
        <v>0</v>
      </c>
      <c r="BZ404" s="1401"/>
    </row>
    <row r="405" spans="1:78">
      <c r="A405" s="1151" t="s">
        <v>1051</v>
      </c>
      <c r="B405" s="983" t="str">
        <f>Q_IS!X183</f>
        <v>NA</v>
      </c>
      <c r="C405" s="983" t="str">
        <f>Q_IS!Y183</f>
        <v>NA</v>
      </c>
      <c r="D405" s="983" t="str">
        <f>Q_IS!Z183</f>
        <v>NA</v>
      </c>
      <c r="E405" s="983" t="str">
        <f>Q_IS!AA183</f>
        <v>NA</v>
      </c>
      <c r="F405" s="983" t="str">
        <f>Q_IS!AB183</f>
        <v>NA</v>
      </c>
      <c r="G405" s="983" t="str">
        <f>Q_IS!AC183</f>
        <v>NA</v>
      </c>
      <c r="H405" s="983" t="str">
        <f>Q_IS!AD183</f>
        <v>NA</v>
      </c>
      <c r="I405" s="260" t="str">
        <f>Q_IS!AE183</f>
        <v>NA</v>
      </c>
      <c r="J405" s="260" t="str">
        <f>Q_IS!AF183</f>
        <v>NA</v>
      </c>
      <c r="K405" s="260" t="str">
        <f>Q_IS!AG183</f>
        <v>NA</v>
      </c>
      <c r="L405" s="215" t="str">
        <f>Q_IS!AH183</f>
        <v>NA</v>
      </c>
      <c r="M405" s="215" t="str">
        <f>Q_IS!AI183</f>
        <v>NA</v>
      </c>
      <c r="N405" s="260" t="str">
        <f>Q_IS!AJ183</f>
        <v>NA</v>
      </c>
      <c r="O405" s="260" t="str">
        <f>Q_IS!AK183</f>
        <v>NA</v>
      </c>
      <c r="P405" s="983" t="str">
        <f>Q_IS!AL183</f>
        <v>NA</v>
      </c>
      <c r="Q405" s="983" t="str">
        <f>Q_IS!AM183</f>
        <v>NA</v>
      </c>
      <c r="R405" s="983" t="str">
        <f>Q_IS!AN183</f>
        <v>NA</v>
      </c>
      <c r="S405" s="983" t="str">
        <f>Q_IS!AO183</f>
        <v>NA</v>
      </c>
      <c r="T405" s="983" t="str">
        <f>Q_IS!AP183</f>
        <v>NA</v>
      </c>
      <c r="U405" s="983" t="str">
        <f>Q_IS!AQ183</f>
        <v>NA</v>
      </c>
      <c r="V405" s="983" t="str">
        <f>Q_IS!AR183</f>
        <v>NA</v>
      </c>
      <c r="W405" s="983" t="str">
        <f>Q_IS!AS183</f>
        <v>NA</v>
      </c>
      <c r="X405" s="983" t="str">
        <f>Q_IS!AT183</f>
        <v>NA</v>
      </c>
      <c r="Y405" s="983" t="str">
        <f>Q_IS!AU183</f>
        <v>NA</v>
      </c>
      <c r="Z405" s="983" t="str">
        <f>Q_IS!AV183</f>
        <v>NA</v>
      </c>
      <c r="AA405" s="983" t="str">
        <f>Q_IS!AW183</f>
        <v>NA</v>
      </c>
      <c r="AB405" s="983">
        <f>Q_IS!AX183</f>
        <v>142.756</v>
      </c>
      <c r="AC405" s="983">
        <f>Q_IS!AY183</f>
        <v>145.37300000000005</v>
      </c>
      <c r="AD405" s="983">
        <f>Q_IS!AZ183</f>
        <v>202.05099999999999</v>
      </c>
      <c r="AE405" s="983">
        <f>Q_IS!BA183</f>
        <v>212.792</v>
      </c>
      <c r="AF405" s="983">
        <f>Q_IS!BB183</f>
        <v>124.13200000000001</v>
      </c>
      <c r="AG405" s="983">
        <f>Q_IS!BC183</f>
        <v>138.31100000000004</v>
      </c>
      <c r="AH405" s="983">
        <f>Q_IS!BD183</f>
        <v>180.70299999999997</v>
      </c>
      <c r="AI405" s="983">
        <f>Q_IS!BE183</f>
        <v>173.77600000000001</v>
      </c>
      <c r="AJ405" s="983">
        <f>Q_IS!BF183</f>
        <v>210.38200000000001</v>
      </c>
      <c r="AK405" s="202">
        <f>Q_IS!BG183</f>
        <v>310.93399999999997</v>
      </c>
      <c r="AL405" s="202">
        <f>Q_IS!BH183</f>
        <v>151.87100000000001</v>
      </c>
      <c r="AM405" s="202">
        <f>Q_IS!BI183</f>
        <v>264.44900000000001</v>
      </c>
      <c r="AN405" s="202">
        <f>Q_IS!BJ183</f>
        <v>376.48700000000002</v>
      </c>
      <c r="AO405" s="202">
        <f>Q_IS!BK183</f>
        <v>340.7349999999999</v>
      </c>
      <c r="AP405" s="202">
        <f>Q_IS!BL183</f>
        <v>295.54399999999998</v>
      </c>
      <c r="AQ405" s="202">
        <f>Q_IS!BM183</f>
        <v>326.4956658586791</v>
      </c>
      <c r="AR405" s="202">
        <f>Q_IS!BN183</f>
        <v>302.85575879023583</v>
      </c>
      <c r="AS405" s="202">
        <f>Q_IS!BO183</f>
        <v>354.75977111079806</v>
      </c>
      <c r="AT405" s="355">
        <f>Q_IS!BP183</f>
        <v>420.92600785615622</v>
      </c>
      <c r="AU405" s="1598">
        <f>Q_IS!BQ183</f>
        <v>0</v>
      </c>
      <c r="AV405" s="1598">
        <f>Q_IS!BR183</f>
        <v>0</v>
      </c>
      <c r="AW405" s="1598">
        <f>Q_IS!BS183</f>
        <v>0</v>
      </c>
      <c r="AX405" s="1598">
        <f>Q_IS!BT183</f>
        <v>0</v>
      </c>
      <c r="AY405" s="1598">
        <f>Q_IS!BU183</f>
        <v>0</v>
      </c>
      <c r="AZ405" s="1598">
        <f>Q_IS!BV183</f>
        <v>0</v>
      </c>
      <c r="BA405" s="1598">
        <f>Q_IS!BW183</f>
        <v>0</v>
      </c>
      <c r="BB405" s="1598">
        <f>Q_IS!BX183</f>
        <v>0</v>
      </c>
      <c r="BC405" s="1598">
        <f>Q_IS!BY183</f>
        <v>0</v>
      </c>
      <c r="BD405" s="1598">
        <f>Q_IS!BZ183</f>
        <v>0</v>
      </c>
      <c r="BE405" s="1598">
        <f>Q_IS!CA183</f>
        <v>0</v>
      </c>
      <c r="BF405" s="1598">
        <f>Q_IS!CB183</f>
        <v>0</v>
      </c>
      <c r="BG405" s="1598">
        <f>Q_IS!CC183</f>
        <v>0</v>
      </c>
      <c r="BH405" s="1598">
        <f>Q_IS!CD183</f>
        <v>0</v>
      </c>
      <c r="BI405" s="1598">
        <f>Q_IS!CE183</f>
        <v>0</v>
      </c>
      <c r="BJ405" s="1598">
        <f>Q_IS!CF183</f>
        <v>0</v>
      </c>
      <c r="BK405" s="1598">
        <f>Q_IS!CG183</f>
        <v>0</v>
      </c>
      <c r="BL405" s="1598">
        <f>Q_IS!CH183</f>
        <v>0</v>
      </c>
      <c r="BM405" s="1598">
        <f>Q_IS!CI183</f>
        <v>0</v>
      </c>
      <c r="BN405" s="1598">
        <f>Q_IS!CJ183</f>
        <v>0</v>
      </c>
      <c r="BO405" s="1598">
        <f>Q_IS!CK183</f>
        <v>0</v>
      </c>
      <c r="BP405" s="1598">
        <f>Q_IS!CL183</f>
        <v>0</v>
      </c>
      <c r="BQ405" s="1598">
        <f>Q_IS!CM183</f>
        <v>0</v>
      </c>
      <c r="BR405" s="1598">
        <f>Q_IS!CN183</f>
        <v>0</v>
      </c>
      <c r="BS405" s="1598">
        <f>Q_IS!CO183</f>
        <v>0</v>
      </c>
      <c r="BT405" s="1598">
        <f>Q_IS!CP183</f>
        <v>0</v>
      </c>
      <c r="BU405" s="1598">
        <f>Q_IS!CQ183</f>
        <v>0</v>
      </c>
      <c r="BV405" s="1598">
        <f>Q_IS!CR183</f>
        <v>0</v>
      </c>
      <c r="BW405" s="1598">
        <f>Q_IS!CS183</f>
        <v>0</v>
      </c>
      <c r="BX405" s="1598">
        <f>Q_IS!CT183</f>
        <v>0</v>
      </c>
      <c r="BY405" s="1598">
        <f>Q_IS!CU183</f>
        <v>0</v>
      </c>
    </row>
    <row r="406" spans="1:78">
      <c r="A406" s="1151" t="s">
        <v>1052</v>
      </c>
      <c r="B406" s="983" t="str">
        <f>Q_IS!X184</f>
        <v>NA</v>
      </c>
      <c r="C406" s="983" t="str">
        <f>Q_IS!Y184</f>
        <v>NA</v>
      </c>
      <c r="D406" s="983" t="str">
        <f>Q_IS!Z184</f>
        <v>NA</v>
      </c>
      <c r="E406" s="983" t="str">
        <f>Q_IS!AA184</f>
        <v>NA</v>
      </c>
      <c r="F406" s="983" t="str">
        <f>Q_IS!AB184</f>
        <v>NA</v>
      </c>
      <c r="G406" s="983" t="str">
        <f>Q_IS!AC184</f>
        <v>NA</v>
      </c>
      <c r="H406" s="983" t="str">
        <f>Q_IS!AD184</f>
        <v>NA</v>
      </c>
      <c r="I406" s="260" t="str">
        <f>Q_IS!AE184</f>
        <v>NA</v>
      </c>
      <c r="J406" s="260" t="str">
        <f>Q_IS!AF184</f>
        <v>NA</v>
      </c>
      <c r="K406" s="260" t="str">
        <f>Q_IS!AG184</f>
        <v>NA</v>
      </c>
      <c r="L406" s="215" t="str">
        <f>Q_IS!AH184</f>
        <v>NA</v>
      </c>
      <c r="M406" s="215" t="str">
        <f>Q_IS!AI184</f>
        <v>NA</v>
      </c>
      <c r="N406" s="260" t="str">
        <f>Q_IS!AJ184</f>
        <v>NA</v>
      </c>
      <c r="O406" s="260" t="str">
        <f>Q_IS!AK184</f>
        <v>NA</v>
      </c>
      <c r="P406" s="983" t="str">
        <f>Q_IS!AL184</f>
        <v>NA</v>
      </c>
      <c r="Q406" s="983" t="str">
        <f>Q_IS!AM184</f>
        <v>NA</v>
      </c>
      <c r="R406" s="983" t="str">
        <f>Q_IS!AN184</f>
        <v>NA</v>
      </c>
      <c r="S406" s="983" t="str">
        <f>Q_IS!AO184</f>
        <v>NA</v>
      </c>
      <c r="T406" s="983" t="str">
        <f>Q_IS!AP184</f>
        <v>NA</v>
      </c>
      <c r="U406" s="983" t="str">
        <f>Q_IS!AQ184</f>
        <v>NA</v>
      </c>
      <c r="V406" s="983" t="str">
        <f>Q_IS!AR184</f>
        <v>NA</v>
      </c>
      <c r="W406" s="983" t="str">
        <f>Q_IS!AS184</f>
        <v>NA</v>
      </c>
      <c r="X406" s="983" t="str">
        <f>Q_IS!AT184</f>
        <v>NA</v>
      </c>
      <c r="Y406" s="983" t="str">
        <f>Q_IS!AU184</f>
        <v>NA</v>
      </c>
      <c r="Z406" s="983" t="str">
        <f>Q_IS!AV184</f>
        <v>NA</v>
      </c>
      <c r="AA406" s="983" t="str">
        <f>Q_IS!AW184</f>
        <v>NA</v>
      </c>
      <c r="AB406" s="983">
        <f>Q_IS!AX184</f>
        <v>12.416</v>
      </c>
      <c r="AC406" s="983">
        <f>Q_IS!AY184</f>
        <v>-0.86400000000000077</v>
      </c>
      <c r="AD406" s="983">
        <f>Q_IS!AZ184</f>
        <v>7.6219999999999999</v>
      </c>
      <c r="AE406" s="983">
        <f>Q_IS!BA184</f>
        <v>20.378</v>
      </c>
      <c r="AF406" s="983">
        <f>Q_IS!BB184</f>
        <v>35.673000000000002</v>
      </c>
      <c r="AG406" s="983">
        <f>Q_IS!BC184</f>
        <v>1.9200000000000017</v>
      </c>
      <c r="AH406" s="983">
        <f>Q_IS!BD184</f>
        <v>45.134999999999998</v>
      </c>
      <c r="AI406" s="983">
        <f>Q_IS!BE184</f>
        <v>39.550999999999995</v>
      </c>
      <c r="AJ406" s="983">
        <f>Q_IS!BF184</f>
        <v>71.414000000000001</v>
      </c>
      <c r="AK406" s="202">
        <f>Q_IS!BG184</f>
        <v>18.850999999999999</v>
      </c>
      <c r="AL406" s="202">
        <f>Q_IS!BH184</f>
        <v>49.46</v>
      </c>
      <c r="AM406" s="202">
        <f>Q_IS!BI184</f>
        <v>42.036000000000001</v>
      </c>
      <c r="AN406" s="202">
        <f>Q_IS!BJ184</f>
        <v>30.733000000000001</v>
      </c>
      <c r="AO406" s="202">
        <f>Q_IS!BK184</f>
        <v>1.1959999999999837</v>
      </c>
      <c r="AP406" s="202">
        <f>Q_IS!BL184</f>
        <v>30.594999999999999</v>
      </c>
      <c r="AQ406" s="202">
        <f>Q_IS!BM184</f>
        <v>33.799146309673979</v>
      </c>
      <c r="AR406" s="202">
        <f>Q_IS!BN184</f>
        <v>31.351920323834229</v>
      </c>
      <c r="AS406" s="202">
        <f>Q_IS!BO184</f>
        <v>36.725073752587988</v>
      </c>
      <c r="AT406" s="355">
        <f>Q_IS!BP184</f>
        <v>43.57466641298452</v>
      </c>
      <c r="AU406" s="1598">
        <f>Q_IS!BQ184</f>
        <v>0</v>
      </c>
      <c r="AV406" s="1598">
        <f>Q_IS!BR184</f>
        <v>0</v>
      </c>
      <c r="AW406" s="1598">
        <f>Q_IS!BS184</f>
        <v>0</v>
      </c>
      <c r="AX406" s="1598">
        <f>Q_IS!BT184</f>
        <v>0</v>
      </c>
      <c r="AY406" s="1598">
        <f>Q_IS!BU184</f>
        <v>0</v>
      </c>
      <c r="AZ406" s="1598">
        <f>Q_IS!BV184</f>
        <v>0</v>
      </c>
      <c r="BA406" s="1598">
        <f>Q_IS!BW184</f>
        <v>0</v>
      </c>
      <c r="BB406" s="1598">
        <f>Q_IS!BX184</f>
        <v>0</v>
      </c>
      <c r="BC406" s="1598">
        <f>Q_IS!BY184</f>
        <v>0</v>
      </c>
      <c r="BD406" s="1598">
        <f>Q_IS!BZ184</f>
        <v>0</v>
      </c>
      <c r="BE406" s="1598">
        <f>Q_IS!CA184</f>
        <v>0</v>
      </c>
      <c r="BF406" s="1598">
        <f>Q_IS!CB184</f>
        <v>0</v>
      </c>
      <c r="BG406" s="1598">
        <f>Q_IS!CC184</f>
        <v>0</v>
      </c>
      <c r="BH406" s="1598">
        <f>Q_IS!CD184</f>
        <v>0</v>
      </c>
      <c r="BI406" s="1598">
        <f>Q_IS!CE184</f>
        <v>0</v>
      </c>
      <c r="BJ406" s="1598">
        <f>Q_IS!CF184</f>
        <v>0</v>
      </c>
      <c r="BK406" s="1598">
        <f>Q_IS!CG184</f>
        <v>0</v>
      </c>
      <c r="BL406" s="1598">
        <f>Q_IS!CH184</f>
        <v>0</v>
      </c>
      <c r="BM406" s="1598">
        <f>Q_IS!CI184</f>
        <v>0</v>
      </c>
      <c r="BN406" s="1598">
        <f>Q_IS!CJ184</f>
        <v>0</v>
      </c>
      <c r="BO406" s="1598">
        <f>Q_IS!CK184</f>
        <v>0</v>
      </c>
      <c r="BP406" s="1598">
        <f>Q_IS!CL184</f>
        <v>0</v>
      </c>
      <c r="BQ406" s="1598">
        <f>Q_IS!CM184</f>
        <v>0</v>
      </c>
      <c r="BR406" s="1598">
        <f>Q_IS!CN184</f>
        <v>0</v>
      </c>
      <c r="BS406" s="1598">
        <f>Q_IS!CO184</f>
        <v>0</v>
      </c>
      <c r="BT406" s="1598">
        <f>Q_IS!CP184</f>
        <v>0</v>
      </c>
      <c r="BU406" s="1598">
        <f>Q_IS!CQ184</f>
        <v>0</v>
      </c>
      <c r="BV406" s="1598">
        <f>Q_IS!CR184</f>
        <v>0</v>
      </c>
      <c r="BW406" s="1598">
        <f>Q_IS!CS184</f>
        <v>0</v>
      </c>
      <c r="BX406" s="1598">
        <f>Q_IS!CT184</f>
        <v>0</v>
      </c>
      <c r="BY406" s="1598">
        <f>Q_IS!CU184</f>
        <v>0</v>
      </c>
    </row>
    <row r="407" spans="1:78">
      <c r="A407" s="1151" t="s">
        <v>222</v>
      </c>
      <c r="B407" s="983" t="str">
        <f>Q_IS!X185</f>
        <v>NA</v>
      </c>
      <c r="C407" s="983" t="str">
        <f>Q_IS!Y185</f>
        <v>NA</v>
      </c>
      <c r="D407" s="983" t="str">
        <f>Q_IS!Z185</f>
        <v>NA</v>
      </c>
      <c r="E407" s="983" t="str">
        <f>Q_IS!AA185</f>
        <v>NA</v>
      </c>
      <c r="F407" s="983" t="str">
        <f>Q_IS!AB185</f>
        <v>NA</v>
      </c>
      <c r="G407" s="983" t="str">
        <f>Q_IS!AC185</f>
        <v>NA</v>
      </c>
      <c r="H407" s="983" t="str">
        <f>Q_IS!AD185</f>
        <v>NA</v>
      </c>
      <c r="I407" s="260" t="str">
        <f>Q_IS!AE185</f>
        <v>NA</v>
      </c>
      <c r="J407" s="260" t="str">
        <f>Q_IS!AF185</f>
        <v>NA</v>
      </c>
      <c r="K407" s="260" t="str">
        <f>Q_IS!AG185</f>
        <v>NA</v>
      </c>
      <c r="L407" s="215" t="str">
        <f>Q_IS!AH185</f>
        <v>NA</v>
      </c>
      <c r="M407" s="215" t="str">
        <f>Q_IS!AI185</f>
        <v>NA</v>
      </c>
      <c r="N407" s="260" t="str">
        <f>Q_IS!AJ185</f>
        <v>NA</v>
      </c>
      <c r="O407" s="260" t="str">
        <f>Q_IS!AK185</f>
        <v>NA</v>
      </c>
      <c r="P407" s="983" t="str">
        <f>Q_IS!AL185</f>
        <v>NA</v>
      </c>
      <c r="Q407" s="983" t="str">
        <f>Q_IS!AM185</f>
        <v>NA</v>
      </c>
      <c r="R407" s="983" t="str">
        <f>Q_IS!AN185</f>
        <v>NA</v>
      </c>
      <c r="S407" s="983" t="str">
        <f>Q_IS!AO185</f>
        <v>NA</v>
      </c>
      <c r="T407" s="983" t="str">
        <f>Q_IS!AP185</f>
        <v>NA</v>
      </c>
      <c r="U407" s="983" t="str">
        <f>Q_IS!AQ185</f>
        <v>NA</v>
      </c>
      <c r="V407" s="983" t="str">
        <f>Q_IS!AR185</f>
        <v>NA</v>
      </c>
      <c r="W407" s="983" t="str">
        <f>Q_IS!AS185</f>
        <v>NA</v>
      </c>
      <c r="X407" s="983" t="str">
        <f>Q_IS!AT185</f>
        <v>NA</v>
      </c>
      <c r="Y407" s="983" t="str">
        <f>Q_IS!AU185</f>
        <v>NA</v>
      </c>
      <c r="Z407" s="983" t="str">
        <f>Q_IS!AV185</f>
        <v>NA</v>
      </c>
      <c r="AA407" s="983" t="str">
        <f>Q_IS!AW185</f>
        <v>NA</v>
      </c>
      <c r="AB407" s="983">
        <f>Q_IS!AX185</f>
        <v>5.8819999999999997</v>
      </c>
      <c r="AC407" s="983">
        <f>Q_IS!AY185</f>
        <v>-8.9000000000000412E-2</v>
      </c>
      <c r="AD407" s="983">
        <f>Q_IS!AZ185</f>
        <v>1.966</v>
      </c>
      <c r="AE407" s="983">
        <f>Q_IS!BA185</f>
        <v>5.6730000000000009</v>
      </c>
      <c r="AF407" s="983">
        <f>Q_IS!BB185</f>
        <v>8.6210000000000004</v>
      </c>
      <c r="AG407" s="983">
        <f>Q_IS!BC185</f>
        <v>7.4619999999999997</v>
      </c>
      <c r="AH407" s="983">
        <f>Q_IS!BD185</f>
        <v>1.3159999999999989</v>
      </c>
      <c r="AI407" s="983">
        <f>Q_IS!BE185</f>
        <v>36.875</v>
      </c>
      <c r="AJ407" s="983">
        <f>Q_IS!BF185</f>
        <v>5.8869999999999996</v>
      </c>
      <c r="AK407" s="679">
        <f>Q_IS!BG185</f>
        <v>-3.2310000000000016</v>
      </c>
      <c r="AL407" s="679">
        <f>Q_IS!BH185</f>
        <v>23.773</v>
      </c>
      <c r="AM407" s="679">
        <f>Q_IS!BI185</f>
        <v>12.417</v>
      </c>
      <c r="AN407" s="679">
        <f>Q_IS!BJ185</f>
        <v>4.6890000000000001</v>
      </c>
      <c r="AO407" s="679">
        <f>Q_IS!BK185</f>
        <v>3.3950000000000031</v>
      </c>
      <c r="AP407" s="679">
        <f>Q_IS!BL185</f>
        <v>7.6120000000000001</v>
      </c>
      <c r="AQ407" s="679">
        <f>Q_IS!BM185</f>
        <v>8.4091878316469462</v>
      </c>
      <c r="AR407" s="679">
        <f>Q_IS!BN185</f>
        <v>7.8003208859299287</v>
      </c>
      <c r="AS407" s="679">
        <f>Q_IS!BO185</f>
        <v>9.1371551366138188</v>
      </c>
      <c r="AT407" s="965">
        <f>Q_IS!BP185</f>
        <v>10.841325730859232</v>
      </c>
      <c r="AU407" s="1598">
        <f>Q_IS!BQ185</f>
        <v>0</v>
      </c>
      <c r="AV407" s="1598">
        <f>Q_IS!BR185</f>
        <v>0</v>
      </c>
      <c r="AW407" s="1598">
        <f>Q_IS!BS185</f>
        <v>0</v>
      </c>
      <c r="AX407" s="1598">
        <f>Q_IS!BT185</f>
        <v>0</v>
      </c>
      <c r="AY407" s="1598">
        <f>Q_IS!BU185</f>
        <v>0</v>
      </c>
      <c r="AZ407" s="1598">
        <f>Q_IS!BV185</f>
        <v>0</v>
      </c>
      <c r="BA407" s="1598">
        <f>Q_IS!BW185</f>
        <v>0</v>
      </c>
      <c r="BB407" s="1598">
        <f>Q_IS!BX185</f>
        <v>0</v>
      </c>
      <c r="BC407" s="1598">
        <f>Q_IS!BY185</f>
        <v>0</v>
      </c>
      <c r="BD407" s="1598">
        <f>Q_IS!BZ185</f>
        <v>0</v>
      </c>
      <c r="BE407" s="1598">
        <f>Q_IS!CA185</f>
        <v>0</v>
      </c>
      <c r="BF407" s="1598">
        <f>Q_IS!CB185</f>
        <v>0</v>
      </c>
      <c r="BG407" s="1598">
        <f>Q_IS!CC185</f>
        <v>0</v>
      </c>
      <c r="BH407" s="1598">
        <f>Q_IS!CD185</f>
        <v>0</v>
      </c>
      <c r="BI407" s="1598">
        <f>Q_IS!CE185</f>
        <v>0</v>
      </c>
      <c r="BJ407" s="1598">
        <f>Q_IS!CF185</f>
        <v>0</v>
      </c>
      <c r="BK407" s="1598">
        <f>Q_IS!CG185</f>
        <v>0</v>
      </c>
      <c r="BL407" s="1598">
        <f>Q_IS!CH185</f>
        <v>0</v>
      </c>
      <c r="BM407" s="1598">
        <f>Q_IS!CI185</f>
        <v>0</v>
      </c>
      <c r="BN407" s="1598">
        <f>Q_IS!CJ185</f>
        <v>0</v>
      </c>
      <c r="BO407" s="1598">
        <f>Q_IS!CK185</f>
        <v>0</v>
      </c>
      <c r="BP407" s="1598">
        <f>Q_IS!CL185</f>
        <v>0</v>
      </c>
      <c r="BQ407" s="1598">
        <f>Q_IS!CM185</f>
        <v>0</v>
      </c>
      <c r="BR407" s="1598">
        <f>Q_IS!CN185</f>
        <v>0</v>
      </c>
      <c r="BS407" s="1598">
        <f>Q_IS!CO185</f>
        <v>0</v>
      </c>
      <c r="BT407" s="1598">
        <f>Q_IS!CP185</f>
        <v>0</v>
      </c>
      <c r="BU407" s="1598">
        <f>Q_IS!CQ185</f>
        <v>0</v>
      </c>
      <c r="BV407" s="1598">
        <f>Q_IS!CR185</f>
        <v>0</v>
      </c>
      <c r="BW407" s="1598">
        <f>Q_IS!CS185</f>
        <v>0</v>
      </c>
      <c r="BX407" s="1598">
        <f>Q_IS!CT185</f>
        <v>0</v>
      </c>
      <c r="BY407" s="1598">
        <f>Q_IS!CU185</f>
        <v>0</v>
      </c>
    </row>
    <row r="408" spans="1:78">
      <c r="A408" s="396"/>
      <c r="B408" s="764"/>
      <c r="C408" s="764"/>
      <c r="D408" s="764"/>
      <c r="E408" s="764"/>
      <c r="F408" s="764"/>
      <c r="G408" s="764"/>
      <c r="H408" s="764"/>
      <c r="I408" s="764"/>
      <c r="J408" s="764"/>
      <c r="K408" s="764"/>
      <c r="L408" s="764"/>
      <c r="M408" s="764"/>
      <c r="N408" s="764"/>
      <c r="O408" s="764"/>
      <c r="P408" s="764"/>
      <c r="Q408" s="764"/>
      <c r="R408" s="764"/>
      <c r="S408" s="764"/>
      <c r="T408" s="764"/>
      <c r="U408" s="764"/>
      <c r="V408" s="764"/>
      <c r="W408" s="764"/>
      <c r="X408" s="764"/>
      <c r="Y408" s="764"/>
      <c r="Z408" s="764"/>
      <c r="AA408" s="764"/>
      <c r="AB408" s="764">
        <f>Q_IS!AX182-AB404</f>
        <v>0</v>
      </c>
      <c r="AC408" s="764">
        <f>Q_IS!AY182-AC404</f>
        <v>0</v>
      </c>
      <c r="AD408" s="764">
        <f>Q_IS!AZ182-AD404</f>
        <v>0</v>
      </c>
      <c r="AE408" s="764">
        <f>Q_IS!BA182-AE404</f>
        <v>0</v>
      </c>
      <c r="AF408" s="764">
        <f>Q_IS!BB182-AF404</f>
        <v>0</v>
      </c>
      <c r="AG408" s="764">
        <f>Q_IS!BC182-AG404</f>
        <v>0</v>
      </c>
      <c r="AH408" s="764">
        <f>Q_IS!BD182-AH404</f>
        <v>0</v>
      </c>
      <c r="AI408" s="764">
        <f>Q_IS!BE182-AI404</f>
        <v>0</v>
      </c>
      <c r="AJ408" s="764">
        <f>Q_IS!BF182-AJ404</f>
        <v>0</v>
      </c>
      <c r="AK408" s="685">
        <f>Q_IS!BG182-AK404</f>
        <v>0</v>
      </c>
      <c r="AL408" s="685">
        <f>Q_IS!BH182-AL404</f>
        <v>0</v>
      </c>
      <c r="AM408" s="685">
        <f>Q_IS!BI182-AM404</f>
        <v>0</v>
      </c>
      <c r="AN408" s="685">
        <f>Q_IS!BJ182-AN404</f>
        <v>0</v>
      </c>
      <c r="AO408" s="685">
        <f>Q_IS!BK182-AO404</f>
        <v>0</v>
      </c>
      <c r="AP408" s="685">
        <f>Q_IS!BL182-AP404</f>
        <v>0</v>
      </c>
      <c r="AQ408" s="685">
        <f>Q_IS!BM182-AQ404</f>
        <v>0</v>
      </c>
      <c r="AR408" s="685">
        <f>Q_IS!BN182-AR404</f>
        <v>0</v>
      </c>
      <c r="AS408" s="685">
        <f>Q_IS!BO182-AS404</f>
        <v>0</v>
      </c>
      <c r="AT408" s="963">
        <f>Q_IS!BP182-AT404</f>
        <v>0</v>
      </c>
      <c r="AU408" s="764">
        <f>Q_IS!BQ182-AU404</f>
        <v>0</v>
      </c>
      <c r="AV408" s="764">
        <f>Q_IS!BR182-AV404</f>
        <v>0</v>
      </c>
      <c r="AW408" s="764">
        <f>Q_IS!BS182-AW404</f>
        <v>0</v>
      </c>
      <c r="AX408" s="764">
        <f>Q_IS!BT182-AX404</f>
        <v>0</v>
      </c>
      <c r="AY408" s="764">
        <f>Q_IS!BU182-AY404</f>
        <v>0</v>
      </c>
      <c r="AZ408" s="764">
        <f>Q_IS!BV182-AZ404</f>
        <v>0</v>
      </c>
      <c r="BA408" s="764">
        <f>Q_IS!BW182-BA404</f>
        <v>0</v>
      </c>
      <c r="BB408" s="764">
        <f>Q_IS!BX182-BB404</f>
        <v>0</v>
      </c>
      <c r="BC408" s="764">
        <f>Q_IS!BY182-BC404</f>
        <v>0</v>
      </c>
      <c r="BD408" s="764">
        <f>Q_IS!BZ182-BD404</f>
        <v>0</v>
      </c>
      <c r="BE408" s="764">
        <f>Q_IS!CA182-BE404</f>
        <v>0</v>
      </c>
      <c r="BF408" s="764">
        <f>Q_IS!CB182-BF404</f>
        <v>0</v>
      </c>
      <c r="BG408" s="764">
        <f>Q_IS!CC182-BG404</f>
        <v>0</v>
      </c>
      <c r="BH408" s="764">
        <f>Q_IS!CD182-BH404</f>
        <v>0</v>
      </c>
      <c r="BI408" s="764">
        <f>Q_IS!CE182-BI404</f>
        <v>0</v>
      </c>
      <c r="BJ408" s="764">
        <f>Q_IS!CF182-BJ404</f>
        <v>0</v>
      </c>
      <c r="BK408" s="764">
        <f>Q_IS!CG182-BK404</f>
        <v>0</v>
      </c>
      <c r="BL408" s="764">
        <f>Q_IS!CH182-BL404</f>
        <v>0</v>
      </c>
      <c r="BM408" s="764">
        <f>Q_IS!CI182-BM404</f>
        <v>0</v>
      </c>
      <c r="BN408" s="764">
        <f>Q_IS!CJ182-BN404</f>
        <v>0</v>
      </c>
      <c r="BO408" s="764">
        <f>Q_IS!CK182-BO404</f>
        <v>0</v>
      </c>
      <c r="BP408" s="764">
        <f>Q_IS!CL182-BP404</f>
        <v>0</v>
      </c>
      <c r="BQ408" s="764">
        <f>Q_IS!CM182-BQ404</f>
        <v>0</v>
      </c>
      <c r="BR408" s="764">
        <f>Q_IS!CN182-BR404</f>
        <v>0</v>
      </c>
      <c r="BS408" s="764">
        <f>Q_IS!CO182-BS404</f>
        <v>0</v>
      </c>
      <c r="BT408" s="764">
        <f>Q_IS!CP182-BT404</f>
        <v>0</v>
      </c>
      <c r="BU408" s="764">
        <f>Q_IS!CQ182-BU404</f>
        <v>0</v>
      </c>
      <c r="BV408" s="764">
        <f>Q_IS!CR182-BV404</f>
        <v>0</v>
      </c>
      <c r="BW408" s="764">
        <f>Q_IS!CS182-BW404</f>
        <v>0</v>
      </c>
      <c r="BX408" s="764">
        <f>Q_IS!CT182-BX404</f>
        <v>0</v>
      </c>
      <c r="BY408" s="764">
        <f>Q_IS!CU182-BY404</f>
        <v>0</v>
      </c>
    </row>
    <row r="409" spans="1:78" s="1401" customFormat="1">
      <c r="B409" s="764"/>
      <c r="C409" s="764"/>
      <c r="D409" s="764"/>
      <c r="E409" s="764"/>
      <c r="F409" s="764"/>
      <c r="G409" s="764"/>
      <c r="H409" s="764"/>
      <c r="I409" s="764"/>
      <c r="J409" s="764"/>
      <c r="K409" s="764"/>
      <c r="L409" s="764"/>
      <c r="M409" s="764"/>
      <c r="N409" s="764"/>
      <c r="O409" s="764"/>
      <c r="P409" s="764"/>
      <c r="Q409" s="764"/>
      <c r="R409" s="764"/>
      <c r="S409" s="764"/>
      <c r="T409" s="764"/>
      <c r="U409" s="764"/>
      <c r="V409" s="764"/>
      <c r="W409" s="764"/>
      <c r="X409" s="764"/>
      <c r="Y409" s="764"/>
      <c r="Z409" s="764"/>
      <c r="AA409" s="764"/>
      <c r="AB409" s="764"/>
      <c r="AC409" s="764"/>
      <c r="AD409" s="764"/>
      <c r="AE409" s="764"/>
      <c r="AF409" s="764"/>
      <c r="AG409" s="764"/>
      <c r="AH409" s="764"/>
      <c r="AI409" s="764"/>
      <c r="AJ409" s="764"/>
      <c r="AK409" s="685"/>
      <c r="AL409" s="685"/>
      <c r="AM409" s="685"/>
      <c r="AN409" s="685"/>
      <c r="AO409" s="685"/>
      <c r="AP409" s="685"/>
      <c r="AQ409" s="685"/>
      <c r="AR409" s="685"/>
      <c r="AS409" s="685"/>
      <c r="AT409" s="963"/>
      <c r="AU409" s="764"/>
      <c r="AV409" s="764"/>
      <c r="AW409" s="764"/>
      <c r="AX409" s="764"/>
      <c r="AY409" s="764"/>
      <c r="AZ409" s="764"/>
      <c r="BA409" s="764"/>
      <c r="BB409" s="764"/>
      <c r="BC409" s="764"/>
      <c r="BD409" s="764"/>
      <c r="BE409" s="764"/>
      <c r="BF409" s="764"/>
      <c r="BG409" s="764"/>
      <c r="BH409" s="764"/>
      <c r="BI409" s="764"/>
      <c r="BJ409" s="764"/>
      <c r="BK409" s="764"/>
      <c r="BL409" s="764"/>
      <c r="BM409" s="764"/>
      <c r="BN409" s="764"/>
      <c r="BO409" s="764"/>
      <c r="BP409" s="764"/>
      <c r="BQ409" s="764"/>
      <c r="BR409" s="764"/>
      <c r="BS409" s="764"/>
      <c r="BT409" s="764"/>
      <c r="BU409" s="764"/>
      <c r="BV409" s="764"/>
      <c r="BW409" s="764"/>
      <c r="BX409" s="764"/>
      <c r="BY409" s="764"/>
    </row>
    <row r="410" spans="1:78" s="1401" customFormat="1">
      <c r="B410" s="764"/>
      <c r="C410" s="764"/>
      <c r="D410" s="764"/>
      <c r="E410" s="764"/>
      <c r="F410" s="764"/>
      <c r="G410" s="764"/>
      <c r="H410" s="764"/>
      <c r="I410" s="764"/>
      <c r="J410" s="764"/>
      <c r="K410" s="764"/>
      <c r="L410" s="764"/>
      <c r="M410" s="764"/>
      <c r="N410" s="764"/>
      <c r="O410" s="764"/>
      <c r="P410" s="764"/>
      <c r="Q410" s="764"/>
      <c r="R410" s="764"/>
      <c r="S410" s="764"/>
      <c r="T410" s="764"/>
      <c r="U410" s="764"/>
      <c r="V410" s="764"/>
      <c r="W410" s="764"/>
      <c r="X410" s="764"/>
      <c r="Y410" s="764"/>
      <c r="Z410" s="764"/>
      <c r="AA410" s="764"/>
      <c r="AB410" s="764"/>
      <c r="AC410" s="764"/>
      <c r="AD410" s="764"/>
      <c r="AE410" s="764"/>
      <c r="AF410" s="764"/>
      <c r="AG410" s="764"/>
      <c r="AH410" s="764"/>
      <c r="AI410" s="764"/>
      <c r="AJ410" s="764"/>
      <c r="AK410" s="685"/>
      <c r="AL410" s="685"/>
      <c r="AM410" s="685"/>
      <c r="AN410" s="685"/>
      <c r="AO410" s="685"/>
      <c r="AP410" s="685"/>
      <c r="AQ410" s="685"/>
      <c r="AR410" s="685"/>
      <c r="AS410" s="685"/>
      <c r="AT410" s="963"/>
      <c r="AU410" s="764"/>
      <c r="AV410" s="764"/>
      <c r="AW410" s="764"/>
      <c r="AX410" s="764"/>
      <c r="AY410" s="764"/>
      <c r="AZ410" s="764"/>
      <c r="BA410" s="764"/>
      <c r="BB410" s="764"/>
      <c r="BC410" s="764"/>
      <c r="BD410" s="764"/>
      <c r="BE410" s="764"/>
      <c r="BF410" s="764"/>
      <c r="BG410" s="764"/>
      <c r="BH410" s="764"/>
      <c r="BI410" s="764"/>
      <c r="BJ410" s="764"/>
      <c r="BK410" s="764"/>
      <c r="BL410" s="764"/>
      <c r="BM410" s="764"/>
      <c r="BN410" s="764"/>
      <c r="BO410" s="764"/>
      <c r="BP410" s="764"/>
      <c r="BQ410" s="764"/>
      <c r="BR410" s="764"/>
      <c r="BS410" s="764"/>
      <c r="BT410" s="764"/>
      <c r="BU410" s="764"/>
      <c r="BV410" s="764"/>
      <c r="BW410" s="764"/>
      <c r="BX410" s="764"/>
      <c r="BY410" s="764"/>
    </row>
    <row r="411" spans="1:78" s="1401" customFormat="1">
      <c r="B411" s="764"/>
      <c r="C411" s="764"/>
      <c r="D411" s="764"/>
      <c r="E411" s="764"/>
      <c r="F411" s="764"/>
      <c r="G411" s="764"/>
      <c r="H411" s="764"/>
      <c r="I411" s="764"/>
      <c r="J411" s="764"/>
      <c r="K411" s="764"/>
      <c r="L411" s="764"/>
      <c r="M411" s="764"/>
      <c r="N411" s="764"/>
      <c r="O411" s="764"/>
      <c r="P411" s="764"/>
      <c r="Q411" s="764"/>
      <c r="R411" s="764"/>
      <c r="S411" s="764"/>
      <c r="T411" s="764"/>
      <c r="U411" s="764"/>
      <c r="V411" s="764"/>
      <c r="W411" s="764"/>
      <c r="X411" s="764"/>
      <c r="Y411" s="764"/>
      <c r="Z411" s="764"/>
      <c r="AA411" s="764"/>
      <c r="AB411" s="764"/>
      <c r="AC411" s="764"/>
      <c r="AD411" s="764"/>
      <c r="AE411" s="764"/>
      <c r="AF411" s="764"/>
      <c r="AG411" s="764"/>
      <c r="AH411" s="764"/>
      <c r="AI411" s="764"/>
      <c r="AJ411" s="764"/>
      <c r="AK411" s="685"/>
      <c r="AL411" s="685"/>
      <c r="AM411" s="685"/>
      <c r="AN411" s="685"/>
      <c r="AO411" s="685"/>
      <c r="AP411" s="685"/>
      <c r="AQ411" s="685"/>
      <c r="AR411" s="685"/>
      <c r="AS411" s="685"/>
      <c r="AT411" s="963"/>
      <c r="AU411" s="764"/>
      <c r="AV411" s="764"/>
      <c r="AW411" s="764"/>
      <c r="AX411" s="764"/>
      <c r="AY411" s="764"/>
      <c r="AZ411" s="764"/>
      <c r="BA411" s="764"/>
      <c r="BB411" s="764"/>
      <c r="BC411" s="764"/>
      <c r="BD411" s="764"/>
      <c r="BE411" s="764"/>
      <c r="BF411" s="764"/>
      <c r="BG411" s="764"/>
      <c r="BH411" s="764"/>
      <c r="BI411" s="764"/>
      <c r="BJ411" s="764"/>
      <c r="BK411" s="764"/>
      <c r="BL411" s="764"/>
      <c r="BM411" s="764"/>
      <c r="BN411" s="764"/>
      <c r="BO411" s="764"/>
      <c r="BP411" s="764"/>
      <c r="BQ411" s="764"/>
      <c r="BR411" s="764"/>
      <c r="BS411" s="764"/>
      <c r="BT411" s="764"/>
      <c r="BU411" s="764"/>
      <c r="BV411" s="764"/>
      <c r="BW411" s="764"/>
      <c r="BX411" s="764"/>
      <c r="BY411" s="764"/>
    </row>
    <row r="412" spans="1:78" s="1401" customFormat="1">
      <c r="B412" s="764"/>
      <c r="C412" s="764"/>
      <c r="D412" s="764"/>
      <c r="E412" s="764"/>
      <c r="F412" s="764"/>
      <c r="G412" s="764"/>
      <c r="H412" s="764"/>
      <c r="I412" s="764"/>
      <c r="J412" s="764"/>
      <c r="K412" s="764"/>
      <c r="L412" s="764"/>
      <c r="M412" s="764"/>
      <c r="N412" s="764"/>
      <c r="O412" s="764"/>
      <c r="P412" s="764"/>
      <c r="Q412" s="764"/>
      <c r="R412" s="764"/>
      <c r="S412" s="764"/>
      <c r="T412" s="764"/>
      <c r="U412" s="764"/>
      <c r="V412" s="764"/>
      <c r="W412" s="764"/>
      <c r="X412" s="764"/>
      <c r="Y412" s="764"/>
      <c r="Z412" s="764"/>
      <c r="AA412" s="764"/>
      <c r="AB412" s="764"/>
      <c r="AC412" s="764"/>
      <c r="AD412" s="764"/>
      <c r="AE412" s="764"/>
      <c r="AF412" s="764"/>
      <c r="AG412" s="764"/>
      <c r="AH412" s="764"/>
      <c r="AI412" s="764"/>
      <c r="AJ412" s="764"/>
      <c r="AK412" s="685"/>
      <c r="AL412" s="685"/>
      <c r="AM412" s="685"/>
      <c r="AN412" s="685"/>
      <c r="AO412" s="685"/>
      <c r="AP412" s="685"/>
      <c r="AQ412" s="685"/>
      <c r="AR412" s="685"/>
      <c r="AS412" s="685"/>
      <c r="AT412" s="963"/>
      <c r="AU412" s="764"/>
      <c r="AV412" s="764"/>
      <c r="AW412" s="764"/>
      <c r="AX412" s="764"/>
      <c r="AY412" s="764"/>
      <c r="AZ412" s="764"/>
      <c r="BA412" s="764"/>
      <c r="BB412" s="764"/>
      <c r="BC412" s="764"/>
      <c r="BD412" s="764"/>
      <c r="BE412" s="764"/>
      <c r="BF412" s="764"/>
      <c r="BG412" s="764"/>
      <c r="BH412" s="764"/>
      <c r="BI412" s="764"/>
      <c r="BJ412" s="764"/>
      <c r="BK412" s="764"/>
      <c r="BL412" s="764"/>
      <c r="BM412" s="764"/>
      <c r="BN412" s="764"/>
      <c r="BO412" s="764"/>
      <c r="BP412" s="764"/>
      <c r="BQ412" s="764"/>
      <c r="BR412" s="764"/>
      <c r="BS412" s="764"/>
      <c r="BT412" s="764"/>
      <c r="BU412" s="764"/>
      <c r="BV412" s="764"/>
      <c r="BW412" s="764"/>
      <c r="BX412" s="764"/>
      <c r="BY412" s="764"/>
    </row>
    <row r="413" spans="1:78" s="1401" customFormat="1">
      <c r="B413" s="764"/>
      <c r="C413" s="764"/>
      <c r="D413" s="764"/>
      <c r="E413" s="764"/>
      <c r="F413" s="764"/>
      <c r="G413" s="764"/>
      <c r="H413" s="764"/>
      <c r="I413" s="764"/>
      <c r="J413" s="764"/>
      <c r="K413" s="764"/>
      <c r="L413" s="764"/>
      <c r="M413" s="764"/>
      <c r="N413" s="764"/>
      <c r="O413" s="764"/>
      <c r="P413" s="764"/>
      <c r="Q413" s="764"/>
      <c r="R413" s="764"/>
      <c r="S413" s="764"/>
      <c r="T413" s="764"/>
      <c r="U413" s="764"/>
      <c r="V413" s="764"/>
      <c r="W413" s="764"/>
      <c r="X413" s="764"/>
      <c r="Y413" s="764"/>
      <c r="Z413" s="764"/>
      <c r="AA413" s="764"/>
      <c r="AB413" s="764"/>
      <c r="AC413" s="764"/>
      <c r="AD413" s="764"/>
      <c r="AE413" s="764"/>
      <c r="AF413" s="764"/>
      <c r="AG413" s="764"/>
      <c r="AH413" s="764"/>
      <c r="AI413" s="764"/>
      <c r="AJ413" s="764"/>
      <c r="AK413" s="685"/>
      <c r="AL413" s="685"/>
      <c r="AM413" s="685"/>
      <c r="AN413" s="685"/>
      <c r="AO413" s="685"/>
      <c r="AP413" s="685"/>
      <c r="AQ413" s="685"/>
      <c r="AR413" s="685"/>
      <c r="AS413" s="685"/>
      <c r="AT413" s="963"/>
      <c r="AU413" s="764"/>
      <c r="AV413" s="764"/>
      <c r="AW413" s="764"/>
      <c r="AX413" s="764"/>
      <c r="AY413" s="764"/>
      <c r="AZ413" s="764"/>
      <c r="BA413" s="764"/>
      <c r="BB413" s="764"/>
      <c r="BC413" s="764"/>
      <c r="BD413" s="764"/>
      <c r="BE413" s="764"/>
      <c r="BF413" s="764"/>
      <c r="BG413" s="764"/>
      <c r="BH413" s="764"/>
      <c r="BI413" s="764"/>
      <c r="BJ413" s="764"/>
      <c r="BK413" s="764"/>
      <c r="BL413" s="764"/>
      <c r="BM413" s="764"/>
      <c r="BN413" s="764"/>
      <c r="BO413" s="764"/>
      <c r="BP413" s="764"/>
      <c r="BQ413" s="764"/>
      <c r="BR413" s="764"/>
      <c r="BS413" s="764"/>
      <c r="BT413" s="764"/>
      <c r="BU413" s="764"/>
      <c r="BV413" s="764"/>
      <c r="BW413" s="764"/>
      <c r="BX413" s="764"/>
      <c r="BY413" s="764"/>
    </row>
    <row r="414" spans="1:78" s="1401" customFormat="1">
      <c r="A414" s="396"/>
      <c r="B414" s="764"/>
      <c r="C414" s="764"/>
      <c r="D414" s="764"/>
      <c r="E414" s="764"/>
      <c r="F414" s="764"/>
      <c r="G414" s="764"/>
      <c r="H414" s="764"/>
      <c r="I414" s="764"/>
      <c r="J414" s="764"/>
      <c r="K414" s="764"/>
      <c r="L414" s="764"/>
      <c r="M414" s="764"/>
      <c r="N414" s="764"/>
      <c r="O414" s="764"/>
      <c r="P414" s="764"/>
      <c r="Q414" s="764"/>
      <c r="R414" s="764"/>
      <c r="S414" s="764"/>
      <c r="T414" s="764"/>
      <c r="U414" s="764"/>
      <c r="V414" s="764"/>
      <c r="W414" s="764"/>
      <c r="X414" s="764"/>
      <c r="Y414" s="764"/>
      <c r="Z414" s="764"/>
      <c r="AA414" s="764"/>
      <c r="AB414" s="764"/>
      <c r="AC414" s="764"/>
      <c r="AD414" s="764"/>
      <c r="AE414" s="764"/>
      <c r="AF414" s="764"/>
      <c r="AG414" s="764"/>
      <c r="AH414" s="764"/>
      <c r="AI414" s="764"/>
      <c r="AJ414" s="764"/>
      <c r="AK414" s="685"/>
      <c r="AL414" s="685"/>
      <c r="AM414" s="685"/>
      <c r="AN414" s="685"/>
      <c r="AO414" s="685"/>
      <c r="AP414" s="685"/>
      <c r="AQ414" s="685"/>
      <c r="AR414" s="685"/>
      <c r="AS414" s="685"/>
      <c r="AT414" s="963"/>
      <c r="AU414" s="764"/>
      <c r="AV414" s="764"/>
      <c r="AW414" s="764"/>
      <c r="AX414" s="764"/>
      <c r="AY414" s="764"/>
      <c r="AZ414" s="764"/>
      <c r="BA414" s="764"/>
      <c r="BB414" s="764"/>
      <c r="BC414" s="764"/>
      <c r="BD414" s="764"/>
      <c r="BE414" s="764"/>
      <c r="BF414" s="764"/>
      <c r="BG414" s="764"/>
      <c r="BH414" s="764"/>
      <c r="BI414" s="764"/>
      <c r="BJ414" s="764"/>
      <c r="BK414" s="764"/>
      <c r="BL414" s="764"/>
      <c r="BM414" s="764"/>
      <c r="BN414" s="764"/>
      <c r="BO414" s="764"/>
      <c r="BP414" s="764"/>
      <c r="BQ414" s="764"/>
      <c r="BR414" s="764"/>
      <c r="BS414" s="764"/>
      <c r="BT414" s="764"/>
      <c r="BU414" s="764"/>
      <c r="BV414" s="764"/>
      <c r="BW414" s="764"/>
      <c r="BX414" s="764"/>
      <c r="BY414" s="764"/>
    </row>
    <row r="415" spans="1:78" s="1401" customFormat="1">
      <c r="A415" s="396"/>
      <c r="B415" s="764"/>
      <c r="C415" s="764"/>
      <c r="D415" s="764"/>
      <c r="E415" s="764"/>
      <c r="F415" s="764"/>
      <c r="G415" s="764"/>
      <c r="H415" s="764"/>
      <c r="I415" s="764"/>
      <c r="J415" s="764"/>
      <c r="K415" s="764"/>
      <c r="L415" s="764"/>
      <c r="M415" s="764"/>
      <c r="N415" s="764"/>
      <c r="O415" s="764"/>
      <c r="P415" s="764"/>
      <c r="Q415" s="764"/>
      <c r="R415" s="764"/>
      <c r="S415" s="764"/>
      <c r="T415" s="764"/>
      <c r="U415" s="764"/>
      <c r="V415" s="764"/>
      <c r="W415" s="764"/>
      <c r="X415" s="764"/>
      <c r="Y415" s="764"/>
      <c r="Z415" s="764"/>
      <c r="AA415" s="764"/>
      <c r="AB415" s="764"/>
      <c r="AC415" s="764"/>
      <c r="AD415" s="764"/>
      <c r="AE415" s="764"/>
      <c r="AF415" s="764"/>
      <c r="AG415" s="764"/>
      <c r="AH415" s="764"/>
      <c r="AI415" s="764"/>
      <c r="AJ415" s="764"/>
      <c r="AK415" s="685"/>
      <c r="AL415" s="685"/>
      <c r="AM415" s="685"/>
      <c r="AN415" s="685"/>
      <c r="AO415" s="685"/>
      <c r="AP415" s="685"/>
      <c r="AQ415" s="685"/>
      <c r="AR415" s="685"/>
      <c r="AS415" s="685"/>
      <c r="AT415" s="963"/>
      <c r="AU415" s="764"/>
      <c r="AV415" s="764"/>
      <c r="AW415" s="764"/>
      <c r="AX415" s="764"/>
      <c r="AY415" s="764"/>
      <c r="AZ415" s="764"/>
      <c r="BA415" s="764"/>
      <c r="BB415" s="764"/>
      <c r="BC415" s="764"/>
      <c r="BD415" s="764"/>
      <c r="BE415" s="764"/>
      <c r="BF415" s="764"/>
      <c r="BG415" s="764"/>
      <c r="BH415" s="764"/>
      <c r="BI415" s="764"/>
      <c r="BJ415" s="764"/>
      <c r="BK415" s="764"/>
      <c r="BL415" s="764"/>
      <c r="BM415" s="764"/>
      <c r="BN415" s="764"/>
      <c r="BO415" s="764"/>
      <c r="BP415" s="764"/>
      <c r="BQ415" s="764"/>
      <c r="BR415" s="764"/>
      <c r="BS415" s="764"/>
      <c r="BT415" s="764"/>
      <c r="BU415" s="764"/>
      <c r="BV415" s="764"/>
      <c r="BW415" s="764"/>
      <c r="BX415" s="764"/>
      <c r="BY415" s="764"/>
    </row>
    <row r="416" spans="1:78" s="1401" customFormat="1">
      <c r="A416" s="396"/>
      <c r="B416" s="764"/>
      <c r="C416" s="764"/>
      <c r="D416" s="764"/>
      <c r="E416" s="764"/>
      <c r="F416" s="764"/>
      <c r="G416" s="764"/>
      <c r="H416" s="764"/>
      <c r="I416" s="764"/>
      <c r="J416" s="764"/>
      <c r="K416" s="764"/>
      <c r="L416" s="764"/>
      <c r="M416" s="764"/>
      <c r="N416" s="764"/>
      <c r="O416" s="764"/>
      <c r="P416" s="764"/>
      <c r="Q416" s="764"/>
      <c r="R416" s="764"/>
      <c r="S416" s="764"/>
      <c r="T416" s="764"/>
      <c r="U416" s="764"/>
      <c r="V416" s="764"/>
      <c r="W416" s="764"/>
      <c r="X416" s="764"/>
      <c r="Y416" s="764"/>
      <c r="Z416" s="764"/>
      <c r="AA416" s="764"/>
      <c r="AB416" s="764"/>
      <c r="AC416" s="764"/>
      <c r="AD416" s="764"/>
      <c r="AE416" s="764"/>
      <c r="AF416" s="764"/>
      <c r="AG416" s="764"/>
      <c r="AH416" s="764"/>
      <c r="AI416" s="764"/>
      <c r="AJ416" s="764"/>
      <c r="AK416" s="685"/>
      <c r="AL416" s="685"/>
      <c r="AM416" s="685"/>
      <c r="AN416" s="685"/>
      <c r="AO416" s="685"/>
      <c r="AP416" s="685"/>
      <c r="AQ416" s="685"/>
      <c r="AR416" s="685"/>
      <c r="AS416" s="685"/>
      <c r="AT416" s="963"/>
      <c r="AU416" s="764"/>
      <c r="AV416" s="764"/>
      <c r="AW416" s="764"/>
      <c r="AX416" s="764"/>
      <c r="AY416" s="764"/>
      <c r="AZ416" s="764"/>
      <c r="BA416" s="764"/>
      <c r="BB416" s="764"/>
      <c r="BC416" s="764"/>
      <c r="BD416" s="764"/>
      <c r="BE416" s="764"/>
      <c r="BF416" s="764"/>
      <c r="BG416" s="764"/>
      <c r="BH416" s="764"/>
      <c r="BI416" s="764"/>
      <c r="BJ416" s="764"/>
      <c r="BK416" s="764"/>
      <c r="BL416" s="764"/>
      <c r="BM416" s="764"/>
      <c r="BN416" s="764"/>
      <c r="BO416" s="764"/>
      <c r="BP416" s="764"/>
      <c r="BQ416" s="764"/>
      <c r="BR416" s="764"/>
      <c r="BS416" s="764"/>
      <c r="BT416" s="764"/>
      <c r="BU416" s="764"/>
      <c r="BV416" s="764"/>
      <c r="BW416" s="764"/>
      <c r="BX416" s="764"/>
      <c r="BY416" s="764"/>
    </row>
    <row r="417" spans="1:77" s="1401" customFormat="1">
      <c r="A417" s="396"/>
      <c r="B417" s="764"/>
      <c r="C417" s="764"/>
      <c r="D417" s="764"/>
      <c r="E417" s="764"/>
      <c r="F417" s="764"/>
      <c r="G417" s="764"/>
      <c r="H417" s="764"/>
      <c r="I417" s="764"/>
      <c r="J417" s="764"/>
      <c r="K417" s="764"/>
      <c r="L417" s="764"/>
      <c r="M417" s="764"/>
      <c r="N417" s="764"/>
      <c r="O417" s="764"/>
      <c r="P417" s="764"/>
      <c r="Q417" s="764"/>
      <c r="R417" s="764"/>
      <c r="S417" s="764"/>
      <c r="T417" s="764"/>
      <c r="U417" s="764"/>
      <c r="V417" s="764"/>
      <c r="W417" s="764"/>
      <c r="X417" s="764"/>
      <c r="Y417" s="764"/>
      <c r="Z417" s="764"/>
      <c r="AA417" s="764"/>
      <c r="AB417" s="764"/>
      <c r="AC417" s="764"/>
      <c r="AD417" s="764"/>
      <c r="AE417" s="764"/>
      <c r="AF417" s="764"/>
      <c r="AG417" s="764"/>
      <c r="AH417" s="764"/>
      <c r="AI417" s="764"/>
      <c r="AJ417" s="764"/>
      <c r="AK417" s="685"/>
      <c r="AL417" s="685"/>
      <c r="AM417" s="685"/>
      <c r="AN417" s="685"/>
      <c r="AO417" s="685"/>
      <c r="AP417" s="685"/>
      <c r="AQ417" s="685"/>
      <c r="AR417" s="685"/>
      <c r="AS417" s="685"/>
      <c r="AT417" s="963"/>
      <c r="AU417" s="764"/>
      <c r="AV417" s="764"/>
      <c r="AW417" s="764"/>
      <c r="AX417" s="764"/>
      <c r="AY417" s="764"/>
      <c r="AZ417" s="764"/>
      <c r="BA417" s="764"/>
      <c r="BB417" s="764"/>
      <c r="BC417" s="764"/>
      <c r="BD417" s="764"/>
      <c r="BE417" s="764"/>
      <c r="BF417" s="764"/>
      <c r="BG417" s="764"/>
      <c r="BH417" s="764"/>
      <c r="BI417" s="764"/>
      <c r="BJ417" s="764"/>
      <c r="BK417" s="764"/>
      <c r="BL417" s="764"/>
      <c r="BM417" s="764"/>
      <c r="BN417" s="764"/>
      <c r="BO417" s="764"/>
      <c r="BP417" s="764"/>
      <c r="BQ417" s="764"/>
      <c r="BR417" s="764"/>
      <c r="BS417" s="764"/>
      <c r="BT417" s="764"/>
      <c r="BU417" s="764"/>
      <c r="BV417" s="764"/>
      <c r="BW417" s="764"/>
      <c r="BX417" s="764"/>
      <c r="BY417" s="764"/>
    </row>
    <row r="418" spans="1:77">
      <c r="B418" s="764"/>
      <c r="C418" s="764"/>
      <c r="L418" s="106"/>
      <c r="M418" s="106"/>
      <c r="AK418" s="202"/>
      <c r="AL418" s="202"/>
      <c r="AM418" s="202"/>
      <c r="AN418" s="202"/>
      <c r="AO418" s="202"/>
      <c r="AP418" s="202"/>
      <c r="AQ418" s="202"/>
      <c r="AR418" s="202"/>
      <c r="AS418" s="202"/>
      <c r="AT418" s="355"/>
      <c r="BI418" s="1401"/>
      <c r="BJ418" s="1401"/>
      <c r="BK418" s="1401"/>
      <c r="BL418" s="1401"/>
      <c r="BM418" s="1401"/>
      <c r="BN418" s="1401"/>
      <c r="BO418" s="1401"/>
      <c r="BP418" s="1401"/>
      <c r="BQ418" s="1401"/>
      <c r="BR418" s="1401"/>
      <c r="BS418" s="1401"/>
      <c r="BT418" s="1401"/>
      <c r="BU418" s="1401"/>
      <c r="BV418" s="1401"/>
      <c r="BW418" s="1401"/>
      <c r="BX418" s="1401"/>
      <c r="BY418" s="1401"/>
    </row>
    <row r="419" spans="1:77">
      <c r="B419" s="764"/>
      <c r="C419" s="764"/>
      <c r="L419" s="106"/>
      <c r="M419" s="106"/>
      <c r="AK419" s="202"/>
      <c r="AL419" s="202"/>
      <c r="AM419" s="202"/>
      <c r="AN419" s="202"/>
      <c r="AO419" s="202"/>
      <c r="AP419" s="202"/>
      <c r="AQ419" s="202"/>
      <c r="AR419" s="202"/>
      <c r="AS419" s="202"/>
      <c r="AT419" s="355"/>
      <c r="BI419" s="1401"/>
      <c r="BJ419" s="1401"/>
      <c r="BK419" s="1401"/>
      <c r="BL419" s="1401"/>
      <c r="BM419" s="1401"/>
      <c r="BN419" s="1401"/>
      <c r="BO419" s="1401"/>
      <c r="BP419" s="1401"/>
      <c r="BQ419" s="1401"/>
      <c r="BR419" s="1401"/>
      <c r="BS419" s="1401"/>
      <c r="BT419" s="1401"/>
      <c r="BU419" s="1401"/>
      <c r="BV419" s="1401"/>
      <c r="BW419" s="1401"/>
      <c r="BX419" s="1401"/>
      <c r="BY419" s="1401"/>
    </row>
    <row r="420" spans="1:77">
      <c r="B420" s="764"/>
      <c r="C420" s="764"/>
      <c r="L420" s="106"/>
      <c r="M420" s="106"/>
      <c r="AK420" s="106"/>
      <c r="AL420" s="106"/>
      <c r="AM420" s="106"/>
      <c r="AN420" s="106"/>
      <c r="AO420" s="106"/>
      <c r="AP420" s="106"/>
      <c r="AQ420" s="106"/>
      <c r="AR420" s="106"/>
      <c r="AS420" s="106"/>
      <c r="AT420" s="381"/>
      <c r="BI420" s="1401"/>
      <c r="BJ420" s="1401"/>
      <c r="BK420" s="1401"/>
      <c r="BL420" s="1401"/>
      <c r="BM420" s="1401"/>
      <c r="BN420" s="1401"/>
      <c r="BO420" s="1401"/>
      <c r="BP420" s="1401"/>
      <c r="BQ420" s="1401"/>
      <c r="BR420" s="1401"/>
      <c r="BS420" s="1401"/>
      <c r="BT420" s="1401"/>
      <c r="BU420" s="1401"/>
      <c r="BV420" s="1401"/>
      <c r="BW420" s="1401"/>
      <c r="BX420" s="1401"/>
      <c r="BY420" s="1401"/>
    </row>
    <row r="421" spans="1:77">
      <c r="A421" s="494" t="s">
        <v>769</v>
      </c>
      <c r="B421" s="603">
        <v>0</v>
      </c>
      <c r="C421" s="603">
        <v>0</v>
      </c>
      <c r="D421" s="603">
        <v>0</v>
      </c>
      <c r="E421" s="603">
        <v>0</v>
      </c>
      <c r="F421" s="603">
        <v>0</v>
      </c>
      <c r="G421" s="603">
        <v>0</v>
      </c>
      <c r="H421" s="603">
        <v>0</v>
      </c>
      <c r="I421" s="603">
        <v>0</v>
      </c>
      <c r="J421" s="603">
        <v>0</v>
      </c>
      <c r="K421" s="603">
        <v>0</v>
      </c>
      <c r="L421" s="1152">
        <v>0</v>
      </c>
      <c r="M421" s="1152">
        <v>0</v>
      </c>
      <c r="N421" s="603">
        <v>0</v>
      </c>
      <c r="O421" s="603">
        <v>0</v>
      </c>
      <c r="P421" s="603">
        <v>0</v>
      </c>
      <c r="Q421" s="603">
        <v>0</v>
      </c>
      <c r="R421" s="603">
        <v>0</v>
      </c>
      <c r="S421" s="603">
        <v>0</v>
      </c>
      <c r="T421" s="603">
        <v>0</v>
      </c>
      <c r="U421" s="603">
        <v>0</v>
      </c>
      <c r="V421" s="603">
        <v>0</v>
      </c>
      <c r="W421" s="603">
        <v>0</v>
      </c>
      <c r="X421" s="603">
        <v>0</v>
      </c>
      <c r="Y421" s="603">
        <v>0</v>
      </c>
      <c r="Z421" s="603">
        <v>0</v>
      </c>
      <c r="AA421" s="603">
        <v>0</v>
      </c>
      <c r="AB421" s="603">
        <v>0</v>
      </c>
      <c r="AC421" s="603">
        <v>0</v>
      </c>
      <c r="AD421" s="603">
        <v>0</v>
      </c>
      <c r="AE421" s="603">
        <v>0</v>
      </c>
      <c r="AF421" s="603">
        <v>0</v>
      </c>
      <c r="AG421" s="603">
        <v>0</v>
      </c>
      <c r="AH421" s="603">
        <v>0</v>
      </c>
      <c r="AI421" s="603">
        <v>0</v>
      </c>
      <c r="AJ421" s="603">
        <v>0</v>
      </c>
      <c r="AK421" s="1152">
        <v>0</v>
      </c>
      <c r="AL421" s="1152">
        <v>0</v>
      </c>
      <c r="AM421" s="1152">
        <v>0</v>
      </c>
      <c r="AN421" s="1152">
        <v>0</v>
      </c>
      <c r="AO421" s="1152">
        <v>0</v>
      </c>
      <c r="AP421" s="1152">
        <v>0</v>
      </c>
      <c r="AQ421" s="1152">
        <v>0</v>
      </c>
      <c r="AR421" s="1152">
        <v>0</v>
      </c>
      <c r="AS421" s="1152">
        <v>0</v>
      </c>
      <c r="AT421" s="1461">
        <v>0</v>
      </c>
      <c r="AU421" s="395">
        <v>0</v>
      </c>
      <c r="AV421" s="395">
        <v>0</v>
      </c>
      <c r="AW421" s="395">
        <v>0</v>
      </c>
      <c r="AX421" s="395">
        <v>0</v>
      </c>
      <c r="AY421" s="395">
        <v>0</v>
      </c>
      <c r="AZ421" s="395">
        <v>0</v>
      </c>
      <c r="BA421" s="395">
        <v>0</v>
      </c>
      <c r="BB421" s="395">
        <v>0</v>
      </c>
      <c r="BC421" s="395">
        <v>0</v>
      </c>
      <c r="BD421" s="395">
        <v>0</v>
      </c>
      <c r="BE421" s="395">
        <v>0</v>
      </c>
      <c r="BF421" s="395">
        <v>0</v>
      </c>
      <c r="BG421" s="395">
        <v>0</v>
      </c>
      <c r="BH421" s="395">
        <v>0</v>
      </c>
      <c r="BI421" s="395">
        <v>0</v>
      </c>
      <c r="BJ421" s="395">
        <v>0</v>
      </c>
      <c r="BK421" s="395">
        <v>0</v>
      </c>
      <c r="BL421" s="395">
        <v>0</v>
      </c>
      <c r="BM421" s="395">
        <v>0</v>
      </c>
      <c r="BN421" s="395">
        <v>0</v>
      </c>
      <c r="BO421" s="395">
        <v>0</v>
      </c>
      <c r="BP421" s="395">
        <v>0</v>
      </c>
      <c r="BQ421" s="395">
        <v>0</v>
      </c>
      <c r="BR421" s="395">
        <v>0</v>
      </c>
      <c r="BS421" s="395">
        <v>0</v>
      </c>
      <c r="BT421" s="395">
        <v>0</v>
      </c>
      <c r="BU421" s="395">
        <v>0</v>
      </c>
      <c r="BV421" s="395">
        <v>0</v>
      </c>
      <c r="BW421" s="395">
        <v>0</v>
      </c>
      <c r="BX421" s="395">
        <v>0</v>
      </c>
      <c r="BY421" s="395">
        <v>0</v>
      </c>
    </row>
    <row r="422" spans="1:77">
      <c r="AL422" s="1401"/>
      <c r="AQ422" s="1401"/>
      <c r="AT422" s="381"/>
      <c r="BI422" s="1401"/>
      <c r="BJ422" s="1401"/>
      <c r="BK422" s="1401"/>
      <c r="BL422" s="1401"/>
      <c r="BM422" s="1401"/>
      <c r="BN422" s="1401"/>
      <c r="BO422" s="1401"/>
      <c r="BP422" s="1401"/>
      <c r="BQ422" s="1401"/>
      <c r="BR422" s="1401"/>
      <c r="BS422" s="1401"/>
      <c r="BT422" s="1401"/>
      <c r="BU422" s="1401"/>
      <c r="BV422" s="1401"/>
      <c r="BW422" s="1401"/>
      <c r="BX422" s="1401"/>
      <c r="BY422" s="1401"/>
    </row>
    <row r="423" spans="1:77">
      <c r="AL423" s="1401"/>
      <c r="AQ423" s="1401"/>
      <c r="AT423" s="381"/>
      <c r="BI423" s="1401"/>
      <c r="BJ423" s="1401"/>
      <c r="BK423" s="1401"/>
      <c r="BL423" s="1401"/>
      <c r="BM423" s="1401"/>
      <c r="BN423" s="1401"/>
      <c r="BO423" s="1401"/>
      <c r="BP423" s="1401"/>
      <c r="BQ423" s="1401"/>
      <c r="BR423" s="1401"/>
      <c r="BS423" s="1401"/>
      <c r="BT423" s="1401"/>
      <c r="BU423" s="1401"/>
      <c r="BV423" s="1401"/>
      <c r="BW423" s="1401"/>
      <c r="BX423" s="1401"/>
      <c r="BY423" s="1401"/>
    </row>
    <row r="424" spans="1:77">
      <c r="AL424" s="1401"/>
      <c r="AQ424" s="1401"/>
      <c r="AT424" s="381"/>
      <c r="BI424" s="1401"/>
      <c r="BJ424" s="1401"/>
      <c r="BK424" s="1401"/>
      <c r="BL424" s="1401"/>
      <c r="BM424" s="1401"/>
      <c r="BN424" s="1401"/>
      <c r="BO424" s="1401"/>
      <c r="BP424" s="1401"/>
      <c r="BQ424" s="1401"/>
      <c r="BR424" s="1401"/>
      <c r="BS424" s="1401"/>
      <c r="BT424" s="1401"/>
      <c r="BU424" s="1401"/>
      <c r="BV424" s="1401"/>
      <c r="BW424" s="1401"/>
      <c r="BX424" s="1401"/>
      <c r="BY424" s="1401"/>
    </row>
    <row r="425" spans="1:77">
      <c r="A425" s="52" t="str">
        <f>Index!$I$44</f>
        <v>2Q18e</v>
      </c>
      <c r="AL425" s="1401"/>
      <c r="AQ425" s="1401"/>
      <c r="AT425" s="381"/>
      <c r="BI425" s="1401"/>
      <c r="BJ425" s="1401"/>
      <c r="BK425" s="1401"/>
      <c r="BL425" s="1401"/>
      <c r="BM425" s="1401"/>
      <c r="BN425" s="1401"/>
      <c r="BO425" s="1401"/>
      <c r="BP425" s="1401"/>
      <c r="BQ425" s="1401"/>
      <c r="BR425" s="1401"/>
      <c r="BS425" s="1401"/>
      <c r="BT425" s="1401"/>
      <c r="BU425" s="1401"/>
      <c r="BV425" s="1401"/>
      <c r="BW425" s="1401"/>
      <c r="BX425" s="1401"/>
      <c r="BY425" s="1401"/>
    </row>
    <row r="426" spans="1:77">
      <c r="A426" s="405" t="s">
        <v>598</v>
      </c>
      <c r="E426" s="1401"/>
      <c r="F426" s="1401"/>
      <c r="AQ426" s="1401"/>
      <c r="AT426" s="381"/>
      <c r="BI426" s="1401"/>
      <c r="BJ426" s="1401"/>
      <c r="BK426" s="1401"/>
      <c r="BL426" s="1401"/>
      <c r="BM426" s="1401"/>
      <c r="BN426" s="1401"/>
      <c r="BO426" s="1401"/>
      <c r="BP426" s="1401"/>
      <c r="BQ426" s="1401"/>
      <c r="BR426" s="1401"/>
      <c r="BS426" s="1401"/>
      <c r="BT426" s="1401"/>
      <c r="BU426" s="1401"/>
      <c r="BV426" s="1401"/>
      <c r="BW426" s="1401"/>
      <c r="BX426" s="1401"/>
      <c r="BY426" s="1401"/>
    </row>
    <row r="427" spans="1:77">
      <c r="A427" s="52" t="s">
        <v>599</v>
      </c>
      <c r="E427" s="1401"/>
      <c r="F427" s="1401"/>
      <c r="H427" s="2584" t="s">
        <v>1319</v>
      </c>
      <c r="I427" s="2584"/>
      <c r="K427" s="2584" t="s">
        <v>1617</v>
      </c>
      <c r="L427" s="2584"/>
      <c r="O427" s="2584" t="s">
        <v>1317</v>
      </c>
      <c r="P427" s="2584"/>
      <c r="R427" s="2584" t="s">
        <v>1318</v>
      </c>
      <c r="S427" s="2584"/>
      <c r="U427" s="2584" t="s">
        <v>1516</v>
      </c>
      <c r="V427" s="2584"/>
      <c r="X427" s="2584" t="s">
        <v>1320</v>
      </c>
      <c r="Y427" s="2584"/>
      <c r="AA427" s="2584" t="s">
        <v>1321</v>
      </c>
      <c r="AB427" s="2584"/>
      <c r="AD427" s="2584" t="s">
        <v>1317</v>
      </c>
      <c r="AE427" s="2584"/>
      <c r="AG427" s="2584" t="s">
        <v>1421</v>
      </c>
      <c r="AH427" s="2584"/>
      <c r="AJ427" s="2584" t="s">
        <v>1500</v>
      </c>
      <c r="AK427" s="2584"/>
      <c r="AQ427" s="1401"/>
      <c r="AT427" s="381"/>
      <c r="BI427" s="1401"/>
      <c r="BJ427" s="1401"/>
      <c r="BK427" s="1401"/>
      <c r="BL427" s="1401"/>
      <c r="BM427" s="1401"/>
      <c r="BN427" s="1401"/>
      <c r="BO427" s="1401"/>
      <c r="BP427" s="1401"/>
      <c r="BQ427" s="1401"/>
      <c r="BR427" s="1401"/>
      <c r="BS427" s="1401"/>
      <c r="BT427" s="1401"/>
      <c r="BU427" s="1401"/>
      <c r="BV427" s="1401"/>
      <c r="BW427" s="1401"/>
      <c r="BX427" s="1401"/>
      <c r="BY427" s="1401"/>
    </row>
    <row r="428" spans="1:77">
      <c r="A428" s="52" t="s">
        <v>600</v>
      </c>
      <c r="E428" s="1401"/>
      <c r="F428" s="1401"/>
      <c r="H428" s="1401">
        <f>H429-4</f>
        <v>30</v>
      </c>
      <c r="I428" s="1401">
        <f>I429-4</f>
        <v>30</v>
      </c>
      <c r="K428" s="52">
        <f>K429-4</f>
        <v>38</v>
      </c>
      <c r="L428" s="52">
        <f>L429-4</f>
        <v>38</v>
      </c>
      <c r="O428" s="52">
        <f>O429-4</f>
        <v>13</v>
      </c>
      <c r="P428" s="52">
        <f>P429-4</f>
        <v>13</v>
      </c>
      <c r="R428" s="52">
        <f>R429-4</f>
        <v>14</v>
      </c>
      <c r="S428" s="52">
        <f>S429-4</f>
        <v>14</v>
      </c>
      <c r="U428" s="52">
        <f>U429-4</f>
        <v>38</v>
      </c>
      <c r="V428" s="52">
        <f>V429-4</f>
        <v>38</v>
      </c>
      <c r="X428" s="52">
        <f>X429-4</f>
        <v>10</v>
      </c>
      <c r="Y428" s="52">
        <f>Y429-4</f>
        <v>10</v>
      </c>
      <c r="AA428" s="52">
        <f>AA429-4</f>
        <v>34</v>
      </c>
      <c r="AB428" s="52">
        <f>AB429-4</f>
        <v>34</v>
      </c>
      <c r="AD428" s="1401">
        <f>AD429-4</f>
        <v>13</v>
      </c>
      <c r="AE428" s="1401">
        <f>AE429-4</f>
        <v>13</v>
      </c>
      <c r="AG428" s="1401">
        <f>AG429-4</f>
        <v>12</v>
      </c>
      <c r="AH428" s="1401">
        <f>AH429-4</f>
        <v>12</v>
      </c>
      <c r="AJ428" s="52">
        <f>AJ429-4</f>
        <v>26</v>
      </c>
      <c r="AK428" s="52">
        <f>AK429-4</f>
        <v>26</v>
      </c>
      <c r="AQ428" s="1401"/>
      <c r="AT428" s="381"/>
      <c r="BI428" s="1401"/>
      <c r="BJ428" s="1401"/>
      <c r="BK428" s="1401"/>
      <c r="BL428" s="1401"/>
      <c r="BM428" s="1401"/>
      <c r="BN428" s="1401"/>
      <c r="BO428" s="1401"/>
      <c r="BP428" s="1401"/>
      <c r="BQ428" s="1401"/>
      <c r="BR428" s="1401"/>
      <c r="BS428" s="1401"/>
      <c r="BT428" s="1401"/>
      <c r="BU428" s="1401"/>
      <c r="BV428" s="1401"/>
      <c r="BW428" s="1401"/>
      <c r="BX428" s="1401"/>
      <c r="BY428" s="1401"/>
    </row>
    <row r="429" spans="1:77">
      <c r="A429" s="52" t="s">
        <v>601</v>
      </c>
      <c r="E429" s="1401"/>
      <c r="F429" s="1401"/>
      <c r="H429" s="1401">
        <f>H430-4</f>
        <v>34</v>
      </c>
      <c r="I429" s="1401">
        <f>I430-4</f>
        <v>34</v>
      </c>
      <c r="K429" s="52">
        <f>K430-4</f>
        <v>42</v>
      </c>
      <c r="L429" s="52">
        <f>L430-4</f>
        <v>42</v>
      </c>
      <c r="O429" s="52">
        <f>O430-4</f>
        <v>17</v>
      </c>
      <c r="P429" s="52">
        <f>P430-4</f>
        <v>17</v>
      </c>
      <c r="R429" s="52">
        <f>R430-4</f>
        <v>18</v>
      </c>
      <c r="S429" s="52">
        <f>S430-4</f>
        <v>18</v>
      </c>
      <c r="U429" s="52">
        <f>U430-4</f>
        <v>42</v>
      </c>
      <c r="V429" s="52">
        <f>V430-4</f>
        <v>42</v>
      </c>
      <c r="X429" s="52">
        <f>X430-4</f>
        <v>14</v>
      </c>
      <c r="Y429" s="52">
        <f>Y430-4</f>
        <v>14</v>
      </c>
      <c r="AA429" s="52">
        <f>AA430-4</f>
        <v>38</v>
      </c>
      <c r="AB429" s="52">
        <f>AB430-4</f>
        <v>38</v>
      </c>
      <c r="AD429" s="1401">
        <f>AD430-4</f>
        <v>17</v>
      </c>
      <c r="AE429" s="1401">
        <f>AE430-4</f>
        <v>17</v>
      </c>
      <c r="AG429" s="1401">
        <f>AG430-4</f>
        <v>16</v>
      </c>
      <c r="AH429" s="1401">
        <f>AH430-4</f>
        <v>16</v>
      </c>
      <c r="AJ429" s="52">
        <f>AJ430-4</f>
        <v>30</v>
      </c>
      <c r="AK429" s="52">
        <f>AK430-4</f>
        <v>30</v>
      </c>
      <c r="AQ429" s="1401"/>
      <c r="AT429" s="381"/>
      <c r="BI429" s="1401"/>
      <c r="BJ429" s="1401"/>
      <c r="BK429" s="1401"/>
      <c r="BL429" s="1401"/>
      <c r="BM429" s="1401"/>
      <c r="BN429" s="1401"/>
      <c r="BO429" s="1401"/>
      <c r="BP429" s="1401"/>
      <c r="BQ429" s="1401"/>
      <c r="BR429" s="1401"/>
      <c r="BS429" s="1401"/>
      <c r="BT429" s="1401"/>
      <c r="BU429" s="1401"/>
      <c r="BV429" s="1401"/>
      <c r="BW429" s="1401"/>
      <c r="BX429" s="1401"/>
      <c r="BY429" s="1401"/>
    </row>
    <row r="430" spans="1:77">
      <c r="A430" s="52" t="s">
        <v>602</v>
      </c>
      <c r="E430" s="1401"/>
      <c r="F430" s="1401"/>
      <c r="H430" s="1401">
        <f>MATCH($A$425,$J$355:$BY$355,0)</f>
        <v>38</v>
      </c>
      <c r="I430" s="1401">
        <f>H430</f>
        <v>38</v>
      </c>
      <c r="K430" s="52">
        <f>MATCH(A425,$B$355:$BY$355,0)</f>
        <v>46</v>
      </c>
      <c r="L430" s="52">
        <f>K430</f>
        <v>46</v>
      </c>
      <c r="O430" s="52">
        <f>MATCH($A$425,$AA$355:$BY$355,0)</f>
        <v>21</v>
      </c>
      <c r="P430" s="52">
        <f>O430</f>
        <v>21</v>
      </c>
      <c r="R430" s="52">
        <f>MATCH($A$425,$Z$355:$BY$355,0)</f>
        <v>22</v>
      </c>
      <c r="S430" s="52">
        <f>R430</f>
        <v>22</v>
      </c>
      <c r="U430" s="52">
        <f>MATCH($A$425,$B$355:$BY$355,0)</f>
        <v>46</v>
      </c>
      <c r="V430" s="52">
        <f>U430</f>
        <v>46</v>
      </c>
      <c r="X430" s="52">
        <f>MATCH($A$425,$AD$355:$BY$355,0)</f>
        <v>18</v>
      </c>
      <c r="Y430" s="52">
        <f>X430</f>
        <v>18</v>
      </c>
      <c r="AA430" s="52">
        <f>MATCH($A$425,$F$355:$BY$355,0)</f>
        <v>42</v>
      </c>
      <c r="AB430" s="52">
        <f>AA430</f>
        <v>42</v>
      </c>
      <c r="AD430" s="1401">
        <f>MATCH($A$425,$AA$355:$BY$355,0)</f>
        <v>21</v>
      </c>
      <c r="AE430" s="1401">
        <f>AD430</f>
        <v>21</v>
      </c>
      <c r="AG430" s="1401">
        <f>MATCH($A$425,$AB$355:$BY$355,0)</f>
        <v>20</v>
      </c>
      <c r="AH430" s="1401">
        <f>AG430</f>
        <v>20</v>
      </c>
      <c r="AJ430" s="52">
        <f>MATCH($A$425,$N$355:$BY$355,0)</f>
        <v>34</v>
      </c>
      <c r="AK430" s="1401">
        <f>+AJ430</f>
        <v>34</v>
      </c>
      <c r="AQ430" s="1401"/>
      <c r="AT430" s="381"/>
      <c r="BI430" s="1401"/>
      <c r="BJ430" s="1401"/>
      <c r="BK430" s="1401"/>
      <c r="BL430" s="1401"/>
      <c r="BM430" s="1401"/>
      <c r="BN430" s="1401"/>
      <c r="BO430" s="1401"/>
      <c r="BP430" s="1401"/>
      <c r="BQ430" s="1401"/>
      <c r="BR430" s="1401"/>
      <c r="BS430" s="1401"/>
      <c r="BT430" s="1401"/>
      <c r="BU430" s="1401"/>
      <c r="BV430" s="1401"/>
      <c r="BW430" s="1401"/>
      <c r="BX430" s="1401"/>
      <c r="BY430" s="1401"/>
    </row>
    <row r="431" spans="1:77">
      <c r="E431" s="1401"/>
      <c r="F431" s="1401"/>
      <c r="H431" s="1401">
        <v>0</v>
      </c>
      <c r="I431" s="1401">
        <v>10000</v>
      </c>
      <c r="K431" s="52">
        <v>0</v>
      </c>
      <c r="L431" s="52">
        <v>10000</v>
      </c>
      <c r="O431" s="52">
        <v>0</v>
      </c>
      <c r="P431" s="52">
        <v>10000</v>
      </c>
      <c r="R431" s="52">
        <v>0</v>
      </c>
      <c r="S431" s="52">
        <v>10000</v>
      </c>
      <c r="U431" s="52">
        <v>0</v>
      </c>
      <c r="V431" s="52">
        <v>10000</v>
      </c>
      <c r="X431" s="52">
        <v>0</v>
      </c>
      <c r="Y431" s="52">
        <v>10000</v>
      </c>
      <c r="AA431" s="52">
        <v>0</v>
      </c>
      <c r="AB431" s="52">
        <v>10000</v>
      </c>
      <c r="AD431" s="1401">
        <v>0</v>
      </c>
      <c r="AE431" s="1401">
        <v>10000</v>
      </c>
      <c r="AG431" s="1401">
        <v>0</v>
      </c>
      <c r="AH431" s="1401">
        <v>10000</v>
      </c>
      <c r="AJ431" s="1401">
        <v>0</v>
      </c>
      <c r="AK431" s="1401">
        <v>10000</v>
      </c>
      <c r="AQ431" s="1401"/>
      <c r="AT431" s="381"/>
      <c r="BI431" s="1401"/>
      <c r="BJ431" s="1401"/>
      <c r="BK431" s="1401"/>
      <c r="BL431" s="1401"/>
      <c r="BM431" s="1401"/>
      <c r="BN431" s="1401"/>
      <c r="BO431" s="1401"/>
      <c r="BP431" s="1401"/>
      <c r="BQ431" s="1401"/>
      <c r="BR431" s="1401"/>
      <c r="BS431" s="1401"/>
      <c r="BT431" s="1401"/>
      <c r="BU431" s="1401"/>
      <c r="BV431" s="1401"/>
      <c r="BW431" s="1401"/>
      <c r="BX431" s="1401"/>
      <c r="BY431" s="1401"/>
    </row>
    <row r="432" spans="1:77">
      <c r="E432" s="1401"/>
      <c r="F432" s="1401"/>
      <c r="H432" s="1401">
        <v>0</v>
      </c>
      <c r="I432" s="1401">
        <v>0.6</v>
      </c>
      <c r="K432" s="52">
        <v>0</v>
      </c>
      <c r="L432" s="52">
        <v>0.6</v>
      </c>
      <c r="O432" s="52">
        <v>0</v>
      </c>
      <c r="P432" s="52">
        <v>0.6</v>
      </c>
      <c r="R432" s="52">
        <v>0</v>
      </c>
      <c r="S432" s="52">
        <v>0.6</v>
      </c>
      <c r="U432" s="52">
        <v>0</v>
      </c>
      <c r="V432" s="52">
        <v>0.6</v>
      </c>
      <c r="X432" s="52">
        <v>0</v>
      </c>
      <c r="Y432" s="52">
        <v>0.6</v>
      </c>
      <c r="AA432" s="52">
        <v>0</v>
      </c>
      <c r="AB432" s="52">
        <v>0.6</v>
      </c>
      <c r="AD432" s="1401">
        <v>0</v>
      </c>
      <c r="AE432" s="1401">
        <v>0.6</v>
      </c>
      <c r="AG432" s="1401">
        <v>0</v>
      </c>
      <c r="AH432" s="1401">
        <v>0.6</v>
      </c>
      <c r="AJ432" s="1401">
        <v>0</v>
      </c>
      <c r="AK432" s="1401">
        <v>0.6</v>
      </c>
      <c r="AL432" s="1401"/>
      <c r="AQ432" s="1401"/>
      <c r="AT432" s="381"/>
      <c r="BI432" s="1401"/>
      <c r="BJ432" s="1401"/>
      <c r="BK432" s="1401"/>
      <c r="BL432" s="1401"/>
      <c r="BM432" s="1401"/>
      <c r="BN432" s="1401"/>
      <c r="BO432" s="1401"/>
      <c r="BP432" s="1401"/>
      <c r="BQ432" s="1401"/>
      <c r="BR432" s="1401"/>
      <c r="BS432" s="1401"/>
      <c r="BT432" s="1401"/>
      <c r="BU432" s="1401"/>
      <c r="BV432" s="1401"/>
      <c r="BW432" s="1401"/>
      <c r="BX432" s="1401"/>
      <c r="BY432" s="1401"/>
    </row>
    <row r="433" spans="1:79">
      <c r="AL433" s="1401"/>
      <c r="AQ433" s="1401"/>
      <c r="AT433" s="381"/>
      <c r="BI433" s="1401"/>
      <c r="BJ433" s="1401"/>
      <c r="BK433" s="1401"/>
      <c r="BL433" s="1401"/>
      <c r="BM433" s="1401"/>
      <c r="BN433" s="1401"/>
      <c r="BO433" s="1401"/>
      <c r="BP433" s="1401"/>
      <c r="BQ433" s="1401"/>
      <c r="BR433" s="1401"/>
      <c r="BS433" s="1401"/>
      <c r="BT433" s="1401"/>
      <c r="BU433" s="1401"/>
      <c r="BV433" s="1401"/>
      <c r="BW433" s="1401"/>
      <c r="BX433" s="1401"/>
      <c r="BY433" s="1401"/>
    </row>
    <row r="434" spans="1:79">
      <c r="A434" s="351"/>
      <c r="B434" s="538" t="s">
        <v>578</v>
      </c>
      <c r="C434" s="538" t="s">
        <v>580</v>
      </c>
      <c r="D434" s="538" t="s">
        <v>581</v>
      </c>
      <c r="E434" s="538" t="s">
        <v>582</v>
      </c>
      <c r="F434" s="538" t="s">
        <v>583</v>
      </c>
      <c r="G434" s="538" t="s">
        <v>579</v>
      </c>
      <c r="H434" s="538" t="s">
        <v>584</v>
      </c>
      <c r="I434" s="538" t="s">
        <v>585</v>
      </c>
      <c r="J434" s="538" t="s">
        <v>586</v>
      </c>
      <c r="K434" s="538" t="s">
        <v>587</v>
      </c>
      <c r="L434" s="538" t="s">
        <v>588</v>
      </c>
      <c r="M434" s="538" t="s">
        <v>589</v>
      </c>
      <c r="N434" s="538" t="s">
        <v>590</v>
      </c>
      <c r="O434" s="538" t="s">
        <v>591</v>
      </c>
      <c r="P434" s="538" t="s">
        <v>592</v>
      </c>
      <c r="Q434" s="538" t="s">
        <v>593</v>
      </c>
      <c r="R434" s="538" t="s">
        <v>594</v>
      </c>
      <c r="S434" s="538" t="s">
        <v>595</v>
      </c>
      <c r="T434" s="538" t="s">
        <v>517</v>
      </c>
      <c r="U434" s="538" t="s">
        <v>518</v>
      </c>
      <c r="V434" s="538" t="s">
        <v>519</v>
      </c>
      <c r="W434" s="538" t="s">
        <v>520</v>
      </c>
      <c r="X434" s="538" t="s">
        <v>521</v>
      </c>
      <c r="Y434" s="538" t="s">
        <v>522</v>
      </c>
      <c r="Z434" s="538" t="s">
        <v>523</v>
      </c>
      <c r="AA434" s="538" t="s">
        <v>467</v>
      </c>
      <c r="AB434" s="538" t="s">
        <v>524</v>
      </c>
      <c r="AC434" s="538" t="s">
        <v>525</v>
      </c>
      <c r="AD434" s="538" t="s">
        <v>526</v>
      </c>
      <c r="AE434" s="538" t="s">
        <v>446</v>
      </c>
      <c r="AF434" s="538" t="s">
        <v>596</v>
      </c>
      <c r="AG434" s="538" t="s">
        <v>597</v>
      </c>
      <c r="AH434" s="538" t="s">
        <v>650</v>
      </c>
      <c r="AI434" s="538" t="s">
        <v>777</v>
      </c>
      <c r="AJ434" s="538" t="s">
        <v>778</v>
      </c>
      <c r="AK434" s="1452" t="s">
        <v>779</v>
      </c>
      <c r="AL434" s="1452" t="s">
        <v>780</v>
      </c>
      <c r="AM434" s="1452" t="s">
        <v>781</v>
      </c>
      <c r="AN434" s="1452" t="s">
        <v>782</v>
      </c>
      <c r="AO434" s="1452" t="s">
        <v>783</v>
      </c>
      <c r="AP434" s="1452" t="s">
        <v>610</v>
      </c>
      <c r="AQ434" s="1452" t="str">
        <f>AQ355</f>
        <v>2Q17</v>
      </c>
      <c r="AR434" s="1452" t="str">
        <f>AR355</f>
        <v>3Q17</v>
      </c>
      <c r="AS434" s="1452" t="s">
        <v>788</v>
      </c>
      <c r="AT434" s="1829" t="s">
        <v>789</v>
      </c>
      <c r="AU434" s="1344" t="s">
        <v>615</v>
      </c>
      <c r="AV434" s="1344" t="s">
        <v>616</v>
      </c>
      <c r="AW434" s="1344" t="s">
        <v>617</v>
      </c>
      <c r="AX434" s="1344" t="s">
        <v>618</v>
      </c>
      <c r="AY434" s="1795" t="s">
        <v>619</v>
      </c>
      <c r="AZ434" s="1795" t="s">
        <v>620</v>
      </c>
      <c r="BA434" s="1795" t="s">
        <v>621</v>
      </c>
      <c r="BB434" s="1795" t="s">
        <v>622</v>
      </c>
      <c r="BC434" s="1795" t="s">
        <v>623</v>
      </c>
      <c r="BD434" s="1795" t="s">
        <v>624</v>
      </c>
      <c r="BE434" s="1795" t="s">
        <v>625</v>
      </c>
      <c r="BF434" s="1795" t="s">
        <v>626</v>
      </c>
      <c r="BG434" s="1795" t="s">
        <v>627</v>
      </c>
      <c r="BH434" s="1795" t="s">
        <v>628</v>
      </c>
      <c r="BI434" s="1795" t="s">
        <v>629</v>
      </c>
      <c r="BJ434" s="1795" t="s">
        <v>1269</v>
      </c>
      <c r="BK434" s="1795" t="s">
        <v>1270</v>
      </c>
      <c r="BL434" s="1795" t="s">
        <v>1271</v>
      </c>
      <c r="BM434" s="1795" t="s">
        <v>1272</v>
      </c>
      <c r="BN434" s="1795" t="s">
        <v>1273</v>
      </c>
      <c r="BO434" s="1795" t="s">
        <v>1274</v>
      </c>
      <c r="BP434" s="1795" t="s">
        <v>1275</v>
      </c>
      <c r="BQ434" s="1795" t="s">
        <v>1276</v>
      </c>
      <c r="BR434" s="1795" t="s">
        <v>1277</v>
      </c>
      <c r="BS434" s="1795" t="s">
        <v>1278</v>
      </c>
      <c r="BT434" s="1795" t="s">
        <v>1279</v>
      </c>
      <c r="BU434" s="1795" t="s">
        <v>1280</v>
      </c>
      <c r="BV434" s="1795" t="s">
        <v>1281</v>
      </c>
      <c r="BW434" s="1795" t="s">
        <v>1282</v>
      </c>
      <c r="BX434" s="1795" t="s">
        <v>1283</v>
      </c>
      <c r="BY434" s="1795" t="s">
        <v>1284</v>
      </c>
      <c r="BZ434" s="1401"/>
    </row>
    <row r="435" spans="1:79">
      <c r="A435" s="52" t="s">
        <v>1515</v>
      </c>
      <c r="F435" s="60">
        <f>(F357/B357)-1</f>
        <v>-0.10768798241578481</v>
      </c>
      <c r="G435" s="60">
        <f t="shared" ref="G435:BR435" si="279">(G357/C357)-1</f>
        <v>-0.31004735282672102</v>
      </c>
      <c r="H435" s="60">
        <f t="shared" si="279"/>
        <v>-0.3215068149956557</v>
      </c>
      <c r="I435" s="60">
        <f t="shared" si="279"/>
        <v>0.25976110793676721</v>
      </c>
      <c r="J435" s="60">
        <f t="shared" si="279"/>
        <v>-0.47264884311108313</v>
      </c>
      <c r="K435" s="60">
        <f t="shared" si="279"/>
        <v>8.5117076466876274E-2</v>
      </c>
      <c r="L435" s="60">
        <f t="shared" si="279"/>
        <v>0.73480194208318306</v>
      </c>
      <c r="M435" s="60">
        <f t="shared" si="279"/>
        <v>0.15446220302375813</v>
      </c>
      <c r="N435" s="60">
        <f t="shared" si="279"/>
        <v>1.3622034413835058</v>
      </c>
      <c r="O435" s="60">
        <f t="shared" si="279"/>
        <v>0.4733805766984196</v>
      </c>
      <c r="P435" s="60">
        <f t="shared" si="279"/>
        <v>0.4679959785522787</v>
      </c>
      <c r="Q435" s="60">
        <f t="shared" si="279"/>
        <v>0.3297151067507802</v>
      </c>
      <c r="R435" s="60">
        <f t="shared" si="279"/>
        <v>0.31268998183532215</v>
      </c>
      <c r="S435" s="60">
        <f t="shared" si="279"/>
        <v>0.18321882520599253</v>
      </c>
      <c r="T435" s="60">
        <f t="shared" si="279"/>
        <v>0.2039999136221029</v>
      </c>
      <c r="U435" s="60">
        <f t="shared" si="279"/>
        <v>-0.21058481556206521</v>
      </c>
      <c r="V435" s="60">
        <f t="shared" si="279"/>
        <v>0.15237991809452445</v>
      </c>
      <c r="W435" s="60">
        <f t="shared" si="279"/>
        <v>0.17526095786888329</v>
      </c>
      <c r="X435" s="60">
        <f t="shared" si="279"/>
        <v>-2.5204658134440172E-2</v>
      </c>
      <c r="Y435" s="60">
        <f t="shared" si="279"/>
        <v>-7.5098025237042565E-2</v>
      </c>
      <c r="Z435" s="60">
        <f t="shared" si="279"/>
        <v>-0.11745017449566508</v>
      </c>
      <c r="AA435" s="60">
        <f t="shared" si="279"/>
        <v>0.37373217255012303</v>
      </c>
      <c r="AB435" s="60">
        <f t="shared" si="279"/>
        <v>3.8028850197661779E-2</v>
      </c>
      <c r="AC435" s="60">
        <f t="shared" si="279"/>
        <v>0.55628738360979191</v>
      </c>
      <c r="AD435" s="60">
        <f t="shared" si="279"/>
        <v>0.70251073840992317</v>
      </c>
      <c r="AE435" s="60">
        <f t="shared" si="279"/>
        <v>0.12356809949662928</v>
      </c>
      <c r="AF435" s="60">
        <f t="shared" si="279"/>
        <v>7.5702174639670217E-2</v>
      </c>
      <c r="AG435" s="60">
        <f t="shared" si="279"/>
        <v>8.4965070465784942E-2</v>
      </c>
      <c r="AH435" s="60">
        <f t="shared" si="279"/>
        <v>2.0986887494663931E-2</v>
      </c>
      <c r="AI435" s="60">
        <f t="shared" si="279"/>
        <v>-0.17410584969096532</v>
      </c>
      <c r="AJ435" s="60">
        <f t="shared" si="279"/>
        <v>0.3770491417379922</v>
      </c>
      <c r="AK435" s="60">
        <f t="shared" si="279"/>
        <v>0.59054420790508622</v>
      </c>
      <c r="AL435" s="60">
        <f t="shared" si="279"/>
        <v>-0.1060451733335448</v>
      </c>
      <c r="AM435" s="60">
        <f t="shared" si="279"/>
        <v>0.30196430788146755</v>
      </c>
      <c r="AN435" s="60">
        <f t="shared" si="279"/>
        <v>0.37106807501705186</v>
      </c>
      <c r="AO435" s="60">
        <f t="shared" si="279"/>
        <v>0.16736791350842495</v>
      </c>
      <c r="AP435" s="60">
        <f t="shared" si="279"/>
        <v>0.42187887923390677</v>
      </c>
      <c r="AQ435" s="60">
        <f t="shared" si="279"/>
        <v>9.6391103523842503E-2</v>
      </c>
      <c r="AR435" s="60">
        <f t="shared" si="279"/>
        <v>-8.1207445356128116E-2</v>
      </c>
      <c r="AS435" s="60">
        <f t="shared" si="279"/>
        <v>0.10643957786560287</v>
      </c>
      <c r="AT435" s="426">
        <f t="shared" si="279"/>
        <v>0.26644664020528874</v>
      </c>
      <c r="AU435" s="1401">
        <f t="shared" si="279"/>
        <v>0.26537222505377756</v>
      </c>
      <c r="AV435" s="1401">
        <f t="shared" si="279"/>
        <v>0.20448058170008099</v>
      </c>
      <c r="AW435" s="1401">
        <f t="shared" si="279"/>
        <v>0.15558352374382189</v>
      </c>
      <c r="AX435" s="1401">
        <f t="shared" si="279"/>
        <v>0.45836597096362652</v>
      </c>
      <c r="AY435" s="1401">
        <f t="shared" si="279"/>
        <v>3.300494684757882E-2</v>
      </c>
      <c r="AZ435" s="1401">
        <f t="shared" si="279"/>
        <v>2.8920928405512303E-2</v>
      </c>
      <c r="BA435" s="1401">
        <f t="shared" si="279"/>
        <v>-0.29126149363624099</v>
      </c>
      <c r="BB435" s="1401">
        <f t="shared" si="279"/>
        <v>7.2517699843918981E-2</v>
      </c>
      <c r="BC435" s="1401">
        <f t="shared" si="279"/>
        <v>8.2970873876304863E-2</v>
      </c>
      <c r="BD435" s="1401">
        <f t="shared" si="279"/>
        <v>8.1493204482776083E-2</v>
      </c>
      <c r="BE435" s="1401">
        <f t="shared" si="279"/>
        <v>8.6523284991403715E-2</v>
      </c>
      <c r="BF435" s="1401">
        <f t="shared" si="279"/>
        <v>0.18165954851753408</v>
      </c>
      <c r="BG435" s="1401">
        <f t="shared" si="279"/>
        <v>0.14166080999771991</v>
      </c>
      <c r="BH435" s="1401">
        <f t="shared" si="279"/>
        <v>0.14507188957443939</v>
      </c>
      <c r="BI435" s="1401">
        <f t="shared" si="279"/>
        <v>0.12100245758014916</v>
      </c>
      <c r="BJ435" s="1401">
        <f t="shared" si="279"/>
        <v>7.761182905530517E-2</v>
      </c>
      <c r="BK435" s="1401">
        <f t="shared" si="279"/>
        <v>6.8858468396386874E-2</v>
      </c>
      <c r="BL435" s="1401">
        <f t="shared" si="279"/>
        <v>6.8541610924449436E-2</v>
      </c>
      <c r="BM435" s="1401">
        <f t="shared" si="279"/>
        <v>6.1753488434001191E-2</v>
      </c>
      <c r="BN435" s="1401">
        <f t="shared" si="279"/>
        <v>-8.3998381938161448E-2</v>
      </c>
      <c r="BO435" s="1401">
        <f t="shared" si="279"/>
        <v>-3.5575936062404279E-2</v>
      </c>
      <c r="BP435" s="1401">
        <f t="shared" si="279"/>
        <v>-4.1555396001332956E-2</v>
      </c>
      <c r="BQ435" s="1401">
        <f t="shared" si="279"/>
        <v>-1.3002720727393946E-2</v>
      </c>
      <c r="BR435" s="1401">
        <f t="shared" si="279"/>
        <v>-5.656037146600279E-2</v>
      </c>
      <c r="BS435" s="1401">
        <f t="shared" ref="BS435:BY435" si="280">(BS357/BO357)-1</f>
        <v>-1.5304817078203525E-2</v>
      </c>
      <c r="BT435" s="1401">
        <f t="shared" si="280"/>
        <v>-1.9976561696292916E-2</v>
      </c>
      <c r="BU435" s="1401">
        <f t="shared" si="280"/>
        <v>3.0085358057199141E-3</v>
      </c>
      <c r="BV435" s="1401">
        <f t="shared" si="280"/>
        <v>0.13354689254974184</v>
      </c>
      <c r="BW435" s="1401">
        <f t="shared" si="280"/>
        <v>0.11280840274165627</v>
      </c>
      <c r="BX435" s="1401">
        <f t="shared" si="280"/>
        <v>0.11696215726496351</v>
      </c>
      <c r="BY435" s="1401">
        <f t="shared" si="280"/>
        <v>0.10800874416967643</v>
      </c>
      <c r="BZ435" s="1401"/>
      <c r="CA435" s="1401"/>
    </row>
    <row r="436" spans="1:79">
      <c r="AQ436" s="1401"/>
      <c r="AS436" s="1401"/>
      <c r="AT436" s="381"/>
    </row>
    <row r="437" spans="1:79">
      <c r="AQ437" s="1401"/>
      <c r="AS437" s="1401"/>
      <c r="AT437" s="381"/>
    </row>
    <row r="438" spans="1:79" s="1401" customFormat="1">
      <c r="A438" s="652" t="s">
        <v>1523</v>
      </c>
      <c r="B438" s="538" t="str">
        <f>B434</f>
        <v>1Q07</v>
      </c>
      <c r="C438" s="538" t="str">
        <f t="shared" ref="C438:BN438" si="281">C434</f>
        <v>2Q07</v>
      </c>
      <c r="D438" s="538" t="str">
        <f t="shared" si="281"/>
        <v>3Q07</v>
      </c>
      <c r="E438" s="538" t="str">
        <f t="shared" si="281"/>
        <v>4Q07</v>
      </c>
      <c r="F438" s="538" t="str">
        <f t="shared" si="281"/>
        <v>1Q08</v>
      </c>
      <c r="G438" s="538" t="str">
        <f t="shared" si="281"/>
        <v>2Q08</v>
      </c>
      <c r="H438" s="538" t="str">
        <f t="shared" si="281"/>
        <v>3Q08</v>
      </c>
      <c r="I438" s="538" t="str">
        <f t="shared" si="281"/>
        <v>4Q08</v>
      </c>
      <c r="J438" s="538" t="str">
        <f t="shared" si="281"/>
        <v>1Q09</v>
      </c>
      <c r="K438" s="538" t="str">
        <f t="shared" si="281"/>
        <v>2Q09</v>
      </c>
      <c r="L438" s="538" t="str">
        <f t="shared" si="281"/>
        <v>3Q09</v>
      </c>
      <c r="M438" s="538" t="str">
        <f t="shared" si="281"/>
        <v>4Q09</v>
      </c>
      <c r="N438" s="538" t="str">
        <f t="shared" si="281"/>
        <v>1Q10</v>
      </c>
      <c r="O438" s="538" t="str">
        <f t="shared" si="281"/>
        <v>2Q10</v>
      </c>
      <c r="P438" s="538" t="str">
        <f t="shared" si="281"/>
        <v>3Q10</v>
      </c>
      <c r="Q438" s="538" t="str">
        <f t="shared" si="281"/>
        <v>4Q10</v>
      </c>
      <c r="R438" s="538" t="str">
        <f t="shared" si="281"/>
        <v>1Q11</v>
      </c>
      <c r="S438" s="538" t="str">
        <f t="shared" si="281"/>
        <v>2Q11</v>
      </c>
      <c r="T438" s="538" t="str">
        <f t="shared" si="281"/>
        <v>3Q11</v>
      </c>
      <c r="U438" s="538" t="str">
        <f t="shared" si="281"/>
        <v>4Q11</v>
      </c>
      <c r="V438" s="538" t="str">
        <f t="shared" si="281"/>
        <v>1Q12</v>
      </c>
      <c r="W438" s="538" t="str">
        <f t="shared" si="281"/>
        <v>2Q12</v>
      </c>
      <c r="X438" s="538" t="str">
        <f t="shared" si="281"/>
        <v>3Q12</v>
      </c>
      <c r="Y438" s="538" t="str">
        <f t="shared" si="281"/>
        <v>4Q12</v>
      </c>
      <c r="Z438" s="538" t="str">
        <f t="shared" si="281"/>
        <v>1Q13</v>
      </c>
      <c r="AA438" s="538" t="str">
        <f t="shared" si="281"/>
        <v>2Q13</v>
      </c>
      <c r="AB438" s="538" t="str">
        <f t="shared" si="281"/>
        <v>3Q13</v>
      </c>
      <c r="AC438" s="538" t="str">
        <f t="shared" si="281"/>
        <v>4Q13</v>
      </c>
      <c r="AD438" s="538" t="str">
        <f t="shared" si="281"/>
        <v>1Q14</v>
      </c>
      <c r="AE438" s="538" t="str">
        <f t="shared" si="281"/>
        <v>2Q14</v>
      </c>
      <c r="AF438" s="538" t="str">
        <f t="shared" si="281"/>
        <v>3Q14</v>
      </c>
      <c r="AG438" s="538" t="str">
        <f t="shared" si="281"/>
        <v>4Q14</v>
      </c>
      <c r="AH438" s="538" t="str">
        <f t="shared" si="281"/>
        <v>1Q15</v>
      </c>
      <c r="AI438" s="538" t="str">
        <f t="shared" si="281"/>
        <v>2Q15</v>
      </c>
      <c r="AJ438" s="538" t="str">
        <f t="shared" si="281"/>
        <v>3Q15</v>
      </c>
      <c r="AK438" s="538" t="str">
        <f t="shared" si="281"/>
        <v>4Q15</v>
      </c>
      <c r="AL438" s="538" t="str">
        <f t="shared" si="281"/>
        <v>1Q16</v>
      </c>
      <c r="AM438" s="538" t="str">
        <f t="shared" si="281"/>
        <v>2Q16</v>
      </c>
      <c r="AN438" s="538" t="str">
        <f t="shared" si="281"/>
        <v>3Q16</v>
      </c>
      <c r="AO438" s="538" t="str">
        <f t="shared" si="281"/>
        <v>4Q16</v>
      </c>
      <c r="AP438" s="538" t="str">
        <f t="shared" si="281"/>
        <v>1Q17e</v>
      </c>
      <c r="AQ438" s="538" t="str">
        <f t="shared" si="281"/>
        <v>2Q17</v>
      </c>
      <c r="AR438" s="538" t="str">
        <f t="shared" si="281"/>
        <v>3Q17</v>
      </c>
      <c r="AS438" s="538" t="str">
        <f t="shared" si="281"/>
        <v>4Q17</v>
      </c>
      <c r="AT438" s="1829" t="str">
        <f t="shared" si="281"/>
        <v>1Q18</v>
      </c>
      <c r="AU438" s="1344" t="str">
        <f t="shared" si="281"/>
        <v>2Q18e</v>
      </c>
      <c r="AV438" s="1344" t="str">
        <f t="shared" si="281"/>
        <v>3Q18e</v>
      </c>
      <c r="AW438" s="1344" t="str">
        <f t="shared" si="281"/>
        <v>4Q18e</v>
      </c>
      <c r="AX438" s="1344" t="str">
        <f t="shared" si="281"/>
        <v>1Q19e</v>
      </c>
      <c r="AY438" s="1344" t="str">
        <f t="shared" si="281"/>
        <v>2Q19e</v>
      </c>
      <c r="AZ438" s="1344" t="str">
        <f t="shared" si="281"/>
        <v>3Q19e</v>
      </c>
      <c r="BA438" s="1344" t="str">
        <f t="shared" si="281"/>
        <v>4Q19e</v>
      </c>
      <c r="BB438" s="1344" t="str">
        <f t="shared" si="281"/>
        <v>1Q20e</v>
      </c>
      <c r="BC438" s="1344" t="str">
        <f t="shared" si="281"/>
        <v>2Q20e</v>
      </c>
      <c r="BD438" s="1344" t="str">
        <f t="shared" si="281"/>
        <v>3Q20e</v>
      </c>
      <c r="BE438" s="1344" t="str">
        <f t="shared" si="281"/>
        <v>4Q20e</v>
      </c>
      <c r="BF438" s="1344" t="str">
        <f t="shared" si="281"/>
        <v>1Q21e</v>
      </c>
      <c r="BG438" s="1344" t="str">
        <f t="shared" si="281"/>
        <v>2Q21e</v>
      </c>
      <c r="BH438" s="1344" t="str">
        <f t="shared" si="281"/>
        <v>3Q21e</v>
      </c>
      <c r="BI438" s="1344" t="str">
        <f t="shared" si="281"/>
        <v>4Q21e</v>
      </c>
      <c r="BJ438" s="1344" t="str">
        <f t="shared" si="281"/>
        <v>1Q22e</v>
      </c>
      <c r="BK438" s="1344" t="str">
        <f t="shared" si="281"/>
        <v>2Q22e</v>
      </c>
      <c r="BL438" s="1344" t="str">
        <f t="shared" si="281"/>
        <v>3Q22e</v>
      </c>
      <c r="BM438" s="1344" t="str">
        <f t="shared" si="281"/>
        <v>4Q22e</v>
      </c>
      <c r="BN438" s="1344" t="str">
        <f t="shared" si="281"/>
        <v>1Q23e</v>
      </c>
      <c r="BO438" s="1344" t="str">
        <f t="shared" ref="BO438:BY438" si="282">BO434</f>
        <v>2Q23e</v>
      </c>
      <c r="BP438" s="1344" t="str">
        <f t="shared" si="282"/>
        <v>3Q23e</v>
      </c>
      <c r="BQ438" s="1344" t="str">
        <f t="shared" si="282"/>
        <v>4Q23e</v>
      </c>
      <c r="BR438" s="1344" t="str">
        <f t="shared" si="282"/>
        <v>1Q24e</v>
      </c>
      <c r="BS438" s="1344" t="str">
        <f t="shared" si="282"/>
        <v>2Q24e</v>
      </c>
      <c r="BT438" s="1344" t="str">
        <f t="shared" si="282"/>
        <v>3Q24e</v>
      </c>
      <c r="BU438" s="1344" t="str">
        <f t="shared" si="282"/>
        <v>4Q24e</v>
      </c>
      <c r="BV438" s="1344" t="str">
        <f t="shared" si="282"/>
        <v>1Q25e</v>
      </c>
      <c r="BW438" s="1344" t="str">
        <f t="shared" si="282"/>
        <v>2Q25e</v>
      </c>
      <c r="BX438" s="1344" t="str">
        <f t="shared" si="282"/>
        <v>3Q25e</v>
      </c>
      <c r="BY438" s="1344" t="str">
        <f t="shared" si="282"/>
        <v>4Q25e</v>
      </c>
    </row>
    <row r="439" spans="1:79" s="1401" customFormat="1">
      <c r="A439" s="1401" t="str">
        <f>Structure!B21</f>
        <v>Revenue</v>
      </c>
      <c r="B439" s="2164">
        <f>B357/(B357+C357+D357+E357)</f>
        <v>0.23668631894276967</v>
      </c>
      <c r="C439" s="2165">
        <f>C357/(B357+C357+D357+E357)</f>
        <v>0.31401014110681075</v>
      </c>
      <c r="D439" s="2165">
        <f>D357/(B357+C357+D357+E357)</f>
        <v>0.22697229525115031</v>
      </c>
      <c r="E439" s="2166">
        <f>E357/(B357+C357+D357+E357)</f>
        <v>0.22233124469926938</v>
      </c>
      <c r="F439" s="2164">
        <f>F357/(F357+G357+H357+I357)</f>
        <v>0.24502821369416916</v>
      </c>
      <c r="G439" s="2165">
        <f>G357/(F357+G357+H357+I357)</f>
        <v>0.25135594171977199</v>
      </c>
      <c r="H439" s="2165">
        <f>H357/(F357+G357+H357+I357)</f>
        <v>0.17866707840880375</v>
      </c>
      <c r="I439" s="2166">
        <f>I357/(F357+G357+H357+I357)</f>
        <v>0.32494876617725493</v>
      </c>
      <c r="J439" s="2164">
        <f>J357/(J357+K357+L357+M357)</f>
        <v>0.11886736661058335</v>
      </c>
      <c r="K439" s="2165">
        <f>K357/(J357+K357+L357+M357)</f>
        <v>0.2509067807443543</v>
      </c>
      <c r="L439" s="2165">
        <f>L357/(J357+K357+L357+M357)</f>
        <v>0.28512879579258898</v>
      </c>
      <c r="M439" s="2166">
        <f>M357/(J357+K357+L357+M357)</f>
        <v>0.34509705685247333</v>
      </c>
      <c r="N439" s="2164">
        <f>N357/(N357+O357+P357+Q357)</f>
        <v>0.18377213961797909</v>
      </c>
      <c r="O439" s="2165">
        <f>O357/(N357+O357+P357+Q357)</f>
        <v>0.2419508047927551</v>
      </c>
      <c r="P439" s="2165">
        <f>P357/(N357+O357+P357+Q357)</f>
        <v>0.27394645081577912</v>
      </c>
      <c r="Q439" s="2166">
        <f>Q357/(N357+O357+P357+Q357)</f>
        <v>0.30033060477348678</v>
      </c>
      <c r="R439" s="2164">
        <f>R357/(R357+S357+T357+U357)</f>
        <v>0.22042071677214703</v>
      </c>
      <c r="S439" s="2165">
        <f>S357/(R357+S357+T357+U357)</f>
        <v>0.26157890022455116</v>
      </c>
      <c r="T439" s="2165">
        <f>T357/(R357+S357+T357+U357)</f>
        <v>0.30137186223000584</v>
      </c>
      <c r="U439" s="2166">
        <f>U357/(R357+S357+T357+U357)</f>
        <v>0.21662852077329603</v>
      </c>
      <c r="V439" s="2164">
        <f>V357/(V357+W357+X357+Y357)</f>
        <v>0.24063672740839365</v>
      </c>
      <c r="W439" s="2165">
        <f>W357/(V357+W357+X357+Y357)</f>
        <v>0.29123987739486018</v>
      </c>
      <c r="X439" s="2165">
        <f>X357/(V357+W357+X357+Y357)</f>
        <v>0.27831074111734538</v>
      </c>
      <c r="Y439" s="2166">
        <f>Y357/(V357+W357+X357+Y357)</f>
        <v>0.18981265407940076</v>
      </c>
      <c r="Z439" s="2164">
        <f>Z357/(Z357+AA357+AB357+AC357)</f>
        <v>0.17745781515995243</v>
      </c>
      <c r="AA439" s="2165">
        <f>AA357/(Z357+AA357+AB357+AC357)</f>
        <v>0.33430809527156924</v>
      </c>
      <c r="AB439" s="2165">
        <f>AB357/(Z357+AA357+AB357+AC357)</f>
        <v>0.24139783796009059</v>
      </c>
      <c r="AC439" s="2166">
        <f>AC357/(Z357+AA357+AB357+AC357)</f>
        <v>0.24683625160838776</v>
      </c>
      <c r="AD439" s="2164">
        <f>AD357/(AD357+AE357+AF357+AG357)</f>
        <v>0.25067885925272226</v>
      </c>
      <c r="AE439" s="2165">
        <f>AE357/(AD357+AE357+AF357+AG357)</f>
        <v>0.31165852644178343</v>
      </c>
      <c r="AF439" s="2165">
        <f>AF357/(AD357+AE357+AF357+AG357)</f>
        <v>0.21545577651659237</v>
      </c>
      <c r="AG439" s="2166">
        <f>AG357/(AD357+AE357+AF357+AG357)</f>
        <v>0.22220683778890191</v>
      </c>
      <c r="AH439" s="2164">
        <f>AH357/(AH357+AI357+AJ357+AK357)</f>
        <v>0.21998167378819888</v>
      </c>
      <c r="AI439" s="2165">
        <f>AI357/(AH357+AI357+AJ357+AK357)</f>
        <v>0.22123408117413301</v>
      </c>
      <c r="AJ439" s="2165">
        <f>AJ357/(AH357+AI357+AJ357+AK357)</f>
        <v>0.25500941158213097</v>
      </c>
      <c r="AK439" s="2166">
        <f>AK357/(AH357+AI357+AJ357+AK357)</f>
        <v>0.30377483345553719</v>
      </c>
      <c r="AL439" s="2164">
        <f>AL357/(AL357+AM357+AN357+AO357)</f>
        <v>0.16540185626112316</v>
      </c>
      <c r="AM439" s="2165">
        <f>AM357/(AL357+AM357+AN357+AO357)</f>
        <v>0.24226429538853228</v>
      </c>
      <c r="AN439" s="2165">
        <f>AN357/(AL357+AM357+AN357+AO357)</f>
        <v>0.29407190243666353</v>
      </c>
      <c r="AO439" s="2166">
        <f>AO357/(AL357+AM357+AN357+AO357)</f>
        <v>0.29826194591368099</v>
      </c>
      <c r="AP439" s="2164">
        <f>AP357/(AP357+AQ357+AR357+AS357)</f>
        <v>0.21360753223321202</v>
      </c>
      <c r="AQ439" s="2165">
        <f>AQ357/(AP357+AQ357+AR357+AS357)</f>
        <v>0.24125065229025058</v>
      </c>
      <c r="AR439" s="2165">
        <f>AR357/(AP357+AQ357+AR357+AS357)</f>
        <v>0.24540566209583392</v>
      </c>
      <c r="AS439" s="2165">
        <f>AS357/(AP357+AQ357+AR357+AS357)</f>
        <v>0.29973615338070336</v>
      </c>
      <c r="AT439" s="2296">
        <f>AT357/(AT357+AU357+AV357+AW357)</f>
        <v>0.22214932019216468</v>
      </c>
      <c r="AU439" s="2165">
        <f>AU357/(AT357+AU357+AV357+AW357)</f>
        <v>0.2506849856356374</v>
      </c>
      <c r="AV439" s="2165">
        <f>AV357/(AT357+AU357+AV357+AW357)</f>
        <v>0.24273137229590014</v>
      </c>
      <c r="AW439" s="2166">
        <f>AW357/(AT357+AU357+AV357+AW357)</f>
        <v>0.28443432187629769</v>
      </c>
      <c r="AX439" s="2164">
        <f>AX357/(AX357+AY357+AZ357+BA357)</f>
        <v>0.31323881606562876</v>
      </c>
      <c r="AY439" s="2165">
        <f>AY357/(AX357+AY357+AZ357+BA357)</f>
        <v>0.25037720545526171</v>
      </c>
      <c r="AZ439" s="2165">
        <f>AZ357/(AX357+AY357+AZ357+BA357)</f>
        <v>0.24147488910516426</v>
      </c>
      <c r="BA439" s="2166">
        <f>BA357/(AX357+AY357+AZ357+BA357)</f>
        <v>0.19490908937394533</v>
      </c>
      <c r="BB439" s="2164">
        <f>BB357/(BB357+BC357+BD357+BE357)</f>
        <v>0.3110594315026638</v>
      </c>
      <c r="BC439" s="2165">
        <f>BC357/(BB357+BC357+BD357+BE357)</f>
        <v>0.2510584807465831</v>
      </c>
      <c r="BD439" s="2165">
        <f>BD357/(BB357+BC357+BD357+BE357)</f>
        <v>0.24180156211738268</v>
      </c>
      <c r="BE439" s="2166">
        <f>BE357/(BB357+BC357+BD357+BE357)</f>
        <v>0.1960805256333705</v>
      </c>
      <c r="BF439" s="2164">
        <f>BF357/(BF357+BG357+BH357+BI357)</f>
        <v>0.31937937743688805</v>
      </c>
      <c r="BG439" s="2165">
        <f>BG357/(BF357+BG357+BH357+BI357)</f>
        <v>0.24904803357045321</v>
      </c>
      <c r="BH439" s="2165">
        <f>BH357/(BF357+BG357+BH357+BI357)</f>
        <v>0.24058191798352924</v>
      </c>
      <c r="BI439" s="2166">
        <f>BI357/(BF357+BG357+BH357+BI357)</f>
        <v>0.19099067100912934</v>
      </c>
      <c r="BJ439" s="2164">
        <f>BJ357/(BJ357+BK357+BL357+BM357)</f>
        <v>0.32158500763967496</v>
      </c>
      <c r="BK439" s="2165">
        <f>BK357/(BJ357+BK357+BL357+BM357)</f>
        <v>0.24873098690477363</v>
      </c>
      <c r="BL439" s="2165">
        <f>BL357/(BJ357+BK357+BL357+BM357)</f>
        <v>0.24020442052003141</v>
      </c>
      <c r="BM439" s="2166">
        <f>BM357/(BJ357+BK357+BL357+BM357)</f>
        <v>0.18947958493552008</v>
      </c>
      <c r="BN439" s="2164">
        <f>BN357/(BN357+BO357+BP357+BQ357)</f>
        <v>0.30952459112403341</v>
      </c>
      <c r="BO439" s="2165">
        <f>BO357/(BN357+BO357+BP357+BQ357)</f>
        <v>0.25205833046507076</v>
      </c>
      <c r="BP439" s="2165">
        <f>BP357/(BN357+BO357+BP357+BQ357)</f>
        <v>0.2419085043206993</v>
      </c>
      <c r="BQ439" s="2166">
        <f>BQ357/(BN357+BO357+BP357+BQ357)</f>
        <v>0.19650857409019651</v>
      </c>
      <c r="BR439" s="2164">
        <f>BR357/(BR357+BS357+BT357+BU357)</f>
        <v>0.29969161776097442</v>
      </c>
      <c r="BS439" s="2165">
        <f>BS357/(BR357+BS357+BT357+BU357)</f>
        <v>0.25472301801173886</v>
      </c>
      <c r="BT439" s="2165">
        <f>BT357/(BR357+BS357+BT357+BU357)</f>
        <v>0.24330605760432072</v>
      </c>
      <c r="BU439" s="2166">
        <f>BU357/(BR357+BS357+BT357+BU357)</f>
        <v>0.20227930662296609</v>
      </c>
      <c r="BV439" s="2164">
        <f>BV357/(BV357+BW357+BX357+BY357)</f>
        <v>0.30357040310265981</v>
      </c>
      <c r="BW439" s="2165">
        <f>BW357/(BV357+BW357+BX357+BY357)</f>
        <v>0.25329926437442485</v>
      </c>
      <c r="BX439" s="2165">
        <f>BX357/(BV357+BW357+BX357+BY357)</f>
        <v>0.2428492248930508</v>
      </c>
      <c r="BY439" s="2166">
        <f>BY357/(BV357+BW357+BX357+BY357)</f>
        <v>0.20028110762986462</v>
      </c>
    </row>
    <row r="440" spans="1:79" s="1401" customFormat="1">
      <c r="A440" s="1401" t="str">
        <f>Structure!B22</f>
        <v>EBITDA</v>
      </c>
      <c r="B440" s="2164">
        <f>B361/(B361+C361+D361+E361)</f>
        <v>0.30581573237171977</v>
      </c>
      <c r="C440" s="2165">
        <f>C361/(B361+C361+D361+E361)</f>
        <v>0.32405282630075399</v>
      </c>
      <c r="D440" s="2165">
        <f>D361/(B361+C361+D361+E361)</f>
        <v>0.21703429650790676</v>
      </c>
      <c r="E440" s="2166">
        <f>E361/(B361+C361+D361+E361)</f>
        <v>0.15309714481961942</v>
      </c>
      <c r="F440" s="2164">
        <f>F361/(F361+G361+H361+I361)</f>
        <v>0.21052713576842499</v>
      </c>
      <c r="G440" s="2165">
        <f>G361/(F361+G361+H361+I361)</f>
        <v>4.0109680384504576E-2</v>
      </c>
      <c r="H440" s="2165">
        <f>H361/(F361+G361+H361+I361)</f>
        <v>0.21174234457401467</v>
      </c>
      <c r="I440" s="2166">
        <f>I361/(F361+G361+H361+I361)</f>
        <v>0.53762083927305571</v>
      </c>
      <c r="J440" s="2164">
        <f>J361/(J361+K361+L361+M361)</f>
        <v>1.9323214586785844E-2</v>
      </c>
      <c r="K440" s="2165">
        <f>K361/(J361+K361+L361+M361)</f>
        <v>0.17436127297176152</v>
      </c>
      <c r="L440" s="2165">
        <f>L361/(J361+K361+L361+M361)</f>
        <v>0.38974993728899293</v>
      </c>
      <c r="M440" s="2166">
        <f>M361/(J361+K361+L361+M361)</f>
        <v>0.41656557515245962</v>
      </c>
      <c r="N440" s="2164">
        <f>N361/(N361+O361+P361+Q361)</f>
        <v>0.10425294402001381</v>
      </c>
      <c r="O440" s="2165">
        <f>O361/(N361+O361+P361+Q361)</f>
        <v>0.21409491630162311</v>
      </c>
      <c r="P440" s="2165">
        <f>P361/(N361+O361+P361+Q361)</f>
        <v>0.31092240146316419</v>
      </c>
      <c r="Q440" s="2166">
        <f>Q361/(N361+O361+P361+Q361)</f>
        <v>0.37072973821519878</v>
      </c>
      <c r="R440" s="2164">
        <f>R361/(R361+S361+T361+U361)</f>
        <v>0.22510969328274366</v>
      </c>
      <c r="S440" s="2165">
        <f>S361/(R361+S361+T361+U361)</f>
        <v>0.25699493397206274</v>
      </c>
      <c r="T440" s="2165">
        <f>T361/(R361+S361+T361+U361)</f>
        <v>0.34235785799577478</v>
      </c>
      <c r="U440" s="2166">
        <f>U361/(R361+S361+T361+U361)</f>
        <v>0.17553751474941875</v>
      </c>
      <c r="V440" s="2164">
        <f>V361/(V361+W361+X361+Y361)</f>
        <v>0.25248912269259494</v>
      </c>
      <c r="W440" s="2165">
        <f>W361/(V361+W361+X361+Y361)</f>
        <v>0.3188170981832536</v>
      </c>
      <c r="X440" s="2165">
        <f>X361/(V361+W361+X361+Y361)</f>
        <v>0.3078239377998232</v>
      </c>
      <c r="Y440" s="2166">
        <f>Y361/(V361+W361+X361+Y361)</f>
        <v>0.12086984132432829</v>
      </c>
      <c r="Z440" s="2164">
        <f>Z361/(Z361+AA361+AB361+AC361)</f>
        <v>0.18318552841536762</v>
      </c>
      <c r="AA440" s="2165">
        <f>AA361/(Z361+AA361+AB361+AC361)</f>
        <v>0.35716828280348595</v>
      </c>
      <c r="AB440" s="2165">
        <f>AB361/(Z361+AA361+AB361+AC361)</f>
        <v>0.24011139069596177</v>
      </c>
      <c r="AC440" s="2166">
        <f>AC361/(Z361+AA361+AB361+AC361)</f>
        <v>0.21953479808518464</v>
      </c>
      <c r="AD440" s="2164">
        <f>AD361/(AD361+AE361+AF361+AG361)</f>
        <v>0.28343071047373347</v>
      </c>
      <c r="AE440" s="2165">
        <f>AE361/(AD361+AE361+AF361+AG361)</f>
        <v>0.31748542005290181</v>
      </c>
      <c r="AF440" s="2165">
        <f>AF361/(AD361+AE361+AF361+AG361)</f>
        <v>0.21746984503523017</v>
      </c>
      <c r="AG440" s="2166">
        <f>AG361/(AD361+AE361+AF361+AG361)</f>
        <v>0.18161402443813451</v>
      </c>
      <c r="AH440" s="2164">
        <f>AH361/(AH361+AI361+AJ361+AK361)</f>
        <v>0.20375272026786967</v>
      </c>
      <c r="AI440" s="2165">
        <f>AI361/(AH361+AI361+AJ361+AK361)</f>
        <v>0.28055173165778458</v>
      </c>
      <c r="AJ440" s="2165">
        <f>AJ361/(AH361+AI361+AJ361+AK361)</f>
        <v>0.25330589213428006</v>
      </c>
      <c r="AK440" s="2166">
        <f>AK361/(AH361+AI361+AJ361+AK361)</f>
        <v>0.26238965594006552</v>
      </c>
      <c r="AL440" s="2164">
        <f>AL361/(AL361+AM361+AN361+AO361)</f>
        <v>0.1587195240857934</v>
      </c>
      <c r="AM440" s="2165">
        <f>AM361/(AL361+AM361+AN361+AO361)</f>
        <v>0.27442341443521195</v>
      </c>
      <c r="AN440" s="2165">
        <f>AN361/(AL361+AM361+AN361+AO361)</f>
        <v>0.28485912159455862</v>
      </c>
      <c r="AO440" s="2166">
        <f>AO361/(AL361+AM361+AN361+AO361)</f>
        <v>0.28199793988443606</v>
      </c>
      <c r="AP440" s="2164">
        <f>AP361/(AP361+AQ361+AR361+AS361)</f>
        <v>0.19231000895183253</v>
      </c>
      <c r="AQ440" s="2165">
        <f>AQ361/(AP361+AQ361+AR361+AS361)</f>
        <v>0.21965359939130308</v>
      </c>
      <c r="AR440" s="2165">
        <f>AR361/(AP361+AQ361+AR361+AS361)</f>
        <v>0.22150835262050531</v>
      </c>
      <c r="AS440" s="2165">
        <f>AS361/(AP361+AQ361+AR361+AS361)</f>
        <v>0.36652803903635917</v>
      </c>
      <c r="AT440" s="2296">
        <f>AT361/(AT361+AU361+AV361+AW361)</f>
        <v>0.22890218991756303</v>
      </c>
      <c r="AU440" s="2165">
        <f>AU361/(AT361+AU361+AV361+AW361)</f>
        <v>0.27016324666997271</v>
      </c>
      <c r="AV440" s="2165">
        <f>AV361/(AT361+AU361+AV361+AW361)</f>
        <v>0.23823221094772237</v>
      </c>
      <c r="AW440" s="2166">
        <f>AW361/(AT361+AU361+AV361+AW361)</f>
        <v>0.26270235246474188</v>
      </c>
      <c r="AX440" s="2164">
        <f>AX361/(AX361+AY361+AZ361+BA361)</f>
        <v>0.36123553098249123</v>
      </c>
      <c r="AY440" s="2165">
        <f>AY361/(AX361+AY361+AZ361+BA361)</f>
        <v>0.27028551618509361</v>
      </c>
      <c r="AZ440" s="2165">
        <f>AZ361/(AX361+AY361+AZ361+BA361)</f>
        <v>0.23531944159223786</v>
      </c>
      <c r="BA440" s="2166">
        <f>BA361/(AX361+AY361+AZ361+BA361)</f>
        <v>0.13315951124017739</v>
      </c>
      <c r="BB440" s="2164">
        <f>BB361/(BB361+BC361+BD361+BE361)</f>
        <v>0.35526714090080319</v>
      </c>
      <c r="BC440" s="2165">
        <f>BC361/(BB361+BC361+BD361+BE361)</f>
        <v>0.27112555568630653</v>
      </c>
      <c r="BD440" s="2165">
        <f>BD361/(BB361+BC361+BD361+BE361)</f>
        <v>0.23618353595041486</v>
      </c>
      <c r="BE440" s="2166">
        <f>BE361/(BB361+BC361+BD361+BE361)</f>
        <v>0.13742376746247539</v>
      </c>
      <c r="BF440" s="2164">
        <f>BF361/(BF361+BG361+BH361+BI361)</f>
        <v>0.37040425777838698</v>
      </c>
      <c r="BG440" s="2165">
        <f>BG361/(BF361+BG361+BH361+BI361)</f>
        <v>0.26616111546980598</v>
      </c>
      <c r="BH440" s="2165">
        <f>BH361/(BF361+BG361+BH361+BI361)</f>
        <v>0.23392789208965367</v>
      </c>
      <c r="BI440" s="2166">
        <f>BI361/(BF361+BG361+BH361+BI361)</f>
        <v>0.12950673466215348</v>
      </c>
      <c r="BJ440" s="2164">
        <f>BJ361/(BJ361+BK361+BL361+BM361)</f>
        <v>0.36952742662402599</v>
      </c>
      <c r="BK440" s="2165">
        <f>BK361/(BJ361+BK361+BL361+BM361)</f>
        <v>0.26728596616922357</v>
      </c>
      <c r="BL440" s="2165">
        <f>BL361/(BJ361+BK361+BL361+BM361)</f>
        <v>0.23499764871213871</v>
      </c>
      <c r="BM440" s="2166">
        <f>BM361/(BJ361+BK361+BL361+BM361)</f>
        <v>0.12818895849461182</v>
      </c>
      <c r="BN440" s="2164">
        <f>BN361/(BN361+BO361+BP361+BQ361)</f>
        <v>0.34193753384089709</v>
      </c>
      <c r="BO440" s="2165">
        <f>BO361/(BN361+BO361+BP361+BQ361)</f>
        <v>0.27831429075770925</v>
      </c>
      <c r="BP440" s="2165">
        <f>BP361/(BN361+BO361+BP361+BQ361)</f>
        <v>0.24031215199121722</v>
      </c>
      <c r="BQ440" s="2166">
        <f>BQ361/(BN361+BO361+BP361+BQ361)</f>
        <v>0.1394360234101765</v>
      </c>
      <c r="BR440" s="2164">
        <f>BR361/(BR361+BS361+BT361+BU361)</f>
        <v>0.3152241287852916</v>
      </c>
      <c r="BS440" s="2165">
        <f>BS361/(BR361+BS361+BT361+BU361)</f>
        <v>0.28838683536584681</v>
      </c>
      <c r="BT440" s="2165">
        <f>BT361/(BR361+BS361+BT361+BU361)</f>
        <v>0.24571210443411565</v>
      </c>
      <c r="BU440" s="2166">
        <f>BU361/(BR361+BS361+BT361+BU361)</f>
        <v>0.15067693141474586</v>
      </c>
      <c r="BV440" s="2164">
        <f>BV361/(BV361+BW361+BX361+BY361)</f>
        <v>0.31354528001114718</v>
      </c>
      <c r="BW440" s="2165">
        <f>BW361/(BV361+BW361+BX361+BY361)</f>
        <v>0.28026051519898665</v>
      </c>
      <c r="BX440" s="2165">
        <f>BX361/(BV361+BW361+BX361+BY361)</f>
        <v>0.24631902669520009</v>
      </c>
      <c r="BY440" s="2166">
        <f>BY361/(BV361+BW361+BX361+BY361)</f>
        <v>0.15987517809466606</v>
      </c>
    </row>
    <row r="441" spans="1:79" s="1401" customFormat="1">
      <c r="A441" s="1401" t="s">
        <v>575</v>
      </c>
      <c r="B441" s="2164">
        <f>B366/(B366+C366+D366+E366)</f>
        <v>0</v>
      </c>
      <c r="C441" s="2165">
        <f>C366/(B366+C366+D366+E366)</f>
        <v>-1.574544707252391</v>
      </c>
      <c r="D441" s="2165">
        <f>D366/(B366+C366+D366+E366)</f>
        <v>0.95807685909166596</v>
      </c>
      <c r="E441" s="2166">
        <f>E366/(B366+C366+D366+E366)</f>
        <v>1.6164678481607251</v>
      </c>
      <c r="F441" s="2164">
        <f>F366/(F366+G366+H366+I366)</f>
        <v>0.25605891542066528</v>
      </c>
      <c r="G441" s="2165">
        <f>G366/(F366+G366+H366+I366)</f>
        <v>-0.75024324927471464</v>
      </c>
      <c r="H441" s="2165">
        <f>H366/(F366+G366+H366+I366)</f>
        <v>0.34170051327828538</v>
      </c>
      <c r="I441" s="2166">
        <f>I366/(F366+G366+H366+I366)</f>
        <v>1.1524838205757639</v>
      </c>
      <c r="J441" s="2164">
        <f>J366/(J366+K366+L366+M366)</f>
        <v>-1.7717821636998186</v>
      </c>
      <c r="K441" s="2165">
        <f>K366/(J366+K366+L366+M366)</f>
        <v>-3.5604563183671174</v>
      </c>
      <c r="L441" s="2165">
        <f>L366/(J366+K366+L366+M366)</f>
        <v>-1.6016598727235429</v>
      </c>
      <c r="M441" s="2166">
        <f>M366/(J366+K366+L366+M366)</f>
        <v>7.9338983547904789</v>
      </c>
      <c r="N441" s="2164">
        <f>N366/(N366+O366+P366+Q366)</f>
        <v>0.10499109532034459</v>
      </c>
      <c r="O441" s="2165">
        <f>O366/(N366+O366+P366+Q366)</f>
        <v>-3.8768916850875808E-2</v>
      </c>
      <c r="P441" s="2165">
        <f>P366/(N366+O366+P366+Q366)</f>
        <v>0.11699048675932325</v>
      </c>
      <c r="Q441" s="2166">
        <f>Q366/(N366+O366+P366+Q366)</f>
        <v>0.81678733477120802</v>
      </c>
      <c r="R441" s="2164">
        <f>R366/(R366+S366+T366+U366)</f>
        <v>-0.47425782863693677</v>
      </c>
      <c r="S441" s="2165">
        <f>S366/(R366+S366+T366+U366)</f>
        <v>-2.9161767732699597E-3</v>
      </c>
      <c r="T441" s="2165">
        <f>T366/(R366+S366+T366+U366)</f>
        <v>0.81826097647479246</v>
      </c>
      <c r="U441" s="2166">
        <f>U366/(R366+S366+T366+U366)</f>
        <v>0.65891302893541426</v>
      </c>
      <c r="V441" s="2164">
        <f>V366/(V366+W366+X366+Y366)</f>
        <v>0.18123736205004731</v>
      </c>
      <c r="W441" s="2165">
        <f>W366/(V366+W366+X366+Y366)</f>
        <v>-2.8293735988517952E-2</v>
      </c>
      <c r="X441" s="2165">
        <f>X366/(V366+W366+X366+Y366)</f>
        <v>0.22067299027699522</v>
      </c>
      <c r="Y441" s="2166">
        <f>Y366/(V366+W366+X366+Y366)</f>
        <v>0.6263833836614755</v>
      </c>
      <c r="Z441" s="2164">
        <f>Z366/(Z366+AA366+AB366+AC366)</f>
        <v>-5.7581564600499388E-2</v>
      </c>
      <c r="AA441" s="2165">
        <f>AA366/(Z366+AA366+AB366+AC366)</f>
        <v>7.6507296286647555E-2</v>
      </c>
      <c r="AB441" s="2165">
        <f>AB366/(Z366+AA366+AB366+AC366)</f>
        <v>-0.14396477170368596</v>
      </c>
      <c r="AC441" s="2166">
        <f>AC366/(Z366+AA366+AB366+AC366)</f>
        <v>1.1250390400175376</v>
      </c>
      <c r="AD441" s="2164">
        <f>AD366/(AD366+AE366+AF366+AG366)</f>
        <v>0.38061973037045005</v>
      </c>
      <c r="AE441" s="2165">
        <f>AE366/(AD366+AE366+AF366+AG366)</f>
        <v>9.4032384700865626E-2</v>
      </c>
      <c r="AF441" s="2165">
        <f>AF366/(AD366+AE366+AF366+AG366)</f>
        <v>-1.0939597859394917E-2</v>
      </c>
      <c r="AG441" s="2166">
        <f>AG366/(AD366+AE366+AF366+AG366)</f>
        <v>0.53628748278807936</v>
      </c>
      <c r="AH441" s="2164">
        <f>AH366/(AH366+AI366+AJ366+AK366)</f>
        <v>-1.0200400842306469E-2</v>
      </c>
      <c r="AI441" s="2165">
        <f>AI366/(AH366+AI366+AJ366+AK366)</f>
        <v>-0.2515660015175048</v>
      </c>
      <c r="AJ441" s="2165">
        <f>AJ366/(AH366+AI366+AJ366+AK366)</f>
        <v>2.5228425335685145E-2</v>
      </c>
      <c r="AK441" s="2166">
        <f>AK366/(AH366+AI366+AJ366+AK366)</f>
        <v>1.236537977024126</v>
      </c>
      <c r="AL441" s="2164">
        <f>AL366/(AL366+AM366+AN366+AO366)</f>
        <v>-0.1187372544935493</v>
      </c>
      <c r="AM441" s="2165">
        <f>AM366/(AL366+AM366+AN366+AO366)</f>
        <v>2.9187384049962104E-2</v>
      </c>
      <c r="AN441" s="2165">
        <f>AN366/(AL366+AM366+AN366+AO366)</f>
        <v>0.24774157625886389</v>
      </c>
      <c r="AO441" s="2166">
        <f>AO366/(AL366+AM366+AN366+AO366)</f>
        <v>0.84180829418472325</v>
      </c>
      <c r="AP441" s="2164">
        <f>AP366/(AP366+AQ366+AR366+AS366)</f>
        <v>-5.168732551647099E-2</v>
      </c>
      <c r="AQ441" s="2165">
        <f>AQ366/(AP366+AQ366+AR366+AS366)</f>
        <v>3.4022333891680544E-2</v>
      </c>
      <c r="AR441" s="2165">
        <f>AR366/(AP366+AQ366+AR366+AS366)</f>
        <v>0.14390753768844239</v>
      </c>
      <c r="AS441" s="2165">
        <f>AS366/(AP366+AQ366+AR366+AS366)</f>
        <v>0.87375745393634796</v>
      </c>
      <c r="AT441" s="2296">
        <f>AT366/(AT366+AU366+AV366+AW366)</f>
        <v>-1.3752503653568875E-2</v>
      </c>
      <c r="AU441" s="2165">
        <f>AU366/(AT366+AU366+AV366+AW366)</f>
        <v>-1.37851854910175E-3</v>
      </c>
      <c r="AV441" s="2165">
        <f>AV366/(AT366+AU366+AV366+AW366)</f>
        <v>0.33480377102322745</v>
      </c>
      <c r="AW441" s="2166">
        <f>AW366/(AT366+AU366+AV366+AW366)</f>
        <v>0.68032725117944326</v>
      </c>
      <c r="AX441" s="2164">
        <f>AX366/(AX366+AY366+AZ366+BA366)</f>
        <v>3.7587265799451895E-2</v>
      </c>
      <c r="AY441" s="2165">
        <f>AY366/(AX366+AY366+AZ366+BA366)</f>
        <v>0.12592309786650432</v>
      </c>
      <c r="AZ441" s="2165">
        <f>AZ366/(AX366+AY366+AZ366+BA366)</f>
        <v>0.32197767154616386</v>
      </c>
      <c r="BA441" s="2166">
        <f>BA366/(AX366+AY366+AZ366+BA366)</f>
        <v>0.51451196478787986</v>
      </c>
      <c r="BB441" s="2164">
        <f>BB366/(BB366+BC366+BD366+BE366)</f>
        <v>3.6528349709865765E-2</v>
      </c>
      <c r="BC441" s="2165">
        <f>BC366/(BB366+BC366+BD366+BE366)</f>
        <v>0.14260840406029085</v>
      </c>
      <c r="BD441" s="2165">
        <f>BD366/(BB366+BC366+BD366+BE366)</f>
        <v>0.31760140048763391</v>
      </c>
      <c r="BE441" s="2166">
        <f>BE366/(BB366+BC366+BD366+BE366)</f>
        <v>0.50326184574220945</v>
      </c>
      <c r="BF441" s="2164">
        <f>BF366/(BF366+BG366+BH366+BI366)</f>
        <v>4.8067476113549445E-2</v>
      </c>
      <c r="BG441" s="2165">
        <f>BG366/(BF366+BG366+BH366+BI366)</f>
        <v>0.15230147576394873</v>
      </c>
      <c r="BH441" s="2165">
        <f>BH366/(BF366+BG366+BH366+BI366)</f>
        <v>0.31432396026323672</v>
      </c>
      <c r="BI441" s="2166">
        <f>BI366/(BF366+BG366+BH366+BI366)</f>
        <v>0.48530708785926507</v>
      </c>
      <c r="BJ441" s="2164">
        <f>BJ366/(BJ366+BK366+BL366+BM366)</f>
        <v>4.0801253446217871E-2</v>
      </c>
      <c r="BK441" s="2165">
        <f>BK366/(BJ366+BK366+BL366+BM366)</f>
        <v>0.1609765603023425</v>
      </c>
      <c r="BL441" s="2165">
        <f>BL366/(BJ366+BK366+BL366+BM366)</f>
        <v>0.31410256676957399</v>
      </c>
      <c r="BM441" s="2166">
        <f>BM366/(BJ366+BK366+BL366+BM366)</f>
        <v>0.4841196194818656</v>
      </c>
      <c r="BN441" s="2164">
        <f>BN366/(BN366+BO366+BP366+BQ366)</f>
        <v>-1.4368055051328618E-2</v>
      </c>
      <c r="BO441" s="2165">
        <f>BO366/(BN366+BO366+BP366+BQ366)</f>
        <v>0.16403824134242889</v>
      </c>
      <c r="BP441" s="2165">
        <f>BP366/(BN366+BO366+BP366+BQ366)</f>
        <v>0.3257113518306306</v>
      </c>
      <c r="BQ441" s="2166">
        <f>BQ366/(BN366+BO366+BP366+BQ366)</f>
        <v>0.52461846187826899</v>
      </c>
      <c r="BR441" s="2164">
        <f>BR366/(BR366+BS366+BT366+BU366)</f>
        <v>-0.12346311711663702</v>
      </c>
      <c r="BS441" s="2165">
        <f>BS366/(BR366+BS366+BT366+BU366)</f>
        <v>0.1488186386918636</v>
      </c>
      <c r="BT441" s="2165">
        <f>BT366/(BR366+BS366+BT366+BU366)</f>
        <v>0.34955663031074569</v>
      </c>
      <c r="BU441" s="2166">
        <f>BU366/(BR366+BS366+BT366+BU366)</f>
        <v>0.62508784811402773</v>
      </c>
      <c r="BV441" s="2164">
        <f>BV366/(BV366+BW366+BX366+BY366)</f>
        <v>-7.8715259792711031E-2</v>
      </c>
      <c r="BW441" s="2165">
        <f>BW366/(BV366+BW366+BX366+BY366)</f>
        <v>0.18678637618573143</v>
      </c>
      <c r="BX441" s="2165">
        <f>BX366/(BV366+BW366+BX366+BY366)</f>
        <v>0.32596317460719182</v>
      </c>
      <c r="BY441" s="2166">
        <f>BY366/(BV366+BW366+BX366+BY366)</f>
        <v>0.56596570899978782</v>
      </c>
    </row>
    <row r="442" spans="1:79">
      <c r="A442" s="494" t="s">
        <v>765</v>
      </c>
      <c r="B442" s="494"/>
      <c r="C442" s="494"/>
      <c r="D442" s="494"/>
      <c r="E442" s="2167">
        <f>SUM(B439:E441)-3</f>
        <v>0</v>
      </c>
      <c r="F442" s="494"/>
      <c r="G442" s="494"/>
      <c r="H442" s="494"/>
      <c r="I442" s="2167">
        <f>SUM(F439:I441)-3</f>
        <v>0</v>
      </c>
      <c r="J442" s="494"/>
      <c r="K442" s="494"/>
      <c r="L442" s="494"/>
      <c r="M442" s="2167">
        <f>SUM(J439:M441)-3</f>
        <v>0</v>
      </c>
      <c r="N442" s="494"/>
      <c r="O442" s="494"/>
      <c r="P442" s="494"/>
      <c r="Q442" s="2167">
        <f>SUM(N439:Q441)-3</f>
        <v>0</v>
      </c>
      <c r="R442" s="494"/>
      <c r="S442" s="494"/>
      <c r="T442" s="494"/>
      <c r="U442" s="2167">
        <f>SUM(R439:U441)-3</f>
        <v>0</v>
      </c>
      <c r="V442" s="494"/>
      <c r="W442" s="494"/>
      <c r="X442" s="494"/>
      <c r="Y442" s="2167">
        <f>SUM(V439:Y441)-3</f>
        <v>0</v>
      </c>
      <c r="Z442" s="494"/>
      <c r="AA442" s="494"/>
      <c r="AB442" s="494"/>
      <c r="AC442" s="2167">
        <f>SUM(Z439:AC441)-3</f>
        <v>0</v>
      </c>
      <c r="AD442" s="494"/>
      <c r="AE442" s="494"/>
      <c r="AF442" s="494"/>
      <c r="AG442" s="2167">
        <f>SUM(AD439:AG441)-3</f>
        <v>0</v>
      </c>
      <c r="AH442" s="494"/>
      <c r="AI442" s="494"/>
      <c r="AJ442" s="494"/>
      <c r="AK442" s="2167">
        <f>SUM(AH439:AK441)-3</f>
        <v>0</v>
      </c>
      <c r="AL442" s="494"/>
      <c r="AM442" s="494"/>
      <c r="AN442" s="494"/>
      <c r="AO442" s="2167">
        <f>SUM(AL439:AO441)-3</f>
        <v>0</v>
      </c>
      <c r="AP442" s="2167"/>
      <c r="AQ442" s="494"/>
      <c r="AR442" s="494"/>
      <c r="AS442" s="2167">
        <f>SUM(AP439:AS441)-3</f>
        <v>0</v>
      </c>
      <c r="AT442" s="494"/>
      <c r="AU442" s="494"/>
      <c r="AV442" s="494"/>
      <c r="AW442" s="2167">
        <f>SUM(AT439:AW441)-3</f>
        <v>0</v>
      </c>
      <c r="AX442" s="494"/>
      <c r="AY442" s="494"/>
      <c r="AZ442" s="494"/>
      <c r="BA442" s="2167">
        <f>SUM(AX439:BA441)-3</f>
        <v>0</v>
      </c>
      <c r="BB442" s="494"/>
      <c r="BC442" s="494"/>
      <c r="BD442" s="494"/>
      <c r="BE442" s="2167">
        <f>SUM(BB439:BE441)-3</f>
        <v>0</v>
      </c>
      <c r="BF442" s="494"/>
      <c r="BG442" s="494"/>
      <c r="BH442" s="494"/>
      <c r="BI442" s="2167">
        <f>SUM(BF439:BI441)-3</f>
        <v>0</v>
      </c>
      <c r="BJ442" s="494"/>
      <c r="BK442" s="494"/>
      <c r="BL442" s="494"/>
      <c r="BM442" s="2167">
        <f>SUM(BJ439:BM441)-3</f>
        <v>0</v>
      </c>
      <c r="BN442" s="494"/>
      <c r="BO442" s="494"/>
      <c r="BP442" s="494"/>
      <c r="BQ442" s="2167">
        <f>SUM(BN439:BQ441)-3</f>
        <v>0</v>
      </c>
      <c r="BR442" s="494"/>
      <c r="BS442" s="494"/>
      <c r="BT442" s="494"/>
      <c r="BU442" s="2167">
        <f>SUM(BR439:BU441)-3</f>
        <v>0</v>
      </c>
      <c r="BV442" s="494"/>
      <c r="BW442" s="494"/>
      <c r="BX442" s="494"/>
      <c r="BY442" s="2167">
        <f>SUM(BV439:BY441)-3</f>
        <v>0</v>
      </c>
    </row>
    <row r="443" spans="1:79">
      <c r="AQ443" s="1401"/>
    </row>
    <row r="444" spans="1:79">
      <c r="A444" s="26" t="s">
        <v>201</v>
      </c>
      <c r="B444" s="26"/>
      <c r="C444" s="27"/>
      <c r="D444" s="27"/>
      <c r="E444" s="27"/>
      <c r="F444" s="27"/>
      <c r="G444" s="27"/>
      <c r="H444" s="27"/>
      <c r="I444" s="27"/>
      <c r="J444" s="27"/>
      <c r="K444" s="27"/>
      <c r="L444" s="27"/>
      <c r="M444" s="27"/>
      <c r="N444" s="27"/>
      <c r="O444" s="27"/>
      <c r="P444" s="27"/>
      <c r="Q444" s="27"/>
      <c r="R444" s="27"/>
      <c r="S444" s="27"/>
      <c r="T444" s="27"/>
      <c r="U444" s="27"/>
      <c r="V444" s="27"/>
      <c r="W444" s="27"/>
      <c r="X444" s="27"/>
      <c r="Y444" s="27"/>
      <c r="Z444" s="27"/>
      <c r="AA444" s="27"/>
      <c r="AB444" s="27"/>
      <c r="AC444" s="27"/>
      <c r="AD444" s="27"/>
      <c r="AE444" s="27"/>
      <c r="AF444" s="27"/>
      <c r="AG444" s="27"/>
      <c r="AH444" s="27"/>
      <c r="AI444" s="27"/>
      <c r="AJ444" s="27"/>
      <c r="AK444" s="27"/>
      <c r="AL444" s="27"/>
      <c r="AM444" s="27"/>
      <c r="AN444" s="27"/>
      <c r="AO444" s="27"/>
      <c r="AP444" s="27"/>
      <c r="AQ444" s="27"/>
      <c r="AR444" s="27"/>
      <c r="AS444" s="27"/>
      <c r="AT444" s="27"/>
      <c r="AU444" s="27"/>
      <c r="AV444" s="27"/>
      <c r="AW444" s="27"/>
      <c r="AX444" s="27"/>
      <c r="AY444" s="27"/>
      <c r="AZ444" s="27"/>
      <c r="BA444" s="27"/>
      <c r="BB444" s="27"/>
      <c r="BC444" s="27"/>
      <c r="BD444" s="27"/>
      <c r="BE444" s="27"/>
      <c r="BF444" s="27"/>
      <c r="BG444" s="27"/>
      <c r="BH444" s="27"/>
      <c r="BI444" s="27"/>
      <c r="BJ444" s="27"/>
      <c r="BK444" s="27"/>
      <c r="BL444" s="27"/>
      <c r="BM444" s="27"/>
      <c r="BN444" s="27"/>
      <c r="BO444" s="27"/>
      <c r="BP444" s="27"/>
      <c r="BQ444" s="27"/>
      <c r="BR444" s="27"/>
      <c r="BS444" s="27"/>
      <c r="BT444" s="27"/>
      <c r="BU444" s="27"/>
      <c r="BV444" s="27"/>
      <c r="BW444" s="27"/>
      <c r="BX444" s="27"/>
      <c r="BY444" s="28" t="s">
        <v>362</v>
      </c>
    </row>
  </sheetData>
  <mergeCells count="10">
    <mergeCell ref="H427:I427"/>
    <mergeCell ref="AJ427:AK427"/>
    <mergeCell ref="AG427:AH427"/>
    <mergeCell ref="AD427:AE427"/>
    <mergeCell ref="AA427:AB427"/>
    <mergeCell ref="K427:L427"/>
    <mergeCell ref="O427:P427"/>
    <mergeCell ref="R427:S427"/>
    <mergeCell ref="U427:V427"/>
    <mergeCell ref="X427:Y427"/>
  </mergeCells>
  <pageMargins left="0.7" right="0.7" top="0.75" bottom="0.75" header="0.3" footer="0.3"/>
  <pageSetup scale="72" orientation="landscape" r:id="rId1"/>
  <headerFooter alignWithMargins="0"/>
  <rowBreaks count="1" manualBreakCount="1">
    <brk id="115" max="18" man="1"/>
  </rowBreaks>
  <colBreaks count="1" manualBreakCount="1">
    <brk id="19" max="273" man="1"/>
  </colBreaks>
  <ignoredErrors>
    <ignoredError sqref="D5:K5 N5" formula="1"/>
  </ignoredErrors>
  <drawing r:id="rId2"/>
  <legacyDrawing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1"/>
    <pageSetUpPr fitToPage="1"/>
  </sheetPr>
  <dimension ref="A1"/>
  <sheetViews>
    <sheetView workbookViewId="0"/>
  </sheetViews>
  <sheetFormatPr defaultRowHeight="12.75"/>
  <sheetData/>
  <pageMargins left="0.25" right="0.25" top="0.5" bottom="0.5" header="0.5" footer="0.5"/>
  <pageSetup orientation="landscape"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92"/>
  <sheetViews>
    <sheetView workbookViewId="0"/>
  </sheetViews>
  <sheetFormatPr defaultRowHeight="15"/>
  <cols>
    <col min="1" max="1" width="80.7109375" style="2511" customWidth="1"/>
    <col min="2" max="2" width="5.85546875" style="2511" bestFit="1" customWidth="1"/>
    <col min="3" max="3" width="9.28515625" style="2511" bestFit="1" customWidth="1"/>
    <col min="4" max="4" width="5.85546875" style="2511" bestFit="1" customWidth="1"/>
    <col min="5" max="5" width="12.85546875" style="2511" bestFit="1" customWidth="1"/>
    <col min="6" max="6" width="18.85546875" style="2511" bestFit="1" customWidth="1"/>
    <col min="7" max="7" width="5.85546875" style="2511" bestFit="1" customWidth="1"/>
    <col min="8" max="8" width="19.85546875" style="2511" bestFit="1" customWidth="1"/>
    <col min="9" max="16384" width="9.140625" style="2511"/>
  </cols>
  <sheetData>
    <row r="1" spans="1:1">
      <c r="A1" s="2514"/>
    </row>
    <row r="2" spans="1:1" ht="51">
      <c r="A2" s="2512" t="s">
        <v>698</v>
      </c>
    </row>
    <row r="3" spans="1:1">
      <c r="A3" s="2514"/>
    </row>
    <row r="4" spans="1:1">
      <c r="A4" s="2514"/>
    </row>
    <row r="5" spans="1:1" ht="306">
      <c r="A5" s="2512" t="s">
        <v>1794</v>
      </c>
    </row>
    <row r="6" spans="1:1" ht="63.75">
      <c r="A6" s="2512" t="s">
        <v>699</v>
      </c>
    </row>
    <row r="7" spans="1:1" ht="89.25">
      <c r="A7" s="2512" t="s">
        <v>1793</v>
      </c>
    </row>
    <row r="8" spans="1:1">
      <c r="A8" s="2514"/>
    </row>
    <row r="9" spans="1:1">
      <c r="A9" s="2514"/>
    </row>
    <row r="10" spans="1:1" ht="15.75">
      <c r="A10" s="2513" t="s">
        <v>700</v>
      </c>
    </row>
    <row r="11" spans="1:1" ht="51">
      <c r="A11" s="2512" t="s">
        <v>701</v>
      </c>
    </row>
    <row r="12" spans="1:1" ht="25.5">
      <c r="A12" s="2512" t="s">
        <v>702</v>
      </c>
    </row>
    <row r="13" spans="1:1">
      <c r="A13" s="2514"/>
    </row>
    <row r="14" spans="1:1">
      <c r="A14" s="2514"/>
    </row>
    <row r="15" spans="1:1" ht="15.75">
      <c r="A15" s="2513" t="s">
        <v>703</v>
      </c>
    </row>
    <row r="16" spans="1:1" ht="25.5">
      <c r="A16" s="2512" t="s">
        <v>704</v>
      </c>
    </row>
    <row r="17" spans="1:1">
      <c r="A17" s="2514"/>
    </row>
    <row r="18" spans="1:1">
      <c r="A18" s="2514"/>
    </row>
    <row r="19" spans="1:1" ht="15.75">
      <c r="A19" s="2513" t="s">
        <v>705</v>
      </c>
    </row>
    <row r="20" spans="1:1" ht="25.5">
      <c r="A20" s="2512" t="s">
        <v>706</v>
      </c>
    </row>
    <row r="21" spans="1:1" ht="25.5">
      <c r="A21" s="2512" t="s">
        <v>707</v>
      </c>
    </row>
    <row r="22" spans="1:1" ht="38.25">
      <c r="A22" s="2512" t="s">
        <v>708</v>
      </c>
    </row>
    <row r="23" spans="1:1" ht="38.25">
      <c r="A23" s="2512" t="s">
        <v>709</v>
      </c>
    </row>
    <row r="24" spans="1:1" ht="76.5">
      <c r="A24" s="2512" t="s">
        <v>1792</v>
      </c>
    </row>
    <row r="25" spans="1:1" ht="102">
      <c r="A25" s="2512" t="s">
        <v>1791</v>
      </c>
    </row>
    <row r="26" spans="1:1" ht="25.5">
      <c r="A26" s="2512" t="s">
        <v>710</v>
      </c>
    </row>
    <row r="27" spans="1:1">
      <c r="A27" s="2514"/>
    </row>
    <row r="28" spans="1:1">
      <c r="A28" s="2514"/>
    </row>
    <row r="29" spans="1:1" ht="15.75">
      <c r="A29" s="2513" t="s">
        <v>711</v>
      </c>
    </row>
    <row r="30" spans="1:1" ht="127.5">
      <c r="A30" s="2512" t="s">
        <v>712</v>
      </c>
    </row>
    <row r="31" spans="1:1">
      <c r="A31" s="2514"/>
    </row>
    <row r="32" spans="1:1">
      <c r="A32" s="2514"/>
    </row>
    <row r="33" spans="1:8" ht="15.75" customHeight="1">
      <c r="A33" s="2587" t="s">
        <v>713</v>
      </c>
      <c r="B33" s="2587"/>
      <c r="C33" s="2587"/>
      <c r="D33" s="2587"/>
      <c r="E33" s="2587"/>
      <c r="F33" s="2587"/>
      <c r="G33" s="2587"/>
      <c r="H33" s="2587"/>
    </row>
    <row r="34" spans="1:8">
      <c r="A34" s="2585" t="s">
        <v>1790</v>
      </c>
      <c r="B34" s="2585"/>
      <c r="C34" s="2585"/>
      <c r="D34" s="2585"/>
      <c r="E34" s="2585"/>
      <c r="F34" s="2585"/>
      <c r="G34" s="2585"/>
      <c r="H34" s="2585"/>
    </row>
    <row r="35" spans="1:8" ht="25.5" customHeight="1">
      <c r="A35" s="2585" t="s">
        <v>1789</v>
      </c>
      <c r="B35" s="2585"/>
      <c r="C35" s="2585"/>
      <c r="D35" s="2585"/>
      <c r="E35" s="2585"/>
      <c r="F35" s="2585"/>
      <c r="G35" s="2585"/>
      <c r="H35" s="2585"/>
    </row>
    <row r="36" spans="1:8" ht="114.75" customHeight="1">
      <c r="A36" s="2585" t="s">
        <v>714</v>
      </c>
      <c r="B36" s="2585"/>
      <c r="C36" s="2585"/>
      <c r="D36" s="2585"/>
      <c r="E36" s="2585"/>
      <c r="F36" s="2585"/>
      <c r="G36" s="2585"/>
      <c r="H36" s="2585"/>
    </row>
    <row r="37" spans="1:8">
      <c r="A37" s="2512"/>
      <c r="B37" s="2586" t="s">
        <v>715</v>
      </c>
      <c r="C37" s="2586"/>
      <c r="D37" s="2586" t="s">
        <v>716</v>
      </c>
      <c r="E37" s="2586"/>
      <c r="F37" s="2586"/>
      <c r="G37" s="2586" t="s">
        <v>1788</v>
      </c>
      <c r="H37" s="2586"/>
    </row>
    <row r="38" spans="1:8">
      <c r="A38" s="2512" t="s">
        <v>717</v>
      </c>
      <c r="B38" s="2515" t="s">
        <v>154</v>
      </c>
      <c r="C38" s="2515" t="s">
        <v>718</v>
      </c>
      <c r="D38" s="2515" t="s">
        <v>154</v>
      </c>
      <c r="E38" s="2515" t="s">
        <v>719</v>
      </c>
      <c r="F38" s="2515" t="s">
        <v>720</v>
      </c>
      <c r="G38" s="2515" t="s">
        <v>154</v>
      </c>
      <c r="H38" s="2515" t="s">
        <v>1787</v>
      </c>
    </row>
    <row r="39" spans="1:8">
      <c r="A39" s="2512" t="s">
        <v>721</v>
      </c>
      <c r="B39" s="2515">
        <v>1162</v>
      </c>
      <c r="C39" s="2517">
        <v>0.36</v>
      </c>
      <c r="D39" s="2515">
        <v>304</v>
      </c>
      <c r="E39" s="2517">
        <v>0.4</v>
      </c>
      <c r="F39" s="2517">
        <v>0.26</v>
      </c>
      <c r="G39" s="2515">
        <v>560</v>
      </c>
      <c r="H39" s="2517">
        <v>0.37</v>
      </c>
    </row>
    <row r="40" spans="1:8">
      <c r="A40" s="2512" t="s">
        <v>722</v>
      </c>
      <c r="B40" s="2515">
        <v>1420</v>
      </c>
      <c r="C40" s="2517">
        <v>0.44</v>
      </c>
      <c r="D40" s="2515">
        <v>363</v>
      </c>
      <c r="E40" s="2517">
        <v>0.48</v>
      </c>
      <c r="F40" s="2517">
        <v>0.26</v>
      </c>
      <c r="G40" s="2515">
        <v>697</v>
      </c>
      <c r="H40" s="2517">
        <v>0.46</v>
      </c>
    </row>
    <row r="41" spans="1:8">
      <c r="A41" s="2512" t="s">
        <v>723</v>
      </c>
      <c r="B41" s="2515">
        <v>58</v>
      </c>
      <c r="C41" s="2517">
        <v>0.02</v>
      </c>
      <c r="D41" s="2515">
        <v>6</v>
      </c>
      <c r="E41" s="2517">
        <v>0.01</v>
      </c>
      <c r="F41" s="2517">
        <v>0.1</v>
      </c>
      <c r="G41" s="2515">
        <v>9</v>
      </c>
      <c r="H41" s="2517">
        <v>0.01</v>
      </c>
    </row>
    <row r="42" spans="1:8">
      <c r="A42" s="2512" t="s">
        <v>724</v>
      </c>
      <c r="B42" s="2515">
        <v>612</v>
      </c>
      <c r="C42" s="2517">
        <v>0.19</v>
      </c>
      <c r="D42" s="2515">
        <v>91</v>
      </c>
      <c r="E42" s="2517">
        <v>0.12</v>
      </c>
      <c r="F42" s="2517">
        <v>0.15</v>
      </c>
      <c r="G42" s="2515">
        <v>242</v>
      </c>
      <c r="H42" s="2517">
        <v>0.16</v>
      </c>
    </row>
    <row r="43" spans="1:8">
      <c r="A43" s="2512" t="s">
        <v>138</v>
      </c>
      <c r="B43" s="2516">
        <v>3252</v>
      </c>
      <c r="C43" s="2515"/>
      <c r="D43" s="2515">
        <v>764</v>
      </c>
      <c r="E43" s="2515"/>
      <c r="F43" s="2515"/>
      <c r="G43" s="2515">
        <v>1508</v>
      </c>
      <c r="H43" s="2515"/>
    </row>
    <row r="44" spans="1:8" ht="51" customHeight="1">
      <c r="A44" s="2585" t="s">
        <v>1786</v>
      </c>
      <c r="B44" s="2585"/>
      <c r="C44" s="2585"/>
      <c r="D44" s="2585"/>
      <c r="E44" s="2585"/>
      <c r="F44" s="2585"/>
      <c r="G44" s="2585"/>
      <c r="H44" s="2585"/>
    </row>
    <row r="45" spans="1:8">
      <c r="A45" s="2514"/>
    </row>
    <row r="46" spans="1:8">
      <c r="A46" s="2514"/>
    </row>
    <row r="47" spans="1:8" ht="15.75">
      <c r="A47" s="2513" t="s">
        <v>725</v>
      </c>
    </row>
    <row r="48" spans="1:8" ht="38.25">
      <c r="A48" s="2512" t="s">
        <v>726</v>
      </c>
    </row>
    <row r="49" spans="1:1" ht="38.25">
      <c r="A49" s="2512" t="s">
        <v>727</v>
      </c>
    </row>
    <row r="50" spans="1:1" ht="51">
      <c r="A50" s="2512" t="s">
        <v>728</v>
      </c>
    </row>
    <row r="51" spans="1:1" ht="38.25">
      <c r="A51" s="2512" t="s">
        <v>729</v>
      </c>
    </row>
    <row r="52" spans="1:1" ht="25.5">
      <c r="A52" s="2512" t="s">
        <v>730</v>
      </c>
    </row>
    <row r="53" spans="1:1">
      <c r="A53" s="2514"/>
    </row>
    <row r="54" spans="1:1">
      <c r="A54" s="2514"/>
    </row>
    <row r="55" spans="1:1" ht="15.75">
      <c r="A55" s="2513" t="s">
        <v>731</v>
      </c>
    </row>
    <row r="56" spans="1:1" ht="38.25">
      <c r="A56" s="2512" t="s">
        <v>732</v>
      </c>
    </row>
    <row r="57" spans="1:1" ht="38.25">
      <c r="A57" s="2512" t="s">
        <v>733</v>
      </c>
    </row>
    <row r="58" spans="1:1" ht="38.25">
      <c r="A58" s="2512" t="s">
        <v>734</v>
      </c>
    </row>
    <row r="59" spans="1:1" ht="51">
      <c r="A59" s="2512" t="s">
        <v>735</v>
      </c>
    </row>
    <row r="60" spans="1:1">
      <c r="A60" s="2514"/>
    </row>
    <row r="61" spans="1:1">
      <c r="A61" s="2514"/>
    </row>
    <row r="62" spans="1:1">
      <c r="A62" s="2512" t="s">
        <v>736</v>
      </c>
    </row>
    <row r="63" spans="1:1">
      <c r="A63" s="2514"/>
    </row>
    <row r="64" spans="1:1">
      <c r="A64" s="2514"/>
    </row>
    <row r="65" spans="1:1" ht="15.75">
      <c r="A65" s="2513" t="s">
        <v>737</v>
      </c>
    </row>
    <row r="66" spans="1:1">
      <c r="A66" s="2514"/>
    </row>
    <row r="67" spans="1:1">
      <c r="A67" s="2514"/>
    </row>
    <row r="68" spans="1:1" ht="31.5">
      <c r="A68" s="2513" t="s">
        <v>738</v>
      </c>
    </row>
    <row r="69" spans="1:1" ht="63.75">
      <c r="A69" s="2512" t="s">
        <v>739</v>
      </c>
    </row>
    <row r="70" spans="1:1" ht="51">
      <c r="A70" s="2512" t="s">
        <v>740</v>
      </c>
    </row>
    <row r="71" spans="1:1" ht="15.75">
      <c r="A71" s="2513" t="s">
        <v>741</v>
      </c>
    </row>
    <row r="72" spans="1:1" ht="89.25">
      <c r="A72" s="2512" t="s">
        <v>1785</v>
      </c>
    </row>
    <row r="73" spans="1:1" ht="38.25">
      <c r="A73" s="2512" t="s">
        <v>742</v>
      </c>
    </row>
    <row r="74" spans="1:1" ht="76.5">
      <c r="A74" s="2512" t="s">
        <v>743</v>
      </c>
    </row>
    <row r="75" spans="1:1" ht="76.5">
      <c r="A75" s="2512" t="s">
        <v>744</v>
      </c>
    </row>
    <row r="76" spans="1:1" ht="140.25">
      <c r="A76" s="2512" t="s">
        <v>745</v>
      </c>
    </row>
    <row r="77" spans="1:1" ht="38.25">
      <c r="A77" s="2512" t="s">
        <v>746</v>
      </c>
    </row>
    <row r="78" spans="1:1" ht="229.5">
      <c r="A78" s="2512" t="s">
        <v>747</v>
      </c>
    </row>
    <row r="79" spans="1:1" ht="89.25">
      <c r="A79" s="2512" t="s">
        <v>748</v>
      </c>
    </row>
    <row r="80" spans="1:1" ht="127.5">
      <c r="A80" s="2512" t="s">
        <v>749</v>
      </c>
    </row>
    <row r="81" spans="1:1" ht="102">
      <c r="A81" s="2512" t="s">
        <v>750</v>
      </c>
    </row>
    <row r="82" spans="1:1" ht="38.25">
      <c r="A82" s="2512" t="s">
        <v>751</v>
      </c>
    </row>
    <row r="83" spans="1:1" ht="25.5">
      <c r="A83" s="2512" t="s">
        <v>1784</v>
      </c>
    </row>
    <row r="84" spans="1:1" ht="191.25">
      <c r="A84" s="2512" t="s">
        <v>1783</v>
      </c>
    </row>
    <row r="85" spans="1:1" ht="38.25">
      <c r="A85" s="2512" t="s">
        <v>752</v>
      </c>
    </row>
    <row r="86" spans="1:1" ht="102">
      <c r="A86" s="2512" t="s">
        <v>1782</v>
      </c>
    </row>
    <row r="87" spans="1:1" ht="409.5">
      <c r="A87" s="2512" t="s">
        <v>1781</v>
      </c>
    </row>
    <row r="88" spans="1:1" ht="63.75">
      <c r="A88" s="2512" t="s">
        <v>753</v>
      </c>
    </row>
    <row r="89" spans="1:1" ht="51">
      <c r="A89" s="2512" t="s">
        <v>754</v>
      </c>
    </row>
    <row r="90" spans="1:1" ht="89.25">
      <c r="A90" s="2512" t="s">
        <v>755</v>
      </c>
    </row>
    <row r="91" spans="1:1" ht="63.75">
      <c r="A91" s="2512" t="s">
        <v>1780</v>
      </c>
    </row>
    <row r="92" spans="1:1" ht="25.5">
      <c r="A92" s="2512" t="s">
        <v>756</v>
      </c>
    </row>
  </sheetData>
  <mergeCells count="8">
    <mergeCell ref="A44:H44"/>
    <mergeCell ref="B37:C37"/>
    <mergeCell ref="D37:F37"/>
    <mergeCell ref="G37:H37"/>
    <mergeCell ref="A33:H33"/>
    <mergeCell ref="A34:H34"/>
    <mergeCell ref="A35:H35"/>
    <mergeCell ref="A36:H36"/>
  </mergeCell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32"/>
  <sheetViews>
    <sheetView workbookViewId="0"/>
  </sheetViews>
  <sheetFormatPr defaultRowHeight="15"/>
  <cols>
    <col min="1" max="1" width="125.7109375" style="2511" customWidth="1"/>
    <col min="2" max="16384" width="9.140625" style="2511"/>
  </cols>
  <sheetData>
    <row r="1" spans="1:1" ht="15.75">
      <c r="A1" s="2513" t="s">
        <v>684</v>
      </c>
    </row>
    <row r="2" spans="1:1">
      <c r="A2" s="2514"/>
    </row>
    <row r="3" spans="1:1">
      <c r="A3" s="2512" t="s">
        <v>1796</v>
      </c>
    </row>
    <row r="4" spans="1:1">
      <c r="A4" s="2518"/>
    </row>
    <row r="5" spans="1:1">
      <c r="A5" s="2512" t="s">
        <v>685</v>
      </c>
    </row>
    <row r="6" spans="1:1">
      <c r="A6" s="2518"/>
    </row>
    <row r="7" spans="1:1">
      <c r="A7" s="2512" t="s">
        <v>686</v>
      </c>
    </row>
    <row r="8" spans="1:1">
      <c r="A8" s="2518"/>
    </row>
    <row r="9" spans="1:1">
      <c r="A9" s="2512" t="s">
        <v>687</v>
      </c>
    </row>
    <row r="10" spans="1:1">
      <c r="A10" s="2518"/>
    </row>
    <row r="11" spans="1:1">
      <c r="A11" s="2512" t="s">
        <v>688</v>
      </c>
    </row>
    <row r="12" spans="1:1">
      <c r="A12" s="2518"/>
    </row>
    <row r="13" spans="1:1">
      <c r="A13" s="2512" t="s">
        <v>689</v>
      </c>
    </row>
    <row r="14" spans="1:1">
      <c r="A14" s="2518"/>
    </row>
    <row r="15" spans="1:1">
      <c r="A15" s="2512" t="s">
        <v>690</v>
      </c>
    </row>
    <row r="16" spans="1:1">
      <c r="A16" s="2518"/>
    </row>
    <row r="17" spans="1:1">
      <c r="A17" s="2512" t="s">
        <v>691</v>
      </c>
    </row>
    <row r="18" spans="1:1">
      <c r="A18" s="2518"/>
    </row>
    <row r="19" spans="1:1" ht="25.5">
      <c r="A19" s="2512" t="s">
        <v>692</v>
      </c>
    </row>
    <row r="20" spans="1:1">
      <c r="A20" s="2518"/>
    </row>
    <row r="21" spans="1:1" ht="25.5">
      <c r="A21" s="2512" t="s">
        <v>693</v>
      </c>
    </row>
    <row r="22" spans="1:1">
      <c r="A22" s="2518"/>
    </row>
    <row r="23" spans="1:1" ht="25.5">
      <c r="A23" s="2512" t="s">
        <v>694</v>
      </c>
    </row>
    <row r="24" spans="1:1">
      <c r="A24" s="2518"/>
    </row>
    <row r="25" spans="1:1" ht="25.5">
      <c r="A25" s="2512" t="s">
        <v>1795</v>
      </c>
    </row>
    <row r="26" spans="1:1">
      <c r="A26" s="2518"/>
    </row>
    <row r="27" spans="1:1" ht="51">
      <c r="A27" s="2512" t="s">
        <v>695</v>
      </c>
    </row>
    <row r="28" spans="1:1">
      <c r="A28" s="2518"/>
    </row>
    <row r="29" spans="1:1" ht="38.25">
      <c r="A29" s="2512" t="s">
        <v>696</v>
      </c>
    </row>
    <row r="30" spans="1:1">
      <c r="A30" s="2518"/>
    </row>
    <row r="31" spans="1:1" ht="25.5">
      <c r="A31" s="2512" t="s">
        <v>697</v>
      </c>
    </row>
    <row r="32" spans="1:1">
      <c r="A32" s="2518"/>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43"/>
  <sheetViews>
    <sheetView workbookViewId="0">
      <selection activeCell="B42" sqref="B42"/>
    </sheetView>
  </sheetViews>
  <sheetFormatPr defaultRowHeight="12.75"/>
  <cols>
    <col min="1" max="1" width="29.5703125" style="913" bestFit="1" customWidth="1"/>
    <col min="2" max="2" width="19.85546875" style="2609" customWidth="1"/>
    <col min="3" max="3" width="12" style="913" bestFit="1" customWidth="1"/>
    <col min="4" max="256" width="9.140625" style="913"/>
    <col min="257" max="257" width="29.5703125" style="913" bestFit="1" customWidth="1"/>
    <col min="258" max="258" width="19.85546875" style="913" customWidth="1"/>
    <col min="259" max="259" width="12" style="913" bestFit="1" customWidth="1"/>
    <col min="260" max="512" width="9.140625" style="913"/>
    <col min="513" max="513" width="29.5703125" style="913" bestFit="1" customWidth="1"/>
    <col min="514" max="514" width="19.85546875" style="913" customWidth="1"/>
    <col min="515" max="515" width="12" style="913" bestFit="1" customWidth="1"/>
    <col min="516" max="768" width="9.140625" style="913"/>
    <col min="769" max="769" width="29.5703125" style="913" bestFit="1" customWidth="1"/>
    <col min="770" max="770" width="19.85546875" style="913" customWidth="1"/>
    <col min="771" max="771" width="12" style="913" bestFit="1" customWidth="1"/>
    <col min="772" max="1024" width="9.140625" style="913"/>
    <col min="1025" max="1025" width="29.5703125" style="913" bestFit="1" customWidth="1"/>
    <col min="1026" max="1026" width="19.85546875" style="913" customWidth="1"/>
    <col min="1027" max="1027" width="12" style="913" bestFit="1" customWidth="1"/>
    <col min="1028" max="1280" width="9.140625" style="913"/>
    <col min="1281" max="1281" width="29.5703125" style="913" bestFit="1" customWidth="1"/>
    <col min="1282" max="1282" width="19.85546875" style="913" customWidth="1"/>
    <col min="1283" max="1283" width="12" style="913" bestFit="1" customWidth="1"/>
    <col min="1284" max="1536" width="9.140625" style="913"/>
    <col min="1537" max="1537" width="29.5703125" style="913" bestFit="1" customWidth="1"/>
    <col min="1538" max="1538" width="19.85546875" style="913" customWidth="1"/>
    <col min="1539" max="1539" width="12" style="913" bestFit="1" customWidth="1"/>
    <col min="1540" max="1792" width="9.140625" style="913"/>
    <col min="1793" max="1793" width="29.5703125" style="913" bestFit="1" customWidth="1"/>
    <col min="1794" max="1794" width="19.85546875" style="913" customWidth="1"/>
    <col min="1795" max="1795" width="12" style="913" bestFit="1" customWidth="1"/>
    <col min="1796" max="2048" width="9.140625" style="913"/>
    <col min="2049" max="2049" width="29.5703125" style="913" bestFit="1" customWidth="1"/>
    <col min="2050" max="2050" width="19.85546875" style="913" customWidth="1"/>
    <col min="2051" max="2051" width="12" style="913" bestFit="1" customWidth="1"/>
    <col min="2052" max="2304" width="9.140625" style="913"/>
    <col min="2305" max="2305" width="29.5703125" style="913" bestFit="1" customWidth="1"/>
    <col min="2306" max="2306" width="19.85546875" style="913" customWidth="1"/>
    <col min="2307" max="2307" width="12" style="913" bestFit="1" customWidth="1"/>
    <col min="2308" max="2560" width="9.140625" style="913"/>
    <col min="2561" max="2561" width="29.5703125" style="913" bestFit="1" customWidth="1"/>
    <col min="2562" max="2562" width="19.85546875" style="913" customWidth="1"/>
    <col min="2563" max="2563" width="12" style="913" bestFit="1" customWidth="1"/>
    <col min="2564" max="2816" width="9.140625" style="913"/>
    <col min="2817" max="2817" width="29.5703125" style="913" bestFit="1" customWidth="1"/>
    <col min="2818" max="2818" width="19.85546875" style="913" customWidth="1"/>
    <col min="2819" max="2819" width="12" style="913" bestFit="1" customWidth="1"/>
    <col min="2820" max="3072" width="9.140625" style="913"/>
    <col min="3073" max="3073" width="29.5703125" style="913" bestFit="1" customWidth="1"/>
    <col min="3074" max="3074" width="19.85546875" style="913" customWidth="1"/>
    <col min="3075" max="3075" width="12" style="913" bestFit="1" customWidth="1"/>
    <col min="3076" max="3328" width="9.140625" style="913"/>
    <col min="3329" max="3329" width="29.5703125" style="913" bestFit="1" customWidth="1"/>
    <col min="3330" max="3330" width="19.85546875" style="913" customWidth="1"/>
    <col min="3331" max="3331" width="12" style="913" bestFit="1" customWidth="1"/>
    <col min="3332" max="3584" width="9.140625" style="913"/>
    <col min="3585" max="3585" width="29.5703125" style="913" bestFit="1" customWidth="1"/>
    <col min="3586" max="3586" width="19.85546875" style="913" customWidth="1"/>
    <col min="3587" max="3587" width="12" style="913" bestFit="1" customWidth="1"/>
    <col min="3588" max="3840" width="9.140625" style="913"/>
    <col min="3841" max="3841" width="29.5703125" style="913" bestFit="1" customWidth="1"/>
    <col min="3842" max="3842" width="19.85546875" style="913" customWidth="1"/>
    <col min="3843" max="3843" width="12" style="913" bestFit="1" customWidth="1"/>
    <col min="3844" max="4096" width="9.140625" style="913"/>
    <col min="4097" max="4097" width="29.5703125" style="913" bestFit="1" customWidth="1"/>
    <col min="4098" max="4098" width="19.85546875" style="913" customWidth="1"/>
    <col min="4099" max="4099" width="12" style="913" bestFit="1" customWidth="1"/>
    <col min="4100" max="4352" width="9.140625" style="913"/>
    <col min="4353" max="4353" width="29.5703125" style="913" bestFit="1" customWidth="1"/>
    <col min="4354" max="4354" width="19.85546875" style="913" customWidth="1"/>
    <col min="4355" max="4355" width="12" style="913" bestFit="1" customWidth="1"/>
    <col min="4356" max="4608" width="9.140625" style="913"/>
    <col min="4609" max="4609" width="29.5703125" style="913" bestFit="1" customWidth="1"/>
    <col min="4610" max="4610" width="19.85546875" style="913" customWidth="1"/>
    <col min="4611" max="4611" width="12" style="913" bestFit="1" customWidth="1"/>
    <col min="4612" max="4864" width="9.140625" style="913"/>
    <col min="4865" max="4865" width="29.5703125" style="913" bestFit="1" customWidth="1"/>
    <col min="4866" max="4866" width="19.85546875" style="913" customWidth="1"/>
    <col min="4867" max="4867" width="12" style="913" bestFit="1" customWidth="1"/>
    <col min="4868" max="5120" width="9.140625" style="913"/>
    <col min="5121" max="5121" width="29.5703125" style="913" bestFit="1" customWidth="1"/>
    <col min="5122" max="5122" width="19.85546875" style="913" customWidth="1"/>
    <col min="5123" max="5123" width="12" style="913" bestFit="1" customWidth="1"/>
    <col min="5124" max="5376" width="9.140625" style="913"/>
    <col min="5377" max="5377" width="29.5703125" style="913" bestFit="1" customWidth="1"/>
    <col min="5378" max="5378" width="19.85546875" style="913" customWidth="1"/>
    <col min="5379" max="5379" width="12" style="913" bestFit="1" customWidth="1"/>
    <col min="5380" max="5632" width="9.140625" style="913"/>
    <col min="5633" max="5633" width="29.5703125" style="913" bestFit="1" customWidth="1"/>
    <col min="5634" max="5634" width="19.85546875" style="913" customWidth="1"/>
    <col min="5635" max="5635" width="12" style="913" bestFit="1" customWidth="1"/>
    <col min="5636" max="5888" width="9.140625" style="913"/>
    <col min="5889" max="5889" width="29.5703125" style="913" bestFit="1" customWidth="1"/>
    <col min="5890" max="5890" width="19.85546875" style="913" customWidth="1"/>
    <col min="5891" max="5891" width="12" style="913" bestFit="1" customWidth="1"/>
    <col min="5892" max="6144" width="9.140625" style="913"/>
    <col min="6145" max="6145" width="29.5703125" style="913" bestFit="1" customWidth="1"/>
    <col min="6146" max="6146" width="19.85546875" style="913" customWidth="1"/>
    <col min="6147" max="6147" width="12" style="913" bestFit="1" customWidth="1"/>
    <col min="6148" max="6400" width="9.140625" style="913"/>
    <col min="6401" max="6401" width="29.5703125" style="913" bestFit="1" customWidth="1"/>
    <col min="6402" max="6402" width="19.85546875" style="913" customWidth="1"/>
    <col min="6403" max="6403" width="12" style="913" bestFit="1" customWidth="1"/>
    <col min="6404" max="6656" width="9.140625" style="913"/>
    <col min="6657" max="6657" width="29.5703125" style="913" bestFit="1" customWidth="1"/>
    <col min="6658" max="6658" width="19.85546875" style="913" customWidth="1"/>
    <col min="6659" max="6659" width="12" style="913" bestFit="1" customWidth="1"/>
    <col min="6660" max="6912" width="9.140625" style="913"/>
    <col min="6913" max="6913" width="29.5703125" style="913" bestFit="1" customWidth="1"/>
    <col min="6914" max="6914" width="19.85546875" style="913" customWidth="1"/>
    <col min="6915" max="6915" width="12" style="913" bestFit="1" customWidth="1"/>
    <col min="6916" max="7168" width="9.140625" style="913"/>
    <col min="7169" max="7169" width="29.5703125" style="913" bestFit="1" customWidth="1"/>
    <col min="7170" max="7170" width="19.85546875" style="913" customWidth="1"/>
    <col min="7171" max="7171" width="12" style="913" bestFit="1" customWidth="1"/>
    <col min="7172" max="7424" width="9.140625" style="913"/>
    <col min="7425" max="7425" width="29.5703125" style="913" bestFit="1" customWidth="1"/>
    <col min="7426" max="7426" width="19.85546875" style="913" customWidth="1"/>
    <col min="7427" max="7427" width="12" style="913" bestFit="1" customWidth="1"/>
    <col min="7428" max="7680" width="9.140625" style="913"/>
    <col min="7681" max="7681" width="29.5703125" style="913" bestFit="1" customWidth="1"/>
    <col min="7682" max="7682" width="19.85546875" style="913" customWidth="1"/>
    <col min="7683" max="7683" width="12" style="913" bestFit="1" customWidth="1"/>
    <col min="7684" max="7936" width="9.140625" style="913"/>
    <col min="7937" max="7937" width="29.5703125" style="913" bestFit="1" customWidth="1"/>
    <col min="7938" max="7938" width="19.85546875" style="913" customWidth="1"/>
    <col min="7939" max="7939" width="12" style="913" bestFit="1" customWidth="1"/>
    <col min="7940" max="8192" width="9.140625" style="913"/>
    <col min="8193" max="8193" width="29.5703125" style="913" bestFit="1" customWidth="1"/>
    <col min="8194" max="8194" width="19.85546875" style="913" customWidth="1"/>
    <col min="8195" max="8195" width="12" style="913" bestFit="1" customWidth="1"/>
    <col min="8196" max="8448" width="9.140625" style="913"/>
    <col min="8449" max="8449" width="29.5703125" style="913" bestFit="1" customWidth="1"/>
    <col min="8450" max="8450" width="19.85546875" style="913" customWidth="1"/>
    <col min="8451" max="8451" width="12" style="913" bestFit="1" customWidth="1"/>
    <col min="8452" max="8704" width="9.140625" style="913"/>
    <col min="8705" max="8705" width="29.5703125" style="913" bestFit="1" customWidth="1"/>
    <col min="8706" max="8706" width="19.85546875" style="913" customWidth="1"/>
    <col min="8707" max="8707" width="12" style="913" bestFit="1" customWidth="1"/>
    <col min="8708" max="8960" width="9.140625" style="913"/>
    <col min="8961" max="8961" width="29.5703125" style="913" bestFit="1" customWidth="1"/>
    <col min="8962" max="8962" width="19.85546875" style="913" customWidth="1"/>
    <col min="8963" max="8963" width="12" style="913" bestFit="1" customWidth="1"/>
    <col min="8964" max="9216" width="9.140625" style="913"/>
    <col min="9217" max="9217" width="29.5703125" style="913" bestFit="1" customWidth="1"/>
    <col min="9218" max="9218" width="19.85546875" style="913" customWidth="1"/>
    <col min="9219" max="9219" width="12" style="913" bestFit="1" customWidth="1"/>
    <col min="9220" max="9472" width="9.140625" style="913"/>
    <col min="9473" max="9473" width="29.5703125" style="913" bestFit="1" customWidth="1"/>
    <col min="9474" max="9474" width="19.85546875" style="913" customWidth="1"/>
    <col min="9475" max="9475" width="12" style="913" bestFit="1" customWidth="1"/>
    <col min="9476" max="9728" width="9.140625" style="913"/>
    <col min="9729" max="9729" width="29.5703125" style="913" bestFit="1" customWidth="1"/>
    <col min="9730" max="9730" width="19.85546875" style="913" customWidth="1"/>
    <col min="9731" max="9731" width="12" style="913" bestFit="1" customWidth="1"/>
    <col min="9732" max="9984" width="9.140625" style="913"/>
    <col min="9985" max="9985" width="29.5703125" style="913" bestFit="1" customWidth="1"/>
    <col min="9986" max="9986" width="19.85546875" style="913" customWidth="1"/>
    <col min="9987" max="9987" width="12" style="913" bestFit="1" customWidth="1"/>
    <col min="9988" max="10240" width="9.140625" style="913"/>
    <col min="10241" max="10241" width="29.5703125" style="913" bestFit="1" customWidth="1"/>
    <col min="10242" max="10242" width="19.85546875" style="913" customWidth="1"/>
    <col min="10243" max="10243" width="12" style="913" bestFit="1" customWidth="1"/>
    <col min="10244" max="10496" width="9.140625" style="913"/>
    <col min="10497" max="10497" width="29.5703125" style="913" bestFit="1" customWidth="1"/>
    <col min="10498" max="10498" width="19.85546875" style="913" customWidth="1"/>
    <col min="10499" max="10499" width="12" style="913" bestFit="1" customWidth="1"/>
    <col min="10500" max="10752" width="9.140625" style="913"/>
    <col min="10753" max="10753" width="29.5703125" style="913" bestFit="1" customWidth="1"/>
    <col min="10754" max="10754" width="19.85546875" style="913" customWidth="1"/>
    <col min="10755" max="10755" width="12" style="913" bestFit="1" customWidth="1"/>
    <col min="10756" max="11008" width="9.140625" style="913"/>
    <col min="11009" max="11009" width="29.5703125" style="913" bestFit="1" customWidth="1"/>
    <col min="11010" max="11010" width="19.85546875" style="913" customWidth="1"/>
    <col min="11011" max="11011" width="12" style="913" bestFit="1" customWidth="1"/>
    <col min="11012" max="11264" width="9.140625" style="913"/>
    <col min="11265" max="11265" width="29.5703125" style="913" bestFit="1" customWidth="1"/>
    <col min="11266" max="11266" width="19.85546875" style="913" customWidth="1"/>
    <col min="11267" max="11267" width="12" style="913" bestFit="1" customWidth="1"/>
    <col min="11268" max="11520" width="9.140625" style="913"/>
    <col min="11521" max="11521" width="29.5703125" style="913" bestFit="1" customWidth="1"/>
    <col min="11522" max="11522" width="19.85546875" style="913" customWidth="1"/>
    <col min="11523" max="11523" width="12" style="913" bestFit="1" customWidth="1"/>
    <col min="11524" max="11776" width="9.140625" style="913"/>
    <col min="11777" max="11777" width="29.5703125" style="913" bestFit="1" customWidth="1"/>
    <col min="11778" max="11778" width="19.85546875" style="913" customWidth="1"/>
    <col min="11779" max="11779" width="12" style="913" bestFit="1" customWidth="1"/>
    <col min="11780" max="12032" width="9.140625" style="913"/>
    <col min="12033" max="12033" width="29.5703125" style="913" bestFit="1" customWidth="1"/>
    <col min="12034" max="12034" width="19.85546875" style="913" customWidth="1"/>
    <col min="12035" max="12035" width="12" style="913" bestFit="1" customWidth="1"/>
    <col min="12036" max="12288" width="9.140625" style="913"/>
    <col min="12289" max="12289" width="29.5703125" style="913" bestFit="1" customWidth="1"/>
    <col min="12290" max="12290" width="19.85546875" style="913" customWidth="1"/>
    <col min="12291" max="12291" width="12" style="913" bestFit="1" customWidth="1"/>
    <col min="12292" max="12544" width="9.140625" style="913"/>
    <col min="12545" max="12545" width="29.5703125" style="913" bestFit="1" customWidth="1"/>
    <col min="12546" max="12546" width="19.85546875" style="913" customWidth="1"/>
    <col min="12547" max="12547" width="12" style="913" bestFit="1" customWidth="1"/>
    <col min="12548" max="12800" width="9.140625" style="913"/>
    <col min="12801" max="12801" width="29.5703125" style="913" bestFit="1" customWidth="1"/>
    <col min="12802" max="12802" width="19.85546875" style="913" customWidth="1"/>
    <col min="12803" max="12803" width="12" style="913" bestFit="1" customWidth="1"/>
    <col min="12804" max="13056" width="9.140625" style="913"/>
    <col min="13057" max="13057" width="29.5703125" style="913" bestFit="1" customWidth="1"/>
    <col min="13058" max="13058" width="19.85546875" style="913" customWidth="1"/>
    <col min="13059" max="13059" width="12" style="913" bestFit="1" customWidth="1"/>
    <col min="13060" max="13312" width="9.140625" style="913"/>
    <col min="13313" max="13313" width="29.5703125" style="913" bestFit="1" customWidth="1"/>
    <col min="13314" max="13314" width="19.85546875" style="913" customWidth="1"/>
    <col min="13315" max="13315" width="12" style="913" bestFit="1" customWidth="1"/>
    <col min="13316" max="13568" width="9.140625" style="913"/>
    <col min="13569" max="13569" width="29.5703125" style="913" bestFit="1" customWidth="1"/>
    <col min="13570" max="13570" width="19.85546875" style="913" customWidth="1"/>
    <col min="13571" max="13571" width="12" style="913" bestFit="1" customWidth="1"/>
    <col min="13572" max="13824" width="9.140625" style="913"/>
    <col min="13825" max="13825" width="29.5703125" style="913" bestFit="1" customWidth="1"/>
    <col min="13826" max="13826" width="19.85546875" style="913" customWidth="1"/>
    <col min="13827" max="13827" width="12" style="913" bestFit="1" customWidth="1"/>
    <col min="13828" max="14080" width="9.140625" style="913"/>
    <col min="14081" max="14081" width="29.5703125" style="913" bestFit="1" customWidth="1"/>
    <col min="14082" max="14082" width="19.85546875" style="913" customWidth="1"/>
    <col min="14083" max="14083" width="12" style="913" bestFit="1" customWidth="1"/>
    <col min="14084" max="14336" width="9.140625" style="913"/>
    <col min="14337" max="14337" width="29.5703125" style="913" bestFit="1" customWidth="1"/>
    <col min="14338" max="14338" width="19.85546875" style="913" customWidth="1"/>
    <col min="14339" max="14339" width="12" style="913" bestFit="1" customWidth="1"/>
    <col min="14340" max="14592" width="9.140625" style="913"/>
    <col min="14593" max="14593" width="29.5703125" style="913" bestFit="1" customWidth="1"/>
    <col min="14594" max="14594" width="19.85546875" style="913" customWidth="1"/>
    <col min="14595" max="14595" width="12" style="913" bestFit="1" customWidth="1"/>
    <col min="14596" max="14848" width="9.140625" style="913"/>
    <col min="14849" max="14849" width="29.5703125" style="913" bestFit="1" customWidth="1"/>
    <col min="14850" max="14850" width="19.85546875" style="913" customWidth="1"/>
    <col min="14851" max="14851" width="12" style="913" bestFit="1" customWidth="1"/>
    <col min="14852" max="15104" width="9.140625" style="913"/>
    <col min="15105" max="15105" width="29.5703125" style="913" bestFit="1" customWidth="1"/>
    <col min="15106" max="15106" width="19.85546875" style="913" customWidth="1"/>
    <col min="15107" max="15107" width="12" style="913" bestFit="1" customWidth="1"/>
    <col min="15108" max="15360" width="9.140625" style="913"/>
    <col min="15361" max="15361" width="29.5703125" style="913" bestFit="1" customWidth="1"/>
    <col min="15362" max="15362" width="19.85546875" style="913" customWidth="1"/>
    <col min="15363" max="15363" width="12" style="913" bestFit="1" customWidth="1"/>
    <col min="15364" max="15616" width="9.140625" style="913"/>
    <col min="15617" max="15617" width="29.5703125" style="913" bestFit="1" customWidth="1"/>
    <col min="15618" max="15618" width="19.85546875" style="913" customWidth="1"/>
    <col min="15619" max="15619" width="12" style="913" bestFit="1" customWidth="1"/>
    <col min="15620" max="15872" width="9.140625" style="913"/>
    <col min="15873" max="15873" width="29.5703125" style="913" bestFit="1" customWidth="1"/>
    <col min="15874" max="15874" width="19.85546875" style="913" customWidth="1"/>
    <col min="15875" max="15875" width="12" style="913" bestFit="1" customWidth="1"/>
    <col min="15876" max="16128" width="9.140625" style="913"/>
    <col min="16129" max="16129" width="29.5703125" style="913" bestFit="1" customWidth="1"/>
    <col min="16130" max="16130" width="19.85546875" style="913" customWidth="1"/>
    <col min="16131" max="16131" width="12" style="913" bestFit="1" customWidth="1"/>
    <col min="16132" max="16384" width="9.140625" style="913"/>
  </cols>
  <sheetData>
    <row r="1" spans="1:2">
      <c r="A1" s="913" t="s">
        <v>2071</v>
      </c>
      <c r="B1" s="2608">
        <v>6.1</v>
      </c>
    </row>
    <row r="2" spans="1:2">
      <c r="A2" s="913" t="s">
        <v>2072</v>
      </c>
      <c r="B2" s="2612">
        <v>43018.620995370373</v>
      </c>
    </row>
    <row r="3" spans="1:2">
      <c r="A3" s="913" t="s">
        <v>2073</v>
      </c>
      <c r="B3" s="2609" t="s">
        <v>1797</v>
      </c>
    </row>
    <row r="4" spans="1:2">
      <c r="A4" s="913" t="s">
        <v>2074</v>
      </c>
      <c r="B4" s="2609" t="s">
        <v>285</v>
      </c>
    </row>
    <row r="5" spans="1:2">
      <c r="A5" s="913" t="s">
        <v>2075</v>
      </c>
      <c r="B5" s="2609" t="s">
        <v>1734</v>
      </c>
    </row>
    <row r="6" spans="1:2">
      <c r="A6" s="913" t="s">
        <v>2076</v>
      </c>
    </row>
    <row r="7" spans="1:2">
      <c r="A7" s="913" t="s">
        <v>2077</v>
      </c>
      <c r="B7" s="2609" t="s">
        <v>22</v>
      </c>
    </row>
    <row r="8" spans="1:2">
      <c r="A8" s="913" t="s">
        <v>2078</v>
      </c>
      <c r="B8" s="2609" t="s">
        <v>2079</v>
      </c>
    </row>
    <row r="9" spans="1:2">
      <c r="A9" s="913" t="s">
        <v>67</v>
      </c>
      <c r="B9" s="2609" t="s">
        <v>2116</v>
      </c>
    </row>
    <row r="10" spans="1:2">
      <c r="A10" s="913" t="s">
        <v>2080</v>
      </c>
    </row>
    <row r="11" spans="1:2">
      <c r="A11" s="913" t="s">
        <v>2081</v>
      </c>
    </row>
    <row r="12" spans="1:2">
      <c r="A12" s="913" t="s">
        <v>2082</v>
      </c>
    </row>
    <row r="13" spans="1:2">
      <c r="A13" s="913" t="s">
        <v>2083</v>
      </c>
    </row>
    <row r="14" spans="1:2">
      <c r="A14" s="913" t="s">
        <v>2084</v>
      </c>
    </row>
    <row r="15" spans="1:2">
      <c r="A15" s="913" t="s">
        <v>2085</v>
      </c>
    </row>
    <row r="16" spans="1:2">
      <c r="A16" s="913" t="s">
        <v>2086</v>
      </c>
    </row>
    <row r="17" spans="1:4">
      <c r="A17" s="913" t="s">
        <v>2087</v>
      </c>
      <c r="B17" s="2609" t="s">
        <v>2117</v>
      </c>
    </row>
    <row r="18" spans="1:4">
      <c r="A18" s="913" t="s">
        <v>2088</v>
      </c>
      <c r="B18" s="2609" t="s">
        <v>2120</v>
      </c>
    </row>
    <row r="19" spans="1:4">
      <c r="A19" s="913" t="s">
        <v>2089</v>
      </c>
      <c r="B19" s="2609" t="s">
        <v>21</v>
      </c>
    </row>
    <row r="20" spans="1:4">
      <c r="A20" s="913" t="s">
        <v>2090</v>
      </c>
      <c r="B20" s="2610"/>
    </row>
    <row r="21" spans="1:4">
      <c r="A21" s="913" t="s">
        <v>2091</v>
      </c>
      <c r="B21" s="2609" t="s">
        <v>21</v>
      </c>
    </row>
    <row r="22" spans="1:4">
      <c r="A22" s="913" t="s">
        <v>2092</v>
      </c>
      <c r="B22" s="2610" t="s">
        <v>181</v>
      </c>
    </row>
    <row r="23" spans="1:4">
      <c r="A23" s="913" t="s">
        <v>1310</v>
      </c>
      <c r="B23" s="2608">
        <v>18.62</v>
      </c>
    </row>
    <row r="24" spans="1:4">
      <c r="A24" s="913" t="s">
        <v>1309</v>
      </c>
      <c r="B24" s="2609" t="s">
        <v>23</v>
      </c>
      <c r="D24" s="913" t="s">
        <v>335</v>
      </c>
    </row>
    <row r="25" spans="1:4">
      <c r="A25" s="913" t="s">
        <v>2093</v>
      </c>
      <c r="B25" s="2609" t="s">
        <v>2121</v>
      </c>
    </row>
    <row r="26" spans="1:4">
      <c r="A26" s="913" t="s">
        <v>2094</v>
      </c>
      <c r="B26" s="2609">
        <v>0</v>
      </c>
    </row>
    <row r="27" spans="1:4">
      <c r="A27" s="913" t="s">
        <v>2095</v>
      </c>
      <c r="B27" s="2609" t="s">
        <v>2096</v>
      </c>
    </row>
    <row r="28" spans="1:4">
      <c r="A28" s="913" t="s">
        <v>2097</v>
      </c>
      <c r="B28" s="2609" t="s">
        <v>2098</v>
      </c>
    </row>
    <row r="29" spans="1:4">
      <c r="A29" s="913" t="s">
        <v>2099</v>
      </c>
    </row>
    <row r="30" spans="1:4">
      <c r="A30" s="913" t="s">
        <v>2100</v>
      </c>
    </row>
    <row r="31" spans="1:4">
      <c r="A31" s="913" t="s">
        <v>2101</v>
      </c>
    </row>
    <row r="32" spans="1:4">
      <c r="A32" s="913" t="s">
        <v>2102</v>
      </c>
      <c r="B32" s="2608"/>
    </row>
    <row r="33" spans="1:2">
      <c r="A33" s="913" t="s">
        <v>2103</v>
      </c>
      <c r="B33" s="2608"/>
    </row>
    <row r="34" spans="1:2">
      <c r="A34" s="913" t="s">
        <v>2104</v>
      </c>
      <c r="B34" s="2608"/>
    </row>
    <row r="35" spans="1:2">
      <c r="A35" s="913" t="s">
        <v>2105</v>
      </c>
      <c r="B35" s="2609">
        <v>1000000</v>
      </c>
    </row>
    <row r="36" spans="1:2">
      <c r="A36" s="913" t="s">
        <v>2106</v>
      </c>
      <c r="B36" s="2609" t="s">
        <v>2118</v>
      </c>
    </row>
    <row r="37" spans="1:2">
      <c r="A37" s="913" t="s">
        <v>2107</v>
      </c>
      <c r="B37" s="2609" t="s">
        <v>2108</v>
      </c>
    </row>
    <row r="38" spans="1:2">
      <c r="A38" s="913" t="s">
        <v>2109</v>
      </c>
      <c r="B38" s="2609" t="s">
        <v>2110</v>
      </c>
    </row>
    <row r="39" spans="1:2">
      <c r="A39" s="913" t="s">
        <v>2111</v>
      </c>
      <c r="B39" s="2609" t="s">
        <v>2119</v>
      </c>
    </row>
    <row r="40" spans="1:2">
      <c r="A40" s="913" t="s">
        <v>2112</v>
      </c>
      <c r="B40" s="2609">
        <v>1500005502</v>
      </c>
    </row>
    <row r="41" spans="1:2">
      <c r="A41" s="913" t="s">
        <v>2113</v>
      </c>
      <c r="B41" s="2609">
        <v>2</v>
      </c>
    </row>
    <row r="42" spans="1:2">
      <c r="A42" s="2611" t="s">
        <v>2114</v>
      </c>
    </row>
    <row r="43" spans="1:2">
      <c r="A43" s="913" t="s">
        <v>2115</v>
      </c>
    </row>
  </sheetData>
  <pageMargins left="0.75" right="0.75" top="1" bottom="1" header="0.5" footer="0.5"/>
  <pageSetup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13"/>
  <sheetViews>
    <sheetView workbookViewId="0">
      <selection activeCell="E11" sqref="E11"/>
    </sheetView>
  </sheetViews>
  <sheetFormatPr defaultRowHeight="12.75"/>
  <cols>
    <col min="1" max="1" width="28.5703125" style="913" bestFit="1" customWidth="1"/>
    <col min="2" max="256" width="9.140625" style="913"/>
    <col min="257" max="257" width="28.5703125" style="913" bestFit="1" customWidth="1"/>
    <col min="258" max="512" width="9.140625" style="913"/>
    <col min="513" max="513" width="28.5703125" style="913" bestFit="1" customWidth="1"/>
    <col min="514" max="768" width="9.140625" style="913"/>
    <col min="769" max="769" width="28.5703125" style="913" bestFit="1" customWidth="1"/>
    <col min="770" max="1024" width="9.140625" style="913"/>
    <col min="1025" max="1025" width="28.5703125" style="913" bestFit="1" customWidth="1"/>
    <col min="1026" max="1280" width="9.140625" style="913"/>
    <col min="1281" max="1281" width="28.5703125" style="913" bestFit="1" customWidth="1"/>
    <col min="1282" max="1536" width="9.140625" style="913"/>
    <col min="1537" max="1537" width="28.5703125" style="913" bestFit="1" customWidth="1"/>
    <col min="1538" max="1792" width="9.140625" style="913"/>
    <col min="1793" max="1793" width="28.5703125" style="913" bestFit="1" customWidth="1"/>
    <col min="1794" max="2048" width="9.140625" style="913"/>
    <col min="2049" max="2049" width="28.5703125" style="913" bestFit="1" customWidth="1"/>
    <col min="2050" max="2304" width="9.140625" style="913"/>
    <col min="2305" max="2305" width="28.5703125" style="913" bestFit="1" customWidth="1"/>
    <col min="2306" max="2560" width="9.140625" style="913"/>
    <col min="2561" max="2561" width="28.5703125" style="913" bestFit="1" customWidth="1"/>
    <col min="2562" max="2816" width="9.140625" style="913"/>
    <col min="2817" max="2817" width="28.5703125" style="913" bestFit="1" customWidth="1"/>
    <col min="2818" max="3072" width="9.140625" style="913"/>
    <col min="3073" max="3073" width="28.5703125" style="913" bestFit="1" customWidth="1"/>
    <col min="3074" max="3328" width="9.140625" style="913"/>
    <col min="3329" max="3329" width="28.5703125" style="913" bestFit="1" customWidth="1"/>
    <col min="3330" max="3584" width="9.140625" style="913"/>
    <col min="3585" max="3585" width="28.5703125" style="913" bestFit="1" customWidth="1"/>
    <col min="3586" max="3840" width="9.140625" style="913"/>
    <col min="3841" max="3841" width="28.5703125" style="913" bestFit="1" customWidth="1"/>
    <col min="3842" max="4096" width="9.140625" style="913"/>
    <col min="4097" max="4097" width="28.5703125" style="913" bestFit="1" customWidth="1"/>
    <col min="4098" max="4352" width="9.140625" style="913"/>
    <col min="4353" max="4353" width="28.5703125" style="913" bestFit="1" customWidth="1"/>
    <col min="4354" max="4608" width="9.140625" style="913"/>
    <col min="4609" max="4609" width="28.5703125" style="913" bestFit="1" customWidth="1"/>
    <col min="4610" max="4864" width="9.140625" style="913"/>
    <col min="4865" max="4865" width="28.5703125" style="913" bestFit="1" customWidth="1"/>
    <col min="4866" max="5120" width="9.140625" style="913"/>
    <col min="5121" max="5121" width="28.5703125" style="913" bestFit="1" customWidth="1"/>
    <col min="5122" max="5376" width="9.140625" style="913"/>
    <col min="5377" max="5377" width="28.5703125" style="913" bestFit="1" customWidth="1"/>
    <col min="5378" max="5632" width="9.140625" style="913"/>
    <col min="5633" max="5633" width="28.5703125" style="913" bestFit="1" customWidth="1"/>
    <col min="5634" max="5888" width="9.140625" style="913"/>
    <col min="5889" max="5889" width="28.5703125" style="913" bestFit="1" customWidth="1"/>
    <col min="5890" max="6144" width="9.140625" style="913"/>
    <col min="6145" max="6145" width="28.5703125" style="913" bestFit="1" customWidth="1"/>
    <col min="6146" max="6400" width="9.140625" style="913"/>
    <col min="6401" max="6401" width="28.5703125" style="913" bestFit="1" customWidth="1"/>
    <col min="6402" max="6656" width="9.140625" style="913"/>
    <col min="6657" max="6657" width="28.5703125" style="913" bestFit="1" customWidth="1"/>
    <col min="6658" max="6912" width="9.140625" style="913"/>
    <col min="6913" max="6913" width="28.5703125" style="913" bestFit="1" customWidth="1"/>
    <col min="6914" max="7168" width="9.140625" style="913"/>
    <col min="7169" max="7169" width="28.5703125" style="913" bestFit="1" customWidth="1"/>
    <col min="7170" max="7424" width="9.140625" style="913"/>
    <col min="7425" max="7425" width="28.5703125" style="913" bestFit="1" customWidth="1"/>
    <col min="7426" max="7680" width="9.140625" style="913"/>
    <col min="7681" max="7681" width="28.5703125" style="913" bestFit="1" customWidth="1"/>
    <col min="7682" max="7936" width="9.140625" style="913"/>
    <col min="7937" max="7937" width="28.5703125" style="913" bestFit="1" customWidth="1"/>
    <col min="7938" max="8192" width="9.140625" style="913"/>
    <col min="8193" max="8193" width="28.5703125" style="913" bestFit="1" customWidth="1"/>
    <col min="8194" max="8448" width="9.140625" style="913"/>
    <col min="8449" max="8449" width="28.5703125" style="913" bestFit="1" customWidth="1"/>
    <col min="8450" max="8704" width="9.140625" style="913"/>
    <col min="8705" max="8705" width="28.5703125" style="913" bestFit="1" customWidth="1"/>
    <col min="8706" max="8960" width="9.140625" style="913"/>
    <col min="8961" max="8961" width="28.5703125" style="913" bestFit="1" customWidth="1"/>
    <col min="8962" max="9216" width="9.140625" style="913"/>
    <col min="9217" max="9217" width="28.5703125" style="913" bestFit="1" customWidth="1"/>
    <col min="9218" max="9472" width="9.140625" style="913"/>
    <col min="9473" max="9473" width="28.5703125" style="913" bestFit="1" customWidth="1"/>
    <col min="9474" max="9728" width="9.140625" style="913"/>
    <col min="9729" max="9729" width="28.5703125" style="913" bestFit="1" customWidth="1"/>
    <col min="9730" max="9984" width="9.140625" style="913"/>
    <col min="9985" max="9985" width="28.5703125" style="913" bestFit="1" customWidth="1"/>
    <col min="9986" max="10240" width="9.140625" style="913"/>
    <col min="10241" max="10241" width="28.5703125" style="913" bestFit="1" customWidth="1"/>
    <col min="10242" max="10496" width="9.140625" style="913"/>
    <col min="10497" max="10497" width="28.5703125" style="913" bestFit="1" customWidth="1"/>
    <col min="10498" max="10752" width="9.140625" style="913"/>
    <col min="10753" max="10753" width="28.5703125" style="913" bestFit="1" customWidth="1"/>
    <col min="10754" max="11008" width="9.140625" style="913"/>
    <col min="11009" max="11009" width="28.5703125" style="913" bestFit="1" customWidth="1"/>
    <col min="11010" max="11264" width="9.140625" style="913"/>
    <col min="11265" max="11265" width="28.5703125" style="913" bestFit="1" customWidth="1"/>
    <col min="11266" max="11520" width="9.140625" style="913"/>
    <col min="11521" max="11521" width="28.5703125" style="913" bestFit="1" customWidth="1"/>
    <col min="11522" max="11776" width="9.140625" style="913"/>
    <col min="11777" max="11777" width="28.5703125" style="913" bestFit="1" customWidth="1"/>
    <col min="11778" max="12032" width="9.140625" style="913"/>
    <col min="12033" max="12033" width="28.5703125" style="913" bestFit="1" customWidth="1"/>
    <col min="12034" max="12288" width="9.140625" style="913"/>
    <col min="12289" max="12289" width="28.5703125" style="913" bestFit="1" customWidth="1"/>
    <col min="12290" max="12544" width="9.140625" style="913"/>
    <col min="12545" max="12545" width="28.5703125" style="913" bestFit="1" customWidth="1"/>
    <col min="12546" max="12800" width="9.140625" style="913"/>
    <col min="12801" max="12801" width="28.5703125" style="913" bestFit="1" customWidth="1"/>
    <col min="12802" max="13056" width="9.140625" style="913"/>
    <col min="13057" max="13057" width="28.5703125" style="913" bestFit="1" customWidth="1"/>
    <col min="13058" max="13312" width="9.140625" style="913"/>
    <col min="13313" max="13313" width="28.5703125" style="913" bestFit="1" customWidth="1"/>
    <col min="13314" max="13568" width="9.140625" style="913"/>
    <col min="13569" max="13569" width="28.5703125" style="913" bestFit="1" customWidth="1"/>
    <col min="13570" max="13824" width="9.140625" style="913"/>
    <col min="13825" max="13825" width="28.5703125" style="913" bestFit="1" customWidth="1"/>
    <col min="13826" max="14080" width="9.140625" style="913"/>
    <col min="14081" max="14081" width="28.5703125" style="913" bestFit="1" customWidth="1"/>
    <col min="14082" max="14336" width="9.140625" style="913"/>
    <col min="14337" max="14337" width="28.5703125" style="913" bestFit="1" customWidth="1"/>
    <col min="14338" max="14592" width="9.140625" style="913"/>
    <col min="14593" max="14593" width="28.5703125" style="913" bestFit="1" customWidth="1"/>
    <col min="14594" max="14848" width="9.140625" style="913"/>
    <col min="14849" max="14849" width="28.5703125" style="913" bestFit="1" customWidth="1"/>
    <col min="14850" max="15104" width="9.140625" style="913"/>
    <col min="15105" max="15105" width="28.5703125" style="913" bestFit="1" customWidth="1"/>
    <col min="15106" max="15360" width="9.140625" style="913"/>
    <col min="15361" max="15361" width="28.5703125" style="913" bestFit="1" customWidth="1"/>
    <col min="15362" max="15616" width="9.140625" style="913"/>
    <col min="15617" max="15617" width="28.5703125" style="913" bestFit="1" customWidth="1"/>
    <col min="15618" max="15872" width="9.140625" style="913"/>
    <col min="15873" max="15873" width="28.5703125" style="913" bestFit="1" customWidth="1"/>
    <col min="15874" max="16128" width="9.140625" style="913"/>
    <col min="16129" max="16129" width="28.5703125" style="913" bestFit="1" customWidth="1"/>
    <col min="16130" max="16384" width="9.140625" style="913"/>
  </cols>
  <sheetData>
    <row r="1" spans="1:1">
      <c r="A1" s="2613" t="s">
        <v>2122</v>
      </c>
    </row>
    <row r="2" spans="1:1">
      <c r="A2" s="2613" t="s">
        <v>2127</v>
      </c>
    </row>
    <row r="3" spans="1:1">
      <c r="A3" s="2613" t="s">
        <v>2128</v>
      </c>
    </row>
    <row r="4" spans="1:1">
      <c r="A4" s="2613" t="s">
        <v>2129</v>
      </c>
    </row>
    <row r="5" spans="1:1">
      <c r="A5" s="2613" t="s">
        <v>2130</v>
      </c>
    </row>
    <row r="6" spans="1:1">
      <c r="A6" s="2613" t="s">
        <v>2123</v>
      </c>
    </row>
    <row r="7" spans="1:1">
      <c r="A7" s="2613" t="s">
        <v>2131</v>
      </c>
    </row>
    <row r="8" spans="1:1">
      <c r="A8" s="2613" t="s">
        <v>2132</v>
      </c>
    </row>
    <row r="9" spans="1:1">
      <c r="A9" s="2613" t="s">
        <v>2133</v>
      </c>
    </row>
    <row r="10" spans="1:1">
      <c r="A10" s="2613" t="s">
        <v>2124</v>
      </c>
    </row>
    <row r="11" spans="1:1">
      <c r="A11" s="2613" t="s">
        <v>2134</v>
      </c>
    </row>
    <row r="12" spans="1:1">
      <c r="A12" s="2613" t="s">
        <v>2125</v>
      </c>
    </row>
    <row r="13" spans="1:1">
      <c r="A13" s="2613" t="s">
        <v>2126</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Link>
    <GUID>d8f814a3-907c-49b4-8e14-59e88f983c77</GUID>
    <SOURCE_ALTADDRESS>$B$4:$K$14</SOURCE_ALTADDRESS>
    <SOURCETYPE>Table</SOURCETYPE>
    <SOURCE_OBJECTNAME>Linking_Range_9</SOURCE_OBJECTNAME>
    <OBJECTTYPE>Native</OBJECTTYPE>
    <SOURCE_SHEETCODE>Sheet12</SOURCE_SHEETCODE>
    <SOURCE_SHEETNAME>Summary</SOURCE_SHEETNAME>
    <SOURCEAPPLICATION>EXCEL_SOURCE</SOURCEAPPLICATION>
    <UPDATEDAT>4/7/2015 2:53:46 PM</UPDATEDAT>
    <SOURCE_ISOUTOFDATE>False</SOURCE_ISOUTOFDATE>
    <SOURCE_WORKBOOKNAME>SMTO3Model.xlsm</SOURCE_WORKBOOKNAME>
    <SOURCE_WORKBOOKPATH>\\msad\root\NA\NABO\SP\lib\ER\Small Caps SP\Agri\Sugarcane\Companies\Sao Martinho\Model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/MSResearch/Content/ExternalAssets/2015-03/Images/HSliSJMzkkW6bdLCetIFYg--.png</TARGET_BINARYFULLNAME>
    <TARGET_STORYFULLNAME>/MSResearch/Content/ExternalAssets/2015-03/Sections/20150306_034617_Linking_Range_9.xml</TARGET_STORYFULLNAME>
    <TARGET_UUID>414442f6-c3dd-11e4-88af-319e7ae7f514</TARGET_UUID>
    <TRANSPARENTBACKGROUND>False</TRANSPARENTBACKGROUND>
    <TRANSPARENTPLOTAREA>False</TRANSPARENTPLOTAREA>
    <LINKSTATUS>Unknown</LINKSTATUS>
  </Link>
  <Link>
    <GUID>278e418f-51bd-4443-9e3d-0913b63f6420</GUID>
    <SOURCE_ALTADDRESS>$B$4:$K$31</SOURCE_ALTADDRESS>
    <SOURCETYPE>Table</SOURCETYPE>
    <SOURCE_OBJECTNAME>Linking_Range_12</SOURCE_OBJECTNAME>
    <OBJECTTYPE>Native</OBJECTTYPE>
    <SOURCE_SHEETCODE>Sheet12</SOURCE_SHEETCODE>
    <SOURCE_SHEETNAME>Summary</SOURCE_SHEETNAME>
    <SOURCEAPPLICATION>EXCEL_SOURCE</SOURCEAPPLICATION>
    <UPDATEDAT>4/7/2015 2:53:50 PM</UPDATEDAT>
    <SOURCE_ISOUTOFDATE>False</SOURCE_ISOUTOFDATE>
    <SOURCE_WORKBOOKNAME>SMTO3Model.xlsm</SOURCE_WORKBOOKNAME>
    <SOURCE_WORKBOOKPATH>\\msad\root\NA\NABO\SP\lib\ER\Small Caps SP\Agri\Sugarcane\Companies\Sao Martinho\Model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/MSResearch/Content/ExternalAssets/2015-03/Images/5ht4hQ75ZkumYAvQhcqE6g--.png</TARGET_BINARYFULLNAME>
    <TARGET_STORYFULLNAME>/MSResearch/Content/ExternalAssets/2015-03/Sections/20150326_074703_Linking_Range_12.xml</TARGET_STORYFULLNAME>
    <TARGET_UUID>d228f020-d3ad-11e4-85cd-32a6e52d529f</TARGET_UUID>
    <LINKSTATUS>Unknown</LINKSTATUS>
  </Link>
  <Link>
    <GUID>0694ca32-22d7-42f4-accf-1826bf6e9d8c</GUID>
    <SOURCETYPE>Chart</SOURCETYPE>
    <SOURCE_OBJECTNAME>MWA_Risk_Reward</SOURCE_OBJECTNAME>
    <SOURCE_SHEETCODE>MWRSSData</SOURCE_SHEETCODE>
    <SOURCE_SHEETNAME>MWA RR</SOURCE_SHEETNAME>
    <OBJECTTYPE>Native</OBJECTTYPE>
    <SOURCEAPPLICATION>EXCEL_SOURCE</SOURCEAPPLICATION>
    <UPDATEDAT>4/7/2015 3:33:38 PM</UPDATEDAT>
    <SOURCE_ISOUTOFDATE>False</SOURCE_ISOUTOFDATE>
    <SOURCE_WORKBOOKNAME>SMTO3Model.xlsm</SOURCE_WORKBOOKNAME>
    <SOURCE_WORKBOOKPATH>\\msad\root\NA\NABO\SP\lib\ER\Small Caps SP\Agri\Sugarcane\Companies\Sao Martinho\Model</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/MSResearch/Content/ExternalAssets/2015-03/Images/1nmx6eMhsO-f8Ij1dzI9A--.png</TARGET_BINARYFULLNAME>
    <TARGET_STORYFULLNAME>/MSResearch/Content/ExternalAssets/2015-03/Sections/20150326_074913_MWA_Risk_Reward.xml</TARGET_STORYFULLNAME>
    <TARGET_UUID>1f4942e2-d3ae-11e4-85cd-32a6e52d529f</TARGET_UUID>
    <LINKSTATUS>Unknown</LINKSTATUS>
  </Link>
  <Link>
    <GUID>1c29f028-05c3-43a8-956c-4a8685dd02aa</GUID>
    <SOURCE_ALTADDRESS>$X$25:$AB$37</SOURCE_ALTADDRESS>
    <SOURCETYPE>Table</SOURCETYPE>
    <SOURCE_OBJECTNAME>Linking_Range_6</SOURCE_OBJECTNAME>
    <OBJECTTYPE>Native</OBJECTTYPE>
    <SOURCE_SHEETCODE>Sheet18</SOURCE_SHEETCODE>
    <SOURCE_SHEETNAME>MSvsConsensus</SOURCE_SHEETNAME>
    <SOURCEAPPLICATION>EXCEL_SOURCE</SOURCEAPPLICATION>
    <UPDATEDAT>4/7/2015 3:35:48 PM</UPDATEDAT>
    <SOURCE_ISOUTOFDATE>False</SOURCE_ISOUTOFDATE>
    <SOURCE_WORKBOOKNAME>SMTO3Model.xlsm</SOURCE_WORKBOOKNAME>
    <SOURCE_WORKBOOKPATH>\\MSAD\ROOT\NA\NABO\SP\LIB\ER\Small Caps SP\Agri\Sugarcane\Companies\Sao Martinho\Model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/MSResearch/Content/ExternalAssets/2015-02/Images/rgrglGNahEKcD-Dr_EquLg--.png</TARGET_BINARYFULLNAME>
    <TARGET_STORYFULLNAME>/MSResearch/Content/ExternalAssets/2015-02/Sections/20150226_060432_Linking_Range_6.xml</TARGET_STORYFULLNAME>
    <TARGET_UUID>d348f82c-be0b-11e4-a5e9-e3b3f180109b</TARGET_UUID>
    <TRANSPARENTBACKGROUND>False</TRANSPARENTBACKGROUND>
    <TRANSPARENTPLOTAREA>False</TRANSPARENTPLOTAREA>
    <LINKSTATUS>Unknown</LINKSTATUS>
  </Link>
  <Link>
    <GUID>4a1ba0eb-ee47-4464-b641-594eda3f7986</GUID>
    <SOURCE_ALTADDRESS>$B$8:$I$21</SOURCE_ALTADDRESS>
    <SOURCETYPE>Table</SOURCETYPE>
    <SOURCE_OBJECTNAME>Linking_Range_14</SOURCE_OBJECTNAME>
    <OBJECTTYPE>Native</OBJECTTYPE>
    <SOURCE_SHEETCODE>Sheet41</SOURCE_SHEETCODE>
    <SOURCE_SHEETNAME>SOP</SOURCE_SHEETNAME>
    <SOURCEAPPLICATION>EXCEL_SOURCE</SOURCEAPPLICATION>
    <UPDATEDAT>4/7/2015 3:37:07 PM</UPDATEDAT>
    <SOURCE_ISOUTOFDATE>False</SOURCE_ISOUTOFDATE>
    <SOURCE_WORKBOOKNAME>SMTO3Model.xlsm</SOURCE_WORKBOOKNAME>
    <SOURCE_WORKBOOKPATH>\\msad\root\NA\NABO\SP\lib\ER\Small Caps SP\Agri\Sugarcane\Companies\Sao Martinho\Model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/MSResearch/Content/ExternalAssets/2015-03/Images/LGu5dqOmvWLA2DP7D47pA--.png</TARGET_BINARYFULLNAME>
    <TARGET_STORYFULLNAME>/MSResearch/Content/ExternalAssets/2015-03/Sections/20150326_081343_Linking_Range_14.xml</TARGET_STORYFULLNAME>
    <TARGET_UUID>8b9ffd7a-d3b1-11e4-85cd-32a6e52d529f</TARGET_UUID>
    <LINKSTATUS>Unknown</LINKSTATUS>
  </Link>
  <Link>
    <GUID>3d3a6a8b-5b59-4001-a9a3-fd231bac08f2</GUID>
    <SOURCE_ALTADDRESS>$B$11:$M$24</SOURCE_ALTADDRESS>
    <SOURCETYPE>Table</SOURCETYPE>
    <SOURCE_OBJECTNAME>Linking_Range_13</SOURCE_OBJECTNAME>
    <OBJECTTYPE>Native</OBJECTTYPE>
    <SOURCE_SHEETCODE>Sheet3</SOURCE_SHEETCODE>
    <SOURCE_SHEETNAME>DCF</SOURCE_SHEETNAME>
    <SOURCEAPPLICATION>EXCEL_SOURCE</SOURCEAPPLICATION>
    <UPDATEDAT>4/7/2015 3:37:27 PM</UPDATEDAT>
    <SOURCE_ISOUTOFDATE>False</SOURCE_ISOUTOFDATE>
    <SOURCE_WORKBOOKNAME>SMTO3Model.xlsm</SOURCE_WORKBOOKNAME>
    <SOURCE_WORKBOOKPATH>\\msad\root\NA\NABO\SP\lib\ER\Small Caps SP\Agri\Sugarcane\Companies\Sao Martinho\Model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/MSResearch/Content/ExternalAssets/2015-03/Images/65Cxb8UoWEmMdlvH9BWsIA--.png</TARGET_BINARYFULLNAME>
    <TARGET_STORYFULLNAME>/MSResearch/Content/ExternalAssets/2015-03/Sections/20150326_081033_Linking_Range_13.xml</TARGET_STORYFULLNAME>
    <TARGET_UUID>1a39ef10-d3b1-11e4-85cd-32a6e52d529f</TARGET_UUID>
    <LINKSTATUS>Unknown</LINKSTATUS>
  </Link>
  <Link>
    <GUID>19d0a09a-1ea2-4007-a614-9c753f1d6935</GUID>
    <SOURCE_ALTADDRESS>$B$11:$M$35</SOURCE_ALTADDRESS>
    <SOURCETYPE>Table</SOURCETYPE>
    <SOURCE_OBJECTNAME>Linking_Range_17</SOURCE_OBJECTNAME>
    <OBJECTTYPE>Native</OBJECTTYPE>
    <SOURCE_SHEETCODE>Sheet3</SOURCE_SHEETCODE>
    <SOURCE_SHEETNAME>DCF</SOURCE_SHEETNAME>
    <SOURCEAPPLICATION>EXCEL_SOURCE</SOURCEAPPLICATION>
    <UPDATEDAT>4/7/2015 3:37:34 PM</UPDATEDAT>
    <SOURCE_ISOUTOFDATE>False</SOURCE_ISOUTOFDATE>
    <SOURCE_WORKBOOKNAME>SMTO3Model.xlsm</SOURCE_WORKBOOKNAME>
    <SOURCE_WORKBOOKPATH>\\MSAD\ROOT\NA\NABO\SP\LIB\ER\Small Caps SP\Agri\Sugarcane\Companies\Sao Martinho\Model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/MSResearch/Content/ExternalAssets/2015-03/Images/W0JIDZ9tR0C5cS34mEUajg--.png</TARGET_BINARYFULLNAME>
    <TARGET_STORYFULLNAME>/MSResearch/Content/ExternalAssets/2015-03/Sections/20150329_065328_Linking_Range_17.xml</TARGET_STORYFULLNAME>
    <TARGET_UUID>6a0315aa-d666-11e4-bab8-0090c965f561</TARGET_UUID>
    <TRANSPARENTBACKGROUND>False</TRANSPARENTBACKGROUND>
    <TRANSPARENTPLOTAREA>False</TRANSPARENTPLOTAREA>
    <LINKSTATUS>Unknown</LINKSTATUS>
  </Link>
  <Link>
    <GUID>f773a454-b073-4070-90c3-a6c5f7e7d5fa</GUID>
    <SOURCETYPE>Chart</SOURCETYPE>
    <SOURCE_OBJECTNAME>Chart 1094</SOURCE_OBJECTNAME>
    <SOURCE_SHEETCODE>Sheet32</SOURCE_SHEETCODE>
    <SOURCE_SHEETNAME>Charts</SOURCE_SHEETNAME>
    <OBJECTTYPE>Native</OBJECTTYPE>
    <SOURCEAPPLICATION>EXCEL_SOURCE</SOURCEAPPLICATION>
    <UPDATEDAT>4/7/2015 3:41:28 PM</UPDATEDAT>
    <SOURCE_ISOUTOFDATE>False</SOURCE_ISOUTOFDATE>
    <SOURCE_WORKBOOKNAME>SMTO3Model.xlsm</SOURCE_WORKBOOKNAME>
    <SOURCE_WORKBOOKPATH>\\msad\root\NA\NABO\SP\lib\ER\Small Caps SP\Agri\Sugarcane\Companies\Sao Martinho\Model</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/MSResearch/Content/ExternalAssets/2015-03/Images/4iroCmL3WUC4gq6EyXirog--.png</TARGET_BINARYFULLNAME>
    <TARGET_STORYFULLNAME>/MSResearch/Content/ExternalAssets/2015-03/Sections/20150306_031735_Chart194.xml</TARGET_STORYFULLNAME>
    <TARGET_UUID>3ee1143e-c3d9-11e4-88af-319e7ae7f514</TARGET_UUID>
    <LINKSTATUS>Unknown</LINKSTATUS>
  </Link>
  <Link>
    <GUID>25faf06b-a0ed-48d8-96f2-7e31f35f97db</GUID>
    <SOURCETYPE>Chart</SOURCETYPE>
    <SOURCE_OBJECTNAME>Chart 1127</SOURCE_OBJECTNAME>
    <SOURCE_SHEETCODE>Sheet32</SOURCE_SHEETCODE>
    <SOURCE_SHEETNAME>Charts</SOURCE_SHEETNAME>
    <OBJECTTYPE>Native</OBJECTTYPE>
    <SOURCEAPPLICATION>EXCEL_SOURCE</SOURCEAPPLICATION>
    <UPDATEDAT>4/7/2015 3:41:29 PM</UPDATEDAT>
    <SOURCE_ISOUTOFDATE>False</SOURCE_ISOUTOFDATE>
    <SOURCE_WORKBOOKNAME>SMTO3Model.xlsm</SOURCE_WORKBOOKNAME>
    <SOURCE_WORKBOOKPATH>\\msad\root\NA\NABO\SP\lib\ER\Small Caps SP\Agri\Sugarcane\Companies\Sao Martinho\Model</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/MSResearch/Content/ExternalAssets/2015-03/Images/QD_LvaATV2_mAJm4nOhhQ--.png</TARGET_BINARYFULLNAME>
    <TARGET_STORYFULLNAME>/MSResearch/Content/ExternalAssets/2015-03/Sections/20150306_033207_Chart1127.xml</TARGET_STORYFULLNAME>
    <TARGET_UUID>467155a4-c3db-11e4-88af-319e7ae7f514</TARGET_UUID>
    <LINKSTATUS>Unknown</LINKSTATUS>
  </Link>
  <Link>
    <GUID>fd93ff4a-45a0-4d4a-9b6f-d74ee233f637</GUID>
    <SOURCE_ALTADDRESS>$M$117:$T$124</SOURCE_ALTADDRESS>
    <SOURCETYPE>Table</SOURCETYPE>
    <SOURCE_OBJECTNAME>Linking_Range_7</SOURCE_OBJECTNAME>
    <OBJECTTYPE>Native</OBJECTTYPE>
    <SOURCE_SHEETCODE>Sheet10</SOURCE_SHEETCODE>
    <SOURCE_SHEETNAME>Scenarios</SOURCE_SHEETNAME>
    <SOURCEAPPLICATION>EXCEL_SOURCE</SOURCEAPPLICATION>
    <UPDATEDAT>4/7/2015 3:41:47 PM</UPDATEDAT>
    <SOURCE_ISOUTOFDATE>False</SOURCE_ISOUTOFDATE>
    <SOURCE_WORKBOOKNAME>SMTO3Model.xlsm</SOURCE_WORKBOOKNAME>
    <SOURCE_WORKBOOKPATH>\\msad\root\NA\NABO\SP\lib\ER\Small Caps SP\Agri\Sugarcane\Companies\Sao Martinho\Model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/MSResearch/Content/ExternalAssets/2015-03/Images/oGEDk__vqLYWu_njGCcg--.png</TARGET_BINARYFULLNAME>
    <TARGET_STORYFULLNAME>/MSResearch/Content/ExternalAssets/2015-03/Sections/20150306_022310_Linking_Range_7.xml</TARGET_STORYFULLNAME>
    <TARGET_UUID>a47641d2-c3d1-11e4-88af-319e7ae7f514</TARGET_UUID>
    <TRANSPARENTBACKGROUND>False</TRANSPARENTBACKGROUND>
    <TRANSPARENTPLOTAREA>False</TRANSPARENTPLOTAREA>
    <LINKSTATUS>Unknown</LINKSTATUS>
  </Link>
  <Link>
    <GUID>59514a03-5e02-497a-b2a9-4d97c5e056a6</GUID>
    <SOURCE_ALTADDRESS>$M$127:$T$133</SOURCE_ALTADDRESS>
    <SOURCETYPE>Table</SOURCETYPE>
    <SOURCE_OBJECTNAME>Linking_Range_8</SOURCE_OBJECTNAME>
    <OBJECTTYPE>Native</OBJECTTYPE>
    <SOURCE_SHEETCODE>Sheet10</SOURCE_SHEETCODE>
    <SOURCE_SHEETNAME>Scenarios</SOURCE_SHEETNAME>
    <SOURCEAPPLICATION>EXCEL_SOURCE</SOURCEAPPLICATION>
    <UPDATEDAT>4/7/2015 3:41:51 PM</UPDATEDAT>
    <SOURCE_ISOUTOFDATE>False</SOURCE_ISOUTOFDATE>
    <SOURCE_WORKBOOKNAME>SMTO3Model.xlsm</SOURCE_WORKBOOKNAME>
    <SOURCE_WORKBOOKPATH>\\msad\root\NA\NABO\SP\lib\ER\Small Caps SP\Agri\Sugarcane\Companies\Sao Martinho\Model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/MSResearch/Content/ExternalAssets/2015-03/Images/wHZuvU8acSjOjzCLyiS6w--.png</TARGET_BINARYFULLNAME>
    <TARGET_STORYFULLNAME>/MSResearch/Content/ExternalAssets/2015-03/Sections/20150306_030134_Linking_Range_8.xml</TARGET_STORYFULLNAME>
    <TARGET_UUID>01e04688-c3d7-11e4-88af-319e7ae7f514</TARGET_UUID>
    <TRANSPARENTBACKGROUND>False</TRANSPARENTBACKGROUND>
    <TRANSPARENTPLOTAREA>False</TRANSPARENTPLOTAREA>
    <LINKSTATUS>Unknown</LINKSTATUS>
  </Link>
  <Link>
    <GUID>ef75c801-10b7-4d1e-b541-ffd31096d5e6</GUID>
    <SOURCE_ALTADDRESS>$B$73:$P$128</SOURCE_ALTADDRESS>
    <SOURCETYPE>Table</SOURCETYPE>
    <SOURCE_OBJECTNAME>Linking_Range_11</SOURCE_OBJECTNAME>
    <OBJECTTYPE>Native</OBJECTTYPE>
    <SOURCE_SHEETCODE>Sheet31</SOURCE_SHEETCODE>
    <SOURCE_SHEETNAME>Overview</SOURCE_SHEETNAME>
    <SOURCEAPPLICATION>EXCEL_SOURCE</SOURCEAPPLICATION>
    <UPDATEDAT>4/7/2015 3:44:36 PM</UPDATEDAT>
    <SOURCE_ISOUTOFDATE>False</SOURCE_ISOUTOFDATE>
    <SOURCE_WORKBOOKNAME>SMTO3Model.xlsm</SOURCE_WORKBOOKNAME>
    <SOURCE_WORKBOOKPATH>\\msad\root\NA\NABO\SP\lib\ER\Small Caps SP\Agri\Sugarcane\Companies\Sao Martinho\Model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/MSResearch/Content/ExternalAssets/2015-03/Images/kR6M2cR-k2BPLcQ-b8XHw--.png</TARGET_BINARYFULLNAME>
    <TARGET_STORYFULLNAME>/MSResearch/Content/ExternalAssets/2015-03/Sections/20150306_040257_Linking_Range_11.xml</TARGET_STORYFULLNAME>
    <TARGET_UUID>9531fa82-c3df-11e4-88af-319e7ae7f514</TARGET_UUID>
    <TRANSPARENTBACKGROUND>False</TRANSPARENTBACKGROUND>
    <TRANSPARENTPLOTAREA>False</TRANSPARENTPLOTAREA>
    <LINKSTATUS>Unknown</LINKSTATUS>
  </Link>
  <Link>
    <GUID>f1fe00e4-bcb1-430d-8bc2-506e522a7ff9</GUID>
    <SOURCE_ALTADDRESS>$B$27:$P$66</SOURCE_ALTADDRESS>
    <SOURCETYPE>Table</SOURCETYPE>
    <SOURCE_OBJECTNAME>Linking_Range_10</SOURCE_OBJECTNAME>
    <OBJECTTYPE>Native</OBJECTTYPE>
    <SOURCE_SHEETCODE>Sheet31</SOURCE_SHEETCODE>
    <SOURCE_SHEETNAME>Overview</SOURCE_SHEETNAME>
    <SOURCEAPPLICATION>EXCEL_SOURCE</SOURCEAPPLICATION>
    <UPDATEDAT>4/7/2015 3:44:42 PM</UPDATEDAT>
    <SOURCE_ISOUTOFDATE>False</SOURCE_ISOUTOFDATE>
    <SOURCE_WORKBOOKNAME>SMTO3Model.xlsm</SOURCE_WORKBOOKNAME>
    <SOURCE_WORKBOOKPATH>\\msad\root\NA\NABO\SP\lib\ER\Small Caps SP\Agri\Sugarcane\Companies\Sao Martinho\Model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/MSResearch/Content/ExternalAssets/2015-03/Images/iVoJTjBGlWDW7dGpX4h2w--.png</TARGET_BINARYFULLNAME>
    <TARGET_STORYFULLNAME>/MSResearch/Content/ExternalAssets/2015-03/Sections/20150306_035353_Linking_Range_1.xml</TARGET_STORYFULLNAME>
    <TARGET_UUID>50ecbca0-c3de-11e4-88af-319e7ae7f514</TARGET_UUID>
    <TRANSPARENTBACKGROUND>False</TRANSPARENTBACKGROUND>
    <TRANSPARENTPLOTAREA>False</TRANSPARENTPLOTAREA>
    <LINKSTATUS>Unknown</LINKSTATUS>
  </Link>
  <Link>
    <GUID>e052ffdb-e7b3-4e2f-8ca6-633eccd464cd</GUID>
    <SOURCE_ALTADDRESS>$B$3:$P$66</SOURCE_ALTADDRESS>
    <SOURCETYPE>Table</SOURCETYPE>
    <SOURCE_OBJECTNAME>Linking_Range_15</SOURCE_OBJECTNAME>
    <OBJECTTYPE>Native</OBJECTTYPE>
    <SOURCE_SHEETCODE>Sheet31</SOURCE_SHEETCODE>
    <SOURCE_SHEETNAME>Overview</SOURCE_SHEETNAME>
    <SOURCEAPPLICATION>EXCEL_SOURCE</SOURCEAPPLICATION>
    <UPDATEDAT>4/7/2015 3:44:49 PM</UPDATEDAT>
    <SOURCE_ISOUTOFDATE>False</SOURCE_ISOUTOFDATE>
    <SOURCE_WORKBOOKNAME>SMTO3Model.xlsm</SOURCE_WORKBOOKNAME>
    <SOURCE_WORKBOOKPATH>\\msad\root\NA\NABO\SP\lib\ER\Small Caps SP\Agri\Sugarcane\Companies\Sao Martinho\Model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/MSResearch/Content/ExternalAssets/2015-03/Images/6mo1MLm-iB9nXzfrAmxg--.png</TARGET_BINARYFULLNAME>
    <TARGET_STORYFULLNAME>/MSResearch/Content/ExternalAssets/2015-03/Sections/20150326_083658_Linking_Range_15.xml</TARGET_STORYFULLNAME>
    <TARGET_UUID>cb7dd1d0-d3b4-11e4-85cd-32a6e52d529f</TARGET_UUID>
    <TRANSPARENTBACKGROUND>False</TRANSPARENTBACKGROUND>
    <TRANSPARENTPLOTAREA>False</TRANSPARENTPLOTAREA>
    <LINKSTATUS>Unknown</LINKSTATUS>
  </Link>
  <Link>
    <GUID>43713f62-1d82-4043-a05d-c5f9250f126a</GUID>
    <SOURCE_ALTADDRESS>$B$73:$P$127</SOURCE_ALTADDRESS>
    <SOURCETYPE>Table</SOURCETYPE>
    <SOURCE_OBJECTNAME>Linking_Range_16</SOURCE_OBJECTNAME>
    <OBJECTTYPE>Native</OBJECTTYPE>
    <SOURCE_SHEETCODE>Sheet31</SOURCE_SHEETCODE>
    <SOURCE_SHEETNAME>Overview</SOURCE_SHEETNAME>
    <SOURCEAPPLICATION>EXCEL_SOURCE</SOURCEAPPLICATION>
    <UPDATEDAT>4/7/2015 3:44:56 PM</UPDATEDAT>
    <SOURCE_ISOUTOFDATE>False</SOURCE_ISOUTOFDATE>
    <SOURCE_WORKBOOKNAME>SMTO3Model.xlsm</SOURCE_WORKBOOKNAME>
    <SOURCE_WORKBOOKPATH>\\msad\root\NA\NABO\SP\lib\ER\Small Caps SP\Agri\Sugarcane\Companies\Sao Martinho\Model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/MSResearch/Content/ExternalAssets/2015-03/Images/IXkQG8YNmEGauwkdsrq1A--.png</TARGET_BINARYFULLNAME>
    <TARGET_STORYFULLNAME>/MSResearch/Content/ExternalAssets/2015-03/Sections/20150326_084159_Linking_Range_16.xml</TARGET_STORYFULLNAME>
    <TARGET_UUID>7eb58540-d3b5-11e4-85cd-32a6e52d529f</TARGET_UUID>
    <LINKSTATUS>Unknown</LINKSTATUS>
  </Link>
  <Link>
    <GUID>5af1aa50-99cf-44de-b193-0281eefb355e</GUID>
    <SOURCE_ALTADDRESS>$B$3:$R$66</SOURCE_ALTADDRESS>
    <SOURCETYPE>Table</SOURCETYPE>
    <SOURCE_OBJECTNAME>Linking_Range_18</SOURCE_OBJECTNAME>
    <OBJECTTYPE>Native</OBJECTTYPE>
    <SOURCE_SHEETCODE>Sheet31</SOURCE_SHEETCODE>
    <SOURCE_SHEETNAME>Overview</SOURCE_SHEETNAME>
    <SOURCEAPPLICATION>EXCEL_SOURCE</SOURCEAPPLICATION>
    <UPDATEDAT>4/7/2015 3:45:03 PM</UPDATEDAT>
    <SOURCE_ISOUTOFDATE>False</SOURCE_ISOUTOFDATE>
    <SOURCE_WORKBOOKNAME>SMTO3Model.xlsm</SOURCE_WORKBOOKNAME>
    <SOURCE_WORKBOOKPATH>\\msad\root\NA\NABO\SP\lib\ER\Small Caps SP\Agri\Sugarcane\Companies\Sao Martinho\Model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/MSResearch/Content/ExternalAssets/2015-03/Images/131ZacK1fkCt8qeRTwZewg--.png</TARGET_BINARYFULLNAME>
    <TARGET_STORYFULLNAME>/MSResearch/Content/ExternalAssets/2015-03/Sections/20150330_050506_Linking_Range_18.xml</TARGET_STORYFULLNAME>
    <TARGET_UUID>dbe9c4f2-d6bb-11e4-bab8-0090c965f561</TARGET_UUID>
    <LINKSTATUS>Unknown</LINKSTATUS>
  </Link>
  <Link>
    <GUID>43d87b73-bb27-440c-a289-416bd224c592</GUID>
    <SOURCE_ALTADDRESS>$B$73:$R$127</SOURCE_ALTADDRESS>
    <SOURCETYPE>Table</SOURCETYPE>
    <SOURCE_OBJECTNAME>Linking_Range_19</SOURCE_OBJECTNAME>
    <OBJECTTYPE>Native</OBJECTTYPE>
    <SOURCE_SHEETCODE>Sheet31</SOURCE_SHEETCODE>
    <SOURCE_SHEETNAME>Overview</SOURCE_SHEETNAME>
    <SOURCEAPPLICATION>EXCEL_SOURCE</SOURCEAPPLICATION>
    <UPDATEDAT>4/7/2015 3:45:11 PM</UPDATEDAT>
    <SOURCE_ISOUTOFDATE>False</SOURCE_ISOUTOFDATE>
    <SOURCE_WORKBOOKNAME>SMTO3Model.xlsm</SOURCE_WORKBOOKNAME>
    <SOURCE_WORKBOOKPATH>\\msad\root\NA\NABO\SP\lib\ER\Small Caps SP\Agri\Sugarcane\Companies\Sao Martinho\Model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/MSResearch/Content/ExternalAssets/2015-03/Images/BjgmUYuTAkucxQ9dvl0dzA--.png</TARGET_BINARYFULLNAME>
    <TARGET_STORYFULLNAME>/MSResearch/Content/ExternalAssets/2015-03/Sections/20150330_050636_Linking_Range_19.xml</TARGET_STORYFULLNAME>
    <TARGET_UUID>1189193c-d6bc-11e4-bab8-0090c965f561</TARGET_UUID>
    <LINKSTATUS>Unknown</LINKSTATUS>
  </Link>
  <Link>
    <GUID>83cabe5d-52ad-4b04-87d4-906ed7a6c500</GUID>
    <SOURCE_ALTADDRESS>$B$4:$K$48</SOURCE_ALTADDRESS>
    <SOURCETYPE>Table</SOURCETYPE>
    <SOURCE_OBJECTNAME>Linking_Range_20</SOURCE_OBJECTNAME>
    <OBJECTTYPE>Native</OBJECTTYPE>
    <SOURCE_SHEETCODE>Sheet12</SOURCE_SHEETCODE>
    <SOURCE_SHEETNAME>Summary</SOURCE_SHEETNAME>
    <SOURCEAPPLICATION>EXCEL_SOURCE</SOURCEAPPLICATION>
    <UPDATEDAT>4/7/2015 11:41:59 AM</UPDATEDAT>
    <SOURCE_ISOUTOFDATE>False</SOURCE_ISOUTOFDATE>
    <SOURCE_WORKBOOKNAME>SMTO3Model.xlsm</SOURCE_WORKBOOKNAME>
    <SOURCE_WORKBOOKPATH>\\msad\root\NA\NABO\SP\lib\ER\Small Caps SP\Agri\Sugarcane\Companies\Sao Martinho\Model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/MSResearch/Content/ExternalAssets/2015-04/Images/giKJql0aR0CbQ20q25kQ3Q--.png</TARGET_BINARYFULLNAME>
    <TARGET_STORYFULLNAME>/MSResearch/Content/ExternalAssets/2015-04/Sections/20150407_051746_Linking_Range_20.xml</TARGET_STORYFULLNAME>
    <TARGET_UUID>f445ddaa-dd06-11e4-9cfb-6eb77350c59b</TARGET_UUID>
    <LINKSTATUS>Unknown</LINKSTATUS>
    <TRANSPARENTBACKGROUND>False</TRANSPARENTBACKGROUND>
    <TRANSPARENTPLOTAREA>False</TRANSPARENTPLOTAREA>
  </Link>
</lk:Links>
</file>

<file path=customXml/itemProps1.xml><?xml version="1.0" encoding="utf-8"?>
<ds:datastoreItem xmlns:ds="http://schemas.openxmlformats.org/officeDocument/2006/customXml" ds:itemID="{987B3958-069D-48FF-AC3B-07422D0F4A13}">
  <ds:schemaRefs>
    <ds:schemaRef ds:uri="thomsonreuters.linking.metadatachange"/>
  </ds:schemaRefs>
</ds:datastoreItem>
</file>

<file path=customXml/itemProps2.xml><?xml version="1.0" encoding="utf-8"?>
<ds:datastoreItem xmlns:ds="http://schemas.openxmlformats.org/officeDocument/2006/customXml" ds:itemID="{88E5D696-1864-4DA0-A510-32FD48D2E4F7}">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130</vt:i4>
      </vt:variant>
    </vt:vector>
  </HeadingPairs>
  <TitlesOfParts>
    <vt:vector size="132" baseType="lpstr">
      <vt:lpstr>ImportantDisclosures</vt:lpstr>
      <vt:lpstr>CircularReferenceAlert</vt:lpstr>
      <vt:lpstr>AdditionalInstructions</vt:lpstr>
      <vt:lpstr>ImportantDisclosures!Address</vt:lpstr>
      <vt:lpstr>ModPubIndex!ANA</vt:lpstr>
      <vt:lpstr>ImportantDisclosures!Authors</vt:lpstr>
      <vt:lpstr>IndexInformation!Authors</vt:lpstr>
      <vt:lpstr>ModPubIndex!BRO</vt:lpstr>
      <vt:lpstr>CircularReferenceAlert!Buttons</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Linking_24</vt:lpstr>
      <vt:lpstr>Linking_29</vt:lpstr>
      <vt:lpstr>Linking_30</vt:lpstr>
      <vt:lpstr>Linking_31</vt:lpstr>
      <vt:lpstr>Linking_33</vt:lpstr>
      <vt:lpstr>Linking_34</vt:lpstr>
      <vt:lpstr>Linking_35</vt:lpstr>
      <vt:lpstr>Linking_36</vt:lpstr>
      <vt:lpstr>Linking_37</vt:lpstr>
      <vt:lpstr>Linking_38</vt:lpstr>
      <vt:lpstr>Linking_39</vt:lpstr>
      <vt:lpstr>Linking_4</vt:lpstr>
      <vt:lpstr>Linking_40</vt:lpstr>
      <vt:lpstr>Linking_41</vt:lpstr>
      <vt:lpstr>Linking_42</vt:lpstr>
      <vt:lpstr>Linking_43</vt:lpstr>
      <vt:lpstr>Linking_44</vt:lpstr>
      <vt:lpstr>Linking_45</vt:lpstr>
      <vt:lpstr>Linking_Range_1</vt:lpstr>
      <vt:lpstr>Linking_Range_10</vt:lpstr>
      <vt:lpstr>Linking_Range_11</vt:lpstr>
      <vt:lpstr>Linking_Range_12</vt:lpstr>
      <vt:lpstr>Linking_Range_13</vt:lpstr>
      <vt:lpstr>Linking_Range_14</vt:lpstr>
      <vt:lpstr>Linking_Range_15</vt:lpstr>
      <vt:lpstr>Linking_Range_16</vt:lpstr>
      <vt:lpstr>Linking_Range_17</vt:lpstr>
      <vt:lpstr>Linking_Range_18</vt:lpstr>
      <vt:lpstr>Linking_Range_19</vt:lpstr>
      <vt:lpstr>Linking_Range_2</vt:lpstr>
      <vt:lpstr>Linking_Range_20</vt:lpstr>
      <vt:lpstr>Linking_Range_3</vt:lpstr>
      <vt:lpstr>Linking_Range_8</vt:lpstr>
      <vt:lpstr>Linking_Range_9</vt:lpstr>
      <vt:lpstr>IndexInformation!MacroVersion</vt:lpstr>
      <vt:lpstr>MASTERSWITCH</vt:lpstr>
      <vt:lpstr>CircularReferenceAlert!MaxChange</vt:lpstr>
      <vt:lpstr>CircularReferenceAlert!MaxIterations</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'Annual historicals'!Print_Area</vt:lpstr>
      <vt:lpstr>Base!Print_Area</vt:lpstr>
      <vt:lpstr>Bear!Print_Area</vt:lpstr>
      <vt:lpstr>Bull!Print_Area</vt:lpstr>
      <vt:lpstr>Charts!Print_Area</vt:lpstr>
      <vt:lpstr>ChartSupport!Print_Area</vt:lpstr>
      <vt:lpstr>DCF!Print_Area</vt:lpstr>
      <vt:lpstr>Financials!Print_Area</vt:lpstr>
      <vt:lpstr>Index!Print_Area</vt:lpstr>
      <vt:lpstr>Inputs!Print_Area</vt:lpstr>
      <vt:lpstr>Macroeconomic!Print_Area</vt:lpstr>
      <vt:lpstr>MSvsConsensus!Print_Area</vt:lpstr>
      <vt:lpstr>Ownership!Print_Area</vt:lpstr>
      <vt:lpstr>Q_BS!Print_Area</vt:lpstr>
      <vt:lpstr>Q_Financials!Print_Area</vt:lpstr>
      <vt:lpstr>Q_IS!Print_Area</vt:lpstr>
      <vt:lpstr>'Quarterly historicals'!Print_Area</vt:lpstr>
      <vt:lpstr>SOP!Print_Area</vt:lpstr>
      <vt:lpstr>Structure!Print_Area</vt:lpstr>
      <vt:lpstr>Summary!Print_Area</vt:lpstr>
      <vt:lpstr>Macroeconomic!Print_Titles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Scenario_Input</vt:lpstr>
      <vt:lpstr>IndexInformation!SEDOL</vt:lpstr>
      <vt:lpstr>ImportantDisclosures!SourceDefined</vt:lpstr>
      <vt:lpstr>ImportantDisclosures!StockRating</vt:lpstr>
      <vt:lpstr>IndexInformation!SubjectCode</vt:lpstr>
      <vt:lpstr>SubmitterUserId</vt:lpstr>
      <vt:lpstr>ModPubIndex!SUPPRESSED</vt:lpstr>
      <vt:lpstr>SWITCHINTERESTEXPENSE</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2006-05-18T17:32:56Z</dcterms:created>
  <dc:creator>Javier Martinez</dc:creator>
  <cp:lastModifiedBy>Bernardo, Mateus (Research)</cp:lastModifiedBy>
  <cp:lastPrinted>2017-10-06T00:28:16Z</cp:lastPrinted>
  <dcterms:modified xsi:type="dcterms:W3CDTF">2017-10-10T17:54:23Z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_NewReviewCycle" pid="2">
    <vt:lpwstr/>
  </property>
  <property fmtid="{D5CDD505-2E9C-101B-9397-08002B2CF9AE}" name="IsInternalOnly" pid="3">
    <vt:lpwstr>True</vt:lpwstr>
  </property>
  <property fmtid="{D5CDD505-2E9C-101B-9397-08002B2CF9AE}" name="LinkingAutoNameNumberLinking_Range_" pid="4">
    <vt:lpwstr>23</vt:lpwstr>
  </property>
  <property fmtid="{D5CDD505-2E9C-101B-9397-08002B2CF9AE}" name="ERModPubTicket" pid="5">
    <vt:lpwstr>NA</vt:lpwstr>
  </property>
  <property fmtid="{D5CDD505-2E9C-101B-9397-08002B2CF9AE}" name="ERCompanyUploadState" pid="6">
    <vt:lpwstr>P</vt:lpwstr>
  </property>
  <property fmtid="{D5CDD505-2E9C-101B-9397-08002B2CF9AE}" name="ModelId" pid="7">
    <vt:lpwstr>725342</vt:lpwstr>
  </property>
  <property fmtid="{D5CDD505-2E9C-101B-9397-08002B2CF9AE}" name="ERModPubCompanyName" pid="8">
    <vt:lpwstr>Sao Martinho SA</vt:lpwstr>
  </property>
  <property fmtid="{D5CDD505-2E9C-101B-9397-08002B2CF9AE}" name="ERModPubMaxIterations" pid="9">
    <vt:i4>100</vt:i4>
  </property>
  <property fmtid="{D5CDD505-2E9C-101B-9397-08002B2CF9AE}" name="ERModPubMaxChange" pid="10">
    <vt:r8>0.001</vt:r8>
  </property>
  <property fmtid="{D5CDD505-2E9C-101B-9397-08002B2CF9AE}" name="MSDH34TAG" pid="11">
    <vt:lpwstr>.TEZUF76X5TAHATHESADREYAK-00-INB160+*94600-06=15140e8e/-ade4/-11e7/-9a4a/-e012bc48b1ce,MD=20171010141948/-0400,ZZ=000Z-337c.</vt:lpwstr>
  </property>
</Properties>
</file>